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11.xml" ContentType="application/vnd.ms-office.chartcolorstyle+xml"/>
  <Override PartName="/xl/charts/colors12.xml" ContentType="application/vnd.ms-office.chartcolorstyle+xml"/>
  <Override PartName="/xl/charts/colors13.xml" ContentType="application/vnd.ms-office.chartcolorstyle+xml"/>
  <Override PartName="/xl/charts/colors14.xml" ContentType="application/vnd.ms-office.chartcolorstyle+xml"/>
  <Override PartName="/xl/charts/colors15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11.xml" ContentType="application/vnd.ms-office.chartstyle+xml"/>
  <Override PartName="/xl/charts/style12.xml" ContentType="application/vnd.ms-office.chartstyle+xml"/>
  <Override PartName="/xl/charts/style13.xml" ContentType="application/vnd.ms-office.chartstyle+xml"/>
  <Override PartName="/xl/charts/style14.xml" ContentType="application/vnd.ms-office.chartstyle+xml"/>
  <Override PartName="/xl/charts/style15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 updateLinks="never"/>
  <bookViews>
    <workbookView windowWidth="21570" windowHeight="7995" tabRatio="926" activeTab="4"/>
  </bookViews>
  <sheets>
    <sheet name="checklist" sheetId="57" r:id="rId1"/>
    <sheet name="修改记录" sheetId="101" r:id="rId2"/>
    <sheet name="增量记录" sheetId="109" r:id="rId3"/>
    <sheet name="目录及说明" sheetId="87" r:id="rId4"/>
    <sheet name="总规划" sheetId="63" r:id="rId5"/>
    <sheet name="养成规划" sheetId="65" r:id="rId6"/>
    <sheet name="控制台" sheetId="79" r:id="rId7"/>
    <sheet name="道具id价值表" sheetId="111" r:id="rId8"/>
    <sheet name="运营对接" sheetId="77" r:id="rId9"/>
    <sheet name="战斗对接" sheetId="92" r:id="rId10"/>
    <sheet name="102_建筑" sheetId="86" r:id="rId11"/>
    <sheet name="103_科技" sheetId="88" r:id="rId12"/>
    <sheet name="107_兵卡等级" sheetId="80" r:id="rId13"/>
    <sheet name="114_军官等级" sheetId="95" r:id="rId14"/>
    <sheet name="116_阵营声望" sheetId="94" r:id="rId15"/>
    <sheet name="122_高级科技" sheetId="108" r:id="rId16"/>
    <sheet name="201_打野" sheetId="84" r:id="rId17"/>
    <sheet name="202_黑鸦营地" sheetId="83" r:id="rId18"/>
    <sheet name="203_采集" sheetId="85" r:id="rId19"/>
    <sheet name="204_军官任务" sheetId="93" r:id="rId20"/>
    <sheet name="205_每日任务" sheetId="91" r:id="rId21"/>
    <sheet name="206_副本挂机" sheetId="82" r:id="rId22"/>
    <sheet name="207_空投" sheetId="90" r:id="rId23"/>
    <sheet name="208_黑市" sheetId="103" r:id="rId24"/>
    <sheet name="210_活动" sheetId="104" r:id="rId25"/>
    <sheet name="211_VIP宝箱" sheetId="105" r:id="rId26"/>
    <sheet name="212_VIP商店" sheetId="106" r:id="rId27"/>
    <sheet name="213_主题活动" sheetId="107" r:id="rId28"/>
    <sheet name="308_挂机首通" sheetId="97" r:id="rId29"/>
    <sheet name="502_联盟积分" sheetId="98" r:id="rId30"/>
    <sheet name="503_联盟科技" sheetId="102" r:id="rId31"/>
    <sheet name="空白页" sheetId="81" r:id="rId32"/>
  </sheets>
  <definedNames>
    <definedName name="控制台_000_目录">控制台!$A$3</definedName>
    <definedName name="控制台_101_加速资源">控制台!$A$22</definedName>
    <definedName name="控制台_102_建筑">控制台!$A$272</definedName>
    <definedName name="控制台_103_科技">控制台!$A$448</definedName>
    <definedName name="控制台_104_卡牌">控制台!$A$653</definedName>
    <definedName name="控制台_105_兵卡星级">控制台!$A$779</definedName>
    <definedName name="控制台_106_经验弹药">控制台!$A$795</definedName>
    <definedName name="控制台_107_兵卡等级">控制台!$A$1082</definedName>
    <definedName name="控制台_108_零件">控制台!$A$1121</definedName>
    <definedName name="控制台_109_兵卡改造">控制台!$A$1348</definedName>
    <definedName name="控制台_110_配件材料">控制台!$A$1387</definedName>
    <definedName name="控制台_111_配件图纸">控制台!$A$1526</definedName>
    <definedName name="控制台_112_配件">控制台!$A$1600</definedName>
    <definedName name="控制台_113_军官经验">控制台!$A$1625</definedName>
    <definedName name="控制台_114_军官等级">控制台!$A$1734</definedName>
    <definedName name="控制台_115_阵营经验">控制台!$A$1756</definedName>
    <definedName name="控制台_116_阵营声望">控制台!$A$1888</definedName>
    <definedName name="控制台_117_VIP经验">控制台!$A$1918</definedName>
    <definedName name="控制台_118_VIP等级">控制台!$A$2001</definedName>
    <definedName name="控制台_119_军官技能书">控制台!$A$2105</definedName>
    <definedName name="控制台_120_军官技能">控制台!$A$2122</definedName>
    <definedName name="控制台_121_科技书">控制台!$A$2136</definedName>
    <definedName name="控制台_122_高级科技">控制台!$A$2219</definedName>
    <definedName name="控制台_123_空军经验弹药">控制台!$A$938</definedName>
    <definedName name="控制台_124_空军零件">控制台!$A$1234</definedName>
    <definedName name="控制台_201_打野">控制台!$A$2345</definedName>
    <definedName name="控制台_202_黑鸦营地">控制台!$A$2418</definedName>
    <definedName name="控制台_203_采集">控制台!$A$2461</definedName>
    <definedName name="控制台_204_军官任务">控制台!$A$2586</definedName>
    <definedName name="控制台_205_每日任务">控制台!$A$2699</definedName>
    <definedName name="控制台_206_副本挂机">控制台!$A$2745</definedName>
    <definedName name="控制台_207_空投">控制台!$A$3053</definedName>
    <definedName name="控制台_208_黑市">控制台!$A$3134</definedName>
    <definedName name="控制台_209_月卡">控制台!$A$3573</definedName>
    <definedName name="控制台_210_活动">控制台!$A$3588</definedName>
    <definedName name="控制台_211_VIP宝箱">控制台!$A$3651</definedName>
    <definedName name="控制台_212_VIP商店">控制台!$A$3709</definedName>
    <definedName name="控制台_213_主题活动">控制台!$A$3921</definedName>
    <definedName name="控制台_214_联盟商店">控制台!$A$3931</definedName>
    <definedName name="控制台_301_账号升级">控制台!$A$4396</definedName>
    <definedName name="控制台_302_章节任务">控制台!$A$4479</definedName>
    <definedName name="控制台_303_打野首杀">控制台!$A$4493</definedName>
    <definedName name="控制台_304_主线任务">控制台!$A$4553</definedName>
    <definedName name="控制台_305_支线任务">控制台!$A$4563</definedName>
    <definedName name="控制台_306_迷雾建筑">控制台!$A$4573</definedName>
    <definedName name="控制台_307_地图宝箱">控制台!$A$4585</definedName>
    <definedName name="控制台_308_挂机首通">控制台!$A$4605</definedName>
    <definedName name="控制台_309_G点首占">控制台!$A$4632</definedName>
    <definedName name="控制台_310_城作计">控制台!$A$4645</definedName>
    <definedName name="控制台_311_声望升级">控制台!$A$4657</definedName>
    <definedName name="控制台_312_图鉴与合成">控制台!$A$4681</definedName>
    <definedName name="控制台_401_体力">控制台!$A$4711</definedName>
    <definedName name="控制台_402_抽卡券">控制台!$A$4815</definedName>
    <definedName name="控制台_501_战损">控制台!$A$4852</definedName>
    <definedName name="控制台_502_联盟积分">控制台!$A$4955</definedName>
    <definedName name="控制台_503_联盟科技">控制台!$A$4979</definedName>
    <definedName name="控制台_504_消耗物品">控制台!$A$5131</definedName>
    <definedName name="控制台_505_个人积分">控制台!$A$5141</definedName>
    <definedName name="总规划_000_目录">总规划!$A$3</definedName>
    <definedName name="总规划_101_思路">总规划!$A$13</definedName>
    <definedName name="总规划_102_坑位与萝卜">总规划!$A$28</definedName>
    <definedName name="总规划_103_送萝卜与卖萝卜">总规划!$A$70</definedName>
    <definedName name="总规划_104_日常投放">总规划!$A$124</definedName>
    <definedName name="总规划_105_一次性投放">总规划!$A$180</definedName>
    <definedName name="总规划_106_黄金规划">总规划!$A$239</definedName>
    <definedName name="总规划_215_空降猎兵">控制台!$A$4128</definedName>
  </definedNames>
  <calcPr calcId="144525"/>
</workbook>
</file>

<file path=xl/comments1.xml><?xml version="1.0" encoding="utf-8"?>
<comments xmlns="http://schemas.openxmlformats.org/spreadsheetml/2006/main">
  <authors>
    <author>刘大毛</author>
  </authors>
  <commentList>
    <comment ref="C13" authorId="0">
      <text>
        <r>
          <rPr>
            <sz val="9"/>
            <color indexed="81"/>
            <rFont val="宋体"/>
            <charset val="134"/>
          </rPr>
          <t xml:space="preserve">刘大毛:
7级开始阵营抽</t>
        </r>
      </text>
      <commentReplies>
        <commentReply authorId="0" parentId="0">
          <text/>
        </commentReply>
        <commentReply authorId="0" parentId="0">
          <text/>
        </commentReply>
      </commentReplies>
    </comment>
    <comment ref="D13" authorId="0">
      <text>
        <r>
          <rPr>
            <sz val="9"/>
            <color indexed="81"/>
            <rFont val="宋体"/>
            <charset val="134"/>
          </rPr>
          <t xml:space="preserve">刘大毛:
11级开始阵营抽</t>
        </r>
      </text>
      <commentReplies>
        <commentReply authorId="0" parentId="0">
          <text/>
        </commentReply>
        <commentReply authorId="0" parentId="0">
          <text/>
        </commentReply>
      </commentReplies>
    </comment>
  </commentList>
</comments>
</file>

<file path=xl/comments2.xml><?xml version="1.0" encoding="utf-8"?>
<comments xmlns="http://schemas.openxmlformats.org/spreadsheetml/2006/main">
  <authors>
    <author>dyy</author>
  </authors>
  <commentList>
    <comment ref="F261" authorId="0">
      <text>
        <r>
          <rPr>
            <sz val="9"/>
            <color indexed="81"/>
            <rFont val="宋体"/>
            <charset val="134"/>
          </rPr>
          <t xml:space="preserve">dyy:
游戏内实际1分钟需要3黄金</t>
        </r>
      </text>
      <commentReplies>
        <commentReply authorId="0" parentId="0">
          <text/>
        </commentReply>
        <commentReply authorId="0" parentId="0">
          <text/>
        </commentReply>
      </commentReplies>
    </comment>
    <comment ref="F271" authorId="0">
      <text>
        <r>
          <rPr>
            <sz val="9"/>
            <color indexed="81"/>
            <rFont val="宋体"/>
            <charset val="134"/>
          </rPr>
          <t xml:space="preserve">dyy:
VIP经验可以Y档价格无限购买</t>
        </r>
      </text>
      <commentReplies>
        <commentReply authorId="0" parentId="0">
          <text/>
        </commentReply>
        <commentReply authorId="0" parentId="0">
          <text/>
        </commentReply>
      </commentReplies>
    </comment>
    <comment ref="F281" authorId="0">
      <text>
        <r>
          <rPr>
            <sz val="9"/>
            <color indexed="81"/>
            <rFont val="宋体"/>
            <charset val="134"/>
          </rPr>
          <t xml:space="preserve">dyy:
游戏内实际抽卡券1张900黄金</t>
        </r>
      </text>
      <commentReplies>
        <commentReply authorId="0" parentId="0">
          <text/>
        </commentReply>
        <commentReply authorId="0" parentId="0">
          <text/>
        </commentReply>
      </commentReplies>
    </comment>
    <comment ref="F282" authorId="0">
      <text>
        <r>
          <rPr>
            <sz val="9"/>
            <color indexed="81"/>
            <rFont val="宋体"/>
            <charset val="134"/>
          </rPr>
          <t xml:space="preserve">dyy:
1509数值美化</t>
        </r>
      </text>
      <commentReplies>
        <commentReply authorId="0" parentId="0">
          <text/>
        </commentReply>
        <commentReply authorId="0" parentId="0">
          <text/>
        </commentReply>
      </commentReplies>
    </comment>
    <comment ref="D339" authorId="0">
      <text>
        <r>
          <rPr>
            <sz val="9"/>
            <color indexed="81"/>
            <rFont val="宋体"/>
            <charset val="134"/>
          </rPr>
          <t xml:space="preserve">dyy:
价值倍率 = 实际黄金售价/内部黄金价</t>
        </r>
      </text>
      <commentReplies>
        <commentReply authorId="0" parentId="0">
          <text/>
        </commentReply>
        <commentReply authorId="0" parentId="0">
          <text/>
        </commentReply>
      </commentReplies>
    </comment>
  </commentList>
</comments>
</file>

<file path=xl/comments3.xml><?xml version="1.0" encoding="utf-8"?>
<comments xmlns="http://schemas.openxmlformats.org/spreadsheetml/2006/main">
  <authors>
    <author>dyy</author>
    <author>Windows User</author>
    <author>刘大毛</author>
  </authors>
  <commentList>
    <comment ref="D197" authorId="0">
      <text>
        <r>
          <rPr>
            <sz val="9"/>
            <color indexed="81"/>
            <rFont val="宋体"/>
            <charset val="134"/>
          </rPr>
          <t xml:space="preserve">dyy:
目前计入总生速，但是实际上已经被干掉。</t>
        </r>
      </text>
      <commentReplies>
        <commentReply authorId="0" parentId="0">
          <text/>
        </commentReply>
        <commentReply authorId="0" parentId="0">
          <text/>
        </commentReply>
      </commentReplies>
    </comment>
    <comment ref="F197" authorId="0">
      <text>
        <r>
          <rPr>
            <sz val="9"/>
            <color indexed="81"/>
            <rFont val="宋体"/>
            <charset val="134"/>
          </rPr>
          <t xml:space="preserve">dyy:
目前不计入总生速</t>
        </r>
      </text>
      <commentReplies>
        <commentReply authorId="0" parentId="0">
          <text/>
        </commentReply>
        <commentReply authorId="0" parentId="0">
          <text/>
        </commentReply>
      </commentReplies>
    </comment>
    <comment ref="J197" authorId="0">
      <text>
        <r>
          <rPr>
            <sz val="9"/>
            <color indexed="81"/>
            <rFont val="宋体"/>
            <charset val="134"/>
          </rPr>
          <t xml:space="preserve">dyy:
目前计入总研速，但是实际上已经被干掉。</t>
        </r>
      </text>
      <commentReplies>
        <commentReply authorId="0" parentId="0">
          <text/>
        </commentReply>
        <commentReply authorId="0" parentId="0">
          <text/>
        </commentReply>
      </commentReplies>
    </comment>
    <comment ref="L197" authorId="0">
      <text>
        <r>
          <rPr>
            <sz val="9"/>
            <color indexed="81"/>
            <rFont val="宋体"/>
            <charset val="134"/>
          </rPr>
          <t xml:space="preserve">dyy:
目前不计入总研速</t>
        </r>
      </text>
      <commentReplies>
        <commentReply authorId="0" parentId="0">
          <text/>
        </commentReply>
        <commentReply authorId="0" parentId="0">
          <text/>
        </commentReply>
      </commentReplies>
    </comment>
    <comment ref="J316" authorId="1">
      <text>
        <r>
          <rPr>
            <sz val="9"/>
            <color indexed="81"/>
            <rFont val="宋体"/>
            <charset val="134"/>
          </rPr>
          <t xml:space="preserve">dyy:
实际配置为工程连17级，差不多在建筑平均15级左右获得。</t>
        </r>
      </text>
      <commentReplies>
        <commentReply authorId="0" parentId="1">
          <text/>
        </commentReply>
        <commentReply authorId="0" parentId="1">
          <text/>
        </commentReply>
      </commentReplies>
    </comment>
    <comment ref="J321" authorId="1">
      <text>
        <r>
          <rPr>
            <sz val="9"/>
            <color indexed="81"/>
            <rFont val="宋体"/>
            <charset val="134"/>
          </rPr>
          <t xml:space="preserve">dyy:
实际配置为工程连22级，差不多在建筑平均20级左右获得。</t>
        </r>
      </text>
      <commentReplies>
        <commentReply authorId="0" parentId="1">
          <text/>
        </commentReply>
        <commentReply authorId="0" parentId="1">
          <text/>
        </commentReply>
      </commentReplies>
    </comment>
    <comment ref="R1029" authorId="2">
      <text>
        <r>
          <rPr>
            <sz val="9"/>
            <color indexed="81"/>
            <rFont val="宋体"/>
            <charset val="134"/>
          </rPr>
          <t xml:space="preserve">刘大毛:
代填充</t>
        </r>
      </text>
      <commentReplies>
        <commentReply authorId="0" parentId="2">
          <text/>
        </commentReply>
        <commentReply authorId="0" parentId="2">
          <text/>
        </commentReply>
      </commentReplies>
    </comment>
    <comment ref="Q1795" authorId="1">
      <text>
        <r>
          <rPr>
            <sz val="9"/>
            <color indexed="81"/>
            <rFont val="宋体"/>
            <charset val="134"/>
          </rPr>
          <t xml:space="preserve">Windows User:
估测值，不影响计算</t>
        </r>
      </text>
      <commentReplies>
        <commentReply authorId="0" parentId="1">
          <text/>
        </commentReply>
        <commentReply authorId="0" parentId="1">
          <text/>
        </commentReply>
      </commentReplies>
    </comment>
    <comment ref="Q2313" authorId="0">
      <text>
        <r>
          <rPr>
            <sz val="9"/>
            <color indexed="81"/>
            <rFont val="宋体"/>
            <charset val="134"/>
          </rPr>
          <t xml:space="preserve">dyy:
军费/科技书 = 1000
（手K）</t>
        </r>
      </text>
      <commentReplies>
        <commentReply authorId="0" parentId="0">
          <text/>
        </commentReply>
        <commentReply authorId="0" parentId="0">
          <text/>
        </commentReply>
      </commentReplies>
    </comment>
    <comment ref="J2641" authorId="0">
      <text>
        <r>
          <rPr>
            <sz val="9"/>
            <color indexed="81"/>
            <rFont val="宋体"/>
            <charset val="134"/>
          </rPr>
          <t xml:space="preserve">dyy:
手K，保证2级任务解锁节奏</t>
        </r>
      </text>
      <commentReplies>
        <commentReply authorId="0" parentId="0">
          <text/>
        </commentReply>
        <commentReply authorId="0" parentId="0">
          <text/>
        </commentReply>
      </commentReplies>
    </comment>
    <comment ref="Q2796" authorId="0">
      <text>
        <r>
          <rPr>
            <sz val="9"/>
            <color indexed="81"/>
            <rFont val="宋体"/>
            <charset val="134"/>
          </rPr>
          <t xml:space="preserve">dyy:
可以买空购买优先级为x级及以下的所有商品</t>
        </r>
      </text>
      <commentReplies>
        <commentReply authorId="0" parentId="0">
          <text/>
        </commentReply>
        <commentReply authorId="0" parentId="0">
          <text/>
        </commentReply>
      </commentReplies>
    </comment>
    <comment ref="O3011" authorId="0">
      <text>
        <r>
          <rPr>
            <sz val="9"/>
            <color indexed="81"/>
            <rFont val="宋体"/>
            <charset val="134"/>
          </rPr>
          <t xml:space="preserve">dyy:
期望战币消耗</t>
        </r>
      </text>
      <commentReplies>
        <commentReply authorId="0" parentId="0">
          <text/>
        </commentReply>
        <commentReply authorId="0" parentId="0">
          <text/>
        </commentReply>
      </commentReplies>
    </comment>
    <comment ref="P3011" authorId="0">
      <text>
        <r>
          <rPr>
            <sz val="9"/>
            <color indexed="81"/>
            <rFont val="宋体"/>
            <charset val="134"/>
          </rPr>
          <t xml:space="preserve">dyy:
总权重</t>
        </r>
      </text>
      <commentReplies>
        <commentReply authorId="0" parentId="0">
          <text/>
        </commentReply>
        <commentReply authorId="0" parentId="0">
          <text/>
        </commentReply>
      </commentReplies>
    </comment>
    <comment ref="C4162" authorId="2">
      <text>
        <r>
          <rPr>
            <sz val="9"/>
            <color indexed="81"/>
            <rFont val="宋体"/>
            <charset val="134"/>
          </rPr>
          <t xml:space="preserve">刘大毛:
开放天数和玩家可通关天数不同</t>
        </r>
      </text>
      <commentReplies>
        <commentReply authorId="0" parentId="2">
          <text/>
        </commentReply>
        <commentReply authorId="0" parentId="2">
          <text/>
        </commentReply>
      </commentReplies>
    </comment>
    <comment ref="E4168" authorId="2">
      <text>
        <r>
          <rPr>
            <sz val="9"/>
            <color indexed="81"/>
            <rFont val="宋体"/>
            <charset val="134"/>
          </rPr>
          <t xml:space="preserve">刘大毛:
暂不投放所有,180周期不适合全量投放</t>
        </r>
      </text>
      <commentReplies>
        <commentReply authorId="0" parentId="2">
          <text/>
        </commentReply>
        <commentReply authorId="0" parentId="2">
          <text/>
        </commentReply>
      </commentReplies>
    </comment>
    <comment ref="I4407" authorId="0">
      <text>
        <r>
          <rPr>
            <sz val="9"/>
            <color indexed="81"/>
            <rFont val="宋体"/>
            <charset val="134"/>
          </rPr>
          <t xml:space="preserve">dyy:
前期体验手K值</t>
        </r>
      </text>
      <commentReplies>
        <commentReply authorId="0" parentId="0">
          <text/>
        </commentReply>
        <commentReply authorId="0" parentId="0">
          <text/>
        </commentReply>
      </commentReplies>
    </comment>
    <comment ref="M4444" authorId="0">
      <text>
        <r>
          <rPr>
            <sz val="9"/>
            <color indexed="81"/>
            <rFont val="宋体"/>
            <charset val="134"/>
          </rPr>
          <t xml:space="preserve">dyy:
前8级手K</t>
        </r>
      </text>
      <commentReplies>
        <commentReply authorId="0" parentId="0">
          <text/>
        </commentReply>
        <commentReply authorId="0" parentId="0">
          <text/>
        </commentReply>
      </commentReplies>
    </comment>
    <comment ref="T4450" authorId="2">
      <text>
        <r>
          <rPr>
            <sz val="9"/>
            <color indexed="81"/>
            <rFont val="宋体"/>
            <charset val="134"/>
          </rPr>
          <t xml:space="preserve">刘大毛:
第一天</t>
        </r>
      </text>
      <commentReplies>
        <commentReply authorId="0" parentId="2">
          <text/>
        </commentReply>
        <commentReply authorId="0" parentId="2">
          <text/>
        </commentReply>
      </commentReplies>
    </comment>
    <comment ref="T4457" authorId="2">
      <text>
        <r>
          <rPr>
            <sz val="9"/>
            <color indexed="81"/>
            <rFont val="宋体"/>
            <charset val="134"/>
          </rPr>
          <t xml:space="preserve">刘大毛:
第七天</t>
        </r>
      </text>
      <commentReplies>
        <commentReply authorId="0" parentId="2">
          <text/>
        </commentReply>
        <commentReply authorId="0" parentId="2">
          <text/>
        </commentReply>
      </commentReplies>
    </comment>
    <comment ref="Q4499" authorId="0">
      <text>
        <r>
          <rPr>
            <sz val="9"/>
            <color indexed="81"/>
            <rFont val="宋体"/>
            <charset val="134"/>
          </rPr>
          <t xml:space="preserve">dyy:
前期体验手K值</t>
        </r>
      </text>
      <commentReplies>
        <commentReply authorId="0" parentId="0">
          <text/>
        </commentReply>
        <commentReply authorId="0" parentId="0">
          <text/>
        </commentReply>
      </commentReplies>
    </comment>
    <comment ref="W4499" authorId="2">
      <text>
        <r>
          <rPr>
            <sz val="9"/>
            <color indexed="81"/>
            <rFont val="宋体"/>
            <charset val="134"/>
          </rPr>
          <t xml:space="preserve">刘大毛:
首日体力奖励为小</t>
        </r>
      </text>
      <commentReplies>
        <commentReply authorId="0" parentId="2">
          <text/>
        </commentReply>
        <commentReply authorId="0" parentId="2">
          <text/>
        </commentReply>
      </commentReplies>
    </comment>
    <comment ref="G4508" authorId="2">
      <text>
        <r>
          <rPr>
            <sz val="9"/>
            <color indexed="81"/>
            <rFont val="宋体"/>
            <charset val="134"/>
          </rPr>
          <t xml:space="preserve">刘大毛:
第一天奖励小体力瓶</t>
        </r>
      </text>
      <commentReplies>
        <commentReply authorId="0" parentId="2">
          <text/>
        </commentReply>
        <commentReply authorId="0" parentId="2">
          <text/>
        </commentReply>
      </commentReplies>
    </comment>
    <comment ref="G4515" authorId="2">
      <text>
        <r>
          <rPr>
            <sz val="9"/>
            <color indexed="81"/>
            <rFont val="宋体"/>
            <charset val="134"/>
          </rPr>
          <t xml:space="preserve">刘大毛:
第七天</t>
        </r>
      </text>
      <commentReplies>
        <commentReply authorId="0" parentId="2">
          <text/>
        </commentReply>
        <commentReply authorId="0" parentId="2">
          <text/>
        </commentReply>
      </commentReplies>
    </comment>
    <comment ref="H4672" authorId="2">
      <text>
        <r>
          <rPr>
            <sz val="9"/>
            <color indexed="81"/>
            <rFont val="宋体"/>
            <charset val="134"/>
          </rPr>
          <t xml:space="preserve">刘大毛:
阵营</t>
        </r>
      </text>
      <commentReplies>
        <commentReply authorId="0" parentId="2">
          <text/>
        </commentReply>
        <commentReply authorId="0" parentId="2">
          <text/>
        </commentReply>
      </commentReplies>
    </comment>
    <comment ref="E4728" authorId="2">
      <text>
        <r>
          <rPr>
            <sz val="9"/>
            <color indexed="81"/>
            <rFont val="宋体"/>
            <charset val="134"/>
          </rPr>
          <t xml:space="preserve">刘大毛:
小体力药</t>
        </r>
      </text>
      <commentReplies>
        <commentReply authorId="0" parentId="2">
          <text/>
        </commentReply>
        <commentReply authorId="0" parentId="2">
          <text/>
        </commentReply>
      </commentReplies>
    </comment>
  </commentList>
</comments>
</file>

<file path=xl/comments4.xml><?xml version="1.0" encoding="utf-8"?>
<comments xmlns="http://schemas.openxmlformats.org/spreadsheetml/2006/main">
  <authors>
    <author>dyy</author>
  </authors>
  <commentList>
    <comment ref="O43" authorId="0">
      <text>
        <r>
          <rPr>
            <sz val="9"/>
            <color indexed="81"/>
            <rFont val="宋体"/>
            <charset val="134"/>
          </rPr>
          <t xml:space="preserve">dyy:
前5级手K</t>
        </r>
      </text>
      <commentReplies>
        <commentReply authorId="0" parentId="0">
          <text/>
        </commentReply>
        <commentReply authorId="0" parentId="0">
          <text/>
        </commentReply>
      </commentReplies>
    </comment>
  </commentList>
</comments>
</file>

<file path=xl/comments5.xml><?xml version="1.0" encoding="utf-8"?>
<comments xmlns="http://schemas.openxmlformats.org/spreadsheetml/2006/main">
  <authors>
    <author>dyy</author>
  </authors>
  <commentList>
    <comment ref="S160" authorId="0">
      <text>
        <r>
          <rPr>
            <sz val="9"/>
            <color indexed="81"/>
            <rFont val="宋体"/>
            <charset val="134"/>
          </rPr>
          <t xml:space="preserve">dyy:
因为明哥提出第一个科技1小时体验很差，手K改到了15分钟</t>
        </r>
      </text>
      <commentReplies>
        <commentReply authorId="0" parentId="0">
          <text/>
        </commentReply>
        <commentReply authorId="0" parentId="0">
          <text/>
        </commentReply>
      </commentReplies>
    </comment>
  </commentList>
</comments>
</file>

<file path=xl/comments6.xml><?xml version="1.0" encoding="utf-8"?>
<comments xmlns="http://schemas.openxmlformats.org/spreadsheetml/2006/main">
  <authors>
    <author>dyy</author>
  </authors>
  <commentList>
    <comment ref="V5" authorId="0">
      <text>
        <r>
          <rPr>
            <sz val="9"/>
            <color indexed="81"/>
            <rFont val="宋体"/>
            <charset val="134"/>
          </rPr>
          <t xml:space="preserve">dyy:
某个科技n级时的显示战力。</t>
        </r>
      </text>
      <commentReplies>
        <commentReply authorId="0" parentId="0">
          <text/>
        </commentReply>
        <commentReply authorId="0" parentId="0">
          <text/>
        </commentReply>
      </commentReplies>
    </comment>
  </commentList>
</comments>
</file>

<file path=xl/comments7.xml><?xml version="1.0" encoding="utf-8"?>
<comments xmlns="http://schemas.openxmlformats.org/spreadsheetml/2006/main">
  <authors>
    <author>dyy</author>
  </authors>
  <commentList>
    <comment ref="AG5" authorId="0">
      <text>
        <r>
          <rPr>
            <sz val="9"/>
            <color indexed="81"/>
            <rFont val="宋体"/>
            <charset val="134"/>
          </rPr>
          <t xml:space="preserve">dyy:
实际配件材料投放由达峰维护</t>
        </r>
      </text>
      <commentReplies>
        <commentReply authorId="0" parentId="0">
          <text/>
        </commentReply>
        <commentReply authorId="0" parentId="0">
          <text/>
        </commentReply>
      </commentReplies>
    </comment>
  </commentList>
</comments>
</file>

<file path=xl/comments8.xml><?xml version="1.0" encoding="utf-8"?>
<comments xmlns="http://schemas.openxmlformats.org/spreadsheetml/2006/main">
  <authors>
    <author>Windows User</author>
  </authors>
  <commentList>
    <comment ref="O6" authorId="0">
      <text>
        <r>
          <rPr>
            <sz val="9"/>
            <color indexed="81"/>
            <rFont val="宋体"/>
            <charset val="134"/>
          </rPr>
          <t xml:space="preserve">dyy:
新手期需求20零件</t>
        </r>
      </text>
      <commentReplies>
        <commentReply authorId="0" parentId="0">
          <text/>
        </commentReply>
        <commentReply authorId="0" parentId="0">
          <text/>
        </commentReply>
      </commentReplies>
    </comment>
  </commentList>
</comments>
</file>

<file path=xl/sharedStrings.xml><?xml version="1.0" encoding="utf-8"?>
<sst xmlns="http://schemas.openxmlformats.org/spreadsheetml/2006/main" count="3012">
  <si>
    <t>版本记录</t>
  </si>
  <si>
    <t>版本</t>
  </si>
  <si>
    <t>时间</t>
  </si>
  <si>
    <t>负责人</t>
  </si>
  <si>
    <t>内容</t>
  </si>
  <si>
    <t>dyy</t>
  </si>
  <si>
    <t>完成总规划</t>
  </si>
  <si>
    <t>调整总规划</t>
  </si>
  <si>
    <t>给出运营侧礼包投放指导</t>
  </si>
  <si>
    <t>初步确定养成体验规划</t>
  </si>
  <si>
    <t>一月版本萝卜+坑位+日常产出完成</t>
  </si>
  <si>
    <t>按上线后不改已有坑位和产出系统数值的标准调整现有</t>
  </si>
  <si>
    <t>增加使用说明和批注</t>
  </si>
  <si>
    <t>0211新城版本数值调整</t>
  </si>
  <si>
    <t>详见V2.0修改记录</t>
  </si>
  <si>
    <t>新增黑市数值模型</t>
  </si>
  <si>
    <t>新增联盟科技数值模型</t>
  </si>
  <si>
    <t>新增军官任务宝箱数值模型</t>
  </si>
  <si>
    <t>0.12.0版本数值调整</t>
  </si>
  <si>
    <t>详见V3.x修改记录</t>
  </si>
  <si>
    <t>【控制台】可读性提升：</t>
  </si>
  <si>
    <t>所有【萝卜】添加【在各系统中产出占比曲线图】</t>
  </si>
  <si>
    <t>所有【坑位】将二级标题改成具体在算或定义的内容，而不是【常数】这种需要去读具体内容才能明白的标题</t>
  </si>
  <si>
    <t>所有【日常产出】统一表述方式，从【每日标准产出】推导到具体可配置数值</t>
  </si>
  <si>
    <t>0.13.0版本数值调整</t>
  </si>
  <si>
    <t>新增VIP经验、VIP等级、VIP宝箱、VIP商店数值模型</t>
  </si>
  <si>
    <t>重新梳理了物品定价体系，改为：</t>
  </si>
  <si>
    <t>内部美金价</t>
  </si>
  <si>
    <t>主要用于计算付费礼包价值</t>
  </si>
  <si>
    <t>内部黄金价</t>
  </si>
  <si>
    <t>主要用于计算游戏内使用黄金购买的商店中的货物的价格</t>
  </si>
  <si>
    <t>显示黄金价</t>
  </si>
  <si>
    <t>玩家实际在游戏里可以看见的使用黄金无限购买价值</t>
  </si>
  <si>
    <t>0.14.0版本数值调整</t>
  </si>
  <si>
    <t>新增个人积分&amp;联盟商店</t>
  </si>
  <si>
    <t>0.15.0版本数值调整</t>
  </si>
  <si>
    <t>新增军官技能书&amp;军官技能</t>
  </si>
  <si>
    <t>1.01.0版本数值调整</t>
  </si>
  <si>
    <t>新增科技书、高级科技、主题活动</t>
  </si>
  <si>
    <t>1.03.0&amp;1.05.0版本数值调整</t>
  </si>
  <si>
    <t>新增联盟商店、战役商店（1.07.0版本才会上）</t>
  </si>
  <si>
    <t>1.06.0版本数值调整</t>
  </si>
  <si>
    <t>新增VIP等级扩充</t>
  </si>
  <si>
    <t>配件材料金++扩一倍（1.07.0版本才会上）</t>
  </si>
  <si>
    <t>黑市商店增加军官经验书（1.07.1版本才会上）</t>
  </si>
  <si>
    <t>1.08.0版本数值调整</t>
  </si>
  <si>
    <t>刘大毛</t>
  </si>
  <si>
    <t>1.09.0版本</t>
  </si>
  <si>
    <t>新增赛季制36-50级野怪,10-13级黑鸦营地（2.00.0版本）</t>
  </si>
  <si>
    <t>新增空军数值（空军版本）</t>
  </si>
  <si>
    <t>2.00.0版本数值调整</t>
  </si>
  <si>
    <t>新手期基建材料修改（2.00.0版本）</t>
  </si>
  <si>
    <t>指挥部升级奖励修改（2.00.0版本）</t>
  </si>
  <si>
    <t>调整黑鸦首杀奖励（2.00.0版本）</t>
  </si>
  <si>
    <t>2.01.0版本数值调整</t>
  </si>
  <si>
    <t>联盟占领村庄积分修改（2.01.0版本）</t>
  </si>
  <si>
    <t>1.09.0版本数值修改开发者日志</t>
  </si>
  <si>
    <t>1.调整声望升级一次性产出</t>
  </si>
  <si>
    <t>2.调整阵营升级经验</t>
  </si>
  <si>
    <t>1.09.0版本数值修改全量记录</t>
  </si>
  <si>
    <t>原先</t>
  </si>
  <si>
    <t>现在</t>
  </si>
  <si>
    <t>声望等级</t>
  </si>
  <si>
    <t>抽卡券</t>
  </si>
  <si>
    <t>自由军费</t>
  </si>
  <si>
    <t>强权钢材</t>
  </si>
  <si>
    <t>秩序原油</t>
  </si>
  <si>
    <t>三资</t>
  </si>
  <si>
    <t>品质</t>
  </si>
  <si>
    <t>自由</t>
  </si>
  <si>
    <t>强权</t>
  </si>
  <si>
    <t>秩序</t>
  </si>
  <si>
    <t>自由--轻坦</t>
  </si>
  <si>
    <t>强权--SH</t>
  </si>
  <si>
    <t>秩序--喀秋莎</t>
  </si>
  <si>
    <t>铜</t>
  </si>
  <si>
    <t>自由轻坦铜品质轻型发动机</t>
  </si>
  <si>
    <t>SH铜品质超重型悬挂</t>
  </si>
  <si>
    <t>喀秋莎品质发射架</t>
  </si>
  <si>
    <t>铜装备</t>
  </si>
  <si>
    <t>轻型发动机,速射主炮,辅助设备</t>
  </si>
  <si>
    <t>超重型悬挂,重型加农炮,辅助设备</t>
  </si>
  <si>
    <t>发射架,火箭炮弹,牵引装置</t>
  </si>
  <si>
    <t>自由轻坦铜品质速射主炮</t>
  </si>
  <si>
    <t>SH铜品质重型加农炮</t>
  </si>
  <si>
    <t>喀秋莎品质火箭炮弹</t>
  </si>
  <si>
    <t>银</t>
  </si>
  <si>
    <t>自由轻坦银品质轻型发动机图纸</t>
  </si>
  <si>
    <t>SH银品质超重型悬挂图纸</t>
  </si>
  <si>
    <t>喀秋莎银品质牵引装置图纸</t>
  </si>
  <si>
    <t>银图纸</t>
  </si>
  <si>
    <t>自由轻坦银品质辅助设备图纸</t>
  </si>
  <si>
    <t>SH银品质装甲图纸</t>
  </si>
  <si>
    <t>喀秋莎银品质发射架图纸</t>
  </si>
  <si>
    <t>自由轻坦银品质速射主炮图纸</t>
  </si>
  <si>
    <t>SH银品质重型加农炮图纸</t>
  </si>
  <si>
    <t>喀秋莎银品质火箭炮弹图纸</t>
  </si>
  <si>
    <t>银+</t>
  </si>
  <si>
    <t>自由轻坦银+品质轻型发动机图纸</t>
  </si>
  <si>
    <t>SH银+品质超重型悬挂图纸</t>
  </si>
  <si>
    <t>喀秋莎银+品质牵引装置图纸</t>
  </si>
  <si>
    <t>银+图纸</t>
  </si>
  <si>
    <t>自由轻坦银+品质辅助设备图纸</t>
  </si>
  <si>
    <t>SH银+品质装甲图纸</t>
  </si>
  <si>
    <t>喀秋莎银+品质发射架图纸</t>
  </si>
  <si>
    <t>金</t>
  </si>
  <si>
    <t>自由轻坦金品质轻型发动机图纸</t>
  </si>
  <si>
    <t>SH金品质超重型悬挂图纸</t>
  </si>
  <si>
    <t>喀秋莎金品质牵引装置图纸</t>
  </si>
  <si>
    <t>自由轻坦金品质速射主炮图纸</t>
  </si>
  <si>
    <t>SH金品质重型加农炮图纸</t>
  </si>
  <si>
    <t>喀秋莎金品质火箭炮弹图纸</t>
  </si>
  <si>
    <t>金+</t>
  </si>
  <si>
    <t>自由轻坦金+品质辅助设备图纸</t>
  </si>
  <si>
    <t>SH金+品质装甲图纸</t>
  </si>
  <si>
    <t>喀秋莎金+品质发射架图纸</t>
  </si>
  <si>
    <t>金图纸</t>
  </si>
  <si>
    <t>自由轻坦金+品质速射主炮图纸</t>
  </si>
  <si>
    <t>SH金+品质重型加农炮图纸</t>
  </si>
  <si>
    <t>喀秋莎金+品质火箭炮弹图纸</t>
  </si>
  <si>
    <t>金++</t>
  </si>
  <si>
    <t>自由轻坦金++品质轻型发动机图纸</t>
  </si>
  <si>
    <t>SH金++品质超重型悬挂图纸</t>
  </si>
  <si>
    <t>喀秋莎金++品质牵引装置图纸</t>
  </si>
  <si>
    <t>自由轻坦金++品质辅助设备图纸</t>
  </si>
  <si>
    <t>SH金++品质装甲图纸</t>
  </si>
  <si>
    <t>喀秋莎金++品质发射架图纸</t>
  </si>
  <si>
    <t>自由轻坦金++品质速射主炮图纸</t>
  </si>
  <si>
    <t>SH金++品质重型加农炮图纸</t>
  </si>
  <si>
    <t>喀秋莎金++品质火箭炮弹图纸</t>
  </si>
  <si>
    <t>金+图纸</t>
  </si>
  <si>
    <t>单阵阵经</t>
  </si>
  <si>
    <t>2.00.0版本数值修改开发者日志</t>
  </si>
  <si>
    <t>1.调整新手期建材消耗</t>
  </si>
  <si>
    <t>2.调整指挥部升级奖励（原账号升级奖励）</t>
  </si>
  <si>
    <t>3.调整黑鸦首杀奖励</t>
  </si>
  <si>
    <t>4.调整指挥部升级所需建造值</t>
  </si>
  <si>
    <t>2.00.0版本数值修改全量记录</t>
  </si>
  <si>
    <t>建筑等级</t>
  </si>
  <si>
    <t>建筑类型</t>
  </si>
  <si>
    <t>建材类型配置</t>
  </si>
  <si>
    <t>建材数量配置</t>
  </si>
  <si>
    <t>指挥部</t>
  </si>
  <si>
    <t>board</t>
  </si>
  <si>
    <t>board;brick</t>
  </si>
  <si>
    <t>4;3</t>
  </si>
  <si>
    <t>7;5</t>
  </si>
  <si>
    <t>brick</t>
  </si>
  <si>
    <t>12;9</t>
  </si>
  <si>
    <t>1;2</t>
  </si>
  <si>
    <t>23;17</t>
  </si>
  <si>
    <t>2;3</t>
  </si>
  <si>
    <t>board;brick;cement</t>
  </si>
  <si>
    <t>15;13;11</t>
  </si>
  <si>
    <t>cement</t>
  </si>
  <si>
    <t>21;18;15</t>
  </si>
  <si>
    <t>1号兵营</t>
  </si>
  <si>
    <t>3;2</t>
  </si>
  <si>
    <t>5;3</t>
  </si>
  <si>
    <t>8;6</t>
  </si>
  <si>
    <t>2;2;2</t>
  </si>
  <si>
    <t>15;11</t>
  </si>
  <si>
    <t>8;8</t>
  </si>
  <si>
    <t>2号兵营</t>
  </si>
  <si>
    <t>2;2</t>
  </si>
  <si>
    <t>4;7;2</t>
  </si>
  <si>
    <t>15;11;4</t>
  </si>
  <si>
    <t>3号兵营</t>
  </si>
  <si>
    <t>10;5</t>
  </si>
  <si>
    <t>4;4</t>
  </si>
  <si>
    <t>4号兵营</t>
  </si>
  <si>
    <t>10;10;10</t>
  </si>
  <si>
    <t>brick;cement</t>
  </si>
  <si>
    <t>研究院</t>
  </si>
  <si>
    <t>2;5</t>
  </si>
  <si>
    <t>1;1</t>
  </si>
  <si>
    <t>2;1</t>
  </si>
  <si>
    <t>6;6</t>
  </si>
  <si>
    <t>4;3;3</t>
  </si>
  <si>
    <t>5;4;3</t>
  </si>
  <si>
    <t>工程连</t>
  </si>
  <si>
    <t>2;2;1</t>
  </si>
  <si>
    <t>3;3;1</t>
  </si>
  <si>
    <t>5;4;2</t>
  </si>
  <si>
    <t>7;6;5</t>
  </si>
  <si>
    <t>7;6;3</t>
  </si>
  <si>
    <t>指挥部等级</t>
  </si>
  <si>
    <t>升级奖励资源</t>
  </si>
  <si>
    <t>升级奖励资源数量</t>
  </si>
  <si>
    <t>l_coin;board;brick;gold;metal;oil</t>
  </si>
  <si>
    <t>100;3;2;5000;5000;5000</t>
  </si>
  <si>
    <t>l_coin;gold;metal;oil;action_point_middle</t>
  </si>
  <si>
    <t>100;5000;5000;5000;2</t>
  </si>
  <si>
    <t>l_coin;action_point_small;brick;gold;metal;oil</t>
  </si>
  <si>
    <t>150;2;2;7500;7500;7500</t>
  </si>
  <si>
    <t>150;7500;7500;7500;2</t>
  </si>
  <si>
    <t>200;2;1;10000;10000;10000</t>
  </si>
  <si>
    <t>200;10000;10000;10000;2</t>
  </si>
  <si>
    <t>250;3;1;12500;12500;12500</t>
  </si>
  <si>
    <t>250;12500;12500;12500;2</t>
  </si>
  <si>
    <t>300;4;1;15000;15000;15000</t>
  </si>
  <si>
    <t>300;15000;15000;15000;2</t>
  </si>
  <si>
    <t>350;5;2;20000;20000;20000</t>
  </si>
  <si>
    <t>350;20000;20000;20000;2</t>
  </si>
  <si>
    <t>400;6;2;25000;25000;25000</t>
  </si>
  <si>
    <t>400;25000;25000;25000;2</t>
  </si>
  <si>
    <t>l_coin;brick;cement;gold;metal;oil</t>
  </si>
  <si>
    <t>450;3;2;30000;30000;30000</t>
  </si>
  <si>
    <t>l_coin;cement;gold;metal;oil;action_point_middle</t>
  </si>
  <si>
    <t>450;3;30000;30000;30000;3</t>
  </si>
  <si>
    <t>500;5;3;35000;35000;35000</t>
  </si>
  <si>
    <t>500;4;35000;35000;35000;3</t>
  </si>
  <si>
    <t>550;5;3;40000;40000;40000</t>
  </si>
  <si>
    <t>550;5;40000;40000;40000;3</t>
  </si>
  <si>
    <t>600;6;4;50000;50000;50000</t>
  </si>
  <si>
    <t>600;6;50000;50000;50000;3</t>
  </si>
  <si>
    <t>650;8;5;60000;60000;60000</t>
  </si>
  <si>
    <t>650;7;60000;60000;60000;3</t>
  </si>
  <si>
    <t>700;9;6;70000;70000;70000</t>
  </si>
  <si>
    <t>700;8;70000;70000;70000;3</t>
  </si>
  <si>
    <t>l_coin;cement;steel;gold;metal;oil</t>
  </si>
  <si>
    <t>750;3;3;80000;80000;80000</t>
  </si>
  <si>
    <t>l_coin;steel;gold;metal;oil;action_point_middle</t>
  </si>
  <si>
    <t>750;5;80000;80000;80000;3</t>
  </si>
  <si>
    <t>800;4;3;90000;90000;90000</t>
  </si>
  <si>
    <t>800;5;90000;90000;90000;3</t>
  </si>
  <si>
    <t>850;4;3;100000;100000;100000</t>
  </si>
  <si>
    <t>850;6;100000;100000;100000;3</t>
  </si>
  <si>
    <t>900;4;4;110000;110000;110000</t>
  </si>
  <si>
    <t>900;6;110000;110000;110000;3</t>
  </si>
  <si>
    <t>950;5;4;120000;120000;120000</t>
  </si>
  <si>
    <t>950;7;120000;120000;120000;3</t>
  </si>
  <si>
    <t>1000;5;4;130000;130000;130000</t>
  </si>
  <si>
    <t>1000;8;130000;130000;130000;3</t>
  </si>
  <si>
    <t>l_coin;steel;pitch;gold;metal;oil</t>
  </si>
  <si>
    <t>1050;3;3;140000;140000;140000</t>
  </si>
  <si>
    <t>l_coin;pitch;gold;metal;oil;action_point_middle</t>
  </si>
  <si>
    <t>1050;6;140000;140000;140000;3</t>
  </si>
  <si>
    <t>1100;3;3;150000;150000;150000</t>
  </si>
  <si>
    <t>1100;6;150000;150000;150000;3</t>
  </si>
  <si>
    <t>1150;4;3;160000;160000;160000</t>
  </si>
  <si>
    <t>1150;6;160000;160000;160000;3</t>
  </si>
  <si>
    <t>1200;4;4;170000;170000;170000</t>
  </si>
  <si>
    <t>1200;7;170000;170000;170000;3</t>
  </si>
  <si>
    <t>1250;4;4;180000;180000;180000</t>
  </si>
  <si>
    <t>1250;7;180000;180000;180000;3</t>
  </si>
  <si>
    <t>1300;4;4;190000;190000;190000</t>
  </si>
  <si>
    <t>1300;8;190000;190000;190000;3</t>
  </si>
  <si>
    <t>l_coin;pitch;concrete;gold;metal;oil</t>
  </si>
  <si>
    <t>1350;3;2;200000;200000;200000</t>
  </si>
  <si>
    <t>l_coin;concrete;gold;metal;oil;action_point_middle</t>
  </si>
  <si>
    <t>1350;4;200000;200000;200000;3</t>
  </si>
  <si>
    <t>1400;4;2;210000;210000;210000</t>
  </si>
  <si>
    <t>1400;4;210000;210000;210000;3</t>
  </si>
  <si>
    <t>1450;4;3;220000;220000;220000</t>
  </si>
  <si>
    <t>1450;5;220000;220000;220000;3</t>
  </si>
  <si>
    <t>1500;4;3;230000;230000;230000</t>
  </si>
  <si>
    <t>1500;5;230000;230000;230000;3</t>
  </si>
  <si>
    <t>1550;5;3;240000;240000;240000</t>
  </si>
  <si>
    <t>1550;5;240000;240000;240000;3</t>
  </si>
  <si>
    <t>1600;5;3;250000;250000;250000</t>
  </si>
  <si>
    <t>1600;6;250000;250000;250000;3</t>
  </si>
  <si>
    <t>3.调整黑鸦首杀奖励（增加2瓶中体力药水）</t>
  </si>
  <si>
    <t>黑鸦等级</t>
  </si>
  <si>
    <t>首杀奖励资源</t>
  </si>
  <si>
    <t>首杀奖励资源数量</t>
  </si>
  <si>
    <t>l_coin;common_equipment_exp;ammunition;board</t>
  </si>
  <si>
    <t>50;1000;20;1</t>
  </si>
  <si>
    <t>100;2500;40;2</t>
  </si>
  <si>
    <t>l_coin;common_equipment_exp;ammunition;board;brick</t>
  </si>
  <si>
    <t>150;5000;60;2;1</t>
  </si>
  <si>
    <t>200;10000;80;3;1</t>
  </si>
  <si>
    <t>l_coin;board;brick;action_point_small</t>
  </si>
  <si>
    <t>200;3;1;1</t>
  </si>
  <si>
    <t>250;15000;100;4;1</t>
  </si>
  <si>
    <t>250;4;1;1</t>
  </si>
  <si>
    <t>300;20000;120;5;3</t>
  </si>
  <si>
    <t>300;5;3;1</t>
  </si>
  <si>
    <t>350;25000;140;8;6</t>
  </si>
  <si>
    <t>350;8;6;1</t>
  </si>
  <si>
    <t>400;30000;160;12;9</t>
  </si>
  <si>
    <t>l_coin;board;brick;cement;action_point_small</t>
  </si>
  <si>
    <t>400;12;9;1;2</t>
  </si>
  <si>
    <t>l_coin;common_equipment_exp;ammunition;brick;cement</t>
  </si>
  <si>
    <t>450;40000;180;5;3</t>
  </si>
  <si>
    <t>l_coin;common_equipment_exp;ammunition;brick;cement;action_point_small</t>
  </si>
  <si>
    <t>450;40000;180;4;3;2</t>
  </si>
  <si>
    <t>500;50000;200;5;3</t>
  </si>
  <si>
    <t>500;50000;200;4;4;2</t>
  </si>
  <si>
    <t>500;60000;200;6;4</t>
  </si>
  <si>
    <t>l_coin;common_equipment_exp;ammunition;brick;cement;action_point_middle</t>
  </si>
  <si>
    <t>500;60000;200;5;4;2</t>
  </si>
  <si>
    <t>500;70000;200;8;5</t>
  </si>
  <si>
    <t>500;70000;200;6;5;2</t>
  </si>
  <si>
    <t>500;80000;200;9;6</t>
  </si>
  <si>
    <t>500;80000;200;7;6;2</t>
  </si>
  <si>
    <t>500;90000;200;10;6</t>
  </si>
  <si>
    <t>500;90000;200;8;7;2</t>
  </si>
  <si>
    <t>l_coin;common_equipment_exp;ammunition;cement;steel</t>
  </si>
  <si>
    <t>500;100000;200;4;3</t>
  </si>
  <si>
    <t>l_coin;common_equipment_exp;ammunition;cement;steel;action_point_middle</t>
  </si>
  <si>
    <t>500;100000;200;4;3;2</t>
  </si>
  <si>
    <t>500;110000;200;4;3</t>
  </si>
  <si>
    <t>500;110000;200;4;3;2</t>
  </si>
  <si>
    <t>500;120000;200;4;4</t>
  </si>
  <si>
    <t>500;120000;200;5;3;2</t>
  </si>
  <si>
    <t>500;130000;200;5;4</t>
  </si>
  <si>
    <t>500;130000;200;5;4;2</t>
  </si>
  <si>
    <t>500;140000;200;5;4</t>
  </si>
  <si>
    <t>500;140000;200;6;4;2</t>
  </si>
  <si>
    <t>500;150000;200;6;5</t>
  </si>
  <si>
    <t>500;150000;200;6;4;2</t>
  </si>
  <si>
    <t>l_coin;common_equipment_exp;ammunition;steel;pitch</t>
  </si>
  <si>
    <t>500;160000;200;3;3</t>
  </si>
  <si>
    <t>l_coin;common_equipment_exp;ammunition;steel;pitch;action_point_middle</t>
  </si>
  <si>
    <t>500;160000;200;4;3;2</t>
  </si>
  <si>
    <t>500;170000;200;4;3</t>
  </si>
  <si>
    <t>500;170000;200;4;3;2</t>
  </si>
  <si>
    <t>500;180000;200;4;4</t>
  </si>
  <si>
    <t>500;180000;200;4;4;2</t>
  </si>
  <si>
    <t>500;190000;200;4;4</t>
  </si>
  <si>
    <t>500;190000;200;4;4;2</t>
  </si>
  <si>
    <t>500;200000;200;4;4</t>
  </si>
  <si>
    <t>500;200000;200;5;4;2</t>
  </si>
  <si>
    <t>l_coin;common_equipment_exp;ammunition;pitch;concrete</t>
  </si>
  <si>
    <t>500;300000;200;3;2</t>
  </si>
  <si>
    <t>l_coin;common_equipment_exp;ammunition;pitch;concrete;action_point_middle</t>
  </si>
  <si>
    <t>500;300000;200;3;2;2</t>
  </si>
  <si>
    <t>500;300000;200;4;2</t>
  </si>
  <si>
    <t>500;300000;200;3;3;2</t>
  </si>
  <si>
    <t>500;300000;200;4;3</t>
  </si>
  <si>
    <t>500;300000;200;4;3;2</t>
  </si>
  <si>
    <t>500;300000;200;5;3</t>
  </si>
  <si>
    <t>500;400000;200;5;3</t>
  </si>
  <si>
    <t>500;400000;200;4;4;2</t>
  </si>
  <si>
    <t>500;400000;200;6;4</t>
  </si>
  <si>
    <t>500;400000;200;5;4;2</t>
  </si>
  <si>
    <t>500;400000;200;5;5;2</t>
  </si>
  <si>
    <t>500;400000;200;7;4</t>
  </si>
  <si>
    <t>500;400000;200;6;5;2</t>
  </si>
  <si>
    <t>4.调整指挥部升级所需建造值（旧玩家账号升级，升到下一级需要）</t>
  </si>
  <si>
    <t>升级所需经验值</t>
  </si>
  <si>
    <t>升级所需建造值</t>
  </si>
  <si>
    <t>2.01.0版本数值修改开发者日志</t>
  </si>
  <si>
    <t>1.调整后期联盟占领村庄所需的联盟积分</t>
  </si>
  <si>
    <t>2.01.0版本数值修改全量记录</t>
  </si>
  <si>
    <t>村庄数量</t>
  </si>
  <si>
    <t>旧积分消耗</t>
  </si>
  <si>
    <t>新积分消耗</t>
  </si>
  <si>
    <t>1.09.0版本数值增量开发者日志</t>
  </si>
  <si>
    <t>1.兵卡合成/首得阵营经验</t>
  </si>
  <si>
    <t>2.图鉴领取产出</t>
  </si>
  <si>
    <t>1.09.0版本数值增量全量记录</t>
  </si>
  <si>
    <t>星级</t>
  </si>
  <si>
    <t>合成经验</t>
  </si>
  <si>
    <t>首得阵经</t>
  </si>
  <si>
    <t>图纸宝箱奖励</t>
  </si>
  <si>
    <t>宝箱数量</t>
  </si>
  <si>
    <t>阵营抽卡券</t>
  </si>
  <si>
    <t>银图纸随机宝箱</t>
  </si>
  <si>
    <t>金图纸随机宝箱</t>
  </si>
  <si>
    <t>2.00.0版本数值增量开发者日志</t>
  </si>
  <si>
    <t>1.新增赛季制36-50级野怪,10-13级黑鸦营地</t>
  </si>
  <si>
    <t>2.00.0版本数值增量全量记录</t>
  </si>
  <si>
    <t>打野掉落</t>
  </si>
  <si>
    <t>方砖添头</t>
  </si>
  <si>
    <t>水泥添头</t>
  </si>
  <si>
    <t>工字钢添头</t>
  </si>
  <si>
    <t>沥青添头</t>
  </si>
  <si>
    <t>混凝土添头</t>
  </si>
  <si>
    <t>等级</t>
  </si>
  <si>
    <t>木板</t>
  </si>
  <si>
    <t>方砖</t>
  </si>
  <si>
    <t>水泥</t>
  </si>
  <si>
    <t>工字钢</t>
  </si>
  <si>
    <t>沥青</t>
  </si>
  <si>
    <t>混凝土</t>
  </si>
  <si>
    <t>黑鸦营地</t>
  </si>
  <si>
    <t>3分建速</t>
  </si>
  <si>
    <t>弹药</t>
  </si>
  <si>
    <t>打野首杀</t>
  </si>
  <si>
    <t>野怪等级</t>
  </si>
  <si>
    <t>开服天数</t>
  </si>
  <si>
    <t>500;500000;200;6;5;2</t>
  </si>
  <si>
    <t>500;500000;200;6;6;2</t>
  </si>
  <si>
    <t>500;500000;200;7;6;2</t>
  </si>
  <si>
    <t>500;500000;200;8;7;2</t>
  </si>
  <si>
    <t>500;500000;200;9;8;2</t>
  </si>
  <si>
    <t>500;500000;200;10;9;2</t>
  </si>
  <si>
    <t>500;500000;200;11;10;2</t>
  </si>
  <si>
    <t>目录</t>
  </si>
  <si>
    <t>总规划</t>
  </si>
  <si>
    <t>控制商业化售价和游戏内免费产出；基本独立，部分数值依赖【控制台】。</t>
  </si>
  <si>
    <t>养成规划</t>
  </si>
  <si>
    <t>手K小R玩家的养成进度和产出效率进度；完全独立。</t>
  </si>
  <si>
    <t>运营对接</t>
  </si>
  <si>
    <t>输出给运营组的商业化投放规划；依赖【总规划】。</t>
  </si>
  <si>
    <t>战斗对接</t>
  </si>
  <si>
    <t>输出给战斗组的养成时间点及PVE时间点；依赖【养成规划】和【控制台】。</t>
  </si>
  <si>
    <t>控制台</t>
  </si>
  <si>
    <t>控制所有游戏系统的产出消耗数值；依赖【总规划】和【养成规划】。</t>
  </si>
  <si>
    <t>格式规范说明</t>
  </si>
  <si>
    <t>工作表</t>
  </si>
  <si>
    <t>红色工作表与数值无关</t>
  </si>
  <si>
    <t>黄色工作表包含手K值</t>
  </si>
  <si>
    <t>绿色工作表中无手K值</t>
  </si>
  <si>
    <t>灰色工作表为临时工作表</t>
  </si>
  <si>
    <t>单元格</t>
  </si>
  <si>
    <t>黄底黑字代表手K值</t>
  </si>
  <si>
    <t>蓝字代表输出配置</t>
  </si>
  <si>
    <t>红字代表关键计算结果，或重要信息</t>
  </si>
  <si>
    <t>绿字代表公式或固定值，同时也是默认字体颜色</t>
  </si>
  <si>
    <t>浅灰字代表图标支持数据</t>
  </si>
  <si>
    <t>5%灰为开服0-1天时间点</t>
  </si>
  <si>
    <t>15%灰为开服1-7天时间点</t>
  </si>
  <si>
    <t>25%灰为开服7-30天时间点</t>
  </si>
  <si>
    <t>35%灰为开服30-120天时间点</t>
  </si>
  <si>
    <t>50%灰为开服120-360天时间点</t>
  </si>
  <si>
    <t>规范</t>
  </si>
  <si>
    <t>单系统工作表中的公式只引用【控制台】内的数据，不和其他工作表耦合</t>
  </si>
  <si>
    <t>控制台中的公式可以引用所有工作表内的数据</t>
  </si>
  <si>
    <t>VBA说明</t>
  </si>
  <si>
    <t>模块</t>
  </si>
  <si>
    <t>Functions</t>
  </si>
  <si>
    <t>Lerp_dyy</t>
  </si>
  <si>
    <t>计算插值</t>
  </si>
  <si>
    <t>Excel 对象</t>
  </si>
  <si>
    <t>Worksheet_FollowHyperlink</t>
  </si>
  <si>
    <t>点击超链接后移动窗口使目标单元格为窗口最左上单元格</t>
  </si>
  <si>
    <t>返回目录及说明</t>
  </si>
  <si>
    <t>思路</t>
  </si>
  <si>
    <t>坑位与萝卜</t>
  </si>
  <si>
    <t>送萝卜与卖萝卜</t>
  </si>
  <si>
    <t>日常投放</t>
  </si>
  <si>
    <t>一次性投放</t>
  </si>
  <si>
    <t>黄金规划</t>
  </si>
  <si>
    <t>返回目录</t>
  </si>
  <si>
    <r>
      <rPr>
        <sz val="11"/>
        <color theme="9" tint="-0.249977111117893"/>
        <rFont val="微软雅黑"/>
        <charset val="134"/>
      </rPr>
      <t>1. 确定坑位和萝卜，</t>
    </r>
    <r>
      <rPr>
        <sz val="11"/>
        <color rgb="FFFF0000"/>
        <rFont val="微软雅黑"/>
        <charset val="134"/>
      </rPr>
      <t>溢出的萝卜需要有回收途径</t>
    </r>
    <r>
      <rPr>
        <sz val="11"/>
        <color theme="9" tint="-0.249977111117893"/>
        <rFont val="微软雅黑"/>
        <charset val="134"/>
      </rPr>
      <t>（具体设计pp正在努力推进中）</t>
    </r>
  </si>
  <si>
    <t>2. 确定游戏中如何送萝卜和如何买萝卜，达到以下2点效果：</t>
  </si>
  <si>
    <t>a. 小R玩家一年可以填满除【勋章】外所有坑位</t>
  </si>
  <si>
    <t>b. 超R豪砸100万人民币可以一个月填满几乎所有坑位</t>
  </si>
  <si>
    <r>
      <rPr>
        <sz val="11"/>
        <color theme="9" tint="-0.249977111117893"/>
        <rFont val="微软雅黑"/>
        <charset val="134"/>
      </rPr>
      <t>3. 规划日常免费投放在各系统中占比，</t>
    </r>
    <r>
      <rPr>
        <sz val="11"/>
        <color rgb="FFFF0000"/>
        <rFont val="微软雅黑"/>
        <charset val="134"/>
      </rPr>
      <t>为未开放系统预留数值</t>
    </r>
    <r>
      <rPr>
        <sz val="11"/>
        <color theme="9" tint="-0.249977111117893"/>
        <rFont val="微软雅黑"/>
        <charset val="134"/>
      </rPr>
      <t>。</t>
    </r>
  </si>
  <si>
    <t>4. 汇总一次性产出总价值，作为一次性产出配置时的参考。</t>
  </si>
  <si>
    <r>
      <rPr>
        <sz val="11"/>
        <color theme="9" tint="-0.249977111117893"/>
        <rFont val="微软雅黑"/>
        <charset val="134"/>
      </rPr>
      <t>5. 确定黄金真实价值，</t>
    </r>
    <r>
      <rPr>
        <sz val="11"/>
        <color rgb="FFFF0000"/>
        <rFont val="微软雅黑"/>
        <charset val="134"/>
      </rPr>
      <t>做出比其他SLG游戏黄金福利更高的感受</t>
    </r>
    <r>
      <rPr>
        <sz val="11"/>
        <color theme="9" tint="-0.249977111117893"/>
        <rFont val="微软雅黑"/>
        <charset val="134"/>
      </rPr>
      <t>。</t>
    </r>
  </si>
  <si>
    <t>6. 规划黄金购兑现萝卜的价格及数量，基于以下3点思路：</t>
  </si>
  <si>
    <t>a. X档是给小R的福利，投放量小于小R上限黄金量</t>
  </si>
  <si>
    <t>b. Y档是给中R和大R消费的，投放量介于中R上限黄金量和大R上限黄金量之间</t>
  </si>
  <si>
    <t>c. Z档是可无限购买档位，特定萝卜不投Z档</t>
  </si>
  <si>
    <t>坑位-&gt;萝卜</t>
  </si>
  <si>
    <t>建筑</t>
  </si>
  <si>
    <t>=</t>
  </si>
  <si>
    <t>基础资源+加速</t>
  </si>
  <si>
    <t>科技</t>
  </si>
  <si>
    <t>兵卡星级</t>
  </si>
  <si>
    <t>卡牌</t>
  </si>
  <si>
    <t>兵卡等级</t>
  </si>
  <si>
    <t>陆军经验+弹药</t>
  </si>
  <si>
    <t>兵卡改造</t>
  </si>
  <si>
    <t>零件</t>
  </si>
  <si>
    <t>空军等级</t>
  </si>
  <si>
    <t>空军经验+空军弹药</t>
  </si>
  <si>
    <t>空军改造</t>
  </si>
  <si>
    <t>空军零件</t>
  </si>
  <si>
    <t>配件</t>
  </si>
  <si>
    <t>配件材料+配件图纸</t>
  </si>
  <si>
    <t>军官等级</t>
  </si>
  <si>
    <t>军官经验</t>
  </si>
  <si>
    <t>军官技能</t>
  </si>
  <si>
    <t>军官技能书</t>
  </si>
  <si>
    <t>阵营声望</t>
  </si>
  <si>
    <t>阵营经验</t>
  </si>
  <si>
    <t>VIP等级</t>
  </si>
  <si>
    <t>VIP经验</t>
  </si>
  <si>
    <t>高级科技</t>
  </si>
  <si>
    <t>基础资源+加速+科技书</t>
  </si>
  <si>
    <t>萝卜-&gt;回收</t>
  </si>
  <si>
    <t>基础资源</t>
  </si>
  <si>
    <t>高级军事科技</t>
  </si>
  <si>
    <t>加速</t>
  </si>
  <si>
    <t>陆军经验</t>
  </si>
  <si>
    <t>少捆绑投放</t>
  </si>
  <si>
    <t>空军经验</t>
  </si>
  <si>
    <t>空军弹药</t>
  </si>
  <si>
    <t>配件材料</t>
  </si>
  <si>
    <t>配件图纸</t>
  </si>
  <si>
    <t>刷极品</t>
  </si>
  <si>
    <t>子钧爸爸定</t>
  </si>
  <si>
    <t>科技书</t>
  </si>
  <si>
    <t>付费返利档位（100%为原价，无返利）</t>
  </si>
  <si>
    <t>A档</t>
  </si>
  <si>
    <t>B档</t>
  </si>
  <si>
    <t>C档</t>
  </si>
  <si>
    <t>D档</t>
  </si>
  <si>
    <t>萝卜填坑</t>
  </si>
  <si>
    <t>坑位深度</t>
  </si>
  <si>
    <t>零氪玩家填满坑位所需天数</t>
  </si>
  <si>
    <t>付费反馈度</t>
  </si>
  <si>
    <t>玩家充值100美金所获得的对应萝卜加速天数</t>
  </si>
  <si>
    <t>萝卜</t>
  </si>
  <si>
    <t>坑位深度（月）</t>
  </si>
  <si>
    <t>C档付费反馈度</t>
  </si>
  <si>
    <t>付费反馈度（A档，B档，C档，D档）</t>
  </si>
  <si>
    <t>零氪填满</t>
  </si>
  <si>
    <t>小R填满</t>
  </si>
  <si>
    <t>中R填满</t>
  </si>
  <si>
    <t>大R填满</t>
  </si>
  <si>
    <t>超R填满</t>
  </si>
  <si>
    <t>付费分段（美金）（小R，中R，大R，超R）</t>
  </si>
  <si>
    <t>付费总量（美金）（小R，中R，大R，超R）</t>
  </si>
  <si>
    <t>月付费估算（美金）（小R，中R，大R，超R）</t>
  </si>
  <si>
    <t>月付费投放限额（美金）（A档，B档，C档）</t>
  </si>
  <si>
    <t>萝卜内部美元价</t>
  </si>
  <si>
    <t>单位</t>
  </si>
  <si>
    <t>月免费数</t>
  </si>
  <si>
    <t>总坑</t>
  </si>
  <si>
    <t>$100数量</t>
  </si>
  <si>
    <t>内部美元价</t>
  </si>
  <si>
    <t>日免费价值</t>
  </si>
  <si>
    <t>1M资源</t>
  </si>
  <si>
    <t>1天</t>
  </si>
  <si>
    <t>1四星卡</t>
  </si>
  <si>
    <t>1M陆经</t>
  </si>
  <si>
    <t>1k弹药</t>
  </si>
  <si>
    <t>1k零件</t>
  </si>
  <si>
    <t>1k铜材料</t>
  </si>
  <si>
    <t>1金++</t>
  </si>
  <si>
    <t>1M军经</t>
  </si>
  <si>
    <t>1技书</t>
  </si>
  <si>
    <t>1M阵经</t>
  </si>
  <si>
    <t>1k经验</t>
  </si>
  <si>
    <t>1科技书</t>
  </si>
  <si>
    <t>1M空经</t>
  </si>
  <si>
    <t>1k空弹</t>
  </si>
  <si>
    <t>1k空零</t>
  </si>
  <si>
    <t>总和</t>
  </si>
  <si>
    <t>注意</t>
  </si>
  <si>
    <t>军官任务卡牌和零件产出有耦合，因为投的是抽卡券。</t>
  </si>
  <si>
    <t>副本挂机卡牌和零件产出有耦合，因为投的是抽卡券。</t>
  </si>
  <si>
    <t>联盟商店卡牌和零件产出有耦合，因为投的是抽卡券。</t>
  </si>
  <si>
    <t>投放比例</t>
  </si>
  <si>
    <t>黄金</t>
  </si>
  <si>
    <t>空弹</t>
  </si>
  <si>
    <t>空零</t>
  </si>
  <si>
    <t>未来预留</t>
  </si>
  <si>
    <t>队列</t>
  </si>
  <si>
    <t>打野</t>
  </si>
  <si>
    <t>采集</t>
  </si>
  <si>
    <t>军官任务</t>
  </si>
  <si>
    <t>每日任务</t>
  </si>
  <si>
    <t>副本挂机</t>
  </si>
  <si>
    <t xml:space="preserve">空投 </t>
  </si>
  <si>
    <t>黑市</t>
  </si>
  <si>
    <t>月卡</t>
  </si>
  <si>
    <t>活动</t>
  </si>
  <si>
    <t>VIP宝箱</t>
  </si>
  <si>
    <t>VIP商店</t>
  </si>
  <si>
    <t>联盟商店</t>
  </si>
  <si>
    <t>空降猎兵</t>
  </si>
  <si>
    <t>竞技商店</t>
  </si>
  <si>
    <t>每日投放价值，按内部美元价折算</t>
  </si>
  <si>
    <t>日免费价C</t>
  </si>
  <si>
    <t>总价值</t>
  </si>
  <si>
    <t>体力</t>
  </si>
  <si>
    <t>账号升级</t>
  </si>
  <si>
    <t>章节任务</t>
  </si>
  <si>
    <t>主线任务</t>
  </si>
  <si>
    <t>支线任务</t>
  </si>
  <si>
    <t>迷雾建筑</t>
  </si>
  <si>
    <t>地图宝箱</t>
  </si>
  <si>
    <t>挂机首通</t>
  </si>
  <si>
    <t>G点首占</t>
  </si>
  <si>
    <t>城作计</t>
  </si>
  <si>
    <t>声望升级</t>
  </si>
  <si>
    <t>总数量</t>
  </si>
  <si>
    <t>C档单价</t>
  </si>
  <si>
    <t>1体力</t>
  </si>
  <si>
    <t>7日数量</t>
  </si>
  <si>
    <t>7天比例</t>
  </si>
  <si>
    <t>黄金免费投放</t>
  </si>
  <si>
    <t>每日黄金投放价格</t>
  </si>
  <si>
    <t>黄金日免费数</t>
  </si>
  <si>
    <t>黄金月免费数</t>
  </si>
  <si>
    <t>黄金内部美元价</t>
  </si>
  <si>
    <t>黄金购买价格档位</t>
  </si>
  <si>
    <t>倍率</t>
  </si>
  <si>
    <t>说明</t>
  </si>
  <si>
    <t>萝卜内部黄金价</t>
  </si>
  <si>
    <t>小R使用黄金购买物品的最贵价格</t>
  </si>
  <si>
    <t>萝卜显示黄金价</t>
  </si>
  <si>
    <t>无限量使用黄金购买物品价格</t>
  </si>
  <si>
    <t>萝卜用黄金购买价格</t>
  </si>
  <si>
    <t>资源内部价</t>
  </si>
  <si>
    <t>资源显示价</t>
  </si>
  <si>
    <t>资源单位</t>
  </si>
  <si>
    <t>战币内部价</t>
  </si>
  <si>
    <t>战币显示价</t>
  </si>
  <si>
    <t>战币单位</t>
  </si>
  <si>
    <t>盟币内部价</t>
  </si>
  <si>
    <t>盟币显示价</t>
  </si>
  <si>
    <t>盟币单位</t>
  </si>
  <si>
    <t>空战币内部价</t>
  </si>
  <si>
    <t>空战币显示价</t>
  </si>
  <si>
    <t>空战币单位</t>
  </si>
  <si>
    <t>1战役币</t>
  </si>
  <si>
    <t>1联盟币</t>
  </si>
  <si>
    <t>1空战币</t>
  </si>
  <si>
    <t>其他物品用黄金购买价格</t>
  </si>
  <si>
    <t>物品</t>
  </si>
  <si>
    <t>体力药水</t>
  </si>
  <si>
    <t>1张</t>
  </si>
  <si>
    <t>阵营券</t>
  </si>
  <si>
    <t>空降券</t>
  </si>
  <si>
    <t>跨城券</t>
  </si>
  <si>
    <t>预备役</t>
  </si>
  <si>
    <t>1个</t>
  </si>
  <si>
    <t>表情</t>
  </si>
  <si>
    <t>头像框</t>
  </si>
  <si>
    <t>战役币</t>
  </si>
  <si>
    <t>1k战役币</t>
  </si>
  <si>
    <t>空战币</t>
  </si>
  <si>
    <t>1k空战币</t>
  </si>
  <si>
    <t>银随机步兵配件图纸宝箱</t>
  </si>
  <si>
    <t>银随机中坦配件图纸宝箱</t>
  </si>
  <si>
    <t>银随机重坦配件图纸宝箱</t>
  </si>
  <si>
    <t>银随机坦歼配件图纸宝箱</t>
  </si>
  <si>
    <t>银随机榴弹炮配件图纸宝箱</t>
  </si>
  <si>
    <t>银随机反坦克炮配件图纸宝箱</t>
  </si>
  <si>
    <t>银随机轻坦配件图纸宝箱</t>
  </si>
  <si>
    <t>银随机超重坦配件图纸宝箱</t>
  </si>
  <si>
    <t>银随机火箭炮配件图纸宝箱</t>
  </si>
  <si>
    <t>银随机配件图纸宝箱</t>
  </si>
  <si>
    <t>金随机步兵配件图纸宝箱</t>
  </si>
  <si>
    <t>金随机中坦配件图纸宝箱</t>
  </si>
  <si>
    <t>金随机重坦配件图纸宝箱</t>
  </si>
  <si>
    <t>金随机坦歼配件图纸宝箱</t>
  </si>
  <si>
    <t>金随机榴弹炮配件图纸宝箱</t>
  </si>
  <si>
    <t>金随机反坦克炮配件图纸宝箱</t>
  </si>
  <si>
    <t>金随机轻坦配件图纸宝箱</t>
  </si>
  <si>
    <t>金随机超重坦配件图纸宝箱</t>
  </si>
  <si>
    <t>金随机火箭炮配件图纸宝箱</t>
  </si>
  <si>
    <t>金随机配件图纸宝箱</t>
  </si>
  <si>
    <t>金+随机步兵配件图纸宝箱</t>
  </si>
  <si>
    <t>金+随机中坦配件图纸宝箱</t>
  </si>
  <si>
    <t>金+随机重坦配件图纸宝箱</t>
  </si>
  <si>
    <t>金+随机坦歼配件图纸宝箱</t>
  </si>
  <si>
    <t>金+随机榴弹炮配件图纸宝箱</t>
  </si>
  <si>
    <t>金+随机反坦克炮配件图纸宝箱</t>
  </si>
  <si>
    <t>金+随机轻坦配件图纸宝箱</t>
  </si>
  <si>
    <t>金+随机超重坦配件图纸宝箱</t>
  </si>
  <si>
    <t>金+随机火箭炮配件图纸宝箱</t>
  </si>
  <si>
    <t>金+随机配件图纸宝箱</t>
  </si>
  <si>
    <t>银随机战斗机配件图纸宝箱</t>
  </si>
  <si>
    <t>银随机攻击机配件图纸宝箱</t>
  </si>
  <si>
    <t>银随机战术轰炸机配件图纸宝箱</t>
  </si>
  <si>
    <t>银随机战略轰炸机配件图纸宝箱</t>
  </si>
  <si>
    <t>银随机空军配件图纸宝箱</t>
  </si>
  <si>
    <t>金随机战斗机配件图纸宝箱</t>
  </si>
  <si>
    <t>金随机攻击机配件图纸宝箱</t>
  </si>
  <si>
    <t>金随机战术轰炸机配件图纸宝箱</t>
  </si>
  <si>
    <t>金随机战略轰炸机配件图纸宝箱</t>
  </si>
  <si>
    <t>金随机空军配件图纸宝箱</t>
  </si>
  <si>
    <t>金+随机战斗机配件图纸宝箱</t>
  </si>
  <si>
    <t>金+随机攻击机配件图纸宝箱</t>
  </si>
  <si>
    <t>金+随机战术轰炸机配件图纸宝箱</t>
  </si>
  <si>
    <t>金+随机战略轰炸机配件图纸宝箱</t>
  </si>
  <si>
    <t>金+随机空军配件图纸宝箱</t>
  </si>
  <si>
    <t>联盟币</t>
  </si>
  <si>
    <t>1k联盟币</t>
  </si>
  <si>
    <t>黄金购买萝卜内部价值倍率基准值</t>
  </si>
  <si>
    <t>系统</t>
  </si>
  <si>
    <t>基准价值倍率</t>
  </si>
  <si>
    <t>体验</t>
  </si>
  <si>
    <t>黑市个别商品性价比高于VIP商店</t>
  </si>
  <si>
    <t>VIP商店整体性价比高于黑市，个别商品性价比高于运营活动</t>
  </si>
  <si>
    <t>大转盘等运营活动</t>
  </si>
  <si>
    <t>运营活动整体性价比高于VIP商店</t>
  </si>
  <si>
    <t>小R养成进度</t>
  </si>
  <si>
    <t>科技T级</t>
  </si>
  <si>
    <t>兵卡数量</t>
  </si>
  <si>
    <t>军官数量</t>
  </si>
  <si>
    <t>空兵数量</t>
  </si>
  <si>
    <t>空兵等级</t>
  </si>
  <si>
    <t>空兵星级</t>
  </si>
  <si>
    <t>空兵改造</t>
  </si>
  <si>
    <t>无</t>
  </si>
  <si>
    <t/>
  </si>
  <si>
    <t>小R产出效率进度</t>
  </si>
  <si>
    <t>营地等级</t>
  </si>
  <si>
    <t>副本章节</t>
  </si>
  <si>
    <t>坑位</t>
  </si>
  <si>
    <t>日常产出</t>
  </si>
  <si>
    <t>一次性产出</t>
  </si>
  <si>
    <t>中间物品</t>
  </si>
  <si>
    <t>其他数值</t>
  </si>
  <si>
    <t>资源&amp;加速</t>
  </si>
  <si>
    <t>ok</t>
  </si>
  <si>
    <t>指挥部升级</t>
  </si>
  <si>
    <t>战损</t>
  </si>
  <si>
    <t>联盟积分</t>
  </si>
  <si>
    <t>经验&amp;弹药</t>
  </si>
  <si>
    <t>联盟科技</t>
  </si>
  <si>
    <t>消耗物品</t>
  </si>
  <si>
    <t>个人积分</t>
  </si>
  <si>
    <t>空投</t>
  </si>
  <si>
    <t>空军经验&amp;弹药</t>
  </si>
  <si>
    <t>图鉴与合成</t>
  </si>
  <si>
    <t>主题活动</t>
  </si>
  <si>
    <t>资源在各系统中产出占比</t>
  </si>
  <si>
    <t>资源最大月免费产出</t>
  </si>
  <si>
    <t>资源采集产出占比</t>
  </si>
  <si>
    <t>资源军官任务产出占比</t>
  </si>
  <si>
    <t>资源每日任务产出占比</t>
  </si>
  <si>
    <t>资源空投产出占比</t>
  </si>
  <si>
    <t>资源活动产出占比</t>
  </si>
  <si>
    <t>加速在各系统中产出占比</t>
  </si>
  <si>
    <t>加速最大月免费产出</t>
  </si>
  <si>
    <t>加速队列产出占比</t>
  </si>
  <si>
    <t>加速打野产出占比</t>
  </si>
  <si>
    <t>加速黑鸦营地产出占比</t>
  </si>
  <si>
    <t>加速军官任务产出占比</t>
  </si>
  <si>
    <t>加速每日任务产出占比</t>
  </si>
  <si>
    <t>加速黑市产出占比</t>
  </si>
  <si>
    <t>加速活动产出占比</t>
  </si>
  <si>
    <t>科技队列数</t>
  </si>
  <si>
    <t>科研队列数</t>
  </si>
  <si>
    <t>建筑、科技消耗分配</t>
  </si>
  <si>
    <t>资源</t>
  </si>
  <si>
    <t>资源修正</t>
  </si>
  <si>
    <t>军费</t>
  </si>
  <si>
    <t>钢材</t>
  </si>
  <si>
    <t>原油</t>
  </si>
  <si>
    <t>资源、加速消耗产出校对</t>
  </si>
  <si>
    <t>建筑资源</t>
  </si>
  <si>
    <t>科技资源</t>
  </si>
  <si>
    <t>建筑加速</t>
  </si>
  <si>
    <t>科技加速</t>
  </si>
  <si>
    <t>采集资源</t>
  </si>
  <si>
    <t>军任资源</t>
  </si>
  <si>
    <t>日任资源</t>
  </si>
  <si>
    <t>空投资源</t>
  </si>
  <si>
    <t>活动资源</t>
  </si>
  <si>
    <t>VIP箱资源</t>
  </si>
  <si>
    <t>生队加速</t>
  </si>
  <si>
    <t>研队加速</t>
  </si>
  <si>
    <t>打野加速</t>
  </si>
  <si>
    <t>营地加速</t>
  </si>
  <si>
    <t>军任加速</t>
  </si>
  <si>
    <t>日任加速</t>
  </si>
  <si>
    <t>黑市加速</t>
  </si>
  <si>
    <t>活动加速</t>
  </si>
  <si>
    <t>VIP商加速</t>
  </si>
  <si>
    <t>资源总耗</t>
  </si>
  <si>
    <t>资源总产</t>
  </si>
  <si>
    <t>一次总产</t>
  </si>
  <si>
    <t>七日投放</t>
  </si>
  <si>
    <t>加速总耗</t>
  </si>
  <si>
    <t>加速总产</t>
  </si>
  <si>
    <t>资源日产</t>
  </si>
  <si>
    <t>加速日产</t>
  </si>
  <si>
    <t>资源、加速价值比战力系数</t>
  </si>
  <si>
    <t>$1资源</t>
  </si>
  <si>
    <t>战力</t>
  </si>
  <si>
    <t>$1加速</t>
  </si>
  <si>
    <t>建材时长</t>
  </si>
  <si>
    <t>时长（分）</t>
  </si>
  <si>
    <t>定价</t>
  </si>
  <si>
    <t>工程连增益</t>
  </si>
  <si>
    <t>初始时长（秒）</t>
  </si>
  <si>
    <t>资源、加速相关增益汇总</t>
  </si>
  <si>
    <t>科技生速</t>
  </si>
  <si>
    <t>军官生速</t>
  </si>
  <si>
    <t>盟科生速</t>
  </si>
  <si>
    <t>VIP生速</t>
  </si>
  <si>
    <t>总生速</t>
  </si>
  <si>
    <t>科技研速</t>
  </si>
  <si>
    <t>建筑研速</t>
  </si>
  <si>
    <t>军官研速</t>
  </si>
  <si>
    <t>盟科研速</t>
  </si>
  <si>
    <t>VIP研速</t>
  </si>
  <si>
    <t>总研速</t>
  </si>
  <si>
    <t>科技采速</t>
  </si>
  <si>
    <t>盟科采速</t>
  </si>
  <si>
    <t>VIP采速</t>
  </si>
  <si>
    <t>总采速</t>
  </si>
  <si>
    <t>建筑工作表</t>
  </si>
  <si>
    <t>全建筑满级总消耗</t>
  </si>
  <si>
    <t>32级所需天数</t>
  </si>
  <si>
    <t>加速建筑占比</t>
  </si>
  <si>
    <t>32级所需加速</t>
  </si>
  <si>
    <t>资源建筑占比</t>
  </si>
  <si>
    <t>32级所需资源</t>
  </si>
  <si>
    <t>各建筑消耗占比配置 &amp; 建材消耗权重</t>
  </si>
  <si>
    <t>兵营</t>
  </si>
  <si>
    <t>机场</t>
  </si>
  <si>
    <t>消耗占比</t>
  </si>
  <si>
    <t>数量</t>
  </si>
  <si>
    <t>总比例</t>
  </si>
  <si>
    <t>建材</t>
  </si>
  <si>
    <t>时长</t>
  </si>
  <si>
    <t>权重</t>
  </si>
  <si>
    <t>种类</t>
  </si>
  <si>
    <t>steel</t>
  </si>
  <si>
    <t>pitch</t>
  </si>
  <si>
    <t>concrete</t>
  </si>
  <si>
    <t>消耗膨胀 &amp; 提供效果 &amp; 受到效果 &amp; 提供战力</t>
  </si>
  <si>
    <t>计算过程1</t>
  </si>
  <si>
    <t>计算过程2</t>
  </si>
  <si>
    <t>实际天数</t>
  </si>
  <si>
    <t>资源膨胀</t>
  </si>
  <si>
    <t>膨胀率</t>
  </si>
  <si>
    <t>加速膨胀</t>
  </si>
  <si>
    <t>生产队列</t>
  </si>
  <si>
    <t>兵营人口</t>
  </si>
  <si>
    <t>预役上限</t>
  </si>
  <si>
    <t>预役恢速</t>
  </si>
  <si>
    <t>空投次数</t>
  </si>
  <si>
    <t>研速增益</t>
  </si>
  <si>
    <t>累积预上</t>
  </si>
  <si>
    <t>累积预恢</t>
  </si>
  <si>
    <t>累积研速</t>
  </si>
  <si>
    <t>累积战力</t>
  </si>
  <si>
    <t>建材配置计算</t>
  </si>
  <si>
    <t>建材1</t>
  </si>
  <si>
    <t>建材2</t>
  </si>
  <si>
    <t>建材3</t>
  </si>
  <si>
    <t>建材4</t>
  </si>
  <si>
    <t>权重1</t>
  </si>
  <si>
    <t>权重2</t>
  </si>
  <si>
    <t>权重3</t>
  </si>
  <si>
    <t>权重4</t>
  </si>
  <si>
    <t>占比1</t>
  </si>
  <si>
    <t>占比2</t>
  </si>
  <si>
    <t>占比3</t>
  </si>
  <si>
    <t>占比4</t>
  </si>
  <si>
    <t>时长1</t>
  </si>
  <si>
    <t>时长2</t>
  </si>
  <si>
    <t>时长3</t>
  </si>
  <si>
    <t>时长4</t>
  </si>
  <si>
    <t>种类1</t>
  </si>
  <si>
    <t>种类2</t>
  </si>
  <si>
    <t>种类3</t>
  </si>
  <si>
    <t>种类4</t>
  </si>
  <si>
    <t>配置</t>
  </si>
  <si>
    <t>建筑提供效果（主时间轴）</t>
  </si>
  <si>
    <t>科技工作表</t>
  </si>
  <si>
    <t>科技消耗占比</t>
  </si>
  <si>
    <t>资源科技占比</t>
  </si>
  <si>
    <t>加速科技占比</t>
  </si>
  <si>
    <t>经济科技消耗统计（计算经济科技毕业后军事科技消耗用）</t>
  </si>
  <si>
    <t>经济科技毕业天数</t>
  </si>
  <si>
    <t>经济科技资源总量</t>
  </si>
  <si>
    <t>经济科技加速总量</t>
  </si>
  <si>
    <t>经济科技战力总量</t>
  </si>
  <si>
    <t>经济、军事消耗分配</t>
  </si>
  <si>
    <t>经济科技</t>
  </si>
  <si>
    <t>军事科技</t>
  </si>
  <si>
    <t>资源占比</t>
  </si>
  <si>
    <t>加速占比</t>
  </si>
  <si>
    <t>战力权重</t>
  </si>
  <si>
    <t>战力占比</t>
  </si>
  <si>
    <t>消耗规划 &amp; 提供效果 &amp; 受到效果 &amp; 提供战力</t>
  </si>
  <si>
    <t>经济层数</t>
  </si>
  <si>
    <t>军事层数</t>
  </si>
  <si>
    <t>累积资源</t>
  </si>
  <si>
    <t>累积加速</t>
  </si>
  <si>
    <t>经济资源</t>
  </si>
  <si>
    <t>经济加速</t>
  </si>
  <si>
    <t>军事资源</t>
  </si>
  <si>
    <t>军事加速</t>
  </si>
  <si>
    <t>采集队列</t>
  </si>
  <si>
    <t>采速增益</t>
  </si>
  <si>
    <t>生速增益</t>
  </si>
  <si>
    <t>火力增益</t>
  </si>
  <si>
    <t>耐久增益</t>
  </si>
  <si>
    <t>累资价值</t>
  </si>
  <si>
    <t>累加价值</t>
  </si>
  <si>
    <t>经济战力</t>
  </si>
  <si>
    <t>军事战力</t>
  </si>
  <si>
    <t>科技树（详见科技系统文档）</t>
  </si>
  <si>
    <t>科技id</t>
  </si>
  <si>
    <t>层数</t>
  </si>
  <si>
    <t>位置</t>
  </si>
  <si>
    <t>最高等级</t>
  </si>
  <si>
    <t>可采2级</t>
  </si>
  <si>
    <t>采集速度</t>
  </si>
  <si>
    <t>全体火力</t>
  </si>
  <si>
    <t>科研速度</t>
  </si>
  <si>
    <t>全体移速</t>
  </si>
  <si>
    <t>采集车数</t>
  </si>
  <si>
    <t>全体耐久</t>
  </si>
  <si>
    <t>可采3级</t>
  </si>
  <si>
    <t>T2自由</t>
  </si>
  <si>
    <t>所有采集</t>
  </si>
  <si>
    <t>T2强权</t>
  </si>
  <si>
    <t>军费采集</t>
  </si>
  <si>
    <t>T2秩序</t>
  </si>
  <si>
    <t>钢铁采集</t>
  </si>
  <si>
    <t>自由耐久</t>
  </si>
  <si>
    <t xml:space="preserve">原油采集 </t>
  </si>
  <si>
    <t xml:space="preserve">强权耐久 </t>
  </si>
  <si>
    <t>生产速度</t>
  </si>
  <si>
    <t>秩序耐久</t>
  </si>
  <si>
    <t>可采4级</t>
  </si>
  <si>
    <t>T3自由</t>
  </si>
  <si>
    <t>T3强权</t>
  </si>
  <si>
    <t>T3秩序</t>
  </si>
  <si>
    <t>自由火力</t>
  </si>
  <si>
    <t>强权火力</t>
  </si>
  <si>
    <t>秩序火力</t>
  </si>
  <si>
    <t>可采5级</t>
  </si>
  <si>
    <t>T4自由</t>
  </si>
  <si>
    <t>研究速度</t>
  </si>
  <si>
    <t>T4强权</t>
  </si>
  <si>
    <t>T4秩序</t>
  </si>
  <si>
    <t>可采6级</t>
  </si>
  <si>
    <t>自由移速</t>
  </si>
  <si>
    <t>强权移速</t>
  </si>
  <si>
    <t>秩序移速</t>
  </si>
  <si>
    <t>T5自由</t>
  </si>
  <si>
    <t>T5强权</t>
  </si>
  <si>
    <t>T5秩序</t>
  </si>
  <si>
    <t>T6自由</t>
  </si>
  <si>
    <t>T6强权</t>
  </si>
  <si>
    <t>T6秩序</t>
  </si>
  <si>
    <t>科技层 &amp; 提供效果 &amp; 单层战力</t>
  </si>
  <si>
    <t>经济层</t>
  </si>
  <si>
    <t>单层资源</t>
  </si>
  <si>
    <t>单层加速</t>
  </si>
  <si>
    <t>含增加速</t>
  </si>
  <si>
    <t>科技数</t>
  </si>
  <si>
    <t>建筑前置</t>
  </si>
  <si>
    <t>修正</t>
  </si>
  <si>
    <t>累积采队</t>
  </si>
  <si>
    <t>累积采速</t>
  </si>
  <si>
    <t>累积生速</t>
  </si>
  <si>
    <t>单层战力</t>
  </si>
  <si>
    <t>军事层</t>
  </si>
  <si>
    <t>累积火力</t>
  </si>
  <si>
    <t>累积耐久</t>
  </si>
  <si>
    <t>单科技各等级消耗分配</t>
  </si>
  <si>
    <t>最高5级</t>
  </si>
  <si>
    <t>比例</t>
  </si>
  <si>
    <t>最高10级</t>
  </si>
  <si>
    <t>卡牌在各系统中产出占比</t>
  </si>
  <si>
    <t>卡牌最大月免费产出</t>
  </si>
  <si>
    <t>卡牌军官任务产出占比</t>
  </si>
  <si>
    <t>卡牌每日任务产出占比</t>
  </si>
  <si>
    <t>卡牌挂机副本产出占比</t>
  </si>
  <si>
    <t>卡牌空投产出占比</t>
  </si>
  <si>
    <t>卡牌黑市产出占比</t>
  </si>
  <si>
    <t>卡牌活动产出占比</t>
  </si>
  <si>
    <t>卡牌拆解参数 &amp; 卡牌合成碎片数 &amp; 卡牌消耗修正系数</t>
  </si>
  <si>
    <t>3星卡价值比4星卡价值</t>
  </si>
  <si>
    <t>3星卡拆解获得</t>
  </si>
  <si>
    <t>合成4星卡所需4星碎片数</t>
  </si>
  <si>
    <t>合成5星卡所需5星碎片数</t>
  </si>
  <si>
    <t>1个4星碎片</t>
  </si>
  <si>
    <t>1个5星碎片</t>
  </si>
  <si>
    <t>合成逻辑所需额外卡牌比例数</t>
  </si>
  <si>
    <t>卡牌消耗产出校对</t>
  </si>
  <si>
    <t>兵卡卡牌</t>
  </si>
  <si>
    <t>军任卡牌</t>
  </si>
  <si>
    <t>日任卡牌</t>
  </si>
  <si>
    <t>副本卡牌</t>
  </si>
  <si>
    <t>空投卡牌</t>
  </si>
  <si>
    <t>黑市卡牌</t>
  </si>
  <si>
    <t>活动卡牌</t>
  </si>
  <si>
    <t>VIP箱卡牌</t>
  </si>
  <si>
    <t>VIP商卡牌</t>
  </si>
  <si>
    <t>卡牌总耗</t>
  </si>
  <si>
    <t>卡牌总产</t>
  </si>
  <si>
    <t>卡牌日产</t>
  </si>
  <si>
    <t>兵卡合成公式</t>
  </si>
  <si>
    <t>胎5合成需要5星数</t>
  </si>
  <si>
    <t>折4星数</t>
  </si>
  <si>
    <t>研发积分</t>
  </si>
  <si>
    <t>累积积分</t>
  </si>
  <si>
    <t>合成类型</t>
  </si>
  <si>
    <t>4星本体数</t>
  </si>
  <si>
    <t>4星狗粮数</t>
  </si>
  <si>
    <t>4星本狗比</t>
  </si>
  <si>
    <t>5星本体数</t>
  </si>
  <si>
    <t>5星狗粮数</t>
  </si>
  <si>
    <t>5星本狗比</t>
  </si>
  <si>
    <t>通过抽卡券</t>
  </si>
  <si>
    <t>通过阵营券</t>
  </si>
  <si>
    <t>同种</t>
  </si>
  <si>
    <t>同阵营</t>
  </si>
  <si>
    <t>陆军经验在各系统中产出占比</t>
  </si>
  <si>
    <t>陆军经验最大月免费产出</t>
  </si>
  <si>
    <t>陆军经验副本挂机产出占比</t>
  </si>
  <si>
    <t>陆军经验黑市产出占比</t>
  </si>
  <si>
    <t>陆军经验活动产出占比</t>
  </si>
  <si>
    <t>弹药在各系统中产出占比</t>
  </si>
  <si>
    <t>弹药最大月免费产出</t>
  </si>
  <si>
    <t>弹药黑鸦营地产出占比</t>
  </si>
  <si>
    <t>弹药副本挂机产出占比</t>
  </si>
  <si>
    <t>弹药黑市产出占比</t>
  </si>
  <si>
    <t>弹药活动产出占比</t>
  </si>
  <si>
    <t>陆军经验、弹药消耗产出校对</t>
  </si>
  <si>
    <t>兵卡经验</t>
  </si>
  <si>
    <t>兵卡弹药</t>
  </si>
  <si>
    <t>挂机陆经</t>
  </si>
  <si>
    <t>黑市陆经</t>
  </si>
  <si>
    <t>活动陆经</t>
  </si>
  <si>
    <t>VIP箱陆经</t>
  </si>
  <si>
    <t>挂机弹药</t>
  </si>
  <si>
    <t>营地弹药</t>
  </si>
  <si>
    <t>黑市弹药</t>
  </si>
  <si>
    <t>活动弹药</t>
  </si>
  <si>
    <t>VIP商弹药</t>
  </si>
  <si>
    <t>经验总耗</t>
  </si>
  <si>
    <t>经验总产</t>
  </si>
  <si>
    <t>弹药总耗</t>
  </si>
  <si>
    <t>弹药总产</t>
  </si>
  <si>
    <t>空军经验在各系统中产出占比</t>
  </si>
  <si>
    <t>空军经验最大月免费产出</t>
  </si>
  <si>
    <t>空军经验副本挂机产出占比</t>
  </si>
  <si>
    <t>空军经验黑市产出占比</t>
  </si>
  <si>
    <t>空军经验活动产出占比</t>
  </si>
  <si>
    <t>空军弹药在各系统中产出占比</t>
  </si>
  <si>
    <t>空弹最大月免费产出</t>
  </si>
  <si>
    <t>空弹副本挂机产出占比</t>
  </si>
  <si>
    <t>空弹黑市产出占比</t>
  </si>
  <si>
    <t>空弹活动产出占比</t>
  </si>
  <si>
    <t>空军经验、弹药消耗产出校对</t>
  </si>
  <si>
    <t>空兵经验</t>
  </si>
  <si>
    <t>空兵弹药</t>
  </si>
  <si>
    <t>挂机空经</t>
  </si>
  <si>
    <t>黑市空经</t>
  </si>
  <si>
    <t>活动空经</t>
  </si>
  <si>
    <t>VIP箱空经</t>
  </si>
  <si>
    <t>挂机空弹</t>
  </si>
  <si>
    <t>黑市空弹</t>
  </si>
  <si>
    <t>活动空弹</t>
  </si>
  <si>
    <t>VIP商空弹</t>
  </si>
  <si>
    <t>空经总耗</t>
  </si>
  <si>
    <t>空经总产</t>
  </si>
  <si>
    <t>空弹总耗</t>
  </si>
  <si>
    <t>空弹总产</t>
  </si>
  <si>
    <t>兵卡等级工作表</t>
  </si>
  <si>
    <t>兵卡满级消耗</t>
  </si>
  <si>
    <t>经验最大月免费产出</t>
  </si>
  <si>
    <t>空军弹药最大月免费产出</t>
  </si>
  <si>
    <t>12月升级数</t>
  </si>
  <si>
    <t>级</t>
  </si>
  <si>
    <t>12月突破数</t>
  </si>
  <si>
    <t>次</t>
  </si>
  <si>
    <t>经验消耗单级标准值</t>
  </si>
  <si>
    <t>经验</t>
  </si>
  <si>
    <t>弹药消耗单次标准值</t>
  </si>
  <si>
    <t>消耗膨胀</t>
  </si>
  <si>
    <t>经验膨胀</t>
  </si>
  <si>
    <t>弹药膨胀</t>
  </si>
  <si>
    <t>空经膨胀</t>
  </si>
  <si>
    <t>空弹膨胀</t>
  </si>
  <si>
    <t>零件在各系统中产出占比</t>
  </si>
  <si>
    <t>零件最大月免费产出</t>
  </si>
  <si>
    <t>零件军官任务产出占比</t>
  </si>
  <si>
    <t>零件每日任务产出占比</t>
  </si>
  <si>
    <t>零件挂机副本产出占比</t>
  </si>
  <si>
    <t>零件空投产出占比</t>
  </si>
  <si>
    <t>零件黑市产出占比</t>
  </si>
  <si>
    <t>零件活动产出占比</t>
  </si>
  <si>
    <t>零件产出消耗校对</t>
  </si>
  <si>
    <t>改造零件</t>
  </si>
  <si>
    <t>军任零件</t>
  </si>
  <si>
    <t>日任零件</t>
  </si>
  <si>
    <t>挂机零件</t>
  </si>
  <si>
    <t>空投零件</t>
  </si>
  <si>
    <t>黑市零件</t>
  </si>
  <si>
    <t>活动零件</t>
  </si>
  <si>
    <t>VIP箱零件</t>
  </si>
  <si>
    <t>VIP商零件</t>
  </si>
  <si>
    <t>零件总耗</t>
  </si>
  <si>
    <t>零件总产</t>
  </si>
  <si>
    <t>空零在各系统中产出占比</t>
  </si>
  <si>
    <t>空零最大月免费产出</t>
  </si>
  <si>
    <t>空零每日任务产出占比</t>
  </si>
  <si>
    <t>空零挂机副本产出占比</t>
  </si>
  <si>
    <t>空零空投产出占比</t>
  </si>
  <si>
    <t>空零黑市产出占比</t>
  </si>
  <si>
    <t>空零活动产出占比</t>
  </si>
  <si>
    <t>空零产出消耗校对</t>
  </si>
  <si>
    <t>改造空零</t>
  </si>
  <si>
    <t>日任空零</t>
  </si>
  <si>
    <t>挂机空零</t>
  </si>
  <si>
    <t>空投空零</t>
  </si>
  <si>
    <t>黑市空零</t>
  </si>
  <si>
    <t>活动空零</t>
  </si>
  <si>
    <t>VIP商空零</t>
  </si>
  <si>
    <t>空零总耗</t>
  </si>
  <si>
    <t>空零总产</t>
  </si>
  <si>
    <t>兵卡改造4-10消耗</t>
  </si>
  <si>
    <t>每层内改造个数</t>
  </si>
  <si>
    <t>空军每层内改造个数</t>
  </si>
  <si>
    <t>4-10消耗</t>
  </si>
  <si>
    <t>改造ID</t>
  </si>
  <si>
    <t>级数</t>
  </si>
  <si>
    <t>单次消耗</t>
  </si>
  <si>
    <t>单级消耗</t>
  </si>
  <si>
    <t>累积消耗</t>
  </si>
  <si>
    <t>常数</t>
  </si>
  <si>
    <t>配件材料最大月免费产出</t>
  </si>
  <si>
    <t>配件材料军官任务产出占比</t>
  </si>
  <si>
    <t>配件材料副本挂机产出占比</t>
  </si>
  <si>
    <t>配件材料黑市产出占比</t>
  </si>
  <si>
    <t>配件材料活动产出占比</t>
  </si>
  <si>
    <t>配件材料VIP宝箱产出占比</t>
  </si>
  <si>
    <t>配件材料消耗产出校对</t>
  </si>
  <si>
    <t>配材消耗</t>
  </si>
  <si>
    <t>军任配材</t>
  </si>
  <si>
    <t>挂机配材</t>
  </si>
  <si>
    <t>黑市配材</t>
  </si>
  <si>
    <t>活动配材</t>
  </si>
  <si>
    <t>VIP箱配材</t>
  </si>
  <si>
    <t>配材总耗</t>
  </si>
  <si>
    <t>配材总产</t>
  </si>
  <si>
    <t>合成公式</t>
  </si>
  <si>
    <t>1银材料</t>
  </si>
  <si>
    <t>铜材料</t>
  </si>
  <si>
    <t>+</t>
  </si>
  <si>
    <t>1金材料</t>
  </si>
  <si>
    <t>银材料</t>
  </si>
  <si>
    <t>材料宝箱</t>
  </si>
  <si>
    <t>随机材料宝箱</t>
  </si>
  <si>
    <t>金材料</t>
  </si>
  <si>
    <t>折铜数</t>
  </si>
  <si>
    <t>差倍数</t>
  </si>
  <si>
    <t>总倍数</t>
  </si>
  <si>
    <t>铜随机材料小宝箱（废）</t>
  </si>
  <si>
    <t>铜随机材料中宝箱（废）</t>
  </si>
  <si>
    <t>铜随机材料大宝箱（废）</t>
  </si>
  <si>
    <t>银随机材料小宝箱（废）</t>
  </si>
  <si>
    <t>银随机材料中宝箱（废）</t>
  </si>
  <si>
    <t>银随机材料大宝箱（废）</t>
  </si>
  <si>
    <t>金随机材料小宝箱（废）</t>
  </si>
  <si>
    <t>金随机材料中宝箱（废）</t>
  </si>
  <si>
    <t>金随机材料大宝箱（废）</t>
  </si>
  <si>
    <t>铜随机材料宝箱</t>
  </si>
  <si>
    <t>银随机材料宝箱</t>
  </si>
  <si>
    <t>金随机材料宝箱</t>
  </si>
  <si>
    <t>自选材料宝箱</t>
  </si>
  <si>
    <t>铜自选材料宝箱</t>
  </si>
  <si>
    <t>银自选材料宝箱</t>
  </si>
  <si>
    <t>金自选材料宝箱</t>
  </si>
  <si>
    <t>1张图纸</t>
  </si>
  <si>
    <t>个图纸碎片</t>
  </si>
  <si>
    <t>图纸定价</t>
  </si>
  <si>
    <t>图纸黄金价</t>
  </si>
  <si>
    <t>图纸美元价</t>
  </si>
  <si>
    <t>碎片黄金价</t>
  </si>
  <si>
    <t>碎片美元价</t>
  </si>
  <si>
    <t>标准随机配件图纸宝箱</t>
  </si>
  <si>
    <t>概率</t>
  </si>
  <si>
    <t>期望美元价</t>
  </si>
  <si>
    <t>配件图纸宝箱定价</t>
  </si>
  <si>
    <t>宝箱</t>
  </si>
  <si>
    <t>价值系数</t>
  </si>
  <si>
    <t>金++配件消耗</t>
  </si>
  <si>
    <t>需要养成兵卡数</t>
  </si>
  <si>
    <t>每张兵卡需要配件数</t>
  </si>
  <si>
    <t>金++配件标准折铜数</t>
  </si>
  <si>
    <t>金++配件标准军费</t>
  </si>
  <si>
    <t>配件材料图纸价值比</t>
  </si>
  <si>
    <t>材料价值/图纸价值</t>
  </si>
  <si>
    <t>配件消耗</t>
  </si>
  <si>
    <t>配件品质</t>
  </si>
  <si>
    <t>材料折铜数</t>
  </si>
  <si>
    <t>打造军费</t>
  </si>
  <si>
    <t>材料黄金价</t>
  </si>
  <si>
    <t>军官经验在各系统中产出占比</t>
  </si>
  <si>
    <t>军官经验最大月免费产出</t>
  </si>
  <si>
    <t>军官经验军官任务产出占比</t>
  </si>
  <si>
    <t>军官经验消耗产出校对</t>
  </si>
  <si>
    <t>军经消耗</t>
  </si>
  <si>
    <t>军任军经</t>
  </si>
  <si>
    <t>军经总耗</t>
  </si>
  <si>
    <t>军经总产</t>
  </si>
  <si>
    <t>军官等级工作表</t>
  </si>
  <si>
    <t>军官满级消耗</t>
  </si>
  <si>
    <t>军官总数</t>
  </si>
  <si>
    <t>第60级所需军官经验</t>
  </si>
  <si>
    <t>阵营经验在各系统中产出占比</t>
  </si>
  <si>
    <t>阵营经验最大月免费产出</t>
  </si>
  <si>
    <t>阵营经验军官任务产出占比</t>
  </si>
  <si>
    <t>卡牌阵经等于多少倍研发积分</t>
  </si>
  <si>
    <t>单阵营研发线卡牌数量</t>
  </si>
  <si>
    <t>首次额外奖励倍率</t>
  </si>
  <si>
    <t>单卡阵经</t>
  </si>
  <si>
    <t>首次阵经</t>
  </si>
  <si>
    <t>首额外累计阵经</t>
  </si>
  <si>
    <t>月付费</t>
  </si>
  <si>
    <t>获得卡牌</t>
  </si>
  <si>
    <t>重复额外经验</t>
  </si>
  <si>
    <t>首次额外经验</t>
  </si>
  <si>
    <t>总额外</t>
  </si>
  <si>
    <t>阵营经验消耗产出校对</t>
  </si>
  <si>
    <t>新声望等级</t>
  </si>
  <si>
    <t>阵经消耗</t>
  </si>
  <si>
    <t>军任阵经</t>
  </si>
  <si>
    <t>阵经总耗</t>
  </si>
  <si>
    <t>任务经总</t>
  </si>
  <si>
    <t>阵经总产</t>
  </si>
  <si>
    <t>卡首次额外</t>
  </si>
  <si>
    <t>卡重复阵经</t>
  </si>
  <si>
    <t>卡牌数量</t>
  </si>
  <si>
    <t>卡牌星级</t>
  </si>
  <si>
    <t>卡阵经总</t>
  </si>
  <si>
    <t>新总产</t>
  </si>
  <si>
    <t>新总-消耗</t>
  </si>
  <si>
    <t>任务经验占比</t>
  </si>
  <si>
    <t>偏差百分比</t>
  </si>
  <si>
    <t>阵营声望工作表</t>
  </si>
  <si>
    <t>阵营声望满级消耗</t>
  </si>
  <si>
    <t>阵营数</t>
  </si>
  <si>
    <t>全15级所需天数</t>
  </si>
  <si>
    <t>单阵营15级所需经验</t>
  </si>
  <si>
    <t>单级经验</t>
  </si>
  <si>
    <t>累计经验</t>
  </si>
  <si>
    <t>需要抽卡数量</t>
  </si>
  <si>
    <t>VIP经验免费日产</t>
  </si>
  <si>
    <t>VIP经验消耗产出校对</t>
  </si>
  <si>
    <t>V经消耗</t>
  </si>
  <si>
    <t>免费V经</t>
  </si>
  <si>
    <t>V经总耗</t>
  </si>
  <si>
    <t>V经总产</t>
  </si>
  <si>
    <t>VIP等级经验消耗 &amp; 提供效果</t>
  </si>
  <si>
    <t>累积V经</t>
  </si>
  <si>
    <t>补次增益</t>
  </si>
  <si>
    <t>体速增益</t>
  </si>
  <si>
    <t>VIP等级提供效果（主时间轴）</t>
  </si>
  <si>
    <t>陆军军官</t>
  </si>
  <si>
    <t>序号</t>
  </si>
  <si>
    <t>军官名称</t>
  </si>
  <si>
    <t>技能书来源</t>
  </si>
  <si>
    <t>产出节奏</t>
  </si>
  <si>
    <t>珀西</t>
  </si>
  <si>
    <t>一次性免费产出</t>
  </si>
  <si>
    <t>大约3个月满</t>
  </si>
  <si>
    <t>老杰克</t>
  </si>
  <si>
    <t>军官任务+每日特惠</t>
  </si>
  <si>
    <t>纯军官任务大约2年满，每日特惠全买不砸通用技能书3个月满</t>
  </si>
  <si>
    <t>白狼</t>
  </si>
  <si>
    <t>守护之锤</t>
  </si>
  <si>
    <t>提灯天使</t>
  </si>
  <si>
    <t>VIP付费宝箱</t>
  </si>
  <si>
    <t>VIP付费可直接买满</t>
  </si>
  <si>
    <t>舍普琴科</t>
  </si>
  <si>
    <t>活动（转盘）</t>
  </si>
  <si>
    <t>一次转盘投入15万钻换100技能书，同一个军官3轮转盘</t>
  </si>
  <si>
    <t>瓦列里</t>
  </si>
  <si>
    <t>一次转盘投入15万钻换100技能书，同一个军官4轮转盘</t>
  </si>
  <si>
    <t>血腥玛丽</t>
  </si>
  <si>
    <t>活动（MG）</t>
  </si>
  <si>
    <t>一次MG前10保底20本技能书，第一180本</t>
  </si>
  <si>
    <t>高原之狐</t>
  </si>
  <si>
    <t>伊凡</t>
  </si>
  <si>
    <t>赛季制核心奖励</t>
  </si>
  <si>
    <t>赛季第一联盟保底50本书，极限150本</t>
  </si>
  <si>
    <t>单军官技能升级消耗</t>
  </si>
  <si>
    <t>消耗</t>
  </si>
  <si>
    <t>4技能总和</t>
  </si>
  <si>
    <t>科技书消耗产出校对</t>
  </si>
  <si>
    <t>军备科消耗</t>
  </si>
  <si>
    <t>科书总耗</t>
  </si>
  <si>
    <t>科书总产</t>
  </si>
  <si>
    <t>科技书价值比战力系数</t>
  </si>
  <si>
    <t>$1科技书</t>
  </si>
  <si>
    <t>高级科技工作表</t>
  </si>
  <si>
    <t>消耗统计&amp;受到效果</t>
  </si>
  <si>
    <t>军备层数</t>
  </si>
  <si>
    <t>累积科技书</t>
  </si>
  <si>
    <t>科技层</t>
  </si>
  <si>
    <t>军备层</t>
  </si>
  <si>
    <t>单层科技书</t>
  </si>
  <si>
    <t>科技树</t>
  </si>
  <si>
    <t>科技书初始</t>
  </si>
  <si>
    <t>科技书增量</t>
  </si>
  <si>
    <t>科技书总和</t>
  </si>
  <si>
    <t>含增加初始</t>
  </si>
  <si>
    <t>含增加增量</t>
  </si>
  <si>
    <t>含增加总和</t>
  </si>
  <si>
    <t>加速总和</t>
  </si>
  <si>
    <t>军费初始</t>
  </si>
  <si>
    <t>军费增量</t>
  </si>
  <si>
    <t>军费总和</t>
  </si>
  <si>
    <t>累积军费</t>
  </si>
  <si>
    <t>采集声望</t>
  </si>
  <si>
    <t>采军费声望</t>
  </si>
  <si>
    <t>采钢铁声望</t>
  </si>
  <si>
    <t>采原油声望</t>
  </si>
  <si>
    <t>解锁4-6</t>
  </si>
  <si>
    <t>所有声望</t>
  </si>
  <si>
    <t>生速声望</t>
  </si>
  <si>
    <t>升建声望</t>
  </si>
  <si>
    <t>营地声望</t>
  </si>
  <si>
    <t>野怪声望</t>
  </si>
  <si>
    <t>解锁7-9</t>
  </si>
  <si>
    <t>研速声望</t>
  </si>
  <si>
    <t>升科声望</t>
  </si>
  <si>
    <t>用钥匙声望</t>
  </si>
  <si>
    <t>用碎片声望</t>
  </si>
  <si>
    <t>奖励翻倍</t>
  </si>
  <si>
    <t>新萝卜&amp;新坑位</t>
  </si>
  <si>
    <t>打野工作表</t>
  </si>
  <si>
    <t>每日标准产出</t>
  </si>
  <si>
    <t>加速打野每日标准产出</t>
  </si>
  <si>
    <t>1分钟</t>
  </si>
  <si>
    <t>单次标准产出</t>
  </si>
  <si>
    <t>每日消耗体力值</t>
  </si>
  <si>
    <t>消耗体力点数</t>
  </si>
  <si>
    <t>单点体力加速</t>
  </si>
  <si>
    <t>加速打野单次标准产出</t>
  </si>
  <si>
    <t>兑现膨胀</t>
  </si>
  <si>
    <t>产出膨胀</t>
  </si>
  <si>
    <t>期望分钟</t>
  </si>
  <si>
    <t>含增分钟</t>
  </si>
  <si>
    <t>黑鸦营地工作表</t>
  </si>
  <si>
    <t>加速每日产出标准值</t>
  </si>
  <si>
    <t>弹药产出每日标准值</t>
  </si>
  <si>
    <t>1弹药</t>
  </si>
  <si>
    <t>加速黑鸦营地单次标准产出</t>
  </si>
  <si>
    <t>单点体力弹药</t>
  </si>
  <si>
    <t>弹药黑鸦营地单次标准产出</t>
  </si>
  <si>
    <t>开放时间</t>
  </si>
  <si>
    <t>采集工作表</t>
  </si>
  <si>
    <t>资源采集每日标准产出</t>
  </si>
  <si>
    <t>1资源</t>
  </si>
  <si>
    <t>采集车每秒采集量 &amp; 资源点资源数</t>
  </si>
  <si>
    <t>单项资源采集每日标准产出</t>
  </si>
  <si>
    <t>玩家最大每日采集时间</t>
  </si>
  <si>
    <t>采集效率上限</t>
  </si>
  <si>
    <t>初始每日采集量</t>
  </si>
  <si>
    <t>车辆初始每秒采集量</t>
  </si>
  <si>
    <t>资源点等级</t>
  </si>
  <si>
    <t>采集时间</t>
  </si>
  <si>
    <t>资源数</t>
  </si>
  <si>
    <t>采集效率</t>
  </si>
  <si>
    <t>时间膨胀</t>
  </si>
  <si>
    <t>时采集量</t>
  </si>
  <si>
    <t>日采集量</t>
  </si>
  <si>
    <t>插值计算辅助表</t>
  </si>
  <si>
    <t>采集加速</t>
  </si>
  <si>
    <t>军官任务工作表</t>
  </si>
  <si>
    <t>军官经验军官任务每日标准产出</t>
  </si>
  <si>
    <t>1军经</t>
  </si>
  <si>
    <t>阵营经验军官任务每日标准产出</t>
  </si>
  <si>
    <t>1阵经</t>
  </si>
  <si>
    <t>基础资源最大月免费产出</t>
  </si>
  <si>
    <t>基础资源军官任务产出占比</t>
  </si>
  <si>
    <t>基础资源军官任务每日标准产出</t>
  </si>
  <si>
    <t>加速军官任务每日标准产出</t>
  </si>
  <si>
    <t>卡牌军官任务每日标准产出</t>
  </si>
  <si>
    <t>零件军官任务每日标准产出</t>
  </si>
  <si>
    <t>1零件</t>
  </si>
  <si>
    <t>配件材料军官任务每日标准产出</t>
  </si>
  <si>
    <t>1铜材料</t>
  </si>
  <si>
    <t>军官技能书最大月免费产出</t>
  </si>
  <si>
    <t>军官技能书军官任务产出占比</t>
  </si>
  <si>
    <t>军官技能书军官任务每日标准产出</t>
  </si>
  <si>
    <t>任务等级</t>
  </si>
  <si>
    <t>需要军官</t>
  </si>
  <si>
    <t>军经膨胀</t>
  </si>
  <si>
    <t>阵经膨胀</t>
  </si>
  <si>
    <t>卡牌膨胀</t>
  </si>
  <si>
    <t>零件膨胀</t>
  </si>
  <si>
    <t>配材膨胀</t>
  </si>
  <si>
    <t>技书膨胀</t>
  </si>
  <si>
    <t>单次任务产出</t>
  </si>
  <si>
    <t>任务数</t>
  </si>
  <si>
    <t>阵营匹配军官经验加成系数</t>
  </si>
  <si>
    <t>阵营匹配阵营经验加成系数</t>
  </si>
  <si>
    <t>任务直接产出军官经验系数</t>
  </si>
  <si>
    <t>时间（时）</t>
  </si>
  <si>
    <t>时间配置</t>
  </si>
  <si>
    <t>有效时长</t>
  </si>
  <si>
    <t>单次军经</t>
  </si>
  <si>
    <t>数值美化</t>
  </si>
  <si>
    <t>每日军经</t>
  </si>
  <si>
    <t>实际膨胀</t>
  </si>
  <si>
    <t>单次阵经</t>
  </si>
  <si>
    <t>每日阵经</t>
  </si>
  <si>
    <t>单次资源</t>
  </si>
  <si>
    <t>单次加速</t>
  </si>
  <si>
    <t>单次卡牌</t>
  </si>
  <si>
    <t>单次零件</t>
  </si>
  <si>
    <t>单次配材</t>
  </si>
  <si>
    <t>单次技书</t>
  </si>
  <si>
    <t>单次军经书</t>
  </si>
  <si>
    <t>每日资源</t>
  </si>
  <si>
    <t>每日加速</t>
  </si>
  <si>
    <t>每日卡牌</t>
  </si>
  <si>
    <t>每日零件</t>
  </si>
  <si>
    <t>每日配材</t>
  </si>
  <si>
    <t>每日技书</t>
  </si>
  <si>
    <t>每日军经书</t>
  </si>
  <si>
    <t>军官任务宝箱配置</t>
  </si>
  <si>
    <t>期望值</t>
  </si>
  <si>
    <t>1级</t>
  </si>
  <si>
    <t>2级</t>
  </si>
  <si>
    <t>3级</t>
  </si>
  <si>
    <t>4级</t>
  </si>
  <si>
    <t>5级</t>
  </si>
  <si>
    <t>实际值</t>
  </si>
  <si>
    <t>配材</t>
  </si>
  <si>
    <t>技书</t>
  </si>
  <si>
    <t>军经书</t>
  </si>
  <si>
    <t>资源物品</t>
  </si>
  <si>
    <t>1级数量</t>
  </si>
  <si>
    <t>1级概率</t>
  </si>
  <si>
    <t>1级权重</t>
  </si>
  <si>
    <t>2级数量</t>
  </si>
  <si>
    <t>2级概率</t>
  </si>
  <si>
    <t>2级权重</t>
  </si>
  <si>
    <t>3级数量</t>
  </si>
  <si>
    <t>3级概率</t>
  </si>
  <si>
    <t>3级权重</t>
  </si>
  <si>
    <t>4级数量</t>
  </si>
  <si>
    <t>4级概率</t>
  </si>
  <si>
    <t>4级权重</t>
  </si>
  <si>
    <t>5级数量</t>
  </si>
  <si>
    <t>5级概率</t>
  </si>
  <si>
    <t>5级权重</t>
  </si>
  <si>
    <t>加速物品</t>
  </si>
  <si>
    <t>配材物品</t>
  </si>
  <si>
    <t>铜随材小</t>
  </si>
  <si>
    <t>铜随材中</t>
  </si>
  <si>
    <t>铜随材大</t>
  </si>
  <si>
    <t>银随材小</t>
  </si>
  <si>
    <t>银随材中</t>
  </si>
  <si>
    <t>银随材大</t>
  </si>
  <si>
    <t>军官经验书</t>
  </si>
  <si>
    <t>初军事理论</t>
  </si>
  <si>
    <t>中军事理论</t>
  </si>
  <si>
    <t>高军事理论</t>
  </si>
  <si>
    <t>每日任务工作表</t>
  </si>
  <si>
    <t>黄金最大月免费产出</t>
  </si>
  <si>
    <t>黄金每日任务产出占比</t>
  </si>
  <si>
    <t>黄金每日任务每日标准产出</t>
  </si>
  <si>
    <t>资源每日任务每日标准产出</t>
  </si>
  <si>
    <t>加速每日任务每日标准产出</t>
  </si>
  <si>
    <t>卡牌每日任务每日标准产出</t>
  </si>
  <si>
    <t>零件每日任务每日标准产出</t>
  </si>
  <si>
    <t>空零每日任务每日标准产出</t>
  </si>
  <si>
    <t>每日实际物品产出量</t>
  </si>
  <si>
    <t>黄金总量</t>
  </si>
  <si>
    <t>每种资源总量</t>
  </si>
  <si>
    <t>M</t>
  </si>
  <si>
    <t>加速总量</t>
  </si>
  <si>
    <t>分钟</t>
  </si>
  <si>
    <t>抽卡券数量</t>
  </si>
  <si>
    <t>抽卡券卡牌等价</t>
  </si>
  <si>
    <t>抽卡券零件等价</t>
  </si>
  <si>
    <t>4星碎片总量</t>
  </si>
  <si>
    <t>零件总量</t>
  </si>
  <si>
    <t>体力总量</t>
  </si>
  <si>
    <t>每日任务配置（见叶子任务系统文档）</t>
  </si>
  <si>
    <t>副本挂机工作表</t>
  </si>
  <si>
    <t>陆军经验副本挂机每日标准产出</t>
  </si>
  <si>
    <t>1陆经</t>
  </si>
  <si>
    <t>弹药副本挂机每日标准产出</t>
  </si>
  <si>
    <t>卡牌副本挂机每日标准产出</t>
  </si>
  <si>
    <t>配件材料副本挂机每日标准产出</t>
  </si>
  <si>
    <t>零件副本挂机每日标准产出</t>
  </si>
  <si>
    <t>空军经验副本挂机每日标准产出</t>
  </si>
  <si>
    <t>空弹副本挂机每日标准产出</t>
  </si>
  <si>
    <t>空零副本挂机每日标准产出</t>
  </si>
  <si>
    <t>奖励间隔时间</t>
  </si>
  <si>
    <t>一档间隔时间（秒）</t>
  </si>
  <si>
    <t>二档间隔时间（秒）</t>
  </si>
  <si>
    <t>三档间隔时间（秒）</t>
  </si>
  <si>
    <t>抽卡券标准权重</t>
  </si>
  <si>
    <t>抽卡券产出</t>
  </si>
  <si>
    <t>抽卡券标准权重（三档间隔时间）</t>
  </si>
  <si>
    <t>陆军产出</t>
  </si>
  <si>
    <t>空军产出</t>
  </si>
  <si>
    <t>章节</t>
  </si>
  <si>
    <t>天数</t>
  </si>
  <si>
    <t>经验日产</t>
  </si>
  <si>
    <t>原弹药日产</t>
  </si>
  <si>
    <t>弹药日产</t>
  </si>
  <si>
    <t>卡券膨胀</t>
  </si>
  <si>
    <t>原卡券日产</t>
  </si>
  <si>
    <t>卡券日产</t>
  </si>
  <si>
    <t>原配材日产</t>
  </si>
  <si>
    <t>配材日产</t>
  </si>
  <si>
    <t>战币膨胀</t>
  </si>
  <si>
    <t>战币日产</t>
  </si>
  <si>
    <t>买空阶段</t>
  </si>
  <si>
    <t>买空战币</t>
  </si>
  <si>
    <t>批次</t>
  </si>
  <si>
    <t>批次买空战币</t>
  </si>
  <si>
    <t>解锁批次</t>
  </si>
  <si>
    <t>原空弹日产</t>
  </si>
  <si>
    <t>空弹日产</t>
  </si>
  <si>
    <t>空零日产</t>
  </si>
  <si>
    <t>空币膨胀</t>
  </si>
  <si>
    <t>空币日产</t>
  </si>
  <si>
    <t>买空空币</t>
  </si>
  <si>
    <t>批次买空空币</t>
  </si>
  <si>
    <t>经验商店投放量</t>
  </si>
  <si>
    <t>陆军经验挂机减少量（每10秒）</t>
  </si>
  <si>
    <t>空军经验挂机减少量（每10秒）</t>
  </si>
  <si>
    <t>陆军经验挂机减少量（每日）</t>
  </si>
  <si>
    <t>空军经验挂机减少量（每日）</t>
  </si>
  <si>
    <t>陆军经验战役商店每次刷新投放量</t>
  </si>
  <si>
    <t>空军经验战役商店每次刷新投放量</t>
  </si>
  <si>
    <t>空零商店投放量</t>
  </si>
  <si>
    <t>空军零件战役商店每次刷新投放量</t>
  </si>
  <si>
    <t>玩家购买弹药比例</t>
  </si>
  <si>
    <t>玩家购买零件比例</t>
  </si>
  <si>
    <t>战役商店刷新天数</t>
  </si>
  <si>
    <t>战役商店商品档位</t>
  </si>
  <si>
    <t>档位</t>
  </si>
  <si>
    <t>一档</t>
  </si>
  <si>
    <t>二档</t>
  </si>
  <si>
    <t>战役商店商品解锁批次</t>
  </si>
  <si>
    <t>累积战币</t>
  </si>
  <si>
    <t>积分要求</t>
  </si>
  <si>
    <t>累积空币</t>
  </si>
  <si>
    <t>1k战役币内部美元价</t>
  </si>
  <si>
    <t>1k空战币内部美元价</t>
  </si>
  <si>
    <t>最大每日产出</t>
  </si>
  <si>
    <t>萝卜用战役币购买价格</t>
  </si>
  <si>
    <t>其他物品用战役币购买价格</t>
  </si>
  <si>
    <t>战役商店固定商品</t>
  </si>
  <si>
    <t>商品id</t>
  </si>
  <si>
    <t>物品数量</t>
  </si>
  <si>
    <t>折扣颜色</t>
  </si>
  <si>
    <t>价值倍率</t>
  </si>
  <si>
    <t>购买优先级</t>
  </si>
  <si>
    <t>物品类型</t>
  </si>
  <si>
    <t>显示折扣</t>
  </si>
  <si>
    <t>战币售价</t>
  </si>
  <si>
    <t>商品限额</t>
  </si>
  <si>
    <t>物品总量</t>
  </si>
  <si>
    <t>战币总量</t>
  </si>
  <si>
    <t>campaign_common_goods_001</t>
  </si>
  <si>
    <t>common_equipment_exp</t>
  </si>
  <si>
    <t>campaign_common_goods_002</t>
  </si>
  <si>
    <t>ammunition</t>
  </si>
  <si>
    <t>campaign_common_goods_003</t>
  </si>
  <si>
    <t>gold_50000_card</t>
  </si>
  <si>
    <t>campaign_common_goods_004</t>
  </si>
  <si>
    <t>metal_50000_card</t>
  </si>
  <si>
    <t>campaign_common_goods_005</t>
  </si>
  <si>
    <t>oil_50000_card</t>
  </si>
  <si>
    <t>campaign_common_goods_006</t>
  </si>
  <si>
    <t>component_casting_copper</t>
  </si>
  <si>
    <t>campaign_common_goods_007</t>
  </si>
  <si>
    <t>component_stamping_copper</t>
  </si>
  <si>
    <t>campaign_common_goods_008</t>
  </si>
  <si>
    <t>component_machining_copper</t>
  </si>
  <si>
    <t>campaign_common_goods_009</t>
  </si>
  <si>
    <t>top_key</t>
  </si>
  <si>
    <t>campaign_common_goods_010</t>
  </si>
  <si>
    <t>campaign_common_goods_011</t>
  </si>
  <si>
    <t>campaign_common_goods_012</t>
  </si>
  <si>
    <t>component_lightindustrial_copper</t>
  </si>
  <si>
    <t>campaign_common_goods_013</t>
  </si>
  <si>
    <t>component_chemical_copper</t>
  </si>
  <si>
    <t>campaign_common_goods_014</t>
  </si>
  <si>
    <t>chest_drawing_infantry_silver</t>
  </si>
  <si>
    <t>campaign_common_goods_015</t>
  </si>
  <si>
    <t>chest_drawing_mediumtank_silver</t>
  </si>
  <si>
    <t>campaign_common_goods_016</t>
  </si>
  <si>
    <t>chest_drawing_heavytank_silver</t>
  </si>
  <si>
    <t>campaign_common_goods_017</t>
  </si>
  <si>
    <t>chest_drawing_tankdestroyer_silver</t>
  </si>
  <si>
    <t>campaign_common_goods_018</t>
  </si>
  <si>
    <t>chest_drawing_howitzer_silver</t>
  </si>
  <si>
    <t>campaign_common_goods_019</t>
  </si>
  <si>
    <t>component_group_copper</t>
  </si>
  <si>
    <t>campaign_common_goods_020</t>
  </si>
  <si>
    <t>campaign_common_goods_021</t>
  </si>
  <si>
    <t>chest_drawing_antitankartillery_silver</t>
  </si>
  <si>
    <t>campaign_common_goods_022</t>
  </si>
  <si>
    <t>chest_drawing_lighttank_silver</t>
  </si>
  <si>
    <t>campaign_common_goods_023</t>
  </si>
  <si>
    <t>chest_drawing_superheavytank_silver</t>
  </si>
  <si>
    <t>campaign_common_goods_024</t>
  </si>
  <si>
    <t>chest_drawing_rocketartillery_silver</t>
  </si>
  <si>
    <t>campaign_common_goods_025</t>
  </si>
  <si>
    <t>chest_drawing_infantry_golden</t>
  </si>
  <si>
    <t>campaign_common_goods_026</t>
  </si>
  <si>
    <t>chest_drawing_mediumtank_golden</t>
  </si>
  <si>
    <t>campaign_common_goods_027</t>
  </si>
  <si>
    <t>chest_drawing_heavytank_golden</t>
  </si>
  <si>
    <t>campaign_common_goods_028</t>
  </si>
  <si>
    <t>chest_drawing_tankdestroyer_golden</t>
  </si>
  <si>
    <t>campaign_common_goods_029</t>
  </si>
  <si>
    <t>chest_drawing_howitzer_golden</t>
  </si>
  <si>
    <t>campaign_common_goods_030</t>
  </si>
  <si>
    <t>chest_drawing_antitankartillery_golden</t>
  </si>
  <si>
    <t>campaign_common_goods_031</t>
  </si>
  <si>
    <t>chest_drawing_lighttank_golden</t>
  </si>
  <si>
    <t>campaign_common_goods_032</t>
  </si>
  <si>
    <t>chest_drawing_superheavytank_golden</t>
  </si>
  <si>
    <t>campaign_common_goods_033</t>
  </si>
  <si>
    <t>chest_drawing_rocketartillery_golden</t>
  </si>
  <si>
    <t>一档总量</t>
  </si>
  <si>
    <t>二档总量</t>
  </si>
  <si>
    <t>一档+二档</t>
  </si>
  <si>
    <t>空币内部价</t>
  </si>
  <si>
    <t>空币显示价</t>
  </si>
  <si>
    <t>空币售价</t>
  </si>
  <si>
    <t>空币总量</t>
  </si>
  <si>
    <t>airforce_equipment_exp</t>
  </si>
  <si>
    <t>airforce_ammunition</t>
  </si>
  <si>
    <t>airforce_elements</t>
  </si>
  <si>
    <t>chest_drawing_fighter_aircraft_silver_drop</t>
  </si>
  <si>
    <t>chest_drawing_attack_aircraft_silver_drop</t>
  </si>
  <si>
    <t>chest_drawing_tactical_bomber_silver_drop</t>
  </si>
  <si>
    <t>chest_drawing_strategic_bomber_silver_drop</t>
  </si>
  <si>
    <t>chest_drawing_fighter_aircraft_golden_drop</t>
  </si>
  <si>
    <t>chest_drawing_attack_aircraft_golden_drop</t>
  </si>
  <si>
    <t>chest_drawing_tactical_bomber_golden_drop</t>
  </si>
  <si>
    <t>chest_drawing_strategic_bomber_golden_drop</t>
  </si>
  <si>
    <t>战役商店特殊商品（每次刷新随机一个超值商品）</t>
  </si>
  <si>
    <t>商品权重</t>
  </si>
  <si>
    <t>campaign_special_goods_001</t>
  </si>
  <si>
    <t>rush_common_8h</t>
  </si>
  <si>
    <t>campaign_special_goods_002</t>
  </si>
  <si>
    <t>rush_common_24h</t>
  </si>
  <si>
    <t>campaign_special_goods_003</t>
  </si>
  <si>
    <t>vip_point_500</t>
  </si>
  <si>
    <t>campaign_special_goods_004</t>
  </si>
  <si>
    <t>vip_point_1000</t>
  </si>
  <si>
    <t>campaign_special_goods_005</t>
  </si>
  <si>
    <t>officer_skill_item_common</t>
  </si>
  <si>
    <t>campaign_special_goods_007</t>
  </si>
  <si>
    <t>gold_500000_card</t>
  </si>
  <si>
    <t>campaign_special_goods_008</t>
  </si>
  <si>
    <t>metal_500000_card</t>
  </si>
  <si>
    <t>campaign_special_goods_009</t>
  </si>
  <si>
    <t>oil_500000_card</t>
  </si>
  <si>
    <t>campaign_special_goods_010</t>
  </si>
  <si>
    <t>elements</t>
  </si>
  <si>
    <t>campaign_special_goods_011</t>
  </si>
  <si>
    <t>战役批次解锁一次性奖励</t>
  </si>
  <si>
    <t>campaign_unique_goods_001</t>
  </si>
  <si>
    <t>campaign_unique_goods_002</t>
  </si>
  <si>
    <t>campaign_unique_goods_003</t>
  </si>
  <si>
    <t>campaign_unique_goods_004</t>
  </si>
  <si>
    <t>campaign_unique_goods_005</t>
  </si>
  <si>
    <t>玩家战役币兑换萝卜辅助计算表</t>
  </si>
  <si>
    <t>战币消耗</t>
  </si>
  <si>
    <t>弹药数量</t>
  </si>
  <si>
    <t>累积弹药</t>
  </si>
  <si>
    <t>1战币弹药</t>
  </si>
  <si>
    <t>配材数量</t>
  </si>
  <si>
    <t>累积配材</t>
  </si>
  <si>
    <t>1战币配材</t>
  </si>
  <si>
    <t>累积抽卡券</t>
  </si>
  <si>
    <t>1战币抽卡券</t>
  </si>
  <si>
    <t>玩家空战币兑换萝卜辅助计算表</t>
  </si>
  <si>
    <t>空币消耗</t>
  </si>
  <si>
    <t>空弹数量</t>
  </si>
  <si>
    <t>累积空弹</t>
  </si>
  <si>
    <t>1空币弹药</t>
  </si>
  <si>
    <t>空零数量</t>
  </si>
  <si>
    <t>累积空零</t>
  </si>
  <si>
    <t>1空币空零</t>
  </si>
  <si>
    <t>累积卡牌</t>
  </si>
  <si>
    <t>1空币卡牌</t>
  </si>
  <si>
    <t>不限量1战役币兑换，用于辅助计算</t>
  </si>
  <si>
    <t>不限量1空战币兑换，用于辅助计算</t>
  </si>
  <si>
    <t>空投工作表</t>
  </si>
  <si>
    <t>黄金空投产出占比</t>
  </si>
  <si>
    <t>黄金空投每日标准产出</t>
  </si>
  <si>
    <t>资源空投每日标准产出</t>
  </si>
  <si>
    <t>卡牌空投每日标准产出</t>
  </si>
  <si>
    <t>零件空投每日标准产出</t>
  </si>
  <si>
    <t>空零空投每日标准产出</t>
  </si>
  <si>
    <t>1空零</t>
  </si>
  <si>
    <t>单次空投宝箱配置</t>
  </si>
  <si>
    <t>每次空投宝箱数</t>
  </si>
  <si>
    <t>每日最大空投次数</t>
  </si>
  <si>
    <t>美元价值</t>
  </si>
  <si>
    <t>校对</t>
  </si>
  <si>
    <t>实际</t>
  </si>
  <si>
    <t>期望</t>
  </si>
  <si>
    <t>黄金1</t>
  </si>
  <si>
    <t>黄金每日产出</t>
  </si>
  <si>
    <t>黄金2</t>
  </si>
  <si>
    <t>资源每日产出</t>
  </si>
  <si>
    <t>4星卡每日产出</t>
  </si>
  <si>
    <t>5星卡每日产出</t>
  </si>
  <si>
    <t>卡牌每日产出</t>
  </si>
  <si>
    <t>零件1</t>
  </si>
  <si>
    <t>零件每日产出</t>
  </si>
  <si>
    <t>零件2</t>
  </si>
  <si>
    <t>空零每日产出</t>
  </si>
  <si>
    <t>4星卡牌</t>
  </si>
  <si>
    <t>5星卡牌</t>
  </si>
  <si>
    <t>空零1</t>
  </si>
  <si>
    <t>空零2</t>
  </si>
  <si>
    <t xml:space="preserve">  </t>
  </si>
  <si>
    <t>黑市工作表</t>
  </si>
  <si>
    <t>每日标准产出消耗</t>
  </si>
  <si>
    <t>加速黑市每日标准产出</t>
  </si>
  <si>
    <t>卡牌黑市每日标准产出</t>
  </si>
  <si>
    <t>陆军经验黑市每日标准产出</t>
  </si>
  <si>
    <t>1陆验</t>
  </si>
  <si>
    <t>弹药黑市每日标准产出</t>
  </si>
  <si>
    <t>零件黑市每日标准产出</t>
  </si>
  <si>
    <t>配件材料黑市每日标准产出</t>
  </si>
  <si>
    <t>军官经验黑市产出占比</t>
  </si>
  <si>
    <t>军官经验黑市每日标准产出</t>
  </si>
  <si>
    <t>空军经验黑市每日标准产出</t>
  </si>
  <si>
    <t>1空验</t>
  </si>
  <si>
    <t>空弹黑市每日标准产出</t>
  </si>
  <si>
    <t>1空弹</t>
  </si>
  <si>
    <t>空零黑市每日标准产出</t>
  </si>
  <si>
    <t>基础资源黑市每日标准消耗</t>
  </si>
  <si>
    <t>黄金黑市每日标准消耗</t>
  </si>
  <si>
    <t>单格标准产出</t>
  </si>
  <si>
    <t>每日刷新总次数</t>
  </si>
  <si>
    <t>每次刷新每类物品格子数</t>
  </si>
  <si>
    <t>每次刷新小月卡其他类格子数</t>
  </si>
  <si>
    <t>加速黑市每格标准产出</t>
  </si>
  <si>
    <t>卡牌黑市每格标准产出</t>
  </si>
  <si>
    <t>陆军经验黑市每格标准产出</t>
  </si>
  <si>
    <t>1经验</t>
  </si>
  <si>
    <t>弹药黑市每格标准产出</t>
  </si>
  <si>
    <t>零件黑市每格标准产出</t>
  </si>
  <si>
    <t>配件材料黑市每格标准产出</t>
  </si>
  <si>
    <t>军官经验黑市每格标准产出</t>
  </si>
  <si>
    <t>空军经验黑市每格标准产出</t>
  </si>
  <si>
    <t>1空经</t>
  </si>
  <si>
    <t>空弹黑市每格标准产出</t>
  </si>
  <si>
    <t>空零黑市每格标准产出</t>
  </si>
  <si>
    <t>萝卜价格</t>
  </si>
  <si>
    <t>黄金内部价</t>
  </si>
  <si>
    <t>黄金显示价</t>
  </si>
  <si>
    <t>1黄金</t>
  </si>
  <si>
    <t>1抽卡券</t>
  </si>
  <si>
    <t>基础资源类物品</t>
  </si>
  <si>
    <t>物品值</t>
  </si>
  <si>
    <t>资源数量</t>
  </si>
  <si>
    <t>消耗资源</t>
  </si>
  <si>
    <t>是小R</t>
  </si>
  <si>
    <t>内部价</t>
  </si>
  <si>
    <t>显示价</t>
  </si>
  <si>
    <t>消耗数量</t>
  </si>
  <si>
    <t>产出期望</t>
  </si>
  <si>
    <t>黄金消耗</t>
  </si>
  <si>
    <t>金耗期望</t>
  </si>
  <si>
    <t>资源消耗</t>
  </si>
  <si>
    <t>资耗期望</t>
  </si>
  <si>
    <t>goods_resource_001</t>
  </si>
  <si>
    <t>gold_10000_card</t>
  </si>
  <si>
    <t>metal</t>
  </si>
  <si>
    <t>goods_resource_002</t>
  </si>
  <si>
    <t>goods_resource_003</t>
  </si>
  <si>
    <t>gold_150000_card</t>
  </si>
  <si>
    <t>goods_resource_004</t>
  </si>
  <si>
    <t>goods_resource_005</t>
  </si>
  <si>
    <t>metal_10000_card</t>
  </si>
  <si>
    <t>oil</t>
  </si>
  <si>
    <t>goods_resource_006</t>
  </si>
  <si>
    <t>goods_resource_007</t>
  </si>
  <si>
    <t>metal_150000_card</t>
  </si>
  <si>
    <t>goods_resource_008</t>
  </si>
  <si>
    <t>goods_resource_009</t>
  </si>
  <si>
    <t>oil_10000_card</t>
  </si>
  <si>
    <t>gold</t>
  </si>
  <si>
    <t>goods_resource_010</t>
  </si>
  <si>
    <t>goods_resource_011</t>
  </si>
  <si>
    <t>oil_150000_card</t>
  </si>
  <si>
    <t>goods_resource_012</t>
  </si>
  <si>
    <t>goods_resource_013</t>
  </si>
  <si>
    <t>goods_resource_014</t>
  </si>
  <si>
    <t>goods_resource_015</t>
  </si>
  <si>
    <t>goods_resource_016</t>
  </si>
  <si>
    <t>goods_resource_017</t>
  </si>
  <si>
    <t>goods_resource_018</t>
  </si>
  <si>
    <t>goods_resource_019</t>
  </si>
  <si>
    <t>goods_resource_020</t>
  </si>
  <si>
    <t>goods_resource_021</t>
  </si>
  <si>
    <t>goods_resource_022</t>
  </si>
  <si>
    <t>goods_resource_023</t>
  </si>
  <si>
    <t>goods_resource_024</t>
  </si>
  <si>
    <t>goods_resource_025</t>
  </si>
  <si>
    <t>l_coin</t>
  </si>
  <si>
    <t>goods_resource_026</t>
  </si>
  <si>
    <t>goods_resource_027</t>
  </si>
  <si>
    <t>goods_resource_028</t>
  </si>
  <si>
    <t>goods_resource_029</t>
  </si>
  <si>
    <t>goods_resource_030</t>
  </si>
  <si>
    <t>goods_resource_031</t>
  </si>
  <si>
    <t>goods_resource_032</t>
  </si>
  <si>
    <t>goods_resource_033</t>
  </si>
  <si>
    <t>goods_resource_034</t>
  </si>
  <si>
    <t>goods_resource_035</t>
  </si>
  <si>
    <t>goods_resource_036</t>
  </si>
  <si>
    <t>goods_resource_037</t>
  </si>
  <si>
    <t>goods_resource_038</t>
  </si>
  <si>
    <t>goods_resource_039</t>
  </si>
  <si>
    <t>goods_resource_040</t>
  </si>
  <si>
    <t>goods_resource_041</t>
  </si>
  <si>
    <t>goods_resource_042</t>
  </si>
  <si>
    <t>goods_resource_043</t>
  </si>
  <si>
    <t>goods_resource_044</t>
  </si>
  <si>
    <t>goods_resource_045</t>
  </si>
  <si>
    <t>goods_resource_046</t>
  </si>
  <si>
    <t>goods_resource_047</t>
  </si>
  <si>
    <t>goods_resource_048</t>
  </si>
  <si>
    <t>小R总和</t>
  </si>
  <si>
    <t>建材类物品</t>
  </si>
  <si>
    <t>加速数量</t>
  </si>
  <si>
    <t>goods_material_001</t>
  </si>
  <si>
    <t>goods_material_002</t>
  </si>
  <si>
    <t>goods_material_003</t>
  </si>
  <si>
    <t>goods_material_004</t>
  </si>
  <si>
    <t>goods_material_005</t>
  </si>
  <si>
    <t>goods_material_006</t>
  </si>
  <si>
    <t>goods_material_007</t>
  </si>
  <si>
    <t>goods_material_008</t>
  </si>
  <si>
    <t>goods_material_009</t>
  </si>
  <si>
    <t>goods_material_010</t>
  </si>
  <si>
    <t>goods_material_011</t>
  </si>
  <si>
    <t>goods_material_012</t>
  </si>
  <si>
    <t>goods_material_013</t>
  </si>
  <si>
    <t>goods_material_014</t>
  </si>
  <si>
    <t>goods_material_015</t>
  </si>
  <si>
    <t>goods_material_016</t>
  </si>
  <si>
    <t>goods_material_017</t>
  </si>
  <si>
    <t>goods_material_018</t>
  </si>
  <si>
    <t>goods_material_019</t>
  </si>
  <si>
    <t>goods_material_020</t>
  </si>
  <si>
    <t>goods_material_021</t>
  </si>
  <si>
    <t>goods_material_022</t>
  </si>
  <si>
    <t>goods_material_023</t>
  </si>
  <si>
    <t>goods_material_024</t>
  </si>
  <si>
    <t>goods_material_025</t>
  </si>
  <si>
    <t>goods_material_026</t>
  </si>
  <si>
    <t>goods_material_027</t>
  </si>
  <si>
    <t>goods_material_028</t>
  </si>
  <si>
    <t>goods_material_029</t>
  </si>
  <si>
    <t>goods_material_030</t>
  </si>
  <si>
    <t>goods_material_031</t>
  </si>
  <si>
    <t>goods_material_032</t>
  </si>
  <si>
    <t>goods_material_033</t>
  </si>
  <si>
    <t>goods_material_034</t>
  </si>
  <si>
    <t>goods_material_035</t>
  </si>
  <si>
    <t>goods_material_036</t>
  </si>
  <si>
    <t>goods_material_037</t>
  </si>
  <si>
    <t>goods_material_038</t>
  </si>
  <si>
    <t>goods_material_039</t>
  </si>
  <si>
    <t>goods_material_040</t>
  </si>
  <si>
    <t>goods_material_041</t>
  </si>
  <si>
    <t>goods_material_042</t>
  </si>
  <si>
    <t>goods_material_043</t>
  </si>
  <si>
    <t>goods_material_044</t>
  </si>
  <si>
    <t>goods_material_045</t>
  </si>
  <si>
    <t>goods_material_046</t>
  </si>
  <si>
    <t>goods_material_047</t>
  </si>
  <si>
    <t>goods_material_048</t>
  </si>
  <si>
    <t>加速类物品</t>
  </si>
  <si>
    <t>goods_speedup_001</t>
  </si>
  <si>
    <t>rush_common_3m</t>
  </si>
  <si>
    <t>goods_speedup_002</t>
  </si>
  <si>
    <t>rush_common_15m</t>
  </si>
  <si>
    <t>goods_speedup_003</t>
  </si>
  <si>
    <t>rush_common_60m</t>
  </si>
  <si>
    <t>goods_speedup_004</t>
  </si>
  <si>
    <t>goods_speedup_005</t>
  </si>
  <si>
    <t>goods_speedup_006</t>
  </si>
  <si>
    <t>goods_speedup_007</t>
  </si>
  <si>
    <t>rush_build_common_3m</t>
  </si>
  <si>
    <t>goods_speedup_008</t>
  </si>
  <si>
    <t>rush_build_common_15m</t>
  </si>
  <si>
    <t>goods_speedup_009</t>
  </si>
  <si>
    <t>rush_build_common_60m</t>
  </si>
  <si>
    <t>goods_speedup_010</t>
  </si>
  <si>
    <t>goods_speedup_011</t>
  </si>
  <si>
    <t>goods_speedup_012</t>
  </si>
  <si>
    <t>goods_speedup_013</t>
  </si>
  <si>
    <t>rush_tech_common_3m</t>
  </si>
  <si>
    <t>goods_speedup_014</t>
  </si>
  <si>
    <t>rush_tech_common_15m</t>
  </si>
  <si>
    <t>goods_speedup_015</t>
  </si>
  <si>
    <t>rush_tech_common_60m</t>
  </si>
  <si>
    <t>goods_speedup_016</t>
  </si>
  <si>
    <t>goods_speedup_017</t>
  </si>
  <si>
    <t>goods_speedup_018</t>
  </si>
  <si>
    <t>goods_speedup_019</t>
  </si>
  <si>
    <t>goods_speedup_020</t>
  </si>
  <si>
    <t>goods_speedup_021</t>
  </si>
  <si>
    <t>goods_speedup_022</t>
  </si>
  <si>
    <t>goods_speedup_023</t>
  </si>
  <si>
    <t>goods_speedup_024</t>
  </si>
  <si>
    <t>goods_speedup_025</t>
  </si>
  <si>
    <t>goods_speedup_026</t>
  </si>
  <si>
    <t>goods_speedup_027</t>
  </si>
  <si>
    <t>goods_speedup_028</t>
  </si>
  <si>
    <t>goods_speedup_029</t>
  </si>
  <si>
    <t>goods_speedup_030</t>
  </si>
  <si>
    <t>goods_speedup_031</t>
  </si>
  <si>
    <t>goods_speedup_032</t>
  </si>
  <si>
    <t>goods_speedup_033</t>
  </si>
  <si>
    <t>goods_speedup_034</t>
  </si>
  <si>
    <t>goods_speedup_035</t>
  </si>
  <si>
    <t>goods_speedup_036</t>
  </si>
  <si>
    <t>goods_speedup_037</t>
  </si>
  <si>
    <t>goods_speedup_038</t>
  </si>
  <si>
    <t>goods_speedup_039</t>
  </si>
  <si>
    <t>goods_speedup_040</t>
  </si>
  <si>
    <t>goods_speedup_041</t>
  </si>
  <si>
    <t>goods_speedup_042</t>
  </si>
  <si>
    <t>goods_speedup_043</t>
  </si>
  <si>
    <t>goods_speedup_044</t>
  </si>
  <si>
    <t>goods_speedup_045</t>
  </si>
  <si>
    <t>goods_speedup_046</t>
  </si>
  <si>
    <t>goods_speedup_047</t>
  </si>
  <si>
    <t>goods_speedup_048</t>
  </si>
  <si>
    <t>goods_speedup_049</t>
  </si>
  <si>
    <t>goods_speedup_050</t>
  </si>
  <si>
    <t>goods_speedup_051</t>
  </si>
  <si>
    <t>goods_speedup_052</t>
  </si>
  <si>
    <t>goods_speedup_053</t>
  </si>
  <si>
    <t>goods_speedup_054</t>
  </si>
  <si>
    <t>goods_speedup_055</t>
  </si>
  <si>
    <t>goods_speedup_056</t>
  </si>
  <si>
    <t>goods_speedup_057</t>
  </si>
  <si>
    <t>goods_speedup_058</t>
  </si>
  <si>
    <t>goods_speedup_059</t>
  </si>
  <si>
    <t>goods_speedup_060</t>
  </si>
  <si>
    <t>goods_speedup_061</t>
  </si>
  <si>
    <t>goods_speedup_062</t>
  </si>
  <si>
    <t>goods_speedup_063</t>
  </si>
  <si>
    <t>goods_speedup_064</t>
  </si>
  <si>
    <t>goods_speedup_065</t>
  </si>
  <si>
    <t>goods_speedup_066</t>
  </si>
  <si>
    <t>goods_speedup_067</t>
  </si>
  <si>
    <t>goods_speedup_068</t>
  </si>
  <si>
    <t>goods_speedup_069</t>
  </si>
  <si>
    <t>goods_speedup_070</t>
  </si>
  <si>
    <t>goods_speedup_071</t>
  </si>
  <si>
    <t>goods_speedup_072</t>
  </si>
  <si>
    <t>其他类物品</t>
  </si>
  <si>
    <t>抽卡券卡牌部分价值</t>
  </si>
  <si>
    <t>抽卡券零件部分价值</t>
  </si>
  <si>
    <t>内部资源价</t>
  </si>
  <si>
    <t>显示资源价</t>
  </si>
  <si>
    <t>四星卡期望</t>
  </si>
  <si>
    <t>经验期望</t>
  </si>
  <si>
    <t>弹药期望</t>
  </si>
  <si>
    <t>零件期望</t>
  </si>
  <si>
    <t>铜材料期望</t>
  </si>
  <si>
    <t>军经期望</t>
  </si>
  <si>
    <t>空经期望</t>
  </si>
  <si>
    <t>空弹期望</t>
  </si>
  <si>
    <t>空零期望</t>
  </si>
  <si>
    <t>goods_others_001</t>
  </si>
  <si>
    <t>goods_others_002</t>
  </si>
  <si>
    <t>goods_others_003</t>
  </si>
  <si>
    <t>goods_others_004</t>
  </si>
  <si>
    <t>goods_others_005</t>
  </si>
  <si>
    <t>goods_others_006</t>
  </si>
  <si>
    <t>goods_others_007</t>
  </si>
  <si>
    <t>goods_others_008</t>
  </si>
  <si>
    <t>goods_others_009</t>
  </si>
  <si>
    <t>goods_others_010</t>
  </si>
  <si>
    <t>goods_others_011</t>
  </si>
  <si>
    <t>officer_exp_card_3</t>
  </si>
  <si>
    <t>goods_others_012</t>
  </si>
  <si>
    <t>chest_select_replacement_silver</t>
  </si>
  <si>
    <t>goods_others_013</t>
  </si>
  <si>
    <t>goods_others_014</t>
  </si>
  <si>
    <t>goods_others_015</t>
  </si>
  <si>
    <t>goods_others_016</t>
  </si>
  <si>
    <t>goods_others_017</t>
  </si>
  <si>
    <t>goods_others_018</t>
  </si>
  <si>
    <t>goods_others_019</t>
  </si>
  <si>
    <t>goods_others_020</t>
  </si>
  <si>
    <t>goods_others_021</t>
  </si>
  <si>
    <t>goods_others_022</t>
  </si>
  <si>
    <t>goods_others_023</t>
  </si>
  <si>
    <t>goods_others_024</t>
  </si>
  <si>
    <t>goods_others_025</t>
  </si>
  <si>
    <t>goods_others_026</t>
  </si>
  <si>
    <t>goods_others_027</t>
  </si>
  <si>
    <t>goods_others_028</t>
  </si>
  <si>
    <t>goods_others_029</t>
  </si>
  <si>
    <t>goods_others_030</t>
  </si>
  <si>
    <t>goods_others_031</t>
  </si>
  <si>
    <t>goods_others_032</t>
  </si>
  <si>
    <t>goods_others_033</t>
  </si>
  <si>
    <t>goods_others_034</t>
  </si>
  <si>
    <t>goods_others_035</t>
  </si>
  <si>
    <t>goods_others_036</t>
  </si>
  <si>
    <t>goods_others_037</t>
  </si>
  <si>
    <t>goods_others_038</t>
  </si>
  <si>
    <t>goods_others_039</t>
  </si>
  <si>
    <t>goods_others_040</t>
  </si>
  <si>
    <t>goods_others_041</t>
  </si>
  <si>
    <t>goods_others_042</t>
  </si>
  <si>
    <t>goods_others_043</t>
  </si>
  <si>
    <t>goods_others_044</t>
  </si>
  <si>
    <t>goods_others_045</t>
  </si>
  <si>
    <t>goods_others_046</t>
  </si>
  <si>
    <t>goods_others_047</t>
  </si>
  <si>
    <t>goods_others_048</t>
  </si>
  <si>
    <t>goods_others_049</t>
  </si>
  <si>
    <t>goods_others_050</t>
  </si>
  <si>
    <t>goods_others_051</t>
  </si>
  <si>
    <t>goods_others_052</t>
  </si>
  <si>
    <t>goods_others_053</t>
  </si>
  <si>
    <t>goods_others_054</t>
  </si>
  <si>
    <t>goods_others_055</t>
  </si>
  <si>
    <t>goods_others_056</t>
  </si>
  <si>
    <t>空军新增</t>
  </si>
  <si>
    <t>TRUE权重</t>
  </si>
  <si>
    <t>FALSE权重</t>
  </si>
  <si>
    <t>黄金月卡产出占比</t>
  </si>
  <si>
    <t>黄金月卡每日标准产出</t>
  </si>
  <si>
    <t>活动工作表</t>
  </si>
  <si>
    <t>黄金活动产出占比</t>
  </si>
  <si>
    <t>黄金活动每日标准产出</t>
  </si>
  <si>
    <t>资源活动每日标准产出</t>
  </si>
  <si>
    <t>加速活动每日标准产出</t>
  </si>
  <si>
    <t>卡牌活动每日标准产出</t>
  </si>
  <si>
    <t>陆军经验活动每日标准产出</t>
  </si>
  <si>
    <t>弹药活动每日标准产出</t>
  </si>
  <si>
    <t>零件活动每日标准产出</t>
  </si>
  <si>
    <t>配件材料活动每日标准产出</t>
  </si>
  <si>
    <t>配件图纸最大月免费产出</t>
  </si>
  <si>
    <t>配件图纸活动产出占比</t>
  </si>
  <si>
    <t>配件图纸活动每日标准产出</t>
  </si>
  <si>
    <t>空弹活动每日标准产出</t>
  </si>
  <si>
    <t>空零活动每日标准产出</t>
  </si>
  <si>
    <t>VIP宝箱工作表</t>
  </si>
  <si>
    <t>基础资源VIP宝箱产出占比</t>
  </si>
  <si>
    <t>基础资源VIP宝箱每日标准产出</t>
  </si>
  <si>
    <t>卡牌VIP宝箱产出占比</t>
  </si>
  <si>
    <t>卡牌VIP宝箱每日标准产出</t>
  </si>
  <si>
    <t>陆军经验VIP宝箱产出占比</t>
  </si>
  <si>
    <t>陆军经验VIP宝箱每日标准产出</t>
  </si>
  <si>
    <t>零件VIP宝箱产出占比</t>
  </si>
  <si>
    <t>零件VIP宝箱每日标准产出</t>
  </si>
  <si>
    <t>配件材料VIP宝箱每日标准产出</t>
  </si>
  <si>
    <t>军官技能书VIP宝箱产出占比</t>
  </si>
  <si>
    <t>军官技能书VIP宝箱每日标准产出</t>
  </si>
  <si>
    <t>空军经验VIP宝箱产出占比</t>
  </si>
  <si>
    <t>空军经验VIP宝箱每日标准产出</t>
  </si>
  <si>
    <t>VIP宝箱配置</t>
  </si>
  <si>
    <t>抽卡券期望包含卡牌</t>
  </si>
  <si>
    <t>抽卡券期望包含零件</t>
  </si>
  <si>
    <t>银材自选折铜数</t>
  </si>
  <si>
    <t>camp_key</t>
  </si>
  <si>
    <t>通用技能书</t>
  </si>
  <si>
    <t>银材自选</t>
  </si>
  <si>
    <t>1万军费</t>
  </si>
  <si>
    <t>1万钢材</t>
  </si>
  <si>
    <t>1万原油</t>
  </si>
  <si>
    <t>计算过程</t>
  </si>
  <si>
    <t>资源类型</t>
  </si>
  <si>
    <t>VIP商店工作表</t>
  </si>
  <si>
    <t>加速VIP商店产出占比</t>
  </si>
  <si>
    <t>加速VIP商店每日标准产出</t>
  </si>
  <si>
    <t>卡牌VIP商店产出占比</t>
  </si>
  <si>
    <t>卡牌VIP商店每日标准产出</t>
  </si>
  <si>
    <t>弹药VIP商店产出占比</t>
  </si>
  <si>
    <t>弹药VIP商店每日标准产出</t>
  </si>
  <si>
    <t>零件VIP商店产出占比</t>
  </si>
  <si>
    <t>零件VIP商店每日标准产出</t>
  </si>
  <si>
    <t>军官经验VIP商店产出占比</t>
  </si>
  <si>
    <t>军官经验VIP商店每日标准产出</t>
  </si>
  <si>
    <t>空弹VIP商店产出占比</t>
  </si>
  <si>
    <t>空弹VIP商店每日标准产出</t>
  </si>
  <si>
    <t>基础资源VIP商店每日标准消耗</t>
  </si>
  <si>
    <t>黄金VIP商店每日标准消耗</t>
  </si>
  <si>
    <t>VIP商店刷新天数</t>
  </si>
  <si>
    <t>1阵营券</t>
  </si>
  <si>
    <t>1空降券</t>
  </si>
  <si>
    <t>VIP商店物品</t>
  </si>
  <si>
    <t>vip_goods_001</t>
  </si>
  <si>
    <t>action_point_small</t>
  </si>
  <si>
    <t>vip_goods_002</t>
  </si>
  <si>
    <t>vip_goods_003</t>
  </si>
  <si>
    <t>vip_goods_004</t>
  </si>
  <si>
    <t>vip_goods_005</t>
  </si>
  <si>
    <t>fragment_star04</t>
  </si>
  <si>
    <t>vip_goods_006</t>
  </si>
  <si>
    <t>vip_goods_007</t>
  </si>
  <si>
    <t>vip_goods_008</t>
  </si>
  <si>
    <t>vip_goods_009</t>
  </si>
  <si>
    <t>vip_goods_010</t>
  </si>
  <si>
    <t>vip_goods_011</t>
  </si>
  <si>
    <t>vip_goods_012</t>
  </si>
  <si>
    <t>teleport_common</t>
  </si>
  <si>
    <t>vip_goods_013</t>
  </si>
  <si>
    <t>rush_tech_common_3h</t>
  </si>
  <si>
    <t>vip_goods_014</t>
  </si>
  <si>
    <t>officer_exp_card_1</t>
  </si>
  <si>
    <t>vip_goods_015</t>
  </si>
  <si>
    <t>metal_1500000_card</t>
  </si>
  <si>
    <t>vip_goods_016</t>
  </si>
  <si>
    <t>vip_goods_017</t>
  </si>
  <si>
    <t>oil_1500000_card</t>
  </si>
  <si>
    <t>vip_goods_018</t>
  </si>
  <si>
    <t>vip_goods_019</t>
  </si>
  <si>
    <t>gold_1500000_card</t>
  </si>
  <si>
    <t>vip_goods_020</t>
  </si>
  <si>
    <t>vip_goods_021</t>
  </si>
  <si>
    <t>vip_goods_022</t>
  </si>
  <si>
    <t>vip_goods_023</t>
  </si>
  <si>
    <t>officer_exp_card_2</t>
  </si>
  <si>
    <t>vip_goods_024</t>
  </si>
  <si>
    <t>metal_5000000_card</t>
  </si>
  <si>
    <t>vip_goods_025</t>
  </si>
  <si>
    <t>vip_goods_026</t>
  </si>
  <si>
    <t>oil_5000000_card</t>
  </si>
  <si>
    <t>vip_goods_027</t>
  </si>
  <si>
    <t>vip_goods_028</t>
  </si>
  <si>
    <t>vip_goods_029</t>
  </si>
  <si>
    <t>gold_5000000_card</t>
  </si>
  <si>
    <t>vip_goods_030</t>
  </si>
  <si>
    <t>chest_select_replacement_golden</t>
  </si>
  <si>
    <t>vip_goods_031</t>
  </si>
  <si>
    <t>vip_goods_032</t>
  </si>
  <si>
    <t>fragment_star05</t>
  </si>
  <si>
    <t>VIP商店物品（续）</t>
  </si>
  <si>
    <t>小R日均产出</t>
  </si>
  <si>
    <t>资源期望</t>
  </si>
  <si>
    <t>加速期望</t>
  </si>
  <si>
    <t>陆经期望</t>
  </si>
  <si>
    <t>技书期望</t>
  </si>
  <si>
    <t>四星卡</t>
  </si>
  <si>
    <t>陆经</t>
  </si>
  <si>
    <t>军经</t>
  </si>
  <si>
    <t>空经</t>
  </si>
  <si>
    <t>vip_goods_033</t>
  </si>
  <si>
    <t>vip_goods_034</t>
  </si>
  <si>
    <t>vip_goods_035</t>
  </si>
  <si>
    <t>vip_goods_036</t>
  </si>
  <si>
    <t>vip_goods_037</t>
  </si>
  <si>
    <t>vip_goods_038</t>
  </si>
  <si>
    <t>vip_goods_039</t>
  </si>
  <si>
    <t>vip_goods_040</t>
  </si>
  <si>
    <t>小R日均产</t>
  </si>
  <si>
    <t>VIP商店小R日产出</t>
  </si>
  <si>
    <t>主题活动工作表</t>
  </si>
  <si>
    <t>产出规划</t>
  </si>
  <si>
    <t>科技书数</t>
  </si>
  <si>
    <t>卡牌联盟商店产出占比</t>
  </si>
  <si>
    <t>卡牌联盟商店每日标准产出</t>
  </si>
  <si>
    <t>零件联盟商店产出占比</t>
  </si>
  <si>
    <t>零件联盟商店每日标准产出</t>
  </si>
  <si>
    <t>配件材料联盟商店产出占比</t>
  </si>
  <si>
    <t>配件材料联盟商店每日标准产出</t>
  </si>
  <si>
    <t>采集获取联盟币系数</t>
  </si>
  <si>
    <t>采集量/获得盟币数</t>
  </si>
  <si>
    <t>联盟币日产出</t>
  </si>
  <si>
    <t>盟科盟币</t>
  </si>
  <si>
    <t>帮助盟币</t>
  </si>
  <si>
    <t>村庄盟币</t>
  </si>
  <si>
    <t>采集盟币</t>
  </si>
  <si>
    <t>盟币日产</t>
  </si>
  <si>
    <t>联盟商店刷新天数</t>
  </si>
  <si>
    <t>1k联盟币内部美元价</t>
  </si>
  <si>
    <t>萝卜用联盟币购买价格</t>
  </si>
  <si>
    <t>其他物品用联盟币购买价格</t>
  </si>
  <si>
    <t>联盟币固定商品</t>
  </si>
  <si>
    <t>盟币售价</t>
  </si>
  <si>
    <t>盟币总量</t>
  </si>
  <si>
    <t>guild_goods_001</t>
  </si>
  <si>
    <t>chest_select_resource_500k</t>
  </si>
  <si>
    <t>guild_goods_002</t>
  </si>
  <si>
    <t>guild_goods_003</t>
  </si>
  <si>
    <t>guild_goods_004</t>
  </si>
  <si>
    <t>officer_skill_item_freedom_04</t>
  </si>
  <si>
    <t>guild_goods_005</t>
  </si>
  <si>
    <t>guild_goods_006</t>
  </si>
  <si>
    <t>component_group_silver</t>
  </si>
  <si>
    <t>guild_goods_007</t>
  </si>
  <si>
    <t>guild_goods_008</t>
  </si>
  <si>
    <t>guild_goods_009</t>
  </si>
  <si>
    <t>city_transfer</t>
  </si>
  <si>
    <t>迁城券</t>
  </si>
  <si>
    <t>guild_goods_010</t>
  </si>
  <si>
    <t>guild_goods_011</t>
  </si>
  <si>
    <t>guild_goods_012</t>
  </si>
  <si>
    <t>guild_goods_013</t>
  </si>
  <si>
    <t>guild_goods_015</t>
  </si>
  <si>
    <t>guild_goods_014</t>
  </si>
  <si>
    <t>guild_goods_016</t>
  </si>
  <si>
    <t>guild_goods_017</t>
  </si>
  <si>
    <t>guild_goods_018</t>
  </si>
  <si>
    <t>guild_goods_019</t>
  </si>
  <si>
    <t>vip_point_100</t>
  </si>
  <si>
    <t>联盟商店一档+二档日产出核算</t>
  </si>
  <si>
    <t>空降猎兵产出占比</t>
  </si>
  <si>
    <t>空降猎兵标准产出</t>
  </si>
  <si>
    <t>活动开放周期</t>
  </si>
  <si>
    <t>周期开放天数</t>
  </si>
  <si>
    <t>个人投放</t>
  </si>
  <si>
    <t>联盟投放</t>
  </si>
  <si>
    <t>活动产出膨胀</t>
  </si>
  <si>
    <t>活动难度</t>
  </si>
  <si>
    <t>开放天数</t>
  </si>
  <si>
    <t>通关天数</t>
  </si>
  <si>
    <t>难度</t>
  </si>
  <si>
    <t>积分奖励</t>
  </si>
  <si>
    <t>黄金产出膨胀</t>
  </si>
  <si>
    <t>基础资源产出膨胀</t>
  </si>
  <si>
    <t>加速产出膨胀</t>
  </si>
  <si>
    <t>配件材料产出膨胀</t>
  </si>
  <si>
    <t>icon</t>
  </si>
  <si>
    <t>chest_drawing_all_silver</t>
  </si>
  <si>
    <t>钢铁</t>
  </si>
  <si>
    <t>建材加速</t>
  </si>
  <si>
    <t>配件银材料宝箱</t>
  </si>
  <si>
    <t>银配件图纸宝箱</t>
  </si>
  <si>
    <t>黄金合计</t>
  </si>
  <si>
    <t>资源合计</t>
  </si>
  <si>
    <t>加速合计</t>
  </si>
  <si>
    <t>配件材料合计</t>
  </si>
  <si>
    <t>新日常产出</t>
  </si>
  <si>
    <t>资源比账号经验</t>
  </si>
  <si>
    <t>指挥部等级计算系数1</t>
  </si>
  <si>
    <t>指挥部等级计算系数2</t>
  </si>
  <si>
    <t>账号经验消耗</t>
  </si>
  <si>
    <t>修正系数</t>
  </si>
  <si>
    <t>累积账经</t>
  </si>
  <si>
    <t>对比最紧</t>
  </si>
  <si>
    <t>旧账经配置</t>
  </si>
  <si>
    <t>旧积累账经</t>
  </si>
  <si>
    <t>旧消耗资源</t>
  </si>
  <si>
    <t>新移除指挥部</t>
  </si>
  <si>
    <t>指挥部资源</t>
  </si>
  <si>
    <t>新建造值需求</t>
  </si>
  <si>
    <t>奖励配置</t>
  </si>
  <si>
    <t>action_point_middle</t>
  </si>
  <si>
    <t>账号等级</t>
  </si>
  <si>
    <t>加速（分）</t>
  </si>
  <si>
    <t>个数1</t>
  </si>
  <si>
    <t>个数2</t>
  </si>
  <si>
    <t>子任务产出规划（叶子提供）</t>
  </si>
  <si>
    <t>章节奖励规划（叶子提供）</t>
  </si>
  <si>
    <t>投放总量（叶子提供）</t>
  </si>
  <si>
    <t>资源（M）</t>
  </si>
  <si>
    <t>建材（天）</t>
  </si>
  <si>
    <t>一级城市</t>
  </si>
  <si>
    <t>二级城市</t>
  </si>
  <si>
    <t>三级城市</t>
  </si>
  <si>
    <t>宝箱ID</t>
  </si>
  <si>
    <t>黄金数量</t>
  </si>
  <si>
    <t>挂机首通工作表</t>
  </si>
  <si>
    <t>1240关</t>
  </si>
  <si>
    <t>总量</t>
  </si>
  <si>
    <t>价值</t>
  </si>
  <si>
    <t>日常总产</t>
  </si>
  <si>
    <t>占比</t>
  </si>
  <si>
    <t>60分加速</t>
  </si>
  <si>
    <t>500k军费</t>
  </si>
  <si>
    <t>500k钢材</t>
  </si>
  <si>
    <t>500k原油</t>
  </si>
  <si>
    <t>规划品质</t>
  </si>
  <si>
    <t>声望</t>
  </si>
  <si>
    <t>装备/图纸</t>
  </si>
  <si>
    <t>中立</t>
  </si>
  <si>
    <t>友善I</t>
  </si>
  <si>
    <t>大</t>
  </si>
  <si>
    <t>铜三件套</t>
  </si>
  <si>
    <t>light_engine_101</t>
  </si>
  <si>
    <t>auxiliary_101</t>
  </si>
  <si>
    <t>rapid_gun_101</t>
  </si>
  <si>
    <t>superheavy_suspension_201</t>
  </si>
  <si>
    <t>armor_401</t>
  </si>
  <si>
    <t>heavy_cannon_201</t>
  </si>
  <si>
    <t>traction_301</t>
  </si>
  <si>
    <t>rocket_shell_301</t>
  </si>
  <si>
    <t>launcher_301</t>
  </si>
  <si>
    <t>友善II</t>
  </si>
  <si>
    <t>小</t>
  </si>
  <si>
    <t>亲密I</t>
  </si>
  <si>
    <t>银三件套</t>
  </si>
  <si>
    <t>drawing_light_engine_102</t>
  </si>
  <si>
    <t>drawing_auxiliary_102</t>
  </si>
  <si>
    <t>drawing_rapid_gun_102</t>
  </si>
  <si>
    <t>drawing_superheavy_suspension_202</t>
  </si>
  <si>
    <t>drawing_armor_403</t>
  </si>
  <si>
    <t>drawing_heavy_cannon_202</t>
  </si>
  <si>
    <t>drawing_traction_303</t>
  </si>
  <si>
    <t>drawing_rocket_shell_302</t>
  </si>
  <si>
    <t>drawing_launcher_302</t>
  </si>
  <si>
    <t>亲密II</t>
  </si>
  <si>
    <t>亲密III</t>
  </si>
  <si>
    <t>崇敬I</t>
  </si>
  <si>
    <t>银+三件套</t>
  </si>
  <si>
    <t>drawing_light_engine_103</t>
  </si>
  <si>
    <t>drawing_auxiliary_104</t>
  </si>
  <si>
    <t>drawing_rapid_gun_103</t>
  </si>
  <si>
    <t>drawing_superheavy_suspension_203</t>
  </si>
  <si>
    <t>drawing_armor_405</t>
  </si>
  <si>
    <t>drawing_heavy_cannon_204</t>
  </si>
  <si>
    <t>drawing_traction_305</t>
  </si>
  <si>
    <t>drawing_rocket_shell_303</t>
  </si>
  <si>
    <t>drawing_launcher_303</t>
  </si>
  <si>
    <t>崇敬II</t>
  </si>
  <si>
    <t>崇敬III</t>
  </si>
  <si>
    <t>崇敬IV</t>
  </si>
  <si>
    <t>崇拜I</t>
  </si>
  <si>
    <t>金三件套</t>
  </si>
  <si>
    <t>drawing_light_engine_104</t>
  </si>
  <si>
    <t>drawing_auxiliary_106</t>
  </si>
  <si>
    <t>drawing_rapid_gun_104</t>
  </si>
  <si>
    <t>drawing_superheavy_suspension_204</t>
  </si>
  <si>
    <t>drawing_armor_406</t>
  </si>
  <si>
    <t>drawing_heavy_cannon_205</t>
  </si>
  <si>
    <t>drawing_traction_307</t>
  </si>
  <si>
    <t>drawing_rocket_shell_304</t>
  </si>
  <si>
    <t>drawing_launcher_304</t>
  </si>
  <si>
    <t>崇拜II</t>
  </si>
  <si>
    <t>崇拜III</t>
  </si>
  <si>
    <t>崇拜IV</t>
  </si>
  <si>
    <t>崇拜V</t>
  </si>
  <si>
    <t>金+三件套</t>
  </si>
  <si>
    <t>drawing_light_engine_105</t>
  </si>
  <si>
    <t>drawing_auxiliary_107</t>
  </si>
  <si>
    <t>drawing_rapid_gun_105</t>
  </si>
  <si>
    <t>drawing_superheavy_suspension_205</t>
  </si>
  <si>
    <t>drawing_armor_408</t>
  </si>
  <si>
    <t>drawing_heavy_cannon_206</t>
  </si>
  <si>
    <t>drawing_traction_309</t>
  </si>
  <si>
    <t>drawing_rocket_shell_305</t>
  </si>
  <si>
    <t>drawing_launcher_305</t>
  </si>
  <si>
    <t>图鉴领取产出规划</t>
  </si>
  <si>
    <t>总数</t>
  </si>
  <si>
    <t>首次额外阵经</t>
  </si>
  <si>
    <t>单图鉴解锁价值</t>
  </si>
  <si>
    <t>星级贡献价值</t>
  </si>
  <si>
    <t>银随机宝箱</t>
  </si>
  <si>
    <t>金随机宝箱</t>
  </si>
  <si>
    <t>新一次性产出</t>
  </si>
  <si>
    <t>体力上限</t>
  </si>
  <si>
    <t>恢复1点体力所需时间（秒）</t>
  </si>
  <si>
    <t>恢复满体力所需时间（小时）</t>
  </si>
  <si>
    <t>每日体力自然产出</t>
  </si>
  <si>
    <t>每日总产出</t>
  </si>
  <si>
    <t>每日任务每日体力投放</t>
  </si>
  <si>
    <t>小月卡每日体力投放</t>
  </si>
  <si>
    <t>活动每日体力投放</t>
  </si>
  <si>
    <t>VIP商店每日投放</t>
  </si>
  <si>
    <t>黑市投放</t>
  </si>
  <si>
    <t>实际每日投放</t>
  </si>
  <si>
    <t>单点体力价值</t>
  </si>
  <si>
    <t>20点体力价值</t>
  </si>
  <si>
    <t>体力增益汇总</t>
  </si>
  <si>
    <t>VIP体速</t>
  </si>
  <si>
    <t>总体速</t>
  </si>
  <si>
    <t>额外体力</t>
  </si>
  <si>
    <t>抽卡券黄金Y档价格</t>
  </si>
  <si>
    <t>几张4星合成一张4.1星</t>
  </si>
  <si>
    <t>几张4星合成一张5星</t>
  </si>
  <si>
    <t>单个权重</t>
  </si>
  <si>
    <t>自由数量</t>
  </si>
  <si>
    <t>自由权重</t>
  </si>
  <si>
    <t>强权数量</t>
  </si>
  <si>
    <t>强权权重</t>
  </si>
  <si>
    <t>秩序数量</t>
  </si>
  <si>
    <t>秩序权重</t>
  </si>
  <si>
    <t>3星卡</t>
  </si>
  <si>
    <t>4星卡</t>
  </si>
  <si>
    <t>5星卡</t>
  </si>
  <si>
    <t>通过抽卡平均获得1张指定5星会同时获得几张5星狗粮</t>
  </si>
  <si>
    <t>阵营券（以自由为例）</t>
  </si>
  <si>
    <t>胎4兵种</t>
  </si>
  <si>
    <t>胎5兵种</t>
  </si>
  <si>
    <t>新中间物品</t>
  </si>
  <si>
    <t>预备役定价</t>
  </si>
  <si>
    <t>1个预备役</t>
  </si>
  <si>
    <t>1个预备役基础恢复时间（秒）</t>
  </si>
  <si>
    <t>1人口基础军费消耗</t>
  </si>
  <si>
    <t>军费膨胀</t>
  </si>
  <si>
    <t>膨胀系数</t>
  </si>
  <si>
    <t>军衔等级</t>
  </si>
  <si>
    <t>战损膨胀</t>
  </si>
  <si>
    <t>兵营数量</t>
  </si>
  <si>
    <t>建筑预上</t>
  </si>
  <si>
    <t>科技预上</t>
  </si>
  <si>
    <t>总预上</t>
  </si>
  <si>
    <t>基础预恢</t>
  </si>
  <si>
    <t>建筑预恢</t>
  </si>
  <si>
    <t>科技预恢</t>
  </si>
  <si>
    <t>总预恢</t>
  </si>
  <si>
    <t>死完预役</t>
  </si>
  <si>
    <t>每日恢复</t>
  </si>
  <si>
    <t>每日几轮</t>
  </si>
  <si>
    <t>回满天数</t>
  </si>
  <si>
    <t>单人军费</t>
  </si>
  <si>
    <t>死完军费</t>
  </si>
  <si>
    <t>联盟积分工作表</t>
  </si>
  <si>
    <t>村庄每小时联盟积分产量</t>
  </si>
  <si>
    <t>联盟仓库初始上限</t>
  </si>
  <si>
    <t>联盟初始积分</t>
  </si>
  <si>
    <t>司令部建造所需积分</t>
  </si>
  <si>
    <t>首个村庄所需积分</t>
  </si>
  <si>
    <t>村庄个数</t>
  </si>
  <si>
    <t>攒分小时</t>
  </si>
  <si>
    <t>联盟科技工作表</t>
  </si>
  <si>
    <t>玩家联盟科技普通捐献恢复时间</t>
  </si>
  <si>
    <t>单个玩家单日普通捐献次数</t>
  </si>
  <si>
    <t>每次捐献基础研究点数</t>
  </si>
  <si>
    <t>玩家单日期贡献望研究点数</t>
  </si>
  <si>
    <t>捐献暴击配置</t>
  </si>
  <si>
    <t>普通倍率</t>
  </si>
  <si>
    <t>普通权重</t>
  </si>
  <si>
    <t>普通概率</t>
  </si>
  <si>
    <t>普通期望</t>
  </si>
  <si>
    <t>高级倍率</t>
  </si>
  <si>
    <t>高级权重</t>
  </si>
  <si>
    <t>高级概率</t>
  </si>
  <si>
    <t>高级期望</t>
  </si>
  <si>
    <t>联盟科技树（详见联盟科技系统文档）</t>
  </si>
  <si>
    <t>科技类型</t>
  </si>
  <si>
    <t>捐献资源</t>
  </si>
  <si>
    <t>研点初始</t>
  </si>
  <si>
    <t>研点增量</t>
  </si>
  <si>
    <t>研点总和</t>
  </si>
  <si>
    <t>研资初始</t>
  </si>
  <si>
    <t>研资增量</t>
  </si>
  <si>
    <t>研资总和</t>
  </si>
  <si>
    <t>研究时间</t>
  </si>
  <si>
    <t>互助协议</t>
  </si>
  <si>
    <t>共同宪章</t>
  </si>
  <si>
    <t>劳工协定</t>
  </si>
  <si>
    <t>同仇敌忾</t>
  </si>
  <si>
    <t>主动科技（预留）</t>
  </si>
  <si>
    <t>战争税制</t>
  </si>
  <si>
    <t>工业联合体</t>
  </si>
  <si>
    <t>合作开采</t>
  </si>
  <si>
    <t>先军理念</t>
  </si>
  <si>
    <t>联盟商店I</t>
  </si>
  <si>
    <t>学术委员会</t>
  </si>
  <si>
    <t>产业分工</t>
  </si>
  <si>
    <t>情报共享</t>
  </si>
  <si>
    <t>联邦体制</t>
  </si>
  <si>
    <t>联盟商店II</t>
  </si>
  <si>
    <t>关税准则</t>
  </si>
  <si>
    <t>钢铁托拉斯</t>
  </si>
  <si>
    <t>石化协作</t>
  </si>
  <si>
    <t>联盟商店III</t>
  </si>
  <si>
    <t>协作机制</t>
  </si>
  <si>
    <t>新增科技1</t>
  </si>
  <si>
    <t>地方秩序</t>
  </si>
  <si>
    <t>应急储存</t>
  </si>
  <si>
    <t>官僚体制</t>
  </si>
  <si>
    <t>占领区</t>
  </si>
  <si>
    <t>征服者</t>
  </si>
  <si>
    <t>统治哲学</t>
  </si>
  <si>
    <t>资源储备</t>
  </si>
  <si>
    <t>扩张理念</t>
  </si>
  <si>
    <t>预算评议</t>
  </si>
  <si>
    <t>新增科技2</t>
  </si>
  <si>
    <t>重型火力</t>
  </si>
  <si>
    <t>支援火力</t>
  </si>
  <si>
    <t>压制火力</t>
  </si>
  <si>
    <t>新增科技3</t>
  </si>
  <si>
    <t>军国思想</t>
  </si>
  <si>
    <t>自由主义</t>
  </si>
  <si>
    <t>保卫苏维埃</t>
  </si>
  <si>
    <t>闪电战战术</t>
  </si>
  <si>
    <t>一体化作战</t>
  </si>
  <si>
    <t>大纵深作战</t>
  </si>
  <si>
    <t>新增科技4</t>
  </si>
  <si>
    <t>要塞化</t>
  </si>
  <si>
    <t>多元补给</t>
  </si>
  <si>
    <t>纵深防御</t>
  </si>
  <si>
    <t>效果规划</t>
  </si>
  <si>
    <t>成员数</t>
  </si>
  <si>
    <t>领土数</t>
  </si>
  <si>
    <t>黑伤增益</t>
  </si>
  <si>
    <t>领地数</t>
  </si>
  <si>
    <t>获得盟分</t>
  </si>
  <si>
    <t>累积盟分</t>
  </si>
  <si>
    <t>迁城道具</t>
  </si>
  <si>
    <t>改名卡</t>
  </si>
  <si>
    <t>个人积分与黄金等价关系</t>
  </si>
  <si>
    <t>联盟库存商品</t>
  </si>
  <si>
    <t>显示黄金</t>
  </si>
  <si>
    <t>alliance_market_goods_001</t>
  </si>
  <si>
    <t>league_integral</t>
  </si>
  <si>
    <t>alliance_market_goods_002</t>
  </si>
  <si>
    <t>alliance_market_goods_003</t>
  </si>
  <si>
    <t>alliance_market_goods_004</t>
  </si>
  <si>
    <t>rush_common_1m</t>
  </si>
  <si>
    <t>alliance_market_goods_005</t>
  </si>
  <si>
    <t>alliance_market_goods_006</t>
  </si>
  <si>
    <t>alliance_market_goods_007</t>
  </si>
  <si>
    <t>rush_common_3h</t>
  </si>
  <si>
    <t>alliance_market_goods_008</t>
  </si>
  <si>
    <t>alliance_market_goods_009</t>
  </si>
  <si>
    <t>alliance_market_goods_010</t>
  </si>
  <si>
    <t>alliance_market_goods_011</t>
  </si>
  <si>
    <t>alliance_market_goods_012</t>
  </si>
  <si>
    <t>alliance_market_goods_013</t>
  </si>
  <si>
    <t>alliance_market_goods_014</t>
  </si>
  <si>
    <t>alliance_market_goods_015</t>
  </si>
  <si>
    <t>alliance_market_goods_016</t>
  </si>
  <si>
    <t>alliance_market_goods_017</t>
  </si>
  <si>
    <t>alliance_market_goods_018</t>
  </si>
  <si>
    <t>alliance_market_goods_019</t>
  </si>
  <si>
    <t>alliance_market_goods_020</t>
  </si>
  <si>
    <t>alliance_market_goods_021</t>
  </si>
  <si>
    <t>联盟商店商品</t>
  </si>
  <si>
    <t>alliance_player_market_goods_001</t>
  </si>
  <si>
    <t>individual_integral</t>
  </si>
  <si>
    <t>alliance_player_market_goods_002</t>
  </si>
  <si>
    <t>alliance_player_market_goods_003</t>
  </si>
  <si>
    <t>alliance_player_market_goods_004</t>
  </si>
  <si>
    <t>alliance_player_market_goods_005</t>
  </si>
  <si>
    <t>alliance_player_market_goods_006</t>
  </si>
  <si>
    <t>alliance_player_market_goods_007</t>
  </si>
  <si>
    <t>alliance_player_market_goods_008</t>
  </si>
  <si>
    <t>alliance_player_market_goods_009</t>
  </si>
  <si>
    <t>alliance_player_market_goods_010</t>
  </si>
  <si>
    <t>alliance_player_market_goods_011</t>
  </si>
  <si>
    <t>alliance_player_market_goods_012</t>
  </si>
  <si>
    <t>alliance_player_market_goods_013</t>
  </si>
  <si>
    <t>alliance_player_market_goods_014</t>
  </si>
  <si>
    <t>alliance_player_market_goods_015</t>
  </si>
  <si>
    <t>alliance_player_market_goods_016</t>
  </si>
  <si>
    <t>alliance_player_market_goods_017</t>
  </si>
  <si>
    <t>alliance_player_market_goods_018</t>
  </si>
  <si>
    <t>alliance_player_market_goods_019</t>
  </si>
  <si>
    <t>alliance_player_market_goods_020</t>
  </si>
  <si>
    <t>alliance_player_market_goods_021</t>
  </si>
  <si>
    <t>建材黄金价</t>
  </si>
  <si>
    <t>新其他数值</t>
  </si>
  <si>
    <t>道具ID</t>
  </si>
  <si>
    <t>道具类型</t>
  </si>
  <si>
    <t>萝卜单位</t>
  </si>
  <si>
    <t>道具数量</t>
  </si>
  <si>
    <t>空币单位</t>
  </si>
  <si>
    <t>rush_common_15h</t>
  </si>
  <si>
    <t>rush_common_3d</t>
  </si>
  <si>
    <t>rush_common_7d</t>
  </si>
  <si>
    <t>rush_common_30d</t>
  </si>
  <si>
    <t>rush_build_common_1m</t>
  </si>
  <si>
    <t>rush_build_common_3h</t>
  </si>
  <si>
    <t>rush_build_common_8h</t>
  </si>
  <si>
    <t>rush_build_common_15h</t>
  </si>
  <si>
    <t>rush_build_common_24h</t>
  </si>
  <si>
    <t>rush_build_common_3d</t>
  </si>
  <si>
    <t>rush_build_common_7d</t>
  </si>
  <si>
    <t>rush_build_common_30d</t>
  </si>
  <si>
    <t>rush_tech_common_1m</t>
  </si>
  <si>
    <t>rush_tech_common_8h</t>
  </si>
  <si>
    <t>rush_tech_common_15h</t>
  </si>
  <si>
    <t>rush_tech_common_24h</t>
  </si>
  <si>
    <t>rush_tech_common_3d</t>
  </si>
  <si>
    <t>rush_tech_common_7d</t>
  </si>
  <si>
    <t>rush_tech_common_30d</t>
  </si>
  <si>
    <t>officer_skill_item_freedom_01</t>
  </si>
  <si>
    <t>officer_skill_item_freedom_02</t>
  </si>
  <si>
    <t>officer_skill_item_freedom_03</t>
  </si>
  <si>
    <t>officer_skill_item_order_03</t>
  </si>
  <si>
    <t>officer_skill_item_order_01</t>
  </si>
  <si>
    <t>officer_skill_item_order_02</t>
  </si>
  <si>
    <t>officer_skill_item_order_04</t>
  </si>
  <si>
    <t>officer_skill_item_order_05</t>
  </si>
  <si>
    <t>officer_skill_item_power_01</t>
  </si>
  <si>
    <t>officer_skill_item_power_02</t>
  </si>
  <si>
    <t>officer_skill_item_power_03</t>
  </si>
  <si>
    <t>chest_select_resource_50k</t>
  </si>
  <si>
    <t>chest_select_resource_150k</t>
  </si>
  <si>
    <t>chest_drawing_all_golden</t>
  </si>
  <si>
    <t>chest_drawing_infantry_goldenplus</t>
  </si>
  <si>
    <t>chest_drawing_mediumtank_goldenplus</t>
  </si>
  <si>
    <t>chest_drawing_tankdestroyer_goldenplus</t>
  </si>
  <si>
    <t>chest_drawing_lighttank_goldenplus</t>
  </si>
  <si>
    <t>chest_drawing_heavytank_goldenplus</t>
  </si>
  <si>
    <t>chest_drawing_superheavytank_goldenplus</t>
  </si>
  <si>
    <t>chest_drawing_howitzer_goldenplus</t>
  </si>
  <si>
    <t>chest_drawing_antitankartillery_goldenplus</t>
  </si>
  <si>
    <t>chest_drawing_rocketartillery_goldenplus</t>
  </si>
  <si>
    <t>chest_drawing_all_goldenplus</t>
  </si>
  <si>
    <t>chest_drawing_air_force_silver_drop</t>
  </si>
  <si>
    <t>chest_drawing_air_force_golden_drop</t>
  </si>
  <si>
    <t>chest_drawing_fighter_aircraft_goldenplus_drop</t>
  </si>
  <si>
    <t>chest_drawing_attack_aircraft_goldenplus_drop</t>
  </si>
  <si>
    <t>chest_drawing_tactical_bomber_goldenplus_drop</t>
  </si>
  <si>
    <t>chest_drawing_strategic_bomber_goldenplus_drop</t>
  </si>
  <si>
    <t>chest_drawing_air_force_goldenplus_drop</t>
  </si>
  <si>
    <t>vip_point_10</t>
  </si>
  <si>
    <t>vip_point_5000</t>
  </si>
  <si>
    <t>component_group_golden</t>
  </si>
  <si>
    <t>礼包相关数值</t>
  </si>
  <si>
    <t>活动整体规划相关数值</t>
  </si>
  <si>
    <t>小时活动相关数值</t>
  </si>
  <si>
    <t>黄金直冲定价</t>
  </si>
  <si>
    <t>美金</t>
  </si>
  <si>
    <t>膨胀</t>
  </si>
  <si>
    <t>实际售价</t>
  </si>
  <si>
    <t>显示</t>
  </si>
  <si>
    <t>首冲双倍</t>
  </si>
  <si>
    <t>300+300</t>
  </si>
  <si>
    <t>1500+50</t>
  </si>
  <si>
    <t>1500+1500</t>
  </si>
  <si>
    <t>3000+200</t>
  </si>
  <si>
    <t>3000+3000</t>
  </si>
  <si>
    <t>6000+600</t>
  </si>
  <si>
    <t>6000+6000</t>
  </si>
  <si>
    <t>15000+2000</t>
  </si>
  <si>
    <t>15000+15000</t>
  </si>
  <si>
    <t>30000+6000</t>
  </si>
  <si>
    <t>30000+30000</t>
  </si>
  <si>
    <t>黄金内部定价</t>
  </si>
  <si>
    <t>萝卜定价</t>
  </si>
  <si>
    <t>其他物品定价</t>
  </si>
  <si>
    <t>折扣率</t>
  </si>
  <si>
    <t>宝石月卡；成长基金；小额月度礼包</t>
  </si>
  <si>
    <t>小额每日礼包；大额月度礼包；小额节日礼包</t>
  </si>
  <si>
    <t>每日$385礼包；大额终生限购礼包（可加最多25%返利）；大额节日礼包（可加最多25%返利）</t>
  </si>
  <si>
    <t>月付费投放额度（美金）</t>
  </si>
  <si>
    <t xml:space="preserve"> </t>
  </si>
  <si>
    <t>战力系数</t>
  </si>
  <si>
    <t>C档$1资源</t>
  </si>
  <si>
    <t>C档$1加速</t>
  </si>
  <si>
    <t>中间物品定价</t>
  </si>
  <si>
    <t>20体力</t>
  </si>
  <si>
    <t>活动投放平均每日限额80点</t>
  </si>
  <si>
    <t>创角7日活动产出规划</t>
  </si>
  <si>
    <t>7日</t>
  </si>
  <si>
    <t>活动每日标准产出（对应膨胀100%）</t>
  </si>
  <si>
    <t>活动每日产出膨胀 &amp; 实际每日产出</t>
  </si>
  <si>
    <t>积分项价值</t>
  </si>
  <si>
    <t>1战力</t>
  </si>
  <si>
    <t>1木板</t>
  </si>
  <si>
    <t>1方砖</t>
  </si>
  <si>
    <t>1水泥</t>
  </si>
  <si>
    <t>1工字钢</t>
  </si>
  <si>
    <t>1沥青</t>
  </si>
  <si>
    <t>1混凝土</t>
  </si>
  <si>
    <t>1五星卡</t>
  </si>
  <si>
    <t>1金图纸</t>
  </si>
  <si>
    <t>小R指定萝卜日产出</t>
  </si>
  <si>
    <t>兵卡</t>
  </si>
  <si>
    <t>小R每小时采集量</t>
  </si>
  <si>
    <t>采集量</t>
  </si>
  <si>
    <t>体力产出</t>
  </si>
  <si>
    <t>1. 当前版本小R实际每日240点，规划是300点，没有膨胀。</t>
  </si>
  <si>
    <t>2. 中R及以上付费额外产出的体力由运营组拍定。</t>
  </si>
  <si>
    <t>研发兵卡对应价值</t>
  </si>
  <si>
    <t>to霖老板！</t>
  </si>
  <si>
    <t>兵等天数</t>
  </si>
  <si>
    <t>标准天数</t>
  </si>
  <si>
    <t>天赋层数</t>
  </si>
  <si>
    <t>天赋级别</t>
  </si>
  <si>
    <t>兵卡配件</t>
  </si>
  <si>
    <t>科技火力</t>
  </si>
  <si>
    <t>科技耐久</t>
  </si>
  <si>
    <t>盟科火力</t>
  </si>
  <si>
    <t>盟科耐久</t>
  </si>
  <si>
    <t>盟科黑伤</t>
  </si>
  <si>
    <t>关卡ID</t>
  </si>
  <si>
    <t>指挥官等级</t>
  </si>
  <si>
    <t>说明：计算累积产出用；累积加速为实际消耗的加速或队列，而不是建筑配置的消耗时间。</t>
  </si>
  <si>
    <t>资消耗源</t>
  </si>
  <si>
    <t>账号经验</t>
  </si>
  <si>
    <t>累积资源价值</t>
  </si>
  <si>
    <t>累积加速价值</t>
  </si>
  <si>
    <t>说明：计算配置用；为了与CSV保持一致，建筑等级-1；时间的配置使用计算过生产速度增益的加速。</t>
  </si>
  <si>
    <t>时间（秒）</t>
  </si>
  <si>
    <t>军费美化</t>
  </si>
  <si>
    <t>钢材美化</t>
  </si>
  <si>
    <t>原油美化</t>
  </si>
  <si>
    <t>资源配置</t>
  </si>
  <si>
    <t>账经配置</t>
  </si>
  <si>
    <t>战力配置</t>
  </si>
  <si>
    <t>26;23;19</t>
  </si>
  <si>
    <t>31;27;23</t>
  </si>
  <si>
    <t>37;32;27</t>
  </si>
  <si>
    <t>46;40;35</t>
  </si>
  <si>
    <t>58;51;43</t>
  </si>
  <si>
    <t>board;cement;steel</t>
  </si>
  <si>
    <t>47;35;27</t>
  </si>
  <si>
    <t>brick;cement;steel</t>
  </si>
  <si>
    <t>51;44;33</t>
  </si>
  <si>
    <t>board;brick;steel</t>
  </si>
  <si>
    <t>116;101;66</t>
  </si>
  <si>
    <t>77;66;50</t>
  </si>
  <si>
    <t>110;83;63</t>
  </si>
  <si>
    <t>103;88;67</t>
  </si>
  <si>
    <t>board;brick;cement;steel</t>
  </si>
  <si>
    <t>159;139;119;91</t>
  </si>
  <si>
    <t>brick;cement;steel;pitch</t>
  </si>
  <si>
    <t>96;82;62;55</t>
  </si>
  <si>
    <t>board;brick;steel;pitch</t>
  </si>
  <si>
    <t>155;136;88;77</t>
  </si>
  <si>
    <t>120;102;78;68</t>
  </si>
  <si>
    <t>board;cement;steel;pitch</t>
  </si>
  <si>
    <t>237;178;135;118</t>
  </si>
  <si>
    <t>300;257;195;171</t>
  </si>
  <si>
    <t>475;356;271;237</t>
  </si>
  <si>
    <t>885;759;578;506</t>
  </si>
  <si>
    <t>cement;steel;pitch;concrete</t>
  </si>
  <si>
    <t>763;581;508;462</t>
  </si>
  <si>
    <t>brick;cement;steel;concrete</t>
  </si>
  <si>
    <t>1801;1544;1176;935</t>
  </si>
  <si>
    <t>board;cement;pitch;concrete</t>
  </si>
  <si>
    <t>2044;1533;1022;929</t>
  </si>
  <si>
    <t>brick;steel;pitch;concrete</t>
  </si>
  <si>
    <t>1686;1101;963;876</t>
  </si>
  <si>
    <t>1343;1023;895;814</t>
  </si>
  <si>
    <t>10;9;7</t>
  </si>
  <si>
    <t>14;12;10</t>
  </si>
  <si>
    <t>17;15;13</t>
  </si>
  <si>
    <t>24;21;18</t>
  </si>
  <si>
    <t>38;34;29</t>
  </si>
  <si>
    <t>31;23;18</t>
  </si>
  <si>
    <t>34;29;22</t>
  </si>
  <si>
    <t>77;67;44</t>
  </si>
  <si>
    <t>73;55;42</t>
  </si>
  <si>
    <t>69;59;45</t>
  </si>
  <si>
    <t>106;93;79;60</t>
  </si>
  <si>
    <t>64;55;41;36</t>
  </si>
  <si>
    <t>103;90;59;51</t>
  </si>
  <si>
    <t>80;68;52;45</t>
  </si>
  <si>
    <t>158;118;90;79</t>
  </si>
  <si>
    <t>200;171;130;114</t>
  </si>
  <si>
    <t>317;237;181;158</t>
  </si>
  <si>
    <t>590;506;385;337</t>
  </si>
  <si>
    <t>508;387;339;308</t>
  </si>
  <si>
    <t>1201;1029;784;623</t>
  </si>
  <si>
    <t>1363;1022;681;619</t>
  </si>
  <si>
    <t>1124;734;642;584</t>
  </si>
  <si>
    <t>895;682;596;542</t>
  </si>
  <si>
    <t>5号兵营</t>
  </si>
  <si>
    <t>8;7;6</t>
  </si>
  <si>
    <t>12;10;9</t>
  </si>
  <si>
    <t>19;17;14</t>
  </si>
  <si>
    <t>15;11;9</t>
  </si>
  <si>
    <t>17;14;11</t>
  </si>
  <si>
    <t>38;33;22</t>
  </si>
  <si>
    <t>25;22;16</t>
  </si>
  <si>
    <t>36;27;21</t>
  </si>
  <si>
    <t>53;46;39;30</t>
  </si>
  <si>
    <t>32;27;20;18</t>
  </si>
  <si>
    <t>51;45;29;25</t>
  </si>
  <si>
    <t>40;34;26;22</t>
  </si>
  <si>
    <t>79;59;45;39</t>
  </si>
  <si>
    <t>100;85;65;57</t>
  </si>
  <si>
    <t>295;253;192;168</t>
  </si>
  <si>
    <t>254;193;169;154</t>
  </si>
  <si>
    <t>600;514;392;311</t>
  </si>
  <si>
    <t>681;511;340;309</t>
  </si>
  <si>
    <t>562;367;321;292</t>
  </si>
  <si>
    <t>447;341;298;271</t>
  </si>
  <si>
    <t>说明：辅助计算科技消耗用；计算到主时间轴上每一个时间点位置，建筑所消耗的累积资源和累积时间。</t>
  </si>
  <si>
    <t>开始天数</t>
  </si>
  <si>
    <t>单级天数</t>
  </si>
  <si>
    <t>差值t</t>
  </si>
  <si>
    <t>说明：计算生产队列产出</t>
  </si>
  <si>
    <t>停留时间</t>
  </si>
  <si>
    <t>获得加速</t>
  </si>
  <si>
    <t>返回控制台_科技</t>
  </si>
  <si>
    <t>说明：计算配置用；单层加速消耗是已计算过科研速度增益的时间。</t>
  </si>
  <si>
    <t>科技等级</t>
  </si>
  <si>
    <t>科技名称</t>
  </si>
  <si>
    <t>最大等级</t>
  </si>
  <si>
    <t>单层科技数</t>
  </si>
  <si>
    <t>单层资源消耗</t>
  </si>
  <si>
    <t>单层含增加速消耗</t>
  </si>
  <si>
    <t>含增加速消耗</t>
  </si>
  <si>
    <t>单层加速消耗</t>
  </si>
  <si>
    <t>加速消耗</t>
  </si>
  <si>
    <t>玩家所见天数</t>
  </si>
  <si>
    <t>单级战力</t>
  </si>
  <si>
    <t>显示战力</t>
  </si>
  <si>
    <t>工业化</t>
  </si>
  <si>
    <t>机械设计</t>
  </si>
  <si>
    <t>工程试验</t>
  </si>
  <si>
    <t>蒸汽动力</t>
  </si>
  <si>
    <t>橡胶工业</t>
  </si>
  <si>
    <t>起重机</t>
  </si>
  <si>
    <t>军工业</t>
  </si>
  <si>
    <t>冶金业</t>
  </si>
  <si>
    <t>石油工业</t>
  </si>
  <si>
    <t>工业物流</t>
  </si>
  <si>
    <t>内燃机</t>
  </si>
  <si>
    <t>塑料</t>
  </si>
  <si>
    <t>公共交通</t>
  </si>
  <si>
    <t>化工工业</t>
  </si>
  <si>
    <t>大型托拉斯</t>
  </si>
  <si>
    <t>电气化</t>
  </si>
  <si>
    <t>电动机</t>
  </si>
  <si>
    <t>流水线生产</t>
  </si>
  <si>
    <t>科研基金</t>
  </si>
  <si>
    <t>履带悬挂结构</t>
  </si>
  <si>
    <t>自动化</t>
  </si>
  <si>
    <t>卫星</t>
  </si>
  <si>
    <t>工作制变革</t>
  </si>
  <si>
    <t>密集型工业</t>
  </si>
  <si>
    <t>计算机技术</t>
  </si>
  <si>
    <t>城镇化</t>
  </si>
  <si>
    <t>钢铁联合体</t>
  </si>
  <si>
    <t>海上钻井</t>
  </si>
  <si>
    <t>义务征兵制</t>
  </si>
  <si>
    <t>火力投射理论</t>
  </si>
  <si>
    <t>快速部署理论</t>
  </si>
  <si>
    <t>战场急救技术</t>
  </si>
  <si>
    <t>近代陆军（自由）</t>
  </si>
  <si>
    <t>近代陆军（强权）</t>
  </si>
  <si>
    <t>近代陆军（秩序）</t>
  </si>
  <si>
    <t>后勤体系</t>
  </si>
  <si>
    <t>军事传统</t>
  </si>
  <si>
    <t>战场哲学</t>
  </si>
  <si>
    <t>堑壕战术</t>
  </si>
  <si>
    <t>一战陆军（自由）</t>
  </si>
  <si>
    <t>一战陆军（强权）</t>
  </si>
  <si>
    <t>一战陆军（秩序）</t>
  </si>
  <si>
    <t>冲击突破战术</t>
  </si>
  <si>
    <t>突击群战术</t>
  </si>
  <si>
    <t>压路机战术</t>
  </si>
  <si>
    <t>战争管制</t>
  </si>
  <si>
    <t>炮兵编制（自由）</t>
  </si>
  <si>
    <t>炮兵编制（强权）</t>
  </si>
  <si>
    <t>炮兵编制（秩序）</t>
  </si>
  <si>
    <t>步炮协同</t>
  </si>
  <si>
    <t>实弹演习</t>
  </si>
  <si>
    <t>舆论宣传</t>
  </si>
  <si>
    <t>重型卡车</t>
  </si>
  <si>
    <t>履带车辆</t>
  </si>
  <si>
    <t>轮履两用</t>
  </si>
  <si>
    <t>机械化师（自由）</t>
  </si>
  <si>
    <t>坦克集群（强权）</t>
  </si>
  <si>
    <t>近卫兵团（秩序）</t>
  </si>
  <si>
    <t>高爆弹</t>
  </si>
  <si>
    <t>硬芯穿甲弹</t>
  </si>
  <si>
    <t>混凝土爆破弹</t>
  </si>
  <si>
    <t>机械化</t>
  </si>
  <si>
    <t>摩托化</t>
  </si>
  <si>
    <t>装甲化</t>
  </si>
  <si>
    <t>战时动员法案</t>
  </si>
  <si>
    <t>精确打击</t>
  </si>
  <si>
    <t>弹性防御</t>
  </si>
  <si>
    <t>空地协同（自由）</t>
  </si>
  <si>
    <t>闪电战（强权）</t>
  </si>
  <si>
    <t>钢铁洪流（秩序）</t>
  </si>
  <si>
    <t>返回控制台_兵卡等级</t>
  </si>
  <si>
    <t>说明：计算配置及累积消耗用。</t>
  </si>
  <si>
    <t>陆兵</t>
  </si>
  <si>
    <t>空兵</t>
  </si>
  <si>
    <t>T级</t>
  </si>
  <si>
    <t>计算过程3</t>
  </si>
  <si>
    <t>经验消耗</t>
  </si>
  <si>
    <t>累积经验</t>
  </si>
  <si>
    <t>弹药消耗</t>
  </si>
  <si>
    <t>T2</t>
  </si>
  <si>
    <t>T3</t>
  </si>
  <si>
    <t>T4</t>
  </si>
  <si>
    <t>T5</t>
  </si>
  <si>
    <t>T6</t>
  </si>
  <si>
    <t>返回控制台_军官等级</t>
  </si>
  <si>
    <t>计算过程4</t>
  </si>
  <si>
    <t>累计军经</t>
  </si>
  <si>
    <t>返回控制台_阵营声望</t>
  </si>
  <si>
    <t>累积阵经</t>
  </si>
  <si>
    <t>返回控制台_高级科技</t>
  </si>
  <si>
    <t>科技书消耗</t>
  </si>
  <si>
    <t>军费消耗</t>
  </si>
  <si>
    <t>钢材消耗</t>
  </si>
  <si>
    <t>原油消耗</t>
  </si>
  <si>
    <t>总资源消耗</t>
  </si>
  <si>
    <t>配置时间</t>
  </si>
  <si>
    <t>科技书价值</t>
  </si>
  <si>
    <t>资源价值</t>
  </si>
  <si>
    <t>加速价值</t>
  </si>
  <si>
    <t>返回控制台_打野</t>
  </si>
  <si>
    <t>说明：计算配置用。</t>
  </si>
  <si>
    <t>建材建造分钟-&gt;</t>
  </si>
  <si>
    <t>木板分</t>
  </si>
  <si>
    <t>方砖分</t>
  </si>
  <si>
    <t>水泥分</t>
  </si>
  <si>
    <t>工字钢分</t>
  </si>
  <si>
    <t>沥青分</t>
  </si>
  <si>
    <t>混凝土分</t>
  </si>
  <si>
    <t>最大收益</t>
  </si>
  <si>
    <t>停留天数</t>
  </si>
  <si>
    <t>说明：计算累积产出用。</t>
  </si>
  <si>
    <t>说明：打野天数配置用，对应MapDifficulty.csv</t>
  </si>
  <si>
    <t>20001;20002;20003;20004;20005;20006;20007;20008;20009;20010</t>
  </si>
  <si>
    <t>20011;20012;20013;20014;20015;20016;20017;20018;20019;20020</t>
  </si>
  <si>
    <t>20021;20022;20023;20024;20025;20026;20027;20028;20029;20030</t>
  </si>
  <si>
    <t>20031;20032;20033;20034;20035;20036;20037;20038;20039;20040</t>
  </si>
  <si>
    <t>20041;20042;20043;20044;20045;20046;20047;20048;20049;20050</t>
  </si>
  <si>
    <t>20051;20052;20053;20054;20055;20056;20057;20058;20059;20060</t>
  </si>
  <si>
    <t>20061;20062;20063;20064;20065;20066;20067;20068;20069;20070</t>
  </si>
  <si>
    <t>20071;20072;20073;20074;20075;20076;20077;20078;20079;20080</t>
  </si>
  <si>
    <t>20081;20082;20083;20084;20085;20086;20087;20088;20089;20090</t>
  </si>
  <si>
    <t>20091;20092;20093;20094;20095;20096;20097;20098;20099;20100</t>
  </si>
  <si>
    <t>20101;20102;20103;20104;20105;20106;20107;20108;20109;20110</t>
  </si>
  <si>
    <t>20111;20112;20113;20114;20115;20116;20117;20118;20119;20120</t>
  </si>
  <si>
    <t>20121;20122;20123;20124;20125;20126;20127;20128;20129;20130</t>
  </si>
  <si>
    <t>20131;20132;20133;20134;20135;20136;20137;20138;20139;20140</t>
  </si>
  <si>
    <t>20141;20142;20143;20144;20145;20146;20147;20148;20149;20150</t>
  </si>
  <si>
    <t>20151;20152;20153;20154;20155;20156;20157;20158;20159;20160</t>
  </si>
  <si>
    <t>20161;20162;20163;20164;20165;20166;20167;20168;20169;20170</t>
  </si>
  <si>
    <t>20171;20172;20173;20174;20175;20176;20177;20178;20179;20180</t>
  </si>
  <si>
    <t>20181;20182;20183;20184;20185;20186;20187;20188;20189;20190</t>
  </si>
  <si>
    <t>20191;20192;20193;20194;20195;20196;20197;20198;20199;20200</t>
  </si>
  <si>
    <t>20201;20202;20203;20204;20205;20206;20207;20208;20209;20210</t>
  </si>
  <si>
    <t>20211;20212;20213;20214;20215;20216;20217;20218;20219;20220</t>
  </si>
  <si>
    <t>20221;20222;20223;20224;20225;20226;20227;20228;20229;20230</t>
  </si>
  <si>
    <t>20231;20232;20233;20234;20235;20236;20237;20238;20239;20240</t>
  </si>
  <si>
    <t>20241;20242;20243;20244;20245;20246;20247;20248;20249;20250</t>
  </si>
  <si>
    <t>20251;20252;20253;20254;20255;20256;20257;20258;20259;20260</t>
  </si>
  <si>
    <t>20261;20262;20263;20264;20265;20266;20267;20268;20269;20270</t>
  </si>
  <si>
    <t>20271;20272;20273;20274;20275;20276;20277;20278;20279;20280</t>
  </si>
  <si>
    <t>20281;20282;20283;20284;20285;20286;20287;20288;20289;20290</t>
  </si>
  <si>
    <t>20291;20292;20293;20294;20295;20296;20297;20298;20299;20300</t>
  </si>
  <si>
    <t>20301;20302;20303;20304;20305;20306;20307;20308;20309;20310</t>
  </si>
  <si>
    <t>20311;20312;20313;20314;20315;20316;20317;20318;20319;20320</t>
  </si>
  <si>
    <t>20321;20322;20323;20324;20325;20326;20327;20328;20329;20330</t>
  </si>
  <si>
    <t>20331;20332;20333;20334;20335;20336;20337;20338;20339;20340</t>
  </si>
  <si>
    <t>20341;20342;20343;20344;20345;20346;20347;20348;20349;20350</t>
  </si>
  <si>
    <t>20351;20352;20353;20354;20355;20356;20357;20358;20359;20360</t>
  </si>
  <si>
    <t>20361;20362;20363;20364;20365;20366;20367;20368;20369;20370</t>
  </si>
  <si>
    <t>20371;20372;20373;20374;20375;20376;20377;20378;20379;20380</t>
  </si>
  <si>
    <t>20381;20382;20383;20384;20385;20386;20387;20388;20389;20390</t>
  </si>
  <si>
    <t>20391;20392;20393;20394;20395;20396;20397;20398;20399;20400</t>
  </si>
  <si>
    <t>返回控制台_黑鸦营地</t>
  </si>
  <si>
    <t>实际分钟</t>
  </si>
  <si>
    <t>获得弹药</t>
  </si>
  <si>
    <t>预览配置</t>
  </si>
  <si>
    <t>说明：配置Drop表用</t>
  </si>
  <si>
    <t>每日弹药</t>
  </si>
  <si>
    <t>返回控制台_采集</t>
  </si>
  <si>
    <t>获得资源</t>
  </si>
  <si>
    <t>返回控制台_军官任务</t>
  </si>
  <si>
    <t>获得军经</t>
  </si>
  <si>
    <t>累积军经</t>
  </si>
  <si>
    <t>获得阵经</t>
  </si>
  <si>
    <t>获得零件</t>
  </si>
  <si>
    <t>累积零件</t>
  </si>
  <si>
    <t>获得配材</t>
  </si>
  <si>
    <t>返回控制台_每日任务</t>
  </si>
  <si>
    <t>每日空零</t>
  </si>
  <si>
    <t>获得空零</t>
  </si>
  <si>
    <t>返回控制台_副本挂机</t>
  </si>
  <si>
    <t>编号</t>
  </si>
  <si>
    <t>每日经验</t>
  </si>
  <si>
    <t>10秒经验</t>
  </si>
  <si>
    <t>实际经验</t>
  </si>
  <si>
    <t>获得经验</t>
  </si>
  <si>
    <t>30分弹药</t>
  </si>
  <si>
    <t>实际日弹药</t>
  </si>
  <si>
    <t>卡券权重</t>
  </si>
  <si>
    <t>2小时抽卡券权重</t>
  </si>
  <si>
    <t>实际日卡券</t>
  </si>
  <si>
    <t>获得卡券</t>
  </si>
  <si>
    <t>累积卡券</t>
  </si>
  <si>
    <t>每日战币</t>
  </si>
  <si>
    <t>30分战币</t>
  </si>
  <si>
    <t>实际日战币</t>
  </si>
  <si>
    <t>获得战币</t>
  </si>
  <si>
    <t>每日空经</t>
  </si>
  <si>
    <t>10秒空经</t>
  </si>
  <si>
    <t>实际空经</t>
  </si>
  <si>
    <t>获得空经</t>
  </si>
  <si>
    <t>累积空经</t>
  </si>
  <si>
    <t>每日空弹</t>
  </si>
  <si>
    <t>30分空弹</t>
  </si>
  <si>
    <t>实际日空弹</t>
  </si>
  <si>
    <t>获得空弹</t>
  </si>
  <si>
    <t>实际日空零</t>
  </si>
  <si>
    <t>每日空币</t>
  </si>
  <si>
    <t>30分空币</t>
  </si>
  <si>
    <t>实际日空币</t>
  </si>
  <si>
    <t>获得空币</t>
  </si>
  <si>
    <t>每日卡券</t>
  </si>
  <si>
    <t>返回控制台_空投</t>
  </si>
  <si>
    <t>返回控制台_黑市</t>
  </si>
  <si>
    <t>每日陆经</t>
  </si>
  <si>
    <t>获得陆经</t>
  </si>
  <si>
    <t>累积陆经</t>
  </si>
  <si>
    <t>商品资源id</t>
  </si>
  <si>
    <t>商品数量</t>
  </si>
  <si>
    <t>商品折扣图标</t>
  </si>
  <si>
    <t>商品显示折扣</t>
  </si>
  <si>
    <t>消耗资源id</t>
  </si>
  <si>
    <t>消耗资源数量</t>
  </si>
  <si>
    <t>返回控制台_活动</t>
  </si>
  <si>
    <t>每日黄金</t>
  </si>
  <si>
    <t>获得黄金</t>
  </si>
  <si>
    <t>累积黄金</t>
  </si>
  <si>
    <t>每日配图</t>
  </si>
  <si>
    <t>获得配图</t>
  </si>
  <si>
    <t>累积配图</t>
  </si>
  <si>
    <t>返回控制台_VIP宝箱</t>
  </si>
  <si>
    <t>获得技书</t>
  </si>
  <si>
    <t>累积技书</t>
  </si>
  <si>
    <t>返回控制台_VIP商店</t>
  </si>
  <si>
    <t>返回控制台_主题活动</t>
  </si>
  <si>
    <t>每日科技书</t>
  </si>
  <si>
    <t>获得科技书</t>
  </si>
  <si>
    <t>返回控制台_挂机首通</t>
  </si>
  <si>
    <t>配件&amp;配件图纸达峰维护</t>
  </si>
  <si>
    <t>返回控制台_联盟积分</t>
  </si>
  <si>
    <t>小时产出</t>
  </si>
  <si>
    <t>积分消耗</t>
  </si>
  <si>
    <t>累积小时</t>
  </si>
  <si>
    <t>累积天数</t>
  </si>
  <si>
    <t>返回控制台_联盟科技</t>
  </si>
  <si>
    <t>研究点数</t>
  </si>
  <si>
    <t>研究资源</t>
  </si>
</sst>
</file>

<file path=xl/styles.xml><?xml version="1.0" encoding="utf-8"?>
<styleSheet xmlns="http://schemas.openxmlformats.org/spreadsheetml/2006/main">
  <numFmts count="21">
    <numFmt numFmtId="176" formatCode="0.0"/>
    <numFmt numFmtId="177" formatCode="0_);[Red]\(0\)"/>
    <numFmt numFmtId="178" formatCode="\$#,##0.0_);[Red]\(\$#,##0.0\)"/>
    <numFmt numFmtId="179" formatCode="\$#,##0.000;\-\$#,##0.000"/>
    <numFmt numFmtId="180" formatCode="0_ "/>
    <numFmt numFmtId="181" formatCode="0.000%"/>
    <numFmt numFmtId="182" formatCode="0.00000000000000%"/>
    <numFmt numFmtId="183" formatCode="0.0%"/>
    <numFmt numFmtId="184" formatCode="0.0000%"/>
    <numFmt numFmtId="26" formatCode="\$#,##0.00_);[Red]\(\$#,##0.00\)"/>
    <numFmt numFmtId="185" formatCode="\$#,##0.000_);[Red]\(\$#,##0.000\)"/>
    <numFmt numFmtId="186" formatCode="\$#,##0.0;\-\$#,##0.0"/>
    <numFmt numFmtId="42" formatCode="_ &quot;￥&quot;* #,##0_ ;_ &quot;￥&quot;* \-#,##0_ ;_ &quot;￥&quot;* &quot;-&quot;_ ;_ @_ "/>
    <numFmt numFmtId="187" formatCode="0.0000"/>
    <numFmt numFmtId="188" formatCode="\$#,##0.00;\-\$#,##0.00"/>
    <numFmt numFmtId="189" formatCode="_ \¥* #,##0.00_ ;_ \¥* \-#,##0.00_ ;_ \¥* &quot;-&quot;??_ ;_ @_ "/>
    <numFmt numFmtId="43" formatCode="_ * #,##0.00_ ;_ * \-#,##0.00_ ;_ * &quot;-&quot;??_ ;_ @_ "/>
    <numFmt numFmtId="190" formatCode="\$#,##0.0000_);[Red]\(\$#,##0.0000\)"/>
    <numFmt numFmtId="24" formatCode="\$#,##0_);[Red]\(\$#,##0\)"/>
    <numFmt numFmtId="41" formatCode="_ * #,##0_ ;_ * \-#,##0_ ;_ * &quot;-&quot;_ ;_ @_ "/>
    <numFmt numFmtId="191" formatCode="0.00_ "/>
  </numFmts>
  <fonts count="43">
    <font>
      <sz val="11"/>
      <color theme="1"/>
      <name val="等线"/>
      <charset val="134"/>
      <scheme val="minor"/>
    </font>
    <font>
      <sz val="11"/>
      <color theme="9" tint="-0.249977111117893"/>
      <name val="微软雅黑"/>
      <charset val="134"/>
    </font>
    <font>
      <b/>
      <sz val="11"/>
      <color theme="9" tint="-0.499984740745262"/>
      <name val="微软雅黑"/>
      <charset val="134"/>
    </font>
    <font>
      <u/>
      <sz val="11"/>
      <color theme="10"/>
      <name val="微软雅黑"/>
      <charset val="134"/>
    </font>
    <font>
      <sz val="11"/>
      <color rgb="FF0070C0"/>
      <name val="微软雅黑"/>
      <charset val="134"/>
    </font>
    <font>
      <sz val="11"/>
      <color rgb="FFFF0000"/>
      <name val="微软雅黑"/>
      <charset val="134"/>
    </font>
    <font>
      <sz val="11"/>
      <name val="微软雅黑"/>
      <charset val="134"/>
    </font>
    <font>
      <u/>
      <sz val="11"/>
      <color theme="9" tint="-0.249977111117893"/>
      <name val="微软雅黑"/>
      <charset val="134"/>
    </font>
    <font>
      <sz val="11"/>
      <color theme="9" tint="-0.499984740745262"/>
      <name val="微软雅黑"/>
      <charset val="134"/>
    </font>
    <font>
      <b/>
      <sz val="11"/>
      <color theme="7" tint="-0.499984740745262"/>
      <name val="微软雅黑"/>
      <charset val="134"/>
    </font>
    <font>
      <b/>
      <sz val="11"/>
      <color theme="9" tint="-0.249977111117893"/>
      <name val="微软雅黑"/>
      <charset val="134"/>
    </font>
    <font>
      <b/>
      <sz val="11"/>
      <color rgb="FFFF0000"/>
      <name val="微软雅黑"/>
      <charset val="134"/>
    </font>
    <font>
      <sz val="11"/>
      <color theme="0" tint="-0.249977111117893"/>
      <name val="微软雅黑"/>
      <charset val="134"/>
    </font>
    <font>
      <sz val="11"/>
      <color theme="1"/>
      <name val="微软雅黑"/>
      <charset val="134"/>
    </font>
    <font>
      <sz val="11"/>
      <color theme="2" tint="-0.0999786370433668"/>
      <name val="微软雅黑"/>
      <charset val="134"/>
    </font>
    <font>
      <sz val="11"/>
      <color theme="8" tint="-0.249977111117893"/>
      <name val="微软雅黑"/>
      <charset val="134"/>
    </font>
    <font>
      <sz val="11"/>
      <color theme="9" tint="0.399975585192419"/>
      <name val="微软雅黑"/>
      <charset val="134"/>
    </font>
    <font>
      <sz val="11"/>
      <color theme="4" tint="-0.249977111117893"/>
      <name val="微软雅黑"/>
      <charset val="134"/>
    </font>
    <font>
      <b/>
      <sz val="11"/>
      <color rgb="FF0070C0"/>
      <name val="微软雅黑"/>
      <charset val="134"/>
    </font>
    <font>
      <sz val="11"/>
      <color theme="9" tint="0.599993896298105"/>
      <name val="微软雅黑"/>
      <charset val="134"/>
    </font>
    <font>
      <sz val="11"/>
      <color theme="1" tint="0.0499893185216834"/>
      <name val="微软雅黑"/>
      <charset val="134"/>
    </font>
    <font>
      <sz val="14"/>
      <color theme="9" tint="-0.499984740745262"/>
      <name val="微软雅黑"/>
      <charset val="134"/>
    </font>
    <font>
      <b/>
      <sz val="14"/>
      <color theme="9" tint="-0.499984740745262"/>
      <name val="微软雅黑"/>
      <charset val="134"/>
    </font>
    <font>
      <sz val="11"/>
      <color rgb="FFFA7D00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9"/>
      <color theme="1"/>
      <name val="微软雅黑"/>
      <charset val="134"/>
    </font>
    <font>
      <sz val="11"/>
      <color rgb="FF3F3F76"/>
      <name val="等线"/>
      <charset val="0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9" tint="0.79998168889431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"/>
        <bgColor indexed="64"/>
      </patternFill>
    </fill>
  </fills>
  <borders count="30">
    <border>
      <left/>
      <right/>
      <top/>
      <bottom/>
      <diagonal/>
    </border>
    <border>
      <left style="medium">
        <color theme="9" tint="-0.249977111117893"/>
      </left>
      <right/>
      <top style="medium">
        <color theme="9" tint="-0.249977111117893"/>
      </top>
      <bottom/>
      <diagonal/>
    </border>
    <border>
      <left style="medium">
        <color theme="9" tint="-0.249977111117893"/>
      </left>
      <right/>
      <top/>
      <bottom/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/>
      <right/>
      <top style="medium">
        <color theme="9" tint="-0.249977111117893"/>
      </top>
      <bottom/>
      <diagonal/>
    </border>
    <border>
      <left/>
      <right/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  <border>
      <left style="thin">
        <color theme="9" tint="-0.249946592608417"/>
      </left>
      <right style="thin">
        <color theme="9" tint="-0.249946592608417"/>
      </right>
      <top style="thin">
        <color theme="9" tint="-0.249946592608417"/>
      </top>
      <bottom style="thin">
        <color theme="9" tint="-0.249946592608417"/>
      </bottom>
      <diagonal/>
    </border>
    <border>
      <left style="medium">
        <color theme="9" tint="-0.249946592608417"/>
      </left>
      <right/>
      <top style="medium">
        <color theme="9" tint="-0.249946592608417"/>
      </top>
      <bottom style="medium">
        <color theme="9" tint="-0.249946592608417"/>
      </bottom>
      <diagonal/>
    </border>
    <border>
      <left/>
      <right/>
      <top style="medium">
        <color theme="9" tint="-0.249946592608417"/>
      </top>
      <bottom style="medium">
        <color theme="9" tint="-0.249946592608417"/>
      </bottom>
      <diagonal/>
    </border>
    <border>
      <left/>
      <right style="medium">
        <color theme="9" tint="-0.249946592608417"/>
      </right>
      <top style="medium">
        <color theme="9" tint="-0.249946592608417"/>
      </top>
      <bottom style="medium">
        <color theme="9" tint="-0.249946592608417"/>
      </bottom>
      <diagonal/>
    </border>
    <border>
      <left/>
      <right/>
      <top/>
      <bottom style="medium">
        <color theme="9" tint="-0.249946592608417"/>
      </bottom>
      <diagonal/>
    </border>
    <border>
      <left style="medium">
        <color theme="9" tint="-0.249946592608417"/>
      </left>
      <right/>
      <top/>
      <bottom style="medium">
        <color theme="9" tint="-0.249946592608417"/>
      </bottom>
      <diagonal/>
    </border>
    <border>
      <left/>
      <right style="medium">
        <color theme="9" tint="-0.249946592608417"/>
      </right>
      <top/>
      <bottom style="medium">
        <color theme="9" tint="-0.249946592608417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46592608417"/>
      </left>
      <right/>
      <top style="medium">
        <color theme="9" tint="-0.249946592608417"/>
      </top>
      <bottom/>
      <diagonal/>
    </border>
    <border>
      <left/>
      <right/>
      <top style="medium">
        <color theme="9" tint="-0.249946592608417"/>
      </top>
      <bottom/>
      <diagonal/>
    </border>
    <border>
      <left/>
      <right style="medium">
        <color theme="9" tint="-0.249946592608417"/>
      </right>
      <top style="medium">
        <color theme="9" tint="-0.249946592608417"/>
      </top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7">
    <xf numFmtId="0" fontId="0" fillId="0" borderId="0" applyBorder="0"/>
    <xf numFmtId="0" fontId="0" fillId="0" borderId="0" applyBorder="0">
      <alignment vertical="center"/>
    </xf>
    <xf numFmtId="0" fontId="0" fillId="0" borderId="0" applyBorder="0"/>
    <xf numFmtId="0" fontId="0" fillId="0" borderId="0" applyBorder="0">
      <alignment vertical="center"/>
    </xf>
    <xf numFmtId="0" fontId="0" fillId="0" borderId="0" applyBorder="0">
      <alignment vertical="center"/>
    </xf>
    <xf numFmtId="0" fontId="41" fillId="39" borderId="0" applyBorder="0">
      <alignment vertical="center"/>
    </xf>
    <xf numFmtId="0" fontId="41" fillId="34" borderId="29" applyNumberFormat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42" fillId="37" borderId="25" applyNumberFormat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36" borderId="0" applyNumberFormat="0" applyBorder="0" applyAlignment="0" applyProtection="0">
      <alignment vertical="center"/>
    </xf>
    <xf numFmtId="189" fontId="0" fillId="0" borderId="0" applyFont="0" applyFill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9" fillId="21" borderId="25" applyNumberFormat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39" fillId="19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38" fillId="30" borderId="0" applyNumberFormat="0" applyBorder="0" applyAlignment="0" applyProtection="0">
      <alignment vertical="center"/>
    </xf>
    <xf numFmtId="0" fontId="27" fillId="32" borderId="0" applyNumberFormat="0" applyBorder="0" applyAlignment="0" applyProtection="0">
      <alignment vertical="center"/>
    </xf>
    <xf numFmtId="0" fontId="37" fillId="0" borderId="28" applyNumberFormat="0" applyFill="0" applyAlignment="0" applyProtection="0">
      <alignment vertical="center"/>
    </xf>
    <xf numFmtId="0" fontId="36" fillId="29" borderId="0" applyNumberFormat="0" applyBorder="0" applyAlignment="0" applyProtection="0">
      <alignment vertical="center"/>
    </xf>
    <xf numFmtId="0" fontId="35" fillId="28" borderId="27" applyNumberFormat="0" applyAlignment="0" applyProtection="0">
      <alignment vertical="center"/>
    </xf>
    <xf numFmtId="0" fontId="34" fillId="21" borderId="26" applyNumberFormat="0" applyAlignment="0" applyProtection="0">
      <alignment vertical="center"/>
    </xf>
    <xf numFmtId="0" fontId="33" fillId="0" borderId="24" applyNumberFormat="0" applyFill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0" fillId="34" borderId="29" applyNumberFormat="0" applyFont="0" applyAlignment="0" applyProtection="0">
      <alignment vertical="center"/>
    </xf>
    <xf numFmtId="0" fontId="27" fillId="2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7" fillId="10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/>
    <xf numFmtId="41" fontId="0" fillId="0" borderId="0" applyFont="0" applyFill="0" applyBorder="0" applyAlignment="0" applyProtection="0">
      <alignment vertical="center"/>
    </xf>
    <xf numFmtId="0" fontId="28" fillId="0" borderId="24" applyNumberFormat="0" applyFill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6" fillId="19" borderId="0" applyNumberFormat="0" applyBorder="0" applyAlignment="0" applyProtection="0"/>
    <xf numFmtId="0" fontId="25" fillId="0" borderId="23" applyNumberFormat="0" applyFill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0" fillId="0" borderId="0" applyBorder="0"/>
    <xf numFmtId="0" fontId="23" fillId="0" borderId="22" applyNumberFormat="0" applyFill="0" applyAlignment="0" applyProtection="0">
      <alignment vertical="center"/>
    </xf>
  </cellStyleXfs>
  <cellXfs count="194">
    <xf numFmtId="0" fontId="0" fillId="0" borderId="0" xfId="0"/>
    <xf numFmtId="0" fontId="1" fillId="2" borderId="0" xfId="2" applyFont="1" applyFill="1" applyAlignment="1">
      <alignment horizontal="left"/>
    </xf>
    <xf numFmtId="0" fontId="2" fillId="3" borderId="0" xfId="2" applyFont="1" applyFill="1" applyAlignment="1">
      <alignment horizontal="left"/>
    </xf>
    <xf numFmtId="0" fontId="3" fillId="2" borderId="0" xfId="47" applyFill="1" applyAlignment="1">
      <alignment horizontal="left"/>
    </xf>
    <xf numFmtId="0" fontId="4" fillId="2" borderId="0" xfId="2" applyFont="1" applyFill="1" applyAlignment="1">
      <alignment horizontal="left"/>
    </xf>
    <xf numFmtId="0" fontId="5" fillId="2" borderId="0" xfId="2" applyFont="1" applyFill="1" applyAlignment="1">
      <alignment horizontal="left"/>
    </xf>
    <xf numFmtId="0" fontId="4" fillId="4" borderId="0" xfId="2" applyFont="1" applyFill="1" applyAlignment="1">
      <alignment horizontal="left"/>
    </xf>
    <xf numFmtId="0" fontId="6" fillId="5" borderId="0" xfId="2" applyFont="1" applyFill="1" applyAlignment="1">
      <alignment horizontal="left"/>
    </xf>
    <xf numFmtId="0" fontId="1" fillId="2" borderId="0" xfId="2" applyNumberFormat="1" applyFont="1" applyFill="1" applyAlignment="1">
      <alignment horizontal="left"/>
    </xf>
    <xf numFmtId="0" fontId="6" fillId="6" borderId="0" xfId="2" applyFont="1" applyFill="1" applyAlignment="1">
      <alignment horizontal="left"/>
    </xf>
    <xf numFmtId="0" fontId="6" fillId="7" borderId="0" xfId="2" applyFont="1" applyFill="1" applyAlignment="1">
      <alignment horizontal="left"/>
    </xf>
    <xf numFmtId="0" fontId="6" fillId="8" borderId="0" xfId="2" applyFont="1" applyFill="1" applyAlignment="1">
      <alignment horizontal="left"/>
    </xf>
    <xf numFmtId="0" fontId="6" fillId="9" borderId="0" xfId="2" applyFont="1" applyFill="1" applyAlignment="1">
      <alignment horizontal="left"/>
    </xf>
    <xf numFmtId="9" fontId="1" fillId="2" borderId="0" xfId="2" applyNumberFormat="1" applyFont="1" applyFill="1" applyAlignment="1">
      <alignment horizontal="left"/>
    </xf>
    <xf numFmtId="9" fontId="1" fillId="2" borderId="0" xfId="15" applyFont="1" applyFill="1" applyAlignment="1">
      <alignment horizontal="left"/>
    </xf>
    <xf numFmtId="0" fontId="1" fillId="10" borderId="0" xfId="2" applyFont="1" applyFill="1" applyAlignment="1">
      <alignment horizontal="left"/>
    </xf>
    <xf numFmtId="0" fontId="4" fillId="10" borderId="0" xfId="2" applyFont="1" applyFill="1" applyAlignment="1">
      <alignment horizontal="left"/>
    </xf>
    <xf numFmtId="0" fontId="5" fillId="10" borderId="0" xfId="2" applyFont="1" applyFill="1" applyAlignment="1">
      <alignment horizontal="left"/>
    </xf>
    <xf numFmtId="1" fontId="1" fillId="2" borderId="0" xfId="2" applyNumberFormat="1" applyFont="1" applyFill="1" applyAlignment="1">
      <alignment horizontal="left"/>
    </xf>
    <xf numFmtId="2" fontId="1" fillId="2" borderId="0" xfId="2" applyNumberFormat="1" applyFont="1" applyFill="1" applyAlignment="1">
      <alignment horizontal="left"/>
    </xf>
    <xf numFmtId="187" fontId="5" fillId="2" borderId="0" xfId="2" applyNumberFormat="1" applyFont="1" applyFill="1" applyAlignment="1">
      <alignment horizontal="left"/>
    </xf>
    <xf numFmtId="185" fontId="1" fillId="2" borderId="0" xfId="2" applyNumberFormat="1" applyFont="1" applyFill="1" applyAlignment="1">
      <alignment horizontal="left"/>
    </xf>
    <xf numFmtId="0" fontId="4" fillId="2" borderId="0" xfId="2" applyNumberFormat="1" applyFont="1" applyFill="1" applyAlignment="1">
      <alignment horizontal="left"/>
    </xf>
    <xf numFmtId="0" fontId="7" fillId="2" borderId="0" xfId="47" applyFont="1" applyFill="1" applyAlignment="1">
      <alignment horizontal="left"/>
    </xf>
    <xf numFmtId="26" fontId="1" fillId="2" borderId="0" xfId="2" applyNumberFormat="1" applyFont="1" applyFill="1" applyAlignment="1">
      <alignment horizontal="left"/>
    </xf>
    <xf numFmtId="0" fontId="8" fillId="3" borderId="0" xfId="2" applyFont="1" applyFill="1" applyAlignment="1">
      <alignment horizontal="left"/>
    </xf>
    <xf numFmtId="0" fontId="3" fillId="3" borderId="0" xfId="47" applyFill="1" applyAlignment="1">
      <alignment horizontal="left"/>
    </xf>
    <xf numFmtId="0" fontId="9" fillId="11" borderId="0" xfId="51" applyFont="1" applyFill="1" applyAlignment="1">
      <alignment horizontal="left" vertical="center"/>
    </xf>
    <xf numFmtId="24" fontId="1" fillId="2" borderId="0" xfId="2" applyNumberFormat="1" applyFont="1" applyFill="1" applyAlignment="1">
      <alignment horizontal="left"/>
    </xf>
    <xf numFmtId="0" fontId="10" fillId="2" borderId="0" xfId="2" applyFont="1" applyFill="1" applyAlignment="1">
      <alignment horizontal="left"/>
    </xf>
    <xf numFmtId="0" fontId="6" fillId="4" borderId="0" xfId="2" applyFont="1" applyFill="1" applyAlignment="1">
      <alignment horizontal="left"/>
    </xf>
    <xf numFmtId="186" fontId="10" fillId="2" borderId="0" xfId="2" applyNumberFormat="1" applyFont="1" applyFill="1" applyAlignment="1">
      <alignment horizontal="left"/>
    </xf>
    <xf numFmtId="186" fontId="1" fillId="2" borderId="0" xfId="2" applyNumberFormat="1" applyFont="1" applyFill="1" applyAlignment="1">
      <alignment horizontal="left"/>
    </xf>
    <xf numFmtId="188" fontId="1" fillId="2" borderId="0" xfId="2" applyNumberFormat="1" applyFont="1" applyFill="1" applyAlignment="1">
      <alignment horizontal="left"/>
    </xf>
    <xf numFmtId="186" fontId="1" fillId="10" borderId="0" xfId="2" applyNumberFormat="1" applyFont="1" applyFill="1" applyAlignment="1">
      <alignment horizontal="left"/>
    </xf>
    <xf numFmtId="188" fontId="1" fillId="10" borderId="0" xfId="2" applyNumberFormat="1" applyFont="1" applyFill="1" applyAlignment="1">
      <alignment horizontal="left"/>
    </xf>
    <xf numFmtId="0" fontId="1" fillId="0" borderId="0" xfId="2" applyFont="1" applyFill="1" applyAlignment="1">
      <alignment horizontal="left"/>
    </xf>
    <xf numFmtId="0" fontId="10" fillId="0" borderId="0" xfId="2" applyFont="1" applyFill="1" applyAlignment="1">
      <alignment horizontal="left"/>
    </xf>
    <xf numFmtId="0" fontId="11" fillId="0" borderId="0" xfId="2" applyFont="1" applyFill="1" applyAlignment="1">
      <alignment horizontal="left"/>
    </xf>
    <xf numFmtId="0" fontId="1" fillId="2" borderId="0" xfId="2" applyFont="1" applyFill="1" applyAlignment="1">
      <alignment horizontal="right"/>
    </xf>
    <xf numFmtId="0" fontId="3" fillId="2" borderId="0" xfId="47" applyFont="1" applyFill="1" applyAlignment="1">
      <alignment horizontal="left"/>
    </xf>
    <xf numFmtId="0" fontId="3" fillId="3" borderId="0" xfId="47" applyFont="1" applyFill="1" applyAlignment="1">
      <alignment horizontal="left"/>
    </xf>
    <xf numFmtId="10" fontId="1" fillId="2" borderId="0" xfId="2" applyNumberFormat="1" applyFont="1" applyFill="1" applyAlignment="1">
      <alignment horizontal="left"/>
    </xf>
    <xf numFmtId="9" fontId="6" fillId="4" borderId="0" xfId="2" applyNumberFormat="1" applyFont="1" applyFill="1" applyAlignment="1">
      <alignment horizontal="left"/>
    </xf>
    <xf numFmtId="0" fontId="12" fillId="2" borderId="0" xfId="2" applyFont="1" applyFill="1" applyAlignment="1">
      <alignment horizontal="left"/>
    </xf>
    <xf numFmtId="0" fontId="12" fillId="10" borderId="0" xfId="2" applyFont="1" applyFill="1" applyAlignment="1">
      <alignment horizontal="left"/>
    </xf>
    <xf numFmtId="190" fontId="1" fillId="2" borderId="0" xfId="2" applyNumberFormat="1" applyFont="1" applyFill="1" applyAlignment="1">
      <alignment horizontal="left"/>
    </xf>
    <xf numFmtId="9" fontId="5" fillId="2" borderId="0" xfId="2" applyNumberFormat="1" applyFont="1" applyFill="1" applyAlignment="1">
      <alignment horizontal="left"/>
    </xf>
    <xf numFmtId="183" fontId="1" fillId="2" borderId="0" xfId="2" applyNumberFormat="1" applyFont="1" applyFill="1" applyAlignment="1">
      <alignment horizontal="left"/>
    </xf>
    <xf numFmtId="183" fontId="6" fillId="4" borderId="0" xfId="2" applyNumberFormat="1" applyFont="1" applyFill="1" applyAlignment="1">
      <alignment horizontal="left"/>
    </xf>
    <xf numFmtId="9" fontId="5" fillId="2" borderId="0" xfId="15" applyFont="1" applyFill="1" applyAlignment="1">
      <alignment horizontal="left"/>
    </xf>
    <xf numFmtId="181" fontId="6" fillId="4" borderId="0" xfId="2" applyNumberFormat="1" applyFont="1" applyFill="1" applyAlignment="1">
      <alignment horizontal="left"/>
    </xf>
    <xf numFmtId="10" fontId="13" fillId="4" borderId="0" xfId="15" applyNumberFormat="1" applyFont="1" applyFill="1" applyAlignment="1">
      <alignment horizontal="left"/>
    </xf>
    <xf numFmtId="9" fontId="1" fillId="10" borderId="0" xfId="15" applyFont="1" applyFill="1" applyAlignment="1">
      <alignment horizontal="left"/>
    </xf>
    <xf numFmtId="10" fontId="1" fillId="10" borderId="0" xfId="2" applyNumberFormat="1" applyFont="1" applyFill="1" applyAlignment="1">
      <alignment horizontal="left"/>
    </xf>
    <xf numFmtId="9" fontId="1" fillId="2" borderId="0" xfId="15" applyNumberFormat="1" applyFont="1" applyFill="1" applyAlignment="1">
      <alignment horizontal="left"/>
    </xf>
    <xf numFmtId="10" fontId="6" fillId="4" borderId="0" xfId="2" applyNumberFormat="1" applyFont="1" applyFill="1" applyAlignment="1">
      <alignment horizontal="left"/>
    </xf>
    <xf numFmtId="0" fontId="1" fillId="2" borderId="0" xfId="15" applyNumberFormat="1" applyFont="1" applyFill="1" applyAlignment="1">
      <alignment horizontal="left"/>
    </xf>
    <xf numFmtId="183" fontId="1" fillId="2" borderId="0" xfId="15" applyNumberFormat="1" applyFont="1" applyFill="1" applyAlignment="1">
      <alignment horizontal="left"/>
    </xf>
    <xf numFmtId="183" fontId="1" fillId="10" borderId="0" xfId="15" applyNumberFormat="1" applyFont="1" applyFill="1" applyAlignment="1">
      <alignment horizontal="left"/>
    </xf>
    <xf numFmtId="0" fontId="6" fillId="4" borderId="0" xfId="2" applyNumberFormat="1" applyFont="1" applyFill="1" applyAlignment="1">
      <alignment horizontal="left"/>
    </xf>
    <xf numFmtId="0" fontId="5" fillId="2" borderId="0" xfId="15" applyNumberFormat="1" applyFont="1" applyFill="1" applyAlignment="1">
      <alignment horizontal="left"/>
    </xf>
    <xf numFmtId="0" fontId="1" fillId="10" borderId="0" xfId="15" applyNumberFormat="1" applyFont="1" applyFill="1" applyAlignment="1">
      <alignment horizontal="left"/>
    </xf>
    <xf numFmtId="24" fontId="1" fillId="10" borderId="0" xfId="2" applyNumberFormat="1" applyFont="1" applyFill="1" applyAlignment="1">
      <alignment horizontal="left"/>
    </xf>
    <xf numFmtId="0" fontId="1" fillId="10" borderId="0" xfId="2" applyNumberFormat="1" applyFont="1" applyFill="1" applyAlignment="1">
      <alignment horizontal="left"/>
    </xf>
    <xf numFmtId="183" fontId="13" fillId="4" borderId="0" xfId="15" applyNumberFormat="1" applyFont="1" applyFill="1" applyAlignment="1">
      <alignment horizontal="left"/>
    </xf>
    <xf numFmtId="10" fontId="1" fillId="10" borderId="0" xfId="15" applyNumberFormat="1" applyFont="1" applyFill="1" applyAlignment="1">
      <alignment horizontal="left"/>
    </xf>
    <xf numFmtId="183" fontId="1" fillId="10" borderId="0" xfId="2" applyNumberFormat="1" applyFont="1" applyFill="1" applyAlignment="1">
      <alignment horizontal="left"/>
    </xf>
    <xf numFmtId="10" fontId="1" fillId="2" borderId="0" xfId="15" applyNumberFormat="1" applyFont="1" applyFill="1" applyAlignment="1">
      <alignment horizontal="left"/>
    </xf>
    <xf numFmtId="0" fontId="6" fillId="4" borderId="0" xfId="15" applyNumberFormat="1" applyFont="1" applyFill="1" applyAlignment="1">
      <alignment horizontal="left"/>
    </xf>
    <xf numFmtId="10" fontId="6" fillId="4" borderId="0" xfId="15" applyNumberFormat="1" applyFont="1" applyFill="1" applyAlignment="1">
      <alignment horizontal="left"/>
    </xf>
    <xf numFmtId="0" fontId="13" fillId="4" borderId="0" xfId="2" applyFont="1" applyFill="1" applyAlignment="1">
      <alignment horizontal="left"/>
    </xf>
    <xf numFmtId="0" fontId="5" fillId="4" borderId="0" xfId="2" applyFont="1" applyFill="1" applyAlignment="1">
      <alignment horizontal="left"/>
    </xf>
    <xf numFmtId="0" fontId="1" fillId="11" borderId="0" xfId="2" applyFont="1" applyFill="1" applyAlignment="1">
      <alignment horizontal="left"/>
    </xf>
    <xf numFmtId="14" fontId="10" fillId="2" borderId="0" xfId="2" applyNumberFormat="1" applyFont="1" applyFill="1" applyAlignment="1">
      <alignment horizontal="left"/>
    </xf>
    <xf numFmtId="188" fontId="5" fillId="2" borderId="0" xfId="2" applyNumberFormat="1" applyFont="1" applyFill="1" applyAlignment="1">
      <alignment horizontal="left"/>
    </xf>
    <xf numFmtId="14" fontId="1" fillId="2" borderId="0" xfId="2" applyNumberFormat="1" applyFont="1" applyFill="1" applyAlignment="1">
      <alignment horizontal="left"/>
    </xf>
    <xf numFmtId="184" fontId="6" fillId="4" borderId="0" xfId="2" applyNumberFormat="1" applyFont="1" applyFill="1" applyAlignment="1">
      <alignment horizontal="left"/>
    </xf>
    <xf numFmtId="0" fontId="14" fillId="2" borderId="0" xfId="2" applyFont="1" applyFill="1" applyAlignment="1">
      <alignment horizontal="left"/>
    </xf>
    <xf numFmtId="0" fontId="15" fillId="12" borderId="0" xfId="2" applyFont="1" applyFill="1" applyAlignment="1">
      <alignment horizontal="left"/>
    </xf>
    <xf numFmtId="0" fontId="16" fillId="2" borderId="0" xfId="2" applyFont="1" applyFill="1" applyAlignment="1">
      <alignment horizontal="left"/>
    </xf>
    <xf numFmtId="0" fontId="17" fillId="2" borderId="0" xfId="2" applyFont="1" applyFill="1" applyAlignment="1">
      <alignment horizontal="left"/>
    </xf>
    <xf numFmtId="0" fontId="16" fillId="4" borderId="0" xfId="2" applyFont="1" applyFill="1" applyAlignment="1">
      <alignment horizontal="left"/>
    </xf>
    <xf numFmtId="0" fontId="6" fillId="2" borderId="0" xfId="2" applyFont="1" applyFill="1" applyAlignment="1">
      <alignment horizontal="left"/>
    </xf>
    <xf numFmtId="9" fontId="1" fillId="10" borderId="0" xfId="2" applyNumberFormat="1" applyFont="1" applyFill="1" applyAlignment="1">
      <alignment horizontal="left"/>
    </xf>
    <xf numFmtId="182" fontId="1" fillId="2" borderId="0" xfId="2" applyNumberFormat="1" applyFont="1" applyFill="1" applyAlignment="1">
      <alignment horizontal="left"/>
    </xf>
    <xf numFmtId="0" fontId="11" fillId="2" borderId="0" xfId="2" applyFont="1" applyFill="1" applyAlignment="1">
      <alignment horizontal="left"/>
    </xf>
    <xf numFmtId="180" fontId="1" fillId="2" borderId="0" xfId="2" applyNumberFormat="1" applyFont="1" applyFill="1" applyAlignment="1">
      <alignment horizontal="left"/>
    </xf>
    <xf numFmtId="191" fontId="1" fillId="2" borderId="0" xfId="2" applyNumberFormat="1" applyFont="1" applyFill="1" applyAlignment="1">
      <alignment horizontal="left"/>
    </xf>
    <xf numFmtId="0" fontId="1" fillId="2" borderId="1" xfId="2" applyFont="1" applyFill="1" applyBorder="1" applyAlignment="1">
      <alignment horizontal="left"/>
    </xf>
    <xf numFmtId="183" fontId="6" fillId="4" borderId="2" xfId="2" applyNumberFormat="1" applyFont="1" applyFill="1" applyBorder="1" applyAlignment="1">
      <alignment horizontal="left"/>
    </xf>
    <xf numFmtId="183" fontId="6" fillId="4" borderId="3" xfId="2" applyNumberFormat="1" applyFont="1" applyFill="1" applyBorder="1" applyAlignment="1">
      <alignment horizontal="left"/>
    </xf>
    <xf numFmtId="0" fontId="4" fillId="4" borderId="0" xfId="2" applyNumberFormat="1" applyFont="1" applyFill="1" applyAlignment="1">
      <alignment horizontal="left"/>
    </xf>
    <xf numFmtId="0" fontId="1" fillId="2" borderId="4" xfId="2" applyFont="1" applyFill="1" applyBorder="1" applyAlignment="1">
      <alignment horizontal="left"/>
    </xf>
    <xf numFmtId="0" fontId="5" fillId="2" borderId="4" xfId="2" applyFont="1" applyFill="1" applyBorder="1" applyAlignment="1">
      <alignment horizontal="left"/>
    </xf>
    <xf numFmtId="0" fontId="1" fillId="2" borderId="5" xfId="2" applyFont="1" applyFill="1" applyBorder="1" applyAlignment="1">
      <alignment horizontal="left"/>
    </xf>
    <xf numFmtId="183" fontId="6" fillId="4" borderId="5" xfId="2" applyNumberFormat="1" applyFont="1" applyFill="1" applyBorder="1" applyAlignment="1">
      <alignment horizontal="left"/>
    </xf>
    <xf numFmtId="0" fontId="5" fillId="2" borderId="5" xfId="2" applyFont="1" applyFill="1" applyBorder="1" applyAlignment="1">
      <alignment horizontal="left"/>
    </xf>
    <xf numFmtId="0" fontId="1" fillId="10" borderId="4" xfId="2" applyFont="1" applyFill="1" applyBorder="1" applyAlignment="1">
      <alignment horizontal="left"/>
    </xf>
    <xf numFmtId="0" fontId="1" fillId="10" borderId="5" xfId="2" applyFont="1" applyFill="1" applyBorder="1" applyAlignment="1">
      <alignment horizontal="left"/>
    </xf>
    <xf numFmtId="0" fontId="1" fillId="2" borderId="6" xfId="2" applyFont="1" applyFill="1" applyBorder="1" applyAlignment="1">
      <alignment horizontal="left"/>
    </xf>
    <xf numFmtId="0" fontId="1" fillId="2" borderId="7" xfId="2" applyFont="1" applyFill="1" applyBorder="1" applyAlignment="1">
      <alignment horizontal="left"/>
    </xf>
    <xf numFmtId="0" fontId="1" fillId="2" borderId="8" xfId="2" applyFont="1" applyFill="1" applyBorder="1" applyAlignment="1">
      <alignment horizontal="left"/>
    </xf>
    <xf numFmtId="188" fontId="6" fillId="4" borderId="0" xfId="2" applyNumberFormat="1" applyFont="1" applyFill="1" applyAlignment="1">
      <alignment horizontal="left"/>
    </xf>
    <xf numFmtId="0" fontId="18" fillId="2" borderId="0" xfId="2" applyFont="1" applyFill="1" applyAlignment="1">
      <alignment horizontal="left"/>
    </xf>
    <xf numFmtId="10" fontId="5" fillId="2" borderId="0" xfId="15" applyNumberFormat="1" applyFont="1" applyFill="1" applyAlignment="1">
      <alignment horizontal="left"/>
    </xf>
    <xf numFmtId="0" fontId="4" fillId="4" borderId="0" xfId="15" applyNumberFormat="1" applyFont="1" applyFill="1" applyAlignment="1">
      <alignment horizontal="left"/>
    </xf>
    <xf numFmtId="9" fontId="5" fillId="2" borderId="0" xfId="15" applyNumberFormat="1" applyFont="1" applyFill="1" applyAlignment="1">
      <alignment horizontal="left"/>
    </xf>
    <xf numFmtId="179" fontId="1" fillId="2" borderId="0" xfId="13" applyNumberFormat="1" applyFont="1" applyFill="1" applyAlignment="1">
      <alignment horizontal="left"/>
    </xf>
    <xf numFmtId="9" fontId="5" fillId="10" borderId="0" xfId="15" applyFont="1" applyFill="1" applyAlignment="1">
      <alignment horizontal="left"/>
    </xf>
    <xf numFmtId="0" fontId="1" fillId="2" borderId="9" xfId="2" applyFont="1" applyFill="1" applyBorder="1" applyAlignment="1">
      <alignment horizontal="left"/>
    </xf>
    <xf numFmtId="0" fontId="1" fillId="10" borderId="9" xfId="2" applyFont="1" applyFill="1" applyBorder="1" applyAlignment="1">
      <alignment horizontal="left"/>
    </xf>
    <xf numFmtId="0" fontId="1" fillId="4" borderId="0" xfId="2" applyFont="1" applyFill="1" applyAlignment="1">
      <alignment horizontal="left"/>
    </xf>
    <xf numFmtId="0" fontId="17" fillId="4" borderId="0" xfId="2" applyFont="1" applyFill="1" applyAlignment="1">
      <alignment horizontal="left"/>
    </xf>
    <xf numFmtId="0" fontId="1" fillId="2" borderId="10" xfId="2" applyFont="1" applyFill="1" applyBorder="1" applyAlignment="1">
      <alignment horizontal="left"/>
    </xf>
    <xf numFmtId="0" fontId="1" fillId="2" borderId="11" xfId="2" applyFont="1" applyFill="1" applyBorder="1" applyAlignment="1">
      <alignment horizontal="left"/>
    </xf>
    <xf numFmtId="26" fontId="5" fillId="2" borderId="0" xfId="2" applyNumberFormat="1" applyFont="1" applyFill="1" applyAlignment="1">
      <alignment horizontal="left"/>
    </xf>
    <xf numFmtId="0" fontId="6" fillId="11" borderId="0" xfId="2" applyFont="1" applyFill="1" applyAlignment="1">
      <alignment horizontal="left"/>
    </xf>
    <xf numFmtId="0" fontId="6" fillId="13" borderId="0" xfId="2" applyFont="1" applyFill="1" applyAlignment="1">
      <alignment horizontal="left"/>
    </xf>
    <xf numFmtId="0" fontId="1" fillId="2" borderId="12" xfId="2" applyFont="1" applyFill="1" applyBorder="1" applyAlignment="1">
      <alignment horizontal="left"/>
    </xf>
    <xf numFmtId="0" fontId="1" fillId="2" borderId="13" xfId="2" applyFont="1" applyFill="1" applyBorder="1" applyAlignment="1">
      <alignment horizontal="left"/>
    </xf>
    <xf numFmtId="0" fontId="1" fillId="2" borderId="14" xfId="2" applyFont="1" applyFill="1" applyBorder="1" applyAlignment="1">
      <alignment horizontal="left"/>
    </xf>
    <xf numFmtId="0" fontId="6" fillId="4" borderId="13" xfId="2" applyFont="1" applyFill="1" applyBorder="1" applyAlignment="1">
      <alignment horizontal="left"/>
    </xf>
    <xf numFmtId="0" fontId="6" fillId="14" borderId="0" xfId="2" applyFont="1" applyFill="1" applyAlignment="1">
      <alignment horizontal="left"/>
    </xf>
    <xf numFmtId="0" fontId="1" fillId="2" borderId="15" xfId="2" applyFont="1" applyFill="1" applyBorder="1" applyAlignment="1">
      <alignment horizontal="left"/>
    </xf>
    <xf numFmtId="0" fontId="6" fillId="4" borderId="11" xfId="2" applyFont="1" applyFill="1" applyBorder="1" applyAlignment="1">
      <alignment horizontal="left"/>
    </xf>
    <xf numFmtId="0" fontId="1" fillId="2" borderId="16" xfId="2" applyFont="1" applyFill="1" applyBorder="1" applyAlignment="1">
      <alignment horizontal="left"/>
    </xf>
    <xf numFmtId="0" fontId="1" fillId="2" borderId="17" xfId="2" applyFont="1" applyFill="1" applyBorder="1" applyAlignment="1">
      <alignment horizontal="left"/>
    </xf>
    <xf numFmtId="0" fontId="1" fillId="2" borderId="18" xfId="2" applyFont="1" applyFill="1" applyBorder="1" applyAlignment="1">
      <alignment horizontal="left"/>
    </xf>
    <xf numFmtId="58" fontId="1" fillId="2" borderId="0" xfId="2" applyNumberFormat="1" applyFont="1" applyFill="1" applyAlignment="1">
      <alignment horizontal="left"/>
    </xf>
    <xf numFmtId="179" fontId="4" fillId="4" borderId="0" xfId="2" applyNumberFormat="1" applyFont="1" applyFill="1" applyAlignment="1">
      <alignment horizontal="left"/>
    </xf>
    <xf numFmtId="26" fontId="1" fillId="2" borderId="0" xfId="13" applyNumberFormat="1" applyFont="1" applyFill="1" applyAlignment="1">
      <alignment horizontal="left"/>
    </xf>
    <xf numFmtId="0" fontId="8" fillId="3" borderId="0" xfId="2" applyNumberFormat="1" applyFont="1" applyFill="1" applyAlignment="1">
      <alignment horizontal="left"/>
    </xf>
    <xf numFmtId="0" fontId="19" fillId="2" borderId="0" xfId="2" applyFont="1" applyFill="1" applyAlignment="1">
      <alignment horizontal="left"/>
    </xf>
    <xf numFmtId="0" fontId="19" fillId="5" borderId="0" xfId="2" applyFont="1" applyFill="1" applyAlignment="1">
      <alignment horizontal="left"/>
    </xf>
    <xf numFmtId="0" fontId="19" fillId="6" borderId="0" xfId="2" applyFont="1" applyFill="1" applyAlignment="1">
      <alignment horizontal="left"/>
    </xf>
    <xf numFmtId="0" fontId="19" fillId="7" borderId="0" xfId="2" applyFont="1" applyFill="1" applyAlignment="1">
      <alignment horizontal="left"/>
    </xf>
    <xf numFmtId="0" fontId="19" fillId="8" borderId="0" xfId="2" applyFont="1" applyFill="1" applyAlignment="1">
      <alignment horizontal="left"/>
    </xf>
    <xf numFmtId="0" fontId="6" fillId="15" borderId="0" xfId="2" applyFont="1" applyFill="1" applyAlignment="1">
      <alignment horizontal="left"/>
    </xf>
    <xf numFmtId="0" fontId="19" fillId="9" borderId="0" xfId="2" applyFont="1" applyFill="1" applyAlignment="1">
      <alignment horizontal="left"/>
    </xf>
    <xf numFmtId="0" fontId="19" fillId="15" borderId="0" xfId="2" applyFont="1" applyFill="1" applyAlignment="1">
      <alignment horizontal="left"/>
    </xf>
    <xf numFmtId="9" fontId="6" fillId="4" borderId="0" xfId="15" applyFont="1" applyFill="1" applyAlignment="1">
      <alignment horizontal="left"/>
    </xf>
    <xf numFmtId="0" fontId="20" fillId="4" borderId="0" xfId="2" applyNumberFormat="1" applyFont="1" applyFill="1" applyAlignment="1">
      <alignment horizontal="left"/>
    </xf>
    <xf numFmtId="0" fontId="20" fillId="4" borderId="0" xfId="2" applyFont="1" applyFill="1" applyAlignment="1">
      <alignment horizontal="left"/>
    </xf>
    <xf numFmtId="0" fontId="1" fillId="2" borderId="19" xfId="2" applyFont="1" applyFill="1" applyBorder="1" applyAlignment="1">
      <alignment horizontal="left"/>
    </xf>
    <xf numFmtId="0" fontId="1" fillId="2" borderId="20" xfId="2" applyFont="1" applyFill="1" applyBorder="1" applyAlignment="1">
      <alignment horizontal="left"/>
    </xf>
    <xf numFmtId="0" fontId="1" fillId="2" borderId="21" xfId="2" applyFont="1" applyFill="1" applyBorder="1" applyAlignment="1">
      <alignment horizontal="left"/>
    </xf>
    <xf numFmtId="178" fontId="1" fillId="2" borderId="0" xfId="2" applyNumberFormat="1" applyFont="1" applyFill="1" applyAlignment="1">
      <alignment horizontal="left"/>
    </xf>
    <xf numFmtId="0" fontId="1" fillId="2" borderId="2" xfId="2" applyFont="1" applyFill="1" applyBorder="1" applyAlignment="1">
      <alignment horizontal="left"/>
    </xf>
    <xf numFmtId="10" fontId="20" fillId="4" borderId="0" xfId="2" applyNumberFormat="1" applyFont="1" applyFill="1" applyAlignment="1">
      <alignment horizontal="left"/>
    </xf>
    <xf numFmtId="0" fontId="1" fillId="2" borderId="3" xfId="2" applyFont="1" applyFill="1" applyBorder="1" applyAlignment="1">
      <alignment horizontal="left"/>
    </xf>
    <xf numFmtId="10" fontId="20" fillId="4" borderId="5" xfId="2" applyNumberFormat="1" applyFont="1" applyFill="1" applyBorder="1" applyAlignment="1">
      <alignment horizontal="left"/>
    </xf>
    <xf numFmtId="188" fontId="1" fillId="2" borderId="5" xfId="2" applyNumberFormat="1" applyFont="1" applyFill="1" applyBorder="1" applyAlignment="1">
      <alignment horizontal="left"/>
    </xf>
    <xf numFmtId="10" fontId="1" fillId="2" borderId="7" xfId="2" applyNumberFormat="1" applyFont="1" applyFill="1" applyBorder="1" applyAlignment="1">
      <alignment horizontal="left"/>
    </xf>
    <xf numFmtId="10" fontId="20" fillId="4" borderId="7" xfId="2" applyNumberFormat="1" applyFont="1" applyFill="1" applyBorder="1" applyAlignment="1">
      <alignment horizontal="left"/>
    </xf>
    <xf numFmtId="10" fontId="6" fillId="4" borderId="7" xfId="2" applyNumberFormat="1" applyFont="1" applyFill="1" applyBorder="1" applyAlignment="1">
      <alignment horizontal="left"/>
    </xf>
    <xf numFmtId="10" fontId="20" fillId="4" borderId="8" xfId="2" applyNumberFormat="1" applyFont="1" applyFill="1" applyBorder="1" applyAlignment="1">
      <alignment horizontal="left"/>
    </xf>
    <xf numFmtId="188" fontId="1" fillId="2" borderId="8" xfId="2" applyNumberFormat="1" applyFont="1" applyFill="1" applyBorder="1" applyAlignment="1">
      <alignment horizontal="left"/>
    </xf>
    <xf numFmtId="188" fontId="1" fillId="2" borderId="7" xfId="2" applyNumberFormat="1" applyFont="1" applyFill="1" applyBorder="1" applyAlignment="1">
      <alignment horizontal="left"/>
    </xf>
    <xf numFmtId="0" fontId="1" fillId="2" borderId="5" xfId="2" applyNumberFormat="1" applyFont="1" applyFill="1" applyBorder="1" applyAlignment="1">
      <alignment horizontal="left"/>
    </xf>
    <xf numFmtId="185" fontId="1" fillId="2" borderId="7" xfId="2" applyNumberFormat="1" applyFont="1" applyFill="1" applyBorder="1" applyAlignment="1">
      <alignment horizontal="left"/>
    </xf>
    <xf numFmtId="0" fontId="1" fillId="2" borderId="7" xfId="2" applyNumberFormat="1" applyFont="1" applyFill="1" applyBorder="1" applyAlignment="1">
      <alignment horizontal="left"/>
    </xf>
    <xf numFmtId="0" fontId="1" fillId="2" borderId="8" xfId="2" applyNumberFormat="1" applyFont="1" applyFill="1" applyBorder="1" applyAlignment="1">
      <alignment horizontal="left"/>
    </xf>
    <xf numFmtId="185" fontId="6" fillId="4" borderId="0" xfId="2" applyNumberFormat="1" applyFont="1" applyFill="1" applyAlignment="1">
      <alignment horizontal="left"/>
    </xf>
    <xf numFmtId="185" fontId="1" fillId="10" borderId="0" xfId="2" applyNumberFormat="1" applyFont="1" applyFill="1" applyAlignment="1">
      <alignment horizontal="left"/>
    </xf>
    <xf numFmtId="177" fontId="5" fillId="2" borderId="0" xfId="2" applyNumberFormat="1" applyFont="1" applyFill="1" applyAlignment="1">
      <alignment horizontal="left"/>
    </xf>
    <xf numFmtId="177" fontId="1" fillId="2" borderId="0" xfId="2" applyNumberFormat="1" applyFont="1" applyFill="1" applyAlignment="1">
      <alignment horizontal="left"/>
    </xf>
    <xf numFmtId="177" fontId="6" fillId="4" borderId="0" xfId="2" applyNumberFormat="1" applyFont="1" applyFill="1" applyAlignment="1">
      <alignment horizontal="left"/>
    </xf>
    <xf numFmtId="0" fontId="5" fillId="2" borderId="0" xfId="2" applyNumberFormat="1" applyFont="1" applyFill="1" applyAlignment="1">
      <alignment horizontal="left"/>
    </xf>
    <xf numFmtId="0" fontId="5" fillId="10" borderId="0" xfId="2" applyNumberFormat="1" applyFont="1" applyFill="1" applyAlignment="1">
      <alignment horizontal="left"/>
    </xf>
    <xf numFmtId="9" fontId="5" fillId="4" borderId="0" xfId="2" applyNumberFormat="1" applyFont="1" applyFill="1" applyAlignment="1">
      <alignment horizontal="left"/>
    </xf>
    <xf numFmtId="0" fontId="1" fillId="16" borderId="0" xfId="2" applyFont="1" applyFill="1" applyAlignment="1">
      <alignment horizontal="left"/>
    </xf>
    <xf numFmtId="0" fontId="1" fillId="17" borderId="0" xfId="2" applyFont="1" applyFill="1" applyAlignment="1">
      <alignment horizontal="left"/>
    </xf>
    <xf numFmtId="0" fontId="13" fillId="5" borderId="0" xfId="2" applyFont="1" applyFill="1" applyAlignment="1">
      <alignment horizontal="left"/>
    </xf>
    <xf numFmtId="0" fontId="1" fillId="5" borderId="0" xfId="2" applyFont="1" applyFill="1" applyAlignment="1">
      <alignment horizontal="left"/>
    </xf>
    <xf numFmtId="0" fontId="13" fillId="6" borderId="0" xfId="2" applyFont="1" applyFill="1" applyAlignment="1">
      <alignment horizontal="left"/>
    </xf>
    <xf numFmtId="0" fontId="1" fillId="6" borderId="0" xfId="2" applyFont="1" applyFill="1" applyAlignment="1">
      <alignment horizontal="left"/>
    </xf>
    <xf numFmtId="0" fontId="13" fillId="7" borderId="0" xfId="2" applyFont="1" applyFill="1" applyAlignment="1">
      <alignment horizontal="left"/>
    </xf>
    <xf numFmtId="0" fontId="1" fillId="7" borderId="0" xfId="2" applyFont="1" applyFill="1" applyAlignment="1">
      <alignment horizontal="left"/>
    </xf>
    <xf numFmtId="0" fontId="1" fillId="8" borderId="0" xfId="2" applyFont="1" applyFill="1" applyAlignment="1">
      <alignment horizontal="left"/>
    </xf>
    <xf numFmtId="0" fontId="1" fillId="9" borderId="0" xfId="2" applyFont="1" applyFill="1" applyAlignment="1">
      <alignment horizontal="left"/>
    </xf>
    <xf numFmtId="0" fontId="21" fillId="3" borderId="0" xfId="2" applyFont="1" applyFill="1" applyAlignment="1">
      <alignment horizontal="left"/>
    </xf>
    <xf numFmtId="0" fontId="22" fillId="3" borderId="0" xfId="2" applyFont="1" applyFill="1" applyAlignment="1">
      <alignment horizontal="left"/>
    </xf>
    <xf numFmtId="0" fontId="8" fillId="3" borderId="0" xfId="2" applyFont="1" applyFill="1"/>
    <xf numFmtId="0" fontId="1" fillId="2" borderId="0" xfId="2" applyFont="1" applyFill="1"/>
    <xf numFmtId="0" fontId="1" fillId="2" borderId="0" xfId="2" applyFont="1" applyFill="1" applyAlignment="1">
      <alignment horizontal="center"/>
    </xf>
    <xf numFmtId="0" fontId="2" fillId="3" borderId="0" xfId="2" applyFont="1" applyFill="1"/>
    <xf numFmtId="0" fontId="8" fillId="3" borderId="0" xfId="2" applyFont="1" applyFill="1" applyAlignment="1">
      <alignment horizontal="center"/>
    </xf>
    <xf numFmtId="0" fontId="7" fillId="2" borderId="0" xfId="47" applyFont="1" applyFill="1"/>
    <xf numFmtId="0" fontId="10" fillId="2" borderId="0" xfId="2" applyFont="1" applyFill="1" applyAlignment="1">
      <alignment horizontal="center"/>
    </xf>
    <xf numFmtId="0" fontId="9" fillId="11" borderId="0" xfId="51" applyFont="1" applyFill="1" applyAlignment="1">
      <alignment horizontal="center" vertical="center"/>
    </xf>
    <xf numFmtId="176" fontId="1" fillId="2" borderId="0" xfId="2" applyNumberFormat="1" applyFont="1" applyFill="1" applyAlignment="1">
      <alignment horizontal="center"/>
    </xf>
    <xf numFmtId="14" fontId="1" fillId="2" borderId="0" xfId="2" applyNumberFormat="1" applyFont="1" applyFill="1" applyAlignment="1">
      <alignment horizontal="center"/>
    </xf>
    <xf numFmtId="0" fontId="9" fillId="11" borderId="0" xfId="51" applyFont="1" applyFill="1" applyAlignment="1">
      <alignment vertical="center"/>
    </xf>
  </cellXfs>
  <cellStyles count="57">
    <cellStyle name="常规" xfId="0" builtinId="0"/>
    <cellStyle name="常规 2" xfId="1"/>
    <cellStyle name="常规 3 2" xfId="2"/>
    <cellStyle name="常规 4" xfId="3"/>
    <cellStyle name="常规 4 2" xfId="4"/>
    <cellStyle name="一般数据" xfId="5"/>
    <cellStyle name="注释 2" xfId="6"/>
    <cellStyle name="60% - 强调文字颜色 6" xfId="7" builtinId="52"/>
    <cellStyle name="20% - 强调文字颜色 4" xfId="8" builtinId="42"/>
    <cellStyle name="强调文字颜色 4" xfId="9" builtinId="41"/>
    <cellStyle name="输入" xfId="10" builtinId="20"/>
    <cellStyle name="40% - 强调文字颜色 3" xfId="11" builtinId="39"/>
    <cellStyle name="20% - 强调文字颜色 3" xfId="12" builtinId="38"/>
    <cellStyle name="货币" xfId="13" builtinId="4"/>
    <cellStyle name="强调文字颜色 3" xfId="14" builtinId="37"/>
    <cellStyle name="百分比" xfId="15" builtinId="5"/>
    <cellStyle name="60% - 强调文字颜色 2" xfId="16" builtinId="36"/>
    <cellStyle name="60% - 强调文字颜色 5" xfId="17" builtinId="48"/>
    <cellStyle name="强调文字颜色 2" xfId="18" builtinId="33"/>
    <cellStyle name="60% - 强调文字颜色 1" xfId="19" builtinId="32"/>
    <cellStyle name="60% - 强调文字颜色 4" xfId="20" builtinId="44"/>
    <cellStyle name="计算" xfId="21" builtinId="22"/>
    <cellStyle name="强调文字颜色 1" xfId="22" builtinId="29"/>
    <cellStyle name="适中" xfId="23" builtinId="28"/>
    <cellStyle name="20% - 强调文字颜色 5" xfId="24" builtinId="46"/>
    <cellStyle name="好" xfId="25" builtinId="26"/>
    <cellStyle name="20% - 强调文字颜色 1" xfId="26" builtinId="30"/>
    <cellStyle name="汇总" xfId="27" builtinId="25"/>
    <cellStyle name="差" xfId="28" builtinId="27"/>
    <cellStyle name="检查单元格" xfId="29" builtinId="23"/>
    <cellStyle name="输出" xfId="30" builtinId="21"/>
    <cellStyle name="标题 1" xfId="31" builtinId="16"/>
    <cellStyle name="解释性文本" xfId="32" builtinId="53"/>
    <cellStyle name="20% - 强调文字颜色 2" xfId="33" builtinId="34"/>
    <cellStyle name="标题 4" xfId="34" builtinId="19"/>
    <cellStyle name="货币[0]" xfId="35" builtinId="7"/>
    <cellStyle name="40% - 强调文字颜色 4" xfId="36" builtinId="43"/>
    <cellStyle name="千位分隔" xfId="37" builtinId="3"/>
    <cellStyle name="已访问的超链接" xfId="38" builtinId="9"/>
    <cellStyle name="标题" xfId="39" builtinId="15"/>
    <cellStyle name="40% - 强调文字颜色 2" xfId="40" builtinId="35"/>
    <cellStyle name="警告文本" xfId="41" builtinId="11"/>
    <cellStyle name="60% - 强调文字颜色 3" xfId="42" builtinId="40"/>
    <cellStyle name="注释" xfId="43" builtinId="10"/>
    <cellStyle name="20% - 强调文字颜色 6" xfId="44" builtinId="50"/>
    <cellStyle name="强调文字颜色 5" xfId="45" builtinId="45"/>
    <cellStyle name="40% - 强调文字颜色 6" xfId="46" builtinId="51"/>
    <cellStyle name="超链接" xfId="47" builtinId="8"/>
    <cellStyle name="千位分隔[0]" xfId="48" builtinId="6"/>
    <cellStyle name="标题 2" xfId="49" builtinId="17"/>
    <cellStyle name="40% - 强调文字颜色 5" xfId="50" builtinId="47"/>
    <cellStyle name="适中 2" xfId="51"/>
    <cellStyle name="标题 3" xfId="52" builtinId="18"/>
    <cellStyle name="强调文字颜色 6" xfId="53" builtinId="49"/>
    <cellStyle name="40% - 强调文字颜色 1" xfId="54" builtinId="31"/>
    <cellStyle name="常规 3" xfId="55"/>
    <cellStyle name="链接单元格" xfId="56" builtinId="24"/>
  </cellStyle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7" Type="http://schemas.microsoft.com/office/2006/relationships/vbaProject" Target="vbaProject.bin"/><Relationship Id="rId36" Type="http://schemas.openxmlformats.org/officeDocument/2006/relationships/sharedStrings" Target="sharedStrings.xml"/><Relationship Id="rId35" Type="http://schemas.openxmlformats.org/officeDocument/2006/relationships/styles" Target="styles.xml"/><Relationship Id="rId34" Type="http://schemas.openxmlformats.org/officeDocument/2006/relationships/theme" Target="theme/theme1.xml"/><Relationship Id="rId33" Type="http://schemas.openxmlformats.org/officeDocument/2006/relationships/customXml" Target="../customXml/item1.xml"/><Relationship Id="rId32" Type="http://schemas.openxmlformats.org/officeDocument/2006/relationships/worksheet" Target="worksheets/sheet32.xml"/><Relationship Id="rId31" Type="http://schemas.openxmlformats.org/officeDocument/2006/relationships/worksheet" Target="worksheets/sheet31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" Type="http://schemas.openxmlformats.org/officeDocument/2006/relationships/worksheet" Target="worksheets/sheet29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zh-CN"/>
              <a:t>资源</a:t>
            </a:r>
            <a:r>
              <a:rPr lang="zh-CN" altLang="zh-CN" sz="1600" b="1" i="0" u="none" strike="noStrike" baseline="0">
                <a:effectLst/>
              </a:rPr>
              <a:t>在各系统中日产出曲线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控制台!$AF$106</c:f>
              <c:strCache>
                <c:ptCount val="1"/>
                <c:pt idx="0">
                  <c:v>采集资源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控制台!$B$107:$B$178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控制台!$AF$107:$AF$178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211788</c:v>
                </c:pt>
                <c:pt idx="2" c:formatCode="General">
                  <c:v>213786</c:v>
                </c:pt>
                <c:pt idx="3" c:formatCode="General">
                  <c:v>215784</c:v>
                </c:pt>
                <c:pt idx="4" c:formatCode="General">
                  <c:v>217782</c:v>
                </c:pt>
                <c:pt idx="5" c:formatCode="General">
                  <c:v>219780</c:v>
                </c:pt>
                <c:pt idx="6" c:formatCode="General">
                  <c:v>221378.4</c:v>
                </c:pt>
                <c:pt idx="7" c:formatCode="General">
                  <c:v>222976.8</c:v>
                </c:pt>
                <c:pt idx="8" c:formatCode="General">
                  <c:v>224575.2</c:v>
                </c:pt>
                <c:pt idx="9" c:formatCode="General">
                  <c:v>226173.6</c:v>
                </c:pt>
                <c:pt idx="10" c:formatCode="General">
                  <c:v>455544</c:v>
                </c:pt>
                <c:pt idx="11" c:formatCode="General">
                  <c:v>943056</c:v>
                </c:pt>
                <c:pt idx="12" c:formatCode="General">
                  <c:v>1022976</c:v>
                </c:pt>
                <c:pt idx="13" c:formatCode="General">
                  <c:v>1541956.5</c:v>
                </c:pt>
                <c:pt idx="14" c:formatCode="General">
                  <c:v>1549449</c:v>
                </c:pt>
                <c:pt idx="15" c:formatCode="General">
                  <c:v>2075922</c:v>
                </c:pt>
                <c:pt idx="16" c:formatCode="General">
                  <c:v>3128868</c:v>
                </c:pt>
                <c:pt idx="17" c:formatCode="General">
                  <c:v>3929816.25</c:v>
                </c:pt>
                <c:pt idx="18" c:formatCode="General">
                  <c:v>3948547.5</c:v>
                </c:pt>
                <c:pt idx="19" c:formatCode="General">
                  <c:v>4760734.5</c:v>
                </c:pt>
                <c:pt idx="20" c:formatCode="General">
                  <c:v>4783212</c:v>
                </c:pt>
                <c:pt idx="21" c:formatCode="General">
                  <c:v>5737756.5</c:v>
                </c:pt>
                <c:pt idx="22" c:formatCode="General">
                  <c:v>5895099</c:v>
                </c:pt>
                <c:pt idx="23" c:formatCode="General">
                  <c:v>7096896</c:v>
                </c:pt>
                <c:pt idx="24" c:formatCode="General">
                  <c:v>8307684</c:v>
                </c:pt>
                <c:pt idx="25" c:formatCode="General">
                  <c:v>9590400</c:v>
                </c:pt>
                <c:pt idx="26" c:formatCode="General">
                  <c:v>9620370</c:v>
                </c:pt>
                <c:pt idx="27" c:formatCode="General">
                  <c:v>9650340</c:v>
                </c:pt>
                <c:pt idx="28" c:formatCode="General">
                  <c:v>9680310</c:v>
                </c:pt>
                <c:pt idx="29" c:formatCode="General">
                  <c:v>12947040</c:v>
                </c:pt>
                <c:pt idx="30" c:formatCode="General">
                  <c:v>12987000</c:v>
                </c:pt>
                <c:pt idx="31" c:formatCode="General">
                  <c:v>13026960</c:v>
                </c:pt>
                <c:pt idx="32" c:formatCode="General">
                  <c:v>13066920</c:v>
                </c:pt>
                <c:pt idx="33" c:formatCode="General">
                  <c:v>13106880</c:v>
                </c:pt>
                <c:pt idx="34" c:formatCode="General">
                  <c:v>13146840</c:v>
                </c:pt>
                <c:pt idx="35" c:formatCode="General">
                  <c:v>13186800</c:v>
                </c:pt>
                <c:pt idx="36" c:formatCode="General">
                  <c:v>13586400</c:v>
                </c:pt>
                <c:pt idx="37" c:formatCode="General">
                  <c:v>13986000</c:v>
                </c:pt>
                <c:pt idx="38" c:formatCode="General">
                  <c:v>14385600</c:v>
                </c:pt>
                <c:pt idx="39" c:formatCode="General">
                  <c:v>14785200</c:v>
                </c:pt>
                <c:pt idx="40" c:formatCode="General">
                  <c:v>14880342.8571428</c:v>
                </c:pt>
                <c:pt idx="41" c:formatCode="General">
                  <c:v>14975485.7142857</c:v>
                </c:pt>
                <c:pt idx="42" c:formatCode="General">
                  <c:v>15070628.5714286</c:v>
                </c:pt>
                <c:pt idx="43" c:formatCode="General">
                  <c:v>18957214.2857143</c:v>
                </c:pt>
                <c:pt idx="44" c:formatCode="General">
                  <c:v>19076142.8571429</c:v>
                </c:pt>
                <c:pt idx="45" c:formatCode="General">
                  <c:v>19195071.4285714</c:v>
                </c:pt>
                <c:pt idx="46" c:formatCode="General">
                  <c:v>19789714.2857143</c:v>
                </c:pt>
                <c:pt idx="47" c:formatCode="General">
                  <c:v>20384357.1428571</c:v>
                </c:pt>
                <c:pt idx="48" c:formatCode="General">
                  <c:v>20979000</c:v>
                </c:pt>
                <c:pt idx="49" c:formatCode="General">
                  <c:v>21478500</c:v>
                </c:pt>
                <c:pt idx="50" c:formatCode="General">
                  <c:v>21978000</c:v>
                </c:pt>
                <c:pt idx="51" c:formatCode="General">
                  <c:v>22477500</c:v>
                </c:pt>
                <c:pt idx="52" c:formatCode="General">
                  <c:v>22560750</c:v>
                </c:pt>
                <c:pt idx="53" c:formatCode="General">
                  <c:v>22644000</c:v>
                </c:pt>
                <c:pt idx="54" c:formatCode="General">
                  <c:v>22727250</c:v>
                </c:pt>
                <c:pt idx="55" c:formatCode="General">
                  <c:v>22810500</c:v>
                </c:pt>
                <c:pt idx="56" c:formatCode="General">
                  <c:v>22893750</c:v>
                </c:pt>
                <c:pt idx="57" c:formatCode="General">
                  <c:v>22977000</c:v>
                </c:pt>
                <c:pt idx="58" c:formatCode="General">
                  <c:v>23393250</c:v>
                </c:pt>
                <c:pt idx="59" c:formatCode="General">
                  <c:v>23809500</c:v>
                </c:pt>
                <c:pt idx="60" c:formatCode="General">
                  <c:v>24225750</c:v>
                </c:pt>
                <c:pt idx="61" c:formatCode="General">
                  <c:v>24642000</c:v>
                </c:pt>
                <c:pt idx="62" c:formatCode="General">
                  <c:v>25058250</c:v>
                </c:pt>
                <c:pt idx="63" c:formatCode="General">
                  <c:v>25474500</c:v>
                </c:pt>
                <c:pt idx="64" c:formatCode="General">
                  <c:v>27972000</c:v>
                </c:pt>
                <c:pt idx="65" c:formatCode="General">
                  <c:v>28043357.1428572</c:v>
                </c:pt>
                <c:pt idx="66" c:formatCode="General">
                  <c:v>28114714.2857142</c:v>
                </c:pt>
                <c:pt idx="67" c:formatCode="General">
                  <c:v>28186071.4285714</c:v>
                </c:pt>
                <c:pt idx="68" c:formatCode="General">
                  <c:v>28257428.5714286</c:v>
                </c:pt>
                <c:pt idx="69" c:formatCode="General">
                  <c:v>28328785.7142858</c:v>
                </c:pt>
                <c:pt idx="70" c:formatCode="General">
                  <c:v>28400142.8571428</c:v>
                </c:pt>
                <c:pt idx="71" c:formatCode="General">
                  <c:v>28471500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控制台!$AG$106</c:f>
              <c:strCache>
                <c:ptCount val="1"/>
                <c:pt idx="0">
                  <c:v>军任资源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控制台!$B$107:$B$178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控制台!$AG$107:$AG$178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0</c:v>
                </c:pt>
                <c:pt idx="3" c:formatCode="General">
                  <c:v>0</c:v>
                </c:pt>
                <c:pt idx="4" c:formatCode="General">
                  <c:v>0</c:v>
                </c:pt>
                <c:pt idx="5" c:formatCode="General">
                  <c:v>0</c:v>
                </c:pt>
                <c:pt idx="6" c:formatCode="General">
                  <c:v>0</c:v>
                </c:pt>
                <c:pt idx="7" c:formatCode="General">
                  <c:v>0</c:v>
                </c:pt>
                <c:pt idx="8" c:formatCode="General">
                  <c:v>0</c:v>
                </c:pt>
                <c:pt idx="9" c:formatCode="General">
                  <c:v>0</c:v>
                </c:pt>
                <c:pt idx="10" c:formatCode="General">
                  <c:v>0</c:v>
                </c:pt>
                <c:pt idx="11" c:formatCode="General">
                  <c:v>0</c:v>
                </c:pt>
                <c:pt idx="12" c:formatCode="General">
                  <c:v>0</c:v>
                </c:pt>
                <c:pt idx="13" c:formatCode="General">
                  <c:v>0</c:v>
                </c:pt>
                <c:pt idx="14" c:formatCode="General">
                  <c:v>0</c:v>
                </c:pt>
                <c:pt idx="15" c:formatCode="General">
                  <c:v>0</c:v>
                </c:pt>
                <c:pt idx="16" c:formatCode="General">
                  <c:v>0</c:v>
                </c:pt>
                <c:pt idx="17" c:formatCode="General">
                  <c:v>0</c:v>
                </c:pt>
                <c:pt idx="18" c:formatCode="General">
                  <c:v>0</c:v>
                </c:pt>
                <c:pt idx="19" c:formatCode="General">
                  <c:v>0</c:v>
                </c:pt>
                <c:pt idx="20" c:formatCode="General">
                  <c:v>0</c:v>
                </c:pt>
                <c:pt idx="21" c:formatCode="General">
                  <c:v>0</c:v>
                </c:pt>
                <c:pt idx="22" c:formatCode="General">
                  <c:v>432000</c:v>
                </c:pt>
                <c:pt idx="23" c:formatCode="General">
                  <c:v>432000</c:v>
                </c:pt>
                <c:pt idx="24" c:formatCode="General">
                  <c:v>432000</c:v>
                </c:pt>
                <c:pt idx="25" c:formatCode="General">
                  <c:v>432000</c:v>
                </c:pt>
                <c:pt idx="26" c:formatCode="General">
                  <c:v>432000</c:v>
                </c:pt>
                <c:pt idx="27" c:formatCode="General">
                  <c:v>432000</c:v>
                </c:pt>
                <c:pt idx="28" c:formatCode="General">
                  <c:v>432000</c:v>
                </c:pt>
                <c:pt idx="29" c:formatCode="General">
                  <c:v>432000</c:v>
                </c:pt>
                <c:pt idx="30" c:formatCode="General">
                  <c:v>432000</c:v>
                </c:pt>
                <c:pt idx="31" c:formatCode="General">
                  <c:v>432000</c:v>
                </c:pt>
                <c:pt idx="32" c:formatCode="General">
                  <c:v>432000</c:v>
                </c:pt>
                <c:pt idx="33" c:formatCode="General">
                  <c:v>432000</c:v>
                </c:pt>
                <c:pt idx="34" c:formatCode="General">
                  <c:v>432000</c:v>
                </c:pt>
                <c:pt idx="35" c:formatCode="General">
                  <c:v>432000</c:v>
                </c:pt>
                <c:pt idx="36" c:formatCode="General">
                  <c:v>432000</c:v>
                </c:pt>
                <c:pt idx="37" c:formatCode="General">
                  <c:v>432000</c:v>
                </c:pt>
                <c:pt idx="38" c:formatCode="General">
                  <c:v>432000</c:v>
                </c:pt>
                <c:pt idx="39" c:formatCode="General">
                  <c:v>432000</c:v>
                </c:pt>
                <c:pt idx="40" c:formatCode="General">
                  <c:v>432000</c:v>
                </c:pt>
                <c:pt idx="41" c:formatCode="General">
                  <c:v>432000</c:v>
                </c:pt>
                <c:pt idx="42" c:formatCode="General">
                  <c:v>432000</c:v>
                </c:pt>
                <c:pt idx="43" c:formatCode="General">
                  <c:v>720000</c:v>
                </c:pt>
                <c:pt idx="44" c:formatCode="General">
                  <c:v>720000</c:v>
                </c:pt>
                <c:pt idx="45" c:formatCode="General">
                  <c:v>720000</c:v>
                </c:pt>
                <c:pt idx="46" c:formatCode="General">
                  <c:v>720000</c:v>
                </c:pt>
                <c:pt idx="47" c:formatCode="General">
                  <c:v>720000</c:v>
                </c:pt>
                <c:pt idx="48" c:formatCode="General">
                  <c:v>720000</c:v>
                </c:pt>
                <c:pt idx="49" c:formatCode="General">
                  <c:v>720000</c:v>
                </c:pt>
                <c:pt idx="50" c:formatCode="General">
                  <c:v>720000</c:v>
                </c:pt>
                <c:pt idx="51" c:formatCode="General">
                  <c:v>720000</c:v>
                </c:pt>
                <c:pt idx="52" c:formatCode="General">
                  <c:v>720000</c:v>
                </c:pt>
                <c:pt idx="53" c:formatCode="General">
                  <c:v>720000</c:v>
                </c:pt>
                <c:pt idx="54" c:formatCode="General">
                  <c:v>720000</c:v>
                </c:pt>
                <c:pt idx="55" c:formatCode="General">
                  <c:v>720000</c:v>
                </c:pt>
                <c:pt idx="56" c:formatCode="General">
                  <c:v>720000</c:v>
                </c:pt>
                <c:pt idx="57" c:formatCode="General">
                  <c:v>720000</c:v>
                </c:pt>
                <c:pt idx="58" c:formatCode="General">
                  <c:v>1200000</c:v>
                </c:pt>
                <c:pt idx="59" c:formatCode="General">
                  <c:v>1200000</c:v>
                </c:pt>
                <c:pt idx="60" c:formatCode="General">
                  <c:v>1200000</c:v>
                </c:pt>
                <c:pt idx="61" c:formatCode="General">
                  <c:v>1200000</c:v>
                </c:pt>
                <c:pt idx="62" c:formatCode="General">
                  <c:v>1200000</c:v>
                </c:pt>
                <c:pt idx="63" c:formatCode="General">
                  <c:v>1200000</c:v>
                </c:pt>
                <c:pt idx="64" c:formatCode="General">
                  <c:v>1200000</c:v>
                </c:pt>
                <c:pt idx="65" c:formatCode="General">
                  <c:v>1200000</c:v>
                </c:pt>
                <c:pt idx="66" c:formatCode="General">
                  <c:v>1200000</c:v>
                </c:pt>
                <c:pt idx="67" c:formatCode="General">
                  <c:v>1200000</c:v>
                </c:pt>
                <c:pt idx="68" c:formatCode="General">
                  <c:v>1200000</c:v>
                </c:pt>
                <c:pt idx="69" c:formatCode="General">
                  <c:v>1200000</c:v>
                </c:pt>
                <c:pt idx="70" c:formatCode="General">
                  <c:v>1200000</c:v>
                </c:pt>
                <c:pt idx="71" c:formatCode="General">
                  <c:v>1200000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控制台!$AH$106</c:f>
              <c:strCache>
                <c:ptCount val="1"/>
                <c:pt idx="0">
                  <c:v>日任资源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控制台!$B$107:$B$178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控制台!$AH$107:$AH$178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1200000</c:v>
                </c:pt>
                <c:pt idx="2" c:formatCode="General">
                  <c:v>1200000</c:v>
                </c:pt>
                <c:pt idx="3" c:formatCode="General">
                  <c:v>1200000</c:v>
                </c:pt>
                <c:pt idx="4" c:formatCode="General">
                  <c:v>1200000</c:v>
                </c:pt>
                <c:pt idx="5" c:formatCode="General">
                  <c:v>1200000</c:v>
                </c:pt>
                <c:pt idx="6" c:formatCode="General">
                  <c:v>1200000</c:v>
                </c:pt>
                <c:pt idx="7" c:formatCode="General">
                  <c:v>1200000</c:v>
                </c:pt>
                <c:pt idx="8" c:formatCode="General">
                  <c:v>1200000</c:v>
                </c:pt>
                <c:pt idx="9" c:formatCode="General">
                  <c:v>1200000</c:v>
                </c:pt>
                <c:pt idx="10" c:formatCode="General">
                  <c:v>1200000</c:v>
                </c:pt>
                <c:pt idx="11" c:formatCode="General">
                  <c:v>1200000</c:v>
                </c:pt>
                <c:pt idx="12" c:formatCode="General">
                  <c:v>1200000</c:v>
                </c:pt>
                <c:pt idx="13" c:formatCode="General">
                  <c:v>1200000</c:v>
                </c:pt>
                <c:pt idx="14" c:formatCode="General">
                  <c:v>1200000</c:v>
                </c:pt>
                <c:pt idx="15" c:formatCode="General">
                  <c:v>1200000</c:v>
                </c:pt>
                <c:pt idx="16" c:formatCode="General">
                  <c:v>1200000</c:v>
                </c:pt>
                <c:pt idx="17" c:formatCode="General">
                  <c:v>1200000</c:v>
                </c:pt>
                <c:pt idx="18" c:formatCode="General">
                  <c:v>1200000</c:v>
                </c:pt>
                <c:pt idx="19" c:formatCode="General">
                  <c:v>1200000</c:v>
                </c:pt>
                <c:pt idx="20" c:formatCode="General">
                  <c:v>1200000</c:v>
                </c:pt>
                <c:pt idx="21" c:formatCode="General">
                  <c:v>1200000</c:v>
                </c:pt>
                <c:pt idx="22" c:formatCode="General">
                  <c:v>1200000</c:v>
                </c:pt>
                <c:pt idx="23" c:formatCode="General">
                  <c:v>1200000</c:v>
                </c:pt>
                <c:pt idx="24" c:formatCode="General">
                  <c:v>1200000</c:v>
                </c:pt>
                <c:pt idx="25" c:formatCode="General">
                  <c:v>1200000</c:v>
                </c:pt>
                <c:pt idx="26" c:formatCode="General">
                  <c:v>1200000</c:v>
                </c:pt>
                <c:pt idx="27" c:formatCode="General">
                  <c:v>1200000</c:v>
                </c:pt>
                <c:pt idx="28" c:formatCode="General">
                  <c:v>1200000</c:v>
                </c:pt>
                <c:pt idx="29" c:formatCode="General">
                  <c:v>1200000</c:v>
                </c:pt>
                <c:pt idx="30" c:formatCode="General">
                  <c:v>1200000</c:v>
                </c:pt>
                <c:pt idx="31" c:formatCode="General">
                  <c:v>1200000</c:v>
                </c:pt>
                <c:pt idx="32" c:formatCode="General">
                  <c:v>1200000</c:v>
                </c:pt>
                <c:pt idx="33" c:formatCode="General">
                  <c:v>1200000</c:v>
                </c:pt>
                <c:pt idx="34" c:formatCode="General">
                  <c:v>1200000</c:v>
                </c:pt>
                <c:pt idx="35" c:formatCode="General">
                  <c:v>1200000</c:v>
                </c:pt>
                <c:pt idx="36" c:formatCode="General">
                  <c:v>1200000</c:v>
                </c:pt>
                <c:pt idx="37" c:formatCode="General">
                  <c:v>1200000</c:v>
                </c:pt>
                <c:pt idx="38" c:formatCode="General">
                  <c:v>1200000</c:v>
                </c:pt>
                <c:pt idx="39" c:formatCode="General">
                  <c:v>1200000</c:v>
                </c:pt>
                <c:pt idx="40" c:formatCode="General">
                  <c:v>1200000</c:v>
                </c:pt>
                <c:pt idx="41" c:formatCode="General">
                  <c:v>1200000</c:v>
                </c:pt>
                <c:pt idx="42" c:formatCode="General">
                  <c:v>1200000</c:v>
                </c:pt>
                <c:pt idx="43" c:formatCode="General">
                  <c:v>1200000</c:v>
                </c:pt>
                <c:pt idx="44" c:formatCode="General">
                  <c:v>1200000</c:v>
                </c:pt>
                <c:pt idx="45" c:formatCode="General">
                  <c:v>1200000</c:v>
                </c:pt>
                <c:pt idx="46" c:formatCode="General">
                  <c:v>1200000</c:v>
                </c:pt>
                <c:pt idx="47" c:formatCode="General">
                  <c:v>1200000</c:v>
                </c:pt>
                <c:pt idx="48" c:formatCode="General">
                  <c:v>1200000</c:v>
                </c:pt>
                <c:pt idx="49" c:formatCode="General">
                  <c:v>1200000</c:v>
                </c:pt>
                <c:pt idx="50" c:formatCode="General">
                  <c:v>1200000</c:v>
                </c:pt>
                <c:pt idx="51" c:formatCode="General">
                  <c:v>1200000</c:v>
                </c:pt>
                <c:pt idx="52" c:formatCode="General">
                  <c:v>1200000</c:v>
                </c:pt>
                <c:pt idx="53" c:formatCode="General">
                  <c:v>1200000</c:v>
                </c:pt>
                <c:pt idx="54" c:formatCode="General">
                  <c:v>1200000</c:v>
                </c:pt>
                <c:pt idx="55" c:formatCode="General">
                  <c:v>1200000</c:v>
                </c:pt>
                <c:pt idx="56" c:formatCode="General">
                  <c:v>1200000</c:v>
                </c:pt>
                <c:pt idx="57" c:formatCode="General">
                  <c:v>1200000</c:v>
                </c:pt>
                <c:pt idx="58" c:formatCode="General">
                  <c:v>1200000</c:v>
                </c:pt>
                <c:pt idx="59" c:formatCode="General">
                  <c:v>1200000</c:v>
                </c:pt>
                <c:pt idx="60" c:formatCode="General">
                  <c:v>1200000</c:v>
                </c:pt>
                <c:pt idx="61" c:formatCode="General">
                  <c:v>1200000</c:v>
                </c:pt>
                <c:pt idx="62" c:formatCode="General">
                  <c:v>1200000</c:v>
                </c:pt>
                <c:pt idx="63" c:formatCode="General">
                  <c:v>1200000</c:v>
                </c:pt>
                <c:pt idx="64" c:formatCode="General">
                  <c:v>1200000</c:v>
                </c:pt>
                <c:pt idx="65" c:formatCode="General">
                  <c:v>1200000</c:v>
                </c:pt>
                <c:pt idx="66" c:formatCode="General">
                  <c:v>1200000</c:v>
                </c:pt>
                <c:pt idx="67" c:formatCode="General">
                  <c:v>1200000</c:v>
                </c:pt>
                <c:pt idx="68" c:formatCode="General">
                  <c:v>1200000</c:v>
                </c:pt>
                <c:pt idx="69" c:formatCode="General">
                  <c:v>1200000</c:v>
                </c:pt>
                <c:pt idx="70" c:formatCode="General">
                  <c:v>1200000</c:v>
                </c:pt>
                <c:pt idx="71" c:formatCode="General">
                  <c:v>1200000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控制台!$AI$106</c:f>
              <c:strCache>
                <c:ptCount val="1"/>
                <c:pt idx="0">
                  <c:v>空投资源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控制台!$B$107:$B$178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控制台!$AI$107:$AI$178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959999.999999998</c:v>
                </c:pt>
                <c:pt idx="2" c:formatCode="General">
                  <c:v>959999.999999998</c:v>
                </c:pt>
                <c:pt idx="3" c:formatCode="General">
                  <c:v>959999.999999998</c:v>
                </c:pt>
                <c:pt idx="4" c:formatCode="General">
                  <c:v>1440000</c:v>
                </c:pt>
                <c:pt idx="5" c:formatCode="General">
                  <c:v>1440000</c:v>
                </c:pt>
                <c:pt idx="6" c:formatCode="General">
                  <c:v>1440000</c:v>
                </c:pt>
                <c:pt idx="7" c:formatCode="General">
                  <c:v>1440000</c:v>
                </c:pt>
                <c:pt idx="8" c:formatCode="General">
                  <c:v>1440000</c:v>
                </c:pt>
                <c:pt idx="9" c:formatCode="General">
                  <c:v>1440000</c:v>
                </c:pt>
                <c:pt idx="10" c:formatCode="General">
                  <c:v>1920000</c:v>
                </c:pt>
                <c:pt idx="11" c:formatCode="General">
                  <c:v>1920000</c:v>
                </c:pt>
                <c:pt idx="12" c:formatCode="General">
                  <c:v>1920000</c:v>
                </c:pt>
                <c:pt idx="13" c:formatCode="General">
                  <c:v>1920000</c:v>
                </c:pt>
                <c:pt idx="14" c:formatCode="General">
                  <c:v>1920000</c:v>
                </c:pt>
                <c:pt idx="15" c:formatCode="General">
                  <c:v>1920000</c:v>
                </c:pt>
                <c:pt idx="16" c:formatCode="General">
                  <c:v>2880000</c:v>
                </c:pt>
                <c:pt idx="17" c:formatCode="General">
                  <c:v>2880000</c:v>
                </c:pt>
                <c:pt idx="18" c:formatCode="General">
                  <c:v>2880000</c:v>
                </c:pt>
                <c:pt idx="19" c:formatCode="General">
                  <c:v>2880000</c:v>
                </c:pt>
                <c:pt idx="20" c:formatCode="General">
                  <c:v>2880000</c:v>
                </c:pt>
                <c:pt idx="21" c:formatCode="General">
                  <c:v>2880000</c:v>
                </c:pt>
                <c:pt idx="22" c:formatCode="General">
                  <c:v>2880000</c:v>
                </c:pt>
                <c:pt idx="23" c:formatCode="General">
                  <c:v>2880000</c:v>
                </c:pt>
                <c:pt idx="24" c:formatCode="General">
                  <c:v>2880000</c:v>
                </c:pt>
                <c:pt idx="25" c:formatCode="General">
                  <c:v>2880000</c:v>
                </c:pt>
                <c:pt idx="26" c:formatCode="General">
                  <c:v>2880000</c:v>
                </c:pt>
                <c:pt idx="27" c:formatCode="General">
                  <c:v>2880000</c:v>
                </c:pt>
                <c:pt idx="28" c:formatCode="General">
                  <c:v>2880000</c:v>
                </c:pt>
                <c:pt idx="29" c:formatCode="General">
                  <c:v>2880000</c:v>
                </c:pt>
                <c:pt idx="30" c:formatCode="General">
                  <c:v>2880000</c:v>
                </c:pt>
                <c:pt idx="31" c:formatCode="General">
                  <c:v>2880000</c:v>
                </c:pt>
                <c:pt idx="32" c:formatCode="General">
                  <c:v>2880000</c:v>
                </c:pt>
                <c:pt idx="33" c:formatCode="General">
                  <c:v>2880000</c:v>
                </c:pt>
                <c:pt idx="34" c:formatCode="General">
                  <c:v>2880000</c:v>
                </c:pt>
                <c:pt idx="35" c:formatCode="General">
                  <c:v>4800000</c:v>
                </c:pt>
                <c:pt idx="36" c:formatCode="General">
                  <c:v>4800000</c:v>
                </c:pt>
                <c:pt idx="37" c:formatCode="General">
                  <c:v>4800000</c:v>
                </c:pt>
                <c:pt idx="38" c:formatCode="General">
                  <c:v>4800000</c:v>
                </c:pt>
                <c:pt idx="39" c:formatCode="General">
                  <c:v>4800000</c:v>
                </c:pt>
                <c:pt idx="40" c:formatCode="General">
                  <c:v>4800000</c:v>
                </c:pt>
                <c:pt idx="41" c:formatCode="General">
                  <c:v>4800000</c:v>
                </c:pt>
                <c:pt idx="42" c:formatCode="General">
                  <c:v>4800000</c:v>
                </c:pt>
                <c:pt idx="43" c:formatCode="General">
                  <c:v>4800000</c:v>
                </c:pt>
                <c:pt idx="44" c:formatCode="General">
                  <c:v>4800000</c:v>
                </c:pt>
                <c:pt idx="45" c:formatCode="General">
                  <c:v>4800000</c:v>
                </c:pt>
                <c:pt idx="46" c:formatCode="General">
                  <c:v>4800000</c:v>
                </c:pt>
                <c:pt idx="47" c:formatCode="General">
                  <c:v>4800000</c:v>
                </c:pt>
                <c:pt idx="48" c:formatCode="General">
                  <c:v>4800000</c:v>
                </c:pt>
                <c:pt idx="49" c:formatCode="General">
                  <c:v>4800000</c:v>
                </c:pt>
                <c:pt idx="50" c:formatCode="General">
                  <c:v>4800000</c:v>
                </c:pt>
                <c:pt idx="51" c:formatCode="General">
                  <c:v>4800000</c:v>
                </c:pt>
                <c:pt idx="52" c:formatCode="General">
                  <c:v>4800000</c:v>
                </c:pt>
                <c:pt idx="53" c:formatCode="General">
                  <c:v>4800000</c:v>
                </c:pt>
                <c:pt idx="54" c:formatCode="General">
                  <c:v>4800000</c:v>
                </c:pt>
                <c:pt idx="55" c:formatCode="General">
                  <c:v>4800000</c:v>
                </c:pt>
                <c:pt idx="56" c:formatCode="General">
                  <c:v>4800000</c:v>
                </c:pt>
                <c:pt idx="57" c:formatCode="General">
                  <c:v>7200000</c:v>
                </c:pt>
                <c:pt idx="58" c:formatCode="General">
                  <c:v>7200000</c:v>
                </c:pt>
                <c:pt idx="59" c:formatCode="General">
                  <c:v>7200000</c:v>
                </c:pt>
                <c:pt idx="60" c:formatCode="General">
                  <c:v>7200000</c:v>
                </c:pt>
                <c:pt idx="61" c:formatCode="General">
                  <c:v>7200000</c:v>
                </c:pt>
                <c:pt idx="62" c:formatCode="General">
                  <c:v>7200000</c:v>
                </c:pt>
                <c:pt idx="63" c:formatCode="General">
                  <c:v>7200000</c:v>
                </c:pt>
                <c:pt idx="64" c:formatCode="General">
                  <c:v>7200000</c:v>
                </c:pt>
                <c:pt idx="65" c:formatCode="General">
                  <c:v>7200000</c:v>
                </c:pt>
                <c:pt idx="66" c:formatCode="General">
                  <c:v>7200000</c:v>
                </c:pt>
                <c:pt idx="67" c:formatCode="General">
                  <c:v>7200000</c:v>
                </c:pt>
                <c:pt idx="68" c:formatCode="General">
                  <c:v>7200000</c:v>
                </c:pt>
                <c:pt idx="69" c:formatCode="General">
                  <c:v>7200000</c:v>
                </c:pt>
                <c:pt idx="70" c:formatCode="General">
                  <c:v>7200000</c:v>
                </c:pt>
                <c:pt idx="71" c:formatCode="General">
                  <c:v>7200000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控制台!$AJ$106</c:f>
              <c:strCache>
                <c:ptCount val="1"/>
                <c:pt idx="0">
                  <c:v>活动资源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控制台!$B$107:$B$178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控制台!$AJ$107:$AJ$178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0</c:v>
                </c:pt>
                <c:pt idx="3" c:formatCode="General">
                  <c:v>0</c:v>
                </c:pt>
                <c:pt idx="4" c:formatCode="General">
                  <c:v>0</c:v>
                </c:pt>
                <c:pt idx="5" c:formatCode="General">
                  <c:v>0</c:v>
                </c:pt>
                <c:pt idx="6" c:formatCode="General">
                  <c:v>0</c:v>
                </c:pt>
                <c:pt idx="7" c:formatCode="General">
                  <c:v>0</c:v>
                </c:pt>
                <c:pt idx="8" c:formatCode="General">
                  <c:v>0</c:v>
                </c:pt>
                <c:pt idx="9" c:formatCode="General">
                  <c:v>0</c:v>
                </c:pt>
                <c:pt idx="10" c:formatCode="General">
                  <c:v>0</c:v>
                </c:pt>
                <c:pt idx="11" c:formatCode="General">
                  <c:v>0</c:v>
                </c:pt>
                <c:pt idx="12" c:formatCode="General">
                  <c:v>0</c:v>
                </c:pt>
                <c:pt idx="13" c:formatCode="General">
                  <c:v>0</c:v>
                </c:pt>
                <c:pt idx="14" c:formatCode="General">
                  <c:v>0</c:v>
                </c:pt>
                <c:pt idx="15" c:formatCode="General">
                  <c:v>0</c:v>
                </c:pt>
                <c:pt idx="16" c:formatCode="General">
                  <c:v>0</c:v>
                </c:pt>
                <c:pt idx="17" c:formatCode="General">
                  <c:v>0</c:v>
                </c:pt>
                <c:pt idx="18" c:formatCode="General">
                  <c:v>0</c:v>
                </c:pt>
                <c:pt idx="19" c:formatCode="General">
                  <c:v>0</c:v>
                </c:pt>
                <c:pt idx="20" c:formatCode="General">
                  <c:v>0</c:v>
                </c:pt>
                <c:pt idx="21" c:formatCode="General">
                  <c:v>0</c:v>
                </c:pt>
                <c:pt idx="22" c:formatCode="General">
                  <c:v>0</c:v>
                </c:pt>
                <c:pt idx="23" c:formatCode="General">
                  <c:v>2400000</c:v>
                </c:pt>
                <c:pt idx="24" c:formatCode="General">
                  <c:v>2400000</c:v>
                </c:pt>
                <c:pt idx="25" c:formatCode="General">
                  <c:v>2400000</c:v>
                </c:pt>
                <c:pt idx="26" c:formatCode="General">
                  <c:v>2400000</c:v>
                </c:pt>
                <c:pt idx="27" c:formatCode="General">
                  <c:v>2400000</c:v>
                </c:pt>
                <c:pt idx="28" c:formatCode="General">
                  <c:v>2400000</c:v>
                </c:pt>
                <c:pt idx="29" c:formatCode="General">
                  <c:v>2400000</c:v>
                </c:pt>
                <c:pt idx="30" c:formatCode="General">
                  <c:v>4800000</c:v>
                </c:pt>
                <c:pt idx="31" c:formatCode="General">
                  <c:v>4800000</c:v>
                </c:pt>
                <c:pt idx="32" c:formatCode="General">
                  <c:v>4800000</c:v>
                </c:pt>
                <c:pt idx="33" c:formatCode="General">
                  <c:v>4800000</c:v>
                </c:pt>
                <c:pt idx="34" c:formatCode="General">
                  <c:v>4800000</c:v>
                </c:pt>
                <c:pt idx="35" c:formatCode="General">
                  <c:v>4800000</c:v>
                </c:pt>
                <c:pt idx="36" c:formatCode="General">
                  <c:v>4800000</c:v>
                </c:pt>
                <c:pt idx="37" c:formatCode="General">
                  <c:v>4800000</c:v>
                </c:pt>
                <c:pt idx="38" c:formatCode="General">
                  <c:v>4800000</c:v>
                </c:pt>
                <c:pt idx="39" c:formatCode="General">
                  <c:v>4800000</c:v>
                </c:pt>
                <c:pt idx="40" c:formatCode="General">
                  <c:v>4800000</c:v>
                </c:pt>
                <c:pt idx="41" c:formatCode="General">
                  <c:v>4800000</c:v>
                </c:pt>
                <c:pt idx="42" c:formatCode="General">
                  <c:v>4800000</c:v>
                </c:pt>
                <c:pt idx="43" c:formatCode="General">
                  <c:v>4800000</c:v>
                </c:pt>
                <c:pt idx="44" c:formatCode="General">
                  <c:v>4800000</c:v>
                </c:pt>
                <c:pt idx="45" c:formatCode="General">
                  <c:v>4800000</c:v>
                </c:pt>
                <c:pt idx="46" c:formatCode="General">
                  <c:v>7200000</c:v>
                </c:pt>
                <c:pt idx="47" c:formatCode="General">
                  <c:v>7200000</c:v>
                </c:pt>
                <c:pt idx="48" c:formatCode="General">
                  <c:v>7200000</c:v>
                </c:pt>
                <c:pt idx="49" c:formatCode="General">
                  <c:v>7200000</c:v>
                </c:pt>
                <c:pt idx="50" c:formatCode="General">
                  <c:v>7200000</c:v>
                </c:pt>
                <c:pt idx="51" c:formatCode="General">
                  <c:v>7200000</c:v>
                </c:pt>
                <c:pt idx="52" c:formatCode="General">
                  <c:v>9600000</c:v>
                </c:pt>
                <c:pt idx="53" c:formatCode="General">
                  <c:v>9600000</c:v>
                </c:pt>
                <c:pt idx="54" c:formatCode="General">
                  <c:v>9600000</c:v>
                </c:pt>
                <c:pt idx="55" c:formatCode="General">
                  <c:v>9600000</c:v>
                </c:pt>
                <c:pt idx="56" c:formatCode="General">
                  <c:v>9600000</c:v>
                </c:pt>
                <c:pt idx="57" c:formatCode="General">
                  <c:v>9600000</c:v>
                </c:pt>
                <c:pt idx="58" c:formatCode="General">
                  <c:v>9600000</c:v>
                </c:pt>
                <c:pt idx="59" c:formatCode="General">
                  <c:v>9600000</c:v>
                </c:pt>
                <c:pt idx="60" c:formatCode="General">
                  <c:v>9600000</c:v>
                </c:pt>
                <c:pt idx="61" c:formatCode="General">
                  <c:v>9600000</c:v>
                </c:pt>
                <c:pt idx="62" c:formatCode="General">
                  <c:v>9600000</c:v>
                </c:pt>
                <c:pt idx="63" c:formatCode="General">
                  <c:v>9600000</c:v>
                </c:pt>
                <c:pt idx="64" c:formatCode="General">
                  <c:v>12000000</c:v>
                </c:pt>
                <c:pt idx="65" c:formatCode="General">
                  <c:v>12000000</c:v>
                </c:pt>
                <c:pt idx="66" c:formatCode="General">
                  <c:v>12000000</c:v>
                </c:pt>
                <c:pt idx="67" c:formatCode="General">
                  <c:v>12000000</c:v>
                </c:pt>
                <c:pt idx="68" c:formatCode="General">
                  <c:v>12000000</c:v>
                </c:pt>
                <c:pt idx="69" c:formatCode="General">
                  <c:v>12000000</c:v>
                </c:pt>
                <c:pt idx="70" c:formatCode="General">
                  <c:v>12000000</c:v>
                </c:pt>
                <c:pt idx="71" c:formatCode="General">
                  <c:v>12000000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控制台!$AK$106</c:f>
              <c:strCache>
                <c:ptCount val="1"/>
                <c:pt idx="0">
                  <c:v>VIP箱资源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控制台!$B$107:$B$178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控制台!$AK$107:$AK$178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30000</c:v>
                </c:pt>
                <c:pt idx="2" c:formatCode="General">
                  <c:v>30000</c:v>
                </c:pt>
                <c:pt idx="3" c:formatCode="General">
                  <c:v>30000</c:v>
                </c:pt>
                <c:pt idx="4" c:formatCode="General">
                  <c:v>30000</c:v>
                </c:pt>
                <c:pt idx="5" c:formatCode="General">
                  <c:v>30000</c:v>
                </c:pt>
                <c:pt idx="6" c:formatCode="General">
                  <c:v>30000</c:v>
                </c:pt>
                <c:pt idx="7" c:formatCode="General">
                  <c:v>30000</c:v>
                </c:pt>
                <c:pt idx="8" c:formatCode="General">
                  <c:v>30000</c:v>
                </c:pt>
                <c:pt idx="9" c:formatCode="General">
                  <c:v>30000</c:v>
                </c:pt>
                <c:pt idx="10" c:formatCode="General">
                  <c:v>30000</c:v>
                </c:pt>
                <c:pt idx="11" c:formatCode="General">
                  <c:v>30000</c:v>
                </c:pt>
                <c:pt idx="12" c:formatCode="General">
                  <c:v>60000</c:v>
                </c:pt>
                <c:pt idx="13" c:formatCode="General">
                  <c:v>60000</c:v>
                </c:pt>
                <c:pt idx="14" c:formatCode="General">
                  <c:v>60000</c:v>
                </c:pt>
                <c:pt idx="15" c:formatCode="General">
                  <c:v>60000</c:v>
                </c:pt>
                <c:pt idx="16" c:formatCode="General">
                  <c:v>90000</c:v>
                </c:pt>
                <c:pt idx="17" c:formatCode="General">
                  <c:v>90000</c:v>
                </c:pt>
                <c:pt idx="18" c:formatCode="General">
                  <c:v>90000</c:v>
                </c:pt>
                <c:pt idx="19" c:formatCode="General">
                  <c:v>90000</c:v>
                </c:pt>
                <c:pt idx="20" c:formatCode="General">
                  <c:v>120000</c:v>
                </c:pt>
                <c:pt idx="21" c:formatCode="General">
                  <c:v>120000</c:v>
                </c:pt>
                <c:pt idx="22" c:formatCode="General">
                  <c:v>120000</c:v>
                </c:pt>
                <c:pt idx="23" c:formatCode="General">
                  <c:v>120000</c:v>
                </c:pt>
                <c:pt idx="24" c:formatCode="General">
                  <c:v>150000</c:v>
                </c:pt>
                <c:pt idx="25" c:formatCode="General">
                  <c:v>150000</c:v>
                </c:pt>
                <c:pt idx="26" c:formatCode="General">
                  <c:v>150000</c:v>
                </c:pt>
                <c:pt idx="27" c:formatCode="General">
                  <c:v>150000</c:v>
                </c:pt>
                <c:pt idx="28" c:formatCode="General">
                  <c:v>150000</c:v>
                </c:pt>
                <c:pt idx="29" c:formatCode="General">
                  <c:v>180000</c:v>
                </c:pt>
                <c:pt idx="30" c:formatCode="General">
                  <c:v>180000</c:v>
                </c:pt>
                <c:pt idx="31" c:formatCode="General">
                  <c:v>180000</c:v>
                </c:pt>
                <c:pt idx="32" c:formatCode="General">
                  <c:v>180000</c:v>
                </c:pt>
                <c:pt idx="33" c:formatCode="General">
                  <c:v>180000</c:v>
                </c:pt>
                <c:pt idx="34" c:formatCode="General">
                  <c:v>180000</c:v>
                </c:pt>
                <c:pt idx="35" c:formatCode="General">
                  <c:v>210000</c:v>
                </c:pt>
                <c:pt idx="36" c:formatCode="General">
                  <c:v>210000</c:v>
                </c:pt>
                <c:pt idx="37" c:formatCode="General">
                  <c:v>210000</c:v>
                </c:pt>
                <c:pt idx="38" c:formatCode="General">
                  <c:v>210000</c:v>
                </c:pt>
                <c:pt idx="39" c:formatCode="General">
                  <c:v>210000</c:v>
                </c:pt>
                <c:pt idx="40" c:formatCode="General">
                  <c:v>210000</c:v>
                </c:pt>
                <c:pt idx="41" c:formatCode="General">
                  <c:v>210000</c:v>
                </c:pt>
                <c:pt idx="42" c:formatCode="General">
                  <c:v>210000</c:v>
                </c:pt>
                <c:pt idx="43" c:formatCode="General">
                  <c:v>210000</c:v>
                </c:pt>
                <c:pt idx="44" c:formatCode="General">
                  <c:v>210000</c:v>
                </c:pt>
                <c:pt idx="45" c:formatCode="General">
                  <c:v>240000</c:v>
                </c:pt>
                <c:pt idx="46" c:formatCode="General">
                  <c:v>240000</c:v>
                </c:pt>
                <c:pt idx="47" c:formatCode="General">
                  <c:v>240000</c:v>
                </c:pt>
                <c:pt idx="48" c:formatCode="General">
                  <c:v>240000</c:v>
                </c:pt>
                <c:pt idx="49" c:formatCode="General">
                  <c:v>240000</c:v>
                </c:pt>
                <c:pt idx="50" c:formatCode="General">
                  <c:v>240000</c:v>
                </c:pt>
                <c:pt idx="51" c:formatCode="General">
                  <c:v>270000</c:v>
                </c:pt>
                <c:pt idx="52" c:formatCode="General">
                  <c:v>270000</c:v>
                </c:pt>
                <c:pt idx="53" c:formatCode="General">
                  <c:v>270000</c:v>
                </c:pt>
                <c:pt idx="54" c:formatCode="General">
                  <c:v>270000</c:v>
                </c:pt>
                <c:pt idx="55" c:formatCode="General">
                  <c:v>270000</c:v>
                </c:pt>
                <c:pt idx="56" c:formatCode="General">
                  <c:v>270000</c:v>
                </c:pt>
                <c:pt idx="57" c:formatCode="General">
                  <c:v>300000</c:v>
                </c:pt>
                <c:pt idx="58" c:formatCode="General">
                  <c:v>300000</c:v>
                </c:pt>
                <c:pt idx="59" c:formatCode="General">
                  <c:v>300000</c:v>
                </c:pt>
                <c:pt idx="60" c:formatCode="General">
                  <c:v>300000</c:v>
                </c:pt>
                <c:pt idx="61" c:formatCode="General">
                  <c:v>300000</c:v>
                </c:pt>
                <c:pt idx="62" c:formatCode="General">
                  <c:v>300000</c:v>
                </c:pt>
                <c:pt idx="63" c:formatCode="General">
                  <c:v>300000</c:v>
                </c:pt>
                <c:pt idx="64" c:formatCode="General">
                  <c:v>330000</c:v>
                </c:pt>
                <c:pt idx="65" c:formatCode="General">
                  <c:v>330000</c:v>
                </c:pt>
                <c:pt idx="66" c:formatCode="General">
                  <c:v>330000</c:v>
                </c:pt>
                <c:pt idx="67" c:formatCode="General">
                  <c:v>360000</c:v>
                </c:pt>
                <c:pt idx="68" c:formatCode="General">
                  <c:v>360000</c:v>
                </c:pt>
                <c:pt idx="69" c:formatCode="General">
                  <c:v>360000</c:v>
                </c:pt>
                <c:pt idx="70" c:formatCode="General">
                  <c:v>360000</c:v>
                </c:pt>
                <c:pt idx="71" c:formatCode="General">
                  <c:v>390000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1578168688"/>
        <c:axId val="1578172016"/>
      </c:lineChart>
      <c:catAx>
        <c:axId val="157816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78172016"/>
        <c:crosses val="autoZero"/>
        <c:auto val="1"/>
        <c:lblAlgn val="ctr"/>
        <c:lblOffset val="100"/>
        <c:noMultiLvlLbl val="0"/>
      </c:catAx>
      <c:valAx>
        <c:axId val="157817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78168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x-none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zh-CN"/>
              <a:t>加速</a:t>
            </a:r>
            <a:r>
              <a:rPr lang="zh-CN" altLang="en-US"/>
              <a:t>在各系统中日产出曲线</a:t>
            </a:r>
            <a:endParaRPr lang="zh-CN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控制台!$AL$106</c:f>
              <c:strCache>
                <c:ptCount val="1"/>
                <c:pt idx="0">
                  <c:v>生队加速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控制台!$B$107:$B$178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控制台!$AL$107:$AL$178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1440</c:v>
                </c:pt>
                <c:pt idx="2" c:formatCode="General">
                  <c:v>1440</c:v>
                </c:pt>
                <c:pt idx="3" c:formatCode="General">
                  <c:v>1440</c:v>
                </c:pt>
                <c:pt idx="4" c:formatCode="General">
                  <c:v>1440</c:v>
                </c:pt>
                <c:pt idx="5" c:formatCode="General">
                  <c:v>1440</c:v>
                </c:pt>
                <c:pt idx="6" c:formatCode="General">
                  <c:v>1440</c:v>
                </c:pt>
                <c:pt idx="7" c:formatCode="General">
                  <c:v>1440</c:v>
                </c:pt>
                <c:pt idx="8" c:formatCode="General">
                  <c:v>2880</c:v>
                </c:pt>
                <c:pt idx="9" c:formatCode="General">
                  <c:v>2880</c:v>
                </c:pt>
                <c:pt idx="10" c:formatCode="General">
                  <c:v>2880</c:v>
                </c:pt>
                <c:pt idx="11" c:formatCode="General">
                  <c:v>2880</c:v>
                </c:pt>
                <c:pt idx="12" c:formatCode="General">
                  <c:v>2880</c:v>
                </c:pt>
                <c:pt idx="13" c:formatCode="General">
                  <c:v>2880</c:v>
                </c:pt>
                <c:pt idx="14" c:formatCode="General">
                  <c:v>2880</c:v>
                </c:pt>
                <c:pt idx="15" c:formatCode="General">
                  <c:v>2880</c:v>
                </c:pt>
                <c:pt idx="16" c:formatCode="General">
                  <c:v>2880</c:v>
                </c:pt>
                <c:pt idx="17" c:formatCode="General">
                  <c:v>2880</c:v>
                </c:pt>
                <c:pt idx="18" c:formatCode="General">
                  <c:v>2880</c:v>
                </c:pt>
                <c:pt idx="19" c:formatCode="General">
                  <c:v>2880</c:v>
                </c:pt>
                <c:pt idx="20" c:formatCode="General">
                  <c:v>2880</c:v>
                </c:pt>
                <c:pt idx="21" c:formatCode="General">
                  <c:v>2880</c:v>
                </c:pt>
                <c:pt idx="22" c:formatCode="General">
                  <c:v>4320</c:v>
                </c:pt>
                <c:pt idx="23" c:formatCode="General">
                  <c:v>4320</c:v>
                </c:pt>
                <c:pt idx="24" c:formatCode="General">
                  <c:v>4320</c:v>
                </c:pt>
                <c:pt idx="25" c:formatCode="General">
                  <c:v>4320</c:v>
                </c:pt>
                <c:pt idx="26" c:formatCode="General">
                  <c:v>4320</c:v>
                </c:pt>
                <c:pt idx="27" c:formatCode="General">
                  <c:v>4320</c:v>
                </c:pt>
                <c:pt idx="28" c:formatCode="General">
                  <c:v>4320</c:v>
                </c:pt>
                <c:pt idx="29" c:formatCode="General">
                  <c:v>4320</c:v>
                </c:pt>
                <c:pt idx="30" c:formatCode="General">
                  <c:v>4320</c:v>
                </c:pt>
                <c:pt idx="31" c:formatCode="General">
                  <c:v>4320</c:v>
                </c:pt>
                <c:pt idx="32" c:formatCode="General">
                  <c:v>4320</c:v>
                </c:pt>
                <c:pt idx="33" c:formatCode="General">
                  <c:v>4320</c:v>
                </c:pt>
                <c:pt idx="34" c:formatCode="General">
                  <c:v>4320</c:v>
                </c:pt>
                <c:pt idx="35" c:formatCode="General">
                  <c:v>5760</c:v>
                </c:pt>
                <c:pt idx="36" c:formatCode="General">
                  <c:v>5760</c:v>
                </c:pt>
                <c:pt idx="37" c:formatCode="General">
                  <c:v>5760</c:v>
                </c:pt>
                <c:pt idx="38" c:formatCode="General">
                  <c:v>5760</c:v>
                </c:pt>
                <c:pt idx="39" c:formatCode="General">
                  <c:v>5760</c:v>
                </c:pt>
                <c:pt idx="40" c:formatCode="General">
                  <c:v>5760</c:v>
                </c:pt>
                <c:pt idx="41" c:formatCode="General">
                  <c:v>5760</c:v>
                </c:pt>
                <c:pt idx="42" c:formatCode="General">
                  <c:v>5760</c:v>
                </c:pt>
                <c:pt idx="43" c:formatCode="General">
                  <c:v>5760</c:v>
                </c:pt>
                <c:pt idx="44" c:formatCode="General">
                  <c:v>5760</c:v>
                </c:pt>
                <c:pt idx="45" c:formatCode="General">
                  <c:v>5760</c:v>
                </c:pt>
                <c:pt idx="46" c:formatCode="General">
                  <c:v>5760</c:v>
                </c:pt>
                <c:pt idx="47" c:formatCode="General">
                  <c:v>5760</c:v>
                </c:pt>
                <c:pt idx="48" c:formatCode="General">
                  <c:v>5760</c:v>
                </c:pt>
                <c:pt idx="49" c:formatCode="General">
                  <c:v>5760</c:v>
                </c:pt>
                <c:pt idx="50" c:formatCode="General">
                  <c:v>5760</c:v>
                </c:pt>
                <c:pt idx="51" c:formatCode="General">
                  <c:v>5760</c:v>
                </c:pt>
                <c:pt idx="52" c:formatCode="General">
                  <c:v>5760</c:v>
                </c:pt>
                <c:pt idx="53" c:formatCode="General">
                  <c:v>5760</c:v>
                </c:pt>
                <c:pt idx="54" c:formatCode="General">
                  <c:v>5760</c:v>
                </c:pt>
                <c:pt idx="55" c:formatCode="General">
                  <c:v>5760</c:v>
                </c:pt>
                <c:pt idx="56" c:formatCode="General">
                  <c:v>5760</c:v>
                </c:pt>
                <c:pt idx="57" c:formatCode="General">
                  <c:v>5760</c:v>
                </c:pt>
                <c:pt idx="58" c:formatCode="General">
                  <c:v>5760</c:v>
                </c:pt>
                <c:pt idx="59" c:formatCode="General">
                  <c:v>5760</c:v>
                </c:pt>
                <c:pt idx="60" c:formatCode="General">
                  <c:v>5760</c:v>
                </c:pt>
                <c:pt idx="61" c:formatCode="General">
                  <c:v>5760</c:v>
                </c:pt>
                <c:pt idx="62" c:formatCode="General">
                  <c:v>5760</c:v>
                </c:pt>
                <c:pt idx="63" c:formatCode="General">
                  <c:v>5760</c:v>
                </c:pt>
                <c:pt idx="64" c:formatCode="General">
                  <c:v>5760</c:v>
                </c:pt>
                <c:pt idx="65" c:formatCode="General">
                  <c:v>5760</c:v>
                </c:pt>
                <c:pt idx="66" c:formatCode="General">
                  <c:v>5760</c:v>
                </c:pt>
                <c:pt idx="67" c:formatCode="General">
                  <c:v>5760</c:v>
                </c:pt>
                <c:pt idx="68" c:formatCode="General">
                  <c:v>5760</c:v>
                </c:pt>
                <c:pt idx="69" c:formatCode="General">
                  <c:v>5760</c:v>
                </c:pt>
                <c:pt idx="70" c:formatCode="General">
                  <c:v>5760</c:v>
                </c:pt>
                <c:pt idx="71" c:formatCode="General">
                  <c:v>5760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控制台!$AM$106</c:f>
              <c:strCache>
                <c:ptCount val="1"/>
                <c:pt idx="0">
                  <c:v>研队加速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控制台!$B$107:$B$178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控制台!$AM$107:$AM$178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2880</c:v>
                </c:pt>
                <c:pt idx="2" c:formatCode="General">
                  <c:v>2880</c:v>
                </c:pt>
                <c:pt idx="3" c:formatCode="General">
                  <c:v>2880</c:v>
                </c:pt>
                <c:pt idx="4" c:formatCode="General">
                  <c:v>2880</c:v>
                </c:pt>
                <c:pt idx="5" c:formatCode="General">
                  <c:v>2880</c:v>
                </c:pt>
                <c:pt idx="6" c:formatCode="General">
                  <c:v>2880</c:v>
                </c:pt>
                <c:pt idx="7" c:formatCode="General">
                  <c:v>2880</c:v>
                </c:pt>
                <c:pt idx="8" c:formatCode="General">
                  <c:v>2880.00000000001</c:v>
                </c:pt>
                <c:pt idx="9" c:formatCode="General">
                  <c:v>2880</c:v>
                </c:pt>
                <c:pt idx="10" c:formatCode="General">
                  <c:v>2880</c:v>
                </c:pt>
                <c:pt idx="11" c:formatCode="General">
                  <c:v>2880</c:v>
                </c:pt>
                <c:pt idx="12" c:formatCode="General">
                  <c:v>2880</c:v>
                </c:pt>
                <c:pt idx="13" c:formatCode="General">
                  <c:v>2880</c:v>
                </c:pt>
                <c:pt idx="14" c:formatCode="General">
                  <c:v>2880</c:v>
                </c:pt>
                <c:pt idx="15" c:formatCode="General">
                  <c:v>2880</c:v>
                </c:pt>
                <c:pt idx="16" c:formatCode="General">
                  <c:v>2880</c:v>
                </c:pt>
                <c:pt idx="17" c:formatCode="General">
                  <c:v>2880</c:v>
                </c:pt>
                <c:pt idx="18" c:formatCode="General">
                  <c:v>2880</c:v>
                </c:pt>
                <c:pt idx="19" c:formatCode="General">
                  <c:v>2880</c:v>
                </c:pt>
                <c:pt idx="20" c:formatCode="General">
                  <c:v>2880</c:v>
                </c:pt>
                <c:pt idx="21" c:formatCode="General">
                  <c:v>2880</c:v>
                </c:pt>
                <c:pt idx="22" c:formatCode="General">
                  <c:v>2880</c:v>
                </c:pt>
                <c:pt idx="23" c:formatCode="General">
                  <c:v>2880</c:v>
                </c:pt>
                <c:pt idx="24" c:formatCode="General">
                  <c:v>2880</c:v>
                </c:pt>
                <c:pt idx="25" c:formatCode="General">
                  <c:v>2880</c:v>
                </c:pt>
                <c:pt idx="26" c:formatCode="General">
                  <c:v>2880</c:v>
                </c:pt>
                <c:pt idx="27" c:formatCode="General">
                  <c:v>2880</c:v>
                </c:pt>
                <c:pt idx="28" c:formatCode="General">
                  <c:v>2880</c:v>
                </c:pt>
                <c:pt idx="29" c:formatCode="General">
                  <c:v>2880</c:v>
                </c:pt>
                <c:pt idx="30" c:formatCode="General">
                  <c:v>2880</c:v>
                </c:pt>
                <c:pt idx="31" c:formatCode="General">
                  <c:v>2880</c:v>
                </c:pt>
                <c:pt idx="32" c:formatCode="General">
                  <c:v>2880</c:v>
                </c:pt>
                <c:pt idx="33" c:formatCode="General">
                  <c:v>2880</c:v>
                </c:pt>
                <c:pt idx="34" c:formatCode="General">
                  <c:v>2880</c:v>
                </c:pt>
                <c:pt idx="35" c:formatCode="General">
                  <c:v>2880</c:v>
                </c:pt>
                <c:pt idx="36" c:formatCode="General">
                  <c:v>2880</c:v>
                </c:pt>
                <c:pt idx="37" c:formatCode="General">
                  <c:v>2880</c:v>
                </c:pt>
                <c:pt idx="38" c:formatCode="General">
                  <c:v>2880</c:v>
                </c:pt>
                <c:pt idx="39" c:formatCode="General">
                  <c:v>2880</c:v>
                </c:pt>
                <c:pt idx="40" c:formatCode="General">
                  <c:v>2880</c:v>
                </c:pt>
                <c:pt idx="41" c:formatCode="General">
                  <c:v>2880</c:v>
                </c:pt>
                <c:pt idx="42" c:formatCode="General">
                  <c:v>2880</c:v>
                </c:pt>
                <c:pt idx="43" c:formatCode="General">
                  <c:v>2880</c:v>
                </c:pt>
                <c:pt idx="44" c:formatCode="General">
                  <c:v>2880</c:v>
                </c:pt>
                <c:pt idx="45" c:formatCode="General">
                  <c:v>2880</c:v>
                </c:pt>
                <c:pt idx="46" c:formatCode="General">
                  <c:v>2880</c:v>
                </c:pt>
                <c:pt idx="47" c:formatCode="General">
                  <c:v>2880</c:v>
                </c:pt>
                <c:pt idx="48" c:formatCode="General">
                  <c:v>2880</c:v>
                </c:pt>
                <c:pt idx="49" c:formatCode="General">
                  <c:v>2880</c:v>
                </c:pt>
                <c:pt idx="50" c:formatCode="General">
                  <c:v>2880</c:v>
                </c:pt>
                <c:pt idx="51" c:formatCode="General">
                  <c:v>2880</c:v>
                </c:pt>
                <c:pt idx="52" c:formatCode="General">
                  <c:v>2880</c:v>
                </c:pt>
                <c:pt idx="53" c:formatCode="General">
                  <c:v>2880</c:v>
                </c:pt>
                <c:pt idx="54" c:formatCode="General">
                  <c:v>2880</c:v>
                </c:pt>
                <c:pt idx="55" c:formatCode="General">
                  <c:v>2880</c:v>
                </c:pt>
                <c:pt idx="56" c:formatCode="General">
                  <c:v>2880</c:v>
                </c:pt>
                <c:pt idx="57" c:formatCode="General">
                  <c:v>2880</c:v>
                </c:pt>
                <c:pt idx="58" c:formatCode="General">
                  <c:v>2880</c:v>
                </c:pt>
                <c:pt idx="59" c:formatCode="General">
                  <c:v>2880</c:v>
                </c:pt>
                <c:pt idx="60" c:formatCode="General">
                  <c:v>2880</c:v>
                </c:pt>
                <c:pt idx="61" c:formatCode="General">
                  <c:v>2880</c:v>
                </c:pt>
                <c:pt idx="62" c:formatCode="General">
                  <c:v>2880</c:v>
                </c:pt>
                <c:pt idx="63" c:formatCode="General">
                  <c:v>2880</c:v>
                </c:pt>
                <c:pt idx="64" c:formatCode="General">
                  <c:v>2880</c:v>
                </c:pt>
                <c:pt idx="65" c:formatCode="General">
                  <c:v>2880</c:v>
                </c:pt>
                <c:pt idx="66" c:formatCode="General">
                  <c:v>2880</c:v>
                </c:pt>
                <c:pt idx="67" c:formatCode="General">
                  <c:v>2880</c:v>
                </c:pt>
                <c:pt idx="68" c:formatCode="General">
                  <c:v>2880</c:v>
                </c:pt>
                <c:pt idx="69" c:formatCode="General">
                  <c:v>2880</c:v>
                </c:pt>
                <c:pt idx="70" c:formatCode="General">
                  <c:v>2880</c:v>
                </c:pt>
                <c:pt idx="71" c:formatCode="General">
                  <c:v>2880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控制台!$AN$106</c:f>
              <c:strCache>
                <c:ptCount val="1"/>
                <c:pt idx="0">
                  <c:v>打野加速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控制台!$B$107:$B$178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控制台!$AN$107:$AN$178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330</c:v>
                </c:pt>
                <c:pt idx="2" c:formatCode="General">
                  <c:v>330</c:v>
                </c:pt>
                <c:pt idx="3" c:formatCode="General">
                  <c:v>330</c:v>
                </c:pt>
                <c:pt idx="4" c:formatCode="General">
                  <c:v>330</c:v>
                </c:pt>
                <c:pt idx="5" c:formatCode="General">
                  <c:v>330</c:v>
                </c:pt>
                <c:pt idx="6" c:formatCode="General">
                  <c:v>330</c:v>
                </c:pt>
                <c:pt idx="7" c:formatCode="General">
                  <c:v>330</c:v>
                </c:pt>
                <c:pt idx="8" c:formatCode="General">
                  <c:v>330</c:v>
                </c:pt>
                <c:pt idx="9" c:formatCode="General">
                  <c:v>330</c:v>
                </c:pt>
                <c:pt idx="10" c:formatCode="General">
                  <c:v>345</c:v>
                </c:pt>
                <c:pt idx="11" c:formatCode="General">
                  <c:v>345</c:v>
                </c:pt>
                <c:pt idx="12" c:formatCode="General">
                  <c:v>360</c:v>
                </c:pt>
                <c:pt idx="13" c:formatCode="General">
                  <c:v>360</c:v>
                </c:pt>
                <c:pt idx="14" c:formatCode="General">
                  <c:v>525</c:v>
                </c:pt>
                <c:pt idx="15" c:formatCode="General">
                  <c:v>525</c:v>
                </c:pt>
                <c:pt idx="16" c:formatCode="General">
                  <c:v>540</c:v>
                </c:pt>
                <c:pt idx="17" c:formatCode="General">
                  <c:v>540</c:v>
                </c:pt>
                <c:pt idx="18" c:formatCode="General">
                  <c:v>555</c:v>
                </c:pt>
                <c:pt idx="19" c:formatCode="General">
                  <c:v>555</c:v>
                </c:pt>
                <c:pt idx="20" c:formatCode="General">
                  <c:v>570</c:v>
                </c:pt>
                <c:pt idx="21" c:formatCode="General">
                  <c:v>570</c:v>
                </c:pt>
                <c:pt idx="22" c:formatCode="General">
                  <c:v>585</c:v>
                </c:pt>
                <c:pt idx="23" c:formatCode="General">
                  <c:v>600</c:v>
                </c:pt>
                <c:pt idx="24" c:formatCode="General">
                  <c:v>750</c:v>
                </c:pt>
                <c:pt idx="25" c:formatCode="General">
                  <c:v>765</c:v>
                </c:pt>
                <c:pt idx="26" c:formatCode="General">
                  <c:v>765</c:v>
                </c:pt>
                <c:pt idx="27" c:formatCode="General">
                  <c:v>765</c:v>
                </c:pt>
                <c:pt idx="28" c:formatCode="General">
                  <c:v>780</c:v>
                </c:pt>
                <c:pt idx="29" c:formatCode="General">
                  <c:v>780</c:v>
                </c:pt>
                <c:pt idx="30" c:formatCode="General">
                  <c:v>780</c:v>
                </c:pt>
                <c:pt idx="31" c:formatCode="General">
                  <c:v>795</c:v>
                </c:pt>
                <c:pt idx="32" c:formatCode="General">
                  <c:v>795</c:v>
                </c:pt>
                <c:pt idx="33" c:formatCode="General">
                  <c:v>795</c:v>
                </c:pt>
                <c:pt idx="34" c:formatCode="General">
                  <c:v>810</c:v>
                </c:pt>
                <c:pt idx="35" c:formatCode="General">
                  <c:v>810</c:v>
                </c:pt>
                <c:pt idx="36" c:formatCode="General">
                  <c:v>810</c:v>
                </c:pt>
                <c:pt idx="37" c:formatCode="General">
                  <c:v>900</c:v>
                </c:pt>
                <c:pt idx="38" c:formatCode="General">
                  <c:v>900</c:v>
                </c:pt>
                <c:pt idx="39" c:formatCode="General">
                  <c:v>900</c:v>
                </c:pt>
                <c:pt idx="40" c:formatCode="General">
                  <c:v>1050</c:v>
                </c:pt>
                <c:pt idx="41" c:formatCode="General">
                  <c:v>1050</c:v>
                </c:pt>
                <c:pt idx="42" c:formatCode="General">
                  <c:v>1050</c:v>
                </c:pt>
                <c:pt idx="43" c:formatCode="General">
                  <c:v>1050</c:v>
                </c:pt>
                <c:pt idx="44" c:formatCode="General">
                  <c:v>1050</c:v>
                </c:pt>
                <c:pt idx="45" c:formatCode="General">
                  <c:v>1050</c:v>
                </c:pt>
                <c:pt idx="46" c:formatCode="General">
                  <c:v>1650</c:v>
                </c:pt>
                <c:pt idx="47" c:formatCode="General">
                  <c:v>1665</c:v>
                </c:pt>
                <c:pt idx="48" c:formatCode="General">
                  <c:v>1680</c:v>
                </c:pt>
                <c:pt idx="49" c:formatCode="General">
                  <c:v>1695</c:v>
                </c:pt>
                <c:pt idx="50" c:formatCode="General">
                  <c:v>1710</c:v>
                </c:pt>
                <c:pt idx="51" c:formatCode="General">
                  <c:v>1710</c:v>
                </c:pt>
                <c:pt idx="52" c:formatCode="General">
                  <c:v>1800</c:v>
                </c:pt>
                <c:pt idx="53" c:formatCode="General">
                  <c:v>1815</c:v>
                </c:pt>
                <c:pt idx="54" c:formatCode="General">
                  <c:v>1830</c:v>
                </c:pt>
                <c:pt idx="55" c:formatCode="General">
                  <c:v>1890</c:v>
                </c:pt>
                <c:pt idx="56" c:formatCode="General">
                  <c:v>1935</c:v>
                </c:pt>
                <c:pt idx="57" c:formatCode="General">
                  <c:v>1935</c:v>
                </c:pt>
                <c:pt idx="58" c:formatCode="General">
                  <c:v>1935</c:v>
                </c:pt>
                <c:pt idx="59" c:formatCode="General">
                  <c:v>1935</c:v>
                </c:pt>
                <c:pt idx="60" c:formatCode="General">
                  <c:v>1935</c:v>
                </c:pt>
                <c:pt idx="61" c:formatCode="General">
                  <c:v>1935</c:v>
                </c:pt>
                <c:pt idx="62" c:formatCode="General">
                  <c:v>1935</c:v>
                </c:pt>
                <c:pt idx="63" c:formatCode="General">
                  <c:v>2625</c:v>
                </c:pt>
                <c:pt idx="64" c:formatCode="General">
                  <c:v>3375</c:v>
                </c:pt>
                <c:pt idx="65" c:formatCode="General">
                  <c:v>3435</c:v>
                </c:pt>
                <c:pt idx="66" c:formatCode="General">
                  <c:v>3435</c:v>
                </c:pt>
                <c:pt idx="67" c:formatCode="General">
                  <c:v>3435</c:v>
                </c:pt>
                <c:pt idx="68" c:formatCode="General">
                  <c:v>3435</c:v>
                </c:pt>
                <c:pt idx="69" c:formatCode="General">
                  <c:v>3435</c:v>
                </c:pt>
                <c:pt idx="70" c:formatCode="General">
                  <c:v>3435</c:v>
                </c:pt>
                <c:pt idx="71" c:formatCode="General">
                  <c:v>3435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控制台!$AO$106</c:f>
              <c:strCache>
                <c:ptCount val="1"/>
                <c:pt idx="0">
                  <c:v>营地加速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控制台!$B$107:$B$178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控制台!$AO$107:$AO$178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0</c:v>
                </c:pt>
                <c:pt idx="3" c:formatCode="General">
                  <c:v>0</c:v>
                </c:pt>
                <c:pt idx="4" c:formatCode="General">
                  <c:v>0</c:v>
                </c:pt>
                <c:pt idx="5" c:formatCode="General">
                  <c:v>0</c:v>
                </c:pt>
                <c:pt idx="6" c:formatCode="General">
                  <c:v>0</c:v>
                </c:pt>
                <c:pt idx="7" c:formatCode="General">
                  <c:v>0</c:v>
                </c:pt>
                <c:pt idx="8" c:formatCode="General">
                  <c:v>0</c:v>
                </c:pt>
                <c:pt idx="9" c:formatCode="General">
                  <c:v>0</c:v>
                </c:pt>
                <c:pt idx="10" c:formatCode="General">
                  <c:v>420</c:v>
                </c:pt>
                <c:pt idx="11" c:formatCode="General">
                  <c:v>420</c:v>
                </c:pt>
                <c:pt idx="12" c:formatCode="General">
                  <c:v>420</c:v>
                </c:pt>
                <c:pt idx="13" c:formatCode="General">
                  <c:v>420</c:v>
                </c:pt>
                <c:pt idx="14" c:formatCode="General">
                  <c:v>420</c:v>
                </c:pt>
                <c:pt idx="15" c:formatCode="General">
                  <c:v>420</c:v>
                </c:pt>
                <c:pt idx="16" c:formatCode="General">
                  <c:v>420</c:v>
                </c:pt>
                <c:pt idx="17" c:formatCode="General">
                  <c:v>420</c:v>
                </c:pt>
                <c:pt idx="18" c:formatCode="General">
                  <c:v>420</c:v>
                </c:pt>
                <c:pt idx="19" c:formatCode="General">
                  <c:v>420</c:v>
                </c:pt>
                <c:pt idx="20" c:formatCode="General">
                  <c:v>510</c:v>
                </c:pt>
                <c:pt idx="21" c:formatCode="General">
                  <c:v>510</c:v>
                </c:pt>
                <c:pt idx="22" c:formatCode="General">
                  <c:v>510</c:v>
                </c:pt>
                <c:pt idx="23" c:formatCode="General">
                  <c:v>510</c:v>
                </c:pt>
                <c:pt idx="24" c:formatCode="General">
                  <c:v>510</c:v>
                </c:pt>
                <c:pt idx="25" c:formatCode="General">
                  <c:v>510</c:v>
                </c:pt>
                <c:pt idx="26" c:formatCode="General">
                  <c:v>510</c:v>
                </c:pt>
                <c:pt idx="27" c:formatCode="General">
                  <c:v>510</c:v>
                </c:pt>
                <c:pt idx="28" c:formatCode="General">
                  <c:v>690</c:v>
                </c:pt>
                <c:pt idx="29" c:formatCode="General">
                  <c:v>690</c:v>
                </c:pt>
                <c:pt idx="30" c:formatCode="General">
                  <c:v>690</c:v>
                </c:pt>
                <c:pt idx="31" c:formatCode="General">
                  <c:v>690</c:v>
                </c:pt>
                <c:pt idx="32" c:formatCode="General">
                  <c:v>690</c:v>
                </c:pt>
                <c:pt idx="33" c:formatCode="General">
                  <c:v>690</c:v>
                </c:pt>
                <c:pt idx="34" c:formatCode="General">
                  <c:v>690</c:v>
                </c:pt>
                <c:pt idx="35" c:formatCode="General">
                  <c:v>690</c:v>
                </c:pt>
                <c:pt idx="36" c:formatCode="General">
                  <c:v>690</c:v>
                </c:pt>
                <c:pt idx="37" c:formatCode="General">
                  <c:v>690</c:v>
                </c:pt>
                <c:pt idx="38" c:formatCode="General">
                  <c:v>690</c:v>
                </c:pt>
                <c:pt idx="39" c:formatCode="General">
                  <c:v>690</c:v>
                </c:pt>
                <c:pt idx="40" c:formatCode="General">
                  <c:v>690</c:v>
                </c:pt>
                <c:pt idx="41" c:formatCode="General">
                  <c:v>690</c:v>
                </c:pt>
                <c:pt idx="42" c:formatCode="General">
                  <c:v>690</c:v>
                </c:pt>
                <c:pt idx="43" c:formatCode="General">
                  <c:v>690</c:v>
                </c:pt>
                <c:pt idx="44" c:formatCode="General">
                  <c:v>690</c:v>
                </c:pt>
                <c:pt idx="45" c:formatCode="General">
                  <c:v>690</c:v>
                </c:pt>
                <c:pt idx="46" c:formatCode="General">
                  <c:v>855</c:v>
                </c:pt>
                <c:pt idx="47" c:formatCode="General">
                  <c:v>855</c:v>
                </c:pt>
                <c:pt idx="48" c:formatCode="General">
                  <c:v>1035</c:v>
                </c:pt>
                <c:pt idx="49" c:formatCode="General">
                  <c:v>1035</c:v>
                </c:pt>
                <c:pt idx="50" c:formatCode="General">
                  <c:v>1110</c:v>
                </c:pt>
                <c:pt idx="51" c:formatCode="General">
                  <c:v>1110</c:v>
                </c:pt>
                <c:pt idx="52" c:formatCode="General">
                  <c:v>1200</c:v>
                </c:pt>
                <c:pt idx="53" c:formatCode="General">
                  <c:v>1200</c:v>
                </c:pt>
                <c:pt idx="54" c:formatCode="General">
                  <c:v>1290</c:v>
                </c:pt>
                <c:pt idx="55" c:formatCode="General">
                  <c:v>1290</c:v>
                </c:pt>
                <c:pt idx="56" c:formatCode="General">
                  <c:v>1380</c:v>
                </c:pt>
                <c:pt idx="57" c:formatCode="General">
                  <c:v>1380</c:v>
                </c:pt>
                <c:pt idx="58" c:formatCode="General">
                  <c:v>1380</c:v>
                </c:pt>
                <c:pt idx="59" c:formatCode="General">
                  <c:v>1380</c:v>
                </c:pt>
                <c:pt idx="60" c:formatCode="General">
                  <c:v>1380</c:v>
                </c:pt>
                <c:pt idx="61" c:formatCode="General">
                  <c:v>1380</c:v>
                </c:pt>
                <c:pt idx="62" c:formatCode="General">
                  <c:v>1380</c:v>
                </c:pt>
                <c:pt idx="63" c:formatCode="General">
                  <c:v>1380</c:v>
                </c:pt>
                <c:pt idx="64" c:formatCode="General">
                  <c:v>1725</c:v>
                </c:pt>
                <c:pt idx="65" c:formatCode="General">
                  <c:v>1725</c:v>
                </c:pt>
                <c:pt idx="66" c:formatCode="General">
                  <c:v>1725</c:v>
                </c:pt>
                <c:pt idx="67" c:formatCode="General">
                  <c:v>1725</c:v>
                </c:pt>
                <c:pt idx="68" c:formatCode="General">
                  <c:v>1725</c:v>
                </c:pt>
                <c:pt idx="69" c:formatCode="General">
                  <c:v>1725</c:v>
                </c:pt>
                <c:pt idx="70" c:formatCode="General">
                  <c:v>1725</c:v>
                </c:pt>
                <c:pt idx="71" c:formatCode="General">
                  <c:v>1725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控制台!$AP$106</c:f>
              <c:strCache>
                <c:ptCount val="1"/>
                <c:pt idx="0">
                  <c:v>军任加速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控制台!$B$107:$B$178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控制台!$AP$107:$AP$178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0</c:v>
                </c:pt>
                <c:pt idx="3" c:formatCode="General">
                  <c:v>0</c:v>
                </c:pt>
                <c:pt idx="4" c:formatCode="General">
                  <c:v>0</c:v>
                </c:pt>
                <c:pt idx="5" c:formatCode="General">
                  <c:v>0</c:v>
                </c:pt>
                <c:pt idx="6" c:formatCode="General">
                  <c:v>0</c:v>
                </c:pt>
                <c:pt idx="7" c:formatCode="General">
                  <c:v>0</c:v>
                </c:pt>
                <c:pt idx="8" c:formatCode="General">
                  <c:v>0</c:v>
                </c:pt>
                <c:pt idx="9" c:formatCode="General">
                  <c:v>0</c:v>
                </c:pt>
                <c:pt idx="10" c:formatCode="General">
                  <c:v>0</c:v>
                </c:pt>
                <c:pt idx="11" c:formatCode="General">
                  <c:v>0</c:v>
                </c:pt>
                <c:pt idx="12" c:formatCode="General">
                  <c:v>0</c:v>
                </c:pt>
                <c:pt idx="13" c:formatCode="General">
                  <c:v>0</c:v>
                </c:pt>
                <c:pt idx="14" c:formatCode="General">
                  <c:v>0</c:v>
                </c:pt>
                <c:pt idx="15" c:formatCode="General">
                  <c:v>0</c:v>
                </c:pt>
                <c:pt idx="16" c:formatCode="General">
                  <c:v>0</c:v>
                </c:pt>
                <c:pt idx="17" c:formatCode="General">
                  <c:v>0</c:v>
                </c:pt>
                <c:pt idx="18" c:formatCode="General">
                  <c:v>0</c:v>
                </c:pt>
                <c:pt idx="19" c:formatCode="General">
                  <c:v>0</c:v>
                </c:pt>
                <c:pt idx="20" c:formatCode="General">
                  <c:v>0</c:v>
                </c:pt>
                <c:pt idx="21" c:formatCode="General">
                  <c:v>0</c:v>
                </c:pt>
                <c:pt idx="22" c:formatCode="General">
                  <c:v>124.416</c:v>
                </c:pt>
                <c:pt idx="23" c:formatCode="General">
                  <c:v>124.416</c:v>
                </c:pt>
                <c:pt idx="24" c:formatCode="General">
                  <c:v>124.416</c:v>
                </c:pt>
                <c:pt idx="25" c:formatCode="General">
                  <c:v>124.416</c:v>
                </c:pt>
                <c:pt idx="26" c:formatCode="General">
                  <c:v>124.416</c:v>
                </c:pt>
                <c:pt idx="27" c:formatCode="General">
                  <c:v>124.416</c:v>
                </c:pt>
                <c:pt idx="28" c:formatCode="General">
                  <c:v>124.416</c:v>
                </c:pt>
                <c:pt idx="29" c:formatCode="General">
                  <c:v>124.416</c:v>
                </c:pt>
                <c:pt idx="30" c:formatCode="General">
                  <c:v>124.416</c:v>
                </c:pt>
                <c:pt idx="31" c:formatCode="General">
                  <c:v>124.416</c:v>
                </c:pt>
                <c:pt idx="32" c:formatCode="General">
                  <c:v>124.416</c:v>
                </c:pt>
                <c:pt idx="33" c:formatCode="General">
                  <c:v>124.416</c:v>
                </c:pt>
                <c:pt idx="34" c:formatCode="General">
                  <c:v>124.416</c:v>
                </c:pt>
                <c:pt idx="35" c:formatCode="General">
                  <c:v>124.416</c:v>
                </c:pt>
                <c:pt idx="36" c:formatCode="General">
                  <c:v>124.416</c:v>
                </c:pt>
                <c:pt idx="37" c:formatCode="General">
                  <c:v>124.416</c:v>
                </c:pt>
                <c:pt idx="38" c:formatCode="General">
                  <c:v>124.416</c:v>
                </c:pt>
                <c:pt idx="39" c:formatCode="General">
                  <c:v>124.416</c:v>
                </c:pt>
                <c:pt idx="40" c:formatCode="General">
                  <c:v>124.416</c:v>
                </c:pt>
                <c:pt idx="41" c:formatCode="General">
                  <c:v>124.416</c:v>
                </c:pt>
                <c:pt idx="42" c:formatCode="General">
                  <c:v>124.416</c:v>
                </c:pt>
                <c:pt idx="43" c:formatCode="General">
                  <c:v>207.36</c:v>
                </c:pt>
                <c:pt idx="44" c:formatCode="General">
                  <c:v>207.36</c:v>
                </c:pt>
                <c:pt idx="45" c:formatCode="General">
                  <c:v>207.36</c:v>
                </c:pt>
                <c:pt idx="46" c:formatCode="General">
                  <c:v>207.36</c:v>
                </c:pt>
                <c:pt idx="47" c:formatCode="General">
                  <c:v>207.36</c:v>
                </c:pt>
                <c:pt idx="48" c:formatCode="General">
                  <c:v>207.36</c:v>
                </c:pt>
                <c:pt idx="49" c:formatCode="General">
                  <c:v>207.36</c:v>
                </c:pt>
                <c:pt idx="50" c:formatCode="General">
                  <c:v>207.36</c:v>
                </c:pt>
                <c:pt idx="51" c:formatCode="General">
                  <c:v>207.36</c:v>
                </c:pt>
                <c:pt idx="52" c:formatCode="General">
                  <c:v>207.36</c:v>
                </c:pt>
                <c:pt idx="53" c:formatCode="General">
                  <c:v>207.36</c:v>
                </c:pt>
                <c:pt idx="54" c:formatCode="General">
                  <c:v>207.36</c:v>
                </c:pt>
                <c:pt idx="55" c:formatCode="General">
                  <c:v>207.36</c:v>
                </c:pt>
                <c:pt idx="56" c:formatCode="General">
                  <c:v>207.36</c:v>
                </c:pt>
                <c:pt idx="57" c:formatCode="General">
                  <c:v>207.36</c:v>
                </c:pt>
                <c:pt idx="58" c:formatCode="General">
                  <c:v>345.6</c:v>
                </c:pt>
                <c:pt idx="59" c:formatCode="General">
                  <c:v>345.6</c:v>
                </c:pt>
                <c:pt idx="60" c:formatCode="General">
                  <c:v>345.6</c:v>
                </c:pt>
                <c:pt idx="61" c:formatCode="General">
                  <c:v>345.6</c:v>
                </c:pt>
                <c:pt idx="62" c:formatCode="General">
                  <c:v>345.6</c:v>
                </c:pt>
                <c:pt idx="63" c:formatCode="General">
                  <c:v>345.6</c:v>
                </c:pt>
                <c:pt idx="64" c:formatCode="General">
                  <c:v>345.6</c:v>
                </c:pt>
                <c:pt idx="65" c:formatCode="General">
                  <c:v>345.6</c:v>
                </c:pt>
                <c:pt idx="66" c:formatCode="General">
                  <c:v>345.6</c:v>
                </c:pt>
                <c:pt idx="67" c:formatCode="General">
                  <c:v>345.6</c:v>
                </c:pt>
                <c:pt idx="68" c:formatCode="General">
                  <c:v>345.6</c:v>
                </c:pt>
                <c:pt idx="69" c:formatCode="General">
                  <c:v>345.6</c:v>
                </c:pt>
                <c:pt idx="70" c:formatCode="General">
                  <c:v>345.6</c:v>
                </c:pt>
                <c:pt idx="71" c:formatCode="General">
                  <c:v>345.6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控制台!$AQ$106</c:f>
              <c:strCache>
                <c:ptCount val="1"/>
                <c:pt idx="0">
                  <c:v>日任加速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控制台!$B$107:$B$178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控制台!$AQ$107:$AQ$178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460.8</c:v>
                </c:pt>
                <c:pt idx="2" c:formatCode="General">
                  <c:v>460.8</c:v>
                </c:pt>
                <c:pt idx="3" c:formatCode="General">
                  <c:v>460.8</c:v>
                </c:pt>
                <c:pt idx="4" c:formatCode="General">
                  <c:v>460.8</c:v>
                </c:pt>
                <c:pt idx="5" c:formatCode="General">
                  <c:v>460.8</c:v>
                </c:pt>
                <c:pt idx="6" c:formatCode="General">
                  <c:v>460.8</c:v>
                </c:pt>
                <c:pt idx="7" c:formatCode="General">
                  <c:v>460.8</c:v>
                </c:pt>
                <c:pt idx="8" c:formatCode="General">
                  <c:v>460.8</c:v>
                </c:pt>
                <c:pt idx="9" c:formatCode="General">
                  <c:v>460.8</c:v>
                </c:pt>
                <c:pt idx="10" c:formatCode="General">
                  <c:v>460.8</c:v>
                </c:pt>
                <c:pt idx="11" c:formatCode="General">
                  <c:v>460.8</c:v>
                </c:pt>
                <c:pt idx="12" c:formatCode="General">
                  <c:v>460.8</c:v>
                </c:pt>
                <c:pt idx="13" c:formatCode="General">
                  <c:v>460.8</c:v>
                </c:pt>
                <c:pt idx="14" c:formatCode="General">
                  <c:v>460.8</c:v>
                </c:pt>
                <c:pt idx="15" c:formatCode="General">
                  <c:v>460.8</c:v>
                </c:pt>
                <c:pt idx="16" c:formatCode="General">
                  <c:v>460.8</c:v>
                </c:pt>
                <c:pt idx="17" c:formatCode="General">
                  <c:v>460.8</c:v>
                </c:pt>
                <c:pt idx="18" c:formatCode="General">
                  <c:v>460.8</c:v>
                </c:pt>
                <c:pt idx="19" c:formatCode="General">
                  <c:v>460.8</c:v>
                </c:pt>
                <c:pt idx="20" c:formatCode="General">
                  <c:v>460.8</c:v>
                </c:pt>
                <c:pt idx="21" c:formatCode="General">
                  <c:v>460.8</c:v>
                </c:pt>
                <c:pt idx="22" c:formatCode="General">
                  <c:v>460.8</c:v>
                </c:pt>
                <c:pt idx="23" c:formatCode="General">
                  <c:v>460.8</c:v>
                </c:pt>
                <c:pt idx="24" c:formatCode="General">
                  <c:v>460.8</c:v>
                </c:pt>
                <c:pt idx="25" c:formatCode="General">
                  <c:v>460.8</c:v>
                </c:pt>
                <c:pt idx="26" c:formatCode="General">
                  <c:v>460.8</c:v>
                </c:pt>
                <c:pt idx="27" c:formatCode="General">
                  <c:v>460.8</c:v>
                </c:pt>
                <c:pt idx="28" c:formatCode="General">
                  <c:v>460.8</c:v>
                </c:pt>
                <c:pt idx="29" c:formatCode="General">
                  <c:v>460.8</c:v>
                </c:pt>
                <c:pt idx="30" c:formatCode="General">
                  <c:v>460.8</c:v>
                </c:pt>
                <c:pt idx="31" c:formatCode="General">
                  <c:v>460.8</c:v>
                </c:pt>
                <c:pt idx="32" c:formatCode="General">
                  <c:v>460.8</c:v>
                </c:pt>
                <c:pt idx="33" c:formatCode="General">
                  <c:v>460.799999999999</c:v>
                </c:pt>
                <c:pt idx="34" c:formatCode="General">
                  <c:v>460.799999999999</c:v>
                </c:pt>
                <c:pt idx="35" c:formatCode="General">
                  <c:v>460.799999999999</c:v>
                </c:pt>
                <c:pt idx="36" c:formatCode="General">
                  <c:v>460.799999999999</c:v>
                </c:pt>
                <c:pt idx="37" c:formatCode="General">
                  <c:v>460.799999999999</c:v>
                </c:pt>
                <c:pt idx="38" c:formatCode="General">
                  <c:v>460.799999999999</c:v>
                </c:pt>
                <c:pt idx="39" c:formatCode="General">
                  <c:v>460.799999999999</c:v>
                </c:pt>
                <c:pt idx="40" c:formatCode="General">
                  <c:v>460.799999999999</c:v>
                </c:pt>
                <c:pt idx="41" c:formatCode="General">
                  <c:v>460.799999999999</c:v>
                </c:pt>
                <c:pt idx="42" c:formatCode="General">
                  <c:v>460.799999999999</c:v>
                </c:pt>
                <c:pt idx="43" c:formatCode="General">
                  <c:v>460.799999999999</c:v>
                </c:pt>
                <c:pt idx="44" c:formatCode="General">
                  <c:v>460.799999999999</c:v>
                </c:pt>
                <c:pt idx="45" c:formatCode="General">
                  <c:v>460.799999999999</c:v>
                </c:pt>
                <c:pt idx="46" c:formatCode="General">
                  <c:v>460.8</c:v>
                </c:pt>
                <c:pt idx="47" c:formatCode="General">
                  <c:v>460.8</c:v>
                </c:pt>
                <c:pt idx="48" c:formatCode="General">
                  <c:v>460.8</c:v>
                </c:pt>
                <c:pt idx="49" c:formatCode="General">
                  <c:v>460.8</c:v>
                </c:pt>
                <c:pt idx="50" c:formatCode="General">
                  <c:v>460.8</c:v>
                </c:pt>
                <c:pt idx="51" c:formatCode="General">
                  <c:v>460.8</c:v>
                </c:pt>
                <c:pt idx="52" c:formatCode="General">
                  <c:v>460.8</c:v>
                </c:pt>
                <c:pt idx="53" c:formatCode="General">
                  <c:v>460.8</c:v>
                </c:pt>
                <c:pt idx="54" c:formatCode="General">
                  <c:v>460.8</c:v>
                </c:pt>
                <c:pt idx="55" c:formatCode="General">
                  <c:v>460.8</c:v>
                </c:pt>
                <c:pt idx="56" c:formatCode="General">
                  <c:v>460.8</c:v>
                </c:pt>
                <c:pt idx="57" c:formatCode="General">
                  <c:v>460.8</c:v>
                </c:pt>
                <c:pt idx="58" c:formatCode="General">
                  <c:v>460.8</c:v>
                </c:pt>
                <c:pt idx="59" c:formatCode="General">
                  <c:v>460.8</c:v>
                </c:pt>
                <c:pt idx="60" c:formatCode="General">
                  <c:v>460.8</c:v>
                </c:pt>
                <c:pt idx="61" c:formatCode="General">
                  <c:v>460.8</c:v>
                </c:pt>
                <c:pt idx="62" c:formatCode="General">
                  <c:v>460.8</c:v>
                </c:pt>
                <c:pt idx="63" c:formatCode="General">
                  <c:v>460.8</c:v>
                </c:pt>
                <c:pt idx="64" c:formatCode="General">
                  <c:v>460.8</c:v>
                </c:pt>
                <c:pt idx="65" c:formatCode="General">
                  <c:v>460.8</c:v>
                </c:pt>
                <c:pt idx="66" c:formatCode="General">
                  <c:v>460.8</c:v>
                </c:pt>
                <c:pt idx="67" c:formatCode="General">
                  <c:v>460.8</c:v>
                </c:pt>
                <c:pt idx="68" c:formatCode="General">
                  <c:v>460.8</c:v>
                </c:pt>
                <c:pt idx="69" c:formatCode="General">
                  <c:v>460.8</c:v>
                </c:pt>
                <c:pt idx="70" c:formatCode="General">
                  <c:v>460.8</c:v>
                </c:pt>
                <c:pt idx="71" c:formatCode="General">
                  <c:v>460.8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控制台!$AR$106</c:f>
              <c:strCache>
                <c:ptCount val="1"/>
                <c:pt idx="0">
                  <c:v>黑市加速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控制台!$B$107:$B$178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控制台!$AR$107:$AR$178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138.24</c:v>
                </c:pt>
                <c:pt idx="2" c:formatCode="General">
                  <c:v>138.24</c:v>
                </c:pt>
                <c:pt idx="3" c:formatCode="General">
                  <c:v>138.24</c:v>
                </c:pt>
                <c:pt idx="4" c:formatCode="General">
                  <c:v>138.24</c:v>
                </c:pt>
                <c:pt idx="5" c:formatCode="General">
                  <c:v>138.24</c:v>
                </c:pt>
                <c:pt idx="6" c:formatCode="General">
                  <c:v>138.24</c:v>
                </c:pt>
                <c:pt idx="7" c:formatCode="General">
                  <c:v>138.24</c:v>
                </c:pt>
                <c:pt idx="8" c:formatCode="General">
                  <c:v>138.24</c:v>
                </c:pt>
                <c:pt idx="9" c:formatCode="General">
                  <c:v>138.24</c:v>
                </c:pt>
                <c:pt idx="10" c:formatCode="General">
                  <c:v>138.24</c:v>
                </c:pt>
                <c:pt idx="11" c:formatCode="General">
                  <c:v>138.24</c:v>
                </c:pt>
                <c:pt idx="12" c:formatCode="General">
                  <c:v>138.24</c:v>
                </c:pt>
                <c:pt idx="13" c:formatCode="General">
                  <c:v>138.24</c:v>
                </c:pt>
                <c:pt idx="14" c:formatCode="General">
                  <c:v>138.24</c:v>
                </c:pt>
                <c:pt idx="15" c:formatCode="General">
                  <c:v>138.24</c:v>
                </c:pt>
                <c:pt idx="16" c:formatCode="General">
                  <c:v>138.24</c:v>
                </c:pt>
                <c:pt idx="17" c:formatCode="General">
                  <c:v>138.24</c:v>
                </c:pt>
                <c:pt idx="18" c:formatCode="General">
                  <c:v>138.24</c:v>
                </c:pt>
                <c:pt idx="19" c:formatCode="General">
                  <c:v>138.24</c:v>
                </c:pt>
                <c:pt idx="20" c:formatCode="General">
                  <c:v>138.24</c:v>
                </c:pt>
                <c:pt idx="21" c:formatCode="General">
                  <c:v>138.24</c:v>
                </c:pt>
                <c:pt idx="22" c:formatCode="General">
                  <c:v>138.24</c:v>
                </c:pt>
                <c:pt idx="23" c:formatCode="General">
                  <c:v>276.48</c:v>
                </c:pt>
                <c:pt idx="24" c:formatCode="General">
                  <c:v>276.48</c:v>
                </c:pt>
                <c:pt idx="25" c:formatCode="General">
                  <c:v>276.48</c:v>
                </c:pt>
                <c:pt idx="26" c:formatCode="General">
                  <c:v>276.48</c:v>
                </c:pt>
                <c:pt idx="27" c:formatCode="General">
                  <c:v>276.48</c:v>
                </c:pt>
                <c:pt idx="28" c:formatCode="General">
                  <c:v>276.48</c:v>
                </c:pt>
                <c:pt idx="29" c:formatCode="General">
                  <c:v>276.48</c:v>
                </c:pt>
                <c:pt idx="30" c:formatCode="General">
                  <c:v>552.96</c:v>
                </c:pt>
                <c:pt idx="31" c:formatCode="General">
                  <c:v>552.96</c:v>
                </c:pt>
                <c:pt idx="32" c:formatCode="General">
                  <c:v>552.96</c:v>
                </c:pt>
                <c:pt idx="33" c:formatCode="General">
                  <c:v>552.96</c:v>
                </c:pt>
                <c:pt idx="34" c:formatCode="General">
                  <c:v>552.96</c:v>
                </c:pt>
                <c:pt idx="35" c:formatCode="General">
                  <c:v>552.96</c:v>
                </c:pt>
                <c:pt idx="36" c:formatCode="General">
                  <c:v>552.96</c:v>
                </c:pt>
                <c:pt idx="37" c:formatCode="General">
                  <c:v>552.96</c:v>
                </c:pt>
                <c:pt idx="38" c:formatCode="General">
                  <c:v>552.96</c:v>
                </c:pt>
                <c:pt idx="39" c:formatCode="General">
                  <c:v>552.959999999999</c:v>
                </c:pt>
                <c:pt idx="40" c:formatCode="General">
                  <c:v>552.959999999999</c:v>
                </c:pt>
                <c:pt idx="41" c:formatCode="General">
                  <c:v>552.959999999999</c:v>
                </c:pt>
                <c:pt idx="42" c:formatCode="General">
                  <c:v>552.959999999999</c:v>
                </c:pt>
                <c:pt idx="43" c:formatCode="General">
                  <c:v>552.959999999999</c:v>
                </c:pt>
                <c:pt idx="44" c:formatCode="General">
                  <c:v>552.959999999999</c:v>
                </c:pt>
                <c:pt idx="45" c:formatCode="General">
                  <c:v>552.959999999999</c:v>
                </c:pt>
                <c:pt idx="46" c:formatCode="General">
                  <c:v>829.44</c:v>
                </c:pt>
                <c:pt idx="47" c:formatCode="General">
                  <c:v>829.44</c:v>
                </c:pt>
                <c:pt idx="48" c:formatCode="General">
                  <c:v>829.44</c:v>
                </c:pt>
                <c:pt idx="49" c:formatCode="General">
                  <c:v>829.44</c:v>
                </c:pt>
                <c:pt idx="50" c:formatCode="General">
                  <c:v>829.44</c:v>
                </c:pt>
                <c:pt idx="51" c:formatCode="General">
                  <c:v>829.44</c:v>
                </c:pt>
                <c:pt idx="52" c:formatCode="General">
                  <c:v>1105.92</c:v>
                </c:pt>
                <c:pt idx="53" c:formatCode="General">
                  <c:v>1105.92</c:v>
                </c:pt>
                <c:pt idx="54" c:formatCode="General">
                  <c:v>1105.92</c:v>
                </c:pt>
                <c:pt idx="55" c:formatCode="General">
                  <c:v>1105.92</c:v>
                </c:pt>
                <c:pt idx="56" c:formatCode="General">
                  <c:v>1105.92</c:v>
                </c:pt>
                <c:pt idx="57" c:formatCode="General">
                  <c:v>1105.92</c:v>
                </c:pt>
                <c:pt idx="58" c:formatCode="General">
                  <c:v>1105.92</c:v>
                </c:pt>
                <c:pt idx="59" c:formatCode="General">
                  <c:v>1105.92</c:v>
                </c:pt>
                <c:pt idx="60" c:formatCode="General">
                  <c:v>1105.92</c:v>
                </c:pt>
                <c:pt idx="61" c:formatCode="General">
                  <c:v>1105.92</c:v>
                </c:pt>
                <c:pt idx="62" c:formatCode="General">
                  <c:v>1105.92</c:v>
                </c:pt>
                <c:pt idx="63" c:formatCode="General">
                  <c:v>1105.92</c:v>
                </c:pt>
                <c:pt idx="64" c:formatCode="General">
                  <c:v>1382.4</c:v>
                </c:pt>
                <c:pt idx="65" c:formatCode="General">
                  <c:v>1382.4</c:v>
                </c:pt>
                <c:pt idx="66" c:formatCode="General">
                  <c:v>1382.4</c:v>
                </c:pt>
                <c:pt idx="67" c:formatCode="General">
                  <c:v>1382.4</c:v>
                </c:pt>
                <c:pt idx="68" c:formatCode="General">
                  <c:v>1382.4</c:v>
                </c:pt>
                <c:pt idx="69" c:formatCode="General">
                  <c:v>1382.4</c:v>
                </c:pt>
                <c:pt idx="70" c:formatCode="General">
                  <c:v>1382.4</c:v>
                </c:pt>
                <c:pt idx="71" c:formatCode="General">
                  <c:v>1382.4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控制台!$AS$106</c:f>
              <c:strCache>
                <c:ptCount val="1"/>
                <c:pt idx="0">
                  <c:v>活动加速</c:v>
                </c:pt>
              </c:strCache>
            </c:strRef>
          </c:tx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控制台!$B$107:$B$178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控制台!$AS$107:$AS$178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0</c:v>
                </c:pt>
                <c:pt idx="3" c:formatCode="General">
                  <c:v>0</c:v>
                </c:pt>
                <c:pt idx="4" c:formatCode="General">
                  <c:v>0</c:v>
                </c:pt>
                <c:pt idx="5" c:formatCode="General">
                  <c:v>0</c:v>
                </c:pt>
                <c:pt idx="6" c:formatCode="General">
                  <c:v>0</c:v>
                </c:pt>
                <c:pt idx="7" c:formatCode="General">
                  <c:v>0</c:v>
                </c:pt>
                <c:pt idx="8" c:formatCode="General">
                  <c:v>0</c:v>
                </c:pt>
                <c:pt idx="9" c:formatCode="General">
                  <c:v>0</c:v>
                </c:pt>
                <c:pt idx="10" c:formatCode="General">
                  <c:v>0</c:v>
                </c:pt>
                <c:pt idx="11" c:formatCode="General">
                  <c:v>0</c:v>
                </c:pt>
                <c:pt idx="12" c:formatCode="General">
                  <c:v>0</c:v>
                </c:pt>
                <c:pt idx="13" c:formatCode="General">
                  <c:v>0</c:v>
                </c:pt>
                <c:pt idx="14" c:formatCode="General">
                  <c:v>0</c:v>
                </c:pt>
                <c:pt idx="15" c:formatCode="General">
                  <c:v>0</c:v>
                </c:pt>
                <c:pt idx="16" c:formatCode="General">
                  <c:v>0</c:v>
                </c:pt>
                <c:pt idx="17" c:formatCode="General">
                  <c:v>0</c:v>
                </c:pt>
                <c:pt idx="18" c:formatCode="General">
                  <c:v>0</c:v>
                </c:pt>
                <c:pt idx="19" c:formatCode="General">
                  <c:v>0</c:v>
                </c:pt>
                <c:pt idx="20" c:formatCode="General">
                  <c:v>0</c:v>
                </c:pt>
                <c:pt idx="21" c:formatCode="General">
                  <c:v>0</c:v>
                </c:pt>
                <c:pt idx="22" c:formatCode="General">
                  <c:v>0</c:v>
                </c:pt>
                <c:pt idx="23" c:formatCode="General">
                  <c:v>1152</c:v>
                </c:pt>
                <c:pt idx="24" c:formatCode="General">
                  <c:v>1152</c:v>
                </c:pt>
                <c:pt idx="25" c:formatCode="General">
                  <c:v>1152</c:v>
                </c:pt>
                <c:pt idx="26" c:formatCode="General">
                  <c:v>1152</c:v>
                </c:pt>
                <c:pt idx="27" c:formatCode="General">
                  <c:v>1152</c:v>
                </c:pt>
                <c:pt idx="28" c:formatCode="General">
                  <c:v>1152</c:v>
                </c:pt>
                <c:pt idx="29" c:formatCode="General">
                  <c:v>1152</c:v>
                </c:pt>
                <c:pt idx="30" c:formatCode="General">
                  <c:v>2304</c:v>
                </c:pt>
                <c:pt idx="31" c:formatCode="General">
                  <c:v>2304</c:v>
                </c:pt>
                <c:pt idx="32" c:formatCode="General">
                  <c:v>2304</c:v>
                </c:pt>
                <c:pt idx="33" c:formatCode="General">
                  <c:v>2304</c:v>
                </c:pt>
                <c:pt idx="34" c:formatCode="General">
                  <c:v>2304</c:v>
                </c:pt>
                <c:pt idx="35" c:formatCode="General">
                  <c:v>2304</c:v>
                </c:pt>
                <c:pt idx="36" c:formatCode="General">
                  <c:v>2304</c:v>
                </c:pt>
                <c:pt idx="37" c:formatCode="General">
                  <c:v>2304</c:v>
                </c:pt>
                <c:pt idx="38" c:formatCode="General">
                  <c:v>2304</c:v>
                </c:pt>
                <c:pt idx="39" c:formatCode="General">
                  <c:v>2304</c:v>
                </c:pt>
                <c:pt idx="40" c:formatCode="General">
                  <c:v>2304</c:v>
                </c:pt>
                <c:pt idx="41" c:formatCode="General">
                  <c:v>2304</c:v>
                </c:pt>
                <c:pt idx="42" c:formatCode="General">
                  <c:v>2304</c:v>
                </c:pt>
                <c:pt idx="43" c:formatCode="General">
                  <c:v>2304</c:v>
                </c:pt>
                <c:pt idx="44" c:formatCode="General">
                  <c:v>2304</c:v>
                </c:pt>
                <c:pt idx="45" c:formatCode="General">
                  <c:v>2304</c:v>
                </c:pt>
                <c:pt idx="46" c:formatCode="General">
                  <c:v>3456</c:v>
                </c:pt>
                <c:pt idx="47" c:formatCode="General">
                  <c:v>3456</c:v>
                </c:pt>
                <c:pt idx="48" c:formatCode="General">
                  <c:v>3456</c:v>
                </c:pt>
                <c:pt idx="49" c:formatCode="General">
                  <c:v>3456</c:v>
                </c:pt>
                <c:pt idx="50" c:formatCode="General">
                  <c:v>3456</c:v>
                </c:pt>
                <c:pt idx="51" c:formatCode="General">
                  <c:v>3456</c:v>
                </c:pt>
                <c:pt idx="52" c:formatCode="General">
                  <c:v>4608</c:v>
                </c:pt>
                <c:pt idx="53" c:formatCode="General">
                  <c:v>4608</c:v>
                </c:pt>
                <c:pt idx="54" c:formatCode="General">
                  <c:v>4608</c:v>
                </c:pt>
                <c:pt idx="55" c:formatCode="General">
                  <c:v>4608</c:v>
                </c:pt>
                <c:pt idx="56" c:formatCode="General">
                  <c:v>4608</c:v>
                </c:pt>
                <c:pt idx="57" c:formatCode="General">
                  <c:v>4608</c:v>
                </c:pt>
                <c:pt idx="58" c:formatCode="General">
                  <c:v>4608</c:v>
                </c:pt>
                <c:pt idx="59" c:formatCode="General">
                  <c:v>4608</c:v>
                </c:pt>
                <c:pt idx="60" c:formatCode="General">
                  <c:v>4608</c:v>
                </c:pt>
                <c:pt idx="61" c:formatCode="General">
                  <c:v>4608</c:v>
                </c:pt>
                <c:pt idx="62" c:formatCode="General">
                  <c:v>4608</c:v>
                </c:pt>
                <c:pt idx="63" c:formatCode="General">
                  <c:v>4608</c:v>
                </c:pt>
                <c:pt idx="64" c:formatCode="General">
                  <c:v>5760</c:v>
                </c:pt>
                <c:pt idx="65" c:formatCode="General">
                  <c:v>5760</c:v>
                </c:pt>
                <c:pt idx="66" c:formatCode="General">
                  <c:v>5760</c:v>
                </c:pt>
                <c:pt idx="67" c:formatCode="General">
                  <c:v>5760</c:v>
                </c:pt>
                <c:pt idx="68" c:formatCode="General">
                  <c:v>5760</c:v>
                </c:pt>
                <c:pt idx="69" c:formatCode="General">
                  <c:v>5760</c:v>
                </c:pt>
                <c:pt idx="70" c:formatCode="General">
                  <c:v>5760</c:v>
                </c:pt>
                <c:pt idx="71" c:formatCode="General">
                  <c:v>5760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控制台!$AT$106</c:f>
              <c:strCache>
                <c:ptCount val="1"/>
                <c:pt idx="0">
                  <c:v>VIP商加速</c:v>
                </c:pt>
              </c:strCache>
            </c:strRef>
          </c:tx>
          <c:spPr>
            <a:ln w="349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控制台!$B$107:$B$178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控制台!$AT$107:$AT$178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0</c:v>
                </c:pt>
                <c:pt idx="3" c:formatCode="General">
                  <c:v>0</c:v>
                </c:pt>
                <c:pt idx="4" c:formatCode="General">
                  <c:v>0</c:v>
                </c:pt>
                <c:pt idx="5" c:formatCode="General">
                  <c:v>0</c:v>
                </c:pt>
                <c:pt idx="6" c:formatCode="General">
                  <c:v>0</c:v>
                </c:pt>
                <c:pt idx="7" c:formatCode="General">
                  <c:v>0</c:v>
                </c:pt>
                <c:pt idx="8" c:formatCode="General">
                  <c:v>0</c:v>
                </c:pt>
                <c:pt idx="9" c:formatCode="General">
                  <c:v>0</c:v>
                </c:pt>
                <c:pt idx="10" c:formatCode="General">
                  <c:v>0</c:v>
                </c:pt>
                <c:pt idx="11" c:formatCode="General">
                  <c:v>0</c:v>
                </c:pt>
                <c:pt idx="12" c:formatCode="General">
                  <c:v>0</c:v>
                </c:pt>
                <c:pt idx="13" c:formatCode="General">
                  <c:v>0</c:v>
                </c:pt>
                <c:pt idx="14" c:formatCode="General">
                  <c:v>0</c:v>
                </c:pt>
                <c:pt idx="15" c:formatCode="General">
                  <c:v>0</c:v>
                </c:pt>
                <c:pt idx="16" c:formatCode="General">
                  <c:v>0</c:v>
                </c:pt>
                <c:pt idx="17" c:formatCode="General">
                  <c:v>0</c:v>
                </c:pt>
                <c:pt idx="18" c:formatCode="General">
                  <c:v>0</c:v>
                </c:pt>
                <c:pt idx="19" c:formatCode="General">
                  <c:v>0</c:v>
                </c:pt>
                <c:pt idx="20" c:formatCode="General">
                  <c:v>64.2857142857143</c:v>
                </c:pt>
                <c:pt idx="21" c:formatCode="General">
                  <c:v>64.2857142857143</c:v>
                </c:pt>
                <c:pt idx="22" c:formatCode="General">
                  <c:v>64.2857142857143</c:v>
                </c:pt>
                <c:pt idx="23" c:formatCode="General">
                  <c:v>64.2857142857143</c:v>
                </c:pt>
                <c:pt idx="24" c:formatCode="General">
                  <c:v>64.2857142857143</c:v>
                </c:pt>
                <c:pt idx="25" c:formatCode="General">
                  <c:v>64.2857142857143</c:v>
                </c:pt>
                <c:pt idx="26" c:formatCode="General">
                  <c:v>64.2857142857143</c:v>
                </c:pt>
                <c:pt idx="27" c:formatCode="General">
                  <c:v>64.2857142857143</c:v>
                </c:pt>
                <c:pt idx="28" c:formatCode="General">
                  <c:v>64.2857142857143</c:v>
                </c:pt>
                <c:pt idx="29" c:formatCode="General">
                  <c:v>64.2857142857143</c:v>
                </c:pt>
                <c:pt idx="30" c:formatCode="General">
                  <c:v>64.2857142857143</c:v>
                </c:pt>
                <c:pt idx="31" c:formatCode="General">
                  <c:v>64.2857142857143</c:v>
                </c:pt>
                <c:pt idx="32" c:formatCode="General">
                  <c:v>64.2857142857143</c:v>
                </c:pt>
                <c:pt idx="33" c:formatCode="General">
                  <c:v>64.2857142857143</c:v>
                </c:pt>
                <c:pt idx="34" c:formatCode="General">
                  <c:v>64.2857142857143</c:v>
                </c:pt>
                <c:pt idx="35" c:formatCode="General">
                  <c:v>64.2857142857143</c:v>
                </c:pt>
                <c:pt idx="36" c:formatCode="General">
                  <c:v>64.2857142857143</c:v>
                </c:pt>
                <c:pt idx="37" c:formatCode="General">
                  <c:v>64.2857142857142</c:v>
                </c:pt>
                <c:pt idx="38" c:formatCode="General">
                  <c:v>64.2857142857142</c:v>
                </c:pt>
                <c:pt idx="39" c:formatCode="General">
                  <c:v>64.2857142857142</c:v>
                </c:pt>
                <c:pt idx="40" c:formatCode="General">
                  <c:v>64.2857142857142</c:v>
                </c:pt>
                <c:pt idx="41" c:formatCode="General">
                  <c:v>64.2857142857142</c:v>
                </c:pt>
                <c:pt idx="42" c:formatCode="General">
                  <c:v>64.2857142857142</c:v>
                </c:pt>
                <c:pt idx="43" c:formatCode="General">
                  <c:v>64.2857142857142</c:v>
                </c:pt>
                <c:pt idx="44" c:formatCode="General">
                  <c:v>64.2857142857142</c:v>
                </c:pt>
                <c:pt idx="45" c:formatCode="General">
                  <c:v>64.2857142857142</c:v>
                </c:pt>
                <c:pt idx="46" c:formatCode="General">
                  <c:v>64.2857142857143</c:v>
                </c:pt>
                <c:pt idx="47" c:formatCode="General">
                  <c:v>64.2857142857143</c:v>
                </c:pt>
                <c:pt idx="48" c:formatCode="General">
                  <c:v>64.2857142857143</c:v>
                </c:pt>
                <c:pt idx="49" c:formatCode="General">
                  <c:v>64.2857142857143</c:v>
                </c:pt>
                <c:pt idx="50" c:formatCode="General">
                  <c:v>64.2857142857143</c:v>
                </c:pt>
                <c:pt idx="51" c:formatCode="General">
                  <c:v>64.2857142857143</c:v>
                </c:pt>
                <c:pt idx="52" c:formatCode="General">
                  <c:v>64.2857142857143</c:v>
                </c:pt>
                <c:pt idx="53" c:formatCode="General">
                  <c:v>64.2857142857143</c:v>
                </c:pt>
                <c:pt idx="54" c:formatCode="General">
                  <c:v>64.2857142857143</c:v>
                </c:pt>
                <c:pt idx="55" c:formatCode="General">
                  <c:v>64.2857142857143</c:v>
                </c:pt>
                <c:pt idx="56" c:formatCode="General">
                  <c:v>64.2857142857143</c:v>
                </c:pt>
                <c:pt idx="57" c:formatCode="General">
                  <c:v>64.2857142857143</c:v>
                </c:pt>
                <c:pt idx="58" c:formatCode="General">
                  <c:v>64.2857142857143</c:v>
                </c:pt>
                <c:pt idx="59" c:formatCode="General">
                  <c:v>64.2857142857143</c:v>
                </c:pt>
                <c:pt idx="60" c:formatCode="General">
                  <c:v>64.2857142857143</c:v>
                </c:pt>
                <c:pt idx="61" c:formatCode="General">
                  <c:v>64.2857142857143</c:v>
                </c:pt>
                <c:pt idx="62" c:formatCode="General">
                  <c:v>64.2857142857143</c:v>
                </c:pt>
                <c:pt idx="63" c:formatCode="General">
                  <c:v>64.2857142857143</c:v>
                </c:pt>
                <c:pt idx="64" c:formatCode="General">
                  <c:v>64.2857142857143</c:v>
                </c:pt>
                <c:pt idx="65" c:formatCode="General">
                  <c:v>64.2857142857143</c:v>
                </c:pt>
                <c:pt idx="66" c:formatCode="General">
                  <c:v>64.2857142857143</c:v>
                </c:pt>
                <c:pt idx="67" c:formatCode="General">
                  <c:v>64.2857142857143</c:v>
                </c:pt>
                <c:pt idx="68" c:formatCode="General">
                  <c:v>64.2857142857143</c:v>
                </c:pt>
                <c:pt idx="69" c:formatCode="General">
                  <c:v>64.2857142857142</c:v>
                </c:pt>
                <c:pt idx="70" c:formatCode="General">
                  <c:v>64.2857142857142</c:v>
                </c:pt>
                <c:pt idx="71" c:formatCode="General">
                  <c:v>64.2857142857142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1578168688"/>
        <c:axId val="1578172016"/>
      </c:lineChart>
      <c:catAx>
        <c:axId val="157816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78172016"/>
        <c:crosses val="autoZero"/>
        <c:auto val="1"/>
        <c:lblAlgn val="ctr"/>
        <c:lblOffset val="100"/>
        <c:noMultiLvlLbl val="0"/>
      </c:catAx>
      <c:valAx>
        <c:axId val="157817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78168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x-none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zh-CN"/>
              <a:t>卡牌</a:t>
            </a:r>
            <a:r>
              <a:rPr lang="zh-CN" altLang="en-US"/>
              <a:t>在各系统中日产出曲线</a:t>
            </a:r>
            <a:endParaRPr lang="zh-CN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控制台!$S$704</c:f>
              <c:strCache>
                <c:ptCount val="1"/>
                <c:pt idx="0">
                  <c:v>军任卡牌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控制台!$B$705:$B$776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控制台!$S$705:$S$776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0</c:v>
                </c:pt>
                <c:pt idx="3" c:formatCode="General">
                  <c:v>0</c:v>
                </c:pt>
                <c:pt idx="4" c:formatCode="General">
                  <c:v>0</c:v>
                </c:pt>
                <c:pt idx="5" c:formatCode="General">
                  <c:v>0</c:v>
                </c:pt>
                <c:pt idx="6" c:formatCode="General">
                  <c:v>0</c:v>
                </c:pt>
                <c:pt idx="7" c:formatCode="General">
                  <c:v>0</c:v>
                </c:pt>
                <c:pt idx="8" c:formatCode="General">
                  <c:v>0</c:v>
                </c:pt>
                <c:pt idx="9" c:formatCode="General">
                  <c:v>0</c:v>
                </c:pt>
                <c:pt idx="10" c:formatCode="General">
                  <c:v>0</c:v>
                </c:pt>
                <c:pt idx="11" c:formatCode="General">
                  <c:v>0</c:v>
                </c:pt>
                <c:pt idx="12" c:formatCode="General">
                  <c:v>0</c:v>
                </c:pt>
                <c:pt idx="13" c:formatCode="General">
                  <c:v>0</c:v>
                </c:pt>
                <c:pt idx="14" c:formatCode="General">
                  <c:v>0</c:v>
                </c:pt>
                <c:pt idx="15" c:formatCode="General">
                  <c:v>0</c:v>
                </c:pt>
                <c:pt idx="16" c:formatCode="General">
                  <c:v>0</c:v>
                </c:pt>
                <c:pt idx="17" c:formatCode="General">
                  <c:v>0</c:v>
                </c:pt>
                <c:pt idx="18" c:formatCode="General">
                  <c:v>0</c:v>
                </c:pt>
                <c:pt idx="19" c:formatCode="General">
                  <c:v>0</c:v>
                </c:pt>
                <c:pt idx="20" c:formatCode="General">
                  <c:v>0</c:v>
                </c:pt>
                <c:pt idx="21" c:formatCode="General">
                  <c:v>0</c:v>
                </c:pt>
                <c:pt idx="22" c:formatCode="General">
                  <c:v>0.72</c:v>
                </c:pt>
                <c:pt idx="23" c:formatCode="General">
                  <c:v>0.72</c:v>
                </c:pt>
                <c:pt idx="24" c:formatCode="General">
                  <c:v>0.72</c:v>
                </c:pt>
                <c:pt idx="25" c:formatCode="General">
                  <c:v>0.72</c:v>
                </c:pt>
                <c:pt idx="26" c:formatCode="General">
                  <c:v>0.72</c:v>
                </c:pt>
                <c:pt idx="27" c:formatCode="General">
                  <c:v>0.72</c:v>
                </c:pt>
                <c:pt idx="28" c:formatCode="General">
                  <c:v>0.72</c:v>
                </c:pt>
                <c:pt idx="29" c:formatCode="General">
                  <c:v>0.72</c:v>
                </c:pt>
                <c:pt idx="30" c:formatCode="General">
                  <c:v>0.72</c:v>
                </c:pt>
                <c:pt idx="31" c:formatCode="General">
                  <c:v>0.72</c:v>
                </c:pt>
                <c:pt idx="32" c:formatCode="General">
                  <c:v>0.72</c:v>
                </c:pt>
                <c:pt idx="33" c:formatCode="General">
                  <c:v>0.720000000000001</c:v>
                </c:pt>
                <c:pt idx="34" c:formatCode="General">
                  <c:v>0.720000000000001</c:v>
                </c:pt>
                <c:pt idx="35" c:formatCode="General">
                  <c:v>0.720000000000001</c:v>
                </c:pt>
                <c:pt idx="36" c:formatCode="General">
                  <c:v>0.720000000000001</c:v>
                </c:pt>
                <c:pt idx="37" c:formatCode="General">
                  <c:v>0.720000000000001</c:v>
                </c:pt>
                <c:pt idx="38" c:formatCode="General">
                  <c:v>0.720000000000001</c:v>
                </c:pt>
                <c:pt idx="39" c:formatCode="General">
                  <c:v>0.720000000000001</c:v>
                </c:pt>
                <c:pt idx="40" c:formatCode="General">
                  <c:v>0.720000000000001</c:v>
                </c:pt>
                <c:pt idx="41" c:formatCode="General">
                  <c:v>0.720000000000001</c:v>
                </c:pt>
                <c:pt idx="42" c:formatCode="General">
                  <c:v>0.720000000000001</c:v>
                </c:pt>
                <c:pt idx="43" c:formatCode="General">
                  <c:v>1.2</c:v>
                </c:pt>
                <c:pt idx="44" c:formatCode="General">
                  <c:v>1.2</c:v>
                </c:pt>
                <c:pt idx="45" c:formatCode="General">
                  <c:v>1.2</c:v>
                </c:pt>
                <c:pt idx="46" c:formatCode="General">
                  <c:v>1.2</c:v>
                </c:pt>
                <c:pt idx="47" c:formatCode="General">
                  <c:v>1.2</c:v>
                </c:pt>
                <c:pt idx="48" c:formatCode="General">
                  <c:v>1.2</c:v>
                </c:pt>
                <c:pt idx="49" c:formatCode="General">
                  <c:v>1.2</c:v>
                </c:pt>
                <c:pt idx="50" c:formatCode="General">
                  <c:v>1.2</c:v>
                </c:pt>
                <c:pt idx="51" c:formatCode="General">
                  <c:v>1.2</c:v>
                </c:pt>
                <c:pt idx="52" c:formatCode="General">
                  <c:v>1.2</c:v>
                </c:pt>
                <c:pt idx="53" c:formatCode="General">
                  <c:v>1.2</c:v>
                </c:pt>
                <c:pt idx="54" c:formatCode="General">
                  <c:v>1.2</c:v>
                </c:pt>
                <c:pt idx="55" c:formatCode="General">
                  <c:v>1.2</c:v>
                </c:pt>
                <c:pt idx="56" c:formatCode="General">
                  <c:v>1.2</c:v>
                </c:pt>
                <c:pt idx="57" c:formatCode="General">
                  <c:v>1.2</c:v>
                </c:pt>
                <c:pt idx="58" c:formatCode="General">
                  <c:v>2</c:v>
                </c:pt>
                <c:pt idx="59" c:formatCode="General">
                  <c:v>2</c:v>
                </c:pt>
                <c:pt idx="60" c:formatCode="General">
                  <c:v>2</c:v>
                </c:pt>
                <c:pt idx="61" c:formatCode="General">
                  <c:v>2</c:v>
                </c:pt>
                <c:pt idx="62" c:formatCode="General">
                  <c:v>2</c:v>
                </c:pt>
                <c:pt idx="63" c:formatCode="General">
                  <c:v>2</c:v>
                </c:pt>
                <c:pt idx="64" c:formatCode="General">
                  <c:v>2</c:v>
                </c:pt>
                <c:pt idx="65" c:formatCode="General">
                  <c:v>2</c:v>
                </c:pt>
                <c:pt idx="66" c:formatCode="General">
                  <c:v>2</c:v>
                </c:pt>
                <c:pt idx="67" c:formatCode="General">
                  <c:v>2</c:v>
                </c:pt>
                <c:pt idx="68" c:formatCode="General">
                  <c:v>2</c:v>
                </c:pt>
                <c:pt idx="69" c:formatCode="General">
                  <c:v>2</c:v>
                </c:pt>
                <c:pt idx="70" c:formatCode="General">
                  <c:v>2</c:v>
                </c:pt>
                <c:pt idx="71" c:formatCode="General">
                  <c:v>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控制台!$T$704</c:f>
              <c:strCache>
                <c:ptCount val="1"/>
                <c:pt idx="0">
                  <c:v>日任卡牌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控制台!$B$705:$B$776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控制台!$T$705:$T$776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2</c:v>
                </c:pt>
                <c:pt idx="2" c:formatCode="General">
                  <c:v>2</c:v>
                </c:pt>
                <c:pt idx="3" c:formatCode="General">
                  <c:v>2</c:v>
                </c:pt>
                <c:pt idx="4" c:formatCode="General">
                  <c:v>2</c:v>
                </c:pt>
                <c:pt idx="5" c:formatCode="General">
                  <c:v>2</c:v>
                </c:pt>
                <c:pt idx="6" c:formatCode="General">
                  <c:v>2</c:v>
                </c:pt>
                <c:pt idx="7" c:formatCode="General">
                  <c:v>2</c:v>
                </c:pt>
                <c:pt idx="8" c:formatCode="General">
                  <c:v>2</c:v>
                </c:pt>
                <c:pt idx="9" c:formatCode="General">
                  <c:v>2</c:v>
                </c:pt>
                <c:pt idx="10" c:formatCode="General">
                  <c:v>2</c:v>
                </c:pt>
                <c:pt idx="11" c:formatCode="General">
                  <c:v>2</c:v>
                </c:pt>
                <c:pt idx="12" c:formatCode="General">
                  <c:v>2</c:v>
                </c:pt>
                <c:pt idx="13" c:formatCode="General">
                  <c:v>2</c:v>
                </c:pt>
                <c:pt idx="14" c:formatCode="General">
                  <c:v>2</c:v>
                </c:pt>
                <c:pt idx="15" c:formatCode="General">
                  <c:v>2</c:v>
                </c:pt>
                <c:pt idx="16" c:formatCode="General">
                  <c:v>2</c:v>
                </c:pt>
                <c:pt idx="17" c:formatCode="General">
                  <c:v>2</c:v>
                </c:pt>
                <c:pt idx="18" c:formatCode="General">
                  <c:v>2</c:v>
                </c:pt>
                <c:pt idx="19" c:formatCode="General">
                  <c:v>2</c:v>
                </c:pt>
                <c:pt idx="20" c:formatCode="General">
                  <c:v>2</c:v>
                </c:pt>
                <c:pt idx="21" c:formatCode="General">
                  <c:v>2</c:v>
                </c:pt>
                <c:pt idx="22" c:formatCode="General">
                  <c:v>2</c:v>
                </c:pt>
                <c:pt idx="23" c:formatCode="General">
                  <c:v>2</c:v>
                </c:pt>
                <c:pt idx="24" c:formatCode="General">
                  <c:v>2</c:v>
                </c:pt>
                <c:pt idx="25" c:formatCode="General">
                  <c:v>2</c:v>
                </c:pt>
                <c:pt idx="26" c:formatCode="General">
                  <c:v>2</c:v>
                </c:pt>
                <c:pt idx="27" c:formatCode="General">
                  <c:v>2</c:v>
                </c:pt>
                <c:pt idx="28" c:formatCode="General">
                  <c:v>2</c:v>
                </c:pt>
                <c:pt idx="29" c:formatCode="General">
                  <c:v>2</c:v>
                </c:pt>
                <c:pt idx="30" c:formatCode="General">
                  <c:v>2</c:v>
                </c:pt>
                <c:pt idx="31" c:formatCode="General">
                  <c:v>2</c:v>
                </c:pt>
                <c:pt idx="32" c:formatCode="General">
                  <c:v>2</c:v>
                </c:pt>
                <c:pt idx="33" c:formatCode="General">
                  <c:v>2</c:v>
                </c:pt>
                <c:pt idx="34" c:formatCode="General">
                  <c:v>2</c:v>
                </c:pt>
                <c:pt idx="35" c:formatCode="General">
                  <c:v>2</c:v>
                </c:pt>
                <c:pt idx="36" c:formatCode="General">
                  <c:v>2</c:v>
                </c:pt>
                <c:pt idx="37" c:formatCode="General">
                  <c:v>2</c:v>
                </c:pt>
                <c:pt idx="38" c:formatCode="General">
                  <c:v>2</c:v>
                </c:pt>
                <c:pt idx="39" c:formatCode="General">
                  <c:v>2</c:v>
                </c:pt>
                <c:pt idx="40" c:formatCode="General">
                  <c:v>2</c:v>
                </c:pt>
                <c:pt idx="41" c:formatCode="General">
                  <c:v>2</c:v>
                </c:pt>
                <c:pt idx="42" c:formatCode="General">
                  <c:v>2</c:v>
                </c:pt>
                <c:pt idx="43" c:formatCode="General">
                  <c:v>2</c:v>
                </c:pt>
                <c:pt idx="44" c:formatCode="General">
                  <c:v>2</c:v>
                </c:pt>
                <c:pt idx="45" c:formatCode="General">
                  <c:v>2</c:v>
                </c:pt>
                <c:pt idx="46" c:formatCode="General">
                  <c:v>2</c:v>
                </c:pt>
                <c:pt idx="47" c:formatCode="General">
                  <c:v>2</c:v>
                </c:pt>
                <c:pt idx="48" c:formatCode="General">
                  <c:v>2</c:v>
                </c:pt>
                <c:pt idx="49" c:formatCode="General">
                  <c:v>2</c:v>
                </c:pt>
                <c:pt idx="50" c:formatCode="General">
                  <c:v>2</c:v>
                </c:pt>
                <c:pt idx="51" c:formatCode="General">
                  <c:v>2</c:v>
                </c:pt>
                <c:pt idx="52" c:formatCode="General">
                  <c:v>2</c:v>
                </c:pt>
                <c:pt idx="53" c:formatCode="General">
                  <c:v>2</c:v>
                </c:pt>
                <c:pt idx="54" c:formatCode="General">
                  <c:v>2</c:v>
                </c:pt>
                <c:pt idx="55" c:formatCode="General">
                  <c:v>2</c:v>
                </c:pt>
                <c:pt idx="56" c:formatCode="General">
                  <c:v>2</c:v>
                </c:pt>
                <c:pt idx="57" c:formatCode="General">
                  <c:v>2</c:v>
                </c:pt>
                <c:pt idx="58" c:formatCode="General">
                  <c:v>2</c:v>
                </c:pt>
                <c:pt idx="59" c:formatCode="General">
                  <c:v>2</c:v>
                </c:pt>
                <c:pt idx="60" c:formatCode="General">
                  <c:v>2</c:v>
                </c:pt>
                <c:pt idx="61" c:formatCode="General">
                  <c:v>2</c:v>
                </c:pt>
                <c:pt idx="62" c:formatCode="General">
                  <c:v>2</c:v>
                </c:pt>
                <c:pt idx="63" c:formatCode="General">
                  <c:v>2</c:v>
                </c:pt>
                <c:pt idx="64" c:formatCode="General">
                  <c:v>2</c:v>
                </c:pt>
                <c:pt idx="65" c:formatCode="General">
                  <c:v>2</c:v>
                </c:pt>
                <c:pt idx="66" c:formatCode="General">
                  <c:v>2</c:v>
                </c:pt>
                <c:pt idx="67" c:formatCode="General">
                  <c:v>2</c:v>
                </c:pt>
                <c:pt idx="68" c:formatCode="General">
                  <c:v>2</c:v>
                </c:pt>
                <c:pt idx="69" c:formatCode="General">
                  <c:v>2</c:v>
                </c:pt>
                <c:pt idx="70" c:formatCode="General">
                  <c:v>2</c:v>
                </c:pt>
                <c:pt idx="71" c:formatCode="General">
                  <c:v>2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控制台!$U$704</c:f>
              <c:strCache>
                <c:ptCount val="1"/>
                <c:pt idx="0">
                  <c:v>副本卡牌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控制台!$B$705:$B$776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控制台!$U$705:$U$776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0.02976</c:v>
                </c:pt>
                <c:pt idx="3" c:formatCode="General">
                  <c:v>0.02976</c:v>
                </c:pt>
                <c:pt idx="4" c:formatCode="General">
                  <c:v>0.05952</c:v>
                </c:pt>
                <c:pt idx="5" c:formatCode="General">
                  <c:v>0.05952</c:v>
                </c:pt>
                <c:pt idx="6" c:formatCode="General">
                  <c:v>0.08928</c:v>
                </c:pt>
                <c:pt idx="7" c:formatCode="General">
                  <c:v>0.0892800000000001</c:v>
                </c:pt>
                <c:pt idx="8" c:formatCode="General">
                  <c:v>0.12</c:v>
                </c:pt>
                <c:pt idx="9" c:formatCode="General">
                  <c:v>0.12</c:v>
                </c:pt>
                <c:pt idx="10" c:formatCode="General">
                  <c:v>0.14976</c:v>
                </c:pt>
                <c:pt idx="11" c:formatCode="General">
                  <c:v>0.16416</c:v>
                </c:pt>
                <c:pt idx="12" c:formatCode="General">
                  <c:v>0.17952</c:v>
                </c:pt>
                <c:pt idx="13" c:formatCode="General">
                  <c:v>0.19488</c:v>
                </c:pt>
                <c:pt idx="14" c:formatCode="General">
                  <c:v>0.22464</c:v>
                </c:pt>
                <c:pt idx="15" c:formatCode="General">
                  <c:v>0.24</c:v>
                </c:pt>
                <c:pt idx="16" c:formatCode="General">
                  <c:v>0.2544</c:v>
                </c:pt>
                <c:pt idx="17" c:formatCode="General">
                  <c:v>0.26976</c:v>
                </c:pt>
                <c:pt idx="18" c:formatCode="General">
                  <c:v>0.29952</c:v>
                </c:pt>
                <c:pt idx="19" c:formatCode="General">
                  <c:v>0.29952</c:v>
                </c:pt>
                <c:pt idx="20" c:formatCode="General">
                  <c:v>0.31488</c:v>
                </c:pt>
                <c:pt idx="21" c:formatCode="General">
                  <c:v>0.31488</c:v>
                </c:pt>
                <c:pt idx="22" c:formatCode="General">
                  <c:v>0.32928</c:v>
                </c:pt>
                <c:pt idx="23" c:formatCode="General">
                  <c:v>0.34464</c:v>
                </c:pt>
                <c:pt idx="24" c:formatCode="General">
                  <c:v>0.3744</c:v>
                </c:pt>
                <c:pt idx="25" c:formatCode="General">
                  <c:v>0.38976</c:v>
                </c:pt>
                <c:pt idx="26" c:formatCode="General">
                  <c:v>0.40416</c:v>
                </c:pt>
                <c:pt idx="27" c:formatCode="General">
                  <c:v>0.419519999999999</c:v>
                </c:pt>
                <c:pt idx="28" c:formatCode="General">
                  <c:v>0.44928</c:v>
                </c:pt>
                <c:pt idx="29" c:formatCode="General">
                  <c:v>0.46464</c:v>
                </c:pt>
                <c:pt idx="30" c:formatCode="General">
                  <c:v>0.48</c:v>
                </c:pt>
                <c:pt idx="31" c:formatCode="General">
                  <c:v>0.4944</c:v>
                </c:pt>
                <c:pt idx="32" c:formatCode="General">
                  <c:v>0.50976</c:v>
                </c:pt>
                <c:pt idx="33" c:formatCode="General">
                  <c:v>0.524160000000001</c:v>
                </c:pt>
                <c:pt idx="34" c:formatCode="General">
                  <c:v>0.53952</c:v>
                </c:pt>
                <c:pt idx="35" c:formatCode="General">
                  <c:v>0.554880000000001</c:v>
                </c:pt>
                <c:pt idx="36" c:formatCode="General">
                  <c:v>0.569280000000001</c:v>
                </c:pt>
                <c:pt idx="37" c:formatCode="General">
                  <c:v>0.58464</c:v>
                </c:pt>
                <c:pt idx="38" c:formatCode="General">
                  <c:v>0.6</c:v>
                </c:pt>
                <c:pt idx="39" c:formatCode="General">
                  <c:v>0.6</c:v>
                </c:pt>
                <c:pt idx="40" c:formatCode="General">
                  <c:v>0.629760000000001</c:v>
                </c:pt>
                <c:pt idx="41" c:formatCode="General">
                  <c:v>0.659520000000001</c:v>
                </c:pt>
                <c:pt idx="42" c:formatCode="General">
                  <c:v>0.689279999999998</c:v>
                </c:pt>
                <c:pt idx="43" c:formatCode="General">
                  <c:v>0.720000000000001</c:v>
                </c:pt>
                <c:pt idx="44" c:formatCode="General">
                  <c:v>0.74976</c:v>
                </c:pt>
                <c:pt idx="45" c:formatCode="General">
                  <c:v>0.749760000000002</c:v>
                </c:pt>
                <c:pt idx="46" c:formatCode="General">
                  <c:v>0.89952</c:v>
                </c:pt>
                <c:pt idx="47" c:formatCode="General">
                  <c:v>0.98976</c:v>
                </c:pt>
                <c:pt idx="48" c:formatCode="General">
                  <c:v>1.08</c:v>
                </c:pt>
                <c:pt idx="49" c:formatCode="General">
                  <c:v>1.2</c:v>
                </c:pt>
                <c:pt idx="50" c:formatCode="General">
                  <c:v>1.25952</c:v>
                </c:pt>
                <c:pt idx="51" c:formatCode="General">
                  <c:v>1.32</c:v>
                </c:pt>
                <c:pt idx="52" c:formatCode="General">
                  <c:v>1.37952</c:v>
                </c:pt>
                <c:pt idx="53" c:formatCode="General">
                  <c:v>1.44</c:v>
                </c:pt>
                <c:pt idx="54" c:formatCode="General">
                  <c:v>1.49952</c:v>
                </c:pt>
                <c:pt idx="55" c:formatCode="General">
                  <c:v>1.52928</c:v>
                </c:pt>
                <c:pt idx="56" c:formatCode="General">
                  <c:v>1.56</c:v>
                </c:pt>
                <c:pt idx="57" c:formatCode="General">
                  <c:v>1.58976</c:v>
                </c:pt>
                <c:pt idx="58" c:formatCode="General">
                  <c:v>1.61952</c:v>
                </c:pt>
                <c:pt idx="59" c:formatCode="General">
                  <c:v>1.64928</c:v>
                </c:pt>
                <c:pt idx="60" c:formatCode="General">
                  <c:v>1.68</c:v>
                </c:pt>
                <c:pt idx="61" c:formatCode="General">
                  <c:v>1.70976</c:v>
                </c:pt>
                <c:pt idx="62" c:formatCode="General">
                  <c:v>1.73952</c:v>
                </c:pt>
                <c:pt idx="63" c:formatCode="General">
                  <c:v>1.8</c:v>
                </c:pt>
                <c:pt idx="64" c:formatCode="General">
                  <c:v>1.94976</c:v>
                </c:pt>
                <c:pt idx="65" c:formatCode="General">
                  <c:v>2.09952</c:v>
                </c:pt>
                <c:pt idx="66" c:formatCode="General">
                  <c:v>2.24928</c:v>
                </c:pt>
                <c:pt idx="67" c:formatCode="General">
                  <c:v>2.4</c:v>
                </c:pt>
                <c:pt idx="68" c:formatCode="General">
                  <c:v>2.54976</c:v>
                </c:pt>
                <c:pt idx="69" c:formatCode="General">
                  <c:v>2.69952</c:v>
                </c:pt>
                <c:pt idx="70" c:formatCode="General">
                  <c:v>2.84928</c:v>
                </c:pt>
                <c:pt idx="71" c:formatCode="General">
                  <c:v>3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控制台!$V$704</c:f>
              <c:strCache>
                <c:ptCount val="1"/>
                <c:pt idx="0">
                  <c:v>空投卡牌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控制台!$B$705:$B$776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控制台!$V$705:$V$776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0.533333333333332</c:v>
                </c:pt>
                <c:pt idx="2" c:formatCode="General">
                  <c:v>0.533333333333332</c:v>
                </c:pt>
                <c:pt idx="3" c:formatCode="General">
                  <c:v>0.533333333333332</c:v>
                </c:pt>
                <c:pt idx="4" c:formatCode="General">
                  <c:v>0.8</c:v>
                </c:pt>
                <c:pt idx="5" c:formatCode="General">
                  <c:v>0.8</c:v>
                </c:pt>
                <c:pt idx="6" c:formatCode="General">
                  <c:v>0.8</c:v>
                </c:pt>
                <c:pt idx="7" c:formatCode="General">
                  <c:v>0.8</c:v>
                </c:pt>
                <c:pt idx="8" c:formatCode="General">
                  <c:v>0.799999999999999</c:v>
                </c:pt>
                <c:pt idx="9" c:formatCode="General">
                  <c:v>0.800000000000001</c:v>
                </c:pt>
                <c:pt idx="10" c:formatCode="General">
                  <c:v>1.06666666666667</c:v>
                </c:pt>
                <c:pt idx="11" c:formatCode="General">
                  <c:v>1.06666666666667</c:v>
                </c:pt>
                <c:pt idx="12" c:formatCode="General">
                  <c:v>1.06666666666667</c:v>
                </c:pt>
                <c:pt idx="13" c:formatCode="General">
                  <c:v>1.06666666666667</c:v>
                </c:pt>
                <c:pt idx="14" c:formatCode="General">
                  <c:v>1.06666666666667</c:v>
                </c:pt>
                <c:pt idx="15" c:formatCode="General">
                  <c:v>1.06666666666667</c:v>
                </c:pt>
                <c:pt idx="16" c:formatCode="General">
                  <c:v>1.6</c:v>
                </c:pt>
                <c:pt idx="17" c:formatCode="General">
                  <c:v>1.6</c:v>
                </c:pt>
                <c:pt idx="18" c:formatCode="General">
                  <c:v>1.6</c:v>
                </c:pt>
                <c:pt idx="19" c:formatCode="General">
                  <c:v>1.6</c:v>
                </c:pt>
                <c:pt idx="20" c:formatCode="General">
                  <c:v>1.6</c:v>
                </c:pt>
                <c:pt idx="21" c:formatCode="General">
                  <c:v>1.6</c:v>
                </c:pt>
                <c:pt idx="22" c:formatCode="General">
                  <c:v>1.6</c:v>
                </c:pt>
                <c:pt idx="23" c:formatCode="General">
                  <c:v>1.6</c:v>
                </c:pt>
                <c:pt idx="24" c:formatCode="General">
                  <c:v>1.6</c:v>
                </c:pt>
                <c:pt idx="25" c:formatCode="General">
                  <c:v>1.6</c:v>
                </c:pt>
                <c:pt idx="26" c:formatCode="General">
                  <c:v>1.6</c:v>
                </c:pt>
                <c:pt idx="27" c:formatCode="General">
                  <c:v>1.6</c:v>
                </c:pt>
                <c:pt idx="28" c:formatCode="General">
                  <c:v>1.6</c:v>
                </c:pt>
                <c:pt idx="29" c:formatCode="General">
                  <c:v>1.6</c:v>
                </c:pt>
                <c:pt idx="30" c:formatCode="General">
                  <c:v>1.6</c:v>
                </c:pt>
                <c:pt idx="31" c:formatCode="General">
                  <c:v>1.6</c:v>
                </c:pt>
                <c:pt idx="32" c:formatCode="General">
                  <c:v>1.6</c:v>
                </c:pt>
                <c:pt idx="33" c:formatCode="General">
                  <c:v>1.6</c:v>
                </c:pt>
                <c:pt idx="34" c:formatCode="General">
                  <c:v>1.6</c:v>
                </c:pt>
                <c:pt idx="35" c:formatCode="General">
                  <c:v>2.66666666666667</c:v>
                </c:pt>
                <c:pt idx="36" c:formatCode="General">
                  <c:v>2.66666666666667</c:v>
                </c:pt>
                <c:pt idx="37" c:formatCode="General">
                  <c:v>2.66666666666667</c:v>
                </c:pt>
                <c:pt idx="38" c:formatCode="General">
                  <c:v>2.66666666666667</c:v>
                </c:pt>
                <c:pt idx="39" c:formatCode="General">
                  <c:v>2.66666666666667</c:v>
                </c:pt>
                <c:pt idx="40" c:formatCode="General">
                  <c:v>2.66666666666667</c:v>
                </c:pt>
                <c:pt idx="41" c:formatCode="General">
                  <c:v>2.66666666666667</c:v>
                </c:pt>
                <c:pt idx="42" c:formatCode="General">
                  <c:v>2.66666666666667</c:v>
                </c:pt>
                <c:pt idx="43" c:formatCode="General">
                  <c:v>2.66666666666667</c:v>
                </c:pt>
                <c:pt idx="44" c:formatCode="General">
                  <c:v>2.66666666666667</c:v>
                </c:pt>
                <c:pt idx="45" c:formatCode="General">
                  <c:v>2.66666666666667</c:v>
                </c:pt>
                <c:pt idx="46" c:formatCode="General">
                  <c:v>2.66666666666667</c:v>
                </c:pt>
                <c:pt idx="47" c:formatCode="General">
                  <c:v>2.66666666666667</c:v>
                </c:pt>
                <c:pt idx="48" c:formatCode="General">
                  <c:v>2.66666666666667</c:v>
                </c:pt>
                <c:pt idx="49" c:formatCode="General">
                  <c:v>2.66666666666667</c:v>
                </c:pt>
                <c:pt idx="50" c:formatCode="General">
                  <c:v>2.66666666666667</c:v>
                </c:pt>
                <c:pt idx="51" c:formatCode="General">
                  <c:v>2.66666666666667</c:v>
                </c:pt>
                <c:pt idx="52" c:formatCode="General">
                  <c:v>2.66666666666667</c:v>
                </c:pt>
                <c:pt idx="53" c:formatCode="General">
                  <c:v>2.66666666666667</c:v>
                </c:pt>
                <c:pt idx="54" c:formatCode="General">
                  <c:v>2.66666666666667</c:v>
                </c:pt>
                <c:pt idx="55" c:formatCode="General">
                  <c:v>2.66666666666667</c:v>
                </c:pt>
                <c:pt idx="56" c:formatCode="General">
                  <c:v>2.66666666666667</c:v>
                </c:pt>
                <c:pt idx="57" c:formatCode="General">
                  <c:v>4</c:v>
                </c:pt>
                <c:pt idx="58" c:formatCode="General">
                  <c:v>4</c:v>
                </c:pt>
                <c:pt idx="59" c:formatCode="General">
                  <c:v>4</c:v>
                </c:pt>
                <c:pt idx="60" c:formatCode="General">
                  <c:v>4</c:v>
                </c:pt>
                <c:pt idx="61" c:formatCode="General">
                  <c:v>4</c:v>
                </c:pt>
                <c:pt idx="62" c:formatCode="General">
                  <c:v>4</c:v>
                </c:pt>
                <c:pt idx="63" c:formatCode="General">
                  <c:v>4</c:v>
                </c:pt>
                <c:pt idx="64" c:formatCode="General">
                  <c:v>4</c:v>
                </c:pt>
                <c:pt idx="65" c:formatCode="General">
                  <c:v>4</c:v>
                </c:pt>
                <c:pt idx="66" c:formatCode="General">
                  <c:v>4</c:v>
                </c:pt>
                <c:pt idx="67" c:formatCode="General">
                  <c:v>4</c:v>
                </c:pt>
                <c:pt idx="68" c:formatCode="General">
                  <c:v>4</c:v>
                </c:pt>
                <c:pt idx="69" c:formatCode="General">
                  <c:v>4</c:v>
                </c:pt>
                <c:pt idx="70" c:formatCode="General">
                  <c:v>4</c:v>
                </c:pt>
                <c:pt idx="71" c:formatCode="General">
                  <c:v>4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控制台!$W$704</c:f>
              <c:strCache>
                <c:ptCount val="1"/>
                <c:pt idx="0">
                  <c:v>黑市卡牌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控制台!$B$705:$B$776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控制台!$W$705:$W$776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0.15</c:v>
                </c:pt>
                <c:pt idx="2" c:formatCode="General">
                  <c:v>0.15</c:v>
                </c:pt>
                <c:pt idx="3" c:formatCode="General">
                  <c:v>0.15</c:v>
                </c:pt>
                <c:pt idx="4" c:formatCode="General">
                  <c:v>0.15</c:v>
                </c:pt>
                <c:pt idx="5" c:formatCode="General">
                  <c:v>0.15</c:v>
                </c:pt>
                <c:pt idx="6" c:formatCode="General">
                  <c:v>0.15</c:v>
                </c:pt>
                <c:pt idx="7" c:formatCode="General">
                  <c:v>0.15</c:v>
                </c:pt>
                <c:pt idx="8" c:formatCode="General">
                  <c:v>0.15</c:v>
                </c:pt>
                <c:pt idx="9" c:formatCode="General">
                  <c:v>0.15</c:v>
                </c:pt>
                <c:pt idx="10" c:formatCode="General">
                  <c:v>0.15</c:v>
                </c:pt>
                <c:pt idx="11" c:formatCode="General">
                  <c:v>0.15</c:v>
                </c:pt>
                <c:pt idx="12" c:formatCode="General">
                  <c:v>0.15</c:v>
                </c:pt>
                <c:pt idx="13" c:formatCode="General">
                  <c:v>0.15</c:v>
                </c:pt>
                <c:pt idx="14" c:formatCode="General">
                  <c:v>0.15</c:v>
                </c:pt>
                <c:pt idx="15" c:formatCode="General">
                  <c:v>0.15</c:v>
                </c:pt>
                <c:pt idx="16" c:formatCode="General">
                  <c:v>0.15</c:v>
                </c:pt>
                <c:pt idx="17" c:formatCode="General">
                  <c:v>0.15</c:v>
                </c:pt>
                <c:pt idx="18" c:formatCode="General">
                  <c:v>0.15</c:v>
                </c:pt>
                <c:pt idx="19" c:formatCode="General">
                  <c:v>0.15</c:v>
                </c:pt>
                <c:pt idx="20" c:formatCode="General">
                  <c:v>0.15</c:v>
                </c:pt>
                <c:pt idx="21" c:formatCode="General">
                  <c:v>0.15</c:v>
                </c:pt>
                <c:pt idx="22" c:formatCode="General">
                  <c:v>0.15</c:v>
                </c:pt>
                <c:pt idx="23" c:formatCode="General">
                  <c:v>0.3</c:v>
                </c:pt>
                <c:pt idx="24" c:formatCode="General">
                  <c:v>0.3</c:v>
                </c:pt>
                <c:pt idx="25" c:formatCode="General">
                  <c:v>0.3</c:v>
                </c:pt>
                <c:pt idx="26" c:formatCode="General">
                  <c:v>0.3</c:v>
                </c:pt>
                <c:pt idx="27" c:formatCode="General">
                  <c:v>0.3</c:v>
                </c:pt>
                <c:pt idx="28" c:formatCode="General">
                  <c:v>0.3</c:v>
                </c:pt>
                <c:pt idx="29" c:formatCode="General">
                  <c:v>0.3</c:v>
                </c:pt>
                <c:pt idx="30" c:formatCode="General">
                  <c:v>0.6</c:v>
                </c:pt>
                <c:pt idx="31" c:formatCode="General">
                  <c:v>0.6</c:v>
                </c:pt>
                <c:pt idx="32" c:formatCode="General">
                  <c:v>0.6</c:v>
                </c:pt>
                <c:pt idx="33" c:formatCode="General">
                  <c:v>0.6</c:v>
                </c:pt>
                <c:pt idx="34" c:formatCode="General">
                  <c:v>0.6</c:v>
                </c:pt>
                <c:pt idx="35" c:formatCode="General">
                  <c:v>0.6</c:v>
                </c:pt>
                <c:pt idx="36" c:formatCode="General">
                  <c:v>0.6</c:v>
                </c:pt>
                <c:pt idx="37" c:formatCode="General">
                  <c:v>0.6</c:v>
                </c:pt>
                <c:pt idx="38" c:formatCode="General">
                  <c:v>0.6</c:v>
                </c:pt>
                <c:pt idx="39" c:formatCode="General">
                  <c:v>0.6</c:v>
                </c:pt>
                <c:pt idx="40" c:formatCode="General">
                  <c:v>0.6</c:v>
                </c:pt>
                <c:pt idx="41" c:formatCode="General">
                  <c:v>0.6</c:v>
                </c:pt>
                <c:pt idx="42" c:formatCode="General">
                  <c:v>0.6</c:v>
                </c:pt>
                <c:pt idx="43" c:formatCode="General">
                  <c:v>0.6</c:v>
                </c:pt>
                <c:pt idx="44" c:formatCode="General">
                  <c:v>0.6</c:v>
                </c:pt>
                <c:pt idx="45" c:formatCode="General">
                  <c:v>0.6</c:v>
                </c:pt>
                <c:pt idx="46" c:formatCode="General">
                  <c:v>0.9</c:v>
                </c:pt>
                <c:pt idx="47" c:formatCode="General">
                  <c:v>0.9</c:v>
                </c:pt>
                <c:pt idx="48" c:formatCode="General">
                  <c:v>0.9</c:v>
                </c:pt>
                <c:pt idx="49" c:formatCode="General">
                  <c:v>0.9</c:v>
                </c:pt>
                <c:pt idx="50" c:formatCode="General">
                  <c:v>0.9</c:v>
                </c:pt>
                <c:pt idx="51" c:formatCode="General">
                  <c:v>0.9</c:v>
                </c:pt>
                <c:pt idx="52" c:formatCode="General">
                  <c:v>1.2</c:v>
                </c:pt>
                <c:pt idx="53" c:formatCode="General">
                  <c:v>1.2</c:v>
                </c:pt>
                <c:pt idx="54" c:formatCode="General">
                  <c:v>1.2</c:v>
                </c:pt>
                <c:pt idx="55" c:formatCode="General">
                  <c:v>1.2</c:v>
                </c:pt>
                <c:pt idx="56" c:formatCode="General">
                  <c:v>1.2</c:v>
                </c:pt>
                <c:pt idx="57" c:formatCode="General">
                  <c:v>1.2</c:v>
                </c:pt>
                <c:pt idx="58" c:formatCode="General">
                  <c:v>1.2</c:v>
                </c:pt>
                <c:pt idx="59" c:formatCode="General">
                  <c:v>1.2</c:v>
                </c:pt>
                <c:pt idx="60" c:formatCode="General">
                  <c:v>1.2</c:v>
                </c:pt>
                <c:pt idx="61" c:formatCode="General">
                  <c:v>1.2</c:v>
                </c:pt>
                <c:pt idx="62" c:formatCode="General">
                  <c:v>1.2</c:v>
                </c:pt>
                <c:pt idx="63" c:formatCode="General">
                  <c:v>1.2</c:v>
                </c:pt>
                <c:pt idx="64" c:formatCode="General">
                  <c:v>1.5</c:v>
                </c:pt>
                <c:pt idx="65" c:formatCode="General">
                  <c:v>1.5</c:v>
                </c:pt>
                <c:pt idx="66" c:formatCode="General">
                  <c:v>1.5</c:v>
                </c:pt>
                <c:pt idx="67" c:formatCode="General">
                  <c:v>1.5</c:v>
                </c:pt>
                <c:pt idx="68" c:formatCode="General">
                  <c:v>1.5</c:v>
                </c:pt>
                <c:pt idx="69" c:formatCode="General">
                  <c:v>1.5</c:v>
                </c:pt>
                <c:pt idx="70" c:formatCode="General">
                  <c:v>1.5</c:v>
                </c:pt>
                <c:pt idx="71" c:formatCode="General">
                  <c:v>1.5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控制台!$X$704</c:f>
              <c:strCache>
                <c:ptCount val="1"/>
                <c:pt idx="0">
                  <c:v>活动卡牌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控制台!$B$705:$B$776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控制台!$X$705:$X$776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0</c:v>
                </c:pt>
                <c:pt idx="3" c:formatCode="General">
                  <c:v>0</c:v>
                </c:pt>
                <c:pt idx="4" c:formatCode="General">
                  <c:v>0</c:v>
                </c:pt>
                <c:pt idx="5" c:formatCode="General">
                  <c:v>0</c:v>
                </c:pt>
                <c:pt idx="6" c:formatCode="General">
                  <c:v>0</c:v>
                </c:pt>
                <c:pt idx="7" c:formatCode="General">
                  <c:v>0</c:v>
                </c:pt>
                <c:pt idx="8" c:formatCode="General">
                  <c:v>0</c:v>
                </c:pt>
                <c:pt idx="9" c:formatCode="General">
                  <c:v>0</c:v>
                </c:pt>
                <c:pt idx="10" c:formatCode="General">
                  <c:v>0</c:v>
                </c:pt>
                <c:pt idx="11" c:formatCode="General">
                  <c:v>0</c:v>
                </c:pt>
                <c:pt idx="12" c:formatCode="General">
                  <c:v>0</c:v>
                </c:pt>
                <c:pt idx="13" c:formatCode="General">
                  <c:v>0</c:v>
                </c:pt>
                <c:pt idx="14" c:formatCode="General">
                  <c:v>0</c:v>
                </c:pt>
                <c:pt idx="15" c:formatCode="General">
                  <c:v>0</c:v>
                </c:pt>
                <c:pt idx="16" c:formatCode="General">
                  <c:v>0</c:v>
                </c:pt>
                <c:pt idx="17" c:formatCode="General">
                  <c:v>0</c:v>
                </c:pt>
                <c:pt idx="18" c:formatCode="General">
                  <c:v>0</c:v>
                </c:pt>
                <c:pt idx="19" c:formatCode="General">
                  <c:v>0</c:v>
                </c:pt>
                <c:pt idx="20" c:formatCode="General">
                  <c:v>0</c:v>
                </c:pt>
                <c:pt idx="21" c:formatCode="General">
                  <c:v>0</c:v>
                </c:pt>
                <c:pt idx="22" c:formatCode="General">
                  <c:v>0</c:v>
                </c:pt>
                <c:pt idx="23" c:formatCode="General">
                  <c:v>4</c:v>
                </c:pt>
                <c:pt idx="24" c:formatCode="General">
                  <c:v>4</c:v>
                </c:pt>
                <c:pt idx="25" c:formatCode="General">
                  <c:v>4</c:v>
                </c:pt>
                <c:pt idx="26" c:formatCode="General">
                  <c:v>4</c:v>
                </c:pt>
                <c:pt idx="27" c:formatCode="General">
                  <c:v>4</c:v>
                </c:pt>
                <c:pt idx="28" c:formatCode="General">
                  <c:v>4</c:v>
                </c:pt>
                <c:pt idx="29" c:formatCode="General">
                  <c:v>4</c:v>
                </c:pt>
                <c:pt idx="30" c:formatCode="General">
                  <c:v>8</c:v>
                </c:pt>
                <c:pt idx="31" c:formatCode="General">
                  <c:v>8</c:v>
                </c:pt>
                <c:pt idx="32" c:formatCode="General">
                  <c:v>8</c:v>
                </c:pt>
                <c:pt idx="33" c:formatCode="General">
                  <c:v>8</c:v>
                </c:pt>
                <c:pt idx="34" c:formatCode="General">
                  <c:v>8</c:v>
                </c:pt>
                <c:pt idx="35" c:formatCode="General">
                  <c:v>8</c:v>
                </c:pt>
                <c:pt idx="36" c:formatCode="General">
                  <c:v>8</c:v>
                </c:pt>
                <c:pt idx="37" c:formatCode="General">
                  <c:v>8</c:v>
                </c:pt>
                <c:pt idx="38" c:formatCode="General">
                  <c:v>8</c:v>
                </c:pt>
                <c:pt idx="39" c:formatCode="General">
                  <c:v>8</c:v>
                </c:pt>
                <c:pt idx="40" c:formatCode="General">
                  <c:v>8</c:v>
                </c:pt>
                <c:pt idx="41" c:formatCode="General">
                  <c:v>8</c:v>
                </c:pt>
                <c:pt idx="42" c:formatCode="General">
                  <c:v>8</c:v>
                </c:pt>
                <c:pt idx="43" c:formatCode="General">
                  <c:v>8</c:v>
                </c:pt>
                <c:pt idx="44" c:formatCode="General">
                  <c:v>8</c:v>
                </c:pt>
                <c:pt idx="45" c:formatCode="General">
                  <c:v>8</c:v>
                </c:pt>
                <c:pt idx="46" c:formatCode="General">
                  <c:v>12</c:v>
                </c:pt>
                <c:pt idx="47" c:formatCode="General">
                  <c:v>12</c:v>
                </c:pt>
                <c:pt idx="48" c:formatCode="General">
                  <c:v>12</c:v>
                </c:pt>
                <c:pt idx="49" c:formatCode="General">
                  <c:v>12</c:v>
                </c:pt>
                <c:pt idx="50" c:formatCode="General">
                  <c:v>12</c:v>
                </c:pt>
                <c:pt idx="51" c:formatCode="General">
                  <c:v>12</c:v>
                </c:pt>
                <c:pt idx="52" c:formatCode="General">
                  <c:v>16</c:v>
                </c:pt>
                <c:pt idx="53" c:formatCode="General">
                  <c:v>16</c:v>
                </c:pt>
                <c:pt idx="54" c:formatCode="General">
                  <c:v>16</c:v>
                </c:pt>
                <c:pt idx="55" c:formatCode="General">
                  <c:v>16</c:v>
                </c:pt>
                <c:pt idx="56" c:formatCode="General">
                  <c:v>16</c:v>
                </c:pt>
                <c:pt idx="57" c:formatCode="General">
                  <c:v>16</c:v>
                </c:pt>
                <c:pt idx="58" c:formatCode="General">
                  <c:v>16</c:v>
                </c:pt>
                <c:pt idx="59" c:formatCode="General">
                  <c:v>16</c:v>
                </c:pt>
                <c:pt idx="60" c:formatCode="General">
                  <c:v>16</c:v>
                </c:pt>
                <c:pt idx="61" c:formatCode="General">
                  <c:v>16</c:v>
                </c:pt>
                <c:pt idx="62" c:formatCode="General">
                  <c:v>16</c:v>
                </c:pt>
                <c:pt idx="63" c:formatCode="General">
                  <c:v>16</c:v>
                </c:pt>
                <c:pt idx="64" c:formatCode="General">
                  <c:v>20</c:v>
                </c:pt>
                <c:pt idx="65" c:formatCode="General">
                  <c:v>20</c:v>
                </c:pt>
                <c:pt idx="66" c:formatCode="General">
                  <c:v>20</c:v>
                </c:pt>
                <c:pt idx="67" c:formatCode="General">
                  <c:v>20</c:v>
                </c:pt>
                <c:pt idx="68" c:formatCode="General">
                  <c:v>20</c:v>
                </c:pt>
                <c:pt idx="69" c:formatCode="General">
                  <c:v>20</c:v>
                </c:pt>
                <c:pt idx="70" c:formatCode="General">
                  <c:v>20</c:v>
                </c:pt>
                <c:pt idx="71" c:formatCode="General">
                  <c:v>20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控制台!$Y$704</c:f>
              <c:strCache>
                <c:ptCount val="1"/>
                <c:pt idx="0">
                  <c:v>VIP箱卡牌</c:v>
                </c:pt>
              </c:strCache>
            </c:strRef>
          </c:tx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控制台!$B$705:$B$776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控制台!$Y$705:$Y$776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0</c:v>
                </c:pt>
                <c:pt idx="3" c:formatCode="General">
                  <c:v>0</c:v>
                </c:pt>
                <c:pt idx="4" c:formatCode="General">
                  <c:v>0</c:v>
                </c:pt>
                <c:pt idx="5" c:formatCode="General">
                  <c:v>0</c:v>
                </c:pt>
                <c:pt idx="6" c:formatCode="General">
                  <c:v>0</c:v>
                </c:pt>
                <c:pt idx="7" c:formatCode="General">
                  <c:v>0</c:v>
                </c:pt>
                <c:pt idx="8" c:formatCode="General">
                  <c:v>0</c:v>
                </c:pt>
                <c:pt idx="9" c:formatCode="General">
                  <c:v>0</c:v>
                </c:pt>
                <c:pt idx="10" c:formatCode="General">
                  <c:v>0</c:v>
                </c:pt>
                <c:pt idx="11" c:formatCode="General">
                  <c:v>0</c:v>
                </c:pt>
                <c:pt idx="12" c:formatCode="General">
                  <c:v>0</c:v>
                </c:pt>
                <c:pt idx="13" c:formatCode="General">
                  <c:v>0</c:v>
                </c:pt>
                <c:pt idx="14" c:formatCode="General">
                  <c:v>0</c:v>
                </c:pt>
                <c:pt idx="15" c:formatCode="General">
                  <c:v>0</c:v>
                </c:pt>
                <c:pt idx="16" c:formatCode="General">
                  <c:v>0</c:v>
                </c:pt>
                <c:pt idx="17" c:formatCode="General">
                  <c:v>0</c:v>
                </c:pt>
                <c:pt idx="18" c:formatCode="General">
                  <c:v>0</c:v>
                </c:pt>
                <c:pt idx="19" c:formatCode="General">
                  <c:v>0</c:v>
                </c:pt>
                <c:pt idx="20" c:formatCode="General">
                  <c:v>0</c:v>
                </c:pt>
                <c:pt idx="21" c:formatCode="General">
                  <c:v>0</c:v>
                </c:pt>
                <c:pt idx="22" c:formatCode="General">
                  <c:v>0</c:v>
                </c:pt>
                <c:pt idx="23" c:formatCode="General">
                  <c:v>0</c:v>
                </c:pt>
                <c:pt idx="24" c:formatCode="General">
                  <c:v>0.8</c:v>
                </c:pt>
                <c:pt idx="25" c:formatCode="General">
                  <c:v>0.8</c:v>
                </c:pt>
                <c:pt idx="26" c:formatCode="General">
                  <c:v>0.8</c:v>
                </c:pt>
                <c:pt idx="27" c:formatCode="General">
                  <c:v>0.8</c:v>
                </c:pt>
                <c:pt idx="28" c:formatCode="General">
                  <c:v>0.8</c:v>
                </c:pt>
                <c:pt idx="29" c:formatCode="General">
                  <c:v>0.8</c:v>
                </c:pt>
                <c:pt idx="30" c:formatCode="General">
                  <c:v>0.8</c:v>
                </c:pt>
                <c:pt idx="31" c:formatCode="General">
                  <c:v>0.8</c:v>
                </c:pt>
                <c:pt idx="32" c:formatCode="General">
                  <c:v>0.8</c:v>
                </c:pt>
                <c:pt idx="33" c:formatCode="General">
                  <c:v>0.8</c:v>
                </c:pt>
                <c:pt idx="34" c:formatCode="General">
                  <c:v>0.8</c:v>
                </c:pt>
                <c:pt idx="35" c:formatCode="General">
                  <c:v>0.800000000000001</c:v>
                </c:pt>
                <c:pt idx="36" c:formatCode="General">
                  <c:v>0.800000000000001</c:v>
                </c:pt>
                <c:pt idx="37" c:formatCode="General">
                  <c:v>0.800000000000001</c:v>
                </c:pt>
                <c:pt idx="38" c:formatCode="General">
                  <c:v>0.800000000000001</c:v>
                </c:pt>
                <c:pt idx="39" c:formatCode="General">
                  <c:v>0.800000000000001</c:v>
                </c:pt>
                <c:pt idx="40" c:formatCode="General">
                  <c:v>0.800000000000001</c:v>
                </c:pt>
                <c:pt idx="41" c:formatCode="General">
                  <c:v>0.800000000000001</c:v>
                </c:pt>
                <c:pt idx="42" c:formatCode="General">
                  <c:v>0.800000000000001</c:v>
                </c:pt>
                <c:pt idx="43" c:formatCode="General">
                  <c:v>0.799999999999999</c:v>
                </c:pt>
                <c:pt idx="44" c:formatCode="General">
                  <c:v>0.800000000000001</c:v>
                </c:pt>
                <c:pt idx="45" c:formatCode="General">
                  <c:v>1.6</c:v>
                </c:pt>
                <c:pt idx="46" c:formatCode="General">
                  <c:v>1.6</c:v>
                </c:pt>
                <c:pt idx="47" c:formatCode="General">
                  <c:v>1.6</c:v>
                </c:pt>
                <c:pt idx="48" c:formatCode="General">
                  <c:v>1.6</c:v>
                </c:pt>
                <c:pt idx="49" c:formatCode="General">
                  <c:v>1.6</c:v>
                </c:pt>
                <c:pt idx="50" c:formatCode="General">
                  <c:v>1.6</c:v>
                </c:pt>
                <c:pt idx="51" c:formatCode="General">
                  <c:v>1.6</c:v>
                </c:pt>
                <c:pt idx="52" c:formatCode="General">
                  <c:v>1.6</c:v>
                </c:pt>
                <c:pt idx="53" c:formatCode="General">
                  <c:v>1.6</c:v>
                </c:pt>
                <c:pt idx="54" c:formatCode="General">
                  <c:v>1.6</c:v>
                </c:pt>
                <c:pt idx="55" c:formatCode="General">
                  <c:v>1.6</c:v>
                </c:pt>
                <c:pt idx="56" c:formatCode="General">
                  <c:v>1.6</c:v>
                </c:pt>
                <c:pt idx="57" c:formatCode="General">
                  <c:v>2.4</c:v>
                </c:pt>
                <c:pt idx="58" c:formatCode="General">
                  <c:v>2.4</c:v>
                </c:pt>
                <c:pt idx="59" c:formatCode="General">
                  <c:v>2.4</c:v>
                </c:pt>
                <c:pt idx="60" c:formatCode="General">
                  <c:v>2.4</c:v>
                </c:pt>
                <c:pt idx="61" c:formatCode="General">
                  <c:v>2.4</c:v>
                </c:pt>
                <c:pt idx="62" c:formatCode="General">
                  <c:v>2.4</c:v>
                </c:pt>
                <c:pt idx="63" c:formatCode="General">
                  <c:v>2.4</c:v>
                </c:pt>
                <c:pt idx="64" c:formatCode="General">
                  <c:v>2.4</c:v>
                </c:pt>
                <c:pt idx="65" c:formatCode="General">
                  <c:v>2.4</c:v>
                </c:pt>
                <c:pt idx="66" c:formatCode="General">
                  <c:v>2.4</c:v>
                </c:pt>
                <c:pt idx="67" c:formatCode="General">
                  <c:v>2.4</c:v>
                </c:pt>
                <c:pt idx="68" c:formatCode="General">
                  <c:v>2.4</c:v>
                </c:pt>
                <c:pt idx="69" c:formatCode="General">
                  <c:v>2.4</c:v>
                </c:pt>
                <c:pt idx="70" c:formatCode="General">
                  <c:v>2.4</c:v>
                </c:pt>
                <c:pt idx="71" c:formatCode="General">
                  <c:v>2.4</c:v>
                </c:pt>
              </c:numCache>
            </c:numRef>
          </c:val>
          <c:smooth val="0"/>
        </c:ser>
        <c:ser>
          <c:idx val="0"/>
          <c:order val="7"/>
          <c:tx>
            <c:strRef>
              <c:f>控制台!$Z$704</c:f>
              <c:strCache>
                <c:ptCount val="1"/>
                <c:pt idx="0">
                  <c:v>VIP商卡牌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控制台!$B$705:$B$776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控制台!$Z$705:$Z$776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0</c:v>
                </c:pt>
                <c:pt idx="3" c:formatCode="General">
                  <c:v>0</c:v>
                </c:pt>
                <c:pt idx="4" c:formatCode="General">
                  <c:v>0</c:v>
                </c:pt>
                <c:pt idx="5" c:formatCode="General">
                  <c:v>0</c:v>
                </c:pt>
                <c:pt idx="6" c:formatCode="General">
                  <c:v>0</c:v>
                </c:pt>
                <c:pt idx="7" c:formatCode="General">
                  <c:v>0</c:v>
                </c:pt>
                <c:pt idx="8" c:formatCode="General">
                  <c:v>0</c:v>
                </c:pt>
                <c:pt idx="9" c:formatCode="General">
                  <c:v>0</c:v>
                </c:pt>
                <c:pt idx="10" c:formatCode="General">
                  <c:v>0</c:v>
                </c:pt>
                <c:pt idx="11" c:formatCode="General">
                  <c:v>0</c:v>
                </c:pt>
                <c:pt idx="12" c:formatCode="General">
                  <c:v>0</c:v>
                </c:pt>
                <c:pt idx="13" c:formatCode="General">
                  <c:v>0</c:v>
                </c:pt>
                <c:pt idx="14" c:formatCode="General">
                  <c:v>0</c:v>
                </c:pt>
                <c:pt idx="15" c:formatCode="General">
                  <c:v>0</c:v>
                </c:pt>
                <c:pt idx="16" c:formatCode="General">
                  <c:v>0</c:v>
                </c:pt>
                <c:pt idx="17" c:formatCode="General">
                  <c:v>0</c:v>
                </c:pt>
                <c:pt idx="18" c:formatCode="General">
                  <c:v>0</c:v>
                </c:pt>
                <c:pt idx="19" c:formatCode="General">
                  <c:v>0</c:v>
                </c:pt>
                <c:pt idx="20" c:formatCode="General">
                  <c:v>0</c:v>
                </c:pt>
                <c:pt idx="21" c:formatCode="General">
                  <c:v>0</c:v>
                </c:pt>
                <c:pt idx="22" c:formatCode="General">
                  <c:v>0</c:v>
                </c:pt>
                <c:pt idx="23" c:formatCode="General">
                  <c:v>0</c:v>
                </c:pt>
                <c:pt idx="24" c:formatCode="General">
                  <c:v>1.14285714285714</c:v>
                </c:pt>
                <c:pt idx="25" c:formatCode="General">
                  <c:v>1.14285714285714</c:v>
                </c:pt>
                <c:pt idx="26" c:formatCode="General">
                  <c:v>1.14285714285714</c:v>
                </c:pt>
                <c:pt idx="27" c:formatCode="General">
                  <c:v>1.14285714285714</c:v>
                </c:pt>
                <c:pt idx="28" c:formatCode="General">
                  <c:v>1.14285714285714</c:v>
                </c:pt>
                <c:pt idx="29" c:formatCode="General">
                  <c:v>1.14285714285714</c:v>
                </c:pt>
                <c:pt idx="30" c:formatCode="General">
                  <c:v>1.14285714285714</c:v>
                </c:pt>
                <c:pt idx="31" c:formatCode="General">
                  <c:v>1.14285714285714</c:v>
                </c:pt>
                <c:pt idx="32" c:formatCode="General">
                  <c:v>1.14285714285714</c:v>
                </c:pt>
                <c:pt idx="33" c:formatCode="General">
                  <c:v>1.14285714285714</c:v>
                </c:pt>
                <c:pt idx="34" c:formatCode="General">
                  <c:v>1.14285714285714</c:v>
                </c:pt>
                <c:pt idx="35" c:formatCode="General">
                  <c:v>1.14285714285714</c:v>
                </c:pt>
                <c:pt idx="36" c:formatCode="General">
                  <c:v>1.14285714285714</c:v>
                </c:pt>
                <c:pt idx="37" c:formatCode="General">
                  <c:v>1.14285714285714</c:v>
                </c:pt>
                <c:pt idx="38" c:formatCode="General">
                  <c:v>1.14285714285714</c:v>
                </c:pt>
                <c:pt idx="39" c:formatCode="General">
                  <c:v>1.14285714285714</c:v>
                </c:pt>
                <c:pt idx="40" c:formatCode="General">
                  <c:v>1.14285714285714</c:v>
                </c:pt>
                <c:pt idx="41" c:formatCode="General">
                  <c:v>1.14285714285714</c:v>
                </c:pt>
                <c:pt idx="42" c:formatCode="General">
                  <c:v>1.14285714285714</c:v>
                </c:pt>
                <c:pt idx="43" c:formatCode="General">
                  <c:v>1.14285714285714</c:v>
                </c:pt>
                <c:pt idx="44" c:formatCode="General">
                  <c:v>1.14285714285714</c:v>
                </c:pt>
                <c:pt idx="45" c:formatCode="General">
                  <c:v>1.14285714285714</c:v>
                </c:pt>
                <c:pt idx="46" c:formatCode="General">
                  <c:v>1.14285714285714</c:v>
                </c:pt>
                <c:pt idx="47" c:formatCode="General">
                  <c:v>1.14285714285714</c:v>
                </c:pt>
                <c:pt idx="48" c:formatCode="General">
                  <c:v>1.14285714285714</c:v>
                </c:pt>
                <c:pt idx="49" c:formatCode="General">
                  <c:v>1.14285714285714</c:v>
                </c:pt>
                <c:pt idx="50" c:formatCode="General">
                  <c:v>1.14285714285714</c:v>
                </c:pt>
                <c:pt idx="51" c:formatCode="General">
                  <c:v>2.28571428571429</c:v>
                </c:pt>
                <c:pt idx="52" c:formatCode="General">
                  <c:v>2.28571428571429</c:v>
                </c:pt>
                <c:pt idx="53" c:formatCode="General">
                  <c:v>2.28571428571429</c:v>
                </c:pt>
                <c:pt idx="54" c:formatCode="General">
                  <c:v>2.28571428571429</c:v>
                </c:pt>
                <c:pt idx="55" c:formatCode="General">
                  <c:v>2.28571428571429</c:v>
                </c:pt>
                <c:pt idx="56" c:formatCode="General">
                  <c:v>2.28571428571429</c:v>
                </c:pt>
                <c:pt idx="57" c:formatCode="General">
                  <c:v>2.28571428571429</c:v>
                </c:pt>
                <c:pt idx="58" c:formatCode="General">
                  <c:v>2.28571428571429</c:v>
                </c:pt>
                <c:pt idx="59" c:formatCode="General">
                  <c:v>2.28571428571429</c:v>
                </c:pt>
                <c:pt idx="60" c:formatCode="General">
                  <c:v>2.28571428571429</c:v>
                </c:pt>
                <c:pt idx="61" c:formatCode="General">
                  <c:v>2.28571428571429</c:v>
                </c:pt>
                <c:pt idx="62" c:formatCode="General">
                  <c:v>2.28571428571429</c:v>
                </c:pt>
                <c:pt idx="63" c:formatCode="General">
                  <c:v>2.28571428571429</c:v>
                </c:pt>
                <c:pt idx="64" c:formatCode="General">
                  <c:v>2.28571428571429</c:v>
                </c:pt>
                <c:pt idx="65" c:formatCode="General">
                  <c:v>2.28571428571429</c:v>
                </c:pt>
                <c:pt idx="66" c:formatCode="General">
                  <c:v>2.28571428571429</c:v>
                </c:pt>
                <c:pt idx="67" c:formatCode="General">
                  <c:v>2.28571428571429</c:v>
                </c:pt>
                <c:pt idx="68" c:formatCode="General">
                  <c:v>2.28571428571429</c:v>
                </c:pt>
                <c:pt idx="69" c:formatCode="General">
                  <c:v>2.28571428571429</c:v>
                </c:pt>
                <c:pt idx="70" c:formatCode="General">
                  <c:v>2.28571428571429</c:v>
                </c:pt>
                <c:pt idx="71" c:formatCode="General">
                  <c:v>2.28571428571429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1578168688"/>
        <c:axId val="1578172016"/>
      </c:lineChart>
      <c:catAx>
        <c:axId val="157816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78172016"/>
        <c:crosses val="autoZero"/>
        <c:auto val="1"/>
        <c:lblAlgn val="ctr"/>
        <c:lblOffset val="100"/>
        <c:noMultiLvlLbl val="0"/>
      </c:catAx>
      <c:valAx>
        <c:axId val="157817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78168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x-none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zh-CN"/>
              <a:t>陆军经验</a:t>
            </a:r>
            <a:r>
              <a:rPr lang="zh-CN" altLang="zh-CN" sz="1600" b="1" i="0" u="none" strike="noStrike" baseline="0">
                <a:effectLst/>
              </a:rPr>
              <a:t>在各系统中日产出曲线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控制台!$Z$864</c:f>
              <c:strCache>
                <c:ptCount val="1"/>
                <c:pt idx="0">
                  <c:v>挂机陆经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控制台!$B$865:$B$936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控制台!$Z$865:$Z$936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527040</c:v>
                </c:pt>
                <c:pt idx="3" c:formatCode="General">
                  <c:v>527040</c:v>
                </c:pt>
                <c:pt idx="4" c:formatCode="General">
                  <c:v>630720</c:v>
                </c:pt>
                <c:pt idx="5" c:formatCode="General">
                  <c:v>630720</c:v>
                </c:pt>
                <c:pt idx="6" c:formatCode="General">
                  <c:v>725760</c:v>
                </c:pt>
                <c:pt idx="7" c:formatCode="General">
                  <c:v>725760</c:v>
                </c:pt>
                <c:pt idx="8" c:formatCode="General">
                  <c:v>829439.999999999</c:v>
                </c:pt>
                <c:pt idx="9" c:formatCode="General">
                  <c:v>829440</c:v>
                </c:pt>
                <c:pt idx="10" c:formatCode="General">
                  <c:v>924480</c:v>
                </c:pt>
                <c:pt idx="11" c:formatCode="General">
                  <c:v>976320</c:v>
                </c:pt>
                <c:pt idx="12" c:formatCode="General">
                  <c:v>1028160</c:v>
                </c:pt>
                <c:pt idx="13" c:formatCode="General">
                  <c:v>1080000</c:v>
                </c:pt>
                <c:pt idx="14" c:formatCode="General">
                  <c:v>1175040</c:v>
                </c:pt>
                <c:pt idx="15" c:formatCode="General">
                  <c:v>1226880</c:v>
                </c:pt>
                <c:pt idx="16" c:formatCode="General">
                  <c:v>1278720</c:v>
                </c:pt>
                <c:pt idx="17" c:formatCode="General">
                  <c:v>1330560</c:v>
                </c:pt>
                <c:pt idx="18" c:formatCode="General">
                  <c:v>1425600</c:v>
                </c:pt>
                <c:pt idx="19" c:formatCode="General">
                  <c:v>1425600</c:v>
                </c:pt>
                <c:pt idx="20" c:formatCode="General">
                  <c:v>1477440</c:v>
                </c:pt>
                <c:pt idx="21" c:formatCode="General">
                  <c:v>1477440</c:v>
                </c:pt>
                <c:pt idx="22" c:formatCode="General">
                  <c:v>1529280</c:v>
                </c:pt>
                <c:pt idx="23" c:formatCode="General">
                  <c:v>1572480</c:v>
                </c:pt>
                <c:pt idx="24" c:formatCode="General">
                  <c:v>1676160</c:v>
                </c:pt>
                <c:pt idx="25" c:formatCode="General">
                  <c:v>1728000</c:v>
                </c:pt>
                <c:pt idx="26" c:formatCode="General">
                  <c:v>1779840</c:v>
                </c:pt>
                <c:pt idx="27" c:formatCode="General">
                  <c:v>1823040</c:v>
                </c:pt>
                <c:pt idx="28" c:formatCode="General">
                  <c:v>1926720</c:v>
                </c:pt>
                <c:pt idx="29" c:formatCode="General">
                  <c:v>1978560</c:v>
                </c:pt>
                <c:pt idx="30" c:formatCode="General">
                  <c:v>2030400</c:v>
                </c:pt>
                <c:pt idx="31" c:formatCode="General">
                  <c:v>2073600</c:v>
                </c:pt>
                <c:pt idx="32" c:formatCode="General">
                  <c:v>2125440</c:v>
                </c:pt>
                <c:pt idx="33" c:formatCode="General">
                  <c:v>2177280</c:v>
                </c:pt>
                <c:pt idx="34" c:formatCode="General">
                  <c:v>2229120</c:v>
                </c:pt>
                <c:pt idx="35" c:formatCode="General">
                  <c:v>2272320</c:v>
                </c:pt>
                <c:pt idx="36" c:formatCode="General">
                  <c:v>2324160</c:v>
                </c:pt>
                <c:pt idx="37" c:formatCode="General">
                  <c:v>2376000</c:v>
                </c:pt>
                <c:pt idx="38" c:formatCode="General">
                  <c:v>2427840</c:v>
                </c:pt>
                <c:pt idx="39" c:formatCode="General">
                  <c:v>2427840</c:v>
                </c:pt>
                <c:pt idx="40" c:formatCode="General">
                  <c:v>2479680</c:v>
                </c:pt>
                <c:pt idx="41" c:formatCode="General">
                  <c:v>2522880</c:v>
                </c:pt>
                <c:pt idx="42" c:formatCode="General">
                  <c:v>2574720</c:v>
                </c:pt>
                <c:pt idx="43" c:formatCode="General">
                  <c:v>2626560</c:v>
                </c:pt>
                <c:pt idx="44" c:formatCode="General">
                  <c:v>2678400</c:v>
                </c:pt>
                <c:pt idx="45" c:formatCode="General">
                  <c:v>2678400</c:v>
                </c:pt>
                <c:pt idx="46" c:formatCode="General">
                  <c:v>2928960</c:v>
                </c:pt>
                <c:pt idx="47" c:formatCode="General">
                  <c:v>3075840</c:v>
                </c:pt>
                <c:pt idx="48" c:formatCode="General">
                  <c:v>3222720</c:v>
                </c:pt>
                <c:pt idx="49" c:formatCode="General">
                  <c:v>3430080</c:v>
                </c:pt>
                <c:pt idx="50" c:formatCode="General">
                  <c:v>3525120</c:v>
                </c:pt>
                <c:pt idx="51" c:formatCode="General">
                  <c:v>3628800</c:v>
                </c:pt>
                <c:pt idx="52" c:formatCode="General">
                  <c:v>3723840</c:v>
                </c:pt>
                <c:pt idx="53" c:formatCode="General">
                  <c:v>3827520</c:v>
                </c:pt>
                <c:pt idx="54" c:formatCode="General">
                  <c:v>3922560</c:v>
                </c:pt>
                <c:pt idx="55" c:formatCode="General">
                  <c:v>3948480</c:v>
                </c:pt>
                <c:pt idx="56" c:formatCode="General">
                  <c:v>3965760</c:v>
                </c:pt>
                <c:pt idx="57" c:formatCode="General">
                  <c:v>3983040</c:v>
                </c:pt>
                <c:pt idx="58" c:formatCode="General">
                  <c:v>4008960</c:v>
                </c:pt>
                <c:pt idx="59" c:formatCode="General">
                  <c:v>4026240</c:v>
                </c:pt>
                <c:pt idx="60" c:formatCode="General">
                  <c:v>4043520</c:v>
                </c:pt>
                <c:pt idx="61" c:formatCode="General">
                  <c:v>4069440</c:v>
                </c:pt>
                <c:pt idx="62" c:formatCode="General">
                  <c:v>4086720</c:v>
                </c:pt>
                <c:pt idx="63" c:formatCode="General">
                  <c:v>4129920</c:v>
                </c:pt>
                <c:pt idx="64" c:formatCode="General">
                  <c:v>4224960</c:v>
                </c:pt>
                <c:pt idx="65" c:formatCode="General">
                  <c:v>4328640</c:v>
                </c:pt>
                <c:pt idx="66" c:formatCode="General">
                  <c:v>4423680</c:v>
                </c:pt>
                <c:pt idx="67" c:formatCode="General">
                  <c:v>4527360</c:v>
                </c:pt>
                <c:pt idx="68" c:formatCode="General">
                  <c:v>4622400</c:v>
                </c:pt>
                <c:pt idx="69" c:formatCode="General">
                  <c:v>4726080</c:v>
                </c:pt>
                <c:pt idx="70" c:formatCode="General">
                  <c:v>4829760</c:v>
                </c:pt>
                <c:pt idx="71" c:formatCode="General">
                  <c:v>4924800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控制台!$AA$864</c:f>
              <c:strCache>
                <c:ptCount val="1"/>
                <c:pt idx="0">
                  <c:v>黑市陆经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控制台!$B$865:$B$936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控制台!$AA$865:$AA$936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30000</c:v>
                </c:pt>
                <c:pt idx="2" c:formatCode="General">
                  <c:v>30000</c:v>
                </c:pt>
                <c:pt idx="3" c:formatCode="General">
                  <c:v>30000</c:v>
                </c:pt>
                <c:pt idx="4" c:formatCode="General">
                  <c:v>30000</c:v>
                </c:pt>
                <c:pt idx="5" c:formatCode="General">
                  <c:v>30000</c:v>
                </c:pt>
                <c:pt idx="6" c:formatCode="General">
                  <c:v>30000</c:v>
                </c:pt>
                <c:pt idx="7" c:formatCode="General">
                  <c:v>30000</c:v>
                </c:pt>
                <c:pt idx="8" c:formatCode="General">
                  <c:v>30000</c:v>
                </c:pt>
                <c:pt idx="9" c:formatCode="General">
                  <c:v>30000</c:v>
                </c:pt>
                <c:pt idx="10" c:formatCode="General">
                  <c:v>30000</c:v>
                </c:pt>
                <c:pt idx="11" c:formatCode="General">
                  <c:v>30000</c:v>
                </c:pt>
                <c:pt idx="12" c:formatCode="General">
                  <c:v>30000</c:v>
                </c:pt>
                <c:pt idx="13" c:formatCode="General">
                  <c:v>30000</c:v>
                </c:pt>
                <c:pt idx="14" c:formatCode="General">
                  <c:v>30000</c:v>
                </c:pt>
                <c:pt idx="15" c:formatCode="General">
                  <c:v>30000</c:v>
                </c:pt>
                <c:pt idx="16" c:formatCode="General">
                  <c:v>30000</c:v>
                </c:pt>
                <c:pt idx="17" c:formatCode="General">
                  <c:v>30000</c:v>
                </c:pt>
                <c:pt idx="18" c:formatCode="General">
                  <c:v>30000</c:v>
                </c:pt>
                <c:pt idx="19" c:formatCode="General">
                  <c:v>30000</c:v>
                </c:pt>
                <c:pt idx="20" c:formatCode="General">
                  <c:v>30000</c:v>
                </c:pt>
                <c:pt idx="21" c:formatCode="General">
                  <c:v>30000</c:v>
                </c:pt>
                <c:pt idx="22" c:formatCode="General">
                  <c:v>30000</c:v>
                </c:pt>
                <c:pt idx="23" c:formatCode="General">
                  <c:v>60000</c:v>
                </c:pt>
                <c:pt idx="24" c:formatCode="General">
                  <c:v>60000</c:v>
                </c:pt>
                <c:pt idx="25" c:formatCode="General">
                  <c:v>60000</c:v>
                </c:pt>
                <c:pt idx="26" c:formatCode="General">
                  <c:v>60000</c:v>
                </c:pt>
                <c:pt idx="27" c:formatCode="General">
                  <c:v>60000</c:v>
                </c:pt>
                <c:pt idx="28" c:formatCode="General">
                  <c:v>60000</c:v>
                </c:pt>
                <c:pt idx="29" c:formatCode="General">
                  <c:v>60000</c:v>
                </c:pt>
                <c:pt idx="30" c:formatCode="General">
                  <c:v>120000</c:v>
                </c:pt>
                <c:pt idx="31" c:formatCode="General">
                  <c:v>120000</c:v>
                </c:pt>
                <c:pt idx="32" c:formatCode="General">
                  <c:v>120000</c:v>
                </c:pt>
                <c:pt idx="33" c:formatCode="General">
                  <c:v>120000</c:v>
                </c:pt>
                <c:pt idx="34" c:formatCode="General">
                  <c:v>120000</c:v>
                </c:pt>
                <c:pt idx="35" c:formatCode="General">
                  <c:v>120000</c:v>
                </c:pt>
                <c:pt idx="36" c:formatCode="General">
                  <c:v>120000</c:v>
                </c:pt>
                <c:pt idx="37" c:formatCode="General">
                  <c:v>120000</c:v>
                </c:pt>
                <c:pt idx="38" c:formatCode="General">
                  <c:v>120000</c:v>
                </c:pt>
                <c:pt idx="39" c:formatCode="General">
                  <c:v>120000</c:v>
                </c:pt>
                <c:pt idx="40" c:formatCode="General">
                  <c:v>120000</c:v>
                </c:pt>
                <c:pt idx="41" c:formatCode="General">
                  <c:v>120000</c:v>
                </c:pt>
                <c:pt idx="42" c:formatCode="General">
                  <c:v>120000</c:v>
                </c:pt>
                <c:pt idx="43" c:formatCode="General">
                  <c:v>120000</c:v>
                </c:pt>
                <c:pt idx="44" c:formatCode="General">
                  <c:v>120000</c:v>
                </c:pt>
                <c:pt idx="45" c:formatCode="General">
                  <c:v>120000</c:v>
                </c:pt>
                <c:pt idx="46" c:formatCode="General">
                  <c:v>180000</c:v>
                </c:pt>
                <c:pt idx="47" c:formatCode="General">
                  <c:v>180000</c:v>
                </c:pt>
                <c:pt idx="48" c:formatCode="General">
                  <c:v>180000</c:v>
                </c:pt>
                <c:pt idx="49" c:formatCode="General">
                  <c:v>180000</c:v>
                </c:pt>
                <c:pt idx="50" c:formatCode="General">
                  <c:v>180000</c:v>
                </c:pt>
                <c:pt idx="51" c:formatCode="General">
                  <c:v>180000</c:v>
                </c:pt>
                <c:pt idx="52" c:formatCode="General">
                  <c:v>240000</c:v>
                </c:pt>
                <c:pt idx="53" c:formatCode="General">
                  <c:v>240000</c:v>
                </c:pt>
                <c:pt idx="54" c:formatCode="General">
                  <c:v>240000</c:v>
                </c:pt>
                <c:pt idx="55" c:formatCode="General">
                  <c:v>240000</c:v>
                </c:pt>
                <c:pt idx="56" c:formatCode="General">
                  <c:v>240000</c:v>
                </c:pt>
                <c:pt idx="57" c:formatCode="General">
                  <c:v>240000</c:v>
                </c:pt>
                <c:pt idx="58" c:formatCode="General">
                  <c:v>240000</c:v>
                </c:pt>
                <c:pt idx="59" c:formatCode="General">
                  <c:v>240000</c:v>
                </c:pt>
                <c:pt idx="60" c:formatCode="General">
                  <c:v>240000</c:v>
                </c:pt>
                <c:pt idx="61" c:formatCode="General">
                  <c:v>240000</c:v>
                </c:pt>
                <c:pt idx="62" c:formatCode="General">
                  <c:v>240000</c:v>
                </c:pt>
                <c:pt idx="63" c:formatCode="General">
                  <c:v>240000</c:v>
                </c:pt>
                <c:pt idx="64" c:formatCode="General">
                  <c:v>300000</c:v>
                </c:pt>
                <c:pt idx="65" c:formatCode="General">
                  <c:v>300000</c:v>
                </c:pt>
                <c:pt idx="66" c:formatCode="General">
                  <c:v>300000</c:v>
                </c:pt>
                <c:pt idx="67" c:formatCode="General">
                  <c:v>300000</c:v>
                </c:pt>
                <c:pt idx="68" c:formatCode="General">
                  <c:v>300000</c:v>
                </c:pt>
                <c:pt idx="69" c:formatCode="General">
                  <c:v>300000</c:v>
                </c:pt>
                <c:pt idx="70" c:formatCode="General">
                  <c:v>300000</c:v>
                </c:pt>
                <c:pt idx="71" c:formatCode="General">
                  <c:v>300000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控制台!$AB$864</c:f>
              <c:strCache>
                <c:ptCount val="1"/>
                <c:pt idx="0">
                  <c:v>活动陆经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控制台!$B$865:$B$936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控制台!$AB$865:$AB$936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0</c:v>
                </c:pt>
                <c:pt idx="3" c:formatCode="General">
                  <c:v>0</c:v>
                </c:pt>
                <c:pt idx="4" c:formatCode="General">
                  <c:v>0</c:v>
                </c:pt>
                <c:pt idx="5" c:formatCode="General">
                  <c:v>0</c:v>
                </c:pt>
                <c:pt idx="6" c:formatCode="General">
                  <c:v>0</c:v>
                </c:pt>
                <c:pt idx="7" c:formatCode="General">
                  <c:v>0</c:v>
                </c:pt>
                <c:pt idx="8" c:formatCode="General">
                  <c:v>0</c:v>
                </c:pt>
                <c:pt idx="9" c:formatCode="General">
                  <c:v>0</c:v>
                </c:pt>
                <c:pt idx="10" c:formatCode="General">
                  <c:v>0</c:v>
                </c:pt>
                <c:pt idx="11" c:formatCode="General">
                  <c:v>0</c:v>
                </c:pt>
                <c:pt idx="12" c:formatCode="General">
                  <c:v>0</c:v>
                </c:pt>
                <c:pt idx="13" c:formatCode="General">
                  <c:v>0</c:v>
                </c:pt>
                <c:pt idx="14" c:formatCode="General">
                  <c:v>0</c:v>
                </c:pt>
                <c:pt idx="15" c:formatCode="General">
                  <c:v>0</c:v>
                </c:pt>
                <c:pt idx="16" c:formatCode="General">
                  <c:v>0</c:v>
                </c:pt>
                <c:pt idx="17" c:formatCode="General">
                  <c:v>0</c:v>
                </c:pt>
                <c:pt idx="18" c:formatCode="General">
                  <c:v>0</c:v>
                </c:pt>
                <c:pt idx="19" c:formatCode="General">
                  <c:v>0</c:v>
                </c:pt>
                <c:pt idx="20" c:formatCode="General">
                  <c:v>0</c:v>
                </c:pt>
                <c:pt idx="21" c:formatCode="General">
                  <c:v>0</c:v>
                </c:pt>
                <c:pt idx="22" c:formatCode="General">
                  <c:v>0</c:v>
                </c:pt>
                <c:pt idx="23" c:formatCode="General">
                  <c:v>400000</c:v>
                </c:pt>
                <c:pt idx="24" c:formatCode="General">
                  <c:v>400000</c:v>
                </c:pt>
                <c:pt idx="25" c:formatCode="General">
                  <c:v>400000</c:v>
                </c:pt>
                <c:pt idx="26" c:formatCode="General">
                  <c:v>400000</c:v>
                </c:pt>
                <c:pt idx="27" c:formatCode="General">
                  <c:v>400000</c:v>
                </c:pt>
                <c:pt idx="28" c:formatCode="General">
                  <c:v>400000</c:v>
                </c:pt>
                <c:pt idx="29" c:formatCode="General">
                  <c:v>400000</c:v>
                </c:pt>
                <c:pt idx="30" c:formatCode="General">
                  <c:v>800000</c:v>
                </c:pt>
                <c:pt idx="31" c:formatCode="General">
                  <c:v>800000</c:v>
                </c:pt>
                <c:pt idx="32" c:formatCode="General">
                  <c:v>800000</c:v>
                </c:pt>
                <c:pt idx="33" c:formatCode="General">
                  <c:v>800000</c:v>
                </c:pt>
                <c:pt idx="34" c:formatCode="General">
                  <c:v>800000</c:v>
                </c:pt>
                <c:pt idx="35" c:formatCode="General">
                  <c:v>800000</c:v>
                </c:pt>
                <c:pt idx="36" c:formatCode="General">
                  <c:v>800000</c:v>
                </c:pt>
                <c:pt idx="37" c:formatCode="General">
                  <c:v>800000</c:v>
                </c:pt>
                <c:pt idx="38" c:formatCode="General">
                  <c:v>800000</c:v>
                </c:pt>
                <c:pt idx="39" c:formatCode="General">
                  <c:v>800000</c:v>
                </c:pt>
                <c:pt idx="40" c:formatCode="General">
                  <c:v>800000</c:v>
                </c:pt>
                <c:pt idx="41" c:formatCode="General">
                  <c:v>800000</c:v>
                </c:pt>
                <c:pt idx="42" c:formatCode="General">
                  <c:v>800000</c:v>
                </c:pt>
                <c:pt idx="43" c:formatCode="General">
                  <c:v>800000</c:v>
                </c:pt>
                <c:pt idx="44" c:formatCode="General">
                  <c:v>800000</c:v>
                </c:pt>
                <c:pt idx="45" c:formatCode="General">
                  <c:v>800000</c:v>
                </c:pt>
                <c:pt idx="46" c:formatCode="General">
                  <c:v>1200000</c:v>
                </c:pt>
                <c:pt idx="47" c:formatCode="General">
                  <c:v>1200000</c:v>
                </c:pt>
                <c:pt idx="48" c:formatCode="General">
                  <c:v>1200000</c:v>
                </c:pt>
                <c:pt idx="49" c:formatCode="General">
                  <c:v>1200000</c:v>
                </c:pt>
                <c:pt idx="50" c:formatCode="General">
                  <c:v>1200000</c:v>
                </c:pt>
                <c:pt idx="51" c:formatCode="General">
                  <c:v>1200000</c:v>
                </c:pt>
                <c:pt idx="52" c:formatCode="General">
                  <c:v>1600000</c:v>
                </c:pt>
                <c:pt idx="53" c:formatCode="General">
                  <c:v>1600000</c:v>
                </c:pt>
                <c:pt idx="54" c:formatCode="General">
                  <c:v>1600000</c:v>
                </c:pt>
                <c:pt idx="55" c:formatCode="General">
                  <c:v>1600000</c:v>
                </c:pt>
                <c:pt idx="56" c:formatCode="General">
                  <c:v>1600000</c:v>
                </c:pt>
                <c:pt idx="57" c:formatCode="General">
                  <c:v>1600000</c:v>
                </c:pt>
                <c:pt idx="58" c:formatCode="General">
                  <c:v>1600000</c:v>
                </c:pt>
                <c:pt idx="59" c:formatCode="General">
                  <c:v>1600000</c:v>
                </c:pt>
                <c:pt idx="60" c:formatCode="General">
                  <c:v>1600000</c:v>
                </c:pt>
                <c:pt idx="61" c:formatCode="General">
                  <c:v>1600000</c:v>
                </c:pt>
                <c:pt idx="62" c:formatCode="General">
                  <c:v>1600000</c:v>
                </c:pt>
                <c:pt idx="63" c:formatCode="General">
                  <c:v>1600000</c:v>
                </c:pt>
                <c:pt idx="64" c:formatCode="General">
                  <c:v>2000000</c:v>
                </c:pt>
                <c:pt idx="65" c:formatCode="General">
                  <c:v>2000000</c:v>
                </c:pt>
                <c:pt idx="66" c:formatCode="General">
                  <c:v>2000000</c:v>
                </c:pt>
                <c:pt idx="67" c:formatCode="General">
                  <c:v>2000000</c:v>
                </c:pt>
                <c:pt idx="68" c:formatCode="General">
                  <c:v>2000000</c:v>
                </c:pt>
                <c:pt idx="69" c:formatCode="General">
                  <c:v>2000000</c:v>
                </c:pt>
                <c:pt idx="70" c:formatCode="General">
                  <c:v>2000000</c:v>
                </c:pt>
                <c:pt idx="71" c:formatCode="General">
                  <c:v>2000000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控制台!$AC$864</c:f>
              <c:strCache>
                <c:ptCount val="1"/>
                <c:pt idx="0">
                  <c:v>VIP箱陆经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控制台!$B$865:$B$936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控制台!$AC$865:$AC$936</c:f>
              <c:numCache>
                <c:formatCode>General</c:formatCode>
                <c:ptCount val="72"/>
                <c:pt idx="0" c:formatCode="General">
                  <c:v>1</c:v>
                </c:pt>
                <c:pt idx="1" c:formatCode="General">
                  <c:v>10000</c:v>
                </c:pt>
                <c:pt idx="2" c:formatCode="General">
                  <c:v>10000</c:v>
                </c:pt>
                <c:pt idx="3" c:formatCode="General">
                  <c:v>10000</c:v>
                </c:pt>
                <c:pt idx="4" c:formatCode="General">
                  <c:v>10000</c:v>
                </c:pt>
                <c:pt idx="5" c:formatCode="General">
                  <c:v>10000</c:v>
                </c:pt>
                <c:pt idx="6" c:formatCode="General">
                  <c:v>10000</c:v>
                </c:pt>
                <c:pt idx="7" c:formatCode="General">
                  <c:v>10000</c:v>
                </c:pt>
                <c:pt idx="8" c:formatCode="General">
                  <c:v>9999.99999999999</c:v>
                </c:pt>
                <c:pt idx="9" c:formatCode="General">
                  <c:v>10000</c:v>
                </c:pt>
                <c:pt idx="10" c:formatCode="General">
                  <c:v>10000</c:v>
                </c:pt>
                <c:pt idx="11" c:formatCode="General">
                  <c:v>10000</c:v>
                </c:pt>
                <c:pt idx="12" c:formatCode="General">
                  <c:v>20000</c:v>
                </c:pt>
                <c:pt idx="13" c:formatCode="General">
                  <c:v>20000</c:v>
                </c:pt>
                <c:pt idx="14" c:formatCode="General">
                  <c:v>20000</c:v>
                </c:pt>
                <c:pt idx="15" c:formatCode="General">
                  <c:v>20000</c:v>
                </c:pt>
                <c:pt idx="16" c:formatCode="General">
                  <c:v>30000</c:v>
                </c:pt>
                <c:pt idx="17" c:formatCode="General">
                  <c:v>30000</c:v>
                </c:pt>
                <c:pt idx="18" c:formatCode="General">
                  <c:v>30000</c:v>
                </c:pt>
                <c:pt idx="19" c:formatCode="General">
                  <c:v>30000</c:v>
                </c:pt>
                <c:pt idx="20" c:formatCode="General">
                  <c:v>40000</c:v>
                </c:pt>
                <c:pt idx="21" c:formatCode="General">
                  <c:v>40000</c:v>
                </c:pt>
                <c:pt idx="22" c:formatCode="General">
                  <c:v>40000</c:v>
                </c:pt>
                <c:pt idx="23" c:formatCode="General">
                  <c:v>40000</c:v>
                </c:pt>
                <c:pt idx="24" c:formatCode="General">
                  <c:v>50000</c:v>
                </c:pt>
                <c:pt idx="25" c:formatCode="General">
                  <c:v>50000</c:v>
                </c:pt>
                <c:pt idx="26" c:formatCode="General">
                  <c:v>50000</c:v>
                </c:pt>
                <c:pt idx="27" c:formatCode="General">
                  <c:v>50000</c:v>
                </c:pt>
                <c:pt idx="28" c:formatCode="General">
                  <c:v>50000</c:v>
                </c:pt>
                <c:pt idx="29" c:formatCode="General">
                  <c:v>60000</c:v>
                </c:pt>
                <c:pt idx="30" c:formatCode="General">
                  <c:v>60000</c:v>
                </c:pt>
                <c:pt idx="31" c:formatCode="General">
                  <c:v>60000</c:v>
                </c:pt>
                <c:pt idx="32" c:formatCode="General">
                  <c:v>60000</c:v>
                </c:pt>
                <c:pt idx="33" c:formatCode="General">
                  <c:v>60000</c:v>
                </c:pt>
                <c:pt idx="34" c:formatCode="General">
                  <c:v>60000</c:v>
                </c:pt>
                <c:pt idx="35" c:formatCode="General">
                  <c:v>70000</c:v>
                </c:pt>
                <c:pt idx="36" c:formatCode="General">
                  <c:v>70000</c:v>
                </c:pt>
                <c:pt idx="37" c:formatCode="General">
                  <c:v>70000</c:v>
                </c:pt>
                <c:pt idx="38" c:formatCode="General">
                  <c:v>70000</c:v>
                </c:pt>
                <c:pt idx="39" c:formatCode="General">
                  <c:v>70000</c:v>
                </c:pt>
                <c:pt idx="40" c:formatCode="General">
                  <c:v>70000</c:v>
                </c:pt>
                <c:pt idx="41" c:formatCode="General">
                  <c:v>70000</c:v>
                </c:pt>
                <c:pt idx="42" c:formatCode="General">
                  <c:v>70000</c:v>
                </c:pt>
                <c:pt idx="43" c:formatCode="General">
                  <c:v>70000</c:v>
                </c:pt>
                <c:pt idx="44" c:formatCode="General">
                  <c:v>70000</c:v>
                </c:pt>
                <c:pt idx="45" c:formatCode="General">
                  <c:v>80000</c:v>
                </c:pt>
                <c:pt idx="46" c:formatCode="General">
                  <c:v>80000</c:v>
                </c:pt>
                <c:pt idx="47" c:formatCode="General">
                  <c:v>80000</c:v>
                </c:pt>
                <c:pt idx="48" c:formatCode="General">
                  <c:v>80000</c:v>
                </c:pt>
                <c:pt idx="49" c:formatCode="General">
                  <c:v>80000</c:v>
                </c:pt>
                <c:pt idx="50" c:formatCode="General">
                  <c:v>80000</c:v>
                </c:pt>
                <c:pt idx="51" c:formatCode="General">
                  <c:v>90000</c:v>
                </c:pt>
                <c:pt idx="52" c:formatCode="General">
                  <c:v>90000</c:v>
                </c:pt>
                <c:pt idx="53" c:formatCode="General">
                  <c:v>90000</c:v>
                </c:pt>
                <c:pt idx="54" c:formatCode="General">
                  <c:v>90000</c:v>
                </c:pt>
                <c:pt idx="55" c:formatCode="General">
                  <c:v>90000</c:v>
                </c:pt>
                <c:pt idx="56" c:formatCode="General">
                  <c:v>90000</c:v>
                </c:pt>
                <c:pt idx="57" c:formatCode="General">
                  <c:v>100000</c:v>
                </c:pt>
                <c:pt idx="58" c:formatCode="General">
                  <c:v>100000</c:v>
                </c:pt>
                <c:pt idx="59" c:formatCode="General">
                  <c:v>100000</c:v>
                </c:pt>
                <c:pt idx="60" c:formatCode="General">
                  <c:v>100000</c:v>
                </c:pt>
                <c:pt idx="61" c:formatCode="General">
                  <c:v>100000</c:v>
                </c:pt>
                <c:pt idx="62" c:formatCode="General">
                  <c:v>100000</c:v>
                </c:pt>
                <c:pt idx="63" c:formatCode="General">
                  <c:v>100000</c:v>
                </c:pt>
                <c:pt idx="64" c:formatCode="General">
                  <c:v>110000</c:v>
                </c:pt>
                <c:pt idx="65" c:formatCode="General">
                  <c:v>110000</c:v>
                </c:pt>
                <c:pt idx="66" c:formatCode="General">
                  <c:v>110000</c:v>
                </c:pt>
                <c:pt idx="67" c:formatCode="General">
                  <c:v>120000</c:v>
                </c:pt>
                <c:pt idx="68" c:formatCode="General">
                  <c:v>120000</c:v>
                </c:pt>
                <c:pt idx="69" c:formatCode="General">
                  <c:v>120000</c:v>
                </c:pt>
                <c:pt idx="70" c:formatCode="General">
                  <c:v>120000</c:v>
                </c:pt>
                <c:pt idx="71" c:formatCode="General">
                  <c:v>130000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1578168688"/>
        <c:axId val="1578172016"/>
      </c:lineChart>
      <c:catAx>
        <c:axId val="157816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78172016"/>
        <c:crosses val="autoZero"/>
        <c:auto val="1"/>
        <c:lblAlgn val="ctr"/>
        <c:lblOffset val="100"/>
        <c:noMultiLvlLbl val="0"/>
      </c:catAx>
      <c:valAx>
        <c:axId val="157817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78168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x-none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zh-CN"/>
              <a:t>弹药</a:t>
            </a:r>
            <a:r>
              <a:rPr lang="zh-CN" altLang="zh-CN" sz="1600" b="1" i="0" u="none" strike="noStrike" baseline="0">
                <a:effectLst/>
              </a:rPr>
              <a:t>在各系统中日产出曲线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控制台!$AD$864</c:f>
              <c:strCache>
                <c:ptCount val="1"/>
                <c:pt idx="0">
                  <c:v>挂机弹药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控制台!$B$865:$B$936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控制台!$AD$865:$AD$936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336</c:v>
                </c:pt>
                <c:pt idx="3" c:formatCode="General">
                  <c:v>336</c:v>
                </c:pt>
                <c:pt idx="4" c:formatCode="General">
                  <c:v>384</c:v>
                </c:pt>
                <c:pt idx="5" c:formatCode="General">
                  <c:v>384</c:v>
                </c:pt>
                <c:pt idx="6" c:formatCode="General">
                  <c:v>480</c:v>
                </c:pt>
                <c:pt idx="7" c:formatCode="General">
                  <c:v>480</c:v>
                </c:pt>
                <c:pt idx="8" c:formatCode="General">
                  <c:v>528</c:v>
                </c:pt>
                <c:pt idx="9" c:formatCode="General">
                  <c:v>528</c:v>
                </c:pt>
                <c:pt idx="10" c:formatCode="General">
                  <c:v>576</c:v>
                </c:pt>
                <c:pt idx="11" c:formatCode="General">
                  <c:v>624</c:v>
                </c:pt>
                <c:pt idx="12" c:formatCode="General">
                  <c:v>624</c:v>
                </c:pt>
                <c:pt idx="13" c:formatCode="General">
                  <c:v>672</c:v>
                </c:pt>
                <c:pt idx="14" c:formatCode="General">
                  <c:v>720</c:v>
                </c:pt>
                <c:pt idx="15" c:formatCode="General">
                  <c:v>768</c:v>
                </c:pt>
                <c:pt idx="16" c:formatCode="General">
                  <c:v>768</c:v>
                </c:pt>
                <c:pt idx="17" c:formatCode="General">
                  <c:v>816</c:v>
                </c:pt>
                <c:pt idx="18" c:formatCode="General">
                  <c:v>864</c:v>
                </c:pt>
                <c:pt idx="19" c:formatCode="General">
                  <c:v>864</c:v>
                </c:pt>
                <c:pt idx="20" c:formatCode="General">
                  <c:v>912</c:v>
                </c:pt>
                <c:pt idx="21" c:formatCode="General">
                  <c:v>912</c:v>
                </c:pt>
                <c:pt idx="22" c:formatCode="General">
                  <c:v>960</c:v>
                </c:pt>
                <c:pt idx="23" c:formatCode="General">
                  <c:v>960</c:v>
                </c:pt>
                <c:pt idx="24" c:formatCode="General">
                  <c:v>1008</c:v>
                </c:pt>
                <c:pt idx="25" c:formatCode="General">
                  <c:v>1056</c:v>
                </c:pt>
                <c:pt idx="26" c:formatCode="General">
                  <c:v>1104</c:v>
                </c:pt>
                <c:pt idx="27" c:formatCode="General">
                  <c:v>1104</c:v>
                </c:pt>
                <c:pt idx="28" c:formatCode="General">
                  <c:v>1200</c:v>
                </c:pt>
                <c:pt idx="29" c:formatCode="General">
                  <c:v>1200</c:v>
                </c:pt>
                <c:pt idx="30" c:formatCode="General">
                  <c:v>1248</c:v>
                </c:pt>
                <c:pt idx="31" c:formatCode="General">
                  <c:v>1248</c:v>
                </c:pt>
                <c:pt idx="32" c:formatCode="General">
                  <c:v>1296</c:v>
                </c:pt>
                <c:pt idx="33" c:formatCode="General">
                  <c:v>1344</c:v>
                </c:pt>
                <c:pt idx="34" c:formatCode="General">
                  <c:v>1344</c:v>
                </c:pt>
                <c:pt idx="35" c:formatCode="General">
                  <c:v>1392</c:v>
                </c:pt>
                <c:pt idx="36" c:formatCode="General">
                  <c:v>1440</c:v>
                </c:pt>
                <c:pt idx="37" c:formatCode="General">
                  <c:v>1440</c:v>
                </c:pt>
                <c:pt idx="38" c:formatCode="General">
                  <c:v>1488</c:v>
                </c:pt>
                <c:pt idx="39" c:formatCode="General">
                  <c:v>1488</c:v>
                </c:pt>
                <c:pt idx="40" c:formatCode="General">
                  <c:v>1488</c:v>
                </c:pt>
                <c:pt idx="41" c:formatCode="General">
                  <c:v>1536</c:v>
                </c:pt>
                <c:pt idx="42" c:formatCode="General">
                  <c:v>1584</c:v>
                </c:pt>
                <c:pt idx="43" c:formatCode="General">
                  <c:v>1584</c:v>
                </c:pt>
                <c:pt idx="44" c:formatCode="General">
                  <c:v>1632</c:v>
                </c:pt>
                <c:pt idx="45" c:formatCode="General">
                  <c:v>1632</c:v>
                </c:pt>
                <c:pt idx="46" c:formatCode="General">
                  <c:v>1776</c:v>
                </c:pt>
                <c:pt idx="47" c:formatCode="General">
                  <c:v>1872</c:v>
                </c:pt>
                <c:pt idx="48" c:formatCode="General">
                  <c:v>1968</c:v>
                </c:pt>
                <c:pt idx="49" c:formatCode="General">
                  <c:v>2064</c:v>
                </c:pt>
                <c:pt idx="50" c:formatCode="General">
                  <c:v>2160</c:v>
                </c:pt>
                <c:pt idx="51" c:formatCode="General">
                  <c:v>2208</c:v>
                </c:pt>
                <c:pt idx="52" c:formatCode="General">
                  <c:v>2256</c:v>
                </c:pt>
                <c:pt idx="53" c:formatCode="General">
                  <c:v>2304</c:v>
                </c:pt>
                <c:pt idx="54" c:formatCode="General">
                  <c:v>2400</c:v>
                </c:pt>
                <c:pt idx="55" c:formatCode="General">
                  <c:v>2400</c:v>
                </c:pt>
                <c:pt idx="56" c:formatCode="General">
                  <c:v>2400</c:v>
                </c:pt>
                <c:pt idx="57" c:formatCode="General">
                  <c:v>2400</c:v>
                </c:pt>
                <c:pt idx="58" c:formatCode="General">
                  <c:v>2448</c:v>
                </c:pt>
                <c:pt idx="59" c:formatCode="General">
                  <c:v>2448</c:v>
                </c:pt>
                <c:pt idx="60" c:formatCode="General">
                  <c:v>2448</c:v>
                </c:pt>
                <c:pt idx="61" c:formatCode="General">
                  <c:v>2448</c:v>
                </c:pt>
                <c:pt idx="62" c:formatCode="General">
                  <c:v>2496</c:v>
                </c:pt>
                <c:pt idx="63" c:formatCode="General">
                  <c:v>2496</c:v>
                </c:pt>
                <c:pt idx="64" c:formatCode="General">
                  <c:v>2544</c:v>
                </c:pt>
                <c:pt idx="65" c:formatCode="General">
                  <c:v>2640</c:v>
                </c:pt>
                <c:pt idx="66" c:formatCode="General">
                  <c:v>2688</c:v>
                </c:pt>
                <c:pt idx="67" c:formatCode="General">
                  <c:v>2736</c:v>
                </c:pt>
                <c:pt idx="68" c:formatCode="General">
                  <c:v>2784</c:v>
                </c:pt>
                <c:pt idx="69" c:formatCode="General">
                  <c:v>2880</c:v>
                </c:pt>
                <c:pt idx="70" c:formatCode="General">
                  <c:v>2928</c:v>
                </c:pt>
                <c:pt idx="71" c:formatCode="General">
                  <c:v>2976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控制台!$AE$864</c:f>
              <c:strCache>
                <c:ptCount val="1"/>
                <c:pt idx="0">
                  <c:v>营地弹药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控制台!$B$865:$B$936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控制台!$AE$865:$AE$936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0</c:v>
                </c:pt>
                <c:pt idx="3" c:formatCode="General">
                  <c:v>0</c:v>
                </c:pt>
                <c:pt idx="4" c:formatCode="General">
                  <c:v>0</c:v>
                </c:pt>
                <c:pt idx="5" c:formatCode="General">
                  <c:v>0</c:v>
                </c:pt>
                <c:pt idx="6" c:formatCode="General">
                  <c:v>0</c:v>
                </c:pt>
                <c:pt idx="7" c:formatCode="General">
                  <c:v>0</c:v>
                </c:pt>
                <c:pt idx="8" c:formatCode="General">
                  <c:v>0</c:v>
                </c:pt>
                <c:pt idx="9" c:formatCode="General">
                  <c:v>0</c:v>
                </c:pt>
                <c:pt idx="10" c:formatCode="General">
                  <c:v>80</c:v>
                </c:pt>
                <c:pt idx="11" c:formatCode="General">
                  <c:v>80</c:v>
                </c:pt>
                <c:pt idx="12" c:formatCode="General">
                  <c:v>80</c:v>
                </c:pt>
                <c:pt idx="13" c:formatCode="General">
                  <c:v>80</c:v>
                </c:pt>
                <c:pt idx="14" c:formatCode="General">
                  <c:v>80</c:v>
                </c:pt>
                <c:pt idx="15" c:formatCode="General">
                  <c:v>80</c:v>
                </c:pt>
                <c:pt idx="16" c:formatCode="General">
                  <c:v>80</c:v>
                </c:pt>
                <c:pt idx="17" c:formatCode="General">
                  <c:v>80</c:v>
                </c:pt>
                <c:pt idx="18" c:formatCode="General">
                  <c:v>80</c:v>
                </c:pt>
                <c:pt idx="19" c:formatCode="General">
                  <c:v>80</c:v>
                </c:pt>
                <c:pt idx="20" c:formatCode="General">
                  <c:v>100</c:v>
                </c:pt>
                <c:pt idx="21" c:formatCode="General">
                  <c:v>100</c:v>
                </c:pt>
                <c:pt idx="22" c:formatCode="General">
                  <c:v>100</c:v>
                </c:pt>
                <c:pt idx="23" c:formatCode="General">
                  <c:v>100</c:v>
                </c:pt>
                <c:pt idx="24" c:formatCode="General">
                  <c:v>100</c:v>
                </c:pt>
                <c:pt idx="25" c:formatCode="General">
                  <c:v>100</c:v>
                </c:pt>
                <c:pt idx="26" c:formatCode="General">
                  <c:v>100</c:v>
                </c:pt>
                <c:pt idx="27" c:formatCode="General">
                  <c:v>100</c:v>
                </c:pt>
                <c:pt idx="28" c:formatCode="General">
                  <c:v>130</c:v>
                </c:pt>
                <c:pt idx="29" c:formatCode="General">
                  <c:v>130</c:v>
                </c:pt>
                <c:pt idx="30" c:formatCode="General">
                  <c:v>130</c:v>
                </c:pt>
                <c:pt idx="31" c:formatCode="General">
                  <c:v>130</c:v>
                </c:pt>
                <c:pt idx="32" c:formatCode="General">
                  <c:v>130</c:v>
                </c:pt>
                <c:pt idx="33" c:formatCode="General">
                  <c:v>130</c:v>
                </c:pt>
                <c:pt idx="34" c:formatCode="General">
                  <c:v>130</c:v>
                </c:pt>
                <c:pt idx="35" c:formatCode="General">
                  <c:v>130</c:v>
                </c:pt>
                <c:pt idx="36" c:formatCode="General">
                  <c:v>130</c:v>
                </c:pt>
                <c:pt idx="37" c:formatCode="General">
                  <c:v>130</c:v>
                </c:pt>
                <c:pt idx="38" c:formatCode="General">
                  <c:v>130</c:v>
                </c:pt>
                <c:pt idx="39" c:formatCode="General">
                  <c:v>130</c:v>
                </c:pt>
                <c:pt idx="40" c:formatCode="General">
                  <c:v>130</c:v>
                </c:pt>
                <c:pt idx="41" c:formatCode="General">
                  <c:v>130</c:v>
                </c:pt>
                <c:pt idx="42" c:formatCode="General">
                  <c:v>130</c:v>
                </c:pt>
                <c:pt idx="43" c:formatCode="General">
                  <c:v>130</c:v>
                </c:pt>
                <c:pt idx="44" c:formatCode="General">
                  <c:v>130</c:v>
                </c:pt>
                <c:pt idx="45" c:formatCode="General">
                  <c:v>130</c:v>
                </c:pt>
                <c:pt idx="46" c:formatCode="General">
                  <c:v>165</c:v>
                </c:pt>
                <c:pt idx="47" c:formatCode="General">
                  <c:v>165</c:v>
                </c:pt>
                <c:pt idx="48" c:formatCode="General">
                  <c:v>200</c:v>
                </c:pt>
                <c:pt idx="49" c:formatCode="General">
                  <c:v>200</c:v>
                </c:pt>
                <c:pt idx="50" c:formatCode="General">
                  <c:v>215</c:v>
                </c:pt>
                <c:pt idx="51" c:formatCode="General">
                  <c:v>215</c:v>
                </c:pt>
                <c:pt idx="52" c:formatCode="General">
                  <c:v>230</c:v>
                </c:pt>
                <c:pt idx="53" c:formatCode="General">
                  <c:v>230</c:v>
                </c:pt>
                <c:pt idx="54" c:formatCode="General">
                  <c:v>250</c:v>
                </c:pt>
                <c:pt idx="55" c:formatCode="General">
                  <c:v>250</c:v>
                </c:pt>
                <c:pt idx="56" c:formatCode="General">
                  <c:v>265</c:v>
                </c:pt>
                <c:pt idx="57" c:formatCode="General">
                  <c:v>265</c:v>
                </c:pt>
                <c:pt idx="58" c:formatCode="General">
                  <c:v>265</c:v>
                </c:pt>
                <c:pt idx="59" c:formatCode="General">
                  <c:v>265</c:v>
                </c:pt>
                <c:pt idx="60" c:formatCode="General">
                  <c:v>265</c:v>
                </c:pt>
                <c:pt idx="61" c:formatCode="General">
                  <c:v>265</c:v>
                </c:pt>
                <c:pt idx="62" c:formatCode="General">
                  <c:v>265</c:v>
                </c:pt>
                <c:pt idx="63" c:formatCode="General">
                  <c:v>265</c:v>
                </c:pt>
                <c:pt idx="64" c:formatCode="General">
                  <c:v>330</c:v>
                </c:pt>
                <c:pt idx="65" c:formatCode="General">
                  <c:v>330</c:v>
                </c:pt>
                <c:pt idx="66" c:formatCode="General">
                  <c:v>330</c:v>
                </c:pt>
                <c:pt idx="67" c:formatCode="General">
                  <c:v>330</c:v>
                </c:pt>
                <c:pt idx="68" c:formatCode="General">
                  <c:v>330</c:v>
                </c:pt>
                <c:pt idx="69" c:formatCode="General">
                  <c:v>330</c:v>
                </c:pt>
                <c:pt idx="70" c:formatCode="General">
                  <c:v>330</c:v>
                </c:pt>
                <c:pt idx="71" c:formatCode="General">
                  <c:v>330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控制台!$AF$864</c:f>
              <c:strCache>
                <c:ptCount val="1"/>
                <c:pt idx="0">
                  <c:v>黑市弹药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控制台!$B$865:$B$936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控制台!$AF$865:$AF$936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20</c:v>
                </c:pt>
                <c:pt idx="2" c:formatCode="General">
                  <c:v>20</c:v>
                </c:pt>
                <c:pt idx="3" c:formatCode="General">
                  <c:v>20</c:v>
                </c:pt>
                <c:pt idx="4" c:formatCode="General">
                  <c:v>20</c:v>
                </c:pt>
                <c:pt idx="5" c:formatCode="General">
                  <c:v>20</c:v>
                </c:pt>
                <c:pt idx="6" c:formatCode="General">
                  <c:v>20</c:v>
                </c:pt>
                <c:pt idx="7" c:formatCode="General">
                  <c:v>20</c:v>
                </c:pt>
                <c:pt idx="8" c:formatCode="General">
                  <c:v>20</c:v>
                </c:pt>
                <c:pt idx="9" c:formatCode="General">
                  <c:v>20</c:v>
                </c:pt>
                <c:pt idx="10" c:formatCode="General">
                  <c:v>20</c:v>
                </c:pt>
                <c:pt idx="11" c:formatCode="General">
                  <c:v>20</c:v>
                </c:pt>
                <c:pt idx="12" c:formatCode="General">
                  <c:v>20</c:v>
                </c:pt>
                <c:pt idx="13" c:formatCode="General">
                  <c:v>20</c:v>
                </c:pt>
                <c:pt idx="14" c:formatCode="General">
                  <c:v>20</c:v>
                </c:pt>
                <c:pt idx="15" c:formatCode="General">
                  <c:v>20</c:v>
                </c:pt>
                <c:pt idx="16" c:formatCode="General">
                  <c:v>20</c:v>
                </c:pt>
                <c:pt idx="17" c:formatCode="General">
                  <c:v>20</c:v>
                </c:pt>
                <c:pt idx="18" c:formatCode="General">
                  <c:v>20</c:v>
                </c:pt>
                <c:pt idx="19" c:formatCode="General">
                  <c:v>20</c:v>
                </c:pt>
                <c:pt idx="20" c:formatCode="General">
                  <c:v>20</c:v>
                </c:pt>
                <c:pt idx="21" c:formatCode="General">
                  <c:v>20</c:v>
                </c:pt>
                <c:pt idx="22" c:formatCode="General">
                  <c:v>20</c:v>
                </c:pt>
                <c:pt idx="23" c:formatCode="General">
                  <c:v>40</c:v>
                </c:pt>
                <c:pt idx="24" c:formatCode="General">
                  <c:v>40</c:v>
                </c:pt>
                <c:pt idx="25" c:formatCode="General">
                  <c:v>40</c:v>
                </c:pt>
                <c:pt idx="26" c:formatCode="General">
                  <c:v>40</c:v>
                </c:pt>
                <c:pt idx="27" c:formatCode="General">
                  <c:v>40</c:v>
                </c:pt>
                <c:pt idx="28" c:formatCode="General">
                  <c:v>40</c:v>
                </c:pt>
                <c:pt idx="29" c:formatCode="General">
                  <c:v>40</c:v>
                </c:pt>
                <c:pt idx="30" c:formatCode="General">
                  <c:v>80</c:v>
                </c:pt>
                <c:pt idx="31" c:formatCode="General">
                  <c:v>80</c:v>
                </c:pt>
                <c:pt idx="32" c:formatCode="General">
                  <c:v>80</c:v>
                </c:pt>
                <c:pt idx="33" c:formatCode="General">
                  <c:v>80</c:v>
                </c:pt>
                <c:pt idx="34" c:formatCode="General">
                  <c:v>80</c:v>
                </c:pt>
                <c:pt idx="35" c:formatCode="General">
                  <c:v>80</c:v>
                </c:pt>
                <c:pt idx="36" c:formatCode="General">
                  <c:v>80</c:v>
                </c:pt>
                <c:pt idx="37" c:formatCode="General">
                  <c:v>80</c:v>
                </c:pt>
                <c:pt idx="38" c:formatCode="General">
                  <c:v>80</c:v>
                </c:pt>
                <c:pt idx="39" c:formatCode="General">
                  <c:v>80</c:v>
                </c:pt>
                <c:pt idx="40" c:formatCode="General">
                  <c:v>80</c:v>
                </c:pt>
                <c:pt idx="41" c:formatCode="General">
                  <c:v>80</c:v>
                </c:pt>
                <c:pt idx="42" c:formatCode="General">
                  <c:v>80</c:v>
                </c:pt>
                <c:pt idx="43" c:formatCode="General">
                  <c:v>80</c:v>
                </c:pt>
                <c:pt idx="44" c:formatCode="General">
                  <c:v>80</c:v>
                </c:pt>
                <c:pt idx="45" c:formatCode="General">
                  <c:v>80</c:v>
                </c:pt>
                <c:pt idx="46" c:formatCode="General">
                  <c:v>120</c:v>
                </c:pt>
                <c:pt idx="47" c:formatCode="General">
                  <c:v>120</c:v>
                </c:pt>
                <c:pt idx="48" c:formatCode="General">
                  <c:v>120</c:v>
                </c:pt>
                <c:pt idx="49" c:formatCode="General">
                  <c:v>120</c:v>
                </c:pt>
                <c:pt idx="50" c:formatCode="General">
                  <c:v>120</c:v>
                </c:pt>
                <c:pt idx="51" c:formatCode="General">
                  <c:v>120</c:v>
                </c:pt>
                <c:pt idx="52" c:formatCode="General">
                  <c:v>160</c:v>
                </c:pt>
                <c:pt idx="53" c:formatCode="General">
                  <c:v>160</c:v>
                </c:pt>
                <c:pt idx="54" c:formatCode="General">
                  <c:v>160</c:v>
                </c:pt>
                <c:pt idx="55" c:formatCode="General">
                  <c:v>160</c:v>
                </c:pt>
                <c:pt idx="56" c:formatCode="General">
                  <c:v>160</c:v>
                </c:pt>
                <c:pt idx="57" c:formatCode="General">
                  <c:v>160</c:v>
                </c:pt>
                <c:pt idx="58" c:formatCode="General">
                  <c:v>160</c:v>
                </c:pt>
                <c:pt idx="59" c:formatCode="General">
                  <c:v>160</c:v>
                </c:pt>
                <c:pt idx="60" c:formatCode="General">
                  <c:v>160</c:v>
                </c:pt>
                <c:pt idx="61" c:formatCode="General">
                  <c:v>160</c:v>
                </c:pt>
                <c:pt idx="62" c:formatCode="General">
                  <c:v>160</c:v>
                </c:pt>
                <c:pt idx="63" c:formatCode="General">
                  <c:v>160</c:v>
                </c:pt>
                <c:pt idx="64" c:formatCode="General">
                  <c:v>200</c:v>
                </c:pt>
                <c:pt idx="65" c:formatCode="General">
                  <c:v>200</c:v>
                </c:pt>
                <c:pt idx="66" c:formatCode="General">
                  <c:v>200</c:v>
                </c:pt>
                <c:pt idx="67" c:formatCode="General">
                  <c:v>200</c:v>
                </c:pt>
                <c:pt idx="68" c:formatCode="General">
                  <c:v>200</c:v>
                </c:pt>
                <c:pt idx="69" c:formatCode="General">
                  <c:v>200</c:v>
                </c:pt>
                <c:pt idx="70" c:formatCode="General">
                  <c:v>200</c:v>
                </c:pt>
                <c:pt idx="71" c:formatCode="General">
                  <c:v>200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控制台!$AG$864</c:f>
              <c:strCache>
                <c:ptCount val="1"/>
                <c:pt idx="0">
                  <c:v>活动弹药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控制台!$B$865:$B$936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控制台!$AG$865:$AG$936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0</c:v>
                </c:pt>
                <c:pt idx="3" c:formatCode="General">
                  <c:v>0</c:v>
                </c:pt>
                <c:pt idx="4" c:formatCode="General">
                  <c:v>0</c:v>
                </c:pt>
                <c:pt idx="5" c:formatCode="General">
                  <c:v>0</c:v>
                </c:pt>
                <c:pt idx="6" c:formatCode="General">
                  <c:v>0</c:v>
                </c:pt>
                <c:pt idx="7" c:formatCode="General">
                  <c:v>0</c:v>
                </c:pt>
                <c:pt idx="8" c:formatCode="General">
                  <c:v>0</c:v>
                </c:pt>
                <c:pt idx="9" c:formatCode="General">
                  <c:v>0</c:v>
                </c:pt>
                <c:pt idx="10" c:formatCode="General">
                  <c:v>0</c:v>
                </c:pt>
                <c:pt idx="11" c:formatCode="General">
                  <c:v>0</c:v>
                </c:pt>
                <c:pt idx="12" c:formatCode="General">
                  <c:v>0</c:v>
                </c:pt>
                <c:pt idx="13" c:formatCode="General">
                  <c:v>0</c:v>
                </c:pt>
                <c:pt idx="14" c:formatCode="General">
                  <c:v>0</c:v>
                </c:pt>
                <c:pt idx="15" c:formatCode="General">
                  <c:v>0</c:v>
                </c:pt>
                <c:pt idx="16" c:formatCode="General">
                  <c:v>0</c:v>
                </c:pt>
                <c:pt idx="17" c:formatCode="General">
                  <c:v>0</c:v>
                </c:pt>
                <c:pt idx="18" c:formatCode="General">
                  <c:v>0</c:v>
                </c:pt>
                <c:pt idx="19" c:formatCode="General">
                  <c:v>0</c:v>
                </c:pt>
                <c:pt idx="20" c:formatCode="General">
                  <c:v>0</c:v>
                </c:pt>
                <c:pt idx="21" c:formatCode="General">
                  <c:v>0</c:v>
                </c:pt>
                <c:pt idx="22" c:formatCode="General">
                  <c:v>0</c:v>
                </c:pt>
                <c:pt idx="23" c:formatCode="General">
                  <c:v>266.666666666666</c:v>
                </c:pt>
                <c:pt idx="24" c:formatCode="General">
                  <c:v>266.666666666666</c:v>
                </c:pt>
                <c:pt idx="25" c:formatCode="General">
                  <c:v>266.666666666666</c:v>
                </c:pt>
                <c:pt idx="26" c:formatCode="General">
                  <c:v>266.666666666666</c:v>
                </c:pt>
                <c:pt idx="27" c:formatCode="General">
                  <c:v>266.666666666666</c:v>
                </c:pt>
                <c:pt idx="28" c:formatCode="General">
                  <c:v>266.666666666666</c:v>
                </c:pt>
                <c:pt idx="29" c:formatCode="General">
                  <c:v>266.666666666666</c:v>
                </c:pt>
                <c:pt idx="30" c:formatCode="General">
                  <c:v>533.333333333332</c:v>
                </c:pt>
                <c:pt idx="31" c:formatCode="General">
                  <c:v>533.333333333332</c:v>
                </c:pt>
                <c:pt idx="32" c:formatCode="General">
                  <c:v>533.333333333332</c:v>
                </c:pt>
                <c:pt idx="33" c:formatCode="General">
                  <c:v>533.333333333332</c:v>
                </c:pt>
                <c:pt idx="34" c:formatCode="General">
                  <c:v>533.333333333332</c:v>
                </c:pt>
                <c:pt idx="35" c:formatCode="General">
                  <c:v>533.333333333332</c:v>
                </c:pt>
                <c:pt idx="36" c:formatCode="General">
                  <c:v>533.333333333332</c:v>
                </c:pt>
                <c:pt idx="37" c:formatCode="General">
                  <c:v>533.333333333332</c:v>
                </c:pt>
                <c:pt idx="38" c:formatCode="General">
                  <c:v>533.333333333332</c:v>
                </c:pt>
                <c:pt idx="39" c:formatCode="General">
                  <c:v>533.333333333332</c:v>
                </c:pt>
                <c:pt idx="40" c:formatCode="General">
                  <c:v>533.333333333332</c:v>
                </c:pt>
                <c:pt idx="41" c:formatCode="General">
                  <c:v>533.333333333331</c:v>
                </c:pt>
                <c:pt idx="42" c:formatCode="General">
                  <c:v>533.333333333332</c:v>
                </c:pt>
                <c:pt idx="43" c:formatCode="General">
                  <c:v>533.333333333332</c:v>
                </c:pt>
                <c:pt idx="44" c:formatCode="General">
                  <c:v>533.333333333332</c:v>
                </c:pt>
                <c:pt idx="45" c:formatCode="General">
                  <c:v>533.333333333332</c:v>
                </c:pt>
                <c:pt idx="46" c:formatCode="General">
                  <c:v>799.999999999998</c:v>
                </c:pt>
                <c:pt idx="47" c:formatCode="General">
                  <c:v>799.999999999998</c:v>
                </c:pt>
                <c:pt idx="48" c:formatCode="General">
                  <c:v>799.999999999998</c:v>
                </c:pt>
                <c:pt idx="49" c:formatCode="General">
                  <c:v>799.999999999998</c:v>
                </c:pt>
                <c:pt idx="50" c:formatCode="General">
                  <c:v>799.999999999998</c:v>
                </c:pt>
                <c:pt idx="51" c:formatCode="General">
                  <c:v>799.999999999998</c:v>
                </c:pt>
                <c:pt idx="52" c:formatCode="General">
                  <c:v>1066.66666666666</c:v>
                </c:pt>
                <c:pt idx="53" c:formatCode="General">
                  <c:v>1066.66666666666</c:v>
                </c:pt>
                <c:pt idx="54" c:formatCode="General">
                  <c:v>1066.66666666666</c:v>
                </c:pt>
                <c:pt idx="55" c:formatCode="General">
                  <c:v>1066.66666666666</c:v>
                </c:pt>
                <c:pt idx="56" c:formatCode="General">
                  <c:v>1066.66666666666</c:v>
                </c:pt>
                <c:pt idx="57" c:formatCode="General">
                  <c:v>1066.66666666666</c:v>
                </c:pt>
                <c:pt idx="58" c:formatCode="General">
                  <c:v>1066.66666666666</c:v>
                </c:pt>
                <c:pt idx="59" c:formatCode="General">
                  <c:v>1066.66666666666</c:v>
                </c:pt>
                <c:pt idx="60" c:formatCode="General">
                  <c:v>1066.66666666666</c:v>
                </c:pt>
                <c:pt idx="61" c:formatCode="General">
                  <c:v>1066.66666666666</c:v>
                </c:pt>
                <c:pt idx="62" c:formatCode="General">
                  <c:v>1066.66666666666</c:v>
                </c:pt>
                <c:pt idx="63" c:formatCode="General">
                  <c:v>1066.66666666666</c:v>
                </c:pt>
                <c:pt idx="64" c:formatCode="General">
                  <c:v>1333.33333333333</c:v>
                </c:pt>
                <c:pt idx="65" c:formatCode="General">
                  <c:v>1333.33333333333</c:v>
                </c:pt>
                <c:pt idx="66" c:formatCode="General">
                  <c:v>1333.33333333333</c:v>
                </c:pt>
                <c:pt idx="67" c:formatCode="General">
                  <c:v>1333.33333333333</c:v>
                </c:pt>
                <c:pt idx="68" c:formatCode="General">
                  <c:v>1333.33333333333</c:v>
                </c:pt>
                <c:pt idx="69" c:formatCode="General">
                  <c:v>1333.33333333333</c:v>
                </c:pt>
                <c:pt idx="70" c:formatCode="General">
                  <c:v>1333.33333333333</c:v>
                </c:pt>
                <c:pt idx="71" c:formatCode="General">
                  <c:v>1333.33333333333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控制台!$AH$864</c:f>
              <c:strCache>
                <c:ptCount val="1"/>
                <c:pt idx="0">
                  <c:v>VIP商弹药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控制台!$B$865:$B$936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控制台!$AH$865:$AH$936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0</c:v>
                </c:pt>
                <c:pt idx="3" c:formatCode="General">
                  <c:v>0</c:v>
                </c:pt>
                <c:pt idx="4" c:formatCode="General">
                  <c:v>0</c:v>
                </c:pt>
                <c:pt idx="5" c:formatCode="General">
                  <c:v>0</c:v>
                </c:pt>
                <c:pt idx="6" c:formatCode="General">
                  <c:v>0</c:v>
                </c:pt>
                <c:pt idx="7" c:formatCode="General">
                  <c:v>0</c:v>
                </c:pt>
                <c:pt idx="8" c:formatCode="General">
                  <c:v>0</c:v>
                </c:pt>
                <c:pt idx="9" c:formatCode="General">
                  <c:v>0</c:v>
                </c:pt>
                <c:pt idx="10" c:formatCode="General">
                  <c:v>0</c:v>
                </c:pt>
                <c:pt idx="11" c:formatCode="General">
                  <c:v>0</c:v>
                </c:pt>
                <c:pt idx="12" c:formatCode="General">
                  <c:v>0</c:v>
                </c:pt>
                <c:pt idx="13" c:formatCode="General">
                  <c:v>0</c:v>
                </c:pt>
                <c:pt idx="14" c:formatCode="General">
                  <c:v>0</c:v>
                </c:pt>
                <c:pt idx="15" c:formatCode="General">
                  <c:v>0</c:v>
                </c:pt>
                <c:pt idx="16" c:formatCode="General">
                  <c:v>0</c:v>
                </c:pt>
                <c:pt idx="17" c:formatCode="General">
                  <c:v>0</c:v>
                </c:pt>
                <c:pt idx="18" c:formatCode="General">
                  <c:v>0</c:v>
                </c:pt>
                <c:pt idx="19" c:formatCode="General">
                  <c:v>0</c:v>
                </c:pt>
                <c:pt idx="20" c:formatCode="General">
                  <c:v>0</c:v>
                </c:pt>
                <c:pt idx="21" c:formatCode="General">
                  <c:v>0</c:v>
                </c:pt>
                <c:pt idx="22" c:formatCode="General">
                  <c:v>0</c:v>
                </c:pt>
                <c:pt idx="23" c:formatCode="General">
                  <c:v>0</c:v>
                </c:pt>
                <c:pt idx="24" c:formatCode="General">
                  <c:v>0</c:v>
                </c:pt>
                <c:pt idx="25" c:formatCode="General">
                  <c:v>0</c:v>
                </c:pt>
                <c:pt idx="26" c:formatCode="General">
                  <c:v>0</c:v>
                </c:pt>
                <c:pt idx="27" c:formatCode="General">
                  <c:v>0</c:v>
                </c:pt>
                <c:pt idx="28" c:formatCode="General">
                  <c:v>0</c:v>
                </c:pt>
                <c:pt idx="29" c:formatCode="General">
                  <c:v>142.857142857143</c:v>
                </c:pt>
                <c:pt idx="30" c:formatCode="General">
                  <c:v>142.857142857143</c:v>
                </c:pt>
                <c:pt idx="31" c:formatCode="General">
                  <c:v>142.857142857143</c:v>
                </c:pt>
                <c:pt idx="32" c:formatCode="General">
                  <c:v>142.857142857143</c:v>
                </c:pt>
                <c:pt idx="33" c:formatCode="General">
                  <c:v>142.857142857143</c:v>
                </c:pt>
                <c:pt idx="34" c:formatCode="General">
                  <c:v>142.857142857143</c:v>
                </c:pt>
                <c:pt idx="35" c:formatCode="General">
                  <c:v>142.857142857143</c:v>
                </c:pt>
                <c:pt idx="36" c:formatCode="General">
                  <c:v>142.857142857143</c:v>
                </c:pt>
                <c:pt idx="37" c:formatCode="General">
                  <c:v>142.857142857143</c:v>
                </c:pt>
                <c:pt idx="38" c:formatCode="General">
                  <c:v>142.857142857143</c:v>
                </c:pt>
                <c:pt idx="39" c:formatCode="General">
                  <c:v>142.857142857143</c:v>
                </c:pt>
                <c:pt idx="40" c:formatCode="General">
                  <c:v>142.857142857143</c:v>
                </c:pt>
                <c:pt idx="41" c:formatCode="General">
                  <c:v>142.857142857143</c:v>
                </c:pt>
                <c:pt idx="42" c:formatCode="General">
                  <c:v>142.857142857143</c:v>
                </c:pt>
                <c:pt idx="43" c:formatCode="General">
                  <c:v>142.857142857143</c:v>
                </c:pt>
                <c:pt idx="44" c:formatCode="General">
                  <c:v>142.857142857143</c:v>
                </c:pt>
                <c:pt idx="45" c:formatCode="General">
                  <c:v>142.857142857143</c:v>
                </c:pt>
                <c:pt idx="46" c:formatCode="General">
                  <c:v>142.857142857143</c:v>
                </c:pt>
                <c:pt idx="47" c:formatCode="General">
                  <c:v>142.857142857143</c:v>
                </c:pt>
                <c:pt idx="48" c:formatCode="General">
                  <c:v>142.857142857143</c:v>
                </c:pt>
                <c:pt idx="49" c:formatCode="General">
                  <c:v>142.857142857143</c:v>
                </c:pt>
                <c:pt idx="50" c:formatCode="General">
                  <c:v>142.857142857143</c:v>
                </c:pt>
                <c:pt idx="51" c:formatCode="General">
                  <c:v>142.857142857143</c:v>
                </c:pt>
                <c:pt idx="52" c:formatCode="General">
                  <c:v>142.857142857143</c:v>
                </c:pt>
                <c:pt idx="53" c:formatCode="General">
                  <c:v>142.857142857143</c:v>
                </c:pt>
                <c:pt idx="54" c:formatCode="General">
                  <c:v>142.857142857143</c:v>
                </c:pt>
                <c:pt idx="55" c:formatCode="General">
                  <c:v>142.857142857143</c:v>
                </c:pt>
                <c:pt idx="56" c:formatCode="General">
                  <c:v>142.857142857143</c:v>
                </c:pt>
                <c:pt idx="57" c:formatCode="General">
                  <c:v>142.857142857143</c:v>
                </c:pt>
                <c:pt idx="58" c:formatCode="General">
                  <c:v>142.857142857143</c:v>
                </c:pt>
                <c:pt idx="59" c:formatCode="General">
                  <c:v>142.857142857143</c:v>
                </c:pt>
                <c:pt idx="60" c:formatCode="General">
                  <c:v>142.857142857143</c:v>
                </c:pt>
                <c:pt idx="61" c:formatCode="General">
                  <c:v>142.857142857143</c:v>
                </c:pt>
                <c:pt idx="62" c:formatCode="General">
                  <c:v>142.857142857143</c:v>
                </c:pt>
                <c:pt idx="63" c:formatCode="General">
                  <c:v>142.857142857143</c:v>
                </c:pt>
                <c:pt idx="64" c:formatCode="General">
                  <c:v>142.857142857143</c:v>
                </c:pt>
                <c:pt idx="65" c:formatCode="General">
                  <c:v>142.857142857143</c:v>
                </c:pt>
                <c:pt idx="66" c:formatCode="General">
                  <c:v>142.857142857143</c:v>
                </c:pt>
                <c:pt idx="67" c:formatCode="General">
                  <c:v>142.857142857143</c:v>
                </c:pt>
                <c:pt idx="68" c:formatCode="General">
                  <c:v>142.857142857143</c:v>
                </c:pt>
                <c:pt idx="69" c:formatCode="General">
                  <c:v>142.857142857143</c:v>
                </c:pt>
                <c:pt idx="70" c:formatCode="General">
                  <c:v>142.857142857143</c:v>
                </c:pt>
                <c:pt idx="71" c:formatCode="General">
                  <c:v>142.857142857143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1578168688"/>
        <c:axId val="1578172016"/>
      </c:lineChart>
      <c:catAx>
        <c:axId val="157816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78172016"/>
        <c:crosses val="autoZero"/>
        <c:auto val="1"/>
        <c:lblAlgn val="ctr"/>
        <c:lblOffset val="100"/>
        <c:noMultiLvlLbl val="0"/>
      </c:catAx>
      <c:valAx>
        <c:axId val="157817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78168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x-none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zh-CN" altLang="en-US" sz="16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零件</a:t>
            </a:r>
            <a:r>
              <a:rPr lang="zh-CN" altLang="zh-CN" sz="1600" b="1" i="0" u="none" strike="noStrike" baseline="0">
                <a:effectLst/>
              </a:rPr>
              <a:t>在各系统中日产出曲线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控制台!$S$1160</c:f>
              <c:strCache>
                <c:ptCount val="1"/>
                <c:pt idx="0">
                  <c:v>军任零件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控制台!$B$1161:$B$1232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控制台!$S$1161:$S$1232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0</c:v>
                </c:pt>
                <c:pt idx="3" c:formatCode="General">
                  <c:v>0</c:v>
                </c:pt>
                <c:pt idx="4" c:formatCode="General">
                  <c:v>0</c:v>
                </c:pt>
                <c:pt idx="5" c:formatCode="General">
                  <c:v>0</c:v>
                </c:pt>
                <c:pt idx="6" c:formatCode="General">
                  <c:v>0</c:v>
                </c:pt>
                <c:pt idx="7" c:formatCode="General">
                  <c:v>0</c:v>
                </c:pt>
                <c:pt idx="8" c:formatCode="General">
                  <c:v>0</c:v>
                </c:pt>
                <c:pt idx="9" c:formatCode="General">
                  <c:v>0</c:v>
                </c:pt>
                <c:pt idx="10" c:formatCode="General">
                  <c:v>0</c:v>
                </c:pt>
                <c:pt idx="11" c:formatCode="General">
                  <c:v>0</c:v>
                </c:pt>
                <c:pt idx="12" c:formatCode="General">
                  <c:v>0</c:v>
                </c:pt>
                <c:pt idx="13" c:formatCode="General">
                  <c:v>0</c:v>
                </c:pt>
                <c:pt idx="14" c:formatCode="General">
                  <c:v>0</c:v>
                </c:pt>
                <c:pt idx="15" c:formatCode="General">
                  <c:v>0</c:v>
                </c:pt>
                <c:pt idx="16" c:formatCode="General">
                  <c:v>0</c:v>
                </c:pt>
                <c:pt idx="17" c:formatCode="General">
                  <c:v>0</c:v>
                </c:pt>
                <c:pt idx="18" c:formatCode="General">
                  <c:v>0</c:v>
                </c:pt>
                <c:pt idx="19" c:formatCode="General">
                  <c:v>0</c:v>
                </c:pt>
                <c:pt idx="20" c:formatCode="General">
                  <c:v>0</c:v>
                </c:pt>
                <c:pt idx="21" c:formatCode="General">
                  <c:v>0</c:v>
                </c:pt>
                <c:pt idx="22" c:formatCode="General">
                  <c:v>16.56</c:v>
                </c:pt>
                <c:pt idx="23" c:formatCode="General">
                  <c:v>16.56</c:v>
                </c:pt>
                <c:pt idx="24" c:formatCode="General">
                  <c:v>16.56</c:v>
                </c:pt>
                <c:pt idx="25" c:formatCode="General">
                  <c:v>16.56</c:v>
                </c:pt>
                <c:pt idx="26" c:formatCode="General">
                  <c:v>16.56</c:v>
                </c:pt>
                <c:pt idx="27" c:formatCode="General">
                  <c:v>16.56</c:v>
                </c:pt>
                <c:pt idx="28" c:formatCode="General">
                  <c:v>16.56</c:v>
                </c:pt>
                <c:pt idx="29" c:formatCode="General">
                  <c:v>16.56</c:v>
                </c:pt>
                <c:pt idx="30" c:formatCode="General">
                  <c:v>16.56</c:v>
                </c:pt>
                <c:pt idx="31" c:formatCode="General">
                  <c:v>16.56</c:v>
                </c:pt>
                <c:pt idx="32" c:formatCode="General">
                  <c:v>16.56</c:v>
                </c:pt>
                <c:pt idx="33" c:formatCode="General">
                  <c:v>16.56</c:v>
                </c:pt>
                <c:pt idx="34" c:formatCode="General">
                  <c:v>16.56</c:v>
                </c:pt>
                <c:pt idx="35" c:formatCode="General">
                  <c:v>16.56</c:v>
                </c:pt>
                <c:pt idx="36" c:formatCode="General">
                  <c:v>16.56</c:v>
                </c:pt>
                <c:pt idx="37" c:formatCode="General">
                  <c:v>16.56</c:v>
                </c:pt>
                <c:pt idx="38" c:formatCode="General">
                  <c:v>16.56</c:v>
                </c:pt>
                <c:pt idx="39" c:formatCode="General">
                  <c:v>16.56</c:v>
                </c:pt>
                <c:pt idx="40" c:formatCode="General">
                  <c:v>16.56</c:v>
                </c:pt>
                <c:pt idx="41" c:formatCode="General">
                  <c:v>16.56</c:v>
                </c:pt>
                <c:pt idx="42" c:formatCode="General">
                  <c:v>16.56</c:v>
                </c:pt>
                <c:pt idx="43" c:formatCode="General">
                  <c:v>27.6</c:v>
                </c:pt>
                <c:pt idx="44" c:formatCode="General">
                  <c:v>27.6</c:v>
                </c:pt>
                <c:pt idx="45" c:formatCode="General">
                  <c:v>27.6</c:v>
                </c:pt>
                <c:pt idx="46" c:formatCode="General">
                  <c:v>27.6</c:v>
                </c:pt>
                <c:pt idx="47" c:formatCode="General">
                  <c:v>27.6</c:v>
                </c:pt>
                <c:pt idx="48" c:formatCode="General">
                  <c:v>27.6</c:v>
                </c:pt>
                <c:pt idx="49" c:formatCode="General">
                  <c:v>27.6</c:v>
                </c:pt>
                <c:pt idx="50" c:formatCode="General">
                  <c:v>27.6</c:v>
                </c:pt>
                <c:pt idx="51" c:formatCode="General">
                  <c:v>27.6</c:v>
                </c:pt>
                <c:pt idx="52" c:formatCode="General">
                  <c:v>27.6</c:v>
                </c:pt>
                <c:pt idx="53" c:formatCode="General">
                  <c:v>27.6</c:v>
                </c:pt>
                <c:pt idx="54" c:formatCode="General">
                  <c:v>27.6</c:v>
                </c:pt>
                <c:pt idx="55" c:formatCode="General">
                  <c:v>27.6</c:v>
                </c:pt>
                <c:pt idx="56" c:formatCode="General">
                  <c:v>27.6</c:v>
                </c:pt>
                <c:pt idx="57" c:formatCode="General">
                  <c:v>27.6</c:v>
                </c:pt>
                <c:pt idx="58" c:formatCode="General">
                  <c:v>46</c:v>
                </c:pt>
                <c:pt idx="59" c:formatCode="General">
                  <c:v>46</c:v>
                </c:pt>
                <c:pt idx="60" c:formatCode="General">
                  <c:v>46</c:v>
                </c:pt>
                <c:pt idx="61" c:formatCode="General">
                  <c:v>46</c:v>
                </c:pt>
                <c:pt idx="62" c:formatCode="General">
                  <c:v>46</c:v>
                </c:pt>
                <c:pt idx="63" c:formatCode="General">
                  <c:v>46</c:v>
                </c:pt>
                <c:pt idx="64" c:formatCode="General">
                  <c:v>46</c:v>
                </c:pt>
                <c:pt idx="65" c:formatCode="General">
                  <c:v>46</c:v>
                </c:pt>
                <c:pt idx="66" c:formatCode="General">
                  <c:v>46</c:v>
                </c:pt>
                <c:pt idx="67" c:formatCode="General">
                  <c:v>46</c:v>
                </c:pt>
                <c:pt idx="68" c:formatCode="General">
                  <c:v>46</c:v>
                </c:pt>
                <c:pt idx="69" c:formatCode="General">
                  <c:v>46</c:v>
                </c:pt>
                <c:pt idx="70" c:formatCode="General">
                  <c:v>46</c:v>
                </c:pt>
                <c:pt idx="71" c:formatCode="General">
                  <c:v>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控制台!$T$1160</c:f>
              <c:strCache>
                <c:ptCount val="1"/>
                <c:pt idx="0">
                  <c:v>日任零件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控制台!$B$1161:$B$1232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控制台!$T$1161:$T$1232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180</c:v>
                </c:pt>
                <c:pt idx="2" c:formatCode="General">
                  <c:v>180</c:v>
                </c:pt>
                <c:pt idx="3" c:formatCode="General">
                  <c:v>180</c:v>
                </c:pt>
                <c:pt idx="4" c:formatCode="General">
                  <c:v>180</c:v>
                </c:pt>
                <c:pt idx="5" c:formatCode="General">
                  <c:v>180</c:v>
                </c:pt>
                <c:pt idx="6" c:formatCode="General">
                  <c:v>180</c:v>
                </c:pt>
                <c:pt idx="7" c:formatCode="General">
                  <c:v>180</c:v>
                </c:pt>
                <c:pt idx="8" c:formatCode="General">
                  <c:v>180</c:v>
                </c:pt>
                <c:pt idx="9" c:formatCode="General">
                  <c:v>180</c:v>
                </c:pt>
                <c:pt idx="10" c:formatCode="General">
                  <c:v>180</c:v>
                </c:pt>
                <c:pt idx="11" c:formatCode="General">
                  <c:v>180</c:v>
                </c:pt>
                <c:pt idx="12" c:formatCode="General">
                  <c:v>180</c:v>
                </c:pt>
                <c:pt idx="13" c:formatCode="General">
                  <c:v>180</c:v>
                </c:pt>
                <c:pt idx="14" c:formatCode="General">
                  <c:v>180</c:v>
                </c:pt>
                <c:pt idx="15" c:formatCode="General">
                  <c:v>180</c:v>
                </c:pt>
                <c:pt idx="16" c:formatCode="General">
                  <c:v>180</c:v>
                </c:pt>
                <c:pt idx="17" c:formatCode="General">
                  <c:v>180</c:v>
                </c:pt>
                <c:pt idx="18" c:formatCode="General">
                  <c:v>180</c:v>
                </c:pt>
                <c:pt idx="19" c:formatCode="General">
                  <c:v>180</c:v>
                </c:pt>
                <c:pt idx="20" c:formatCode="General">
                  <c:v>180</c:v>
                </c:pt>
                <c:pt idx="21" c:formatCode="General">
                  <c:v>180</c:v>
                </c:pt>
                <c:pt idx="22" c:formatCode="General">
                  <c:v>180</c:v>
                </c:pt>
                <c:pt idx="23" c:formatCode="General">
                  <c:v>180</c:v>
                </c:pt>
                <c:pt idx="24" c:formatCode="General">
                  <c:v>180</c:v>
                </c:pt>
                <c:pt idx="25" c:formatCode="General">
                  <c:v>180</c:v>
                </c:pt>
                <c:pt idx="26" c:formatCode="General">
                  <c:v>180</c:v>
                </c:pt>
                <c:pt idx="27" c:formatCode="General">
                  <c:v>180</c:v>
                </c:pt>
                <c:pt idx="28" c:formatCode="General">
                  <c:v>180</c:v>
                </c:pt>
                <c:pt idx="29" c:formatCode="General">
                  <c:v>180</c:v>
                </c:pt>
                <c:pt idx="30" c:formatCode="General">
                  <c:v>180</c:v>
                </c:pt>
                <c:pt idx="31" c:formatCode="General">
                  <c:v>180</c:v>
                </c:pt>
                <c:pt idx="32" c:formatCode="General">
                  <c:v>180</c:v>
                </c:pt>
                <c:pt idx="33" c:formatCode="General">
                  <c:v>180</c:v>
                </c:pt>
                <c:pt idx="34" c:formatCode="General">
                  <c:v>180</c:v>
                </c:pt>
                <c:pt idx="35" c:formatCode="General">
                  <c:v>180</c:v>
                </c:pt>
                <c:pt idx="36" c:formatCode="General">
                  <c:v>180</c:v>
                </c:pt>
                <c:pt idx="37" c:formatCode="General">
                  <c:v>180</c:v>
                </c:pt>
                <c:pt idx="38" c:formatCode="General">
                  <c:v>180</c:v>
                </c:pt>
                <c:pt idx="39" c:formatCode="General">
                  <c:v>180</c:v>
                </c:pt>
                <c:pt idx="40" c:formatCode="General">
                  <c:v>180</c:v>
                </c:pt>
                <c:pt idx="41" c:formatCode="General">
                  <c:v>180</c:v>
                </c:pt>
                <c:pt idx="42" c:formatCode="General">
                  <c:v>180</c:v>
                </c:pt>
                <c:pt idx="43" c:formatCode="General">
                  <c:v>180</c:v>
                </c:pt>
                <c:pt idx="44" c:formatCode="General">
                  <c:v>180</c:v>
                </c:pt>
                <c:pt idx="45" c:formatCode="General">
                  <c:v>180</c:v>
                </c:pt>
                <c:pt idx="46" c:formatCode="General">
                  <c:v>180</c:v>
                </c:pt>
                <c:pt idx="47" c:formatCode="General">
                  <c:v>180</c:v>
                </c:pt>
                <c:pt idx="48" c:formatCode="General">
                  <c:v>180</c:v>
                </c:pt>
                <c:pt idx="49" c:formatCode="General">
                  <c:v>180</c:v>
                </c:pt>
                <c:pt idx="50" c:formatCode="General">
                  <c:v>180</c:v>
                </c:pt>
                <c:pt idx="51" c:formatCode="General">
                  <c:v>180</c:v>
                </c:pt>
                <c:pt idx="52" c:formatCode="General">
                  <c:v>180</c:v>
                </c:pt>
                <c:pt idx="53" c:formatCode="General">
                  <c:v>180</c:v>
                </c:pt>
                <c:pt idx="54" c:formatCode="General">
                  <c:v>180</c:v>
                </c:pt>
                <c:pt idx="55" c:formatCode="General">
                  <c:v>180</c:v>
                </c:pt>
                <c:pt idx="56" c:formatCode="General">
                  <c:v>180</c:v>
                </c:pt>
                <c:pt idx="57" c:formatCode="General">
                  <c:v>180</c:v>
                </c:pt>
                <c:pt idx="58" c:formatCode="General">
                  <c:v>180</c:v>
                </c:pt>
                <c:pt idx="59" c:formatCode="General">
                  <c:v>180</c:v>
                </c:pt>
                <c:pt idx="60" c:formatCode="General">
                  <c:v>180</c:v>
                </c:pt>
                <c:pt idx="61" c:formatCode="General">
                  <c:v>180</c:v>
                </c:pt>
                <c:pt idx="62" c:formatCode="General">
                  <c:v>180</c:v>
                </c:pt>
                <c:pt idx="63" c:formatCode="General">
                  <c:v>180</c:v>
                </c:pt>
                <c:pt idx="64" c:formatCode="General">
                  <c:v>180</c:v>
                </c:pt>
                <c:pt idx="65" c:formatCode="General">
                  <c:v>180</c:v>
                </c:pt>
                <c:pt idx="66" c:formatCode="General">
                  <c:v>180</c:v>
                </c:pt>
                <c:pt idx="67" c:formatCode="General">
                  <c:v>180</c:v>
                </c:pt>
                <c:pt idx="68" c:formatCode="General">
                  <c:v>180</c:v>
                </c:pt>
                <c:pt idx="69" c:formatCode="General">
                  <c:v>180</c:v>
                </c:pt>
                <c:pt idx="70" c:formatCode="General">
                  <c:v>180</c:v>
                </c:pt>
                <c:pt idx="71" c:formatCode="General">
                  <c:v>180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控制台!$U$1160</c:f>
              <c:strCache>
                <c:ptCount val="1"/>
                <c:pt idx="0">
                  <c:v>挂机零件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控制台!$B$1161:$B$1232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控制台!$U$1161:$U$1232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0.68076</c:v>
                </c:pt>
                <c:pt idx="3" c:formatCode="General">
                  <c:v>0.68076</c:v>
                </c:pt>
                <c:pt idx="4" c:formatCode="General">
                  <c:v>1.36152</c:v>
                </c:pt>
                <c:pt idx="5" c:formatCode="General">
                  <c:v>1.36152</c:v>
                </c:pt>
                <c:pt idx="6" c:formatCode="General">
                  <c:v>2.04228</c:v>
                </c:pt>
                <c:pt idx="7" c:formatCode="General">
                  <c:v>2.04228</c:v>
                </c:pt>
                <c:pt idx="8" c:formatCode="General">
                  <c:v>2.745</c:v>
                </c:pt>
                <c:pt idx="9" c:formatCode="General">
                  <c:v>2.745</c:v>
                </c:pt>
                <c:pt idx="10" c:formatCode="General">
                  <c:v>3.42576</c:v>
                </c:pt>
                <c:pt idx="11" c:formatCode="General">
                  <c:v>3.75516</c:v>
                </c:pt>
                <c:pt idx="12" c:formatCode="General">
                  <c:v>4.10652</c:v>
                </c:pt>
                <c:pt idx="13" c:formatCode="General">
                  <c:v>4.45788</c:v>
                </c:pt>
                <c:pt idx="14" c:formatCode="General">
                  <c:v>5.13864</c:v>
                </c:pt>
                <c:pt idx="15" c:formatCode="General">
                  <c:v>5.49</c:v>
                </c:pt>
                <c:pt idx="16" c:formatCode="General">
                  <c:v>5.8194</c:v>
                </c:pt>
                <c:pt idx="17" c:formatCode="General">
                  <c:v>6.17076</c:v>
                </c:pt>
                <c:pt idx="18" c:formatCode="General">
                  <c:v>6.85152</c:v>
                </c:pt>
                <c:pt idx="19" c:formatCode="General">
                  <c:v>6.85152</c:v>
                </c:pt>
                <c:pt idx="20" c:formatCode="General">
                  <c:v>7.20288000000001</c:v>
                </c:pt>
                <c:pt idx="21" c:formatCode="General">
                  <c:v>7.20288</c:v>
                </c:pt>
                <c:pt idx="22" c:formatCode="General">
                  <c:v>7.53228000000001</c:v>
                </c:pt>
                <c:pt idx="23" c:formatCode="General">
                  <c:v>7.88364</c:v>
                </c:pt>
                <c:pt idx="24" c:formatCode="General">
                  <c:v>8.5644</c:v>
                </c:pt>
                <c:pt idx="25" c:formatCode="General">
                  <c:v>8.91576</c:v>
                </c:pt>
                <c:pt idx="26" c:formatCode="General">
                  <c:v>9.24516000000001</c:v>
                </c:pt>
                <c:pt idx="27" c:formatCode="General">
                  <c:v>9.59651999999998</c:v>
                </c:pt>
                <c:pt idx="28" c:formatCode="General">
                  <c:v>10.27728</c:v>
                </c:pt>
                <c:pt idx="29" c:formatCode="General">
                  <c:v>10.62864</c:v>
                </c:pt>
                <c:pt idx="30" c:formatCode="General">
                  <c:v>10.98</c:v>
                </c:pt>
                <c:pt idx="31" c:formatCode="General">
                  <c:v>11.3094</c:v>
                </c:pt>
                <c:pt idx="32" c:formatCode="General">
                  <c:v>11.66076</c:v>
                </c:pt>
                <c:pt idx="33" c:formatCode="General">
                  <c:v>11.99016</c:v>
                </c:pt>
                <c:pt idx="34" c:formatCode="General">
                  <c:v>12.34152</c:v>
                </c:pt>
                <c:pt idx="35" c:formatCode="General">
                  <c:v>12.69288</c:v>
                </c:pt>
                <c:pt idx="36" c:formatCode="General">
                  <c:v>13.02228</c:v>
                </c:pt>
                <c:pt idx="37" c:formatCode="General">
                  <c:v>13.37364</c:v>
                </c:pt>
                <c:pt idx="38" c:formatCode="General">
                  <c:v>13.725</c:v>
                </c:pt>
                <c:pt idx="39" c:formatCode="General">
                  <c:v>13.725</c:v>
                </c:pt>
                <c:pt idx="40" c:formatCode="General">
                  <c:v>14.40576</c:v>
                </c:pt>
                <c:pt idx="41" c:formatCode="General">
                  <c:v>15.08652</c:v>
                </c:pt>
                <c:pt idx="42" c:formatCode="General">
                  <c:v>15.76728</c:v>
                </c:pt>
                <c:pt idx="43" c:formatCode="General">
                  <c:v>16.47</c:v>
                </c:pt>
                <c:pt idx="44" c:formatCode="General">
                  <c:v>17.15076</c:v>
                </c:pt>
                <c:pt idx="45" c:formatCode="General">
                  <c:v>17.15076</c:v>
                </c:pt>
                <c:pt idx="46" c:formatCode="General">
                  <c:v>20.57652</c:v>
                </c:pt>
                <c:pt idx="47" c:formatCode="General">
                  <c:v>22.64076</c:v>
                </c:pt>
                <c:pt idx="48" c:formatCode="General">
                  <c:v>24.705</c:v>
                </c:pt>
                <c:pt idx="49" c:formatCode="General">
                  <c:v>27.45</c:v>
                </c:pt>
                <c:pt idx="50" c:formatCode="General">
                  <c:v>28.81152</c:v>
                </c:pt>
                <c:pt idx="51" c:formatCode="General">
                  <c:v>30.195</c:v>
                </c:pt>
                <c:pt idx="52" c:formatCode="General">
                  <c:v>31.55652</c:v>
                </c:pt>
                <c:pt idx="53" c:formatCode="General">
                  <c:v>32.94</c:v>
                </c:pt>
                <c:pt idx="54" c:formatCode="General">
                  <c:v>34.30152</c:v>
                </c:pt>
                <c:pt idx="55" c:formatCode="General">
                  <c:v>34.98228</c:v>
                </c:pt>
                <c:pt idx="56" c:formatCode="General">
                  <c:v>35.685</c:v>
                </c:pt>
                <c:pt idx="57" c:formatCode="General">
                  <c:v>36.36576</c:v>
                </c:pt>
                <c:pt idx="58" c:formatCode="General">
                  <c:v>37.04652</c:v>
                </c:pt>
                <c:pt idx="59" c:formatCode="General">
                  <c:v>37.7272800000001</c:v>
                </c:pt>
                <c:pt idx="60" c:formatCode="General">
                  <c:v>38.43</c:v>
                </c:pt>
                <c:pt idx="61" c:formatCode="General">
                  <c:v>39.11076</c:v>
                </c:pt>
                <c:pt idx="62" c:formatCode="General">
                  <c:v>39.7915199999999</c:v>
                </c:pt>
                <c:pt idx="63" c:formatCode="General">
                  <c:v>41.175</c:v>
                </c:pt>
                <c:pt idx="64" c:formatCode="General">
                  <c:v>44.60076</c:v>
                </c:pt>
                <c:pt idx="65" c:formatCode="General">
                  <c:v>48.02652</c:v>
                </c:pt>
                <c:pt idx="66" c:formatCode="General">
                  <c:v>51.45228</c:v>
                </c:pt>
                <c:pt idx="67" c:formatCode="General">
                  <c:v>54.9</c:v>
                </c:pt>
                <c:pt idx="68" c:formatCode="General">
                  <c:v>58.32576</c:v>
                </c:pt>
                <c:pt idx="69" c:formatCode="General">
                  <c:v>61.75152</c:v>
                </c:pt>
                <c:pt idx="70" c:formatCode="General">
                  <c:v>65.1772799999999</c:v>
                </c:pt>
                <c:pt idx="71" c:formatCode="General">
                  <c:v>68.6250000000001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控制台!$V$1160</c:f>
              <c:strCache>
                <c:ptCount val="1"/>
                <c:pt idx="0">
                  <c:v>空投零件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控制台!$B$1161:$B$1232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控制台!$V$1161:$V$1232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39.9999999999999</c:v>
                </c:pt>
                <c:pt idx="2" c:formatCode="General">
                  <c:v>39.9999999999999</c:v>
                </c:pt>
                <c:pt idx="3" c:formatCode="General">
                  <c:v>39.9999999999999</c:v>
                </c:pt>
                <c:pt idx="4" c:formatCode="General">
                  <c:v>60</c:v>
                </c:pt>
                <c:pt idx="5" c:formatCode="General">
                  <c:v>60</c:v>
                </c:pt>
                <c:pt idx="6" c:formatCode="General">
                  <c:v>60</c:v>
                </c:pt>
                <c:pt idx="7" c:formatCode="General">
                  <c:v>60</c:v>
                </c:pt>
                <c:pt idx="8" c:formatCode="General">
                  <c:v>60</c:v>
                </c:pt>
                <c:pt idx="9" c:formatCode="General">
                  <c:v>60</c:v>
                </c:pt>
                <c:pt idx="10" c:formatCode="General">
                  <c:v>80.0000000000002</c:v>
                </c:pt>
                <c:pt idx="11" c:formatCode="General">
                  <c:v>80.0000000000001</c:v>
                </c:pt>
                <c:pt idx="12" c:formatCode="General">
                  <c:v>80.0000000000001</c:v>
                </c:pt>
                <c:pt idx="13" c:formatCode="General">
                  <c:v>80.0000000000001</c:v>
                </c:pt>
                <c:pt idx="14" c:formatCode="General">
                  <c:v>80.0000000000001</c:v>
                </c:pt>
                <c:pt idx="15" c:formatCode="General">
                  <c:v>80.0000000000001</c:v>
                </c:pt>
                <c:pt idx="16" c:formatCode="General">
                  <c:v>120</c:v>
                </c:pt>
                <c:pt idx="17" c:formatCode="General">
                  <c:v>120</c:v>
                </c:pt>
                <c:pt idx="18" c:formatCode="General">
                  <c:v>120</c:v>
                </c:pt>
                <c:pt idx="19" c:formatCode="General">
                  <c:v>120</c:v>
                </c:pt>
                <c:pt idx="20" c:formatCode="General">
                  <c:v>120</c:v>
                </c:pt>
                <c:pt idx="21" c:formatCode="General">
                  <c:v>120</c:v>
                </c:pt>
                <c:pt idx="22" c:formatCode="General">
                  <c:v>120</c:v>
                </c:pt>
                <c:pt idx="23" c:formatCode="General">
                  <c:v>120</c:v>
                </c:pt>
                <c:pt idx="24" c:formatCode="General">
                  <c:v>120</c:v>
                </c:pt>
                <c:pt idx="25" c:formatCode="General">
                  <c:v>120</c:v>
                </c:pt>
                <c:pt idx="26" c:formatCode="General">
                  <c:v>120</c:v>
                </c:pt>
                <c:pt idx="27" c:formatCode="General">
                  <c:v>120</c:v>
                </c:pt>
                <c:pt idx="28" c:formatCode="General">
                  <c:v>120</c:v>
                </c:pt>
                <c:pt idx="29" c:formatCode="General">
                  <c:v>120</c:v>
                </c:pt>
                <c:pt idx="30" c:formatCode="General">
                  <c:v>120</c:v>
                </c:pt>
                <c:pt idx="31" c:formatCode="General">
                  <c:v>120</c:v>
                </c:pt>
                <c:pt idx="32" c:formatCode="General">
                  <c:v>120</c:v>
                </c:pt>
                <c:pt idx="33" c:formatCode="General">
                  <c:v>120</c:v>
                </c:pt>
                <c:pt idx="34" c:formatCode="General">
                  <c:v>120</c:v>
                </c:pt>
                <c:pt idx="35" c:formatCode="General">
                  <c:v>200</c:v>
                </c:pt>
                <c:pt idx="36" c:formatCode="General">
                  <c:v>200</c:v>
                </c:pt>
                <c:pt idx="37" c:formatCode="General">
                  <c:v>200</c:v>
                </c:pt>
                <c:pt idx="38" c:formatCode="General">
                  <c:v>200</c:v>
                </c:pt>
                <c:pt idx="39" c:formatCode="General">
                  <c:v>200</c:v>
                </c:pt>
                <c:pt idx="40" c:formatCode="General">
                  <c:v>200</c:v>
                </c:pt>
                <c:pt idx="41" c:formatCode="General">
                  <c:v>200</c:v>
                </c:pt>
                <c:pt idx="42" c:formatCode="General">
                  <c:v>200</c:v>
                </c:pt>
                <c:pt idx="43" c:formatCode="General">
                  <c:v>200</c:v>
                </c:pt>
                <c:pt idx="44" c:formatCode="General">
                  <c:v>200</c:v>
                </c:pt>
                <c:pt idx="45" c:formatCode="General">
                  <c:v>200</c:v>
                </c:pt>
                <c:pt idx="46" c:formatCode="General">
                  <c:v>200</c:v>
                </c:pt>
                <c:pt idx="47" c:formatCode="General">
                  <c:v>200</c:v>
                </c:pt>
                <c:pt idx="48" c:formatCode="General">
                  <c:v>200</c:v>
                </c:pt>
                <c:pt idx="49" c:formatCode="General">
                  <c:v>200</c:v>
                </c:pt>
                <c:pt idx="50" c:formatCode="General">
                  <c:v>200</c:v>
                </c:pt>
                <c:pt idx="51" c:formatCode="General">
                  <c:v>200</c:v>
                </c:pt>
                <c:pt idx="52" c:formatCode="General">
                  <c:v>200</c:v>
                </c:pt>
                <c:pt idx="53" c:formatCode="General">
                  <c:v>200</c:v>
                </c:pt>
                <c:pt idx="54" c:formatCode="General">
                  <c:v>200</c:v>
                </c:pt>
                <c:pt idx="55" c:formatCode="General">
                  <c:v>200</c:v>
                </c:pt>
                <c:pt idx="56" c:formatCode="General">
                  <c:v>200</c:v>
                </c:pt>
                <c:pt idx="57" c:formatCode="General">
                  <c:v>300</c:v>
                </c:pt>
                <c:pt idx="58" c:formatCode="General">
                  <c:v>300</c:v>
                </c:pt>
                <c:pt idx="59" c:formatCode="General">
                  <c:v>300</c:v>
                </c:pt>
                <c:pt idx="60" c:formatCode="General">
                  <c:v>300</c:v>
                </c:pt>
                <c:pt idx="61" c:formatCode="General">
                  <c:v>300</c:v>
                </c:pt>
                <c:pt idx="62" c:formatCode="General">
                  <c:v>300</c:v>
                </c:pt>
                <c:pt idx="63" c:formatCode="General">
                  <c:v>300</c:v>
                </c:pt>
                <c:pt idx="64" c:formatCode="General">
                  <c:v>300</c:v>
                </c:pt>
                <c:pt idx="65" c:formatCode="General">
                  <c:v>300</c:v>
                </c:pt>
                <c:pt idx="66" c:formatCode="General">
                  <c:v>300</c:v>
                </c:pt>
                <c:pt idx="67" c:formatCode="General">
                  <c:v>300</c:v>
                </c:pt>
                <c:pt idx="68" c:formatCode="General">
                  <c:v>300</c:v>
                </c:pt>
                <c:pt idx="69" c:formatCode="General">
                  <c:v>300</c:v>
                </c:pt>
                <c:pt idx="70" c:formatCode="General">
                  <c:v>300</c:v>
                </c:pt>
                <c:pt idx="71" c:formatCode="General">
                  <c:v>300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控制台!$W$1160</c:f>
              <c:strCache>
                <c:ptCount val="1"/>
                <c:pt idx="0">
                  <c:v>黑市零件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控制台!$B$1161:$B$1232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控制台!$W$1161:$W$1232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6</c:v>
                </c:pt>
                <c:pt idx="2" c:formatCode="General">
                  <c:v>6</c:v>
                </c:pt>
                <c:pt idx="3" c:formatCode="General">
                  <c:v>6</c:v>
                </c:pt>
                <c:pt idx="4" c:formatCode="General">
                  <c:v>6</c:v>
                </c:pt>
                <c:pt idx="5" c:formatCode="General">
                  <c:v>6</c:v>
                </c:pt>
                <c:pt idx="6" c:formatCode="General">
                  <c:v>6</c:v>
                </c:pt>
                <c:pt idx="7" c:formatCode="General">
                  <c:v>6.00000000000001</c:v>
                </c:pt>
                <c:pt idx="8" c:formatCode="General">
                  <c:v>5.99999999999999</c:v>
                </c:pt>
                <c:pt idx="9" c:formatCode="General">
                  <c:v>6</c:v>
                </c:pt>
                <c:pt idx="10" c:formatCode="General">
                  <c:v>6</c:v>
                </c:pt>
                <c:pt idx="11" c:formatCode="General">
                  <c:v>6</c:v>
                </c:pt>
                <c:pt idx="12" c:formatCode="General">
                  <c:v>6</c:v>
                </c:pt>
                <c:pt idx="13" c:formatCode="General">
                  <c:v>6</c:v>
                </c:pt>
                <c:pt idx="14" c:formatCode="General">
                  <c:v>6</c:v>
                </c:pt>
                <c:pt idx="15" c:formatCode="General">
                  <c:v>6</c:v>
                </c:pt>
                <c:pt idx="16" c:formatCode="General">
                  <c:v>6</c:v>
                </c:pt>
                <c:pt idx="17" c:formatCode="General">
                  <c:v>6</c:v>
                </c:pt>
                <c:pt idx="18" c:formatCode="General">
                  <c:v>6</c:v>
                </c:pt>
                <c:pt idx="19" c:formatCode="General">
                  <c:v>6</c:v>
                </c:pt>
                <c:pt idx="20" c:formatCode="General">
                  <c:v>6</c:v>
                </c:pt>
                <c:pt idx="21" c:formatCode="General">
                  <c:v>6</c:v>
                </c:pt>
                <c:pt idx="22" c:formatCode="General">
                  <c:v>6</c:v>
                </c:pt>
                <c:pt idx="23" c:formatCode="General">
                  <c:v>12</c:v>
                </c:pt>
                <c:pt idx="24" c:formatCode="General">
                  <c:v>12</c:v>
                </c:pt>
                <c:pt idx="25" c:formatCode="General">
                  <c:v>12</c:v>
                </c:pt>
                <c:pt idx="26" c:formatCode="General">
                  <c:v>12</c:v>
                </c:pt>
                <c:pt idx="27" c:formatCode="General">
                  <c:v>12</c:v>
                </c:pt>
                <c:pt idx="28" c:formatCode="General">
                  <c:v>12</c:v>
                </c:pt>
                <c:pt idx="29" c:formatCode="General">
                  <c:v>12</c:v>
                </c:pt>
                <c:pt idx="30" c:formatCode="General">
                  <c:v>24</c:v>
                </c:pt>
                <c:pt idx="31" c:formatCode="General">
                  <c:v>24</c:v>
                </c:pt>
                <c:pt idx="32" c:formatCode="General">
                  <c:v>24</c:v>
                </c:pt>
                <c:pt idx="33" c:formatCode="General">
                  <c:v>24</c:v>
                </c:pt>
                <c:pt idx="34" c:formatCode="General">
                  <c:v>24</c:v>
                </c:pt>
                <c:pt idx="35" c:formatCode="General">
                  <c:v>24</c:v>
                </c:pt>
                <c:pt idx="36" c:formatCode="General">
                  <c:v>24</c:v>
                </c:pt>
                <c:pt idx="37" c:formatCode="General">
                  <c:v>24</c:v>
                </c:pt>
                <c:pt idx="38" c:formatCode="General">
                  <c:v>24</c:v>
                </c:pt>
                <c:pt idx="39" c:formatCode="General">
                  <c:v>24</c:v>
                </c:pt>
                <c:pt idx="40" c:formatCode="General">
                  <c:v>24</c:v>
                </c:pt>
                <c:pt idx="41" c:formatCode="General">
                  <c:v>24</c:v>
                </c:pt>
                <c:pt idx="42" c:formatCode="General">
                  <c:v>24</c:v>
                </c:pt>
                <c:pt idx="43" c:formatCode="General">
                  <c:v>24</c:v>
                </c:pt>
                <c:pt idx="44" c:formatCode="General">
                  <c:v>24</c:v>
                </c:pt>
                <c:pt idx="45" c:formatCode="General">
                  <c:v>24</c:v>
                </c:pt>
                <c:pt idx="46" c:formatCode="General">
                  <c:v>36</c:v>
                </c:pt>
                <c:pt idx="47" c:formatCode="General">
                  <c:v>36</c:v>
                </c:pt>
                <c:pt idx="48" c:formatCode="General">
                  <c:v>36</c:v>
                </c:pt>
                <c:pt idx="49" c:formatCode="General">
                  <c:v>36</c:v>
                </c:pt>
                <c:pt idx="50" c:formatCode="General">
                  <c:v>36</c:v>
                </c:pt>
                <c:pt idx="51" c:formatCode="General">
                  <c:v>36</c:v>
                </c:pt>
                <c:pt idx="52" c:formatCode="General">
                  <c:v>48</c:v>
                </c:pt>
                <c:pt idx="53" c:formatCode="General">
                  <c:v>48</c:v>
                </c:pt>
                <c:pt idx="54" c:formatCode="General">
                  <c:v>48</c:v>
                </c:pt>
                <c:pt idx="55" c:formatCode="General">
                  <c:v>48</c:v>
                </c:pt>
                <c:pt idx="56" c:formatCode="General">
                  <c:v>48</c:v>
                </c:pt>
                <c:pt idx="57" c:formatCode="General">
                  <c:v>48</c:v>
                </c:pt>
                <c:pt idx="58" c:formatCode="General">
                  <c:v>48</c:v>
                </c:pt>
                <c:pt idx="59" c:formatCode="General">
                  <c:v>48</c:v>
                </c:pt>
                <c:pt idx="60" c:formatCode="General">
                  <c:v>48</c:v>
                </c:pt>
                <c:pt idx="61" c:formatCode="General">
                  <c:v>48</c:v>
                </c:pt>
                <c:pt idx="62" c:formatCode="General">
                  <c:v>48</c:v>
                </c:pt>
                <c:pt idx="63" c:formatCode="General">
                  <c:v>48</c:v>
                </c:pt>
                <c:pt idx="64" c:formatCode="General">
                  <c:v>60</c:v>
                </c:pt>
                <c:pt idx="65" c:formatCode="General">
                  <c:v>60</c:v>
                </c:pt>
                <c:pt idx="66" c:formatCode="General">
                  <c:v>60</c:v>
                </c:pt>
                <c:pt idx="67" c:formatCode="General">
                  <c:v>60</c:v>
                </c:pt>
                <c:pt idx="68" c:formatCode="General">
                  <c:v>60</c:v>
                </c:pt>
                <c:pt idx="69" c:formatCode="General">
                  <c:v>60</c:v>
                </c:pt>
                <c:pt idx="70" c:formatCode="General">
                  <c:v>60</c:v>
                </c:pt>
                <c:pt idx="71" c:formatCode="General">
                  <c:v>60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控制台!$X$1160</c:f>
              <c:strCache>
                <c:ptCount val="1"/>
                <c:pt idx="0">
                  <c:v>活动零件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控制台!$B$1161:$B$1232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控制台!$X$1161:$X$1232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0</c:v>
                </c:pt>
                <c:pt idx="3" c:formatCode="General">
                  <c:v>0</c:v>
                </c:pt>
                <c:pt idx="4" c:formatCode="General">
                  <c:v>0</c:v>
                </c:pt>
                <c:pt idx="5" c:formatCode="General">
                  <c:v>0</c:v>
                </c:pt>
                <c:pt idx="6" c:formatCode="General">
                  <c:v>0</c:v>
                </c:pt>
                <c:pt idx="7" c:formatCode="General">
                  <c:v>0</c:v>
                </c:pt>
                <c:pt idx="8" c:formatCode="General">
                  <c:v>0</c:v>
                </c:pt>
                <c:pt idx="9" c:formatCode="General">
                  <c:v>0</c:v>
                </c:pt>
                <c:pt idx="10" c:formatCode="General">
                  <c:v>0</c:v>
                </c:pt>
                <c:pt idx="11" c:formatCode="General">
                  <c:v>0</c:v>
                </c:pt>
                <c:pt idx="12" c:formatCode="General">
                  <c:v>0</c:v>
                </c:pt>
                <c:pt idx="13" c:formatCode="General">
                  <c:v>0</c:v>
                </c:pt>
                <c:pt idx="14" c:formatCode="General">
                  <c:v>0</c:v>
                </c:pt>
                <c:pt idx="15" c:formatCode="General">
                  <c:v>0</c:v>
                </c:pt>
                <c:pt idx="16" c:formatCode="General">
                  <c:v>0</c:v>
                </c:pt>
                <c:pt idx="17" c:formatCode="General">
                  <c:v>0</c:v>
                </c:pt>
                <c:pt idx="18" c:formatCode="General">
                  <c:v>0</c:v>
                </c:pt>
                <c:pt idx="19" c:formatCode="General">
                  <c:v>0</c:v>
                </c:pt>
                <c:pt idx="20" c:formatCode="General">
                  <c:v>0</c:v>
                </c:pt>
                <c:pt idx="21" c:formatCode="General">
                  <c:v>0</c:v>
                </c:pt>
                <c:pt idx="22" c:formatCode="General">
                  <c:v>0</c:v>
                </c:pt>
                <c:pt idx="23" c:formatCode="General">
                  <c:v>100</c:v>
                </c:pt>
                <c:pt idx="24" c:formatCode="General">
                  <c:v>100</c:v>
                </c:pt>
                <c:pt idx="25" c:formatCode="General">
                  <c:v>100</c:v>
                </c:pt>
                <c:pt idx="26" c:formatCode="General">
                  <c:v>100</c:v>
                </c:pt>
                <c:pt idx="27" c:formatCode="General">
                  <c:v>100</c:v>
                </c:pt>
                <c:pt idx="28" c:formatCode="General">
                  <c:v>100</c:v>
                </c:pt>
                <c:pt idx="29" c:formatCode="General">
                  <c:v>100</c:v>
                </c:pt>
                <c:pt idx="30" c:formatCode="General">
                  <c:v>200</c:v>
                </c:pt>
                <c:pt idx="31" c:formatCode="General">
                  <c:v>200</c:v>
                </c:pt>
                <c:pt idx="32" c:formatCode="General">
                  <c:v>200</c:v>
                </c:pt>
                <c:pt idx="33" c:formatCode="General">
                  <c:v>200</c:v>
                </c:pt>
                <c:pt idx="34" c:formatCode="General">
                  <c:v>200</c:v>
                </c:pt>
                <c:pt idx="35" c:formatCode="General">
                  <c:v>200</c:v>
                </c:pt>
                <c:pt idx="36" c:formatCode="General">
                  <c:v>200</c:v>
                </c:pt>
                <c:pt idx="37" c:formatCode="General">
                  <c:v>200</c:v>
                </c:pt>
                <c:pt idx="38" c:formatCode="General">
                  <c:v>200</c:v>
                </c:pt>
                <c:pt idx="39" c:formatCode="General">
                  <c:v>200</c:v>
                </c:pt>
                <c:pt idx="40" c:formatCode="General">
                  <c:v>200</c:v>
                </c:pt>
                <c:pt idx="41" c:formatCode="General">
                  <c:v>200</c:v>
                </c:pt>
                <c:pt idx="42" c:formatCode="General">
                  <c:v>200</c:v>
                </c:pt>
                <c:pt idx="43" c:formatCode="General">
                  <c:v>200</c:v>
                </c:pt>
                <c:pt idx="44" c:formatCode="General">
                  <c:v>200</c:v>
                </c:pt>
                <c:pt idx="45" c:formatCode="General">
                  <c:v>200</c:v>
                </c:pt>
                <c:pt idx="46" c:formatCode="General">
                  <c:v>300</c:v>
                </c:pt>
                <c:pt idx="47" c:formatCode="General">
                  <c:v>300</c:v>
                </c:pt>
                <c:pt idx="48" c:formatCode="General">
                  <c:v>300</c:v>
                </c:pt>
                <c:pt idx="49" c:formatCode="General">
                  <c:v>300</c:v>
                </c:pt>
                <c:pt idx="50" c:formatCode="General">
                  <c:v>300</c:v>
                </c:pt>
                <c:pt idx="51" c:formatCode="General">
                  <c:v>300</c:v>
                </c:pt>
                <c:pt idx="52" c:formatCode="General">
                  <c:v>400</c:v>
                </c:pt>
                <c:pt idx="53" c:formatCode="General">
                  <c:v>400</c:v>
                </c:pt>
                <c:pt idx="54" c:formatCode="General">
                  <c:v>400</c:v>
                </c:pt>
                <c:pt idx="55" c:formatCode="General">
                  <c:v>400</c:v>
                </c:pt>
                <c:pt idx="56" c:formatCode="General">
                  <c:v>400</c:v>
                </c:pt>
                <c:pt idx="57" c:formatCode="General">
                  <c:v>400</c:v>
                </c:pt>
                <c:pt idx="58" c:formatCode="General">
                  <c:v>400</c:v>
                </c:pt>
                <c:pt idx="59" c:formatCode="General">
                  <c:v>400</c:v>
                </c:pt>
                <c:pt idx="60" c:formatCode="General">
                  <c:v>400</c:v>
                </c:pt>
                <c:pt idx="61" c:formatCode="General">
                  <c:v>400</c:v>
                </c:pt>
                <c:pt idx="62" c:formatCode="General">
                  <c:v>400</c:v>
                </c:pt>
                <c:pt idx="63" c:formatCode="General">
                  <c:v>400</c:v>
                </c:pt>
                <c:pt idx="64" c:formatCode="General">
                  <c:v>500</c:v>
                </c:pt>
                <c:pt idx="65" c:formatCode="General">
                  <c:v>500</c:v>
                </c:pt>
                <c:pt idx="66" c:formatCode="General">
                  <c:v>500</c:v>
                </c:pt>
                <c:pt idx="67" c:formatCode="General">
                  <c:v>500</c:v>
                </c:pt>
                <c:pt idx="68" c:formatCode="General">
                  <c:v>500</c:v>
                </c:pt>
                <c:pt idx="69" c:formatCode="General">
                  <c:v>500</c:v>
                </c:pt>
                <c:pt idx="70" c:formatCode="General">
                  <c:v>500</c:v>
                </c:pt>
                <c:pt idx="71" c:formatCode="General">
                  <c:v>500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控制台!$Y$1160</c:f>
              <c:strCache>
                <c:ptCount val="1"/>
                <c:pt idx="0">
                  <c:v>VIP箱零件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控制台!$B$1161:$B$1232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控制台!$Y$1161:$Y$1232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0</c:v>
                </c:pt>
                <c:pt idx="3" c:formatCode="General">
                  <c:v>0</c:v>
                </c:pt>
                <c:pt idx="4" c:formatCode="General">
                  <c:v>0</c:v>
                </c:pt>
                <c:pt idx="5" c:formatCode="General">
                  <c:v>0</c:v>
                </c:pt>
                <c:pt idx="6" c:formatCode="General">
                  <c:v>0</c:v>
                </c:pt>
                <c:pt idx="7" c:formatCode="General">
                  <c:v>0</c:v>
                </c:pt>
                <c:pt idx="8" c:formatCode="General">
                  <c:v>0</c:v>
                </c:pt>
                <c:pt idx="9" c:formatCode="General">
                  <c:v>0</c:v>
                </c:pt>
                <c:pt idx="10" c:formatCode="General">
                  <c:v>0</c:v>
                </c:pt>
                <c:pt idx="11" c:formatCode="General">
                  <c:v>0</c:v>
                </c:pt>
                <c:pt idx="12" c:formatCode="General">
                  <c:v>0</c:v>
                </c:pt>
                <c:pt idx="13" c:formatCode="General">
                  <c:v>0</c:v>
                </c:pt>
                <c:pt idx="14" c:formatCode="General">
                  <c:v>0</c:v>
                </c:pt>
                <c:pt idx="15" c:formatCode="General">
                  <c:v>0</c:v>
                </c:pt>
                <c:pt idx="16" c:formatCode="General">
                  <c:v>0</c:v>
                </c:pt>
                <c:pt idx="17" c:formatCode="General">
                  <c:v>0</c:v>
                </c:pt>
                <c:pt idx="18" c:formatCode="General">
                  <c:v>0</c:v>
                </c:pt>
                <c:pt idx="19" c:formatCode="General">
                  <c:v>0</c:v>
                </c:pt>
                <c:pt idx="20" c:formatCode="General">
                  <c:v>0</c:v>
                </c:pt>
                <c:pt idx="21" c:formatCode="General">
                  <c:v>0</c:v>
                </c:pt>
                <c:pt idx="22" c:formatCode="General">
                  <c:v>0</c:v>
                </c:pt>
                <c:pt idx="23" c:formatCode="General">
                  <c:v>0</c:v>
                </c:pt>
                <c:pt idx="24" c:formatCode="General">
                  <c:v>18.3</c:v>
                </c:pt>
                <c:pt idx="25" c:formatCode="General">
                  <c:v>18.3</c:v>
                </c:pt>
                <c:pt idx="26" c:formatCode="General">
                  <c:v>18.3</c:v>
                </c:pt>
                <c:pt idx="27" c:formatCode="General">
                  <c:v>18.3</c:v>
                </c:pt>
                <c:pt idx="28" c:formatCode="General">
                  <c:v>18.3</c:v>
                </c:pt>
                <c:pt idx="29" c:formatCode="General">
                  <c:v>18.3</c:v>
                </c:pt>
                <c:pt idx="30" c:formatCode="General">
                  <c:v>18.3</c:v>
                </c:pt>
                <c:pt idx="31" c:formatCode="General">
                  <c:v>18.3</c:v>
                </c:pt>
                <c:pt idx="32" c:formatCode="General">
                  <c:v>18.3</c:v>
                </c:pt>
                <c:pt idx="33" c:formatCode="General">
                  <c:v>18.3</c:v>
                </c:pt>
                <c:pt idx="34" c:formatCode="General">
                  <c:v>18.3</c:v>
                </c:pt>
                <c:pt idx="35" c:formatCode="General">
                  <c:v>18.3</c:v>
                </c:pt>
                <c:pt idx="36" c:formatCode="General">
                  <c:v>18.3</c:v>
                </c:pt>
                <c:pt idx="37" c:formatCode="General">
                  <c:v>18.3</c:v>
                </c:pt>
                <c:pt idx="38" c:formatCode="General">
                  <c:v>18.3</c:v>
                </c:pt>
                <c:pt idx="39" c:formatCode="General">
                  <c:v>18.3</c:v>
                </c:pt>
                <c:pt idx="40" c:formatCode="General">
                  <c:v>18.3</c:v>
                </c:pt>
                <c:pt idx="41" c:formatCode="General">
                  <c:v>18.3</c:v>
                </c:pt>
                <c:pt idx="42" c:formatCode="General">
                  <c:v>18.3</c:v>
                </c:pt>
                <c:pt idx="43" c:formatCode="General">
                  <c:v>18.3</c:v>
                </c:pt>
                <c:pt idx="44" c:formatCode="General">
                  <c:v>18.3</c:v>
                </c:pt>
                <c:pt idx="45" c:formatCode="General">
                  <c:v>36.6</c:v>
                </c:pt>
                <c:pt idx="46" c:formatCode="General">
                  <c:v>36.6</c:v>
                </c:pt>
                <c:pt idx="47" c:formatCode="General">
                  <c:v>36.6</c:v>
                </c:pt>
                <c:pt idx="48" c:formatCode="General">
                  <c:v>36.6</c:v>
                </c:pt>
                <c:pt idx="49" c:formatCode="General">
                  <c:v>36.6</c:v>
                </c:pt>
                <c:pt idx="50" c:formatCode="General">
                  <c:v>36.6</c:v>
                </c:pt>
                <c:pt idx="51" c:formatCode="General">
                  <c:v>36.6</c:v>
                </c:pt>
                <c:pt idx="52" c:formatCode="General">
                  <c:v>36.6</c:v>
                </c:pt>
                <c:pt idx="53" c:formatCode="General">
                  <c:v>36.6</c:v>
                </c:pt>
                <c:pt idx="54" c:formatCode="General">
                  <c:v>36.6</c:v>
                </c:pt>
                <c:pt idx="55" c:formatCode="General">
                  <c:v>36.6</c:v>
                </c:pt>
                <c:pt idx="56" c:formatCode="General">
                  <c:v>36.6</c:v>
                </c:pt>
                <c:pt idx="57" c:formatCode="General">
                  <c:v>54.9</c:v>
                </c:pt>
                <c:pt idx="58" c:formatCode="General">
                  <c:v>54.9</c:v>
                </c:pt>
                <c:pt idx="59" c:formatCode="General">
                  <c:v>54.9</c:v>
                </c:pt>
                <c:pt idx="60" c:formatCode="General">
                  <c:v>54.9</c:v>
                </c:pt>
                <c:pt idx="61" c:formatCode="General">
                  <c:v>54.9</c:v>
                </c:pt>
                <c:pt idx="62" c:formatCode="General">
                  <c:v>54.9</c:v>
                </c:pt>
                <c:pt idx="63" c:formatCode="General">
                  <c:v>54.8999999999999</c:v>
                </c:pt>
                <c:pt idx="64" c:formatCode="General">
                  <c:v>54.9</c:v>
                </c:pt>
                <c:pt idx="65" c:formatCode="General">
                  <c:v>54.9</c:v>
                </c:pt>
                <c:pt idx="66" c:formatCode="General">
                  <c:v>54.9</c:v>
                </c:pt>
                <c:pt idx="67" c:formatCode="General">
                  <c:v>54.9</c:v>
                </c:pt>
                <c:pt idx="68" c:formatCode="General">
                  <c:v>54.9</c:v>
                </c:pt>
                <c:pt idx="69" c:formatCode="General">
                  <c:v>54.9</c:v>
                </c:pt>
                <c:pt idx="70" c:formatCode="General">
                  <c:v>54.9</c:v>
                </c:pt>
                <c:pt idx="71" c:formatCode="General">
                  <c:v>54.9000000000001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控制台!$Z$1160</c:f>
              <c:strCache>
                <c:ptCount val="1"/>
                <c:pt idx="0">
                  <c:v>VIP商零件</c:v>
                </c:pt>
              </c:strCache>
            </c:strRef>
          </c:tx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控制台!$B$1161:$B$1232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控制台!$Z$1161:$Z$1232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0</c:v>
                </c:pt>
                <c:pt idx="3" c:formatCode="General">
                  <c:v>0</c:v>
                </c:pt>
                <c:pt idx="4" c:formatCode="General">
                  <c:v>0</c:v>
                </c:pt>
                <c:pt idx="5" c:formatCode="General">
                  <c:v>0</c:v>
                </c:pt>
                <c:pt idx="6" c:formatCode="General">
                  <c:v>0</c:v>
                </c:pt>
                <c:pt idx="7" c:formatCode="General">
                  <c:v>0</c:v>
                </c:pt>
                <c:pt idx="8" c:formatCode="General">
                  <c:v>0</c:v>
                </c:pt>
                <c:pt idx="9" c:formatCode="General">
                  <c:v>0</c:v>
                </c:pt>
                <c:pt idx="10" c:formatCode="General">
                  <c:v>0</c:v>
                </c:pt>
                <c:pt idx="11" c:formatCode="General">
                  <c:v>0</c:v>
                </c:pt>
                <c:pt idx="12" c:formatCode="General">
                  <c:v>0</c:v>
                </c:pt>
                <c:pt idx="13" c:formatCode="General">
                  <c:v>0</c:v>
                </c:pt>
                <c:pt idx="14" c:formatCode="General">
                  <c:v>0</c:v>
                </c:pt>
                <c:pt idx="15" c:formatCode="General">
                  <c:v>0</c:v>
                </c:pt>
                <c:pt idx="16" c:formatCode="General">
                  <c:v>0</c:v>
                </c:pt>
                <c:pt idx="17" c:formatCode="General">
                  <c:v>0</c:v>
                </c:pt>
                <c:pt idx="18" c:formatCode="General">
                  <c:v>0</c:v>
                </c:pt>
                <c:pt idx="19" c:formatCode="General">
                  <c:v>0</c:v>
                </c:pt>
                <c:pt idx="20" c:formatCode="General">
                  <c:v>0</c:v>
                </c:pt>
                <c:pt idx="21" c:formatCode="General">
                  <c:v>0</c:v>
                </c:pt>
                <c:pt idx="22" c:formatCode="General">
                  <c:v>0</c:v>
                </c:pt>
                <c:pt idx="23" c:formatCode="General">
                  <c:v>0</c:v>
                </c:pt>
                <c:pt idx="24" c:formatCode="General">
                  <c:v>0</c:v>
                </c:pt>
                <c:pt idx="25" c:formatCode="General">
                  <c:v>0</c:v>
                </c:pt>
                <c:pt idx="26" c:formatCode="General">
                  <c:v>0</c:v>
                </c:pt>
                <c:pt idx="27" c:formatCode="General">
                  <c:v>0</c:v>
                </c:pt>
                <c:pt idx="28" c:formatCode="General">
                  <c:v>0</c:v>
                </c:pt>
                <c:pt idx="29" c:formatCode="General">
                  <c:v>0</c:v>
                </c:pt>
                <c:pt idx="30" c:formatCode="General">
                  <c:v>0</c:v>
                </c:pt>
                <c:pt idx="31" c:formatCode="General">
                  <c:v>0</c:v>
                </c:pt>
                <c:pt idx="32" c:formatCode="General">
                  <c:v>0</c:v>
                </c:pt>
                <c:pt idx="33" c:formatCode="General">
                  <c:v>0</c:v>
                </c:pt>
                <c:pt idx="34" c:formatCode="General">
                  <c:v>0</c:v>
                </c:pt>
                <c:pt idx="35" c:formatCode="General">
                  <c:v>107.142857142857</c:v>
                </c:pt>
                <c:pt idx="36" c:formatCode="General">
                  <c:v>107.142857142857</c:v>
                </c:pt>
                <c:pt idx="37" c:formatCode="General">
                  <c:v>107.142857142857</c:v>
                </c:pt>
                <c:pt idx="38" c:formatCode="General">
                  <c:v>107.142857142857</c:v>
                </c:pt>
                <c:pt idx="39" c:formatCode="General">
                  <c:v>107.142857142857</c:v>
                </c:pt>
                <c:pt idx="40" c:formatCode="General">
                  <c:v>107.142857142857</c:v>
                </c:pt>
                <c:pt idx="41" c:formatCode="General">
                  <c:v>107.142857142857</c:v>
                </c:pt>
                <c:pt idx="42" c:formatCode="General">
                  <c:v>107.142857142857</c:v>
                </c:pt>
                <c:pt idx="43" c:formatCode="General">
                  <c:v>107.142857142857</c:v>
                </c:pt>
                <c:pt idx="44" c:formatCode="General">
                  <c:v>107.142857142857</c:v>
                </c:pt>
                <c:pt idx="45" c:formatCode="General">
                  <c:v>107.142857142857</c:v>
                </c:pt>
                <c:pt idx="46" c:formatCode="General">
                  <c:v>107.142857142857</c:v>
                </c:pt>
                <c:pt idx="47" c:formatCode="General">
                  <c:v>107.142857142857</c:v>
                </c:pt>
                <c:pt idx="48" c:formatCode="General">
                  <c:v>107.142857142857</c:v>
                </c:pt>
                <c:pt idx="49" c:formatCode="General">
                  <c:v>107.142857142857</c:v>
                </c:pt>
                <c:pt idx="50" c:formatCode="General">
                  <c:v>107.142857142857</c:v>
                </c:pt>
                <c:pt idx="51" c:formatCode="General">
                  <c:v>133.285714285714</c:v>
                </c:pt>
                <c:pt idx="52" c:formatCode="General">
                  <c:v>133.285714285714</c:v>
                </c:pt>
                <c:pt idx="53" c:formatCode="General">
                  <c:v>133.285714285714</c:v>
                </c:pt>
                <c:pt idx="54" c:formatCode="General">
                  <c:v>133.285714285714</c:v>
                </c:pt>
                <c:pt idx="55" c:formatCode="General">
                  <c:v>133.285714285714</c:v>
                </c:pt>
                <c:pt idx="56" c:formatCode="General">
                  <c:v>133.285714285714</c:v>
                </c:pt>
                <c:pt idx="57" c:formatCode="General">
                  <c:v>133.285714285714</c:v>
                </c:pt>
                <c:pt idx="58" c:formatCode="General">
                  <c:v>133.285714285714</c:v>
                </c:pt>
                <c:pt idx="59" c:formatCode="General">
                  <c:v>133.285714285714</c:v>
                </c:pt>
                <c:pt idx="60" c:formatCode="General">
                  <c:v>133.285714285714</c:v>
                </c:pt>
                <c:pt idx="61" c:formatCode="General">
                  <c:v>133.285714285714</c:v>
                </c:pt>
                <c:pt idx="62" c:formatCode="General">
                  <c:v>133.285714285714</c:v>
                </c:pt>
                <c:pt idx="63" c:formatCode="General">
                  <c:v>133.285714285714</c:v>
                </c:pt>
                <c:pt idx="64" c:formatCode="General">
                  <c:v>133.285714285714</c:v>
                </c:pt>
                <c:pt idx="65" c:formatCode="General">
                  <c:v>133.285714285714</c:v>
                </c:pt>
                <c:pt idx="66" c:formatCode="General">
                  <c:v>133.285714285714</c:v>
                </c:pt>
                <c:pt idx="67" c:formatCode="General">
                  <c:v>133.285714285714</c:v>
                </c:pt>
                <c:pt idx="68" c:formatCode="General">
                  <c:v>133.285714285714</c:v>
                </c:pt>
                <c:pt idx="69" c:formatCode="General">
                  <c:v>133.285714285714</c:v>
                </c:pt>
                <c:pt idx="70" c:formatCode="General">
                  <c:v>133.285714285714</c:v>
                </c:pt>
                <c:pt idx="71" c:formatCode="General">
                  <c:v>133.285714285714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1578168688"/>
        <c:axId val="1578172016"/>
      </c:lineChart>
      <c:catAx>
        <c:axId val="157816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78172016"/>
        <c:crosses val="autoZero"/>
        <c:auto val="1"/>
        <c:lblAlgn val="ctr"/>
        <c:lblOffset val="100"/>
        <c:noMultiLvlLbl val="0"/>
      </c:catAx>
      <c:valAx>
        <c:axId val="157817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78168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x-none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zh-CN" altLang="en-US" sz="16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配件材料</a:t>
            </a:r>
            <a:r>
              <a:rPr lang="zh-CN" altLang="zh-CN" sz="1600" b="1" i="0" u="none" strike="noStrike" baseline="0">
                <a:effectLst/>
              </a:rPr>
              <a:t>在各系统中日产出曲线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控制台!$N$1425</c:f>
              <c:strCache>
                <c:ptCount val="1"/>
                <c:pt idx="0">
                  <c:v>军任配材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控制台!$B$1426:$B$1497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控制台!$N$1426:$N$1497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0</c:v>
                </c:pt>
                <c:pt idx="3" c:formatCode="General">
                  <c:v>0</c:v>
                </c:pt>
                <c:pt idx="4" c:formatCode="General">
                  <c:v>0</c:v>
                </c:pt>
                <c:pt idx="5" c:formatCode="General">
                  <c:v>0</c:v>
                </c:pt>
                <c:pt idx="6" c:formatCode="General">
                  <c:v>0</c:v>
                </c:pt>
                <c:pt idx="7" c:formatCode="General">
                  <c:v>0</c:v>
                </c:pt>
                <c:pt idx="8" c:formatCode="General">
                  <c:v>0</c:v>
                </c:pt>
                <c:pt idx="9" c:formatCode="General">
                  <c:v>0</c:v>
                </c:pt>
                <c:pt idx="10" c:formatCode="General">
                  <c:v>0</c:v>
                </c:pt>
                <c:pt idx="11" c:formatCode="General">
                  <c:v>0</c:v>
                </c:pt>
                <c:pt idx="12" c:formatCode="General">
                  <c:v>0</c:v>
                </c:pt>
                <c:pt idx="13" c:formatCode="General">
                  <c:v>0</c:v>
                </c:pt>
                <c:pt idx="14" c:formatCode="General">
                  <c:v>0</c:v>
                </c:pt>
                <c:pt idx="15" c:formatCode="General">
                  <c:v>0</c:v>
                </c:pt>
                <c:pt idx="16" c:formatCode="General">
                  <c:v>0</c:v>
                </c:pt>
                <c:pt idx="17" c:formatCode="General">
                  <c:v>0</c:v>
                </c:pt>
                <c:pt idx="18" c:formatCode="General">
                  <c:v>0</c:v>
                </c:pt>
                <c:pt idx="19" c:formatCode="General">
                  <c:v>0</c:v>
                </c:pt>
                <c:pt idx="20" c:formatCode="General">
                  <c:v>0</c:v>
                </c:pt>
                <c:pt idx="21" c:formatCode="General">
                  <c:v>0</c:v>
                </c:pt>
                <c:pt idx="22" c:formatCode="General">
                  <c:v>216</c:v>
                </c:pt>
                <c:pt idx="23" c:formatCode="General">
                  <c:v>216</c:v>
                </c:pt>
                <c:pt idx="24" c:formatCode="General">
                  <c:v>216</c:v>
                </c:pt>
                <c:pt idx="25" c:formatCode="General">
                  <c:v>216</c:v>
                </c:pt>
                <c:pt idx="26" c:formatCode="General">
                  <c:v>216</c:v>
                </c:pt>
                <c:pt idx="27" c:formatCode="General">
                  <c:v>216</c:v>
                </c:pt>
                <c:pt idx="28" c:formatCode="General">
                  <c:v>216</c:v>
                </c:pt>
                <c:pt idx="29" c:formatCode="General">
                  <c:v>216</c:v>
                </c:pt>
                <c:pt idx="30" c:formatCode="General">
                  <c:v>216</c:v>
                </c:pt>
                <c:pt idx="31" c:formatCode="General">
                  <c:v>216</c:v>
                </c:pt>
                <c:pt idx="32" c:formatCode="General">
                  <c:v>216</c:v>
                </c:pt>
                <c:pt idx="33" c:formatCode="General">
                  <c:v>216</c:v>
                </c:pt>
                <c:pt idx="34" c:formatCode="General">
                  <c:v>216</c:v>
                </c:pt>
                <c:pt idx="35" c:formatCode="General">
                  <c:v>216</c:v>
                </c:pt>
                <c:pt idx="36" c:formatCode="General">
                  <c:v>216</c:v>
                </c:pt>
                <c:pt idx="37" c:formatCode="General">
                  <c:v>216</c:v>
                </c:pt>
                <c:pt idx="38" c:formatCode="General">
                  <c:v>216</c:v>
                </c:pt>
                <c:pt idx="39" c:formatCode="General">
                  <c:v>216</c:v>
                </c:pt>
                <c:pt idx="40" c:formatCode="General">
                  <c:v>216</c:v>
                </c:pt>
                <c:pt idx="41" c:formatCode="General">
                  <c:v>216</c:v>
                </c:pt>
                <c:pt idx="42" c:formatCode="General">
                  <c:v>216</c:v>
                </c:pt>
                <c:pt idx="43" c:formatCode="General">
                  <c:v>360</c:v>
                </c:pt>
                <c:pt idx="44" c:formatCode="General">
                  <c:v>360</c:v>
                </c:pt>
                <c:pt idx="45" c:formatCode="General">
                  <c:v>360</c:v>
                </c:pt>
                <c:pt idx="46" c:formatCode="General">
                  <c:v>360</c:v>
                </c:pt>
                <c:pt idx="47" c:formatCode="General">
                  <c:v>360</c:v>
                </c:pt>
                <c:pt idx="48" c:formatCode="General">
                  <c:v>360</c:v>
                </c:pt>
                <c:pt idx="49" c:formatCode="General">
                  <c:v>360</c:v>
                </c:pt>
                <c:pt idx="50" c:formatCode="General">
                  <c:v>360</c:v>
                </c:pt>
                <c:pt idx="51" c:formatCode="General">
                  <c:v>360</c:v>
                </c:pt>
                <c:pt idx="52" c:formatCode="General">
                  <c:v>360</c:v>
                </c:pt>
                <c:pt idx="53" c:formatCode="General">
                  <c:v>360</c:v>
                </c:pt>
                <c:pt idx="54" c:formatCode="General">
                  <c:v>360</c:v>
                </c:pt>
                <c:pt idx="55" c:formatCode="General">
                  <c:v>360</c:v>
                </c:pt>
                <c:pt idx="56" c:formatCode="General">
                  <c:v>360</c:v>
                </c:pt>
                <c:pt idx="57" c:formatCode="General">
                  <c:v>360</c:v>
                </c:pt>
                <c:pt idx="58" c:formatCode="General">
                  <c:v>600</c:v>
                </c:pt>
                <c:pt idx="59" c:formatCode="General">
                  <c:v>600</c:v>
                </c:pt>
                <c:pt idx="60" c:formatCode="General">
                  <c:v>600</c:v>
                </c:pt>
                <c:pt idx="61" c:formatCode="General">
                  <c:v>600</c:v>
                </c:pt>
                <c:pt idx="62" c:formatCode="General">
                  <c:v>600</c:v>
                </c:pt>
                <c:pt idx="63" c:formatCode="General">
                  <c:v>600</c:v>
                </c:pt>
                <c:pt idx="64" c:formatCode="General">
                  <c:v>600</c:v>
                </c:pt>
                <c:pt idx="65" c:formatCode="General">
                  <c:v>600</c:v>
                </c:pt>
                <c:pt idx="66" c:formatCode="General">
                  <c:v>600</c:v>
                </c:pt>
                <c:pt idx="67" c:formatCode="General">
                  <c:v>600</c:v>
                </c:pt>
                <c:pt idx="68" c:formatCode="General">
                  <c:v>600</c:v>
                </c:pt>
                <c:pt idx="69" c:formatCode="General">
                  <c:v>600</c:v>
                </c:pt>
                <c:pt idx="70" c:formatCode="General">
                  <c:v>600</c:v>
                </c:pt>
                <c:pt idx="71" c:formatCode="General">
                  <c:v>600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控制台!$O$1425</c:f>
              <c:strCache>
                <c:ptCount val="1"/>
                <c:pt idx="0">
                  <c:v>挂机配材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控制台!$B$1426:$B$1497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控制台!$O$1426:$O$1497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0</c:v>
                </c:pt>
                <c:pt idx="3" c:formatCode="General">
                  <c:v>0</c:v>
                </c:pt>
                <c:pt idx="4" c:formatCode="General">
                  <c:v>0</c:v>
                </c:pt>
                <c:pt idx="5" c:formatCode="General">
                  <c:v>0</c:v>
                </c:pt>
                <c:pt idx="6" c:formatCode="General">
                  <c:v>0</c:v>
                </c:pt>
                <c:pt idx="7" c:formatCode="General">
                  <c:v>0</c:v>
                </c:pt>
                <c:pt idx="8" c:formatCode="General">
                  <c:v>0</c:v>
                </c:pt>
                <c:pt idx="9" c:formatCode="General">
                  <c:v>0</c:v>
                </c:pt>
                <c:pt idx="10" c:formatCode="General">
                  <c:v>0</c:v>
                </c:pt>
                <c:pt idx="11" c:formatCode="General">
                  <c:v>15</c:v>
                </c:pt>
                <c:pt idx="12" c:formatCode="General">
                  <c:v>30</c:v>
                </c:pt>
                <c:pt idx="13" c:formatCode="General">
                  <c:v>45</c:v>
                </c:pt>
                <c:pt idx="14" c:formatCode="General">
                  <c:v>75</c:v>
                </c:pt>
                <c:pt idx="15" c:formatCode="General">
                  <c:v>90</c:v>
                </c:pt>
                <c:pt idx="16" c:formatCode="General">
                  <c:v>105</c:v>
                </c:pt>
                <c:pt idx="17" c:formatCode="General">
                  <c:v>120</c:v>
                </c:pt>
                <c:pt idx="18" c:formatCode="General">
                  <c:v>150</c:v>
                </c:pt>
                <c:pt idx="19" c:formatCode="General">
                  <c:v>150</c:v>
                </c:pt>
                <c:pt idx="20" c:formatCode="General">
                  <c:v>165</c:v>
                </c:pt>
                <c:pt idx="21" c:formatCode="General">
                  <c:v>165</c:v>
                </c:pt>
                <c:pt idx="22" c:formatCode="General">
                  <c:v>180</c:v>
                </c:pt>
                <c:pt idx="23" c:formatCode="General">
                  <c:v>195</c:v>
                </c:pt>
                <c:pt idx="24" c:formatCode="General">
                  <c:v>225</c:v>
                </c:pt>
                <c:pt idx="25" c:formatCode="General">
                  <c:v>240</c:v>
                </c:pt>
                <c:pt idx="26" c:formatCode="General">
                  <c:v>255</c:v>
                </c:pt>
                <c:pt idx="27" c:formatCode="General">
                  <c:v>270</c:v>
                </c:pt>
                <c:pt idx="28" c:formatCode="General">
                  <c:v>300</c:v>
                </c:pt>
                <c:pt idx="29" c:formatCode="General">
                  <c:v>330</c:v>
                </c:pt>
                <c:pt idx="30" c:formatCode="General">
                  <c:v>360</c:v>
                </c:pt>
                <c:pt idx="31" c:formatCode="General">
                  <c:v>390</c:v>
                </c:pt>
                <c:pt idx="32" c:formatCode="General">
                  <c:v>420</c:v>
                </c:pt>
                <c:pt idx="33" c:formatCode="General">
                  <c:v>450</c:v>
                </c:pt>
                <c:pt idx="34" c:formatCode="General">
                  <c:v>480</c:v>
                </c:pt>
                <c:pt idx="35" c:formatCode="General">
                  <c:v>510</c:v>
                </c:pt>
                <c:pt idx="36" c:formatCode="General">
                  <c:v>540</c:v>
                </c:pt>
                <c:pt idx="37" c:formatCode="General">
                  <c:v>570</c:v>
                </c:pt>
                <c:pt idx="38" c:formatCode="General">
                  <c:v>600</c:v>
                </c:pt>
                <c:pt idx="39" c:formatCode="General">
                  <c:v>600</c:v>
                </c:pt>
                <c:pt idx="40" c:formatCode="General">
                  <c:v>630</c:v>
                </c:pt>
                <c:pt idx="41" c:formatCode="General">
                  <c:v>660</c:v>
                </c:pt>
                <c:pt idx="42" c:formatCode="General">
                  <c:v>690</c:v>
                </c:pt>
                <c:pt idx="43" c:formatCode="General">
                  <c:v>720</c:v>
                </c:pt>
                <c:pt idx="44" c:formatCode="General">
                  <c:v>750</c:v>
                </c:pt>
                <c:pt idx="45" c:formatCode="General">
                  <c:v>750</c:v>
                </c:pt>
                <c:pt idx="46" c:formatCode="General">
                  <c:v>900</c:v>
                </c:pt>
                <c:pt idx="47" c:formatCode="General">
                  <c:v>990</c:v>
                </c:pt>
                <c:pt idx="48" c:formatCode="General">
                  <c:v>1080</c:v>
                </c:pt>
                <c:pt idx="49" c:formatCode="General">
                  <c:v>1200</c:v>
                </c:pt>
                <c:pt idx="50" c:formatCode="General">
                  <c:v>1260</c:v>
                </c:pt>
                <c:pt idx="51" c:formatCode="General">
                  <c:v>1320</c:v>
                </c:pt>
                <c:pt idx="52" c:formatCode="General">
                  <c:v>1380</c:v>
                </c:pt>
                <c:pt idx="53" c:formatCode="General">
                  <c:v>1440</c:v>
                </c:pt>
                <c:pt idx="54" c:formatCode="General">
                  <c:v>1500</c:v>
                </c:pt>
                <c:pt idx="55" c:formatCode="General">
                  <c:v>1530</c:v>
                </c:pt>
                <c:pt idx="56" c:formatCode="General">
                  <c:v>1560</c:v>
                </c:pt>
                <c:pt idx="57" c:formatCode="General">
                  <c:v>1590</c:v>
                </c:pt>
                <c:pt idx="58" c:formatCode="General">
                  <c:v>1620</c:v>
                </c:pt>
                <c:pt idx="59" c:formatCode="General">
                  <c:v>1650</c:v>
                </c:pt>
                <c:pt idx="60" c:formatCode="General">
                  <c:v>1680</c:v>
                </c:pt>
                <c:pt idx="61" c:formatCode="General">
                  <c:v>1710</c:v>
                </c:pt>
                <c:pt idx="62" c:formatCode="General">
                  <c:v>1740</c:v>
                </c:pt>
                <c:pt idx="63" c:formatCode="General">
                  <c:v>1800</c:v>
                </c:pt>
                <c:pt idx="64" c:formatCode="General">
                  <c:v>1950</c:v>
                </c:pt>
                <c:pt idx="65" c:formatCode="General">
                  <c:v>2100</c:v>
                </c:pt>
                <c:pt idx="66" c:formatCode="General">
                  <c:v>2250</c:v>
                </c:pt>
                <c:pt idx="67" c:formatCode="General">
                  <c:v>2400</c:v>
                </c:pt>
                <c:pt idx="68" c:formatCode="General">
                  <c:v>2550</c:v>
                </c:pt>
                <c:pt idx="69" c:formatCode="General">
                  <c:v>2700</c:v>
                </c:pt>
                <c:pt idx="70" c:formatCode="General">
                  <c:v>2850</c:v>
                </c:pt>
                <c:pt idx="71" c:formatCode="General">
                  <c:v>3000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控制台!$P$1425</c:f>
              <c:strCache>
                <c:ptCount val="1"/>
                <c:pt idx="0">
                  <c:v>黑市配材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控制台!$B$1426:$B$1497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控制台!$P$1426:$P$1497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36</c:v>
                </c:pt>
                <c:pt idx="2" c:formatCode="General">
                  <c:v>36</c:v>
                </c:pt>
                <c:pt idx="3" c:formatCode="General">
                  <c:v>36</c:v>
                </c:pt>
                <c:pt idx="4" c:formatCode="General">
                  <c:v>36</c:v>
                </c:pt>
                <c:pt idx="5" c:formatCode="General">
                  <c:v>36</c:v>
                </c:pt>
                <c:pt idx="6" c:formatCode="General">
                  <c:v>36</c:v>
                </c:pt>
                <c:pt idx="7" c:formatCode="General">
                  <c:v>36</c:v>
                </c:pt>
                <c:pt idx="8" c:formatCode="General">
                  <c:v>36</c:v>
                </c:pt>
                <c:pt idx="9" c:formatCode="General">
                  <c:v>36</c:v>
                </c:pt>
                <c:pt idx="10" c:formatCode="General">
                  <c:v>36</c:v>
                </c:pt>
                <c:pt idx="11" c:formatCode="General">
                  <c:v>36</c:v>
                </c:pt>
                <c:pt idx="12" c:formatCode="General">
                  <c:v>36</c:v>
                </c:pt>
                <c:pt idx="13" c:formatCode="General">
                  <c:v>36</c:v>
                </c:pt>
                <c:pt idx="14" c:formatCode="General">
                  <c:v>36</c:v>
                </c:pt>
                <c:pt idx="15" c:formatCode="General">
                  <c:v>36</c:v>
                </c:pt>
                <c:pt idx="16" c:formatCode="General">
                  <c:v>36</c:v>
                </c:pt>
                <c:pt idx="17" c:formatCode="General">
                  <c:v>36</c:v>
                </c:pt>
                <c:pt idx="18" c:formatCode="General">
                  <c:v>36</c:v>
                </c:pt>
                <c:pt idx="19" c:formatCode="General">
                  <c:v>36</c:v>
                </c:pt>
                <c:pt idx="20" c:formatCode="General">
                  <c:v>36</c:v>
                </c:pt>
                <c:pt idx="21" c:formatCode="General">
                  <c:v>36</c:v>
                </c:pt>
                <c:pt idx="22" c:formatCode="General">
                  <c:v>36</c:v>
                </c:pt>
                <c:pt idx="23" c:formatCode="General">
                  <c:v>72</c:v>
                </c:pt>
                <c:pt idx="24" c:formatCode="General">
                  <c:v>72</c:v>
                </c:pt>
                <c:pt idx="25" c:formatCode="General">
                  <c:v>72</c:v>
                </c:pt>
                <c:pt idx="26" c:formatCode="General">
                  <c:v>72</c:v>
                </c:pt>
                <c:pt idx="27" c:formatCode="General">
                  <c:v>72</c:v>
                </c:pt>
                <c:pt idx="28" c:formatCode="General">
                  <c:v>72</c:v>
                </c:pt>
                <c:pt idx="29" c:formatCode="General">
                  <c:v>72</c:v>
                </c:pt>
                <c:pt idx="30" c:formatCode="General">
                  <c:v>144</c:v>
                </c:pt>
                <c:pt idx="31" c:formatCode="General">
                  <c:v>144</c:v>
                </c:pt>
                <c:pt idx="32" c:formatCode="General">
                  <c:v>144</c:v>
                </c:pt>
                <c:pt idx="33" c:formatCode="General">
                  <c:v>144</c:v>
                </c:pt>
                <c:pt idx="34" c:formatCode="General">
                  <c:v>144</c:v>
                </c:pt>
                <c:pt idx="35" c:formatCode="General">
                  <c:v>144</c:v>
                </c:pt>
                <c:pt idx="36" c:formatCode="General">
                  <c:v>144</c:v>
                </c:pt>
                <c:pt idx="37" c:formatCode="General">
                  <c:v>144</c:v>
                </c:pt>
                <c:pt idx="38" c:formatCode="General">
                  <c:v>144</c:v>
                </c:pt>
                <c:pt idx="39" c:formatCode="General">
                  <c:v>144</c:v>
                </c:pt>
                <c:pt idx="40" c:formatCode="General">
                  <c:v>144</c:v>
                </c:pt>
                <c:pt idx="41" c:formatCode="General">
                  <c:v>144</c:v>
                </c:pt>
                <c:pt idx="42" c:formatCode="General">
                  <c:v>144</c:v>
                </c:pt>
                <c:pt idx="43" c:formatCode="General">
                  <c:v>144</c:v>
                </c:pt>
                <c:pt idx="44" c:formatCode="General">
                  <c:v>144</c:v>
                </c:pt>
                <c:pt idx="45" c:formatCode="General">
                  <c:v>144</c:v>
                </c:pt>
                <c:pt idx="46" c:formatCode="General">
                  <c:v>216</c:v>
                </c:pt>
                <c:pt idx="47" c:formatCode="General">
                  <c:v>216</c:v>
                </c:pt>
                <c:pt idx="48" c:formatCode="General">
                  <c:v>216</c:v>
                </c:pt>
                <c:pt idx="49" c:formatCode="General">
                  <c:v>216</c:v>
                </c:pt>
                <c:pt idx="50" c:formatCode="General">
                  <c:v>216</c:v>
                </c:pt>
                <c:pt idx="51" c:formatCode="General">
                  <c:v>216</c:v>
                </c:pt>
                <c:pt idx="52" c:formatCode="General">
                  <c:v>288</c:v>
                </c:pt>
                <c:pt idx="53" c:formatCode="General">
                  <c:v>288</c:v>
                </c:pt>
                <c:pt idx="54" c:formatCode="General">
                  <c:v>288</c:v>
                </c:pt>
                <c:pt idx="55" c:formatCode="General">
                  <c:v>288</c:v>
                </c:pt>
                <c:pt idx="56" c:formatCode="General">
                  <c:v>288</c:v>
                </c:pt>
                <c:pt idx="57" c:formatCode="General">
                  <c:v>288</c:v>
                </c:pt>
                <c:pt idx="58" c:formatCode="General">
                  <c:v>288</c:v>
                </c:pt>
                <c:pt idx="59" c:formatCode="General">
                  <c:v>288</c:v>
                </c:pt>
                <c:pt idx="60" c:formatCode="General">
                  <c:v>288</c:v>
                </c:pt>
                <c:pt idx="61" c:formatCode="General">
                  <c:v>288</c:v>
                </c:pt>
                <c:pt idx="62" c:formatCode="General">
                  <c:v>288</c:v>
                </c:pt>
                <c:pt idx="63" c:formatCode="General">
                  <c:v>288</c:v>
                </c:pt>
                <c:pt idx="64" c:formatCode="General">
                  <c:v>360</c:v>
                </c:pt>
                <c:pt idx="65" c:formatCode="General">
                  <c:v>360</c:v>
                </c:pt>
                <c:pt idx="66" c:formatCode="General">
                  <c:v>360</c:v>
                </c:pt>
                <c:pt idx="67" c:formatCode="General">
                  <c:v>360</c:v>
                </c:pt>
                <c:pt idx="68" c:formatCode="General">
                  <c:v>360</c:v>
                </c:pt>
                <c:pt idx="69" c:formatCode="General">
                  <c:v>360</c:v>
                </c:pt>
                <c:pt idx="70" c:formatCode="General">
                  <c:v>360</c:v>
                </c:pt>
                <c:pt idx="71" c:formatCode="General">
                  <c:v>360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控制台!$Q$1425</c:f>
              <c:strCache>
                <c:ptCount val="1"/>
                <c:pt idx="0">
                  <c:v>活动配材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控制台!$B$1426:$B$1497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控制台!$Q$1426:$Q$1497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0</c:v>
                </c:pt>
                <c:pt idx="3" c:formatCode="General">
                  <c:v>0</c:v>
                </c:pt>
                <c:pt idx="4" c:formatCode="General">
                  <c:v>0</c:v>
                </c:pt>
                <c:pt idx="5" c:formatCode="General">
                  <c:v>0</c:v>
                </c:pt>
                <c:pt idx="6" c:formatCode="General">
                  <c:v>0</c:v>
                </c:pt>
                <c:pt idx="7" c:formatCode="General">
                  <c:v>0</c:v>
                </c:pt>
                <c:pt idx="8" c:formatCode="General">
                  <c:v>0</c:v>
                </c:pt>
                <c:pt idx="9" c:formatCode="General">
                  <c:v>0</c:v>
                </c:pt>
                <c:pt idx="10" c:formatCode="General">
                  <c:v>0</c:v>
                </c:pt>
                <c:pt idx="11" c:formatCode="General">
                  <c:v>0</c:v>
                </c:pt>
                <c:pt idx="12" c:formatCode="General">
                  <c:v>0</c:v>
                </c:pt>
                <c:pt idx="13" c:formatCode="General">
                  <c:v>0</c:v>
                </c:pt>
                <c:pt idx="14" c:formatCode="General">
                  <c:v>0</c:v>
                </c:pt>
                <c:pt idx="15" c:formatCode="General">
                  <c:v>0</c:v>
                </c:pt>
                <c:pt idx="16" c:formatCode="General">
                  <c:v>0</c:v>
                </c:pt>
                <c:pt idx="17" c:formatCode="General">
                  <c:v>0</c:v>
                </c:pt>
                <c:pt idx="18" c:formatCode="General">
                  <c:v>0</c:v>
                </c:pt>
                <c:pt idx="19" c:formatCode="General">
                  <c:v>0</c:v>
                </c:pt>
                <c:pt idx="20" c:formatCode="General">
                  <c:v>0</c:v>
                </c:pt>
                <c:pt idx="21" c:formatCode="General">
                  <c:v>0</c:v>
                </c:pt>
                <c:pt idx="22" c:formatCode="General">
                  <c:v>0</c:v>
                </c:pt>
                <c:pt idx="23" c:formatCode="General">
                  <c:v>720</c:v>
                </c:pt>
                <c:pt idx="24" c:formatCode="General">
                  <c:v>720</c:v>
                </c:pt>
                <c:pt idx="25" c:formatCode="General">
                  <c:v>720</c:v>
                </c:pt>
                <c:pt idx="26" c:formatCode="General">
                  <c:v>720</c:v>
                </c:pt>
                <c:pt idx="27" c:formatCode="General">
                  <c:v>720</c:v>
                </c:pt>
                <c:pt idx="28" c:formatCode="General">
                  <c:v>720</c:v>
                </c:pt>
                <c:pt idx="29" c:formatCode="General">
                  <c:v>720</c:v>
                </c:pt>
                <c:pt idx="30" c:formatCode="General">
                  <c:v>1440</c:v>
                </c:pt>
                <c:pt idx="31" c:formatCode="General">
                  <c:v>1440</c:v>
                </c:pt>
                <c:pt idx="32" c:formatCode="General">
                  <c:v>1440</c:v>
                </c:pt>
                <c:pt idx="33" c:formatCode="General">
                  <c:v>1440</c:v>
                </c:pt>
                <c:pt idx="34" c:formatCode="General">
                  <c:v>1440</c:v>
                </c:pt>
                <c:pt idx="35" c:formatCode="General">
                  <c:v>1440</c:v>
                </c:pt>
                <c:pt idx="36" c:formatCode="General">
                  <c:v>1440</c:v>
                </c:pt>
                <c:pt idx="37" c:formatCode="General">
                  <c:v>1440</c:v>
                </c:pt>
                <c:pt idx="38" c:formatCode="General">
                  <c:v>1440</c:v>
                </c:pt>
                <c:pt idx="39" c:formatCode="General">
                  <c:v>1440</c:v>
                </c:pt>
                <c:pt idx="40" c:formatCode="General">
                  <c:v>1440</c:v>
                </c:pt>
                <c:pt idx="41" c:formatCode="General">
                  <c:v>1440</c:v>
                </c:pt>
                <c:pt idx="42" c:formatCode="General">
                  <c:v>1440</c:v>
                </c:pt>
                <c:pt idx="43" c:formatCode="General">
                  <c:v>1440</c:v>
                </c:pt>
                <c:pt idx="44" c:formatCode="General">
                  <c:v>1440</c:v>
                </c:pt>
                <c:pt idx="45" c:formatCode="General">
                  <c:v>1440</c:v>
                </c:pt>
                <c:pt idx="46" c:formatCode="General">
                  <c:v>2160</c:v>
                </c:pt>
                <c:pt idx="47" c:formatCode="General">
                  <c:v>2160</c:v>
                </c:pt>
                <c:pt idx="48" c:formatCode="General">
                  <c:v>2160</c:v>
                </c:pt>
                <c:pt idx="49" c:formatCode="General">
                  <c:v>2160</c:v>
                </c:pt>
                <c:pt idx="50" c:formatCode="General">
                  <c:v>2160</c:v>
                </c:pt>
                <c:pt idx="51" c:formatCode="General">
                  <c:v>2160</c:v>
                </c:pt>
                <c:pt idx="52" c:formatCode="General">
                  <c:v>2880</c:v>
                </c:pt>
                <c:pt idx="53" c:formatCode="General">
                  <c:v>2880</c:v>
                </c:pt>
                <c:pt idx="54" c:formatCode="General">
                  <c:v>2880</c:v>
                </c:pt>
                <c:pt idx="55" c:formatCode="General">
                  <c:v>2880</c:v>
                </c:pt>
                <c:pt idx="56" c:formatCode="General">
                  <c:v>2880</c:v>
                </c:pt>
                <c:pt idx="57" c:formatCode="General">
                  <c:v>2880</c:v>
                </c:pt>
                <c:pt idx="58" c:formatCode="General">
                  <c:v>2880</c:v>
                </c:pt>
                <c:pt idx="59" c:formatCode="General">
                  <c:v>2880</c:v>
                </c:pt>
                <c:pt idx="60" c:formatCode="General">
                  <c:v>2880</c:v>
                </c:pt>
                <c:pt idx="61" c:formatCode="General">
                  <c:v>2880</c:v>
                </c:pt>
                <c:pt idx="62" c:formatCode="General">
                  <c:v>2880</c:v>
                </c:pt>
                <c:pt idx="63" c:formatCode="General">
                  <c:v>2880</c:v>
                </c:pt>
                <c:pt idx="64" c:formatCode="General">
                  <c:v>3600</c:v>
                </c:pt>
                <c:pt idx="65" c:formatCode="General">
                  <c:v>3600</c:v>
                </c:pt>
                <c:pt idx="66" c:formatCode="General">
                  <c:v>3600</c:v>
                </c:pt>
                <c:pt idx="67" c:formatCode="General">
                  <c:v>3600</c:v>
                </c:pt>
                <c:pt idx="68" c:formatCode="General">
                  <c:v>3600</c:v>
                </c:pt>
                <c:pt idx="69" c:formatCode="General">
                  <c:v>3600</c:v>
                </c:pt>
                <c:pt idx="70" c:formatCode="General">
                  <c:v>3600</c:v>
                </c:pt>
                <c:pt idx="71" c:formatCode="General">
                  <c:v>3600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控制台!$R$1425</c:f>
              <c:strCache>
                <c:ptCount val="1"/>
                <c:pt idx="0">
                  <c:v>VIP箱配材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控制台!$B$1426:$B$1497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控制台!$R$1426:$R$1497</c:f>
              <c:numCache>
                <c:formatCode>General</c:formatCode>
                <c:ptCount val="72"/>
                <c:pt idx="0" c:formatCode="General">
                  <c:v>1</c:v>
                </c:pt>
                <c:pt idx="1" c:formatCode="General">
                  <c:v>0</c:v>
                </c:pt>
                <c:pt idx="2" c:formatCode="General">
                  <c:v>0</c:v>
                </c:pt>
                <c:pt idx="3" c:formatCode="General">
                  <c:v>0</c:v>
                </c:pt>
                <c:pt idx="4" c:formatCode="General">
                  <c:v>0</c:v>
                </c:pt>
                <c:pt idx="5" c:formatCode="General">
                  <c:v>0</c:v>
                </c:pt>
                <c:pt idx="6" c:formatCode="General">
                  <c:v>0</c:v>
                </c:pt>
                <c:pt idx="7" c:formatCode="General">
                  <c:v>0</c:v>
                </c:pt>
                <c:pt idx="8" c:formatCode="General">
                  <c:v>0</c:v>
                </c:pt>
                <c:pt idx="9" c:formatCode="General">
                  <c:v>0</c:v>
                </c:pt>
                <c:pt idx="10" c:formatCode="General">
                  <c:v>0</c:v>
                </c:pt>
                <c:pt idx="11" c:formatCode="General">
                  <c:v>0</c:v>
                </c:pt>
                <c:pt idx="12" c:formatCode="General">
                  <c:v>0</c:v>
                </c:pt>
                <c:pt idx="13" c:formatCode="General">
                  <c:v>0</c:v>
                </c:pt>
                <c:pt idx="14" c:formatCode="General">
                  <c:v>0</c:v>
                </c:pt>
                <c:pt idx="15" c:formatCode="General">
                  <c:v>0</c:v>
                </c:pt>
                <c:pt idx="16" c:formatCode="General">
                  <c:v>0</c:v>
                </c:pt>
                <c:pt idx="17" c:formatCode="General">
                  <c:v>0</c:v>
                </c:pt>
                <c:pt idx="18" c:formatCode="General">
                  <c:v>0</c:v>
                </c:pt>
                <c:pt idx="19" c:formatCode="General">
                  <c:v>0</c:v>
                </c:pt>
                <c:pt idx="20" c:formatCode="General">
                  <c:v>0</c:v>
                </c:pt>
                <c:pt idx="21" c:formatCode="General">
                  <c:v>0</c:v>
                </c:pt>
                <c:pt idx="22" c:formatCode="General">
                  <c:v>0</c:v>
                </c:pt>
                <c:pt idx="23" c:formatCode="General">
                  <c:v>0</c:v>
                </c:pt>
                <c:pt idx="24" c:formatCode="General">
                  <c:v>0</c:v>
                </c:pt>
                <c:pt idx="25" c:formatCode="General">
                  <c:v>0</c:v>
                </c:pt>
                <c:pt idx="26" c:formatCode="General">
                  <c:v>0</c:v>
                </c:pt>
                <c:pt idx="27" c:formatCode="General">
                  <c:v>0</c:v>
                </c:pt>
                <c:pt idx="28" c:formatCode="General">
                  <c:v>0</c:v>
                </c:pt>
                <c:pt idx="29" c:formatCode="General">
                  <c:v>0</c:v>
                </c:pt>
                <c:pt idx="30" c:formatCode="General">
                  <c:v>0</c:v>
                </c:pt>
                <c:pt idx="31" c:formatCode="General">
                  <c:v>0</c:v>
                </c:pt>
                <c:pt idx="32" c:formatCode="General">
                  <c:v>0</c:v>
                </c:pt>
                <c:pt idx="33" c:formatCode="General">
                  <c:v>0</c:v>
                </c:pt>
                <c:pt idx="34" c:formatCode="General">
                  <c:v>0</c:v>
                </c:pt>
                <c:pt idx="35" c:formatCode="General">
                  <c:v>0</c:v>
                </c:pt>
                <c:pt idx="36" c:formatCode="General">
                  <c:v>0</c:v>
                </c:pt>
                <c:pt idx="37" c:formatCode="General">
                  <c:v>0</c:v>
                </c:pt>
                <c:pt idx="38" c:formatCode="General">
                  <c:v>0</c:v>
                </c:pt>
                <c:pt idx="39" c:formatCode="General">
                  <c:v>0</c:v>
                </c:pt>
                <c:pt idx="40" c:formatCode="General">
                  <c:v>0</c:v>
                </c:pt>
                <c:pt idx="41" c:formatCode="General">
                  <c:v>0</c:v>
                </c:pt>
                <c:pt idx="42" c:formatCode="General">
                  <c:v>0</c:v>
                </c:pt>
                <c:pt idx="43" c:formatCode="General">
                  <c:v>0</c:v>
                </c:pt>
                <c:pt idx="44" c:formatCode="General">
                  <c:v>0</c:v>
                </c:pt>
                <c:pt idx="45" c:formatCode="General">
                  <c:v>0</c:v>
                </c:pt>
                <c:pt idx="46" c:formatCode="General">
                  <c:v>0</c:v>
                </c:pt>
                <c:pt idx="47" c:formatCode="General">
                  <c:v>0</c:v>
                </c:pt>
                <c:pt idx="48" c:formatCode="General">
                  <c:v>0</c:v>
                </c:pt>
                <c:pt idx="49" c:formatCode="General">
                  <c:v>0</c:v>
                </c:pt>
                <c:pt idx="50" c:formatCode="General">
                  <c:v>0</c:v>
                </c:pt>
                <c:pt idx="51" c:formatCode="General">
                  <c:v>600</c:v>
                </c:pt>
                <c:pt idx="52" c:formatCode="General">
                  <c:v>600</c:v>
                </c:pt>
                <c:pt idx="53" c:formatCode="General">
                  <c:v>600</c:v>
                </c:pt>
                <c:pt idx="54" c:formatCode="General">
                  <c:v>600</c:v>
                </c:pt>
                <c:pt idx="55" c:formatCode="General">
                  <c:v>600</c:v>
                </c:pt>
                <c:pt idx="56" c:formatCode="General">
                  <c:v>600</c:v>
                </c:pt>
                <c:pt idx="57" c:formatCode="General">
                  <c:v>600</c:v>
                </c:pt>
                <c:pt idx="58" c:formatCode="General">
                  <c:v>600</c:v>
                </c:pt>
                <c:pt idx="59" c:formatCode="General">
                  <c:v>600</c:v>
                </c:pt>
                <c:pt idx="60" c:formatCode="General">
                  <c:v>600</c:v>
                </c:pt>
                <c:pt idx="61" c:formatCode="General">
                  <c:v>600</c:v>
                </c:pt>
                <c:pt idx="62" c:formatCode="General">
                  <c:v>600</c:v>
                </c:pt>
                <c:pt idx="63" c:formatCode="General">
                  <c:v>600</c:v>
                </c:pt>
                <c:pt idx="64" c:formatCode="General">
                  <c:v>600</c:v>
                </c:pt>
                <c:pt idx="65" c:formatCode="General">
                  <c:v>600</c:v>
                </c:pt>
                <c:pt idx="66" c:formatCode="General">
                  <c:v>600</c:v>
                </c:pt>
                <c:pt idx="67" c:formatCode="General">
                  <c:v>1200</c:v>
                </c:pt>
                <c:pt idx="68" c:formatCode="General">
                  <c:v>1200</c:v>
                </c:pt>
                <c:pt idx="69" c:formatCode="General">
                  <c:v>1200</c:v>
                </c:pt>
                <c:pt idx="70" c:formatCode="General">
                  <c:v>1200</c:v>
                </c:pt>
                <c:pt idx="71" c:formatCode="General">
                  <c:v>1200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1578168688"/>
        <c:axId val="1578172016"/>
      </c:lineChart>
      <c:catAx>
        <c:axId val="157816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78172016"/>
        <c:crosses val="autoZero"/>
        <c:auto val="1"/>
        <c:lblAlgn val="ctr"/>
        <c:lblOffset val="100"/>
        <c:noMultiLvlLbl val="0"/>
      </c:catAx>
      <c:valAx>
        <c:axId val="157817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78168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x-none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zh-CN" altLang="en-US" sz="16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军官经验</a:t>
            </a:r>
            <a:r>
              <a:rPr lang="zh-CN" altLang="zh-CN" sz="1600" b="1" i="0" u="none" strike="noStrike" baseline="0">
                <a:effectLst/>
              </a:rPr>
              <a:t>在各系统中日产出曲线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控制台!$J$1659</c:f>
              <c:strCache>
                <c:ptCount val="1"/>
                <c:pt idx="0">
                  <c:v>军任军经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控制台!$B$1660:$B$1731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控制台!$J$1660:$J$1731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0</c:v>
                </c:pt>
                <c:pt idx="3" c:formatCode="General">
                  <c:v>0</c:v>
                </c:pt>
                <c:pt idx="4" c:formatCode="General">
                  <c:v>0</c:v>
                </c:pt>
                <c:pt idx="5" c:formatCode="General">
                  <c:v>0</c:v>
                </c:pt>
                <c:pt idx="6" c:formatCode="General">
                  <c:v>0</c:v>
                </c:pt>
                <c:pt idx="7" c:formatCode="General">
                  <c:v>0</c:v>
                </c:pt>
                <c:pt idx="8" c:formatCode="General">
                  <c:v>0</c:v>
                </c:pt>
                <c:pt idx="9" c:formatCode="General">
                  <c:v>0</c:v>
                </c:pt>
                <c:pt idx="10" c:formatCode="General">
                  <c:v>0</c:v>
                </c:pt>
                <c:pt idx="11" c:formatCode="General">
                  <c:v>592800</c:v>
                </c:pt>
                <c:pt idx="12" c:formatCode="General">
                  <c:v>1185600</c:v>
                </c:pt>
                <c:pt idx="13" c:formatCode="General">
                  <c:v>1185600</c:v>
                </c:pt>
                <c:pt idx="14" c:formatCode="General">
                  <c:v>1185600</c:v>
                </c:pt>
                <c:pt idx="15" c:formatCode="General">
                  <c:v>1185600</c:v>
                </c:pt>
                <c:pt idx="16" c:formatCode="General">
                  <c:v>1185600</c:v>
                </c:pt>
                <c:pt idx="17" c:formatCode="General">
                  <c:v>1185600</c:v>
                </c:pt>
                <c:pt idx="18" c:formatCode="General">
                  <c:v>1185600</c:v>
                </c:pt>
                <c:pt idx="19" c:formatCode="General">
                  <c:v>1185600</c:v>
                </c:pt>
                <c:pt idx="20" c:formatCode="General">
                  <c:v>1185600</c:v>
                </c:pt>
                <c:pt idx="21" c:formatCode="General">
                  <c:v>1185600</c:v>
                </c:pt>
                <c:pt idx="22" c:formatCode="General">
                  <c:v>1573600</c:v>
                </c:pt>
                <c:pt idx="23" c:formatCode="General">
                  <c:v>1573600</c:v>
                </c:pt>
                <c:pt idx="24" c:formatCode="General">
                  <c:v>1573600</c:v>
                </c:pt>
                <c:pt idx="25" c:formatCode="General">
                  <c:v>1573600</c:v>
                </c:pt>
                <c:pt idx="26" c:formatCode="General">
                  <c:v>1573600</c:v>
                </c:pt>
                <c:pt idx="27" c:formatCode="General">
                  <c:v>1573600</c:v>
                </c:pt>
                <c:pt idx="28" c:formatCode="General">
                  <c:v>1573600</c:v>
                </c:pt>
                <c:pt idx="29" c:formatCode="General">
                  <c:v>1573600</c:v>
                </c:pt>
                <c:pt idx="30" c:formatCode="General">
                  <c:v>1573600</c:v>
                </c:pt>
                <c:pt idx="31" c:formatCode="General">
                  <c:v>1573600</c:v>
                </c:pt>
                <c:pt idx="32" c:formatCode="General">
                  <c:v>1573600</c:v>
                </c:pt>
                <c:pt idx="33" c:formatCode="General">
                  <c:v>1573600</c:v>
                </c:pt>
                <c:pt idx="34" c:formatCode="General">
                  <c:v>1573600</c:v>
                </c:pt>
                <c:pt idx="35" c:formatCode="General">
                  <c:v>1573600</c:v>
                </c:pt>
                <c:pt idx="36" c:formatCode="General">
                  <c:v>1573600</c:v>
                </c:pt>
                <c:pt idx="37" c:formatCode="General">
                  <c:v>1573600</c:v>
                </c:pt>
                <c:pt idx="38" c:formatCode="General">
                  <c:v>1573600</c:v>
                </c:pt>
                <c:pt idx="39" c:formatCode="General">
                  <c:v>1573600</c:v>
                </c:pt>
                <c:pt idx="40" c:formatCode="General">
                  <c:v>1573600</c:v>
                </c:pt>
                <c:pt idx="41" c:formatCode="General">
                  <c:v>1573600</c:v>
                </c:pt>
                <c:pt idx="42" c:formatCode="General">
                  <c:v>1573600</c:v>
                </c:pt>
                <c:pt idx="43" c:formatCode="General">
                  <c:v>1800000</c:v>
                </c:pt>
                <c:pt idx="44" c:formatCode="General">
                  <c:v>1800000</c:v>
                </c:pt>
                <c:pt idx="45" c:formatCode="General">
                  <c:v>1800000</c:v>
                </c:pt>
                <c:pt idx="46" c:formatCode="General">
                  <c:v>1800000</c:v>
                </c:pt>
                <c:pt idx="47" c:formatCode="General">
                  <c:v>1800000</c:v>
                </c:pt>
                <c:pt idx="48" c:formatCode="General">
                  <c:v>1800000</c:v>
                </c:pt>
                <c:pt idx="49" c:formatCode="General">
                  <c:v>1800000</c:v>
                </c:pt>
                <c:pt idx="50" c:formatCode="General">
                  <c:v>1800000</c:v>
                </c:pt>
                <c:pt idx="51" c:formatCode="General">
                  <c:v>1800000</c:v>
                </c:pt>
                <c:pt idx="52" c:formatCode="General">
                  <c:v>1800000</c:v>
                </c:pt>
                <c:pt idx="53" c:formatCode="General">
                  <c:v>1800000</c:v>
                </c:pt>
                <c:pt idx="54" c:formatCode="General">
                  <c:v>1800000</c:v>
                </c:pt>
                <c:pt idx="55" c:formatCode="General">
                  <c:v>1800000</c:v>
                </c:pt>
                <c:pt idx="56" c:formatCode="General">
                  <c:v>1800000</c:v>
                </c:pt>
                <c:pt idx="57" c:formatCode="General">
                  <c:v>1800000</c:v>
                </c:pt>
                <c:pt idx="58" c:formatCode="General">
                  <c:v>1994000</c:v>
                </c:pt>
                <c:pt idx="59" c:formatCode="General">
                  <c:v>1994000</c:v>
                </c:pt>
                <c:pt idx="60" c:formatCode="General">
                  <c:v>1994000</c:v>
                </c:pt>
                <c:pt idx="61" c:formatCode="General">
                  <c:v>1994000</c:v>
                </c:pt>
                <c:pt idx="62" c:formatCode="General">
                  <c:v>1994000</c:v>
                </c:pt>
                <c:pt idx="63" c:formatCode="General">
                  <c:v>1994000</c:v>
                </c:pt>
                <c:pt idx="64" c:formatCode="General">
                  <c:v>1994000</c:v>
                </c:pt>
                <c:pt idx="65" c:formatCode="General">
                  <c:v>1994000</c:v>
                </c:pt>
                <c:pt idx="66" c:formatCode="General">
                  <c:v>1994000</c:v>
                </c:pt>
                <c:pt idx="67" c:formatCode="General">
                  <c:v>1994000</c:v>
                </c:pt>
                <c:pt idx="68" c:formatCode="General">
                  <c:v>1994000</c:v>
                </c:pt>
                <c:pt idx="69" c:formatCode="General">
                  <c:v>1994000</c:v>
                </c:pt>
                <c:pt idx="70" c:formatCode="General">
                  <c:v>1994000</c:v>
                </c:pt>
                <c:pt idx="71" c:formatCode="General">
                  <c:v>1994000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1578168688"/>
        <c:axId val="1578172016"/>
      </c:lineChart>
      <c:catAx>
        <c:axId val="157816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78172016"/>
        <c:crosses val="autoZero"/>
        <c:auto val="1"/>
        <c:lblAlgn val="ctr"/>
        <c:lblOffset val="100"/>
        <c:noMultiLvlLbl val="0"/>
      </c:catAx>
      <c:valAx>
        <c:axId val="157817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78168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x-none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zh-CN" altLang="en-US" sz="16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阵营经验</a:t>
            </a:r>
            <a:r>
              <a:rPr lang="zh-CN" altLang="zh-CN" sz="1600" b="1" i="0" u="none" strike="noStrike" baseline="0">
                <a:effectLst/>
              </a:rPr>
              <a:t>在各系统中日产出曲线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控制台!$F$1813</c:f>
              <c:strCache>
                <c:ptCount val="1"/>
                <c:pt idx="0">
                  <c:v>军任阵经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控制台!$B$1814:$B$1885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控制台!$F$1814:$F$1885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0</c:v>
                </c:pt>
                <c:pt idx="3" c:formatCode="General">
                  <c:v>0</c:v>
                </c:pt>
                <c:pt idx="4" c:formatCode="General">
                  <c:v>0</c:v>
                </c:pt>
                <c:pt idx="5" c:formatCode="General">
                  <c:v>0</c:v>
                </c:pt>
                <c:pt idx="6" c:formatCode="General">
                  <c:v>0</c:v>
                </c:pt>
                <c:pt idx="7" c:formatCode="General">
                  <c:v>0</c:v>
                </c:pt>
                <c:pt idx="8" c:formatCode="General">
                  <c:v>0</c:v>
                </c:pt>
                <c:pt idx="9" c:formatCode="General">
                  <c:v>0</c:v>
                </c:pt>
                <c:pt idx="10" c:formatCode="General">
                  <c:v>0</c:v>
                </c:pt>
                <c:pt idx="11" c:formatCode="General">
                  <c:v>12960</c:v>
                </c:pt>
                <c:pt idx="12" c:formatCode="General">
                  <c:v>34560</c:v>
                </c:pt>
                <c:pt idx="13" c:formatCode="General">
                  <c:v>56160</c:v>
                </c:pt>
                <c:pt idx="14" c:formatCode="General">
                  <c:v>77760</c:v>
                </c:pt>
                <c:pt idx="15" c:formatCode="General">
                  <c:v>99360</c:v>
                </c:pt>
                <c:pt idx="16" c:formatCode="General">
                  <c:v>120960</c:v>
                </c:pt>
                <c:pt idx="17" c:formatCode="General">
                  <c:v>142560</c:v>
                </c:pt>
                <c:pt idx="18" c:formatCode="General">
                  <c:v>164160</c:v>
                </c:pt>
                <c:pt idx="19" c:formatCode="General">
                  <c:v>185760</c:v>
                </c:pt>
                <c:pt idx="20" c:formatCode="General">
                  <c:v>207360</c:v>
                </c:pt>
                <c:pt idx="21" c:formatCode="General">
                  <c:v>228960</c:v>
                </c:pt>
                <c:pt idx="22" c:formatCode="General">
                  <c:v>293760</c:v>
                </c:pt>
                <c:pt idx="23" c:formatCode="General">
                  <c:v>423360</c:v>
                </c:pt>
                <c:pt idx="24" c:formatCode="General">
                  <c:v>552960</c:v>
                </c:pt>
                <c:pt idx="25" c:formatCode="General">
                  <c:v>682560</c:v>
                </c:pt>
                <c:pt idx="26" c:formatCode="General">
                  <c:v>812160</c:v>
                </c:pt>
                <c:pt idx="27" c:formatCode="General">
                  <c:v>941760</c:v>
                </c:pt>
                <c:pt idx="28" c:formatCode="General">
                  <c:v>1071360</c:v>
                </c:pt>
                <c:pt idx="29" c:formatCode="General">
                  <c:v>1200960</c:v>
                </c:pt>
                <c:pt idx="30" c:formatCode="General">
                  <c:v>1330560</c:v>
                </c:pt>
                <c:pt idx="31" c:formatCode="General">
                  <c:v>1460160</c:v>
                </c:pt>
                <c:pt idx="32" c:formatCode="General">
                  <c:v>1589760</c:v>
                </c:pt>
                <c:pt idx="33" c:formatCode="General">
                  <c:v>1719360</c:v>
                </c:pt>
                <c:pt idx="34" c:formatCode="General">
                  <c:v>1848960</c:v>
                </c:pt>
                <c:pt idx="35" c:formatCode="General">
                  <c:v>1978560</c:v>
                </c:pt>
                <c:pt idx="36" c:formatCode="General">
                  <c:v>2108160</c:v>
                </c:pt>
                <c:pt idx="37" c:formatCode="General">
                  <c:v>2237760</c:v>
                </c:pt>
                <c:pt idx="38" c:formatCode="General">
                  <c:v>2367360</c:v>
                </c:pt>
                <c:pt idx="39" c:formatCode="General">
                  <c:v>2496960</c:v>
                </c:pt>
                <c:pt idx="40" c:formatCode="General">
                  <c:v>2626560</c:v>
                </c:pt>
                <c:pt idx="41" c:formatCode="General">
                  <c:v>2756160</c:v>
                </c:pt>
                <c:pt idx="42" c:formatCode="General">
                  <c:v>2885760</c:v>
                </c:pt>
                <c:pt idx="43" c:formatCode="General">
                  <c:v>3101760</c:v>
                </c:pt>
                <c:pt idx="44" c:formatCode="General">
                  <c:v>3317760</c:v>
                </c:pt>
                <c:pt idx="45" c:formatCode="General">
                  <c:v>3533760</c:v>
                </c:pt>
                <c:pt idx="46" c:formatCode="General">
                  <c:v>4613760</c:v>
                </c:pt>
                <c:pt idx="47" c:formatCode="General">
                  <c:v>5693760</c:v>
                </c:pt>
                <c:pt idx="48" c:formatCode="General">
                  <c:v>6773760</c:v>
                </c:pt>
                <c:pt idx="49" c:formatCode="General">
                  <c:v>7853760</c:v>
                </c:pt>
                <c:pt idx="50" c:formatCode="General">
                  <c:v>8933760</c:v>
                </c:pt>
                <c:pt idx="51" c:formatCode="General">
                  <c:v>10013760</c:v>
                </c:pt>
                <c:pt idx="52" c:formatCode="General">
                  <c:v>11093760</c:v>
                </c:pt>
                <c:pt idx="53" c:formatCode="General">
                  <c:v>12173760</c:v>
                </c:pt>
                <c:pt idx="54" c:formatCode="General">
                  <c:v>13253760</c:v>
                </c:pt>
                <c:pt idx="55" c:formatCode="General">
                  <c:v>14333760</c:v>
                </c:pt>
                <c:pt idx="56" c:formatCode="General">
                  <c:v>15413760</c:v>
                </c:pt>
                <c:pt idx="57" c:formatCode="General">
                  <c:v>16493760</c:v>
                </c:pt>
                <c:pt idx="58" c:formatCode="General">
                  <c:v>18293760</c:v>
                </c:pt>
                <c:pt idx="59" c:formatCode="General">
                  <c:v>20093760</c:v>
                </c:pt>
                <c:pt idx="60" c:formatCode="General">
                  <c:v>21893760</c:v>
                </c:pt>
                <c:pt idx="61" c:formatCode="General">
                  <c:v>23693760</c:v>
                </c:pt>
                <c:pt idx="62" c:formatCode="General">
                  <c:v>25493760</c:v>
                </c:pt>
                <c:pt idx="63" c:formatCode="General">
                  <c:v>27293760</c:v>
                </c:pt>
                <c:pt idx="64" c:formatCode="General">
                  <c:v>38093760</c:v>
                </c:pt>
                <c:pt idx="65" c:formatCode="General">
                  <c:v>48893760</c:v>
                </c:pt>
                <c:pt idx="66" c:formatCode="General">
                  <c:v>59693760</c:v>
                </c:pt>
                <c:pt idx="67" c:formatCode="General">
                  <c:v>70493760</c:v>
                </c:pt>
                <c:pt idx="68" c:formatCode="General">
                  <c:v>81293760</c:v>
                </c:pt>
                <c:pt idx="69" c:formatCode="General">
                  <c:v>92093760</c:v>
                </c:pt>
                <c:pt idx="70" c:formatCode="General">
                  <c:v>102893760</c:v>
                </c:pt>
                <c:pt idx="71" c:formatCode="General">
                  <c:v>113693760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控制台!$L$1813</c:f>
              <c:strCache>
                <c:ptCount val="1"/>
                <c:pt idx="0">
                  <c:v>卡重复阵经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val>
            <c:numRef>
              <c:f>控制台!$L$1814:$L$1885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8455.55555555555</c:v>
                </c:pt>
                <c:pt idx="2" c:formatCode="General">
                  <c:v>16930.9511111111</c:v>
                </c:pt>
                <c:pt idx="3" c:formatCode="General">
                  <c:v>25406.3466666667</c:v>
                </c:pt>
                <c:pt idx="4" c:formatCode="General">
                  <c:v>34079.36</c:v>
                </c:pt>
                <c:pt idx="5" c:formatCode="General">
                  <c:v>42752.3733333333</c:v>
                </c:pt>
                <c:pt idx="6" c:formatCode="General">
                  <c:v>51445.2266666667</c:v>
                </c:pt>
                <c:pt idx="7" c:formatCode="General">
                  <c:v>60138.08</c:v>
                </c:pt>
                <c:pt idx="8" c:formatCode="General">
                  <c:v>68851.4133333333</c:v>
                </c:pt>
                <c:pt idx="9" c:formatCode="General">
                  <c:v>77564.7466666667</c:v>
                </c:pt>
                <c:pt idx="10" c:formatCode="General">
                  <c:v>86475.6977777778</c:v>
                </c:pt>
                <c:pt idx="11" c:formatCode="General">
                  <c:v>131078.453333333</c:v>
                </c:pt>
                <c:pt idx="12" c:formatCode="General">
                  <c:v>175732.408888889</c:v>
                </c:pt>
                <c:pt idx="13" c:formatCode="General">
                  <c:v>220437.564444444</c:v>
                </c:pt>
                <c:pt idx="14" c:formatCode="General">
                  <c:v>265241.92</c:v>
                </c:pt>
                <c:pt idx="15" c:formatCode="General">
                  <c:v>310097.475555556</c:v>
                </c:pt>
                <c:pt idx="16" c:formatCode="General">
                  <c:v>356778.808888889</c:v>
                </c:pt>
                <c:pt idx="17" c:formatCode="General">
                  <c:v>403511.342222222</c:v>
                </c:pt>
                <c:pt idx="18" c:formatCode="General">
                  <c:v>450343.075555556</c:v>
                </c:pt>
                <c:pt idx="19" c:formatCode="General">
                  <c:v>497174.808888889</c:v>
                </c:pt>
                <c:pt idx="20" c:formatCode="General">
                  <c:v>544057.742222222</c:v>
                </c:pt>
                <c:pt idx="21" c:formatCode="General">
                  <c:v>590940.675555556</c:v>
                </c:pt>
                <c:pt idx="22" c:formatCode="General">
                  <c:v>640271.608888889</c:v>
                </c:pt>
                <c:pt idx="23" c:formatCode="General">
                  <c:v>700035.875555555</c:v>
                </c:pt>
                <c:pt idx="24" c:formatCode="General">
                  <c:v>772950.923174603</c:v>
                </c:pt>
                <c:pt idx="25" c:formatCode="General">
                  <c:v>845968.370793651</c:v>
                </c:pt>
                <c:pt idx="26" c:formatCode="General">
                  <c:v>919081.818412698</c:v>
                </c:pt>
                <c:pt idx="27" c:formatCode="General">
                  <c:v>992297.666031746</c:v>
                </c:pt>
                <c:pt idx="28" c:formatCode="General">
                  <c:v>1065711.91365079</c:v>
                </c:pt>
                <c:pt idx="29" c:formatCode="General">
                  <c:v>1139228.56126984</c:v>
                </c:pt>
                <c:pt idx="30" c:formatCode="General">
                  <c:v>1241514.27555556</c:v>
                </c:pt>
                <c:pt idx="31" c:formatCode="General">
                  <c:v>1343895.98984127</c:v>
                </c:pt>
                <c:pt idx="32" c:formatCode="General">
                  <c:v>1446380.10412698</c:v>
                </c:pt>
                <c:pt idx="33" c:formatCode="General">
                  <c:v>1548960.2184127</c:v>
                </c:pt>
                <c:pt idx="34" c:formatCode="General">
                  <c:v>1651642.73269841</c:v>
                </c:pt>
                <c:pt idx="35" c:formatCode="General">
                  <c:v>1761538.75809524</c:v>
                </c:pt>
                <c:pt idx="36" c:formatCode="General">
                  <c:v>1871530.78349206</c:v>
                </c:pt>
                <c:pt idx="37" c:formatCode="General">
                  <c:v>1981625.20888889</c:v>
                </c:pt>
                <c:pt idx="38" c:formatCode="General">
                  <c:v>2091822.03428571</c:v>
                </c:pt>
                <c:pt idx="39" c:formatCode="General">
                  <c:v>2202018.85968254</c:v>
                </c:pt>
                <c:pt idx="40" c:formatCode="General">
                  <c:v>2312414.08507936</c:v>
                </c:pt>
                <c:pt idx="41" c:formatCode="General">
                  <c:v>2423007.71047619</c:v>
                </c:pt>
                <c:pt idx="42" c:formatCode="General">
                  <c:v>2533799.73587302</c:v>
                </c:pt>
                <c:pt idx="43" c:formatCode="General">
                  <c:v>2647996.56126984</c:v>
                </c:pt>
                <c:pt idx="44" c:formatCode="General">
                  <c:v>2762391.78666667</c:v>
                </c:pt>
                <c:pt idx="45" c:formatCode="General">
                  <c:v>2882120.34539682</c:v>
                </c:pt>
                <c:pt idx="46" c:formatCode="General">
                  <c:v>3629088.47238095</c:v>
                </c:pt>
                <c:pt idx="47" c:formatCode="General">
                  <c:v>4379064.59936508</c:v>
                </c:pt>
                <c:pt idx="48" c:formatCode="General">
                  <c:v>5132048.72634921</c:v>
                </c:pt>
                <c:pt idx="49" c:formatCode="General">
                  <c:v>5889032.85333333</c:v>
                </c:pt>
                <c:pt idx="50" c:formatCode="General">
                  <c:v>6648000.98031746</c:v>
                </c:pt>
                <c:pt idx="51" c:formatCode="General">
                  <c:v>7447080.34539683</c:v>
                </c:pt>
                <c:pt idx="52" c:formatCode="General">
                  <c:v>8391477.04380952</c:v>
                </c:pt>
                <c:pt idx="53" c:formatCode="General">
                  <c:v>9337889.74222222</c:v>
                </c:pt>
                <c:pt idx="54" c:formatCode="General">
                  <c:v>10286286.4406349</c:v>
                </c:pt>
                <c:pt idx="55" c:formatCode="General">
                  <c:v>11235675.1390476</c:v>
                </c:pt>
                <c:pt idx="56" c:formatCode="General">
                  <c:v>12186087.8374603</c:v>
                </c:pt>
                <c:pt idx="57" c:formatCode="General">
                  <c:v>13208603.6469841</c:v>
                </c:pt>
                <c:pt idx="58" c:formatCode="General">
                  <c:v>14258778.1231746</c:v>
                </c:pt>
                <c:pt idx="59" c:formatCode="General">
                  <c:v>15309944.5993651</c:v>
                </c:pt>
                <c:pt idx="60" c:formatCode="General">
                  <c:v>16362135.0755556</c:v>
                </c:pt>
                <c:pt idx="61" c:formatCode="General">
                  <c:v>17415317.551746</c:v>
                </c:pt>
                <c:pt idx="62" c:formatCode="General">
                  <c:v>18469492.0279365</c:v>
                </c:pt>
                <c:pt idx="63" c:formatCode="General">
                  <c:v>19525682.504127</c:v>
                </c:pt>
                <c:pt idx="64" c:formatCode="General">
                  <c:v>26752777.3612698</c:v>
                </c:pt>
                <c:pt idx="65" c:formatCode="General">
                  <c:v>34009824.2184127</c:v>
                </c:pt>
                <c:pt idx="66" c:formatCode="General">
                  <c:v>41296823.0755556</c:v>
                </c:pt>
                <c:pt idx="67" c:formatCode="General">
                  <c:v>48613965.9326984</c:v>
                </c:pt>
                <c:pt idx="68" c:formatCode="General">
                  <c:v>55961060.7898413</c:v>
                </c:pt>
                <c:pt idx="69" c:formatCode="General">
                  <c:v>63338107.6469841</c:v>
                </c:pt>
                <c:pt idx="70" c:formatCode="General">
                  <c:v>70745106.504127</c:v>
                </c:pt>
                <c:pt idx="71" c:formatCode="General">
                  <c:v>78182249.3612698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1578168688"/>
        <c:axId val="1578172016"/>
      </c:lineChart>
      <c:catAx>
        <c:axId val="157816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78172016"/>
        <c:crosses val="autoZero"/>
        <c:auto val="1"/>
        <c:lblAlgn val="ctr"/>
        <c:lblOffset val="100"/>
        <c:noMultiLvlLbl val="0"/>
      </c:catAx>
      <c:valAx>
        <c:axId val="157817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78168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x-none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zh-CN"/>
              <a:t>资源</a:t>
            </a:r>
            <a:r>
              <a:rPr lang="zh-CN" altLang="zh-CN" sz="1600" b="1" i="0" u="none" strike="noStrike" baseline="0">
                <a:effectLst/>
              </a:rPr>
              <a:t>日产出曲线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控制台!$AU$106</c:f>
              <c:strCache>
                <c:ptCount val="1"/>
                <c:pt idx="0">
                  <c:v>资源日产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控制台!$B$107:$B$178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控制台!$AU$107:$AU$178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2401788</c:v>
                </c:pt>
                <c:pt idx="2" c:formatCode="General">
                  <c:v>2403786</c:v>
                </c:pt>
                <c:pt idx="3" c:formatCode="General">
                  <c:v>2405784</c:v>
                </c:pt>
                <c:pt idx="4" c:formatCode="General">
                  <c:v>2887782</c:v>
                </c:pt>
                <c:pt idx="5" c:formatCode="General">
                  <c:v>2889780</c:v>
                </c:pt>
                <c:pt idx="6" c:formatCode="General">
                  <c:v>2891378.4</c:v>
                </c:pt>
                <c:pt idx="7" c:formatCode="General">
                  <c:v>2892976.8</c:v>
                </c:pt>
                <c:pt idx="8" c:formatCode="General">
                  <c:v>2894575.2</c:v>
                </c:pt>
                <c:pt idx="9" c:formatCode="General">
                  <c:v>2896173.6</c:v>
                </c:pt>
                <c:pt idx="10" c:formatCode="General">
                  <c:v>3605544</c:v>
                </c:pt>
                <c:pt idx="11" c:formatCode="General">
                  <c:v>4093056</c:v>
                </c:pt>
                <c:pt idx="12" c:formatCode="General">
                  <c:v>4202976</c:v>
                </c:pt>
                <c:pt idx="13" c:formatCode="General">
                  <c:v>4721956.5</c:v>
                </c:pt>
                <c:pt idx="14" c:formatCode="General">
                  <c:v>4729449</c:v>
                </c:pt>
                <c:pt idx="15" c:formatCode="General">
                  <c:v>5255922</c:v>
                </c:pt>
                <c:pt idx="16" c:formatCode="General">
                  <c:v>7298868</c:v>
                </c:pt>
                <c:pt idx="17" c:formatCode="General">
                  <c:v>8099816.25</c:v>
                </c:pt>
                <c:pt idx="18" c:formatCode="General">
                  <c:v>8118547.5</c:v>
                </c:pt>
                <c:pt idx="19" c:formatCode="General">
                  <c:v>8930734.5</c:v>
                </c:pt>
                <c:pt idx="20" c:formatCode="General">
                  <c:v>8983212</c:v>
                </c:pt>
                <c:pt idx="21" c:formatCode="General">
                  <c:v>9937756.5</c:v>
                </c:pt>
                <c:pt idx="22" c:formatCode="General">
                  <c:v>10527099</c:v>
                </c:pt>
                <c:pt idx="23" c:formatCode="General">
                  <c:v>14128896</c:v>
                </c:pt>
                <c:pt idx="24" c:formatCode="General">
                  <c:v>15369684</c:v>
                </c:pt>
                <c:pt idx="25" c:formatCode="General">
                  <c:v>16652400</c:v>
                </c:pt>
                <c:pt idx="26" c:formatCode="General">
                  <c:v>16682370</c:v>
                </c:pt>
                <c:pt idx="27" c:formatCode="General">
                  <c:v>16712340</c:v>
                </c:pt>
                <c:pt idx="28" c:formatCode="General">
                  <c:v>16742310</c:v>
                </c:pt>
                <c:pt idx="29" c:formatCode="General">
                  <c:v>20039040</c:v>
                </c:pt>
                <c:pt idx="30" c:formatCode="General">
                  <c:v>22479000</c:v>
                </c:pt>
                <c:pt idx="31" c:formatCode="General">
                  <c:v>22518960</c:v>
                </c:pt>
                <c:pt idx="32" c:formatCode="General">
                  <c:v>22558920</c:v>
                </c:pt>
                <c:pt idx="33" c:formatCode="General">
                  <c:v>22598880</c:v>
                </c:pt>
                <c:pt idx="34" c:formatCode="General">
                  <c:v>22638840</c:v>
                </c:pt>
                <c:pt idx="35" c:formatCode="General">
                  <c:v>24628800</c:v>
                </c:pt>
                <c:pt idx="36" c:formatCode="General">
                  <c:v>25028400</c:v>
                </c:pt>
                <c:pt idx="37" c:formatCode="General">
                  <c:v>25428000</c:v>
                </c:pt>
                <c:pt idx="38" c:formatCode="General">
                  <c:v>25827600</c:v>
                </c:pt>
                <c:pt idx="39" c:formatCode="General">
                  <c:v>26227200</c:v>
                </c:pt>
                <c:pt idx="40" c:formatCode="General">
                  <c:v>26322342.8571428</c:v>
                </c:pt>
                <c:pt idx="41" c:formatCode="General">
                  <c:v>26417485.7142857</c:v>
                </c:pt>
                <c:pt idx="42" c:formatCode="General">
                  <c:v>26512628.5714286</c:v>
                </c:pt>
                <c:pt idx="43" c:formatCode="General">
                  <c:v>30687214.2857143</c:v>
                </c:pt>
                <c:pt idx="44" c:formatCode="General">
                  <c:v>30806142.8571429</c:v>
                </c:pt>
                <c:pt idx="45" c:formatCode="General">
                  <c:v>30955071.4285714</c:v>
                </c:pt>
                <c:pt idx="46" c:formatCode="General">
                  <c:v>33949714.2857143</c:v>
                </c:pt>
                <c:pt idx="47" c:formatCode="General">
                  <c:v>34544357.1428571</c:v>
                </c:pt>
                <c:pt idx="48" c:formatCode="General">
                  <c:v>35139000</c:v>
                </c:pt>
                <c:pt idx="49" c:formatCode="General">
                  <c:v>35638500</c:v>
                </c:pt>
                <c:pt idx="50" c:formatCode="General">
                  <c:v>36138000</c:v>
                </c:pt>
                <c:pt idx="51" c:formatCode="General">
                  <c:v>36667500</c:v>
                </c:pt>
                <c:pt idx="52" c:formatCode="General">
                  <c:v>39150750</c:v>
                </c:pt>
                <c:pt idx="53" c:formatCode="General">
                  <c:v>39234000</c:v>
                </c:pt>
                <c:pt idx="54" c:formatCode="General">
                  <c:v>39317250</c:v>
                </c:pt>
                <c:pt idx="55" c:formatCode="General">
                  <c:v>39400500</c:v>
                </c:pt>
                <c:pt idx="56" c:formatCode="General">
                  <c:v>39483750</c:v>
                </c:pt>
                <c:pt idx="57" c:formatCode="General">
                  <c:v>41997000</c:v>
                </c:pt>
                <c:pt idx="58" c:formatCode="General">
                  <c:v>42893250</c:v>
                </c:pt>
                <c:pt idx="59" c:formatCode="General">
                  <c:v>43309500</c:v>
                </c:pt>
                <c:pt idx="60" c:formatCode="General">
                  <c:v>43725750</c:v>
                </c:pt>
                <c:pt idx="61" c:formatCode="General">
                  <c:v>44142000</c:v>
                </c:pt>
                <c:pt idx="62" c:formatCode="General">
                  <c:v>44558250</c:v>
                </c:pt>
                <c:pt idx="63" c:formatCode="General">
                  <c:v>44974500</c:v>
                </c:pt>
                <c:pt idx="64" c:formatCode="General">
                  <c:v>49902000</c:v>
                </c:pt>
                <c:pt idx="65" c:formatCode="General">
                  <c:v>49973357.1428572</c:v>
                </c:pt>
                <c:pt idx="66" c:formatCode="General">
                  <c:v>50044714.2857142</c:v>
                </c:pt>
                <c:pt idx="67" c:formatCode="General">
                  <c:v>50146071.4285714</c:v>
                </c:pt>
                <c:pt idx="68" c:formatCode="General">
                  <c:v>50217428.5714286</c:v>
                </c:pt>
                <c:pt idx="69" c:formatCode="General">
                  <c:v>50288785.7142858</c:v>
                </c:pt>
                <c:pt idx="70" c:formatCode="General">
                  <c:v>50360142.8571428</c:v>
                </c:pt>
                <c:pt idx="71" c:formatCode="General">
                  <c:v>50461500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0"/>
        <c:smooth val="0"/>
        <c:axId val="1578168688"/>
        <c:axId val="1578172016"/>
      </c:lineChart>
      <c:catAx>
        <c:axId val="157816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78172016"/>
        <c:crosses val="autoZero"/>
        <c:auto val="1"/>
        <c:lblAlgn val="ctr"/>
        <c:lblOffset val="100"/>
        <c:noMultiLvlLbl val="0"/>
      </c:catAx>
      <c:valAx>
        <c:axId val="157817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78168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x-none"/>
      </a:pPr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zh-CN"/>
              <a:t>加速</a:t>
            </a:r>
            <a:r>
              <a:rPr lang="zh-CN" altLang="en-US"/>
              <a:t>日产出曲线</a:t>
            </a:r>
            <a:endParaRPr lang="zh-CN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控制台!$AV$106</c:f>
              <c:strCache>
                <c:ptCount val="1"/>
                <c:pt idx="0">
                  <c:v>加速日产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控制台!$B$107:$B$178</c:f>
              <c:numCache>
                <c:formatCode>General</c:formatCode>
                <c:ptCount val="7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35</c:v>
                </c:pt>
                <c:pt idx="47">
                  <c:v>40</c:v>
                </c:pt>
                <c:pt idx="48">
                  <c:v>45</c:v>
                </c:pt>
                <c:pt idx="49">
                  <c:v>50</c:v>
                </c:pt>
                <c:pt idx="50">
                  <c:v>55</c:v>
                </c:pt>
                <c:pt idx="51">
                  <c:v>60</c:v>
                </c:pt>
                <c:pt idx="52">
                  <c:v>65</c:v>
                </c:pt>
                <c:pt idx="53">
                  <c:v>70</c:v>
                </c:pt>
                <c:pt idx="54">
                  <c:v>75</c:v>
                </c:pt>
                <c:pt idx="55">
                  <c:v>80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105</c:v>
                </c:pt>
                <c:pt idx="61">
                  <c:v>110</c:v>
                </c:pt>
                <c:pt idx="62">
                  <c:v>115</c:v>
                </c:pt>
                <c:pt idx="63">
                  <c:v>120</c:v>
                </c:pt>
                <c:pt idx="64">
                  <c:v>150</c:v>
                </c:pt>
                <c:pt idx="65">
                  <c:v>180</c:v>
                </c:pt>
                <c:pt idx="66">
                  <c:v>210</c:v>
                </c:pt>
                <c:pt idx="67">
                  <c:v>240</c:v>
                </c:pt>
                <c:pt idx="68">
                  <c:v>270</c:v>
                </c:pt>
                <c:pt idx="69">
                  <c:v>300</c:v>
                </c:pt>
                <c:pt idx="70">
                  <c:v>330</c:v>
                </c:pt>
                <c:pt idx="71">
                  <c:v>360</c:v>
                </c:pt>
              </c:numCache>
            </c:numRef>
          </c:cat>
          <c:val>
            <c:numRef>
              <c:f>控制台!$AV$107:$AV$178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5249.04</c:v>
                </c:pt>
                <c:pt idx="2" c:formatCode="General">
                  <c:v>5249.04</c:v>
                </c:pt>
                <c:pt idx="3" c:formatCode="General">
                  <c:v>5249.04</c:v>
                </c:pt>
                <c:pt idx="4" c:formatCode="General">
                  <c:v>5249.04</c:v>
                </c:pt>
                <c:pt idx="5" c:formatCode="General">
                  <c:v>5249.04</c:v>
                </c:pt>
                <c:pt idx="6" c:formatCode="General">
                  <c:v>5249.04</c:v>
                </c:pt>
                <c:pt idx="7" c:formatCode="General">
                  <c:v>5249.04</c:v>
                </c:pt>
                <c:pt idx="8" c:formatCode="General">
                  <c:v>6689.04000000001</c:v>
                </c:pt>
                <c:pt idx="9" c:formatCode="General">
                  <c:v>6689.04</c:v>
                </c:pt>
                <c:pt idx="10" c:formatCode="General">
                  <c:v>7124.04</c:v>
                </c:pt>
                <c:pt idx="11" c:formatCode="General">
                  <c:v>7124.04</c:v>
                </c:pt>
                <c:pt idx="12" c:formatCode="General">
                  <c:v>7139.04</c:v>
                </c:pt>
                <c:pt idx="13" c:formatCode="General">
                  <c:v>7139.04</c:v>
                </c:pt>
                <c:pt idx="14" c:formatCode="General">
                  <c:v>7304.04</c:v>
                </c:pt>
                <c:pt idx="15" c:formatCode="General">
                  <c:v>7304.04</c:v>
                </c:pt>
                <c:pt idx="16" c:formatCode="General">
                  <c:v>7319.04</c:v>
                </c:pt>
                <c:pt idx="17" c:formatCode="General">
                  <c:v>7319.04</c:v>
                </c:pt>
                <c:pt idx="18" c:formatCode="General">
                  <c:v>7334.04</c:v>
                </c:pt>
                <c:pt idx="19" c:formatCode="General">
                  <c:v>7334.04</c:v>
                </c:pt>
                <c:pt idx="20" c:formatCode="General">
                  <c:v>7503.32571428571</c:v>
                </c:pt>
                <c:pt idx="21" c:formatCode="General">
                  <c:v>7503.32571428571</c:v>
                </c:pt>
                <c:pt idx="22" c:formatCode="General">
                  <c:v>9082.74171428571</c:v>
                </c:pt>
                <c:pt idx="23" c:formatCode="General">
                  <c:v>10387.9817142857</c:v>
                </c:pt>
                <c:pt idx="24" c:formatCode="General">
                  <c:v>10537.9817142857</c:v>
                </c:pt>
                <c:pt idx="25" c:formatCode="General">
                  <c:v>10552.9817142857</c:v>
                </c:pt>
                <c:pt idx="26" c:formatCode="General">
                  <c:v>10552.9817142857</c:v>
                </c:pt>
                <c:pt idx="27" c:formatCode="General">
                  <c:v>10552.9817142857</c:v>
                </c:pt>
                <c:pt idx="28" c:formatCode="General">
                  <c:v>10747.9817142857</c:v>
                </c:pt>
                <c:pt idx="29" c:formatCode="General">
                  <c:v>10747.9817142857</c:v>
                </c:pt>
                <c:pt idx="30" c:formatCode="General">
                  <c:v>12176.4617142857</c:v>
                </c:pt>
                <c:pt idx="31" c:formatCode="General">
                  <c:v>12191.4617142857</c:v>
                </c:pt>
                <c:pt idx="32" c:formatCode="General">
                  <c:v>12191.4617142857</c:v>
                </c:pt>
                <c:pt idx="33" c:formatCode="General">
                  <c:v>12191.4617142857</c:v>
                </c:pt>
                <c:pt idx="34" c:formatCode="General">
                  <c:v>12206.4617142857</c:v>
                </c:pt>
                <c:pt idx="35" c:formatCode="General">
                  <c:v>13646.4617142857</c:v>
                </c:pt>
                <c:pt idx="36" c:formatCode="General">
                  <c:v>13646.4617142857</c:v>
                </c:pt>
                <c:pt idx="37" c:formatCode="General">
                  <c:v>13736.4617142857</c:v>
                </c:pt>
                <c:pt idx="38" c:formatCode="General">
                  <c:v>13736.4617142857</c:v>
                </c:pt>
                <c:pt idx="39" c:formatCode="General">
                  <c:v>13736.4617142857</c:v>
                </c:pt>
                <c:pt idx="40" c:formatCode="General">
                  <c:v>13886.4617142857</c:v>
                </c:pt>
                <c:pt idx="41" c:formatCode="General">
                  <c:v>13886.4617142857</c:v>
                </c:pt>
                <c:pt idx="42" c:formatCode="General">
                  <c:v>13886.4617142857</c:v>
                </c:pt>
                <c:pt idx="43" c:formatCode="General">
                  <c:v>13969.4057142857</c:v>
                </c:pt>
                <c:pt idx="44" c:formatCode="General">
                  <c:v>13969.4057142857</c:v>
                </c:pt>
                <c:pt idx="45" c:formatCode="General">
                  <c:v>13969.4057142857</c:v>
                </c:pt>
                <c:pt idx="46" c:formatCode="General">
                  <c:v>16162.8857142857</c:v>
                </c:pt>
                <c:pt idx="47" c:formatCode="General">
                  <c:v>16177.8857142857</c:v>
                </c:pt>
                <c:pt idx="48" c:formatCode="General">
                  <c:v>16372.8857142857</c:v>
                </c:pt>
                <c:pt idx="49" c:formatCode="General">
                  <c:v>16387.8857142857</c:v>
                </c:pt>
                <c:pt idx="50" c:formatCode="General">
                  <c:v>16477.8857142857</c:v>
                </c:pt>
                <c:pt idx="51" c:formatCode="General">
                  <c:v>16477.8857142857</c:v>
                </c:pt>
                <c:pt idx="52" c:formatCode="General">
                  <c:v>18086.3657142857</c:v>
                </c:pt>
                <c:pt idx="53" c:formatCode="General">
                  <c:v>18101.3657142857</c:v>
                </c:pt>
                <c:pt idx="54" c:formatCode="General">
                  <c:v>18206.3657142857</c:v>
                </c:pt>
                <c:pt idx="55" c:formatCode="General">
                  <c:v>18266.3657142857</c:v>
                </c:pt>
                <c:pt idx="56" c:formatCode="General">
                  <c:v>18401.3657142857</c:v>
                </c:pt>
                <c:pt idx="57" c:formatCode="General">
                  <c:v>18401.3657142857</c:v>
                </c:pt>
                <c:pt idx="58" c:formatCode="General">
                  <c:v>18539.6057142857</c:v>
                </c:pt>
                <c:pt idx="59" c:formatCode="General">
                  <c:v>18539.6057142857</c:v>
                </c:pt>
                <c:pt idx="60" c:formatCode="General">
                  <c:v>18539.6057142857</c:v>
                </c:pt>
                <c:pt idx="61" c:formatCode="General">
                  <c:v>18539.6057142857</c:v>
                </c:pt>
                <c:pt idx="62" c:formatCode="General">
                  <c:v>18539.6057142857</c:v>
                </c:pt>
                <c:pt idx="63" c:formatCode="General">
                  <c:v>19229.6057142857</c:v>
                </c:pt>
                <c:pt idx="64" c:formatCode="General">
                  <c:v>21753.0857142857</c:v>
                </c:pt>
                <c:pt idx="65" c:formatCode="General">
                  <c:v>21813.0857142857</c:v>
                </c:pt>
                <c:pt idx="66" c:formatCode="General">
                  <c:v>21813.0857142857</c:v>
                </c:pt>
                <c:pt idx="67" c:formatCode="General">
                  <c:v>21813.0857142857</c:v>
                </c:pt>
                <c:pt idx="68" c:formatCode="General">
                  <c:v>21813.0857142857</c:v>
                </c:pt>
                <c:pt idx="69" c:formatCode="General">
                  <c:v>21813.0857142857</c:v>
                </c:pt>
                <c:pt idx="70" c:formatCode="General">
                  <c:v>21813.0857142857</c:v>
                </c:pt>
                <c:pt idx="71" c:formatCode="General">
                  <c:v>21813.0857142857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1578168688"/>
        <c:axId val="1578172016"/>
      </c:lineChart>
      <c:catAx>
        <c:axId val="157816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78172016"/>
        <c:crosses val="autoZero"/>
        <c:auto val="1"/>
        <c:lblAlgn val="ctr"/>
        <c:lblOffset val="100"/>
        <c:noMultiLvlLbl val="0"/>
      </c:catAx>
      <c:valAx>
        <c:axId val="157817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78168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x-none"/>
      </a:pPr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zh-CN"/>
              <a:t>卡牌</a:t>
            </a:r>
            <a:r>
              <a:rPr lang="zh-CN" altLang="en-US"/>
              <a:t>日产出曲线</a:t>
            </a:r>
            <a:endParaRPr lang="zh-CN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控制台!$AA$704</c:f>
              <c:strCache>
                <c:ptCount val="1"/>
                <c:pt idx="0">
                  <c:v>卡牌日产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val>
            <c:numRef>
              <c:f>控制台!$AA$705:$AA$776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2.68333333333333</c:v>
                </c:pt>
                <c:pt idx="2" c:formatCode="General">
                  <c:v>2.71309333333333</c:v>
                </c:pt>
                <c:pt idx="3" c:formatCode="General">
                  <c:v>2.71309333333333</c:v>
                </c:pt>
                <c:pt idx="4" c:formatCode="General">
                  <c:v>3.00952</c:v>
                </c:pt>
                <c:pt idx="5" c:formatCode="General">
                  <c:v>3.00952</c:v>
                </c:pt>
                <c:pt idx="6" c:formatCode="General">
                  <c:v>3.03928</c:v>
                </c:pt>
                <c:pt idx="7" c:formatCode="General">
                  <c:v>3.03928</c:v>
                </c:pt>
                <c:pt idx="8" c:formatCode="General">
                  <c:v>3.07</c:v>
                </c:pt>
                <c:pt idx="9" c:formatCode="General">
                  <c:v>3.07</c:v>
                </c:pt>
                <c:pt idx="10" c:formatCode="General">
                  <c:v>3.36642666666667</c:v>
                </c:pt>
                <c:pt idx="11" c:formatCode="General">
                  <c:v>3.38082666666667</c:v>
                </c:pt>
                <c:pt idx="12" c:formatCode="General">
                  <c:v>3.39618666666667</c:v>
                </c:pt>
                <c:pt idx="13" c:formatCode="General">
                  <c:v>3.41154666666667</c:v>
                </c:pt>
                <c:pt idx="14" c:formatCode="General">
                  <c:v>3.44130666666667</c:v>
                </c:pt>
                <c:pt idx="15" c:formatCode="General">
                  <c:v>3.45666666666667</c:v>
                </c:pt>
                <c:pt idx="16" c:formatCode="General">
                  <c:v>4.0044</c:v>
                </c:pt>
                <c:pt idx="17" c:formatCode="General">
                  <c:v>4.01976</c:v>
                </c:pt>
                <c:pt idx="18" c:formatCode="General">
                  <c:v>4.04952</c:v>
                </c:pt>
                <c:pt idx="19" c:formatCode="General">
                  <c:v>4.04952</c:v>
                </c:pt>
                <c:pt idx="20" c:formatCode="General">
                  <c:v>4.06488</c:v>
                </c:pt>
                <c:pt idx="21" c:formatCode="General">
                  <c:v>4.06488</c:v>
                </c:pt>
                <c:pt idx="22" c:formatCode="General">
                  <c:v>4.79928</c:v>
                </c:pt>
                <c:pt idx="23" c:formatCode="General">
                  <c:v>8.96464</c:v>
                </c:pt>
                <c:pt idx="24" c:formatCode="General">
                  <c:v>10.9372571428571</c:v>
                </c:pt>
                <c:pt idx="25" c:formatCode="General">
                  <c:v>10.9526171428571</c:v>
                </c:pt>
                <c:pt idx="26" c:formatCode="General">
                  <c:v>10.9670171428571</c:v>
                </c:pt>
                <c:pt idx="27" c:formatCode="General">
                  <c:v>10.9823771428571</c:v>
                </c:pt>
                <c:pt idx="28" c:formatCode="General">
                  <c:v>11.0121371428571</c:v>
                </c:pt>
                <c:pt idx="29" c:formatCode="General">
                  <c:v>11.0274971428571</c:v>
                </c:pt>
                <c:pt idx="30" c:formatCode="General">
                  <c:v>15.3428571428571</c:v>
                </c:pt>
                <c:pt idx="31" c:formatCode="General">
                  <c:v>15.3572571428571</c:v>
                </c:pt>
                <c:pt idx="32" c:formatCode="General">
                  <c:v>15.3726171428571</c:v>
                </c:pt>
                <c:pt idx="33" c:formatCode="General">
                  <c:v>15.3870171428571</c:v>
                </c:pt>
                <c:pt idx="34" c:formatCode="General">
                  <c:v>15.4023771428571</c:v>
                </c:pt>
                <c:pt idx="35" c:formatCode="General">
                  <c:v>16.4844038095238</c:v>
                </c:pt>
                <c:pt idx="36" c:formatCode="General">
                  <c:v>16.4988038095238</c:v>
                </c:pt>
                <c:pt idx="37" c:formatCode="General">
                  <c:v>16.5141638095238</c:v>
                </c:pt>
                <c:pt idx="38" c:formatCode="General">
                  <c:v>16.5295238095238</c:v>
                </c:pt>
                <c:pt idx="39" c:formatCode="General">
                  <c:v>16.5295238095238</c:v>
                </c:pt>
                <c:pt idx="40" c:formatCode="General">
                  <c:v>16.5592838095238</c:v>
                </c:pt>
                <c:pt idx="41" c:formatCode="General">
                  <c:v>16.5890438095238</c:v>
                </c:pt>
                <c:pt idx="42" c:formatCode="General">
                  <c:v>16.6188038095238</c:v>
                </c:pt>
                <c:pt idx="43" c:formatCode="General">
                  <c:v>17.1295238095238</c:v>
                </c:pt>
                <c:pt idx="44" c:formatCode="General">
                  <c:v>17.1592838095238</c:v>
                </c:pt>
                <c:pt idx="45" c:formatCode="General">
                  <c:v>17.9592838095238</c:v>
                </c:pt>
                <c:pt idx="46" c:formatCode="General">
                  <c:v>22.4090438095238</c:v>
                </c:pt>
                <c:pt idx="47" c:formatCode="General">
                  <c:v>22.4992838095238</c:v>
                </c:pt>
                <c:pt idx="48" c:formatCode="General">
                  <c:v>22.5895238095238</c:v>
                </c:pt>
                <c:pt idx="49" c:formatCode="General">
                  <c:v>22.7095238095238</c:v>
                </c:pt>
                <c:pt idx="50" c:formatCode="General">
                  <c:v>22.7690438095238</c:v>
                </c:pt>
                <c:pt idx="51" c:formatCode="General">
                  <c:v>23.972380952381</c:v>
                </c:pt>
                <c:pt idx="52" c:formatCode="General">
                  <c:v>28.331900952381</c:v>
                </c:pt>
                <c:pt idx="53" c:formatCode="General">
                  <c:v>28.392380952381</c:v>
                </c:pt>
                <c:pt idx="54" c:formatCode="General">
                  <c:v>28.451900952381</c:v>
                </c:pt>
                <c:pt idx="55" c:formatCode="General">
                  <c:v>28.481660952381</c:v>
                </c:pt>
                <c:pt idx="56" c:formatCode="General">
                  <c:v>28.512380952381</c:v>
                </c:pt>
                <c:pt idx="57" c:formatCode="General">
                  <c:v>30.6754742857143</c:v>
                </c:pt>
                <c:pt idx="58" c:formatCode="General">
                  <c:v>31.5052342857143</c:v>
                </c:pt>
                <c:pt idx="59" c:formatCode="General">
                  <c:v>31.5349942857143</c:v>
                </c:pt>
                <c:pt idx="60" c:formatCode="General">
                  <c:v>31.5657142857143</c:v>
                </c:pt>
                <c:pt idx="61" c:formatCode="General">
                  <c:v>31.5954742857143</c:v>
                </c:pt>
                <c:pt idx="62" c:formatCode="General">
                  <c:v>31.6252342857143</c:v>
                </c:pt>
                <c:pt idx="63" c:formatCode="General">
                  <c:v>31.6857142857143</c:v>
                </c:pt>
                <c:pt idx="64" c:formatCode="General">
                  <c:v>36.1354742857143</c:v>
                </c:pt>
                <c:pt idx="65" c:formatCode="General">
                  <c:v>36.2852342857143</c:v>
                </c:pt>
                <c:pt idx="66" c:formatCode="General">
                  <c:v>36.4349942857143</c:v>
                </c:pt>
                <c:pt idx="67" c:formatCode="General">
                  <c:v>36.5857142857143</c:v>
                </c:pt>
                <c:pt idx="68" c:formatCode="General">
                  <c:v>36.7354742857143</c:v>
                </c:pt>
                <c:pt idx="69" c:formatCode="General">
                  <c:v>36.8852342857143</c:v>
                </c:pt>
                <c:pt idx="70" c:formatCode="General">
                  <c:v>37.0349942857143</c:v>
                </c:pt>
                <c:pt idx="71" c:formatCode="General">
                  <c:v>37.1857142857143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1578168688"/>
        <c:axId val="1578172016"/>
      </c:lineChart>
      <c:catAx>
        <c:axId val="157816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78172016"/>
        <c:crosses val="autoZero"/>
        <c:auto val="1"/>
        <c:lblAlgn val="ctr"/>
        <c:lblOffset val="100"/>
        <c:noMultiLvlLbl val="0"/>
      </c:catAx>
      <c:valAx>
        <c:axId val="157817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78168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x-none"/>
      </a:pPr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zh-CN" altLang="en-US"/>
              <a:t>空</a:t>
            </a:r>
            <a:r>
              <a:rPr lang="zh-CN"/>
              <a:t>军经验</a:t>
            </a:r>
            <a:r>
              <a:rPr lang="zh-CN" altLang="zh-CN" sz="1600" b="1" i="0" u="none" strike="noStrike" baseline="0">
                <a:effectLst/>
              </a:rPr>
              <a:t>在各系统中日产出曲线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控制台!$Y$1006</c:f>
              <c:strCache>
                <c:ptCount val="1"/>
                <c:pt idx="0">
                  <c:v>挂机空经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val>
            <c:numRef>
              <c:f>控制台!$Y$1007:$Y$1080</c:f>
              <c:numCache>
                <c:formatCode>General</c:formatCode>
                <c:ptCount val="74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0</c:v>
                </c:pt>
                <c:pt idx="3" c:formatCode="General">
                  <c:v>0</c:v>
                </c:pt>
                <c:pt idx="4" c:formatCode="General">
                  <c:v>0</c:v>
                </c:pt>
                <c:pt idx="5" c:formatCode="General">
                  <c:v>0</c:v>
                </c:pt>
                <c:pt idx="6" c:formatCode="General">
                  <c:v>0</c:v>
                </c:pt>
                <c:pt idx="7" c:formatCode="General">
                  <c:v>0</c:v>
                </c:pt>
                <c:pt idx="8" c:formatCode="General">
                  <c:v>0</c:v>
                </c:pt>
                <c:pt idx="9" c:formatCode="General">
                  <c:v>0</c:v>
                </c:pt>
                <c:pt idx="10" c:formatCode="General">
                  <c:v>0</c:v>
                </c:pt>
                <c:pt idx="11" c:formatCode="General">
                  <c:v>34560</c:v>
                </c:pt>
                <c:pt idx="12" c:formatCode="General">
                  <c:v>112320</c:v>
                </c:pt>
                <c:pt idx="13" c:formatCode="General">
                  <c:v>190080</c:v>
                </c:pt>
                <c:pt idx="14" c:formatCode="General">
                  <c:v>336960</c:v>
                </c:pt>
                <c:pt idx="15" c:formatCode="General">
                  <c:v>414720</c:v>
                </c:pt>
                <c:pt idx="16" c:formatCode="General">
                  <c:v>483840</c:v>
                </c:pt>
                <c:pt idx="17" c:formatCode="General">
                  <c:v>561600</c:v>
                </c:pt>
                <c:pt idx="18" c:formatCode="General">
                  <c:v>708480</c:v>
                </c:pt>
                <c:pt idx="19" c:formatCode="General">
                  <c:v>708480</c:v>
                </c:pt>
                <c:pt idx="20" c:formatCode="General">
                  <c:v>734400</c:v>
                </c:pt>
                <c:pt idx="21" c:formatCode="General">
                  <c:v>734400</c:v>
                </c:pt>
                <c:pt idx="22" c:formatCode="General">
                  <c:v>760320</c:v>
                </c:pt>
                <c:pt idx="23" c:formatCode="General">
                  <c:v>786240</c:v>
                </c:pt>
                <c:pt idx="24" c:formatCode="General">
                  <c:v>838080</c:v>
                </c:pt>
                <c:pt idx="25" c:formatCode="General">
                  <c:v>864000</c:v>
                </c:pt>
                <c:pt idx="26" c:formatCode="General">
                  <c:v>889920</c:v>
                </c:pt>
                <c:pt idx="27" c:formatCode="General">
                  <c:v>907200</c:v>
                </c:pt>
                <c:pt idx="28" c:formatCode="General">
                  <c:v>959040</c:v>
                </c:pt>
                <c:pt idx="29" c:formatCode="General">
                  <c:v>984960</c:v>
                </c:pt>
                <c:pt idx="30" c:formatCode="General">
                  <c:v>1010880</c:v>
                </c:pt>
                <c:pt idx="31" c:formatCode="General">
                  <c:v>1036800</c:v>
                </c:pt>
                <c:pt idx="32" c:formatCode="General">
                  <c:v>1062720</c:v>
                </c:pt>
                <c:pt idx="33" c:formatCode="General">
                  <c:v>1088640</c:v>
                </c:pt>
                <c:pt idx="34" c:formatCode="General">
                  <c:v>1114560</c:v>
                </c:pt>
                <c:pt idx="35" c:formatCode="General">
                  <c:v>1131840</c:v>
                </c:pt>
                <c:pt idx="36" c:formatCode="General">
                  <c:v>1157760</c:v>
                </c:pt>
                <c:pt idx="37" c:formatCode="General">
                  <c:v>1183680</c:v>
                </c:pt>
                <c:pt idx="38" c:formatCode="General">
                  <c:v>1209600</c:v>
                </c:pt>
                <c:pt idx="39" c:formatCode="General">
                  <c:v>1209600</c:v>
                </c:pt>
                <c:pt idx="40" c:formatCode="General">
                  <c:v>1235520</c:v>
                </c:pt>
                <c:pt idx="41" c:formatCode="General">
                  <c:v>1261440</c:v>
                </c:pt>
                <c:pt idx="42" c:formatCode="General">
                  <c:v>1287360</c:v>
                </c:pt>
                <c:pt idx="43" c:formatCode="General">
                  <c:v>1313280</c:v>
                </c:pt>
                <c:pt idx="44" c:formatCode="General">
                  <c:v>1339200</c:v>
                </c:pt>
                <c:pt idx="45" c:formatCode="General">
                  <c:v>1339200</c:v>
                </c:pt>
                <c:pt idx="46" c:formatCode="General">
                  <c:v>1460160</c:v>
                </c:pt>
                <c:pt idx="47" c:formatCode="General">
                  <c:v>1537920</c:v>
                </c:pt>
                <c:pt idx="48" c:formatCode="General">
                  <c:v>1607040</c:v>
                </c:pt>
                <c:pt idx="49" c:formatCode="General">
                  <c:v>1710720</c:v>
                </c:pt>
                <c:pt idx="50" c:formatCode="General">
                  <c:v>1762560</c:v>
                </c:pt>
                <c:pt idx="51" c:formatCode="General">
                  <c:v>1814400</c:v>
                </c:pt>
                <c:pt idx="52" c:formatCode="General">
                  <c:v>1857600</c:v>
                </c:pt>
                <c:pt idx="53" c:formatCode="General">
                  <c:v>1909440</c:v>
                </c:pt>
                <c:pt idx="54" c:formatCode="General">
                  <c:v>1961280</c:v>
                </c:pt>
                <c:pt idx="55" c:formatCode="General">
                  <c:v>1969920</c:v>
                </c:pt>
                <c:pt idx="56" c:formatCode="General">
                  <c:v>1978560</c:v>
                </c:pt>
                <c:pt idx="57" c:formatCode="General">
                  <c:v>1987200</c:v>
                </c:pt>
                <c:pt idx="58" c:formatCode="General">
                  <c:v>2004480</c:v>
                </c:pt>
                <c:pt idx="59" c:formatCode="General">
                  <c:v>2013120</c:v>
                </c:pt>
                <c:pt idx="60" c:formatCode="General">
                  <c:v>2021760</c:v>
                </c:pt>
                <c:pt idx="61" c:formatCode="General">
                  <c:v>2030400</c:v>
                </c:pt>
                <c:pt idx="62" c:formatCode="General">
                  <c:v>2039040</c:v>
                </c:pt>
                <c:pt idx="63" c:formatCode="General">
                  <c:v>2064960</c:v>
                </c:pt>
                <c:pt idx="64" c:formatCode="General">
                  <c:v>2108160</c:v>
                </c:pt>
                <c:pt idx="65" c:formatCode="General">
                  <c:v>2160000</c:v>
                </c:pt>
                <c:pt idx="66" c:formatCode="General">
                  <c:v>2211840</c:v>
                </c:pt>
                <c:pt idx="67" c:formatCode="General">
                  <c:v>2263680</c:v>
                </c:pt>
                <c:pt idx="68" c:formatCode="General">
                  <c:v>2306880</c:v>
                </c:pt>
                <c:pt idx="69" c:formatCode="General">
                  <c:v>2358720</c:v>
                </c:pt>
                <c:pt idx="70" c:formatCode="General">
                  <c:v>2410560</c:v>
                </c:pt>
                <c:pt idx="71" c:formatCode="General">
                  <c:v>2462400</c:v>
                </c:pt>
                <c:pt idx="72" c:formatCode="General">
                  <c:v>2462400</c:v>
                </c:pt>
                <c:pt idx="73" c:formatCode="General">
                  <c:v>2462400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控制台!$Z$1006</c:f>
              <c:strCache>
                <c:ptCount val="1"/>
                <c:pt idx="0">
                  <c:v>黑市空经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val>
            <c:numRef>
              <c:f>控制台!$Z$1007:$Z$1080</c:f>
              <c:numCache>
                <c:formatCode>General</c:formatCode>
                <c:ptCount val="74"/>
                <c:pt idx="0" c:formatCode="General">
                  <c:v>0</c:v>
                </c:pt>
                <c:pt idx="1" c:formatCode="General">
                  <c:v>15000</c:v>
                </c:pt>
                <c:pt idx="2" c:formatCode="General">
                  <c:v>15000</c:v>
                </c:pt>
                <c:pt idx="3" c:formatCode="General">
                  <c:v>15000</c:v>
                </c:pt>
                <c:pt idx="4" c:formatCode="General">
                  <c:v>15000</c:v>
                </c:pt>
                <c:pt idx="5" c:formatCode="General">
                  <c:v>15000</c:v>
                </c:pt>
                <c:pt idx="6" c:formatCode="General">
                  <c:v>15000</c:v>
                </c:pt>
                <c:pt idx="7" c:formatCode="General">
                  <c:v>15000</c:v>
                </c:pt>
                <c:pt idx="8" c:formatCode="General">
                  <c:v>15000</c:v>
                </c:pt>
                <c:pt idx="9" c:formatCode="General">
                  <c:v>15000</c:v>
                </c:pt>
                <c:pt idx="10" c:formatCode="General">
                  <c:v>15000</c:v>
                </c:pt>
                <c:pt idx="11" c:formatCode="General">
                  <c:v>15000</c:v>
                </c:pt>
                <c:pt idx="12" c:formatCode="General">
                  <c:v>15000</c:v>
                </c:pt>
                <c:pt idx="13" c:formatCode="General">
                  <c:v>15000</c:v>
                </c:pt>
                <c:pt idx="14" c:formatCode="General">
                  <c:v>15000</c:v>
                </c:pt>
                <c:pt idx="15" c:formatCode="General">
                  <c:v>15000</c:v>
                </c:pt>
                <c:pt idx="16" c:formatCode="General">
                  <c:v>15000</c:v>
                </c:pt>
                <c:pt idx="17" c:formatCode="General">
                  <c:v>15000</c:v>
                </c:pt>
                <c:pt idx="18" c:formatCode="General">
                  <c:v>15000</c:v>
                </c:pt>
                <c:pt idx="19" c:formatCode="General">
                  <c:v>15000</c:v>
                </c:pt>
                <c:pt idx="20" c:formatCode="General">
                  <c:v>15000</c:v>
                </c:pt>
                <c:pt idx="21" c:formatCode="General">
                  <c:v>15000</c:v>
                </c:pt>
                <c:pt idx="22" c:formatCode="General">
                  <c:v>15000</c:v>
                </c:pt>
                <c:pt idx="23" c:formatCode="General">
                  <c:v>30000</c:v>
                </c:pt>
                <c:pt idx="24" c:formatCode="General">
                  <c:v>30000</c:v>
                </c:pt>
                <c:pt idx="25" c:formatCode="General">
                  <c:v>30000</c:v>
                </c:pt>
                <c:pt idx="26" c:formatCode="General">
                  <c:v>30000</c:v>
                </c:pt>
                <c:pt idx="27" c:formatCode="General">
                  <c:v>30000</c:v>
                </c:pt>
                <c:pt idx="28" c:formatCode="General">
                  <c:v>30000</c:v>
                </c:pt>
                <c:pt idx="29" c:formatCode="General">
                  <c:v>30000</c:v>
                </c:pt>
                <c:pt idx="30" c:formatCode="General">
                  <c:v>60000</c:v>
                </c:pt>
                <c:pt idx="31" c:formatCode="General">
                  <c:v>60000</c:v>
                </c:pt>
                <c:pt idx="32" c:formatCode="General">
                  <c:v>60000</c:v>
                </c:pt>
                <c:pt idx="33" c:formatCode="General">
                  <c:v>60000</c:v>
                </c:pt>
                <c:pt idx="34" c:formatCode="General">
                  <c:v>60000</c:v>
                </c:pt>
                <c:pt idx="35" c:formatCode="General">
                  <c:v>60000</c:v>
                </c:pt>
                <c:pt idx="36" c:formatCode="General">
                  <c:v>60000</c:v>
                </c:pt>
                <c:pt idx="37" c:formatCode="General">
                  <c:v>60000</c:v>
                </c:pt>
                <c:pt idx="38" c:formatCode="General">
                  <c:v>60000</c:v>
                </c:pt>
                <c:pt idx="39" c:formatCode="General">
                  <c:v>60000</c:v>
                </c:pt>
                <c:pt idx="40" c:formatCode="General">
                  <c:v>60000</c:v>
                </c:pt>
                <c:pt idx="41" c:formatCode="General">
                  <c:v>60000</c:v>
                </c:pt>
                <c:pt idx="42" c:formatCode="General">
                  <c:v>60000</c:v>
                </c:pt>
                <c:pt idx="43" c:formatCode="General">
                  <c:v>60000</c:v>
                </c:pt>
                <c:pt idx="44" c:formatCode="General">
                  <c:v>60000</c:v>
                </c:pt>
                <c:pt idx="45" c:formatCode="General">
                  <c:v>60000</c:v>
                </c:pt>
                <c:pt idx="46" c:formatCode="General">
                  <c:v>90000</c:v>
                </c:pt>
                <c:pt idx="47" c:formatCode="General">
                  <c:v>90000</c:v>
                </c:pt>
                <c:pt idx="48" c:formatCode="General">
                  <c:v>90000</c:v>
                </c:pt>
                <c:pt idx="49" c:formatCode="General">
                  <c:v>90000</c:v>
                </c:pt>
                <c:pt idx="50" c:formatCode="General">
                  <c:v>90000</c:v>
                </c:pt>
                <c:pt idx="51" c:formatCode="General">
                  <c:v>90000</c:v>
                </c:pt>
                <c:pt idx="52" c:formatCode="General">
                  <c:v>120000</c:v>
                </c:pt>
                <c:pt idx="53" c:formatCode="General">
                  <c:v>120000</c:v>
                </c:pt>
                <c:pt idx="54" c:formatCode="General">
                  <c:v>120000</c:v>
                </c:pt>
                <c:pt idx="55" c:formatCode="General">
                  <c:v>120000</c:v>
                </c:pt>
                <c:pt idx="56" c:formatCode="General">
                  <c:v>120000</c:v>
                </c:pt>
                <c:pt idx="57" c:formatCode="General">
                  <c:v>120000</c:v>
                </c:pt>
                <c:pt idx="58" c:formatCode="General">
                  <c:v>120000</c:v>
                </c:pt>
                <c:pt idx="59" c:formatCode="General">
                  <c:v>120000</c:v>
                </c:pt>
                <c:pt idx="60" c:formatCode="General">
                  <c:v>120000</c:v>
                </c:pt>
                <c:pt idx="61" c:formatCode="General">
                  <c:v>120000</c:v>
                </c:pt>
                <c:pt idx="62" c:formatCode="General">
                  <c:v>120000</c:v>
                </c:pt>
                <c:pt idx="63" c:formatCode="General">
                  <c:v>120000</c:v>
                </c:pt>
                <c:pt idx="64" c:formatCode="General">
                  <c:v>150000</c:v>
                </c:pt>
                <c:pt idx="65" c:formatCode="General">
                  <c:v>150000</c:v>
                </c:pt>
                <c:pt idx="66" c:formatCode="General">
                  <c:v>150000</c:v>
                </c:pt>
                <c:pt idx="67" c:formatCode="General">
                  <c:v>150000</c:v>
                </c:pt>
                <c:pt idx="68" c:formatCode="General">
                  <c:v>150000</c:v>
                </c:pt>
                <c:pt idx="69" c:formatCode="General">
                  <c:v>150000</c:v>
                </c:pt>
                <c:pt idx="70" c:formatCode="General">
                  <c:v>150000</c:v>
                </c:pt>
                <c:pt idx="71" c:formatCode="General">
                  <c:v>150000</c:v>
                </c:pt>
                <c:pt idx="72" c:formatCode="General">
                  <c:v>150000</c:v>
                </c:pt>
                <c:pt idx="73" c:formatCode="General">
                  <c:v>150000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控制台!$AA$1006</c:f>
              <c:strCache>
                <c:ptCount val="1"/>
                <c:pt idx="0">
                  <c:v>活动空经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val>
            <c:numRef>
              <c:f>控制台!$AA$1007:$AA$1080</c:f>
              <c:numCache>
                <c:formatCode>General</c:formatCode>
                <c:ptCount val="74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0</c:v>
                </c:pt>
                <c:pt idx="3" c:formatCode="General">
                  <c:v>0</c:v>
                </c:pt>
                <c:pt idx="4" c:formatCode="General">
                  <c:v>0</c:v>
                </c:pt>
                <c:pt idx="5" c:formatCode="General">
                  <c:v>0</c:v>
                </c:pt>
                <c:pt idx="6" c:formatCode="General">
                  <c:v>0</c:v>
                </c:pt>
                <c:pt idx="7" c:formatCode="General">
                  <c:v>0</c:v>
                </c:pt>
                <c:pt idx="8" c:formatCode="General">
                  <c:v>0</c:v>
                </c:pt>
                <c:pt idx="9" c:formatCode="General">
                  <c:v>0</c:v>
                </c:pt>
                <c:pt idx="10" c:formatCode="General">
                  <c:v>0</c:v>
                </c:pt>
                <c:pt idx="11" c:formatCode="General">
                  <c:v>0</c:v>
                </c:pt>
                <c:pt idx="12" c:formatCode="General">
                  <c:v>0</c:v>
                </c:pt>
                <c:pt idx="13" c:formatCode="General">
                  <c:v>0</c:v>
                </c:pt>
                <c:pt idx="14" c:formatCode="General">
                  <c:v>0</c:v>
                </c:pt>
                <c:pt idx="15" c:formatCode="General">
                  <c:v>0</c:v>
                </c:pt>
                <c:pt idx="16" c:formatCode="General">
                  <c:v>0</c:v>
                </c:pt>
                <c:pt idx="17" c:formatCode="General">
                  <c:v>0</c:v>
                </c:pt>
                <c:pt idx="18" c:formatCode="General">
                  <c:v>0</c:v>
                </c:pt>
                <c:pt idx="19" c:formatCode="General">
                  <c:v>0</c:v>
                </c:pt>
                <c:pt idx="20" c:formatCode="General">
                  <c:v>0</c:v>
                </c:pt>
                <c:pt idx="21" c:formatCode="General">
                  <c:v>0</c:v>
                </c:pt>
                <c:pt idx="22" c:formatCode="General">
                  <c:v>0</c:v>
                </c:pt>
                <c:pt idx="23" c:formatCode="General">
                  <c:v>200000</c:v>
                </c:pt>
                <c:pt idx="24" c:formatCode="General">
                  <c:v>200000</c:v>
                </c:pt>
                <c:pt idx="25" c:formatCode="General">
                  <c:v>200000</c:v>
                </c:pt>
                <c:pt idx="26" c:formatCode="General">
                  <c:v>200000</c:v>
                </c:pt>
                <c:pt idx="27" c:formatCode="General">
                  <c:v>200000</c:v>
                </c:pt>
                <c:pt idx="28" c:formatCode="General">
                  <c:v>200000</c:v>
                </c:pt>
                <c:pt idx="29" c:formatCode="General">
                  <c:v>200000</c:v>
                </c:pt>
                <c:pt idx="30" c:formatCode="General">
                  <c:v>400000</c:v>
                </c:pt>
                <c:pt idx="31" c:formatCode="General">
                  <c:v>400000</c:v>
                </c:pt>
                <c:pt idx="32" c:formatCode="General">
                  <c:v>400000</c:v>
                </c:pt>
                <c:pt idx="33" c:formatCode="General">
                  <c:v>400000</c:v>
                </c:pt>
                <c:pt idx="34" c:formatCode="General">
                  <c:v>400000</c:v>
                </c:pt>
                <c:pt idx="35" c:formatCode="General">
                  <c:v>400000</c:v>
                </c:pt>
                <c:pt idx="36" c:formatCode="General">
                  <c:v>400000</c:v>
                </c:pt>
                <c:pt idx="37" c:formatCode="General">
                  <c:v>400000</c:v>
                </c:pt>
                <c:pt idx="38" c:formatCode="General">
                  <c:v>400000</c:v>
                </c:pt>
                <c:pt idx="39" c:formatCode="General">
                  <c:v>400000</c:v>
                </c:pt>
                <c:pt idx="40" c:formatCode="General">
                  <c:v>400000</c:v>
                </c:pt>
                <c:pt idx="41" c:formatCode="General">
                  <c:v>400000</c:v>
                </c:pt>
                <c:pt idx="42" c:formatCode="General">
                  <c:v>400000</c:v>
                </c:pt>
                <c:pt idx="43" c:formatCode="General">
                  <c:v>400000</c:v>
                </c:pt>
                <c:pt idx="44" c:formatCode="General">
                  <c:v>400000</c:v>
                </c:pt>
                <c:pt idx="45" c:formatCode="General">
                  <c:v>400000</c:v>
                </c:pt>
                <c:pt idx="46" c:formatCode="General">
                  <c:v>600000</c:v>
                </c:pt>
                <c:pt idx="47" c:formatCode="General">
                  <c:v>600000</c:v>
                </c:pt>
                <c:pt idx="48" c:formatCode="General">
                  <c:v>600000</c:v>
                </c:pt>
                <c:pt idx="49" c:formatCode="General">
                  <c:v>600000</c:v>
                </c:pt>
                <c:pt idx="50" c:formatCode="General">
                  <c:v>600000</c:v>
                </c:pt>
                <c:pt idx="51" c:formatCode="General">
                  <c:v>600000</c:v>
                </c:pt>
                <c:pt idx="52" c:formatCode="General">
                  <c:v>800000</c:v>
                </c:pt>
                <c:pt idx="53" c:formatCode="General">
                  <c:v>800000</c:v>
                </c:pt>
                <c:pt idx="54" c:formatCode="General">
                  <c:v>800000</c:v>
                </c:pt>
                <c:pt idx="55" c:formatCode="General">
                  <c:v>800000</c:v>
                </c:pt>
                <c:pt idx="56" c:formatCode="General">
                  <c:v>800000</c:v>
                </c:pt>
                <c:pt idx="57" c:formatCode="General">
                  <c:v>800000</c:v>
                </c:pt>
                <c:pt idx="58" c:formatCode="General">
                  <c:v>800000</c:v>
                </c:pt>
                <c:pt idx="59" c:formatCode="General">
                  <c:v>800000</c:v>
                </c:pt>
                <c:pt idx="60" c:formatCode="General">
                  <c:v>800000</c:v>
                </c:pt>
                <c:pt idx="61" c:formatCode="General">
                  <c:v>800000</c:v>
                </c:pt>
                <c:pt idx="62" c:formatCode="General">
                  <c:v>800000</c:v>
                </c:pt>
                <c:pt idx="63" c:formatCode="General">
                  <c:v>800000</c:v>
                </c:pt>
                <c:pt idx="64" c:formatCode="General">
                  <c:v>1000000</c:v>
                </c:pt>
                <c:pt idx="65" c:formatCode="General">
                  <c:v>1000000</c:v>
                </c:pt>
                <c:pt idx="66" c:formatCode="General">
                  <c:v>1000000</c:v>
                </c:pt>
                <c:pt idx="67" c:formatCode="General">
                  <c:v>1000000</c:v>
                </c:pt>
                <c:pt idx="68" c:formatCode="General">
                  <c:v>1000000</c:v>
                </c:pt>
                <c:pt idx="69" c:formatCode="General">
                  <c:v>1000000</c:v>
                </c:pt>
                <c:pt idx="70" c:formatCode="General">
                  <c:v>1000000</c:v>
                </c:pt>
                <c:pt idx="71" c:formatCode="General">
                  <c:v>1000000</c:v>
                </c:pt>
                <c:pt idx="72" c:formatCode="General">
                  <c:v>1000000</c:v>
                </c:pt>
                <c:pt idx="73" c:formatCode="General">
                  <c:v>1000000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控制台!$AB$1006</c:f>
              <c:strCache>
                <c:ptCount val="1"/>
                <c:pt idx="0">
                  <c:v>VIP箱空经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val>
            <c:numRef>
              <c:f>控制台!$AB$1007:$AB$1080</c:f>
              <c:numCache>
                <c:formatCode>General</c:formatCode>
                <c:ptCount val="74"/>
                <c:pt idx="0" c:formatCode="General">
                  <c:v>1</c:v>
                </c:pt>
                <c:pt idx="1" c:formatCode="General">
                  <c:v>5000</c:v>
                </c:pt>
                <c:pt idx="2" c:formatCode="General">
                  <c:v>5000</c:v>
                </c:pt>
                <c:pt idx="3" c:formatCode="General">
                  <c:v>5000</c:v>
                </c:pt>
                <c:pt idx="4" c:formatCode="General">
                  <c:v>5000</c:v>
                </c:pt>
                <c:pt idx="5" c:formatCode="General">
                  <c:v>5000</c:v>
                </c:pt>
                <c:pt idx="6" c:formatCode="General">
                  <c:v>5000</c:v>
                </c:pt>
                <c:pt idx="7" c:formatCode="General">
                  <c:v>5000</c:v>
                </c:pt>
                <c:pt idx="8" c:formatCode="General">
                  <c:v>5000</c:v>
                </c:pt>
                <c:pt idx="9" c:formatCode="General">
                  <c:v>5000</c:v>
                </c:pt>
                <c:pt idx="10" c:formatCode="General">
                  <c:v>5000</c:v>
                </c:pt>
                <c:pt idx="11" c:formatCode="General">
                  <c:v>5000</c:v>
                </c:pt>
                <c:pt idx="12" c:formatCode="General">
                  <c:v>10000</c:v>
                </c:pt>
                <c:pt idx="13" c:formatCode="General">
                  <c:v>10000</c:v>
                </c:pt>
                <c:pt idx="14" c:formatCode="General">
                  <c:v>10000</c:v>
                </c:pt>
                <c:pt idx="15" c:formatCode="General">
                  <c:v>10000</c:v>
                </c:pt>
                <c:pt idx="16" c:formatCode="General">
                  <c:v>15000</c:v>
                </c:pt>
                <c:pt idx="17" c:formatCode="General">
                  <c:v>15000</c:v>
                </c:pt>
                <c:pt idx="18" c:formatCode="General">
                  <c:v>15000</c:v>
                </c:pt>
                <c:pt idx="19" c:formatCode="General">
                  <c:v>15000</c:v>
                </c:pt>
                <c:pt idx="20" c:formatCode="General">
                  <c:v>20000</c:v>
                </c:pt>
                <c:pt idx="21" c:formatCode="General">
                  <c:v>20000</c:v>
                </c:pt>
                <c:pt idx="22" c:formatCode="General">
                  <c:v>20000</c:v>
                </c:pt>
                <c:pt idx="23" c:formatCode="General">
                  <c:v>20000</c:v>
                </c:pt>
                <c:pt idx="24" c:formatCode="General">
                  <c:v>25000</c:v>
                </c:pt>
                <c:pt idx="25" c:formatCode="General">
                  <c:v>25000</c:v>
                </c:pt>
                <c:pt idx="26" c:formatCode="General">
                  <c:v>25000</c:v>
                </c:pt>
                <c:pt idx="27" c:formatCode="General">
                  <c:v>25000</c:v>
                </c:pt>
                <c:pt idx="28" c:formatCode="General">
                  <c:v>25000</c:v>
                </c:pt>
                <c:pt idx="29" c:formatCode="General">
                  <c:v>30000</c:v>
                </c:pt>
                <c:pt idx="30" c:formatCode="General">
                  <c:v>30000</c:v>
                </c:pt>
                <c:pt idx="31" c:formatCode="General">
                  <c:v>30000</c:v>
                </c:pt>
                <c:pt idx="32" c:formatCode="General">
                  <c:v>30000</c:v>
                </c:pt>
                <c:pt idx="33" c:formatCode="General">
                  <c:v>30000</c:v>
                </c:pt>
                <c:pt idx="34" c:formatCode="General">
                  <c:v>30000</c:v>
                </c:pt>
                <c:pt idx="35" c:formatCode="General">
                  <c:v>35000</c:v>
                </c:pt>
                <c:pt idx="36" c:formatCode="General">
                  <c:v>35000</c:v>
                </c:pt>
                <c:pt idx="37" c:formatCode="General">
                  <c:v>35000</c:v>
                </c:pt>
                <c:pt idx="38" c:formatCode="General">
                  <c:v>35000</c:v>
                </c:pt>
                <c:pt idx="39" c:formatCode="General">
                  <c:v>35000</c:v>
                </c:pt>
                <c:pt idx="40" c:formatCode="General">
                  <c:v>35000</c:v>
                </c:pt>
                <c:pt idx="41" c:formatCode="General">
                  <c:v>35000</c:v>
                </c:pt>
                <c:pt idx="42" c:formatCode="General">
                  <c:v>35000</c:v>
                </c:pt>
                <c:pt idx="43" c:formatCode="General">
                  <c:v>35000</c:v>
                </c:pt>
                <c:pt idx="44" c:formatCode="General">
                  <c:v>35000</c:v>
                </c:pt>
                <c:pt idx="45" c:formatCode="General">
                  <c:v>40000</c:v>
                </c:pt>
                <c:pt idx="46" c:formatCode="General">
                  <c:v>40000</c:v>
                </c:pt>
                <c:pt idx="47" c:formatCode="General">
                  <c:v>40000</c:v>
                </c:pt>
                <c:pt idx="48" c:formatCode="General">
                  <c:v>40000</c:v>
                </c:pt>
                <c:pt idx="49" c:formatCode="General">
                  <c:v>40000</c:v>
                </c:pt>
                <c:pt idx="50" c:formatCode="General">
                  <c:v>40000</c:v>
                </c:pt>
                <c:pt idx="51" c:formatCode="General">
                  <c:v>45000</c:v>
                </c:pt>
                <c:pt idx="52" c:formatCode="General">
                  <c:v>45000</c:v>
                </c:pt>
                <c:pt idx="53" c:formatCode="General">
                  <c:v>45000</c:v>
                </c:pt>
                <c:pt idx="54" c:formatCode="General">
                  <c:v>45000</c:v>
                </c:pt>
                <c:pt idx="55" c:formatCode="General">
                  <c:v>45000</c:v>
                </c:pt>
                <c:pt idx="56" c:formatCode="General">
                  <c:v>45000</c:v>
                </c:pt>
                <c:pt idx="57" c:formatCode="General">
                  <c:v>50000</c:v>
                </c:pt>
                <c:pt idx="58" c:formatCode="General">
                  <c:v>50000</c:v>
                </c:pt>
                <c:pt idx="59" c:formatCode="General">
                  <c:v>50000</c:v>
                </c:pt>
                <c:pt idx="60" c:formatCode="General">
                  <c:v>50000</c:v>
                </c:pt>
                <c:pt idx="61" c:formatCode="General">
                  <c:v>50000</c:v>
                </c:pt>
                <c:pt idx="62" c:formatCode="General">
                  <c:v>50000</c:v>
                </c:pt>
                <c:pt idx="63" c:formatCode="General">
                  <c:v>50000</c:v>
                </c:pt>
                <c:pt idx="64" c:formatCode="General">
                  <c:v>55000</c:v>
                </c:pt>
                <c:pt idx="65" c:formatCode="General">
                  <c:v>55000</c:v>
                </c:pt>
                <c:pt idx="66" c:formatCode="General">
                  <c:v>55000</c:v>
                </c:pt>
                <c:pt idx="67" c:formatCode="General">
                  <c:v>60000</c:v>
                </c:pt>
                <c:pt idx="68" c:formatCode="General">
                  <c:v>60000</c:v>
                </c:pt>
                <c:pt idx="69" c:formatCode="General">
                  <c:v>60000</c:v>
                </c:pt>
                <c:pt idx="70" c:formatCode="General">
                  <c:v>60000</c:v>
                </c:pt>
                <c:pt idx="71" c:formatCode="General">
                  <c:v>65000</c:v>
                </c:pt>
                <c:pt idx="72" c:formatCode="General">
                  <c:v>65000</c:v>
                </c:pt>
                <c:pt idx="73" c:formatCode="General">
                  <c:v>65000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1578168688"/>
        <c:axId val="1578172016"/>
      </c:lineChart>
      <c:catAx>
        <c:axId val="157816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78172016"/>
        <c:crosses val="autoZero"/>
        <c:auto val="1"/>
        <c:lblAlgn val="ctr"/>
        <c:lblOffset val="100"/>
        <c:noMultiLvlLbl val="0"/>
      </c:catAx>
      <c:valAx>
        <c:axId val="157817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78168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x-none"/>
      </a:pPr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zh-CN" altLang="en-US"/>
              <a:t>空</a:t>
            </a:r>
            <a:r>
              <a:rPr lang="zh-CN"/>
              <a:t>弹</a:t>
            </a:r>
            <a:r>
              <a:rPr lang="zh-CN" altLang="zh-CN" sz="1600" b="1" i="0" u="none" strike="noStrike" baseline="0">
                <a:effectLst/>
              </a:rPr>
              <a:t>在各系统中日产出曲线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控制台!$AC$1006</c:f>
              <c:strCache>
                <c:ptCount val="1"/>
                <c:pt idx="0">
                  <c:v>挂机弹药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val>
            <c:numRef>
              <c:f>控制台!$AC$1007:$AC$1080</c:f>
              <c:numCache>
                <c:formatCode>General</c:formatCode>
                <c:ptCount val="74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0</c:v>
                </c:pt>
                <c:pt idx="3" c:formatCode="General">
                  <c:v>0</c:v>
                </c:pt>
                <c:pt idx="4" c:formatCode="General">
                  <c:v>0</c:v>
                </c:pt>
                <c:pt idx="5" c:formatCode="General">
                  <c:v>0</c:v>
                </c:pt>
                <c:pt idx="6" c:formatCode="General">
                  <c:v>0</c:v>
                </c:pt>
                <c:pt idx="7" c:formatCode="General">
                  <c:v>0</c:v>
                </c:pt>
                <c:pt idx="8" c:formatCode="General">
                  <c:v>0</c:v>
                </c:pt>
                <c:pt idx="9" c:formatCode="General">
                  <c:v>0</c:v>
                </c:pt>
                <c:pt idx="10" c:formatCode="General">
                  <c:v>0</c:v>
                </c:pt>
                <c:pt idx="11" c:formatCode="General">
                  <c:v>0</c:v>
                </c:pt>
                <c:pt idx="12" c:formatCode="General">
                  <c:v>48</c:v>
                </c:pt>
                <c:pt idx="13" c:formatCode="General">
                  <c:v>96</c:v>
                </c:pt>
                <c:pt idx="14" c:formatCode="General">
                  <c:v>192</c:v>
                </c:pt>
                <c:pt idx="15" c:formatCode="General">
                  <c:v>240</c:v>
                </c:pt>
                <c:pt idx="16" c:formatCode="General">
                  <c:v>288</c:v>
                </c:pt>
                <c:pt idx="17" c:formatCode="General">
                  <c:v>336</c:v>
                </c:pt>
                <c:pt idx="18" c:formatCode="General">
                  <c:v>432</c:v>
                </c:pt>
                <c:pt idx="19" c:formatCode="General">
                  <c:v>432</c:v>
                </c:pt>
                <c:pt idx="20" c:formatCode="General">
                  <c:v>432</c:v>
                </c:pt>
                <c:pt idx="21" c:formatCode="General">
                  <c:v>432</c:v>
                </c:pt>
                <c:pt idx="22" c:formatCode="General">
                  <c:v>480</c:v>
                </c:pt>
                <c:pt idx="23" c:formatCode="General">
                  <c:v>480</c:v>
                </c:pt>
                <c:pt idx="24" c:formatCode="General">
                  <c:v>480</c:v>
                </c:pt>
                <c:pt idx="25" c:formatCode="General">
                  <c:v>528</c:v>
                </c:pt>
                <c:pt idx="26" c:formatCode="General">
                  <c:v>528</c:v>
                </c:pt>
                <c:pt idx="27" c:formatCode="General">
                  <c:v>528</c:v>
                </c:pt>
                <c:pt idx="28" c:formatCode="General">
                  <c:v>576</c:v>
                </c:pt>
                <c:pt idx="29" c:formatCode="General">
                  <c:v>576</c:v>
                </c:pt>
                <c:pt idx="30" c:formatCode="General">
                  <c:v>624</c:v>
                </c:pt>
                <c:pt idx="31" c:formatCode="General">
                  <c:v>624</c:v>
                </c:pt>
                <c:pt idx="32" c:formatCode="General">
                  <c:v>624</c:v>
                </c:pt>
                <c:pt idx="33" c:formatCode="General">
                  <c:v>672</c:v>
                </c:pt>
                <c:pt idx="34" c:formatCode="General">
                  <c:v>672</c:v>
                </c:pt>
                <c:pt idx="35" c:formatCode="General">
                  <c:v>672</c:v>
                </c:pt>
                <c:pt idx="36" c:formatCode="General">
                  <c:v>720</c:v>
                </c:pt>
                <c:pt idx="37" c:formatCode="General">
                  <c:v>720</c:v>
                </c:pt>
                <c:pt idx="38" c:formatCode="General">
                  <c:v>720</c:v>
                </c:pt>
                <c:pt idx="39" c:formatCode="General">
                  <c:v>720</c:v>
                </c:pt>
                <c:pt idx="40" c:formatCode="General">
                  <c:v>720</c:v>
                </c:pt>
                <c:pt idx="41" c:formatCode="General">
                  <c:v>768</c:v>
                </c:pt>
                <c:pt idx="42" c:formatCode="General">
                  <c:v>768</c:v>
                </c:pt>
                <c:pt idx="43" c:formatCode="General">
                  <c:v>768</c:v>
                </c:pt>
                <c:pt idx="44" c:formatCode="General">
                  <c:v>816</c:v>
                </c:pt>
                <c:pt idx="45" c:formatCode="General">
                  <c:v>816</c:v>
                </c:pt>
                <c:pt idx="46" c:formatCode="General">
                  <c:v>864</c:v>
                </c:pt>
                <c:pt idx="47" c:formatCode="General">
                  <c:v>912</c:v>
                </c:pt>
                <c:pt idx="48" c:formatCode="General">
                  <c:v>960</c:v>
                </c:pt>
                <c:pt idx="49" c:formatCode="General">
                  <c:v>1008</c:v>
                </c:pt>
                <c:pt idx="50" c:formatCode="General">
                  <c:v>1056</c:v>
                </c:pt>
                <c:pt idx="51" c:formatCode="General">
                  <c:v>1104</c:v>
                </c:pt>
                <c:pt idx="52" c:formatCode="General">
                  <c:v>1104</c:v>
                </c:pt>
                <c:pt idx="53" c:formatCode="General">
                  <c:v>1152</c:v>
                </c:pt>
                <c:pt idx="54" c:formatCode="General">
                  <c:v>1200</c:v>
                </c:pt>
                <c:pt idx="55" c:formatCode="General">
                  <c:v>1200</c:v>
                </c:pt>
                <c:pt idx="56" c:formatCode="General">
                  <c:v>1200</c:v>
                </c:pt>
                <c:pt idx="57" c:formatCode="General">
                  <c:v>1200</c:v>
                </c:pt>
                <c:pt idx="58" c:formatCode="General">
                  <c:v>1200</c:v>
                </c:pt>
                <c:pt idx="59" c:formatCode="General">
                  <c:v>1200</c:v>
                </c:pt>
                <c:pt idx="60" c:formatCode="General">
                  <c:v>1200</c:v>
                </c:pt>
                <c:pt idx="61" c:formatCode="General">
                  <c:v>1200</c:v>
                </c:pt>
                <c:pt idx="62" c:formatCode="General">
                  <c:v>1248</c:v>
                </c:pt>
                <c:pt idx="63" c:formatCode="General">
                  <c:v>1248</c:v>
                </c:pt>
                <c:pt idx="64" c:formatCode="General">
                  <c:v>1248</c:v>
                </c:pt>
                <c:pt idx="65" c:formatCode="General">
                  <c:v>1296</c:v>
                </c:pt>
                <c:pt idx="66" c:formatCode="General">
                  <c:v>1344</c:v>
                </c:pt>
                <c:pt idx="67" c:formatCode="General">
                  <c:v>1344</c:v>
                </c:pt>
                <c:pt idx="68" c:formatCode="General">
                  <c:v>1392</c:v>
                </c:pt>
                <c:pt idx="69" c:formatCode="General">
                  <c:v>1440</c:v>
                </c:pt>
                <c:pt idx="70" c:formatCode="General">
                  <c:v>1440</c:v>
                </c:pt>
                <c:pt idx="71" c:formatCode="General">
                  <c:v>1488</c:v>
                </c:pt>
                <c:pt idx="72" c:formatCode="General">
                  <c:v>1488</c:v>
                </c:pt>
                <c:pt idx="73" c:formatCode="General">
                  <c:v>1488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控制台!$AD$1006</c:f>
              <c:strCache>
                <c:ptCount val="1"/>
                <c:pt idx="0">
                  <c:v>黑市弹药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val>
            <c:numRef>
              <c:f>控制台!$AD$1007:$AD$1080</c:f>
              <c:numCache>
                <c:formatCode>General</c:formatCode>
                <c:ptCount val="74"/>
                <c:pt idx="0" c:formatCode="General">
                  <c:v>0</c:v>
                </c:pt>
                <c:pt idx="1" c:formatCode="General">
                  <c:v>10</c:v>
                </c:pt>
                <c:pt idx="2" c:formatCode="General">
                  <c:v>10</c:v>
                </c:pt>
                <c:pt idx="3" c:formatCode="General">
                  <c:v>10</c:v>
                </c:pt>
                <c:pt idx="4" c:formatCode="General">
                  <c:v>10</c:v>
                </c:pt>
                <c:pt idx="5" c:formatCode="General">
                  <c:v>10</c:v>
                </c:pt>
                <c:pt idx="6" c:formatCode="General">
                  <c:v>10</c:v>
                </c:pt>
                <c:pt idx="7" c:formatCode="General">
                  <c:v>10</c:v>
                </c:pt>
                <c:pt idx="8" c:formatCode="General">
                  <c:v>9.99999999999999</c:v>
                </c:pt>
                <c:pt idx="9" c:formatCode="General">
                  <c:v>10</c:v>
                </c:pt>
                <c:pt idx="10" c:formatCode="General">
                  <c:v>10</c:v>
                </c:pt>
                <c:pt idx="11" c:formatCode="General">
                  <c:v>10</c:v>
                </c:pt>
                <c:pt idx="12" c:formatCode="General">
                  <c:v>10</c:v>
                </c:pt>
                <c:pt idx="13" c:formatCode="General">
                  <c:v>10</c:v>
                </c:pt>
                <c:pt idx="14" c:formatCode="General">
                  <c:v>10</c:v>
                </c:pt>
                <c:pt idx="15" c:formatCode="General">
                  <c:v>10</c:v>
                </c:pt>
                <c:pt idx="16" c:formatCode="General">
                  <c:v>10</c:v>
                </c:pt>
                <c:pt idx="17" c:formatCode="General">
                  <c:v>10</c:v>
                </c:pt>
                <c:pt idx="18" c:formatCode="General">
                  <c:v>10</c:v>
                </c:pt>
                <c:pt idx="19" c:formatCode="General">
                  <c:v>10</c:v>
                </c:pt>
                <c:pt idx="20" c:formatCode="General">
                  <c:v>10</c:v>
                </c:pt>
                <c:pt idx="21" c:formatCode="General">
                  <c:v>10</c:v>
                </c:pt>
                <c:pt idx="22" c:formatCode="General">
                  <c:v>10</c:v>
                </c:pt>
                <c:pt idx="23" c:formatCode="General">
                  <c:v>20</c:v>
                </c:pt>
                <c:pt idx="24" c:formatCode="General">
                  <c:v>20</c:v>
                </c:pt>
                <c:pt idx="25" c:formatCode="General">
                  <c:v>20</c:v>
                </c:pt>
                <c:pt idx="26" c:formatCode="General">
                  <c:v>20</c:v>
                </c:pt>
                <c:pt idx="27" c:formatCode="General">
                  <c:v>20</c:v>
                </c:pt>
                <c:pt idx="28" c:formatCode="General">
                  <c:v>20</c:v>
                </c:pt>
                <c:pt idx="29" c:formatCode="General">
                  <c:v>20</c:v>
                </c:pt>
                <c:pt idx="30" c:formatCode="General">
                  <c:v>40</c:v>
                </c:pt>
                <c:pt idx="31" c:formatCode="General">
                  <c:v>40</c:v>
                </c:pt>
                <c:pt idx="32" c:formatCode="General">
                  <c:v>40</c:v>
                </c:pt>
                <c:pt idx="33" c:formatCode="General">
                  <c:v>40</c:v>
                </c:pt>
                <c:pt idx="34" c:formatCode="General">
                  <c:v>40</c:v>
                </c:pt>
                <c:pt idx="35" c:formatCode="General">
                  <c:v>40</c:v>
                </c:pt>
                <c:pt idx="36" c:formatCode="General">
                  <c:v>40</c:v>
                </c:pt>
                <c:pt idx="37" c:formatCode="General">
                  <c:v>40</c:v>
                </c:pt>
                <c:pt idx="38" c:formatCode="General">
                  <c:v>40</c:v>
                </c:pt>
                <c:pt idx="39" c:formatCode="General">
                  <c:v>40</c:v>
                </c:pt>
                <c:pt idx="40" c:formatCode="General">
                  <c:v>40</c:v>
                </c:pt>
                <c:pt idx="41" c:formatCode="General">
                  <c:v>40</c:v>
                </c:pt>
                <c:pt idx="42" c:formatCode="General">
                  <c:v>40</c:v>
                </c:pt>
                <c:pt idx="43" c:formatCode="General">
                  <c:v>40</c:v>
                </c:pt>
                <c:pt idx="44" c:formatCode="General">
                  <c:v>40</c:v>
                </c:pt>
                <c:pt idx="45" c:formatCode="General">
                  <c:v>40</c:v>
                </c:pt>
                <c:pt idx="46" c:formatCode="General">
                  <c:v>60</c:v>
                </c:pt>
                <c:pt idx="47" c:formatCode="General">
                  <c:v>60</c:v>
                </c:pt>
                <c:pt idx="48" c:formatCode="General">
                  <c:v>60</c:v>
                </c:pt>
                <c:pt idx="49" c:formatCode="General">
                  <c:v>60</c:v>
                </c:pt>
                <c:pt idx="50" c:formatCode="General">
                  <c:v>60</c:v>
                </c:pt>
                <c:pt idx="51" c:formatCode="General">
                  <c:v>60</c:v>
                </c:pt>
                <c:pt idx="52" c:formatCode="General">
                  <c:v>80</c:v>
                </c:pt>
                <c:pt idx="53" c:formatCode="General">
                  <c:v>80</c:v>
                </c:pt>
                <c:pt idx="54" c:formatCode="General">
                  <c:v>80</c:v>
                </c:pt>
                <c:pt idx="55" c:formatCode="General">
                  <c:v>80</c:v>
                </c:pt>
                <c:pt idx="56" c:formatCode="General">
                  <c:v>80</c:v>
                </c:pt>
                <c:pt idx="57" c:formatCode="General">
                  <c:v>80</c:v>
                </c:pt>
                <c:pt idx="58" c:formatCode="General">
                  <c:v>80</c:v>
                </c:pt>
                <c:pt idx="59" c:formatCode="General">
                  <c:v>80</c:v>
                </c:pt>
                <c:pt idx="60" c:formatCode="General">
                  <c:v>80</c:v>
                </c:pt>
                <c:pt idx="61" c:formatCode="General">
                  <c:v>80</c:v>
                </c:pt>
                <c:pt idx="62" c:formatCode="General">
                  <c:v>80</c:v>
                </c:pt>
                <c:pt idx="63" c:formatCode="General">
                  <c:v>80</c:v>
                </c:pt>
                <c:pt idx="64" c:formatCode="General">
                  <c:v>100</c:v>
                </c:pt>
                <c:pt idx="65" c:formatCode="General">
                  <c:v>100</c:v>
                </c:pt>
                <c:pt idx="66" c:formatCode="General">
                  <c:v>100</c:v>
                </c:pt>
                <c:pt idx="67" c:formatCode="General">
                  <c:v>100</c:v>
                </c:pt>
                <c:pt idx="68" c:formatCode="General">
                  <c:v>100</c:v>
                </c:pt>
                <c:pt idx="69" c:formatCode="General">
                  <c:v>100</c:v>
                </c:pt>
                <c:pt idx="70" c:formatCode="General">
                  <c:v>100</c:v>
                </c:pt>
                <c:pt idx="71" c:formatCode="General">
                  <c:v>100</c:v>
                </c:pt>
                <c:pt idx="72" c:formatCode="General">
                  <c:v>100</c:v>
                </c:pt>
                <c:pt idx="73" c:formatCode="General">
                  <c:v>100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控制台!$AE$1006</c:f>
              <c:strCache>
                <c:ptCount val="1"/>
                <c:pt idx="0">
                  <c:v>活动弹药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val>
            <c:numRef>
              <c:f>控制台!$AE$1007:$AE$1080</c:f>
              <c:numCache>
                <c:formatCode>General</c:formatCode>
                <c:ptCount val="74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0</c:v>
                </c:pt>
                <c:pt idx="3" c:formatCode="General">
                  <c:v>0</c:v>
                </c:pt>
                <c:pt idx="4" c:formatCode="General">
                  <c:v>0</c:v>
                </c:pt>
                <c:pt idx="5" c:formatCode="General">
                  <c:v>0</c:v>
                </c:pt>
                <c:pt idx="6" c:formatCode="General">
                  <c:v>0</c:v>
                </c:pt>
                <c:pt idx="7" c:formatCode="General">
                  <c:v>0</c:v>
                </c:pt>
                <c:pt idx="8" c:formatCode="General">
                  <c:v>0</c:v>
                </c:pt>
                <c:pt idx="9" c:formatCode="General">
                  <c:v>0</c:v>
                </c:pt>
                <c:pt idx="10" c:formatCode="General">
                  <c:v>0</c:v>
                </c:pt>
                <c:pt idx="11" c:formatCode="General">
                  <c:v>0</c:v>
                </c:pt>
                <c:pt idx="12" c:formatCode="General">
                  <c:v>0</c:v>
                </c:pt>
                <c:pt idx="13" c:formatCode="General">
                  <c:v>0</c:v>
                </c:pt>
                <c:pt idx="14" c:formatCode="General">
                  <c:v>0</c:v>
                </c:pt>
                <c:pt idx="15" c:formatCode="General">
                  <c:v>0</c:v>
                </c:pt>
                <c:pt idx="16" c:formatCode="General">
                  <c:v>0</c:v>
                </c:pt>
                <c:pt idx="17" c:formatCode="General">
                  <c:v>0</c:v>
                </c:pt>
                <c:pt idx="18" c:formatCode="General">
                  <c:v>0</c:v>
                </c:pt>
                <c:pt idx="19" c:formatCode="General">
                  <c:v>0</c:v>
                </c:pt>
                <c:pt idx="20" c:formatCode="General">
                  <c:v>0</c:v>
                </c:pt>
                <c:pt idx="21" c:formatCode="General">
                  <c:v>0</c:v>
                </c:pt>
                <c:pt idx="22" c:formatCode="General">
                  <c:v>0</c:v>
                </c:pt>
                <c:pt idx="23" c:formatCode="General">
                  <c:v>133.333333333333</c:v>
                </c:pt>
                <c:pt idx="24" c:formatCode="General">
                  <c:v>133.333333333333</c:v>
                </c:pt>
                <c:pt idx="25" c:formatCode="General">
                  <c:v>133.333333333333</c:v>
                </c:pt>
                <c:pt idx="26" c:formatCode="General">
                  <c:v>133.333333333333</c:v>
                </c:pt>
                <c:pt idx="27" c:formatCode="General">
                  <c:v>133.333333333333</c:v>
                </c:pt>
                <c:pt idx="28" c:formatCode="General">
                  <c:v>133.333333333333</c:v>
                </c:pt>
                <c:pt idx="29" c:formatCode="General">
                  <c:v>133.333333333333</c:v>
                </c:pt>
                <c:pt idx="30" c:formatCode="General">
                  <c:v>266.666666666667</c:v>
                </c:pt>
                <c:pt idx="31" c:formatCode="General">
                  <c:v>266.666666666667</c:v>
                </c:pt>
                <c:pt idx="32" c:formatCode="General">
                  <c:v>266.666666666667</c:v>
                </c:pt>
                <c:pt idx="33" c:formatCode="General">
                  <c:v>266.666666666667</c:v>
                </c:pt>
                <c:pt idx="34" c:formatCode="General">
                  <c:v>266.666666666667</c:v>
                </c:pt>
                <c:pt idx="35" c:formatCode="General">
                  <c:v>266.666666666667</c:v>
                </c:pt>
                <c:pt idx="36" c:formatCode="General">
                  <c:v>266.666666666667</c:v>
                </c:pt>
                <c:pt idx="37" c:formatCode="General">
                  <c:v>266.666666666667</c:v>
                </c:pt>
                <c:pt idx="38" c:formatCode="General">
                  <c:v>266.666666666667</c:v>
                </c:pt>
                <c:pt idx="39" c:formatCode="General">
                  <c:v>266.666666666667</c:v>
                </c:pt>
                <c:pt idx="40" c:formatCode="General">
                  <c:v>266.666666666667</c:v>
                </c:pt>
                <c:pt idx="41" c:formatCode="General">
                  <c:v>266.666666666667</c:v>
                </c:pt>
                <c:pt idx="42" c:formatCode="General">
                  <c:v>266.666666666667</c:v>
                </c:pt>
                <c:pt idx="43" c:formatCode="General">
                  <c:v>266.666666666667</c:v>
                </c:pt>
                <c:pt idx="44" c:formatCode="General">
                  <c:v>266.666666666667</c:v>
                </c:pt>
                <c:pt idx="45" c:formatCode="General">
                  <c:v>266.666666666667</c:v>
                </c:pt>
                <c:pt idx="46" c:formatCode="General">
                  <c:v>400</c:v>
                </c:pt>
                <c:pt idx="47" c:formatCode="General">
                  <c:v>400</c:v>
                </c:pt>
                <c:pt idx="48" c:formatCode="General">
                  <c:v>400</c:v>
                </c:pt>
                <c:pt idx="49" c:formatCode="General">
                  <c:v>400</c:v>
                </c:pt>
                <c:pt idx="50" c:formatCode="General">
                  <c:v>400</c:v>
                </c:pt>
                <c:pt idx="51" c:formatCode="General">
                  <c:v>400</c:v>
                </c:pt>
                <c:pt idx="52" c:formatCode="General">
                  <c:v>533.333333333334</c:v>
                </c:pt>
                <c:pt idx="53" c:formatCode="General">
                  <c:v>533.333333333334</c:v>
                </c:pt>
                <c:pt idx="54" c:formatCode="General">
                  <c:v>533.333333333334</c:v>
                </c:pt>
                <c:pt idx="55" c:formatCode="General">
                  <c:v>533.333333333334</c:v>
                </c:pt>
                <c:pt idx="56" c:formatCode="General">
                  <c:v>533.333333333334</c:v>
                </c:pt>
                <c:pt idx="57" c:formatCode="General">
                  <c:v>533.333333333334</c:v>
                </c:pt>
                <c:pt idx="58" c:formatCode="General">
                  <c:v>533.333333333334</c:v>
                </c:pt>
                <c:pt idx="59" c:formatCode="General">
                  <c:v>533.333333333334</c:v>
                </c:pt>
                <c:pt idx="60" c:formatCode="General">
                  <c:v>533.333333333334</c:v>
                </c:pt>
                <c:pt idx="61" c:formatCode="General">
                  <c:v>533.333333333334</c:v>
                </c:pt>
                <c:pt idx="62" c:formatCode="General">
                  <c:v>533.333333333334</c:v>
                </c:pt>
                <c:pt idx="63" c:formatCode="General">
                  <c:v>533.333333333334</c:v>
                </c:pt>
                <c:pt idx="64" c:formatCode="General">
                  <c:v>666.666666666667</c:v>
                </c:pt>
                <c:pt idx="65" c:formatCode="General">
                  <c:v>666.666666666667</c:v>
                </c:pt>
                <c:pt idx="66" c:formatCode="General">
                  <c:v>666.666666666667</c:v>
                </c:pt>
                <c:pt idx="67" c:formatCode="General">
                  <c:v>666.666666666667</c:v>
                </c:pt>
                <c:pt idx="68" c:formatCode="General">
                  <c:v>666.666666666667</c:v>
                </c:pt>
                <c:pt idx="69" c:formatCode="General">
                  <c:v>666.666666666667</c:v>
                </c:pt>
                <c:pt idx="70" c:formatCode="General">
                  <c:v>666.666666666667</c:v>
                </c:pt>
                <c:pt idx="71" c:formatCode="General">
                  <c:v>666.666666666667</c:v>
                </c:pt>
                <c:pt idx="72" c:formatCode="General">
                  <c:v>666.666666666667</c:v>
                </c:pt>
                <c:pt idx="73" c:formatCode="General">
                  <c:v>666.666666666666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控制台!$AF$1006</c:f>
              <c:strCache>
                <c:ptCount val="1"/>
                <c:pt idx="0">
                  <c:v>VIP商弹药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val>
            <c:numRef>
              <c:f>控制台!$AF$1007:$AF$1080</c:f>
              <c:numCache>
                <c:formatCode>General</c:formatCode>
                <c:ptCount val="74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0</c:v>
                </c:pt>
                <c:pt idx="3" c:formatCode="General">
                  <c:v>0</c:v>
                </c:pt>
                <c:pt idx="4" c:formatCode="General">
                  <c:v>0</c:v>
                </c:pt>
                <c:pt idx="5" c:formatCode="General">
                  <c:v>0</c:v>
                </c:pt>
                <c:pt idx="6" c:formatCode="General">
                  <c:v>0</c:v>
                </c:pt>
                <c:pt idx="7" c:formatCode="General">
                  <c:v>0</c:v>
                </c:pt>
                <c:pt idx="8" c:formatCode="General">
                  <c:v>0</c:v>
                </c:pt>
                <c:pt idx="9" c:formatCode="General">
                  <c:v>0</c:v>
                </c:pt>
                <c:pt idx="10" c:formatCode="General">
                  <c:v>0</c:v>
                </c:pt>
                <c:pt idx="11" c:formatCode="General">
                  <c:v>0</c:v>
                </c:pt>
                <c:pt idx="12" c:formatCode="General">
                  <c:v>0</c:v>
                </c:pt>
                <c:pt idx="13" c:formatCode="General">
                  <c:v>0</c:v>
                </c:pt>
                <c:pt idx="14" c:formatCode="General">
                  <c:v>0</c:v>
                </c:pt>
                <c:pt idx="15" c:formatCode="General">
                  <c:v>0</c:v>
                </c:pt>
                <c:pt idx="16" c:formatCode="General">
                  <c:v>0</c:v>
                </c:pt>
                <c:pt idx="17" c:formatCode="General">
                  <c:v>0</c:v>
                </c:pt>
                <c:pt idx="18" c:formatCode="General">
                  <c:v>0</c:v>
                </c:pt>
                <c:pt idx="19" c:formatCode="General">
                  <c:v>0</c:v>
                </c:pt>
                <c:pt idx="20" c:formatCode="General">
                  <c:v>0</c:v>
                </c:pt>
                <c:pt idx="21" c:formatCode="General">
                  <c:v>0</c:v>
                </c:pt>
                <c:pt idx="22" c:formatCode="General">
                  <c:v>0</c:v>
                </c:pt>
                <c:pt idx="23" c:formatCode="General">
                  <c:v>0</c:v>
                </c:pt>
                <c:pt idx="24" c:formatCode="General">
                  <c:v>0</c:v>
                </c:pt>
                <c:pt idx="25" c:formatCode="General">
                  <c:v>0</c:v>
                </c:pt>
                <c:pt idx="26" c:formatCode="General">
                  <c:v>0</c:v>
                </c:pt>
                <c:pt idx="27" c:formatCode="General">
                  <c:v>0</c:v>
                </c:pt>
                <c:pt idx="28" c:formatCode="General">
                  <c:v>0</c:v>
                </c:pt>
                <c:pt idx="29" c:formatCode="General">
                  <c:v>0</c:v>
                </c:pt>
                <c:pt idx="30" c:formatCode="General">
                  <c:v>0</c:v>
                </c:pt>
                <c:pt idx="31" c:formatCode="General">
                  <c:v>0</c:v>
                </c:pt>
                <c:pt idx="32" c:formatCode="General">
                  <c:v>0</c:v>
                </c:pt>
                <c:pt idx="33" c:formatCode="General">
                  <c:v>0</c:v>
                </c:pt>
                <c:pt idx="34" c:formatCode="General">
                  <c:v>0</c:v>
                </c:pt>
                <c:pt idx="35" c:formatCode="General">
                  <c:v>0</c:v>
                </c:pt>
                <c:pt idx="36" c:formatCode="General">
                  <c:v>0</c:v>
                </c:pt>
                <c:pt idx="37" c:formatCode="General">
                  <c:v>0</c:v>
                </c:pt>
                <c:pt idx="38" c:formatCode="General">
                  <c:v>0</c:v>
                </c:pt>
                <c:pt idx="39" c:formatCode="General">
                  <c:v>0</c:v>
                </c:pt>
                <c:pt idx="40" c:formatCode="General">
                  <c:v>0</c:v>
                </c:pt>
                <c:pt idx="41" c:formatCode="General">
                  <c:v>0</c:v>
                </c:pt>
                <c:pt idx="42" c:formatCode="General">
                  <c:v>0</c:v>
                </c:pt>
                <c:pt idx="43" c:formatCode="General">
                  <c:v>0</c:v>
                </c:pt>
                <c:pt idx="44" c:formatCode="General">
                  <c:v>0</c:v>
                </c:pt>
                <c:pt idx="45" c:formatCode="General">
                  <c:v>71.4285714285714</c:v>
                </c:pt>
                <c:pt idx="46" c:formatCode="General">
                  <c:v>71.4285714285714</c:v>
                </c:pt>
                <c:pt idx="47" c:formatCode="General">
                  <c:v>71.4285714285714</c:v>
                </c:pt>
                <c:pt idx="48" c:formatCode="General">
                  <c:v>71.4285714285714</c:v>
                </c:pt>
                <c:pt idx="49" c:formatCode="General">
                  <c:v>71.4285714285714</c:v>
                </c:pt>
                <c:pt idx="50" c:formatCode="General">
                  <c:v>71.4285714285714</c:v>
                </c:pt>
                <c:pt idx="51" c:formatCode="General">
                  <c:v>71.4285714285714</c:v>
                </c:pt>
                <c:pt idx="52" c:formatCode="General">
                  <c:v>71.4285714285714</c:v>
                </c:pt>
                <c:pt idx="53" c:formatCode="General">
                  <c:v>71.4285714285714</c:v>
                </c:pt>
                <c:pt idx="54" c:formatCode="General">
                  <c:v>71.4285714285714</c:v>
                </c:pt>
                <c:pt idx="55" c:formatCode="General">
                  <c:v>71.4285714285714</c:v>
                </c:pt>
                <c:pt idx="56" c:formatCode="General">
                  <c:v>71.4285714285714</c:v>
                </c:pt>
                <c:pt idx="57" c:formatCode="General">
                  <c:v>71.4285714285714</c:v>
                </c:pt>
                <c:pt idx="58" c:formatCode="General">
                  <c:v>71.4285714285714</c:v>
                </c:pt>
                <c:pt idx="59" c:formatCode="General">
                  <c:v>71.4285714285714</c:v>
                </c:pt>
                <c:pt idx="60" c:formatCode="General">
                  <c:v>71.4285714285714</c:v>
                </c:pt>
                <c:pt idx="61" c:formatCode="General">
                  <c:v>71.4285714285714</c:v>
                </c:pt>
                <c:pt idx="62" c:formatCode="General">
                  <c:v>71.4285714285714</c:v>
                </c:pt>
                <c:pt idx="63" c:formatCode="General">
                  <c:v>71.4285714285714</c:v>
                </c:pt>
                <c:pt idx="64" c:formatCode="General">
                  <c:v>71.4285714285714</c:v>
                </c:pt>
                <c:pt idx="65" c:formatCode="General">
                  <c:v>71.4285714285714</c:v>
                </c:pt>
                <c:pt idx="66" c:formatCode="General">
                  <c:v>71.4285714285714</c:v>
                </c:pt>
                <c:pt idx="67" c:formatCode="General">
                  <c:v>71.4285714285714</c:v>
                </c:pt>
                <c:pt idx="68" c:formatCode="General">
                  <c:v>71.4285714285714</c:v>
                </c:pt>
                <c:pt idx="69" c:formatCode="General">
                  <c:v>71.4285714285714</c:v>
                </c:pt>
                <c:pt idx="70" c:formatCode="General">
                  <c:v>71.4285714285714</c:v>
                </c:pt>
                <c:pt idx="71" c:formatCode="General">
                  <c:v>71.4285714285714</c:v>
                </c:pt>
                <c:pt idx="72" c:formatCode="General">
                  <c:v>71.4285714285714</c:v>
                </c:pt>
                <c:pt idx="73" c:formatCode="General">
                  <c:v>71.4285714285714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1578168688"/>
        <c:axId val="1578172016"/>
      </c:lineChart>
      <c:catAx>
        <c:axId val="157816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78172016"/>
        <c:crosses val="autoZero"/>
        <c:auto val="1"/>
        <c:lblAlgn val="ctr"/>
        <c:lblOffset val="100"/>
        <c:noMultiLvlLbl val="0"/>
      </c:catAx>
      <c:valAx>
        <c:axId val="157817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78168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x-none"/>
      </a:pPr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zh-CN" altLang="en-US" sz="16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空零件</a:t>
            </a:r>
            <a:r>
              <a:rPr lang="zh-CN" altLang="zh-CN" sz="1600" b="1" i="0" u="none" strike="noStrike" baseline="0">
                <a:effectLst/>
              </a:rPr>
              <a:t>在各系统中日产出曲线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控制台!$Q$1272</c:f>
              <c:strCache>
                <c:ptCount val="1"/>
                <c:pt idx="0">
                  <c:v>日任空零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val>
            <c:numRef>
              <c:f>控制台!$Q$1273:$Q$1344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90</c:v>
                </c:pt>
                <c:pt idx="2" c:formatCode="General">
                  <c:v>90</c:v>
                </c:pt>
                <c:pt idx="3" c:formatCode="General">
                  <c:v>90</c:v>
                </c:pt>
                <c:pt idx="4" c:formatCode="General">
                  <c:v>90</c:v>
                </c:pt>
                <c:pt idx="5" c:formatCode="General">
                  <c:v>90</c:v>
                </c:pt>
                <c:pt idx="6" c:formatCode="General">
                  <c:v>90</c:v>
                </c:pt>
                <c:pt idx="7" c:formatCode="General">
                  <c:v>90</c:v>
                </c:pt>
                <c:pt idx="8" c:formatCode="General">
                  <c:v>89.9999999999999</c:v>
                </c:pt>
                <c:pt idx="9" c:formatCode="General">
                  <c:v>90</c:v>
                </c:pt>
                <c:pt idx="10" c:formatCode="General">
                  <c:v>90</c:v>
                </c:pt>
                <c:pt idx="11" c:formatCode="General">
                  <c:v>90</c:v>
                </c:pt>
                <c:pt idx="12" c:formatCode="General">
                  <c:v>90</c:v>
                </c:pt>
                <c:pt idx="13" c:formatCode="General">
                  <c:v>90</c:v>
                </c:pt>
                <c:pt idx="14" c:formatCode="General">
                  <c:v>90</c:v>
                </c:pt>
                <c:pt idx="15" c:formatCode="General">
                  <c:v>90</c:v>
                </c:pt>
                <c:pt idx="16" c:formatCode="General">
                  <c:v>90</c:v>
                </c:pt>
                <c:pt idx="17" c:formatCode="General">
                  <c:v>90</c:v>
                </c:pt>
                <c:pt idx="18" c:formatCode="General">
                  <c:v>90</c:v>
                </c:pt>
                <c:pt idx="19" c:formatCode="General">
                  <c:v>90</c:v>
                </c:pt>
                <c:pt idx="20" c:formatCode="General">
                  <c:v>90</c:v>
                </c:pt>
                <c:pt idx="21" c:formatCode="General">
                  <c:v>90</c:v>
                </c:pt>
                <c:pt idx="22" c:formatCode="General">
                  <c:v>90</c:v>
                </c:pt>
                <c:pt idx="23" c:formatCode="General">
                  <c:v>90</c:v>
                </c:pt>
                <c:pt idx="24" c:formatCode="General">
                  <c:v>90</c:v>
                </c:pt>
                <c:pt idx="25" c:formatCode="General">
                  <c:v>90</c:v>
                </c:pt>
                <c:pt idx="26" c:formatCode="General">
                  <c:v>90</c:v>
                </c:pt>
                <c:pt idx="27" c:formatCode="General">
                  <c:v>90</c:v>
                </c:pt>
                <c:pt idx="28" c:formatCode="General">
                  <c:v>90</c:v>
                </c:pt>
                <c:pt idx="29" c:formatCode="General">
                  <c:v>90</c:v>
                </c:pt>
                <c:pt idx="30" c:formatCode="General">
                  <c:v>90</c:v>
                </c:pt>
                <c:pt idx="31" c:formatCode="General">
                  <c:v>90</c:v>
                </c:pt>
                <c:pt idx="32" c:formatCode="General">
                  <c:v>90</c:v>
                </c:pt>
                <c:pt idx="33" c:formatCode="General">
                  <c:v>90</c:v>
                </c:pt>
                <c:pt idx="34" c:formatCode="General">
                  <c:v>90</c:v>
                </c:pt>
                <c:pt idx="35" c:formatCode="General">
                  <c:v>90</c:v>
                </c:pt>
                <c:pt idx="36" c:formatCode="General">
                  <c:v>90</c:v>
                </c:pt>
                <c:pt idx="37" c:formatCode="General">
                  <c:v>90</c:v>
                </c:pt>
                <c:pt idx="38" c:formatCode="General">
                  <c:v>90</c:v>
                </c:pt>
                <c:pt idx="39" c:formatCode="General">
                  <c:v>90</c:v>
                </c:pt>
                <c:pt idx="40" c:formatCode="General">
                  <c:v>90</c:v>
                </c:pt>
                <c:pt idx="41" c:formatCode="General">
                  <c:v>90</c:v>
                </c:pt>
                <c:pt idx="42" c:formatCode="General">
                  <c:v>90</c:v>
                </c:pt>
                <c:pt idx="43" c:formatCode="General">
                  <c:v>90</c:v>
                </c:pt>
                <c:pt idx="44" c:formatCode="General">
                  <c:v>90</c:v>
                </c:pt>
                <c:pt idx="45" c:formatCode="General">
                  <c:v>90</c:v>
                </c:pt>
                <c:pt idx="46" c:formatCode="General">
                  <c:v>90</c:v>
                </c:pt>
                <c:pt idx="47" c:formatCode="General">
                  <c:v>90</c:v>
                </c:pt>
                <c:pt idx="48" c:formatCode="General">
                  <c:v>90</c:v>
                </c:pt>
                <c:pt idx="49" c:formatCode="General">
                  <c:v>90</c:v>
                </c:pt>
                <c:pt idx="50" c:formatCode="General">
                  <c:v>90</c:v>
                </c:pt>
                <c:pt idx="51" c:formatCode="General">
                  <c:v>90</c:v>
                </c:pt>
                <c:pt idx="52" c:formatCode="General">
                  <c:v>90</c:v>
                </c:pt>
                <c:pt idx="53" c:formatCode="General">
                  <c:v>90</c:v>
                </c:pt>
                <c:pt idx="54" c:formatCode="General">
                  <c:v>90</c:v>
                </c:pt>
                <c:pt idx="55" c:formatCode="General">
                  <c:v>90</c:v>
                </c:pt>
                <c:pt idx="56" c:formatCode="General">
                  <c:v>90</c:v>
                </c:pt>
                <c:pt idx="57" c:formatCode="General">
                  <c:v>90</c:v>
                </c:pt>
                <c:pt idx="58" c:formatCode="General">
                  <c:v>90</c:v>
                </c:pt>
                <c:pt idx="59" c:formatCode="General">
                  <c:v>90</c:v>
                </c:pt>
                <c:pt idx="60" c:formatCode="General">
                  <c:v>90</c:v>
                </c:pt>
                <c:pt idx="61" c:formatCode="General">
                  <c:v>90</c:v>
                </c:pt>
                <c:pt idx="62" c:formatCode="General">
                  <c:v>90</c:v>
                </c:pt>
                <c:pt idx="63" c:formatCode="General">
                  <c:v>90</c:v>
                </c:pt>
                <c:pt idx="64" c:formatCode="General">
                  <c:v>90</c:v>
                </c:pt>
                <c:pt idx="65" c:formatCode="General">
                  <c:v>90</c:v>
                </c:pt>
                <c:pt idx="66" c:formatCode="General">
                  <c:v>90</c:v>
                </c:pt>
                <c:pt idx="67" c:formatCode="General">
                  <c:v>90</c:v>
                </c:pt>
                <c:pt idx="68" c:formatCode="General">
                  <c:v>90</c:v>
                </c:pt>
                <c:pt idx="69" c:formatCode="General">
                  <c:v>90</c:v>
                </c:pt>
                <c:pt idx="70" c:formatCode="General">
                  <c:v>90</c:v>
                </c:pt>
                <c:pt idx="71" c:formatCode="General">
                  <c:v>90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控制台!$R$1272</c:f>
              <c:strCache>
                <c:ptCount val="1"/>
                <c:pt idx="0">
                  <c:v>挂机空零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val>
            <c:numRef>
              <c:f>控制台!$R$1273:$R$1344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0</c:v>
                </c:pt>
                <c:pt idx="3" c:formatCode="General">
                  <c:v>0</c:v>
                </c:pt>
                <c:pt idx="4" c:formatCode="General">
                  <c:v>0</c:v>
                </c:pt>
                <c:pt idx="5" c:formatCode="General">
                  <c:v>0</c:v>
                </c:pt>
                <c:pt idx="6" c:formatCode="General">
                  <c:v>0</c:v>
                </c:pt>
                <c:pt idx="7" c:formatCode="General">
                  <c:v>0</c:v>
                </c:pt>
                <c:pt idx="8" c:formatCode="General">
                  <c:v>0</c:v>
                </c:pt>
                <c:pt idx="9" c:formatCode="General">
                  <c:v>0</c:v>
                </c:pt>
                <c:pt idx="10" c:formatCode="General">
                  <c:v>0</c:v>
                </c:pt>
                <c:pt idx="11" c:formatCode="General">
                  <c:v>0</c:v>
                </c:pt>
                <c:pt idx="12" c:formatCode="General">
                  <c:v>0</c:v>
                </c:pt>
                <c:pt idx="13" c:formatCode="General">
                  <c:v>0</c:v>
                </c:pt>
                <c:pt idx="14" c:formatCode="General">
                  <c:v>0</c:v>
                </c:pt>
                <c:pt idx="15" c:formatCode="General">
                  <c:v>0</c:v>
                </c:pt>
                <c:pt idx="16" c:formatCode="General">
                  <c:v>0</c:v>
                </c:pt>
                <c:pt idx="17" c:formatCode="General">
                  <c:v>0</c:v>
                </c:pt>
                <c:pt idx="18" c:formatCode="General">
                  <c:v>0</c:v>
                </c:pt>
                <c:pt idx="19" c:formatCode="General">
                  <c:v>0</c:v>
                </c:pt>
                <c:pt idx="20" c:formatCode="General">
                  <c:v>13.3333333333332</c:v>
                </c:pt>
                <c:pt idx="21" c:formatCode="General">
                  <c:v>13.3333333333332</c:v>
                </c:pt>
                <c:pt idx="22" c:formatCode="General">
                  <c:v>13.3333333333332</c:v>
                </c:pt>
                <c:pt idx="23" c:formatCode="General">
                  <c:v>13.3333333333332</c:v>
                </c:pt>
                <c:pt idx="24" c:formatCode="General">
                  <c:v>13.3333333333332</c:v>
                </c:pt>
                <c:pt idx="25" c:formatCode="General">
                  <c:v>13.3333333333332</c:v>
                </c:pt>
                <c:pt idx="26" c:formatCode="General">
                  <c:v>13.3333333333332</c:v>
                </c:pt>
                <c:pt idx="27" c:formatCode="General">
                  <c:v>13.3333333333332</c:v>
                </c:pt>
                <c:pt idx="28" c:formatCode="General">
                  <c:v>13.3333333333332</c:v>
                </c:pt>
                <c:pt idx="29" c:formatCode="General">
                  <c:v>16.6666666666667</c:v>
                </c:pt>
                <c:pt idx="30" c:formatCode="General">
                  <c:v>16.6666666666667</c:v>
                </c:pt>
                <c:pt idx="31" c:formatCode="General">
                  <c:v>16.6666666666667</c:v>
                </c:pt>
                <c:pt idx="32" c:formatCode="General">
                  <c:v>16.6666666666667</c:v>
                </c:pt>
                <c:pt idx="33" c:formatCode="General">
                  <c:v>16.6666666666667</c:v>
                </c:pt>
                <c:pt idx="34" c:formatCode="General">
                  <c:v>16.6666666666667</c:v>
                </c:pt>
                <c:pt idx="35" c:formatCode="General">
                  <c:v>16.6666666666667</c:v>
                </c:pt>
                <c:pt idx="36" c:formatCode="General">
                  <c:v>16.6666666666667</c:v>
                </c:pt>
                <c:pt idx="37" c:formatCode="General">
                  <c:v>16.6666666666667</c:v>
                </c:pt>
                <c:pt idx="38" c:formatCode="General">
                  <c:v>16.6666666666667</c:v>
                </c:pt>
                <c:pt idx="39" c:formatCode="General">
                  <c:v>16.6666666666667</c:v>
                </c:pt>
                <c:pt idx="40" c:formatCode="General">
                  <c:v>16.6666666666667</c:v>
                </c:pt>
                <c:pt idx="41" c:formatCode="General">
                  <c:v>16.6666666666667</c:v>
                </c:pt>
                <c:pt idx="42" c:formatCode="General">
                  <c:v>16.6666666666667</c:v>
                </c:pt>
                <c:pt idx="43" c:formatCode="General">
                  <c:v>16.6666666666667</c:v>
                </c:pt>
                <c:pt idx="44" c:formatCode="General">
                  <c:v>16.6666666666667</c:v>
                </c:pt>
                <c:pt idx="45" c:formatCode="General">
                  <c:v>16.6666666666667</c:v>
                </c:pt>
                <c:pt idx="46" c:formatCode="General">
                  <c:v>16.6666666666667</c:v>
                </c:pt>
                <c:pt idx="47" c:formatCode="General">
                  <c:v>16.6666666666667</c:v>
                </c:pt>
                <c:pt idx="48" c:formatCode="General">
                  <c:v>16.6666666666667</c:v>
                </c:pt>
                <c:pt idx="49" c:formatCode="General">
                  <c:v>16.6666666666667</c:v>
                </c:pt>
                <c:pt idx="50" c:formatCode="General">
                  <c:v>33.3333333333334</c:v>
                </c:pt>
                <c:pt idx="51" c:formatCode="General">
                  <c:v>33.3333333333334</c:v>
                </c:pt>
                <c:pt idx="52" c:formatCode="General">
                  <c:v>33.3333333333334</c:v>
                </c:pt>
                <c:pt idx="53" c:formatCode="General">
                  <c:v>33.3333333333334</c:v>
                </c:pt>
                <c:pt idx="54" c:formatCode="General">
                  <c:v>33.3333333333334</c:v>
                </c:pt>
                <c:pt idx="55" c:formatCode="General">
                  <c:v>33.3333333333334</c:v>
                </c:pt>
                <c:pt idx="56" c:formatCode="General">
                  <c:v>33.3333333333334</c:v>
                </c:pt>
                <c:pt idx="57" c:formatCode="General">
                  <c:v>33.3333333333334</c:v>
                </c:pt>
                <c:pt idx="58" c:formatCode="General">
                  <c:v>33.3333333333334</c:v>
                </c:pt>
                <c:pt idx="59" c:formatCode="General">
                  <c:v>33.3333333333334</c:v>
                </c:pt>
                <c:pt idx="60" c:formatCode="General">
                  <c:v>33.3333333333334</c:v>
                </c:pt>
                <c:pt idx="61" c:formatCode="General">
                  <c:v>33.3333333333334</c:v>
                </c:pt>
                <c:pt idx="62" c:formatCode="General">
                  <c:v>33.3333333333334</c:v>
                </c:pt>
                <c:pt idx="63" c:formatCode="General">
                  <c:v>33.3333333333334</c:v>
                </c:pt>
                <c:pt idx="64" c:formatCode="General">
                  <c:v>37.5533333333334</c:v>
                </c:pt>
                <c:pt idx="65" c:formatCode="General">
                  <c:v>37.5533333333334</c:v>
                </c:pt>
                <c:pt idx="66" c:formatCode="General">
                  <c:v>42.3533333333334</c:v>
                </c:pt>
                <c:pt idx="67" c:formatCode="General">
                  <c:v>42.3533333333334</c:v>
                </c:pt>
                <c:pt idx="68" c:formatCode="General">
                  <c:v>49.5533333333334</c:v>
                </c:pt>
                <c:pt idx="69" c:formatCode="General">
                  <c:v>49.5533333333335</c:v>
                </c:pt>
                <c:pt idx="70" c:formatCode="General">
                  <c:v>56.7533333333335</c:v>
                </c:pt>
                <c:pt idx="71" c:formatCode="General">
                  <c:v>56.7533333333335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控制台!$S$1272</c:f>
              <c:strCache>
                <c:ptCount val="1"/>
                <c:pt idx="0">
                  <c:v>空投空零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val>
            <c:numRef>
              <c:f>控制台!$S$1273:$S$1344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20</c:v>
                </c:pt>
                <c:pt idx="2" c:formatCode="General">
                  <c:v>20</c:v>
                </c:pt>
                <c:pt idx="3" c:formatCode="General">
                  <c:v>20</c:v>
                </c:pt>
                <c:pt idx="4" c:formatCode="General">
                  <c:v>30</c:v>
                </c:pt>
                <c:pt idx="5" c:formatCode="General">
                  <c:v>30</c:v>
                </c:pt>
                <c:pt idx="6" c:formatCode="General">
                  <c:v>30</c:v>
                </c:pt>
                <c:pt idx="7" c:formatCode="General">
                  <c:v>30</c:v>
                </c:pt>
                <c:pt idx="8" c:formatCode="General">
                  <c:v>30</c:v>
                </c:pt>
                <c:pt idx="9" c:formatCode="General">
                  <c:v>30</c:v>
                </c:pt>
                <c:pt idx="10" c:formatCode="General">
                  <c:v>40.0000000000001</c:v>
                </c:pt>
                <c:pt idx="11" c:formatCode="General">
                  <c:v>40</c:v>
                </c:pt>
                <c:pt idx="12" c:formatCode="General">
                  <c:v>40.0000000000001</c:v>
                </c:pt>
                <c:pt idx="13" c:formatCode="General">
                  <c:v>40.0000000000001</c:v>
                </c:pt>
                <c:pt idx="14" c:formatCode="General">
                  <c:v>40.0000000000001</c:v>
                </c:pt>
                <c:pt idx="15" c:formatCode="General">
                  <c:v>40</c:v>
                </c:pt>
                <c:pt idx="16" c:formatCode="General">
                  <c:v>60</c:v>
                </c:pt>
                <c:pt idx="17" c:formatCode="General">
                  <c:v>60</c:v>
                </c:pt>
                <c:pt idx="18" c:formatCode="General">
                  <c:v>60</c:v>
                </c:pt>
                <c:pt idx="19" c:formatCode="General">
                  <c:v>60</c:v>
                </c:pt>
                <c:pt idx="20" c:formatCode="General">
                  <c:v>60</c:v>
                </c:pt>
                <c:pt idx="21" c:formatCode="General">
                  <c:v>60</c:v>
                </c:pt>
                <c:pt idx="22" c:formatCode="General">
                  <c:v>60</c:v>
                </c:pt>
                <c:pt idx="23" c:formatCode="General">
                  <c:v>60</c:v>
                </c:pt>
                <c:pt idx="24" c:formatCode="General">
                  <c:v>60</c:v>
                </c:pt>
                <c:pt idx="25" c:formatCode="General">
                  <c:v>60</c:v>
                </c:pt>
                <c:pt idx="26" c:formatCode="General">
                  <c:v>60</c:v>
                </c:pt>
                <c:pt idx="27" c:formatCode="General">
                  <c:v>60</c:v>
                </c:pt>
                <c:pt idx="28" c:formatCode="General">
                  <c:v>60</c:v>
                </c:pt>
                <c:pt idx="29" c:formatCode="General">
                  <c:v>60</c:v>
                </c:pt>
                <c:pt idx="30" c:formatCode="General">
                  <c:v>60</c:v>
                </c:pt>
                <c:pt idx="31" c:formatCode="General">
                  <c:v>60</c:v>
                </c:pt>
                <c:pt idx="32" c:formatCode="General">
                  <c:v>60</c:v>
                </c:pt>
                <c:pt idx="33" c:formatCode="General">
                  <c:v>60</c:v>
                </c:pt>
                <c:pt idx="34" c:formatCode="General">
                  <c:v>59.9999999999999</c:v>
                </c:pt>
                <c:pt idx="35" c:formatCode="General">
                  <c:v>100</c:v>
                </c:pt>
                <c:pt idx="36" c:formatCode="General">
                  <c:v>100</c:v>
                </c:pt>
                <c:pt idx="37" c:formatCode="General">
                  <c:v>100</c:v>
                </c:pt>
                <c:pt idx="38" c:formatCode="General">
                  <c:v>100</c:v>
                </c:pt>
                <c:pt idx="39" c:formatCode="General">
                  <c:v>100</c:v>
                </c:pt>
                <c:pt idx="40" c:formatCode="General">
                  <c:v>100</c:v>
                </c:pt>
                <c:pt idx="41" c:formatCode="General">
                  <c:v>100</c:v>
                </c:pt>
                <c:pt idx="42" c:formatCode="General">
                  <c:v>100</c:v>
                </c:pt>
                <c:pt idx="43" c:formatCode="General">
                  <c:v>100</c:v>
                </c:pt>
                <c:pt idx="44" c:formatCode="General">
                  <c:v>100</c:v>
                </c:pt>
                <c:pt idx="45" c:formatCode="General">
                  <c:v>100</c:v>
                </c:pt>
                <c:pt idx="46" c:formatCode="General">
                  <c:v>100</c:v>
                </c:pt>
                <c:pt idx="47" c:formatCode="General">
                  <c:v>100</c:v>
                </c:pt>
                <c:pt idx="48" c:formatCode="General">
                  <c:v>100</c:v>
                </c:pt>
                <c:pt idx="49" c:formatCode="General">
                  <c:v>100</c:v>
                </c:pt>
                <c:pt idx="50" c:formatCode="General">
                  <c:v>100</c:v>
                </c:pt>
                <c:pt idx="51" c:formatCode="General">
                  <c:v>100</c:v>
                </c:pt>
                <c:pt idx="52" c:formatCode="General">
                  <c:v>100</c:v>
                </c:pt>
                <c:pt idx="53" c:formatCode="General">
                  <c:v>100</c:v>
                </c:pt>
                <c:pt idx="54" c:formatCode="General">
                  <c:v>100</c:v>
                </c:pt>
                <c:pt idx="55" c:formatCode="General">
                  <c:v>100</c:v>
                </c:pt>
                <c:pt idx="56" c:formatCode="General">
                  <c:v>100</c:v>
                </c:pt>
                <c:pt idx="57" c:formatCode="General">
                  <c:v>150</c:v>
                </c:pt>
                <c:pt idx="58" c:formatCode="General">
                  <c:v>150</c:v>
                </c:pt>
                <c:pt idx="59" c:formatCode="General">
                  <c:v>150</c:v>
                </c:pt>
                <c:pt idx="60" c:formatCode="General">
                  <c:v>150</c:v>
                </c:pt>
                <c:pt idx="61" c:formatCode="General">
                  <c:v>150</c:v>
                </c:pt>
                <c:pt idx="62" c:formatCode="General">
                  <c:v>150</c:v>
                </c:pt>
                <c:pt idx="63" c:formatCode="General">
                  <c:v>150</c:v>
                </c:pt>
                <c:pt idx="64" c:formatCode="General">
                  <c:v>150</c:v>
                </c:pt>
                <c:pt idx="65" c:formatCode="General">
                  <c:v>150</c:v>
                </c:pt>
                <c:pt idx="66" c:formatCode="General">
                  <c:v>150</c:v>
                </c:pt>
                <c:pt idx="67" c:formatCode="General">
                  <c:v>150</c:v>
                </c:pt>
                <c:pt idx="68" c:formatCode="General">
                  <c:v>150</c:v>
                </c:pt>
                <c:pt idx="69" c:formatCode="General">
                  <c:v>150</c:v>
                </c:pt>
                <c:pt idx="70" c:formatCode="General">
                  <c:v>150</c:v>
                </c:pt>
                <c:pt idx="71" c:formatCode="General">
                  <c:v>150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控制台!$T$1272</c:f>
              <c:strCache>
                <c:ptCount val="1"/>
                <c:pt idx="0">
                  <c:v>黑市空零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val>
            <c:numRef>
              <c:f>控制台!$T$1273:$T$1344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3</c:v>
                </c:pt>
                <c:pt idx="2" c:formatCode="General">
                  <c:v>3</c:v>
                </c:pt>
                <c:pt idx="3" c:formatCode="General">
                  <c:v>3</c:v>
                </c:pt>
                <c:pt idx="4" c:formatCode="General">
                  <c:v>3</c:v>
                </c:pt>
                <c:pt idx="5" c:formatCode="General">
                  <c:v>3</c:v>
                </c:pt>
                <c:pt idx="6" c:formatCode="General">
                  <c:v>3</c:v>
                </c:pt>
                <c:pt idx="7" c:formatCode="General">
                  <c:v>3</c:v>
                </c:pt>
                <c:pt idx="8" c:formatCode="General">
                  <c:v>3</c:v>
                </c:pt>
                <c:pt idx="9" c:formatCode="General">
                  <c:v>3</c:v>
                </c:pt>
                <c:pt idx="10" c:formatCode="General">
                  <c:v>3</c:v>
                </c:pt>
                <c:pt idx="11" c:formatCode="General">
                  <c:v>3</c:v>
                </c:pt>
                <c:pt idx="12" c:formatCode="General">
                  <c:v>3</c:v>
                </c:pt>
                <c:pt idx="13" c:formatCode="General">
                  <c:v>3</c:v>
                </c:pt>
                <c:pt idx="14" c:formatCode="General">
                  <c:v>3</c:v>
                </c:pt>
                <c:pt idx="15" c:formatCode="General">
                  <c:v>3</c:v>
                </c:pt>
                <c:pt idx="16" c:formatCode="General">
                  <c:v>3</c:v>
                </c:pt>
                <c:pt idx="17" c:formatCode="General">
                  <c:v>3</c:v>
                </c:pt>
                <c:pt idx="18" c:formatCode="General">
                  <c:v>3</c:v>
                </c:pt>
                <c:pt idx="19" c:formatCode="General">
                  <c:v>3</c:v>
                </c:pt>
                <c:pt idx="20" c:formatCode="General">
                  <c:v>3</c:v>
                </c:pt>
                <c:pt idx="21" c:formatCode="General">
                  <c:v>3</c:v>
                </c:pt>
                <c:pt idx="22" c:formatCode="General">
                  <c:v>3</c:v>
                </c:pt>
                <c:pt idx="23" c:formatCode="General">
                  <c:v>6</c:v>
                </c:pt>
                <c:pt idx="24" c:formatCode="General">
                  <c:v>6</c:v>
                </c:pt>
                <c:pt idx="25" c:formatCode="General">
                  <c:v>6</c:v>
                </c:pt>
                <c:pt idx="26" c:formatCode="General">
                  <c:v>6</c:v>
                </c:pt>
                <c:pt idx="27" c:formatCode="General">
                  <c:v>6</c:v>
                </c:pt>
                <c:pt idx="28" c:formatCode="General">
                  <c:v>6</c:v>
                </c:pt>
                <c:pt idx="29" c:formatCode="General">
                  <c:v>6</c:v>
                </c:pt>
                <c:pt idx="30" c:formatCode="General">
                  <c:v>12</c:v>
                </c:pt>
                <c:pt idx="31" c:formatCode="General">
                  <c:v>12</c:v>
                </c:pt>
                <c:pt idx="32" c:formatCode="General">
                  <c:v>12</c:v>
                </c:pt>
                <c:pt idx="33" c:formatCode="General">
                  <c:v>12</c:v>
                </c:pt>
                <c:pt idx="34" c:formatCode="General">
                  <c:v>12</c:v>
                </c:pt>
                <c:pt idx="35" c:formatCode="General">
                  <c:v>12</c:v>
                </c:pt>
                <c:pt idx="36" c:formatCode="General">
                  <c:v>12</c:v>
                </c:pt>
                <c:pt idx="37" c:formatCode="General">
                  <c:v>12</c:v>
                </c:pt>
                <c:pt idx="38" c:formatCode="General">
                  <c:v>12</c:v>
                </c:pt>
                <c:pt idx="39" c:formatCode="General">
                  <c:v>12</c:v>
                </c:pt>
                <c:pt idx="40" c:formatCode="General">
                  <c:v>12</c:v>
                </c:pt>
                <c:pt idx="41" c:formatCode="General">
                  <c:v>12</c:v>
                </c:pt>
                <c:pt idx="42" c:formatCode="General">
                  <c:v>12</c:v>
                </c:pt>
                <c:pt idx="43" c:formatCode="General">
                  <c:v>12</c:v>
                </c:pt>
                <c:pt idx="44" c:formatCode="General">
                  <c:v>12</c:v>
                </c:pt>
                <c:pt idx="45" c:formatCode="General">
                  <c:v>12</c:v>
                </c:pt>
                <c:pt idx="46" c:formatCode="General">
                  <c:v>18</c:v>
                </c:pt>
                <c:pt idx="47" c:formatCode="General">
                  <c:v>18</c:v>
                </c:pt>
                <c:pt idx="48" c:formatCode="General">
                  <c:v>18</c:v>
                </c:pt>
                <c:pt idx="49" c:formatCode="General">
                  <c:v>18</c:v>
                </c:pt>
                <c:pt idx="50" c:formatCode="General">
                  <c:v>18</c:v>
                </c:pt>
                <c:pt idx="51" c:formatCode="General">
                  <c:v>18</c:v>
                </c:pt>
                <c:pt idx="52" c:formatCode="General">
                  <c:v>24</c:v>
                </c:pt>
                <c:pt idx="53" c:formatCode="General">
                  <c:v>24</c:v>
                </c:pt>
                <c:pt idx="54" c:formatCode="General">
                  <c:v>24</c:v>
                </c:pt>
                <c:pt idx="55" c:formatCode="General">
                  <c:v>24</c:v>
                </c:pt>
                <c:pt idx="56" c:formatCode="General">
                  <c:v>24</c:v>
                </c:pt>
                <c:pt idx="57" c:formatCode="General">
                  <c:v>24</c:v>
                </c:pt>
                <c:pt idx="58" c:formatCode="General">
                  <c:v>24</c:v>
                </c:pt>
                <c:pt idx="59" c:formatCode="General">
                  <c:v>24</c:v>
                </c:pt>
                <c:pt idx="60" c:formatCode="General">
                  <c:v>24</c:v>
                </c:pt>
                <c:pt idx="61" c:formatCode="General">
                  <c:v>24</c:v>
                </c:pt>
                <c:pt idx="62" c:formatCode="General">
                  <c:v>24</c:v>
                </c:pt>
                <c:pt idx="63" c:formatCode="General">
                  <c:v>24</c:v>
                </c:pt>
                <c:pt idx="64" c:formatCode="General">
                  <c:v>30</c:v>
                </c:pt>
                <c:pt idx="65" c:formatCode="General">
                  <c:v>30</c:v>
                </c:pt>
                <c:pt idx="66" c:formatCode="General">
                  <c:v>30</c:v>
                </c:pt>
                <c:pt idx="67" c:formatCode="General">
                  <c:v>30</c:v>
                </c:pt>
                <c:pt idx="68" c:formatCode="General">
                  <c:v>30</c:v>
                </c:pt>
                <c:pt idx="69" c:formatCode="General">
                  <c:v>30</c:v>
                </c:pt>
                <c:pt idx="70" c:formatCode="General">
                  <c:v>30</c:v>
                </c:pt>
                <c:pt idx="71" c:formatCode="General">
                  <c:v>30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控制台!$U$1272</c:f>
              <c:strCache>
                <c:ptCount val="1"/>
                <c:pt idx="0">
                  <c:v>活动空零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val>
            <c:numRef>
              <c:f>控制台!$U$1273:$U$1344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0</c:v>
                </c:pt>
                <c:pt idx="3" c:formatCode="General">
                  <c:v>0</c:v>
                </c:pt>
                <c:pt idx="4" c:formatCode="General">
                  <c:v>0</c:v>
                </c:pt>
                <c:pt idx="5" c:formatCode="General">
                  <c:v>0</c:v>
                </c:pt>
                <c:pt idx="6" c:formatCode="General">
                  <c:v>0</c:v>
                </c:pt>
                <c:pt idx="7" c:formatCode="General">
                  <c:v>0</c:v>
                </c:pt>
                <c:pt idx="8" c:formatCode="General">
                  <c:v>0</c:v>
                </c:pt>
                <c:pt idx="9" c:formatCode="General">
                  <c:v>0</c:v>
                </c:pt>
                <c:pt idx="10" c:formatCode="General">
                  <c:v>0</c:v>
                </c:pt>
                <c:pt idx="11" c:formatCode="General">
                  <c:v>0</c:v>
                </c:pt>
                <c:pt idx="12" c:formatCode="General">
                  <c:v>0</c:v>
                </c:pt>
                <c:pt idx="13" c:formatCode="General">
                  <c:v>0</c:v>
                </c:pt>
                <c:pt idx="14" c:formatCode="General">
                  <c:v>0</c:v>
                </c:pt>
                <c:pt idx="15" c:formatCode="General">
                  <c:v>0</c:v>
                </c:pt>
                <c:pt idx="16" c:formatCode="General">
                  <c:v>0</c:v>
                </c:pt>
                <c:pt idx="17" c:formatCode="General">
                  <c:v>0</c:v>
                </c:pt>
                <c:pt idx="18" c:formatCode="General">
                  <c:v>0</c:v>
                </c:pt>
                <c:pt idx="19" c:formatCode="General">
                  <c:v>0</c:v>
                </c:pt>
                <c:pt idx="20" c:formatCode="General">
                  <c:v>0</c:v>
                </c:pt>
                <c:pt idx="21" c:formatCode="General">
                  <c:v>0</c:v>
                </c:pt>
                <c:pt idx="22" c:formatCode="General">
                  <c:v>0</c:v>
                </c:pt>
                <c:pt idx="23" c:formatCode="General">
                  <c:v>50</c:v>
                </c:pt>
                <c:pt idx="24" c:formatCode="General">
                  <c:v>50</c:v>
                </c:pt>
                <c:pt idx="25" c:formatCode="General">
                  <c:v>50</c:v>
                </c:pt>
                <c:pt idx="26" c:formatCode="General">
                  <c:v>50</c:v>
                </c:pt>
                <c:pt idx="27" c:formatCode="General">
                  <c:v>50</c:v>
                </c:pt>
                <c:pt idx="28" c:formatCode="General">
                  <c:v>50</c:v>
                </c:pt>
                <c:pt idx="29" c:formatCode="General">
                  <c:v>50</c:v>
                </c:pt>
                <c:pt idx="30" c:formatCode="General">
                  <c:v>100</c:v>
                </c:pt>
                <c:pt idx="31" c:formatCode="General">
                  <c:v>100</c:v>
                </c:pt>
                <c:pt idx="32" c:formatCode="General">
                  <c:v>100</c:v>
                </c:pt>
                <c:pt idx="33" c:formatCode="General">
                  <c:v>100</c:v>
                </c:pt>
                <c:pt idx="34" c:formatCode="General">
                  <c:v>100</c:v>
                </c:pt>
                <c:pt idx="35" c:formatCode="General">
                  <c:v>100</c:v>
                </c:pt>
                <c:pt idx="36" c:formatCode="General">
                  <c:v>100</c:v>
                </c:pt>
                <c:pt idx="37" c:formatCode="General">
                  <c:v>100</c:v>
                </c:pt>
                <c:pt idx="38" c:formatCode="General">
                  <c:v>100</c:v>
                </c:pt>
                <c:pt idx="39" c:formatCode="General">
                  <c:v>100</c:v>
                </c:pt>
                <c:pt idx="40" c:formatCode="General">
                  <c:v>100</c:v>
                </c:pt>
                <c:pt idx="41" c:formatCode="General">
                  <c:v>100</c:v>
                </c:pt>
                <c:pt idx="42" c:formatCode="General">
                  <c:v>100</c:v>
                </c:pt>
                <c:pt idx="43" c:formatCode="General">
                  <c:v>100</c:v>
                </c:pt>
                <c:pt idx="44" c:formatCode="General">
                  <c:v>100</c:v>
                </c:pt>
                <c:pt idx="45" c:formatCode="General">
                  <c:v>100</c:v>
                </c:pt>
                <c:pt idx="46" c:formatCode="General">
                  <c:v>150</c:v>
                </c:pt>
                <c:pt idx="47" c:formatCode="General">
                  <c:v>150</c:v>
                </c:pt>
                <c:pt idx="48" c:formatCode="General">
                  <c:v>150</c:v>
                </c:pt>
                <c:pt idx="49" c:formatCode="General">
                  <c:v>150</c:v>
                </c:pt>
                <c:pt idx="50" c:formatCode="General">
                  <c:v>150</c:v>
                </c:pt>
                <c:pt idx="51" c:formatCode="General">
                  <c:v>150</c:v>
                </c:pt>
                <c:pt idx="52" c:formatCode="General">
                  <c:v>200</c:v>
                </c:pt>
                <c:pt idx="53" c:formatCode="General">
                  <c:v>200</c:v>
                </c:pt>
                <c:pt idx="54" c:formatCode="General">
                  <c:v>200</c:v>
                </c:pt>
                <c:pt idx="55" c:formatCode="General">
                  <c:v>200</c:v>
                </c:pt>
                <c:pt idx="56" c:formatCode="General">
                  <c:v>200</c:v>
                </c:pt>
                <c:pt idx="57" c:formatCode="General">
                  <c:v>200</c:v>
                </c:pt>
                <c:pt idx="58" c:formatCode="General">
                  <c:v>200</c:v>
                </c:pt>
                <c:pt idx="59" c:formatCode="General">
                  <c:v>200</c:v>
                </c:pt>
                <c:pt idx="60" c:formatCode="General">
                  <c:v>200</c:v>
                </c:pt>
                <c:pt idx="61" c:formatCode="General">
                  <c:v>200</c:v>
                </c:pt>
                <c:pt idx="62" c:formatCode="General">
                  <c:v>200</c:v>
                </c:pt>
                <c:pt idx="63" c:formatCode="General">
                  <c:v>200</c:v>
                </c:pt>
                <c:pt idx="64" c:formatCode="General">
                  <c:v>250</c:v>
                </c:pt>
                <c:pt idx="65" c:formatCode="General">
                  <c:v>250</c:v>
                </c:pt>
                <c:pt idx="66" c:formatCode="General">
                  <c:v>250</c:v>
                </c:pt>
                <c:pt idx="67" c:formatCode="General">
                  <c:v>250</c:v>
                </c:pt>
                <c:pt idx="68" c:formatCode="General">
                  <c:v>250</c:v>
                </c:pt>
                <c:pt idx="69" c:formatCode="General">
                  <c:v>250</c:v>
                </c:pt>
                <c:pt idx="70" c:formatCode="General">
                  <c:v>250</c:v>
                </c:pt>
                <c:pt idx="71" c:formatCode="General">
                  <c:v>250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控制台!$V$1272</c:f>
              <c:strCache>
                <c:ptCount val="1"/>
                <c:pt idx="0">
                  <c:v>VIP商空零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val>
            <c:numRef>
              <c:f>控制台!$V$1273:$V$1344</c:f>
              <c:numCache>
                <c:formatCode>General</c:formatCode>
                <c:ptCount val="72"/>
                <c:pt idx="0" c:formatCode="General">
                  <c:v>0</c:v>
                </c:pt>
                <c:pt idx="1" c:formatCode="General">
                  <c:v>0</c:v>
                </c:pt>
                <c:pt idx="2" c:formatCode="General">
                  <c:v>0</c:v>
                </c:pt>
                <c:pt idx="3" c:formatCode="General">
                  <c:v>0</c:v>
                </c:pt>
                <c:pt idx="4" c:formatCode="General">
                  <c:v>0</c:v>
                </c:pt>
                <c:pt idx="5" c:formatCode="General">
                  <c:v>0</c:v>
                </c:pt>
                <c:pt idx="6" c:formatCode="General">
                  <c:v>0</c:v>
                </c:pt>
                <c:pt idx="7" c:formatCode="General">
                  <c:v>0</c:v>
                </c:pt>
                <c:pt idx="8" c:formatCode="General">
                  <c:v>0</c:v>
                </c:pt>
                <c:pt idx="9" c:formatCode="General">
                  <c:v>0</c:v>
                </c:pt>
                <c:pt idx="10" c:formatCode="General">
                  <c:v>0</c:v>
                </c:pt>
                <c:pt idx="11" c:formatCode="General">
                  <c:v>0</c:v>
                </c:pt>
                <c:pt idx="12" c:formatCode="General">
                  <c:v>0</c:v>
                </c:pt>
                <c:pt idx="13" c:formatCode="General">
                  <c:v>0</c:v>
                </c:pt>
                <c:pt idx="14" c:formatCode="General">
                  <c:v>0</c:v>
                </c:pt>
                <c:pt idx="15" c:formatCode="General">
                  <c:v>0</c:v>
                </c:pt>
                <c:pt idx="16" c:formatCode="General">
                  <c:v>0</c:v>
                </c:pt>
                <c:pt idx="17" c:formatCode="General">
                  <c:v>0</c:v>
                </c:pt>
                <c:pt idx="18" c:formatCode="General">
                  <c:v>0</c:v>
                </c:pt>
                <c:pt idx="19" c:formatCode="General">
                  <c:v>0</c:v>
                </c:pt>
                <c:pt idx="20" c:formatCode="General">
                  <c:v>0</c:v>
                </c:pt>
                <c:pt idx="21" c:formatCode="General">
                  <c:v>0</c:v>
                </c:pt>
                <c:pt idx="22" c:formatCode="General">
                  <c:v>0</c:v>
                </c:pt>
                <c:pt idx="23" c:formatCode="General">
                  <c:v>0</c:v>
                </c:pt>
                <c:pt idx="24" c:formatCode="General">
                  <c:v>0</c:v>
                </c:pt>
                <c:pt idx="25" c:formatCode="General">
                  <c:v>0</c:v>
                </c:pt>
                <c:pt idx="26" c:formatCode="General">
                  <c:v>0</c:v>
                </c:pt>
                <c:pt idx="27" c:formatCode="General">
                  <c:v>0</c:v>
                </c:pt>
                <c:pt idx="28" c:formatCode="General">
                  <c:v>0</c:v>
                </c:pt>
                <c:pt idx="29" c:formatCode="General">
                  <c:v>0</c:v>
                </c:pt>
                <c:pt idx="30" c:formatCode="General">
                  <c:v>0</c:v>
                </c:pt>
                <c:pt idx="31" c:formatCode="General">
                  <c:v>0</c:v>
                </c:pt>
                <c:pt idx="32" c:formatCode="General">
                  <c:v>0</c:v>
                </c:pt>
                <c:pt idx="33" c:formatCode="General">
                  <c:v>0</c:v>
                </c:pt>
                <c:pt idx="34" c:formatCode="General">
                  <c:v>0</c:v>
                </c:pt>
                <c:pt idx="35" c:formatCode="General">
                  <c:v>0</c:v>
                </c:pt>
                <c:pt idx="36" c:formatCode="General">
                  <c:v>0</c:v>
                </c:pt>
                <c:pt idx="37" c:formatCode="General">
                  <c:v>0</c:v>
                </c:pt>
                <c:pt idx="38" c:formatCode="General">
                  <c:v>0</c:v>
                </c:pt>
                <c:pt idx="39" c:formatCode="General">
                  <c:v>0</c:v>
                </c:pt>
                <c:pt idx="40" c:formatCode="General">
                  <c:v>0</c:v>
                </c:pt>
                <c:pt idx="41" c:formatCode="General">
                  <c:v>0</c:v>
                </c:pt>
                <c:pt idx="42" c:formatCode="General">
                  <c:v>0</c:v>
                </c:pt>
                <c:pt idx="43" c:formatCode="General">
                  <c:v>0</c:v>
                </c:pt>
                <c:pt idx="44" c:formatCode="General">
                  <c:v>0</c:v>
                </c:pt>
                <c:pt idx="45" c:formatCode="General">
                  <c:v>0</c:v>
                </c:pt>
                <c:pt idx="46" c:formatCode="General">
                  <c:v>0</c:v>
                </c:pt>
                <c:pt idx="47" c:formatCode="General">
                  <c:v>0</c:v>
                </c:pt>
                <c:pt idx="48" c:formatCode="General">
                  <c:v>0</c:v>
                </c:pt>
                <c:pt idx="49" c:formatCode="General">
                  <c:v>0</c:v>
                </c:pt>
                <c:pt idx="50" c:formatCode="General">
                  <c:v>0</c:v>
                </c:pt>
                <c:pt idx="51" c:formatCode="General">
                  <c:v>64.2857142857143</c:v>
                </c:pt>
                <c:pt idx="52" c:formatCode="General">
                  <c:v>64.2857142857143</c:v>
                </c:pt>
                <c:pt idx="53" c:formatCode="General">
                  <c:v>64.2857142857143</c:v>
                </c:pt>
                <c:pt idx="54" c:formatCode="General">
                  <c:v>64.2857142857143</c:v>
                </c:pt>
                <c:pt idx="55" c:formatCode="General">
                  <c:v>64.2857142857143</c:v>
                </c:pt>
                <c:pt idx="56" c:formatCode="General">
                  <c:v>64.2857142857143</c:v>
                </c:pt>
                <c:pt idx="57" c:formatCode="General">
                  <c:v>64.2857142857143</c:v>
                </c:pt>
                <c:pt idx="58" c:formatCode="General">
                  <c:v>64.2857142857143</c:v>
                </c:pt>
                <c:pt idx="59" c:formatCode="General">
                  <c:v>64.2857142857143</c:v>
                </c:pt>
                <c:pt idx="60" c:formatCode="General">
                  <c:v>64.2857142857143</c:v>
                </c:pt>
                <c:pt idx="61" c:formatCode="General">
                  <c:v>64.2857142857143</c:v>
                </c:pt>
                <c:pt idx="62" c:formatCode="General">
                  <c:v>64.2857142857143</c:v>
                </c:pt>
                <c:pt idx="63" c:formatCode="General">
                  <c:v>64.2857142857143</c:v>
                </c:pt>
                <c:pt idx="64" c:formatCode="General">
                  <c:v>64.2857142857143</c:v>
                </c:pt>
                <c:pt idx="65" c:formatCode="General">
                  <c:v>64.2857142857143</c:v>
                </c:pt>
                <c:pt idx="66" c:formatCode="General">
                  <c:v>64.2857142857143</c:v>
                </c:pt>
                <c:pt idx="67" c:formatCode="General">
                  <c:v>64.2857142857143</c:v>
                </c:pt>
                <c:pt idx="68" c:formatCode="General">
                  <c:v>64.2857142857143</c:v>
                </c:pt>
                <c:pt idx="69" c:formatCode="General">
                  <c:v>64.2857142857143</c:v>
                </c:pt>
                <c:pt idx="70" c:formatCode="General">
                  <c:v>64.2857142857143</c:v>
                </c:pt>
                <c:pt idx="71" c:formatCode="General">
                  <c:v>64.2857142857142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1578168688"/>
        <c:axId val="1578172016"/>
      </c:lineChart>
      <c:catAx>
        <c:axId val="157816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78172016"/>
        <c:crosses val="autoZero"/>
        <c:auto val="1"/>
        <c:lblAlgn val="ctr"/>
        <c:lblOffset val="100"/>
        <c:noMultiLvlLbl val="0"/>
      </c:catAx>
      <c:valAx>
        <c:axId val="157817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78168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x-none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9" Type="http://schemas.openxmlformats.org/officeDocument/2006/relationships/chart" Target="../charts/chart9.xml"/><Relationship Id="rId8" Type="http://schemas.openxmlformats.org/officeDocument/2006/relationships/chart" Target="../charts/chart8.xml"/><Relationship Id="rId7" Type="http://schemas.openxmlformats.org/officeDocument/2006/relationships/chart" Target="../charts/chart7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5" Type="http://schemas.openxmlformats.org/officeDocument/2006/relationships/chart" Target="../charts/chart15.xml"/><Relationship Id="rId14" Type="http://schemas.openxmlformats.org/officeDocument/2006/relationships/chart" Target="../charts/chart14.xml"/><Relationship Id="rId13" Type="http://schemas.openxmlformats.org/officeDocument/2006/relationships/chart" Target="../charts/chart13.xml"/><Relationship Id="rId12" Type="http://schemas.openxmlformats.org/officeDocument/2006/relationships/chart" Target="../charts/chart12.xml"/><Relationship Id="rId11" Type="http://schemas.openxmlformats.org/officeDocument/2006/relationships/chart" Target="../charts/chart11.xml"/><Relationship Id="rId10" Type="http://schemas.openxmlformats.org/officeDocument/2006/relationships/chart" Target="../charts/chart10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0</xdr:colOff>
      <xdr:row>32</xdr:row>
      <xdr:rowOff>0</xdr:rowOff>
    </xdr:from>
    <xdr:to>
      <xdr:col>16</xdr:col>
      <xdr:colOff>0</xdr:colOff>
      <xdr:row>56</xdr:row>
      <xdr:rowOff>0</xdr:rowOff>
    </xdr:to>
    <xdr:graphicFrame>
      <xdr:nvGraphicFramePr>
        <xdr:cNvPr id="3" name="图表 2"/>
        <xdr:cNvGraphicFramePr/>
      </xdr:nvGraphicFramePr>
      <xdr:xfrm>
        <a:off x="836930" y="5323840"/>
        <a:ext cx="13104495" cy="3992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68</xdr:row>
      <xdr:rowOff>0</xdr:rowOff>
    </xdr:from>
    <xdr:to>
      <xdr:col>16</xdr:col>
      <xdr:colOff>0</xdr:colOff>
      <xdr:row>92</xdr:row>
      <xdr:rowOff>0</xdr:rowOff>
    </xdr:to>
    <xdr:graphicFrame>
      <xdr:nvGraphicFramePr>
        <xdr:cNvPr id="4" name="图表 3"/>
        <xdr:cNvGraphicFramePr/>
      </xdr:nvGraphicFramePr>
      <xdr:xfrm>
        <a:off x="836930" y="11313160"/>
        <a:ext cx="13104495" cy="3992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664</xdr:row>
      <xdr:rowOff>0</xdr:rowOff>
    </xdr:from>
    <xdr:to>
      <xdr:col>16</xdr:col>
      <xdr:colOff>0</xdr:colOff>
      <xdr:row>688</xdr:row>
      <xdr:rowOff>0</xdr:rowOff>
    </xdr:to>
    <xdr:graphicFrame>
      <xdr:nvGraphicFramePr>
        <xdr:cNvPr id="6" name="图表 5"/>
        <xdr:cNvGraphicFramePr/>
      </xdr:nvGraphicFramePr>
      <xdr:xfrm>
        <a:off x="836930" y="110469680"/>
        <a:ext cx="13104495" cy="3992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803</xdr:row>
      <xdr:rowOff>0</xdr:rowOff>
    </xdr:from>
    <xdr:to>
      <xdr:col>16</xdr:col>
      <xdr:colOff>0</xdr:colOff>
      <xdr:row>827</xdr:row>
      <xdr:rowOff>0</xdr:rowOff>
    </xdr:to>
    <xdr:graphicFrame>
      <xdr:nvGraphicFramePr>
        <xdr:cNvPr id="5" name="图表 4"/>
        <xdr:cNvGraphicFramePr/>
      </xdr:nvGraphicFramePr>
      <xdr:xfrm>
        <a:off x="836930" y="133595110"/>
        <a:ext cx="13104495" cy="3992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836</xdr:row>
      <xdr:rowOff>0</xdr:rowOff>
    </xdr:from>
    <xdr:to>
      <xdr:col>16</xdr:col>
      <xdr:colOff>0</xdr:colOff>
      <xdr:row>860</xdr:row>
      <xdr:rowOff>0</xdr:rowOff>
    </xdr:to>
    <xdr:graphicFrame>
      <xdr:nvGraphicFramePr>
        <xdr:cNvPr id="7" name="图表 6"/>
        <xdr:cNvGraphicFramePr/>
      </xdr:nvGraphicFramePr>
      <xdr:xfrm>
        <a:off x="836930" y="139085320"/>
        <a:ext cx="13104495" cy="3992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1132</xdr:row>
      <xdr:rowOff>0</xdr:rowOff>
    </xdr:from>
    <xdr:to>
      <xdr:col>16</xdr:col>
      <xdr:colOff>0</xdr:colOff>
      <xdr:row>1156</xdr:row>
      <xdr:rowOff>0</xdr:rowOff>
    </xdr:to>
    <xdr:graphicFrame>
      <xdr:nvGraphicFramePr>
        <xdr:cNvPr id="8" name="图表 7"/>
        <xdr:cNvGraphicFramePr/>
      </xdr:nvGraphicFramePr>
      <xdr:xfrm>
        <a:off x="836930" y="188330840"/>
        <a:ext cx="13104495" cy="3992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1397</xdr:row>
      <xdr:rowOff>0</xdr:rowOff>
    </xdr:from>
    <xdr:to>
      <xdr:col>16</xdr:col>
      <xdr:colOff>0</xdr:colOff>
      <xdr:row>1421</xdr:row>
      <xdr:rowOff>0</xdr:rowOff>
    </xdr:to>
    <xdr:graphicFrame>
      <xdr:nvGraphicFramePr>
        <xdr:cNvPr id="9" name="图表 8"/>
        <xdr:cNvGraphicFramePr/>
      </xdr:nvGraphicFramePr>
      <xdr:xfrm>
        <a:off x="836930" y="232418890"/>
        <a:ext cx="13104495" cy="3992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1631</xdr:row>
      <xdr:rowOff>0</xdr:rowOff>
    </xdr:from>
    <xdr:to>
      <xdr:col>16</xdr:col>
      <xdr:colOff>0</xdr:colOff>
      <xdr:row>1655</xdr:row>
      <xdr:rowOff>0</xdr:rowOff>
    </xdr:to>
    <xdr:graphicFrame>
      <xdr:nvGraphicFramePr>
        <xdr:cNvPr id="10" name="图表 9"/>
        <xdr:cNvGraphicFramePr/>
      </xdr:nvGraphicFramePr>
      <xdr:xfrm>
        <a:off x="836930" y="271349470"/>
        <a:ext cx="13104495" cy="3992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1762</xdr:row>
      <xdr:rowOff>0</xdr:rowOff>
    </xdr:from>
    <xdr:to>
      <xdr:col>16</xdr:col>
      <xdr:colOff>0</xdr:colOff>
      <xdr:row>1786</xdr:row>
      <xdr:rowOff>0</xdr:rowOff>
    </xdr:to>
    <xdr:graphicFrame>
      <xdr:nvGraphicFramePr>
        <xdr:cNvPr id="11" name="图表 10"/>
        <xdr:cNvGraphicFramePr/>
      </xdr:nvGraphicFramePr>
      <xdr:xfrm>
        <a:off x="836930" y="293143940"/>
        <a:ext cx="13104495" cy="3992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32</xdr:row>
      <xdr:rowOff>0</xdr:rowOff>
    </xdr:from>
    <xdr:to>
      <xdr:col>31</xdr:col>
      <xdr:colOff>638175</xdr:colOff>
      <xdr:row>56</xdr:row>
      <xdr:rowOff>0</xdr:rowOff>
    </xdr:to>
    <xdr:graphicFrame>
      <xdr:nvGraphicFramePr>
        <xdr:cNvPr id="12" name="图表 11"/>
        <xdr:cNvGraphicFramePr/>
      </xdr:nvGraphicFramePr>
      <xdr:xfrm>
        <a:off x="14778355" y="5323840"/>
        <a:ext cx="12355195" cy="3992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68</xdr:row>
      <xdr:rowOff>0</xdr:rowOff>
    </xdr:from>
    <xdr:to>
      <xdr:col>31</xdr:col>
      <xdr:colOff>638175</xdr:colOff>
      <xdr:row>92</xdr:row>
      <xdr:rowOff>0</xdr:rowOff>
    </xdr:to>
    <xdr:graphicFrame>
      <xdr:nvGraphicFramePr>
        <xdr:cNvPr id="13" name="图表 12"/>
        <xdr:cNvGraphicFramePr/>
      </xdr:nvGraphicFramePr>
      <xdr:xfrm>
        <a:off x="14778355" y="11313160"/>
        <a:ext cx="12355195" cy="3992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664</xdr:row>
      <xdr:rowOff>0</xdr:rowOff>
    </xdr:from>
    <xdr:to>
      <xdr:col>31</xdr:col>
      <xdr:colOff>638175</xdr:colOff>
      <xdr:row>688</xdr:row>
      <xdr:rowOff>0</xdr:rowOff>
    </xdr:to>
    <xdr:graphicFrame>
      <xdr:nvGraphicFramePr>
        <xdr:cNvPr id="14" name="图表 13"/>
        <xdr:cNvGraphicFramePr/>
      </xdr:nvGraphicFramePr>
      <xdr:xfrm>
        <a:off x="14778355" y="110469680"/>
        <a:ext cx="12355195" cy="3992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946</xdr:row>
      <xdr:rowOff>0</xdr:rowOff>
    </xdr:from>
    <xdr:to>
      <xdr:col>16</xdr:col>
      <xdr:colOff>0</xdr:colOff>
      <xdr:row>970</xdr:row>
      <xdr:rowOff>0</xdr:rowOff>
    </xdr:to>
    <xdr:graphicFrame>
      <xdr:nvGraphicFramePr>
        <xdr:cNvPr id="18" name="图表 17"/>
        <xdr:cNvGraphicFramePr/>
      </xdr:nvGraphicFramePr>
      <xdr:xfrm>
        <a:off x="836930" y="157386020"/>
        <a:ext cx="13104495" cy="3992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978</xdr:row>
      <xdr:rowOff>0</xdr:rowOff>
    </xdr:from>
    <xdr:to>
      <xdr:col>16</xdr:col>
      <xdr:colOff>0</xdr:colOff>
      <xdr:row>1002</xdr:row>
      <xdr:rowOff>0</xdr:rowOff>
    </xdr:to>
    <xdr:graphicFrame>
      <xdr:nvGraphicFramePr>
        <xdr:cNvPr id="19" name="图表 18"/>
        <xdr:cNvGraphicFramePr/>
      </xdr:nvGraphicFramePr>
      <xdr:xfrm>
        <a:off x="836930" y="162709860"/>
        <a:ext cx="13104495" cy="3992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1244</xdr:row>
      <xdr:rowOff>0</xdr:rowOff>
    </xdr:from>
    <xdr:to>
      <xdr:col>16</xdr:col>
      <xdr:colOff>0</xdr:colOff>
      <xdr:row>1268</xdr:row>
      <xdr:rowOff>0</xdr:rowOff>
    </xdr:to>
    <xdr:graphicFrame>
      <xdr:nvGraphicFramePr>
        <xdr:cNvPr id="20" name="图表 19"/>
        <xdr:cNvGraphicFramePr/>
      </xdr:nvGraphicFramePr>
      <xdr:xfrm>
        <a:off x="836930" y="206964280"/>
        <a:ext cx="13104495" cy="3992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comments" Target="../comments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comments" Target="../comments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001">
    <tabColor theme="5" tint="0.599993896298105"/>
  </sheetPr>
  <dimension ref="A1:L62"/>
  <sheetViews>
    <sheetView zoomScale="85" zoomScaleNormal="85" workbookViewId="0">
      <selection activeCell="I8" sqref="I8"/>
    </sheetView>
  </sheetViews>
  <sheetFormatPr defaultColWidth="8.70967741935484" defaultRowHeight="13.1"/>
  <cols>
    <col min="1" max="1" width="10.6290322580645" style="184"/>
    <col min="2" max="2" width="10.6290322580645" style="185"/>
    <col min="3" max="3" width="12.5" style="185" customWidth="1"/>
    <col min="4" max="4" width="10.6290322580645" style="185"/>
    <col min="5" max="16384" width="10.6290322580645" style="184"/>
  </cols>
  <sheetData>
    <row r="1" s="183" customFormat="1" spans="1:4">
      <c r="A1" s="186" t="s">
        <v>0</v>
      </c>
      <c r="B1" s="187"/>
      <c r="C1" s="187"/>
      <c r="D1" s="187"/>
    </row>
    <row r="2" spans="1:2">
      <c r="A2" s="188"/>
      <c r="B2" s="189"/>
    </row>
    <row r="3" spans="2:12">
      <c r="B3" s="190" t="s">
        <v>1</v>
      </c>
      <c r="C3" s="190" t="s">
        <v>2</v>
      </c>
      <c r="D3" s="190" t="s">
        <v>3</v>
      </c>
      <c r="E3" s="27" t="s">
        <v>4</v>
      </c>
      <c r="F3" s="193"/>
      <c r="G3" s="193"/>
      <c r="H3" s="193"/>
      <c r="I3" s="193"/>
      <c r="J3" s="193"/>
      <c r="K3" s="193"/>
      <c r="L3" s="193"/>
    </row>
    <row r="4" spans="2:5">
      <c r="B4" s="191">
        <v>1</v>
      </c>
      <c r="C4" s="192">
        <v>43791</v>
      </c>
      <c r="D4" s="185" t="s">
        <v>5</v>
      </c>
      <c r="E4" s="184" t="s">
        <v>6</v>
      </c>
    </row>
    <row r="5" spans="2:5">
      <c r="B5" s="185">
        <v>1.1</v>
      </c>
      <c r="C5" s="192">
        <v>43803</v>
      </c>
      <c r="D5" s="185" t="s">
        <v>5</v>
      </c>
      <c r="E5" s="184" t="s">
        <v>7</v>
      </c>
    </row>
    <row r="6" spans="5:5">
      <c r="E6" s="184" t="s">
        <v>8</v>
      </c>
    </row>
    <row r="7" spans="5:5">
      <c r="E7" s="184" t="s">
        <v>9</v>
      </c>
    </row>
    <row r="8" spans="2:5">
      <c r="B8" s="185">
        <v>1.4</v>
      </c>
      <c r="C8" s="192">
        <v>43821</v>
      </c>
      <c r="D8" s="185" t="s">
        <v>5</v>
      </c>
      <c r="E8" s="184" t="s">
        <v>10</v>
      </c>
    </row>
    <row r="9" spans="2:5">
      <c r="B9" s="185">
        <v>1.5</v>
      </c>
      <c r="C9" s="192">
        <v>43823</v>
      </c>
      <c r="D9" s="185" t="s">
        <v>5</v>
      </c>
      <c r="E9" s="184" t="s">
        <v>11</v>
      </c>
    </row>
    <row r="10" spans="2:5">
      <c r="B10" s="185">
        <v>1.6</v>
      </c>
      <c r="C10" s="192">
        <v>43837</v>
      </c>
      <c r="D10" s="185" t="s">
        <v>5</v>
      </c>
      <c r="E10" s="184" t="s">
        <v>12</v>
      </c>
    </row>
    <row r="12" spans="2:5">
      <c r="B12" s="191">
        <v>2</v>
      </c>
      <c r="C12" s="192">
        <v>43871</v>
      </c>
      <c r="D12" s="185" t="s">
        <v>5</v>
      </c>
      <c r="E12" s="184" t="s">
        <v>13</v>
      </c>
    </row>
    <row r="13" spans="5:5">
      <c r="E13" s="184" t="s">
        <v>14</v>
      </c>
    </row>
    <row r="15" spans="2:5">
      <c r="B15" s="191">
        <v>3</v>
      </c>
      <c r="C15" s="192">
        <v>43913</v>
      </c>
      <c r="D15" s="185" t="s">
        <v>5</v>
      </c>
      <c r="E15" s="184" t="s">
        <v>15</v>
      </c>
    </row>
    <row r="16" spans="5:5">
      <c r="E16" s="184" t="s">
        <v>16</v>
      </c>
    </row>
    <row r="17" spans="5:5">
      <c r="E17" s="184" t="s">
        <v>17</v>
      </c>
    </row>
    <row r="19" spans="2:5">
      <c r="B19" s="185">
        <v>3.1</v>
      </c>
      <c r="C19" s="192">
        <v>43957</v>
      </c>
      <c r="D19" s="185" t="s">
        <v>5</v>
      </c>
      <c r="E19" s="184" t="s">
        <v>18</v>
      </c>
    </row>
    <row r="20" spans="5:5">
      <c r="E20" s="184" t="s">
        <v>19</v>
      </c>
    </row>
    <row r="21" spans="5:5">
      <c r="E21" s="184" t="s">
        <v>20</v>
      </c>
    </row>
    <row r="22" spans="6:6">
      <c r="F22" s="184" t="s">
        <v>21</v>
      </c>
    </row>
    <row r="23" spans="6:6">
      <c r="F23" s="184" t="s">
        <v>22</v>
      </c>
    </row>
    <row r="24" spans="6:6">
      <c r="F24" s="184" t="s">
        <v>23</v>
      </c>
    </row>
    <row r="26" spans="2:5">
      <c r="B26" s="191">
        <v>4</v>
      </c>
      <c r="C26" s="192">
        <v>43992</v>
      </c>
      <c r="D26" s="185" t="s">
        <v>5</v>
      </c>
      <c r="E26" s="184" t="s">
        <v>24</v>
      </c>
    </row>
    <row r="27" spans="5:5">
      <c r="E27" s="184" t="s">
        <v>25</v>
      </c>
    </row>
    <row r="28" spans="5:5">
      <c r="E28" s="184" t="s">
        <v>26</v>
      </c>
    </row>
    <row r="29" spans="6:8">
      <c r="F29" s="184" t="s">
        <v>27</v>
      </c>
      <c r="H29" s="184" t="s">
        <v>28</v>
      </c>
    </row>
    <row r="30" spans="6:8">
      <c r="F30" s="184" t="s">
        <v>29</v>
      </c>
      <c r="H30" s="184" t="s">
        <v>30</v>
      </c>
    </row>
    <row r="31" spans="6:8">
      <c r="F31" s="184" t="s">
        <v>31</v>
      </c>
      <c r="H31" s="184" t="s">
        <v>32</v>
      </c>
    </row>
    <row r="33" spans="2:5">
      <c r="B33" s="191">
        <v>5</v>
      </c>
      <c r="C33" s="192">
        <v>44021</v>
      </c>
      <c r="D33" s="185" t="s">
        <v>5</v>
      </c>
      <c r="E33" s="184" t="s">
        <v>33</v>
      </c>
    </row>
    <row r="34" spans="5:5">
      <c r="E34" s="184" t="s">
        <v>34</v>
      </c>
    </row>
    <row r="36" spans="2:5">
      <c r="B36" s="191">
        <v>6</v>
      </c>
      <c r="C36" s="192">
        <v>44042</v>
      </c>
      <c r="D36" s="185" t="s">
        <v>5</v>
      </c>
      <c r="E36" s="184" t="s">
        <v>35</v>
      </c>
    </row>
    <row r="37" spans="5:5">
      <c r="E37" s="184" t="s">
        <v>36</v>
      </c>
    </row>
    <row r="39" spans="2:5">
      <c r="B39" s="191">
        <v>7</v>
      </c>
      <c r="C39" s="192">
        <v>44083</v>
      </c>
      <c r="D39" s="185" t="s">
        <v>5</v>
      </c>
      <c r="E39" s="184" t="s">
        <v>37</v>
      </c>
    </row>
    <row r="40" spans="5:5">
      <c r="E40" s="184" t="s">
        <v>38</v>
      </c>
    </row>
    <row r="42" spans="2:5">
      <c r="B42" s="191">
        <v>8</v>
      </c>
      <c r="C42" s="192">
        <v>44167</v>
      </c>
      <c r="D42" s="185" t="s">
        <v>5</v>
      </c>
      <c r="E42" s="184" t="s">
        <v>39</v>
      </c>
    </row>
    <row r="43" spans="5:5">
      <c r="E43" s="184" t="s">
        <v>40</v>
      </c>
    </row>
    <row r="45" spans="2:5">
      <c r="B45" s="191">
        <v>9</v>
      </c>
      <c r="C45" s="192">
        <v>44208</v>
      </c>
      <c r="D45" s="185" t="s">
        <v>5</v>
      </c>
      <c r="E45" s="184" t="s">
        <v>41</v>
      </c>
    </row>
    <row r="46" spans="5:5">
      <c r="E46" s="184" t="s">
        <v>42</v>
      </c>
    </row>
    <row r="47" spans="5:5">
      <c r="E47" s="184" t="s">
        <v>43</v>
      </c>
    </row>
    <row r="48" spans="5:5">
      <c r="E48" s="184" t="s">
        <v>44</v>
      </c>
    </row>
    <row r="50" spans="2:5">
      <c r="B50" s="191">
        <v>10</v>
      </c>
      <c r="C50" s="192">
        <v>44225</v>
      </c>
      <c r="D50" s="185" t="s">
        <v>5</v>
      </c>
      <c r="E50" s="184" t="s">
        <v>45</v>
      </c>
    </row>
    <row r="52" spans="2:5">
      <c r="B52" s="191">
        <v>11</v>
      </c>
      <c r="C52" s="192">
        <v>44263</v>
      </c>
      <c r="D52" s="185" t="s">
        <v>46</v>
      </c>
      <c r="E52" s="184" t="s">
        <v>47</v>
      </c>
    </row>
    <row r="53" spans="5:5">
      <c r="E53" s="184" t="s">
        <v>48</v>
      </c>
    </row>
    <row r="54" spans="5:5">
      <c r="E54" s="184" t="s">
        <v>49</v>
      </c>
    </row>
    <row r="56" spans="2:5">
      <c r="B56" s="191">
        <v>12</v>
      </c>
      <c r="C56" s="192">
        <v>44305</v>
      </c>
      <c r="D56" s="185" t="s">
        <v>46</v>
      </c>
      <c r="E56" s="184" t="s">
        <v>50</v>
      </c>
    </row>
    <row r="57" spans="5:5">
      <c r="E57" s="184" t="s">
        <v>51</v>
      </c>
    </row>
    <row r="58" spans="5:5">
      <c r="E58" s="184" t="s">
        <v>52</v>
      </c>
    </row>
    <row r="59" spans="5:5">
      <c r="E59" s="184" t="s">
        <v>53</v>
      </c>
    </row>
    <row r="61" spans="2:5">
      <c r="B61" s="191">
        <v>13</v>
      </c>
      <c r="C61" s="192">
        <v>44326</v>
      </c>
      <c r="D61" s="185" t="s">
        <v>46</v>
      </c>
      <c r="E61" s="184" t="s">
        <v>54</v>
      </c>
    </row>
    <row r="62" spans="5:5">
      <c r="E62" s="184" t="s">
        <v>55</v>
      </c>
    </row>
  </sheetData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003">
    <tabColor theme="5" tint="0.599993896298105"/>
  </sheetPr>
  <dimension ref="A1:Z549"/>
  <sheetViews>
    <sheetView zoomScale="85" zoomScaleNormal="85" workbookViewId="0">
      <selection activeCell="H252" sqref="H252"/>
    </sheetView>
  </sheetViews>
  <sheetFormatPr defaultColWidth="8.70967741935484" defaultRowHeight="13.1"/>
  <cols>
    <col min="1" max="12" width="10.6290322580645" style="1"/>
    <col min="13" max="13" width="10.6290322580645" style="1" customWidth="1"/>
    <col min="14" max="16384" width="10.6290322580645" style="1"/>
  </cols>
  <sheetData>
    <row r="1" s="181" customFormat="1" ht="16.75" spans="1:1">
      <c r="A1" s="182" t="s">
        <v>56</v>
      </c>
    </row>
    <row r="2" hidden="1" outlineLevel="1"/>
    <row r="3" hidden="1" outlineLevel="1" spans="2:12">
      <c r="B3" s="27" t="s">
        <v>57</v>
      </c>
      <c r="C3" s="73"/>
      <c r="D3" s="73"/>
      <c r="E3" s="73"/>
      <c r="F3" s="73"/>
      <c r="G3" s="73"/>
      <c r="H3" s="73"/>
      <c r="I3" s="73"/>
      <c r="J3" s="73"/>
      <c r="K3" s="73"/>
      <c r="L3" s="73"/>
    </row>
    <row r="4" hidden="1" outlineLevel="1"/>
    <row r="5" hidden="1" outlineLevel="1" spans="2:12">
      <c r="B5" s="27" t="s">
        <v>58</v>
      </c>
      <c r="C5" s="73"/>
      <c r="D5" s="73"/>
      <c r="E5" s="73"/>
      <c r="F5" s="73"/>
      <c r="G5" s="73"/>
      <c r="H5" s="73"/>
      <c r="I5" s="73"/>
      <c r="J5" s="73"/>
      <c r="K5" s="73"/>
      <c r="L5" s="73"/>
    </row>
    <row r="6" hidden="1" outlineLevel="1"/>
    <row r="7" hidden="1" outlineLevel="1"/>
    <row r="8" s="181" customFormat="1" ht="16.75" hidden="1" outlineLevel="1" spans="1:1">
      <c r="A8" s="182" t="s">
        <v>59</v>
      </c>
    </row>
    <row r="9" hidden="1" outlineLevel="1" spans="1:1">
      <c r="A9" s="23"/>
    </row>
    <row r="10" hidden="1" outlineLevel="1" spans="1:12">
      <c r="A10" s="23"/>
      <c r="B10" s="27" t="s">
        <v>57</v>
      </c>
      <c r="C10" s="73"/>
      <c r="D10" s="73"/>
      <c r="E10" s="73"/>
      <c r="F10" s="73"/>
      <c r="G10" s="73"/>
      <c r="H10" s="73"/>
      <c r="I10" s="73"/>
      <c r="J10" s="73"/>
      <c r="K10" s="73"/>
      <c r="L10" s="73"/>
    </row>
    <row r="11" hidden="1" outlineLevel="1" spans="1:1">
      <c r="A11" s="23"/>
    </row>
    <row r="12" hidden="1" outlineLevel="1" spans="1:18">
      <c r="A12" s="23"/>
      <c r="C12" s="5" t="s">
        <v>60</v>
      </c>
      <c r="D12" s="4" t="s">
        <v>61</v>
      </c>
      <c r="E12" s="5" t="s">
        <v>60</v>
      </c>
      <c r="F12" s="5" t="s">
        <v>60</v>
      </c>
      <c r="G12" s="5" t="s">
        <v>60</v>
      </c>
      <c r="H12" s="4" t="s">
        <v>61</v>
      </c>
      <c r="I12" s="5" t="s">
        <v>60</v>
      </c>
      <c r="R12" s="4" t="s">
        <v>61</v>
      </c>
    </row>
    <row r="13" hidden="1" outlineLevel="1" spans="1:25">
      <c r="A13" s="23"/>
      <c r="B13" s="1" t="s">
        <v>62</v>
      </c>
      <c r="C13" s="5" t="s">
        <v>63</v>
      </c>
      <c r="D13" s="4" t="s">
        <v>63</v>
      </c>
      <c r="E13" s="5" t="s">
        <v>64</v>
      </c>
      <c r="F13" s="5" t="s">
        <v>65</v>
      </c>
      <c r="G13" s="5" t="s">
        <v>66</v>
      </c>
      <c r="H13" s="4" t="s">
        <v>67</v>
      </c>
      <c r="I13" s="5" t="s">
        <v>68</v>
      </c>
      <c r="J13" s="5" t="s">
        <v>69</v>
      </c>
      <c r="K13" s="5"/>
      <c r="L13" s="5"/>
      <c r="M13" s="5" t="s">
        <v>70</v>
      </c>
      <c r="N13" s="5"/>
      <c r="O13" s="5" t="s">
        <v>71</v>
      </c>
      <c r="P13" s="5"/>
      <c r="R13" s="4" t="s">
        <v>68</v>
      </c>
      <c r="S13" s="4" t="s">
        <v>72</v>
      </c>
      <c r="T13" s="4"/>
      <c r="V13" s="4" t="s">
        <v>73</v>
      </c>
      <c r="Y13" s="4" t="s">
        <v>74</v>
      </c>
    </row>
    <row r="14" hidden="1" outlineLevel="1" spans="1:16">
      <c r="A14" s="23"/>
      <c r="B14" s="1">
        <v>1</v>
      </c>
      <c r="C14" s="5">
        <v>0</v>
      </c>
      <c r="D14" s="4">
        <v>1</v>
      </c>
      <c r="E14" s="5"/>
      <c r="F14" s="5"/>
      <c r="G14" s="5"/>
      <c r="H14" s="4"/>
      <c r="I14" s="5"/>
      <c r="J14" s="5"/>
      <c r="K14" s="5"/>
      <c r="L14" s="5"/>
      <c r="M14" s="5"/>
      <c r="N14" s="5"/>
      <c r="O14" s="5"/>
      <c r="P14" s="5"/>
    </row>
    <row r="15" hidden="1" outlineLevel="1" spans="1:26">
      <c r="A15" s="23"/>
      <c r="B15" s="1">
        <v>2</v>
      </c>
      <c r="C15" s="5">
        <v>1</v>
      </c>
      <c r="D15" s="4">
        <v>0</v>
      </c>
      <c r="E15" s="5">
        <v>100000</v>
      </c>
      <c r="F15" s="5">
        <v>100000</v>
      </c>
      <c r="G15" s="5">
        <v>100000</v>
      </c>
      <c r="H15" s="4">
        <v>0</v>
      </c>
      <c r="I15" s="5" t="s">
        <v>75</v>
      </c>
      <c r="J15" s="5" t="s">
        <v>76</v>
      </c>
      <c r="K15" s="5"/>
      <c r="L15" s="5"/>
      <c r="M15" s="5" t="s">
        <v>77</v>
      </c>
      <c r="N15" s="5"/>
      <c r="O15" s="5" t="s">
        <v>78</v>
      </c>
      <c r="P15" s="5"/>
      <c r="R15" s="4" t="s">
        <v>79</v>
      </c>
      <c r="S15" s="4" t="s">
        <v>80</v>
      </c>
      <c r="T15" s="4"/>
      <c r="V15" s="4" t="s">
        <v>81</v>
      </c>
      <c r="W15" s="4"/>
      <c r="X15" s="4"/>
      <c r="Y15" s="4" t="s">
        <v>82</v>
      </c>
      <c r="Z15" s="4"/>
    </row>
    <row r="16" hidden="1" outlineLevel="1" spans="1:26">
      <c r="A16" s="23"/>
      <c r="B16" s="1">
        <v>3</v>
      </c>
      <c r="C16" s="5">
        <v>1</v>
      </c>
      <c r="D16" s="4">
        <v>0</v>
      </c>
      <c r="E16" s="5">
        <v>150000</v>
      </c>
      <c r="F16" s="5">
        <v>150000</v>
      </c>
      <c r="G16" s="5">
        <v>150000</v>
      </c>
      <c r="H16" s="4">
        <v>0</v>
      </c>
      <c r="I16" s="5" t="s">
        <v>75</v>
      </c>
      <c r="J16" s="5" t="s">
        <v>83</v>
      </c>
      <c r="K16" s="5"/>
      <c r="L16" s="5"/>
      <c r="M16" s="5" t="s">
        <v>84</v>
      </c>
      <c r="N16" s="5"/>
      <c r="O16" s="5" t="s">
        <v>85</v>
      </c>
      <c r="P16" s="5"/>
      <c r="R16" s="4"/>
      <c r="S16" s="4"/>
      <c r="T16" s="4"/>
      <c r="V16" s="4"/>
      <c r="W16" s="4"/>
      <c r="X16" s="4"/>
      <c r="Y16" s="4"/>
      <c r="Z16" s="4"/>
    </row>
    <row r="17" hidden="1" outlineLevel="1" spans="1:26">
      <c r="A17" s="23"/>
      <c r="B17" s="1">
        <v>4</v>
      </c>
      <c r="C17" s="5">
        <v>2</v>
      </c>
      <c r="D17" s="4">
        <v>4</v>
      </c>
      <c r="E17" s="5">
        <v>300000</v>
      </c>
      <c r="F17" s="5">
        <v>300000</v>
      </c>
      <c r="G17" s="5">
        <v>300000</v>
      </c>
      <c r="H17" s="4">
        <v>0</v>
      </c>
      <c r="I17" s="5" t="s">
        <v>86</v>
      </c>
      <c r="J17" s="5" t="s">
        <v>87</v>
      </c>
      <c r="K17" s="5"/>
      <c r="L17" s="5"/>
      <c r="M17" s="5" t="s">
        <v>88</v>
      </c>
      <c r="N17" s="5"/>
      <c r="O17" s="5" t="s">
        <v>89</v>
      </c>
      <c r="P17" s="5"/>
      <c r="R17" s="4" t="s">
        <v>90</v>
      </c>
      <c r="S17" s="4" t="s">
        <v>80</v>
      </c>
      <c r="T17" s="4"/>
      <c r="V17" s="4" t="s">
        <v>81</v>
      </c>
      <c r="W17" s="4"/>
      <c r="X17" s="4"/>
      <c r="Y17" s="4" t="s">
        <v>82</v>
      </c>
      <c r="Z17" s="4"/>
    </row>
    <row r="18" hidden="1" outlineLevel="1" spans="1:26">
      <c r="A18" s="23"/>
      <c r="B18" s="1">
        <v>5</v>
      </c>
      <c r="C18" s="5">
        <v>2</v>
      </c>
      <c r="D18" s="4">
        <v>0</v>
      </c>
      <c r="E18" s="5">
        <v>350000</v>
      </c>
      <c r="F18" s="5">
        <v>350000</v>
      </c>
      <c r="G18" s="5">
        <v>350000</v>
      </c>
      <c r="H18" s="4">
        <v>0</v>
      </c>
      <c r="I18" s="5" t="s">
        <v>86</v>
      </c>
      <c r="J18" s="5" t="s">
        <v>91</v>
      </c>
      <c r="K18" s="5"/>
      <c r="L18" s="5"/>
      <c r="M18" s="5" t="s">
        <v>92</v>
      </c>
      <c r="N18" s="5"/>
      <c r="O18" s="5" t="s">
        <v>93</v>
      </c>
      <c r="P18" s="5"/>
      <c r="R18" s="4"/>
      <c r="S18" s="4"/>
      <c r="T18" s="4"/>
      <c r="V18" s="4"/>
      <c r="W18" s="4"/>
      <c r="X18" s="4"/>
      <c r="Y18" s="4"/>
      <c r="Z18" s="4"/>
    </row>
    <row r="19" hidden="1" outlineLevel="1" spans="1:26">
      <c r="A19" s="23"/>
      <c r="B19" s="1">
        <v>6</v>
      </c>
      <c r="C19" s="5">
        <v>2</v>
      </c>
      <c r="D19" s="4">
        <v>0</v>
      </c>
      <c r="E19" s="5">
        <v>400000</v>
      </c>
      <c r="F19" s="5">
        <v>400000</v>
      </c>
      <c r="G19" s="5">
        <v>400000</v>
      </c>
      <c r="H19" s="4">
        <v>0</v>
      </c>
      <c r="I19" s="5" t="s">
        <v>86</v>
      </c>
      <c r="J19" s="5" t="s">
        <v>94</v>
      </c>
      <c r="K19" s="5"/>
      <c r="L19" s="5"/>
      <c r="M19" s="5" t="s">
        <v>95</v>
      </c>
      <c r="N19" s="5"/>
      <c r="O19" s="5" t="s">
        <v>96</v>
      </c>
      <c r="P19" s="5"/>
      <c r="R19" s="4"/>
      <c r="S19" s="4"/>
      <c r="T19" s="4"/>
      <c r="V19" s="4"/>
      <c r="W19" s="4"/>
      <c r="X19" s="4"/>
      <c r="Y19" s="4"/>
      <c r="Z19" s="4"/>
    </row>
    <row r="20" hidden="1" outlineLevel="1" spans="1:26">
      <c r="A20" s="23"/>
      <c r="B20" s="1">
        <v>7</v>
      </c>
      <c r="C20" s="5">
        <v>3</v>
      </c>
      <c r="D20" s="4">
        <v>7</v>
      </c>
      <c r="E20" s="5">
        <v>500000</v>
      </c>
      <c r="F20" s="5">
        <v>500000</v>
      </c>
      <c r="G20" s="5">
        <v>500000</v>
      </c>
      <c r="H20" s="4">
        <v>0</v>
      </c>
      <c r="I20" s="5" t="s">
        <v>97</v>
      </c>
      <c r="J20" s="5" t="s">
        <v>98</v>
      </c>
      <c r="K20" s="5"/>
      <c r="L20" s="5"/>
      <c r="M20" s="5" t="s">
        <v>99</v>
      </c>
      <c r="N20" s="5"/>
      <c r="O20" s="5" t="s">
        <v>100</v>
      </c>
      <c r="P20" s="5"/>
      <c r="R20" s="4" t="s">
        <v>101</v>
      </c>
      <c r="S20" s="4" t="s">
        <v>80</v>
      </c>
      <c r="T20" s="4"/>
      <c r="V20" s="4" t="s">
        <v>81</v>
      </c>
      <c r="W20" s="4"/>
      <c r="X20" s="4"/>
      <c r="Y20" s="4" t="s">
        <v>82</v>
      </c>
      <c r="Z20" s="4"/>
    </row>
    <row r="21" hidden="1" outlineLevel="1" spans="1:26">
      <c r="A21" s="23"/>
      <c r="B21" s="1">
        <v>8</v>
      </c>
      <c r="C21" s="5">
        <v>3</v>
      </c>
      <c r="D21" s="4">
        <v>0</v>
      </c>
      <c r="E21" s="5">
        <v>600000</v>
      </c>
      <c r="F21" s="5">
        <v>600000</v>
      </c>
      <c r="G21" s="5">
        <v>600000</v>
      </c>
      <c r="H21" s="4">
        <v>0</v>
      </c>
      <c r="I21" s="5" t="s">
        <v>97</v>
      </c>
      <c r="J21" s="5" t="s">
        <v>102</v>
      </c>
      <c r="K21" s="5"/>
      <c r="L21" s="5"/>
      <c r="M21" s="5" t="s">
        <v>103</v>
      </c>
      <c r="N21" s="5"/>
      <c r="O21" s="5" t="s">
        <v>104</v>
      </c>
      <c r="P21" s="5"/>
      <c r="R21" s="4"/>
      <c r="S21" s="4"/>
      <c r="T21" s="4"/>
      <c r="V21" s="4"/>
      <c r="W21" s="4"/>
      <c r="X21" s="4"/>
      <c r="Y21" s="4"/>
      <c r="Z21" s="4"/>
    </row>
    <row r="22" hidden="1" outlineLevel="1" spans="1:26">
      <c r="A22" s="23"/>
      <c r="B22" s="1">
        <v>9</v>
      </c>
      <c r="C22" s="5">
        <v>3</v>
      </c>
      <c r="D22" s="4">
        <v>0</v>
      </c>
      <c r="E22" s="5">
        <v>700000</v>
      </c>
      <c r="F22" s="5">
        <v>700000</v>
      </c>
      <c r="G22" s="5">
        <v>700000</v>
      </c>
      <c r="H22" s="4">
        <v>0</v>
      </c>
      <c r="I22" s="5" t="s">
        <v>105</v>
      </c>
      <c r="J22" s="5" t="s">
        <v>106</v>
      </c>
      <c r="K22" s="5"/>
      <c r="L22" s="5"/>
      <c r="M22" s="5" t="s">
        <v>107</v>
      </c>
      <c r="N22" s="5"/>
      <c r="O22" s="5" t="s">
        <v>108</v>
      </c>
      <c r="P22" s="5"/>
      <c r="R22" s="4"/>
      <c r="S22" s="4"/>
      <c r="T22" s="4"/>
      <c r="V22" s="4"/>
      <c r="W22" s="4"/>
      <c r="X22" s="4"/>
      <c r="Y22" s="4"/>
      <c r="Z22" s="4"/>
    </row>
    <row r="23" hidden="1" outlineLevel="1" spans="1:26">
      <c r="A23" s="23"/>
      <c r="B23" s="1">
        <v>10</v>
      </c>
      <c r="C23" s="5">
        <v>3</v>
      </c>
      <c r="D23" s="4">
        <v>0</v>
      </c>
      <c r="E23" s="5">
        <v>800000</v>
      </c>
      <c r="F23" s="5">
        <v>800000</v>
      </c>
      <c r="G23" s="5">
        <v>800000</v>
      </c>
      <c r="H23" s="4">
        <v>0</v>
      </c>
      <c r="I23" s="5" t="s">
        <v>105</v>
      </c>
      <c r="J23" s="5" t="s">
        <v>109</v>
      </c>
      <c r="K23" s="5"/>
      <c r="L23" s="5"/>
      <c r="M23" s="5" t="s">
        <v>110</v>
      </c>
      <c r="N23" s="5"/>
      <c r="O23" s="5" t="s">
        <v>111</v>
      </c>
      <c r="P23" s="5"/>
      <c r="R23" s="4"/>
      <c r="S23" s="4"/>
      <c r="T23" s="4"/>
      <c r="V23" s="4"/>
      <c r="W23" s="4"/>
      <c r="X23" s="4"/>
      <c r="Y23" s="4"/>
      <c r="Z23" s="4"/>
    </row>
    <row r="24" hidden="1" outlineLevel="1" spans="1:26">
      <c r="A24" s="23"/>
      <c r="B24" s="1">
        <v>11</v>
      </c>
      <c r="C24" s="5">
        <v>5</v>
      </c>
      <c r="D24" s="4">
        <v>14</v>
      </c>
      <c r="E24" s="5">
        <v>1000000</v>
      </c>
      <c r="F24" s="5">
        <v>1000000</v>
      </c>
      <c r="G24" s="5">
        <v>1000000</v>
      </c>
      <c r="H24" s="4">
        <v>0</v>
      </c>
      <c r="I24" s="5" t="s">
        <v>112</v>
      </c>
      <c r="J24" s="5" t="s">
        <v>113</v>
      </c>
      <c r="K24" s="5"/>
      <c r="L24" s="5"/>
      <c r="M24" s="5" t="s">
        <v>114</v>
      </c>
      <c r="N24" s="5"/>
      <c r="O24" s="5" t="s">
        <v>115</v>
      </c>
      <c r="P24" s="5"/>
      <c r="R24" s="4" t="s">
        <v>116</v>
      </c>
      <c r="S24" s="4" t="s">
        <v>80</v>
      </c>
      <c r="T24" s="4"/>
      <c r="V24" s="4" t="s">
        <v>81</v>
      </c>
      <c r="W24" s="4"/>
      <c r="X24" s="4"/>
      <c r="Y24" s="4" t="s">
        <v>82</v>
      </c>
      <c r="Z24" s="4"/>
    </row>
    <row r="25" hidden="1" outlineLevel="1" spans="1:26">
      <c r="A25" s="23"/>
      <c r="B25" s="1">
        <v>12</v>
      </c>
      <c r="C25" s="5">
        <v>5</v>
      </c>
      <c r="D25" s="4">
        <v>0</v>
      </c>
      <c r="E25" s="5">
        <v>1500000</v>
      </c>
      <c r="F25" s="5">
        <v>1500000</v>
      </c>
      <c r="G25" s="5">
        <v>1500000</v>
      </c>
      <c r="H25" s="4">
        <v>0</v>
      </c>
      <c r="I25" s="5" t="s">
        <v>112</v>
      </c>
      <c r="J25" s="5" t="s">
        <v>117</v>
      </c>
      <c r="K25" s="5"/>
      <c r="L25" s="5"/>
      <c r="M25" s="5" t="s">
        <v>118</v>
      </c>
      <c r="N25" s="5"/>
      <c r="O25" s="5" t="s">
        <v>119</v>
      </c>
      <c r="P25" s="5"/>
      <c r="R25" s="4"/>
      <c r="S25" s="4"/>
      <c r="T25" s="4"/>
      <c r="V25" s="4"/>
      <c r="W25" s="4"/>
      <c r="X25" s="4"/>
      <c r="Y25" s="4"/>
      <c r="Z25" s="4"/>
    </row>
    <row r="26" hidden="1" outlineLevel="1" spans="1:26">
      <c r="A26" s="23"/>
      <c r="B26" s="1">
        <v>13</v>
      </c>
      <c r="C26" s="5">
        <v>5</v>
      </c>
      <c r="D26" s="4">
        <v>0</v>
      </c>
      <c r="E26" s="5">
        <v>2000000</v>
      </c>
      <c r="F26" s="5">
        <v>2000000</v>
      </c>
      <c r="G26" s="5">
        <v>2000000</v>
      </c>
      <c r="H26" s="4">
        <v>0</v>
      </c>
      <c r="I26" s="5" t="s">
        <v>120</v>
      </c>
      <c r="J26" s="5" t="s">
        <v>121</v>
      </c>
      <c r="K26" s="5"/>
      <c r="L26" s="5"/>
      <c r="M26" s="5" t="s">
        <v>122</v>
      </c>
      <c r="N26" s="5"/>
      <c r="O26" s="5" t="s">
        <v>123</v>
      </c>
      <c r="P26" s="5"/>
      <c r="R26" s="4"/>
      <c r="S26" s="4"/>
      <c r="T26" s="4"/>
      <c r="V26" s="4"/>
      <c r="W26" s="4"/>
      <c r="X26" s="4"/>
      <c r="Y26" s="4"/>
      <c r="Z26" s="4"/>
    </row>
    <row r="27" hidden="1" outlineLevel="1" spans="1:26">
      <c r="A27" s="23"/>
      <c r="B27" s="1">
        <v>14</v>
      </c>
      <c r="C27" s="5">
        <v>5</v>
      </c>
      <c r="D27" s="4">
        <v>0</v>
      </c>
      <c r="E27" s="5">
        <v>2500000</v>
      </c>
      <c r="F27" s="5">
        <v>2500000</v>
      </c>
      <c r="G27" s="5">
        <v>2500000</v>
      </c>
      <c r="H27" s="4">
        <v>0</v>
      </c>
      <c r="I27" s="5" t="s">
        <v>120</v>
      </c>
      <c r="J27" s="5" t="s">
        <v>124</v>
      </c>
      <c r="K27" s="5"/>
      <c r="L27" s="5"/>
      <c r="M27" s="5" t="s">
        <v>125</v>
      </c>
      <c r="N27" s="5"/>
      <c r="O27" s="5" t="s">
        <v>126</v>
      </c>
      <c r="P27" s="5"/>
      <c r="R27" s="4"/>
      <c r="S27" s="4"/>
      <c r="T27" s="4"/>
      <c r="V27" s="4"/>
      <c r="W27" s="4"/>
      <c r="X27" s="4"/>
      <c r="Y27" s="4"/>
      <c r="Z27" s="4"/>
    </row>
    <row r="28" hidden="1" outlineLevel="1" spans="1:26">
      <c r="A28" s="23"/>
      <c r="B28" s="1">
        <v>15</v>
      </c>
      <c r="C28" s="5">
        <v>5</v>
      </c>
      <c r="D28" s="4">
        <v>20</v>
      </c>
      <c r="E28" s="5">
        <v>3000000</v>
      </c>
      <c r="F28" s="5">
        <v>3000000</v>
      </c>
      <c r="G28" s="5">
        <v>3000000</v>
      </c>
      <c r="H28" s="4">
        <v>0</v>
      </c>
      <c r="I28" s="5" t="s">
        <v>120</v>
      </c>
      <c r="J28" s="5" t="s">
        <v>127</v>
      </c>
      <c r="K28" s="5"/>
      <c r="L28" s="5"/>
      <c r="M28" s="5" t="s">
        <v>128</v>
      </c>
      <c r="N28" s="5"/>
      <c r="O28" s="5" t="s">
        <v>129</v>
      </c>
      <c r="P28" s="5"/>
      <c r="R28" s="4" t="s">
        <v>130</v>
      </c>
      <c r="S28" s="4" t="s">
        <v>80</v>
      </c>
      <c r="T28" s="4"/>
      <c r="V28" s="4" t="s">
        <v>81</v>
      </c>
      <c r="W28" s="4"/>
      <c r="X28" s="4"/>
      <c r="Y28" s="4" t="s">
        <v>82</v>
      </c>
      <c r="Z28" s="4"/>
    </row>
    <row r="29" hidden="1" outlineLevel="1" spans="1:1">
      <c r="A29" s="23"/>
    </row>
    <row r="30" hidden="1" outlineLevel="1" spans="1:1">
      <c r="A30" s="23"/>
    </row>
    <row r="31" hidden="1" outlineLevel="1"/>
    <row r="32" hidden="1" outlineLevel="1" spans="1:12">
      <c r="A32" s="23"/>
      <c r="B32" s="27" t="s">
        <v>58</v>
      </c>
      <c r="C32" s="73"/>
      <c r="D32" s="73"/>
      <c r="E32" s="73"/>
      <c r="F32" s="73"/>
      <c r="G32" s="73"/>
      <c r="H32" s="73"/>
      <c r="I32" s="73"/>
      <c r="J32" s="73"/>
      <c r="K32" s="73"/>
      <c r="L32" s="73"/>
    </row>
    <row r="33" hidden="1" outlineLevel="1" spans="1:15">
      <c r="A33" s="23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</row>
    <row r="34" hidden="1" outlineLevel="1" spans="1:15">
      <c r="A34" s="23"/>
      <c r="C34" s="5" t="s">
        <v>60</v>
      </c>
      <c r="D34" s="4" t="s">
        <v>61</v>
      </c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</row>
    <row r="35" hidden="1" outlineLevel="1" spans="1:15">
      <c r="A35" s="23"/>
      <c r="B35" s="1" t="s">
        <v>62</v>
      </c>
      <c r="C35" s="5" t="s">
        <v>131</v>
      </c>
      <c r="D35" s="4" t="s">
        <v>131</v>
      </c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</row>
    <row r="36" hidden="1" outlineLevel="1" spans="1:15">
      <c r="A36" s="23"/>
      <c r="B36" s="1">
        <v>1</v>
      </c>
      <c r="C36" s="5">
        <v>0</v>
      </c>
      <c r="D36" s="4">
        <v>0</v>
      </c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</row>
    <row r="37" hidden="1" outlineLevel="1" spans="1:15">
      <c r="A37" s="23"/>
      <c r="B37" s="1">
        <v>2</v>
      </c>
      <c r="C37" s="5">
        <v>720</v>
      </c>
      <c r="D37" s="4">
        <v>144000</v>
      </c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</row>
    <row r="38" hidden="1" outlineLevel="1" spans="1:15">
      <c r="A38" s="23"/>
      <c r="B38" s="1">
        <v>3</v>
      </c>
      <c r="C38" s="5">
        <v>36000</v>
      </c>
      <c r="D38" s="4">
        <v>165600</v>
      </c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</row>
    <row r="39" hidden="1" outlineLevel="1" spans="1:15">
      <c r="A39" s="23"/>
      <c r="B39" s="1">
        <v>4</v>
      </c>
      <c r="C39" s="5">
        <v>72000</v>
      </c>
      <c r="D39" s="4">
        <v>216000</v>
      </c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</row>
    <row r="40" hidden="1" outlineLevel="1" spans="1:15">
      <c r="A40" s="23"/>
      <c r="B40" s="1">
        <v>5</v>
      </c>
      <c r="C40" s="5">
        <v>252000</v>
      </c>
      <c r="D40" s="4">
        <v>432000</v>
      </c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</row>
    <row r="41" hidden="1" outlineLevel="1" spans="1:15">
      <c r="A41" s="23"/>
      <c r="B41" s="1">
        <v>6</v>
      </c>
      <c r="C41" s="5">
        <v>540000</v>
      </c>
      <c r="D41" s="4">
        <v>540000</v>
      </c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</row>
    <row r="42" hidden="1" outlineLevel="1" spans="1:15">
      <c r="A42" s="23"/>
      <c r="B42" s="1">
        <v>7</v>
      </c>
      <c r="C42" s="5">
        <v>720000</v>
      </c>
      <c r="D42" s="4">
        <v>720000</v>
      </c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</row>
    <row r="43" hidden="1" outlineLevel="1" spans="1:15">
      <c r="A43" s="23"/>
      <c r="B43" s="1">
        <v>8</v>
      </c>
      <c r="C43" s="5">
        <v>1080000</v>
      </c>
      <c r="D43" s="4">
        <v>1008000</v>
      </c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</row>
    <row r="44" hidden="1" outlineLevel="1" spans="1:15">
      <c r="A44" s="23"/>
      <c r="B44" s="1">
        <v>9</v>
      </c>
      <c r="C44" s="5">
        <v>1440000</v>
      </c>
      <c r="D44" s="4">
        <v>1440000</v>
      </c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</row>
    <row r="45" hidden="1" outlineLevel="1" spans="1:15">
      <c r="A45" s="23"/>
      <c r="B45" s="1">
        <v>10</v>
      </c>
      <c r="C45" s="5">
        <v>2160000</v>
      </c>
      <c r="D45" s="4">
        <v>2160000</v>
      </c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</row>
    <row r="46" hidden="1" outlineLevel="1" spans="1:15">
      <c r="A46" s="23"/>
      <c r="B46" s="1">
        <v>11</v>
      </c>
      <c r="C46" s="5">
        <v>4320000</v>
      </c>
      <c r="D46" s="4">
        <v>4320000</v>
      </c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</row>
    <row r="47" hidden="1" outlineLevel="1" spans="1:15">
      <c r="A47" s="23"/>
      <c r="B47" s="1">
        <v>12</v>
      </c>
      <c r="C47" s="5">
        <v>5040000</v>
      </c>
      <c r="D47" s="4">
        <v>5040000</v>
      </c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</row>
    <row r="48" hidden="1" outlineLevel="1" spans="1:4">
      <c r="A48" s="23"/>
      <c r="B48" s="1">
        <v>13</v>
      </c>
      <c r="C48" s="5">
        <v>5760000</v>
      </c>
      <c r="D48" s="4">
        <v>5760000</v>
      </c>
    </row>
    <row r="49" hidden="1" outlineLevel="1" spans="1:4">
      <c r="A49" s="23"/>
      <c r="B49" s="1">
        <v>14</v>
      </c>
      <c r="C49" s="5">
        <v>6480000</v>
      </c>
      <c r="D49" s="4">
        <v>6480000</v>
      </c>
    </row>
    <row r="50" hidden="1" outlineLevel="1" spans="1:4">
      <c r="A50" s="23"/>
      <c r="B50" s="1">
        <v>15</v>
      </c>
      <c r="C50" s="5">
        <v>7200000</v>
      </c>
      <c r="D50" s="4">
        <v>7200000</v>
      </c>
    </row>
    <row r="51" collapsed="1" spans="1:1">
      <c r="A51" s="23"/>
    </row>
    <row r="52" s="181" customFormat="1" ht="16.75" spans="1:1">
      <c r="A52" s="182" t="s">
        <v>132</v>
      </c>
    </row>
    <row r="53" hidden="1" outlineLevel="1"/>
    <row r="54" hidden="1" outlineLevel="1" spans="2:12">
      <c r="B54" s="27" t="s">
        <v>133</v>
      </c>
      <c r="C54" s="73"/>
      <c r="D54" s="73"/>
      <c r="E54" s="73"/>
      <c r="F54" s="73"/>
      <c r="G54" s="73"/>
      <c r="H54" s="73"/>
      <c r="I54" s="73"/>
      <c r="J54" s="73"/>
      <c r="K54" s="73"/>
      <c r="L54" s="73"/>
    </row>
    <row r="55" hidden="1" outlineLevel="1"/>
    <row r="56" hidden="1" outlineLevel="1" spans="2:12">
      <c r="B56" s="27" t="s">
        <v>134</v>
      </c>
      <c r="C56" s="73"/>
      <c r="D56" s="73"/>
      <c r="E56" s="73"/>
      <c r="F56" s="73"/>
      <c r="G56" s="73"/>
      <c r="H56" s="73"/>
      <c r="I56" s="73"/>
      <c r="J56" s="73"/>
      <c r="K56" s="73"/>
      <c r="L56" s="73"/>
    </row>
    <row r="57" hidden="1" outlineLevel="1"/>
    <row r="58" hidden="1" outlineLevel="1" spans="2:12">
      <c r="B58" s="27" t="s">
        <v>135</v>
      </c>
      <c r="C58" s="73"/>
      <c r="D58" s="73"/>
      <c r="E58" s="73"/>
      <c r="F58" s="73"/>
      <c r="G58" s="73"/>
      <c r="H58" s="73"/>
      <c r="I58" s="73"/>
      <c r="J58" s="73"/>
      <c r="K58" s="73"/>
      <c r="L58" s="73"/>
    </row>
    <row r="59" hidden="1" outlineLevel="1"/>
    <row r="60" hidden="1" outlineLevel="1" spans="2:12">
      <c r="B60" s="27" t="s">
        <v>136</v>
      </c>
      <c r="C60" s="73"/>
      <c r="D60" s="73"/>
      <c r="E60" s="73"/>
      <c r="F60" s="73"/>
      <c r="G60" s="73"/>
      <c r="H60" s="73"/>
      <c r="I60" s="73"/>
      <c r="J60" s="73"/>
      <c r="K60" s="73"/>
      <c r="L60" s="73"/>
    </row>
    <row r="61" hidden="1" outlineLevel="1"/>
    <row r="62" hidden="1" outlineLevel="1"/>
    <row r="63" s="181" customFormat="1" ht="16.75" hidden="1" outlineLevel="1" spans="1:1">
      <c r="A63" s="182" t="s">
        <v>137</v>
      </c>
    </row>
    <row r="64" hidden="1" outlineLevel="1" spans="1:1">
      <c r="A64" s="23"/>
    </row>
    <row r="65" hidden="1" outlineLevel="1" spans="1:12">
      <c r="A65" s="23"/>
      <c r="B65" s="27" t="s">
        <v>133</v>
      </c>
      <c r="C65" s="73"/>
      <c r="D65" s="73"/>
      <c r="E65" s="73"/>
      <c r="F65" s="73"/>
      <c r="G65" s="73"/>
      <c r="H65" s="73"/>
      <c r="I65" s="73"/>
      <c r="J65" s="73"/>
      <c r="K65" s="73"/>
      <c r="L65" s="73"/>
    </row>
    <row r="66" hidden="1" outlineLevel="1"/>
    <row r="67" hidden="1" outlineLevel="1" spans="4:10">
      <c r="D67" s="5" t="s">
        <v>60</v>
      </c>
      <c r="E67" s="5"/>
      <c r="F67" s="5"/>
      <c r="H67" s="81" t="s">
        <v>61</v>
      </c>
      <c r="I67" s="81"/>
      <c r="J67" s="81"/>
    </row>
    <row r="68" hidden="1" outlineLevel="1" spans="2:10">
      <c r="B68" s="1" t="s">
        <v>138</v>
      </c>
      <c r="C68" s="1" t="s">
        <v>139</v>
      </c>
      <c r="D68" s="5" t="s">
        <v>140</v>
      </c>
      <c r="E68" s="5"/>
      <c r="F68" s="5" t="s">
        <v>141</v>
      </c>
      <c r="H68" s="81" t="s">
        <v>140</v>
      </c>
      <c r="I68" s="81"/>
      <c r="J68" s="81" t="s">
        <v>141</v>
      </c>
    </row>
    <row r="69" hidden="1" outlineLevel="1" spans="2:10">
      <c r="B69" s="1">
        <v>0</v>
      </c>
      <c r="C69" s="1" t="s">
        <v>142</v>
      </c>
      <c r="D69" s="5" t="s">
        <v>143</v>
      </c>
      <c r="E69" s="5"/>
      <c r="F69" s="5">
        <v>3</v>
      </c>
      <c r="H69" s="81" t="s">
        <v>143</v>
      </c>
      <c r="J69" s="81">
        <v>2</v>
      </c>
    </row>
    <row r="70" hidden="1" outlineLevel="1" spans="2:10">
      <c r="B70" s="1">
        <v>1</v>
      </c>
      <c r="C70" s="1" t="s">
        <v>142</v>
      </c>
      <c r="D70" s="5" t="s">
        <v>143</v>
      </c>
      <c r="E70" s="5"/>
      <c r="F70" s="5">
        <v>4</v>
      </c>
      <c r="H70" s="81" t="s">
        <v>143</v>
      </c>
      <c r="J70" s="81">
        <v>2</v>
      </c>
    </row>
    <row r="71" hidden="1" outlineLevel="1" spans="2:10">
      <c r="B71" s="1">
        <v>2</v>
      </c>
      <c r="C71" s="1" t="s">
        <v>142</v>
      </c>
      <c r="D71" s="5" t="s">
        <v>144</v>
      </c>
      <c r="E71" s="5"/>
      <c r="F71" s="5" t="s">
        <v>145</v>
      </c>
      <c r="H71" s="81" t="s">
        <v>143</v>
      </c>
      <c r="J71" s="81">
        <v>4</v>
      </c>
    </row>
    <row r="72" hidden="1" outlineLevel="1" spans="2:10">
      <c r="B72" s="1">
        <v>3</v>
      </c>
      <c r="C72" s="1" t="s">
        <v>142</v>
      </c>
      <c r="D72" s="5" t="s">
        <v>144</v>
      </c>
      <c r="E72" s="5"/>
      <c r="F72" s="5" t="s">
        <v>146</v>
      </c>
      <c r="H72" s="81" t="s">
        <v>147</v>
      </c>
      <c r="J72" s="81">
        <v>1</v>
      </c>
    </row>
    <row r="73" hidden="1" outlineLevel="1" spans="2:10">
      <c r="B73" s="1">
        <v>4</v>
      </c>
      <c r="C73" s="1" t="s">
        <v>142</v>
      </c>
      <c r="D73" s="5" t="s">
        <v>144</v>
      </c>
      <c r="E73" s="5"/>
      <c r="F73" s="5" t="s">
        <v>148</v>
      </c>
      <c r="H73" s="81" t="s">
        <v>144</v>
      </c>
      <c r="J73" s="81" t="s">
        <v>149</v>
      </c>
    </row>
    <row r="74" hidden="1" outlineLevel="1" spans="2:10">
      <c r="B74" s="1">
        <v>5</v>
      </c>
      <c r="C74" s="1" t="s">
        <v>142</v>
      </c>
      <c r="D74" s="5" t="s">
        <v>144</v>
      </c>
      <c r="E74" s="5"/>
      <c r="F74" s="5" t="s">
        <v>150</v>
      </c>
      <c r="H74" s="81" t="s">
        <v>144</v>
      </c>
      <c r="J74" s="81" t="s">
        <v>151</v>
      </c>
    </row>
    <row r="75" hidden="1" outlineLevel="1" spans="2:10">
      <c r="B75" s="1">
        <v>6</v>
      </c>
      <c r="C75" s="1" t="s">
        <v>142</v>
      </c>
      <c r="D75" s="5" t="s">
        <v>152</v>
      </c>
      <c r="F75" s="5" t="s">
        <v>153</v>
      </c>
      <c r="H75" s="81" t="s">
        <v>154</v>
      </c>
      <c r="J75" s="81">
        <v>1</v>
      </c>
    </row>
    <row r="76" hidden="1" outlineLevel="1" spans="2:10">
      <c r="B76" s="1">
        <v>7</v>
      </c>
      <c r="C76" s="1" t="s">
        <v>142</v>
      </c>
      <c r="D76" s="5" t="s">
        <v>152</v>
      </c>
      <c r="F76" s="5" t="s">
        <v>155</v>
      </c>
      <c r="H76" s="81" t="s">
        <v>154</v>
      </c>
      <c r="J76" s="81">
        <v>3</v>
      </c>
    </row>
    <row r="77" hidden="1" outlineLevel="1" spans="4:10">
      <c r="D77" s="5"/>
      <c r="E77" s="5"/>
      <c r="F77" s="5"/>
      <c r="H77" s="81"/>
      <c r="I77" s="81"/>
      <c r="J77" s="81"/>
    </row>
    <row r="78" hidden="1" outlineLevel="1" spans="2:10">
      <c r="B78" s="1">
        <v>0</v>
      </c>
      <c r="C78" s="1" t="s">
        <v>156</v>
      </c>
      <c r="D78" s="5" t="s">
        <v>143</v>
      </c>
      <c r="E78" s="5"/>
      <c r="F78" s="5">
        <v>2</v>
      </c>
      <c r="H78" s="81" t="s">
        <v>143</v>
      </c>
      <c r="I78" s="81"/>
      <c r="J78" s="81">
        <v>1</v>
      </c>
    </row>
    <row r="79" hidden="1" outlineLevel="1" spans="2:10">
      <c r="B79" s="1">
        <v>1</v>
      </c>
      <c r="C79" s="1" t="s">
        <v>156</v>
      </c>
      <c r="D79" s="5" t="s">
        <v>143</v>
      </c>
      <c r="E79" s="5"/>
      <c r="F79" s="5">
        <v>5</v>
      </c>
      <c r="H79" s="81" t="s">
        <v>143</v>
      </c>
      <c r="I79" s="81"/>
      <c r="J79" s="81">
        <v>3</v>
      </c>
    </row>
    <row r="80" hidden="1" outlineLevel="1" spans="2:10">
      <c r="B80" s="1">
        <v>2</v>
      </c>
      <c r="C80" s="1" t="s">
        <v>156</v>
      </c>
      <c r="D80" s="5" t="s">
        <v>144</v>
      </c>
      <c r="E80" s="5"/>
      <c r="F80" s="5" t="s">
        <v>157</v>
      </c>
      <c r="H80" s="81" t="s">
        <v>147</v>
      </c>
      <c r="I80" s="81"/>
      <c r="J80" s="81">
        <v>2</v>
      </c>
    </row>
    <row r="81" hidden="1" outlineLevel="1" spans="2:10">
      <c r="B81" s="1">
        <v>3</v>
      </c>
      <c r="C81" s="1" t="s">
        <v>156</v>
      </c>
      <c r="D81" s="5" t="s">
        <v>144</v>
      </c>
      <c r="E81" s="5"/>
      <c r="F81" s="5" t="s">
        <v>158</v>
      </c>
      <c r="H81" s="81" t="s">
        <v>147</v>
      </c>
      <c r="I81" s="81"/>
      <c r="J81" s="81">
        <v>2</v>
      </c>
    </row>
    <row r="82" hidden="1" outlineLevel="1" spans="2:10">
      <c r="B82" s="1">
        <v>4</v>
      </c>
      <c r="C82" s="1" t="s">
        <v>156</v>
      </c>
      <c r="D82" s="5" t="s">
        <v>144</v>
      </c>
      <c r="E82" s="5"/>
      <c r="F82" s="5" t="s">
        <v>159</v>
      </c>
      <c r="H82" s="81" t="s">
        <v>152</v>
      </c>
      <c r="I82" s="81"/>
      <c r="J82" s="81" t="s">
        <v>160</v>
      </c>
    </row>
    <row r="83" hidden="1" outlineLevel="1" spans="2:10">
      <c r="B83" s="1">
        <v>5</v>
      </c>
      <c r="C83" s="1" t="s">
        <v>156</v>
      </c>
      <c r="D83" s="5" t="s">
        <v>144</v>
      </c>
      <c r="E83" s="5"/>
      <c r="F83" s="5" t="s">
        <v>161</v>
      </c>
      <c r="H83" s="81" t="s">
        <v>144</v>
      </c>
      <c r="I83" s="81"/>
      <c r="J83" s="81" t="s">
        <v>162</v>
      </c>
    </row>
    <row r="84" hidden="1" outlineLevel="1" spans="4:10">
      <c r="D84" s="5"/>
      <c r="E84" s="5"/>
      <c r="F84" s="5"/>
      <c r="H84" s="81"/>
      <c r="I84" s="81"/>
      <c r="J84" s="81"/>
    </row>
    <row r="85" hidden="1" outlineLevel="1" spans="2:10">
      <c r="B85" s="1">
        <v>0</v>
      </c>
      <c r="C85" s="1" t="s">
        <v>163</v>
      </c>
      <c r="D85" s="5" t="s">
        <v>143</v>
      </c>
      <c r="E85" s="5"/>
      <c r="F85" s="5">
        <v>2</v>
      </c>
      <c r="H85" s="81" t="s">
        <v>143</v>
      </c>
      <c r="I85" s="81"/>
      <c r="J85" s="81">
        <v>1</v>
      </c>
    </row>
    <row r="86" hidden="1" outlineLevel="1" spans="2:10">
      <c r="B86" s="1">
        <v>1</v>
      </c>
      <c r="C86" s="1" t="s">
        <v>163</v>
      </c>
      <c r="D86" s="5" t="s">
        <v>143</v>
      </c>
      <c r="E86" s="5"/>
      <c r="F86" s="5">
        <v>5</v>
      </c>
      <c r="H86" s="81" t="s">
        <v>143</v>
      </c>
      <c r="I86" s="81"/>
      <c r="J86" s="81">
        <v>4</v>
      </c>
    </row>
    <row r="87" hidden="1" outlineLevel="1" spans="2:10">
      <c r="B87" s="1">
        <v>2</v>
      </c>
      <c r="C87" s="1" t="s">
        <v>163</v>
      </c>
      <c r="D87" s="5" t="s">
        <v>144</v>
      </c>
      <c r="E87" s="5"/>
      <c r="F87" s="5" t="s">
        <v>157</v>
      </c>
      <c r="H87" s="81" t="s">
        <v>144</v>
      </c>
      <c r="I87" s="81"/>
      <c r="J87" s="81" t="s">
        <v>164</v>
      </c>
    </row>
    <row r="88" hidden="1" outlineLevel="1" spans="2:10">
      <c r="B88" s="1">
        <v>3</v>
      </c>
      <c r="C88" s="1" t="s">
        <v>163</v>
      </c>
      <c r="D88" s="5" t="s">
        <v>144</v>
      </c>
      <c r="E88" s="5"/>
      <c r="F88" s="5" t="s">
        <v>158</v>
      </c>
      <c r="H88" s="81" t="s">
        <v>144</v>
      </c>
      <c r="I88" s="81"/>
      <c r="J88" s="81" t="s">
        <v>145</v>
      </c>
    </row>
    <row r="89" hidden="1" outlineLevel="1" spans="2:10">
      <c r="B89" s="1">
        <v>4</v>
      </c>
      <c r="C89" s="1" t="s">
        <v>163</v>
      </c>
      <c r="D89" s="5" t="s">
        <v>144</v>
      </c>
      <c r="E89" s="5"/>
      <c r="F89" s="5" t="s">
        <v>159</v>
      </c>
      <c r="H89" s="81" t="s">
        <v>152</v>
      </c>
      <c r="I89" s="81"/>
      <c r="J89" s="81" t="s">
        <v>165</v>
      </c>
    </row>
    <row r="90" hidden="1" outlineLevel="1" spans="2:10">
      <c r="B90" s="1">
        <v>5</v>
      </c>
      <c r="C90" s="1" t="s">
        <v>163</v>
      </c>
      <c r="D90" s="5" t="s">
        <v>144</v>
      </c>
      <c r="E90" s="5"/>
      <c r="F90" s="5" t="s">
        <v>161</v>
      </c>
      <c r="H90" s="81" t="s">
        <v>152</v>
      </c>
      <c r="I90" s="81"/>
      <c r="J90" s="81" t="s">
        <v>166</v>
      </c>
    </row>
    <row r="91" hidden="1" outlineLevel="1" spans="4:10">
      <c r="D91" s="5"/>
      <c r="E91" s="5"/>
      <c r="F91" s="5"/>
      <c r="H91" s="81"/>
      <c r="I91" s="81"/>
      <c r="J91" s="81"/>
    </row>
    <row r="92" hidden="1" outlineLevel="1" spans="2:10">
      <c r="B92" s="1">
        <v>0</v>
      </c>
      <c r="C92" s="1" t="s">
        <v>167</v>
      </c>
      <c r="D92" s="5" t="s">
        <v>144</v>
      </c>
      <c r="E92" s="5"/>
      <c r="F92" s="5" t="s">
        <v>168</v>
      </c>
      <c r="H92" s="81" t="s">
        <v>143</v>
      </c>
      <c r="I92" s="81"/>
      <c r="J92" s="81">
        <v>1</v>
      </c>
    </row>
    <row r="93" hidden="1" outlineLevel="1" spans="2:10">
      <c r="B93" s="1">
        <v>1</v>
      </c>
      <c r="C93" s="1" t="s">
        <v>167</v>
      </c>
      <c r="D93" s="5" t="s">
        <v>143</v>
      </c>
      <c r="E93" s="5"/>
      <c r="F93" s="5">
        <v>5</v>
      </c>
      <c r="H93" s="81" t="s">
        <v>147</v>
      </c>
      <c r="I93" s="81"/>
      <c r="J93" s="81">
        <v>2</v>
      </c>
    </row>
    <row r="94" hidden="1" outlineLevel="1" spans="2:10">
      <c r="B94" s="1">
        <v>2</v>
      </c>
      <c r="C94" s="1" t="s">
        <v>167</v>
      </c>
      <c r="D94" s="5" t="s">
        <v>144</v>
      </c>
      <c r="E94" s="5"/>
      <c r="F94" s="5" t="s">
        <v>157</v>
      </c>
      <c r="H94" s="81" t="s">
        <v>144</v>
      </c>
      <c r="I94" s="81"/>
      <c r="J94" s="81" t="s">
        <v>151</v>
      </c>
    </row>
    <row r="95" hidden="1" outlineLevel="1" spans="2:10">
      <c r="B95" s="1">
        <v>3</v>
      </c>
      <c r="C95" s="1" t="s">
        <v>167</v>
      </c>
      <c r="D95" s="5" t="s">
        <v>144</v>
      </c>
      <c r="E95" s="5"/>
      <c r="F95" s="5" t="s">
        <v>158</v>
      </c>
      <c r="H95" s="81" t="s">
        <v>144</v>
      </c>
      <c r="I95" s="81"/>
      <c r="J95" s="81" t="s">
        <v>169</v>
      </c>
    </row>
    <row r="96" hidden="1" outlineLevel="1" spans="2:10">
      <c r="B96" s="1">
        <v>4</v>
      </c>
      <c r="C96" s="1" t="s">
        <v>167</v>
      </c>
      <c r="D96" s="5" t="s">
        <v>144</v>
      </c>
      <c r="E96" s="5"/>
      <c r="F96" s="5" t="s">
        <v>159</v>
      </c>
      <c r="H96" s="81" t="s">
        <v>152</v>
      </c>
      <c r="I96" s="81"/>
      <c r="J96" s="81" t="s">
        <v>165</v>
      </c>
    </row>
    <row r="97" hidden="1" outlineLevel="1" spans="2:10">
      <c r="B97" s="1">
        <v>5</v>
      </c>
      <c r="C97" s="1" t="s">
        <v>167</v>
      </c>
      <c r="D97" s="5" t="s">
        <v>144</v>
      </c>
      <c r="E97" s="5"/>
      <c r="F97" s="5" t="s">
        <v>161</v>
      </c>
      <c r="H97" s="81" t="s">
        <v>152</v>
      </c>
      <c r="I97" s="81"/>
      <c r="J97" s="81" t="s">
        <v>166</v>
      </c>
    </row>
    <row r="98" hidden="1" outlineLevel="1" spans="4:10">
      <c r="D98" s="5"/>
      <c r="E98" s="5"/>
      <c r="F98" s="5"/>
      <c r="H98" s="81"/>
      <c r="I98" s="81"/>
      <c r="J98" s="81"/>
    </row>
    <row r="99" hidden="1" outlineLevel="1" spans="2:10">
      <c r="B99" s="1">
        <v>0</v>
      </c>
      <c r="C99" s="1" t="s">
        <v>170</v>
      </c>
      <c r="D99" s="5" t="s">
        <v>152</v>
      </c>
      <c r="E99" s="5"/>
      <c r="F99" s="5" t="s">
        <v>171</v>
      </c>
      <c r="H99" s="81" t="s">
        <v>154</v>
      </c>
      <c r="I99" s="81"/>
      <c r="J99" s="81">
        <v>4</v>
      </c>
    </row>
    <row r="100" hidden="1" outlineLevel="1" spans="2:10">
      <c r="B100" s="1">
        <v>1</v>
      </c>
      <c r="C100" s="1" t="s">
        <v>170</v>
      </c>
      <c r="D100" s="5" t="s">
        <v>143</v>
      </c>
      <c r="E100" s="5"/>
      <c r="F100" s="5">
        <v>5</v>
      </c>
      <c r="H100" s="81" t="s">
        <v>154</v>
      </c>
      <c r="I100" s="81"/>
      <c r="J100" s="81">
        <v>5</v>
      </c>
    </row>
    <row r="101" hidden="1" outlineLevel="1" spans="1:10">
      <c r="A101" s="23"/>
      <c r="B101" s="1">
        <v>2</v>
      </c>
      <c r="C101" s="1" t="s">
        <v>170</v>
      </c>
      <c r="D101" s="5" t="s">
        <v>144</v>
      </c>
      <c r="E101" s="5"/>
      <c r="F101" s="5" t="s">
        <v>157</v>
      </c>
      <c r="H101" s="81" t="s">
        <v>172</v>
      </c>
      <c r="I101" s="81"/>
      <c r="J101" s="81" t="s">
        <v>157</v>
      </c>
    </row>
    <row r="102" hidden="1" outlineLevel="1" spans="2:10">
      <c r="B102" s="1">
        <v>3</v>
      </c>
      <c r="C102" s="1" t="s">
        <v>170</v>
      </c>
      <c r="D102" s="5" t="s">
        <v>144</v>
      </c>
      <c r="E102" s="5"/>
      <c r="F102" s="5" t="s">
        <v>158</v>
      </c>
      <c r="H102" s="81" t="s">
        <v>172</v>
      </c>
      <c r="I102" s="81"/>
      <c r="J102" s="81" t="s">
        <v>158</v>
      </c>
    </row>
    <row r="103" hidden="1" outlineLevel="1" spans="2:10">
      <c r="B103" s="1">
        <v>4</v>
      </c>
      <c r="C103" s="1" t="s">
        <v>170</v>
      </c>
      <c r="D103" s="5" t="s">
        <v>144</v>
      </c>
      <c r="E103" s="5"/>
      <c r="F103" s="5" t="s">
        <v>159</v>
      </c>
      <c r="H103" s="81" t="s">
        <v>172</v>
      </c>
      <c r="I103" s="81"/>
      <c r="J103" s="81" t="s">
        <v>159</v>
      </c>
    </row>
    <row r="104" hidden="1" outlineLevel="1" spans="2:10">
      <c r="B104" s="1">
        <v>5</v>
      </c>
      <c r="C104" s="1" t="s">
        <v>170</v>
      </c>
      <c r="D104" s="5" t="s">
        <v>144</v>
      </c>
      <c r="E104" s="5"/>
      <c r="F104" s="5" t="s">
        <v>161</v>
      </c>
      <c r="H104" s="81" t="s">
        <v>172</v>
      </c>
      <c r="I104" s="81"/>
      <c r="J104" s="81" t="s">
        <v>161</v>
      </c>
    </row>
    <row r="105" hidden="1" outlineLevel="1" spans="4:10">
      <c r="D105" s="5"/>
      <c r="E105" s="5"/>
      <c r="F105" s="5"/>
      <c r="H105" s="81"/>
      <c r="I105" s="81"/>
      <c r="J105" s="81"/>
    </row>
    <row r="106" hidden="1" outlineLevel="1" spans="2:10">
      <c r="B106" s="1">
        <v>0</v>
      </c>
      <c r="C106" s="1" t="s">
        <v>173</v>
      </c>
      <c r="D106" s="5" t="s">
        <v>143</v>
      </c>
      <c r="E106" s="5"/>
      <c r="F106" s="5">
        <v>1</v>
      </c>
      <c r="H106" s="81" t="s">
        <v>147</v>
      </c>
      <c r="I106" s="81"/>
      <c r="J106" s="81">
        <v>1</v>
      </c>
    </row>
    <row r="107" hidden="1" outlineLevel="1" spans="2:10">
      <c r="B107" s="1">
        <v>1</v>
      </c>
      <c r="C107" s="1" t="s">
        <v>173</v>
      </c>
      <c r="D107" s="5" t="s">
        <v>143</v>
      </c>
      <c r="E107" s="5"/>
      <c r="F107" s="5">
        <v>2</v>
      </c>
      <c r="H107" s="81" t="s">
        <v>144</v>
      </c>
      <c r="I107" s="81"/>
      <c r="J107" s="81" t="s">
        <v>174</v>
      </c>
    </row>
    <row r="108" hidden="1" outlineLevel="1" spans="2:10">
      <c r="B108" s="1">
        <v>2</v>
      </c>
      <c r="C108" s="1" t="s">
        <v>173</v>
      </c>
      <c r="D108" s="5" t="s">
        <v>144</v>
      </c>
      <c r="E108" s="5"/>
      <c r="F108" s="5" t="s">
        <v>175</v>
      </c>
      <c r="H108" s="81" t="s">
        <v>152</v>
      </c>
      <c r="I108" s="81"/>
      <c r="J108" s="81" t="s">
        <v>160</v>
      </c>
    </row>
    <row r="109" hidden="1" outlineLevel="1" spans="2:10">
      <c r="B109" s="1">
        <v>3</v>
      </c>
      <c r="C109" s="1" t="s">
        <v>173</v>
      </c>
      <c r="D109" s="5" t="s">
        <v>144</v>
      </c>
      <c r="E109" s="5"/>
      <c r="F109" s="5" t="s">
        <v>176</v>
      </c>
      <c r="H109" s="81" t="s">
        <v>144</v>
      </c>
      <c r="I109" s="81"/>
      <c r="J109" s="81" t="s">
        <v>177</v>
      </c>
    </row>
    <row r="110" hidden="1" outlineLevel="1" spans="2:10">
      <c r="B110" s="1">
        <v>4</v>
      </c>
      <c r="C110" s="1" t="s">
        <v>173</v>
      </c>
      <c r="D110" s="5" t="s">
        <v>144</v>
      </c>
      <c r="E110" s="5"/>
      <c r="F110" s="5" t="s">
        <v>145</v>
      </c>
      <c r="H110" s="81" t="s">
        <v>152</v>
      </c>
      <c r="I110" s="81"/>
      <c r="J110" s="81" t="s">
        <v>178</v>
      </c>
    </row>
    <row r="111" hidden="1" outlineLevel="1" spans="1:10">
      <c r="A111" s="23"/>
      <c r="B111" s="1">
        <v>5</v>
      </c>
      <c r="C111" s="1" t="s">
        <v>173</v>
      </c>
      <c r="D111" s="5" t="s">
        <v>144</v>
      </c>
      <c r="E111" s="5"/>
      <c r="F111" s="5" t="s">
        <v>146</v>
      </c>
      <c r="H111" s="81" t="s">
        <v>152</v>
      </c>
      <c r="I111" s="81"/>
      <c r="J111" s="81" t="s">
        <v>179</v>
      </c>
    </row>
    <row r="112" hidden="1" outlineLevel="1" spans="1:10">
      <c r="A112" s="23"/>
      <c r="D112" s="5"/>
      <c r="E112" s="5"/>
      <c r="F112" s="5"/>
      <c r="H112" s="81"/>
      <c r="I112" s="81"/>
      <c r="J112" s="81"/>
    </row>
    <row r="113" hidden="1" outlineLevel="1" spans="2:10">
      <c r="B113" s="1">
        <v>0</v>
      </c>
      <c r="C113" s="1" t="s">
        <v>180</v>
      </c>
      <c r="D113" s="5" t="s">
        <v>143</v>
      </c>
      <c r="E113" s="5"/>
      <c r="F113" s="5">
        <v>1</v>
      </c>
      <c r="H113" s="81" t="s">
        <v>147</v>
      </c>
      <c r="I113" s="81"/>
      <c r="J113" s="81">
        <v>3</v>
      </c>
    </row>
    <row r="114" hidden="1" outlineLevel="1" spans="2:10">
      <c r="B114" s="1">
        <v>1</v>
      </c>
      <c r="C114" s="1" t="s">
        <v>180</v>
      </c>
      <c r="D114" s="5" t="s">
        <v>143</v>
      </c>
      <c r="E114" s="5"/>
      <c r="F114" s="5">
        <v>2</v>
      </c>
      <c r="H114" s="81" t="s">
        <v>144</v>
      </c>
      <c r="I114" s="81"/>
      <c r="J114" s="81" t="s">
        <v>176</v>
      </c>
    </row>
    <row r="115" hidden="1" outlineLevel="1" spans="2:10">
      <c r="B115" s="1">
        <v>2</v>
      </c>
      <c r="C115" s="1" t="s">
        <v>180</v>
      </c>
      <c r="D115" s="5" t="s">
        <v>144</v>
      </c>
      <c r="E115" s="5"/>
      <c r="F115" s="5" t="s">
        <v>175</v>
      </c>
      <c r="H115" s="81" t="s">
        <v>144</v>
      </c>
      <c r="I115" s="81"/>
      <c r="J115" s="81" t="s">
        <v>177</v>
      </c>
    </row>
    <row r="116" hidden="1" outlineLevel="1" spans="2:10">
      <c r="B116" s="1">
        <v>3</v>
      </c>
      <c r="C116" s="1" t="s">
        <v>180</v>
      </c>
      <c r="D116" s="5" t="s">
        <v>144</v>
      </c>
      <c r="E116" s="5"/>
      <c r="F116" s="5" t="s">
        <v>176</v>
      </c>
      <c r="H116" s="81" t="s">
        <v>152</v>
      </c>
      <c r="I116" s="81"/>
      <c r="J116" s="81" t="s">
        <v>181</v>
      </c>
    </row>
    <row r="117" hidden="1" outlineLevel="1" spans="2:10">
      <c r="B117" s="1">
        <v>4</v>
      </c>
      <c r="C117" s="1" t="s">
        <v>180</v>
      </c>
      <c r="D117" s="5" t="s">
        <v>144</v>
      </c>
      <c r="E117" s="5"/>
      <c r="F117" s="5" t="s">
        <v>145</v>
      </c>
      <c r="H117" s="81" t="s">
        <v>152</v>
      </c>
      <c r="I117" s="81"/>
      <c r="J117" s="81" t="s">
        <v>182</v>
      </c>
    </row>
    <row r="118" hidden="1" outlineLevel="1" spans="2:10">
      <c r="B118" s="1">
        <v>5</v>
      </c>
      <c r="C118" s="1" t="s">
        <v>180</v>
      </c>
      <c r="D118" s="5" t="s">
        <v>144</v>
      </c>
      <c r="E118" s="5"/>
      <c r="F118" s="5" t="s">
        <v>146</v>
      </c>
      <c r="H118" s="81" t="s">
        <v>152</v>
      </c>
      <c r="I118" s="81"/>
      <c r="J118" s="81" t="s">
        <v>182</v>
      </c>
    </row>
    <row r="119" hidden="1" outlineLevel="1" spans="2:10">
      <c r="B119" s="1">
        <v>6</v>
      </c>
      <c r="C119" s="1" t="s">
        <v>180</v>
      </c>
      <c r="D119" s="5" t="s">
        <v>152</v>
      </c>
      <c r="E119" s="5"/>
      <c r="F119" s="5" t="s">
        <v>179</v>
      </c>
      <c r="H119" s="81" t="s">
        <v>152</v>
      </c>
      <c r="I119" s="81"/>
      <c r="J119" s="81" t="s">
        <v>183</v>
      </c>
    </row>
    <row r="120" hidden="1" outlineLevel="1" spans="2:10">
      <c r="B120" s="1">
        <v>7</v>
      </c>
      <c r="C120" s="1" t="s">
        <v>180</v>
      </c>
      <c r="D120" s="5" t="s">
        <v>152</v>
      </c>
      <c r="E120" s="5"/>
      <c r="F120" s="5" t="s">
        <v>184</v>
      </c>
      <c r="H120" s="81" t="s">
        <v>152</v>
      </c>
      <c r="I120" s="81"/>
      <c r="J120" s="81" t="s">
        <v>185</v>
      </c>
    </row>
    <row r="121" hidden="1" outlineLevel="1"/>
    <row r="122" hidden="1" outlineLevel="1"/>
    <row r="123" hidden="1" outlineLevel="1" spans="1:12">
      <c r="A123" s="23"/>
      <c r="B123" s="27" t="s">
        <v>134</v>
      </c>
      <c r="C123" s="73"/>
      <c r="D123" s="73"/>
      <c r="E123" s="73"/>
      <c r="F123" s="73"/>
      <c r="G123" s="73"/>
      <c r="H123" s="73"/>
      <c r="I123" s="73"/>
      <c r="J123" s="73"/>
      <c r="K123" s="73"/>
      <c r="L123" s="73"/>
    </row>
    <row r="124" hidden="1" outlineLevel="1" spans="1:15">
      <c r="A124" s="23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</row>
    <row r="125" hidden="1" outlineLevel="1" spans="1:15">
      <c r="A125" s="23"/>
      <c r="C125" s="5" t="s">
        <v>60</v>
      </c>
      <c r="E125" s="4"/>
      <c r="G125" s="4"/>
      <c r="H125" s="4"/>
      <c r="I125" s="4"/>
      <c r="J125" s="81" t="s">
        <v>61</v>
      </c>
      <c r="K125" s="81"/>
      <c r="L125" s="81"/>
      <c r="M125" s="81"/>
      <c r="N125" s="81"/>
      <c r="O125" s="81"/>
    </row>
    <row r="126" hidden="1" outlineLevel="1" spans="1:15">
      <c r="A126" s="23"/>
      <c r="B126" s="1" t="s">
        <v>186</v>
      </c>
      <c r="C126" s="5" t="s">
        <v>187</v>
      </c>
      <c r="E126" s="4"/>
      <c r="G126" s="5" t="s">
        <v>188</v>
      </c>
      <c r="H126" s="4"/>
      <c r="I126" s="4"/>
      <c r="J126" s="81" t="s">
        <v>187</v>
      </c>
      <c r="K126" s="81"/>
      <c r="L126" s="81"/>
      <c r="M126" s="81"/>
      <c r="O126" s="81" t="s">
        <v>188</v>
      </c>
    </row>
    <row r="127" hidden="1" outlineLevel="1" spans="1:15">
      <c r="A127" s="23"/>
      <c r="B127" s="1">
        <v>1</v>
      </c>
      <c r="C127" s="5" t="s">
        <v>189</v>
      </c>
      <c r="E127" s="4"/>
      <c r="G127" s="5" t="s">
        <v>190</v>
      </c>
      <c r="H127" s="4"/>
      <c r="I127" s="4"/>
      <c r="J127" s="81" t="s">
        <v>191</v>
      </c>
      <c r="K127" s="81"/>
      <c r="L127" s="81"/>
      <c r="M127" s="81"/>
      <c r="N127" s="81"/>
      <c r="O127" s="81" t="s">
        <v>192</v>
      </c>
    </row>
    <row r="128" hidden="1" outlineLevel="1" spans="1:15">
      <c r="A128" s="23"/>
      <c r="B128" s="1">
        <v>2</v>
      </c>
      <c r="C128" s="5" t="s">
        <v>193</v>
      </c>
      <c r="E128" s="4"/>
      <c r="G128" s="5" t="s">
        <v>194</v>
      </c>
      <c r="H128" s="4"/>
      <c r="I128" s="4"/>
      <c r="J128" s="81" t="s">
        <v>191</v>
      </c>
      <c r="K128" s="81"/>
      <c r="L128" s="81"/>
      <c r="M128" s="81"/>
      <c r="N128" s="81"/>
      <c r="O128" s="81" t="s">
        <v>195</v>
      </c>
    </row>
    <row r="129" hidden="1" outlineLevel="1" spans="1:15">
      <c r="A129" s="23"/>
      <c r="B129" s="1">
        <v>3</v>
      </c>
      <c r="C129" s="5" t="s">
        <v>189</v>
      </c>
      <c r="E129" s="4"/>
      <c r="G129" s="5" t="s">
        <v>196</v>
      </c>
      <c r="H129" s="4"/>
      <c r="I129" s="4"/>
      <c r="J129" s="81" t="s">
        <v>191</v>
      </c>
      <c r="K129" s="81"/>
      <c r="L129" s="81"/>
      <c r="M129" s="81"/>
      <c r="N129" s="81"/>
      <c r="O129" s="81" t="s">
        <v>197</v>
      </c>
    </row>
    <row r="130" hidden="1" outlineLevel="1" spans="1:15">
      <c r="A130" s="23"/>
      <c r="B130" s="1">
        <v>4</v>
      </c>
      <c r="C130" s="5" t="s">
        <v>189</v>
      </c>
      <c r="E130" s="4"/>
      <c r="G130" s="5" t="s">
        <v>198</v>
      </c>
      <c r="H130" s="4"/>
      <c r="I130" s="4"/>
      <c r="J130" s="81" t="s">
        <v>191</v>
      </c>
      <c r="K130" s="81"/>
      <c r="L130" s="81"/>
      <c r="M130" s="81"/>
      <c r="N130" s="81"/>
      <c r="O130" s="81" t="s">
        <v>199</v>
      </c>
    </row>
    <row r="131" hidden="1" outlineLevel="1" spans="1:15">
      <c r="A131" s="23"/>
      <c r="B131" s="1">
        <v>5</v>
      </c>
      <c r="C131" s="5" t="s">
        <v>189</v>
      </c>
      <c r="E131" s="4"/>
      <c r="G131" s="5" t="s">
        <v>200</v>
      </c>
      <c r="H131" s="4"/>
      <c r="I131" s="4"/>
      <c r="J131" s="81" t="s">
        <v>191</v>
      </c>
      <c r="K131" s="81"/>
      <c r="L131" s="81"/>
      <c r="M131" s="81"/>
      <c r="N131" s="81"/>
      <c r="O131" s="81" t="s">
        <v>201</v>
      </c>
    </row>
    <row r="132" hidden="1" outlineLevel="1" spans="1:15">
      <c r="A132" s="23"/>
      <c r="B132" s="1">
        <v>6</v>
      </c>
      <c r="C132" s="5" t="s">
        <v>189</v>
      </c>
      <c r="E132" s="4"/>
      <c r="G132" s="5" t="s">
        <v>202</v>
      </c>
      <c r="H132" s="4"/>
      <c r="I132" s="4"/>
      <c r="J132" s="81" t="s">
        <v>191</v>
      </c>
      <c r="K132" s="81"/>
      <c r="L132" s="81"/>
      <c r="M132" s="81"/>
      <c r="N132" s="81"/>
      <c r="O132" s="81" t="s">
        <v>203</v>
      </c>
    </row>
    <row r="133" hidden="1" outlineLevel="1" spans="1:15">
      <c r="A133" s="23"/>
      <c r="B133" s="1">
        <v>7</v>
      </c>
      <c r="C133" s="5" t="s">
        <v>189</v>
      </c>
      <c r="E133" s="4"/>
      <c r="G133" s="5" t="s">
        <v>204</v>
      </c>
      <c r="H133" s="4"/>
      <c r="I133" s="4"/>
      <c r="J133" s="81" t="s">
        <v>191</v>
      </c>
      <c r="K133" s="81"/>
      <c r="L133" s="81"/>
      <c r="M133" s="81"/>
      <c r="N133" s="81"/>
      <c r="O133" s="81" t="s">
        <v>205</v>
      </c>
    </row>
    <row r="134" hidden="1" outlineLevel="1" spans="1:15">
      <c r="A134" s="23"/>
      <c r="B134" s="1">
        <v>8</v>
      </c>
      <c r="C134" s="5" t="s">
        <v>206</v>
      </c>
      <c r="E134" s="4"/>
      <c r="G134" s="5" t="s">
        <v>207</v>
      </c>
      <c r="H134" s="4"/>
      <c r="I134" s="4"/>
      <c r="J134" s="81" t="s">
        <v>208</v>
      </c>
      <c r="K134" s="81"/>
      <c r="L134" s="81"/>
      <c r="M134" s="81"/>
      <c r="N134" s="81"/>
      <c r="O134" s="81" t="s">
        <v>209</v>
      </c>
    </row>
    <row r="135" hidden="1" outlineLevel="1" spans="1:15">
      <c r="A135" s="23"/>
      <c r="B135" s="1">
        <v>9</v>
      </c>
      <c r="C135" s="5" t="s">
        <v>206</v>
      </c>
      <c r="E135" s="4"/>
      <c r="G135" s="5" t="s">
        <v>210</v>
      </c>
      <c r="H135" s="4"/>
      <c r="I135" s="4"/>
      <c r="J135" s="81" t="s">
        <v>208</v>
      </c>
      <c r="K135" s="81"/>
      <c r="L135" s="81"/>
      <c r="M135" s="81"/>
      <c r="N135" s="81"/>
      <c r="O135" s="81" t="s">
        <v>211</v>
      </c>
    </row>
    <row r="136" hidden="1" outlineLevel="1" spans="1:15">
      <c r="A136" s="23"/>
      <c r="B136" s="1">
        <v>10</v>
      </c>
      <c r="C136" s="5" t="s">
        <v>206</v>
      </c>
      <c r="E136" s="4"/>
      <c r="G136" s="5" t="s">
        <v>212</v>
      </c>
      <c r="H136" s="4"/>
      <c r="I136" s="4"/>
      <c r="J136" s="81" t="s">
        <v>208</v>
      </c>
      <c r="K136" s="81"/>
      <c r="L136" s="81"/>
      <c r="M136" s="81"/>
      <c r="N136" s="81"/>
      <c r="O136" s="81" t="s">
        <v>213</v>
      </c>
    </row>
    <row r="137" hidden="1" outlineLevel="1" spans="1:15">
      <c r="A137" s="23"/>
      <c r="B137" s="1">
        <v>11</v>
      </c>
      <c r="C137" s="5" t="s">
        <v>206</v>
      </c>
      <c r="E137" s="4"/>
      <c r="G137" s="5" t="s">
        <v>214</v>
      </c>
      <c r="H137" s="4"/>
      <c r="I137" s="4"/>
      <c r="J137" s="81" t="s">
        <v>208</v>
      </c>
      <c r="K137" s="81"/>
      <c r="L137" s="81"/>
      <c r="M137" s="81"/>
      <c r="N137" s="81"/>
      <c r="O137" s="81" t="s">
        <v>215</v>
      </c>
    </row>
    <row r="138" hidden="1" outlineLevel="1" spans="1:15">
      <c r="A138" s="23"/>
      <c r="B138" s="1">
        <v>12</v>
      </c>
      <c r="C138" s="5" t="s">
        <v>206</v>
      </c>
      <c r="E138" s="4"/>
      <c r="G138" s="5" t="s">
        <v>216</v>
      </c>
      <c r="H138" s="4"/>
      <c r="I138" s="4"/>
      <c r="J138" s="81" t="s">
        <v>208</v>
      </c>
      <c r="K138" s="81"/>
      <c r="L138" s="81"/>
      <c r="M138" s="81"/>
      <c r="N138" s="81"/>
      <c r="O138" s="81" t="s">
        <v>217</v>
      </c>
    </row>
    <row r="139" hidden="1" outlineLevel="1" spans="1:15">
      <c r="A139" s="23"/>
      <c r="B139" s="1">
        <v>13</v>
      </c>
      <c r="C139" s="5" t="s">
        <v>206</v>
      </c>
      <c r="G139" s="5" t="s">
        <v>218</v>
      </c>
      <c r="J139" s="81" t="s">
        <v>208</v>
      </c>
      <c r="K139" s="81"/>
      <c r="L139" s="81"/>
      <c r="M139" s="81"/>
      <c r="N139" s="81"/>
      <c r="O139" s="81" t="s">
        <v>219</v>
      </c>
    </row>
    <row r="140" hidden="1" outlineLevel="1" spans="1:15">
      <c r="A140" s="23"/>
      <c r="B140" s="1">
        <v>14</v>
      </c>
      <c r="C140" s="5" t="s">
        <v>220</v>
      </c>
      <c r="G140" s="5" t="s">
        <v>221</v>
      </c>
      <c r="J140" s="81" t="s">
        <v>222</v>
      </c>
      <c r="K140" s="81"/>
      <c r="L140" s="81"/>
      <c r="M140" s="81"/>
      <c r="N140" s="81"/>
      <c r="O140" s="81" t="s">
        <v>223</v>
      </c>
    </row>
    <row r="141" hidden="1" outlineLevel="1" spans="1:15">
      <c r="A141" s="23"/>
      <c r="B141" s="1">
        <v>15</v>
      </c>
      <c r="C141" s="5" t="s">
        <v>220</v>
      </c>
      <c r="G141" s="5" t="s">
        <v>224</v>
      </c>
      <c r="J141" s="81" t="s">
        <v>222</v>
      </c>
      <c r="K141" s="81"/>
      <c r="L141" s="81"/>
      <c r="M141" s="81"/>
      <c r="N141" s="81"/>
      <c r="O141" s="81" t="s">
        <v>225</v>
      </c>
    </row>
    <row r="142" hidden="1" outlineLevel="1" spans="2:15">
      <c r="B142" s="1">
        <v>16</v>
      </c>
      <c r="C142" s="5" t="s">
        <v>220</v>
      </c>
      <c r="G142" s="5" t="s">
        <v>226</v>
      </c>
      <c r="J142" s="81" t="s">
        <v>222</v>
      </c>
      <c r="K142" s="81"/>
      <c r="L142" s="81"/>
      <c r="M142" s="81"/>
      <c r="N142" s="81"/>
      <c r="O142" s="81" t="s">
        <v>227</v>
      </c>
    </row>
    <row r="143" hidden="1" outlineLevel="1" spans="2:15">
      <c r="B143" s="1">
        <v>17</v>
      </c>
      <c r="C143" s="5" t="s">
        <v>220</v>
      </c>
      <c r="G143" s="5" t="s">
        <v>228</v>
      </c>
      <c r="J143" s="81" t="s">
        <v>222</v>
      </c>
      <c r="K143" s="81"/>
      <c r="L143" s="81"/>
      <c r="M143" s="81"/>
      <c r="N143" s="81"/>
      <c r="O143" s="81" t="s">
        <v>229</v>
      </c>
    </row>
    <row r="144" hidden="1" outlineLevel="1" spans="2:15">
      <c r="B144" s="1">
        <v>18</v>
      </c>
      <c r="C144" s="5" t="s">
        <v>220</v>
      </c>
      <c r="G144" s="5" t="s">
        <v>230</v>
      </c>
      <c r="J144" s="81" t="s">
        <v>222</v>
      </c>
      <c r="K144" s="81"/>
      <c r="L144" s="81"/>
      <c r="M144" s="81"/>
      <c r="N144" s="81"/>
      <c r="O144" s="81" t="s">
        <v>231</v>
      </c>
    </row>
    <row r="145" hidden="1" outlineLevel="1" spans="2:15">
      <c r="B145" s="1">
        <v>19</v>
      </c>
      <c r="C145" s="5" t="s">
        <v>220</v>
      </c>
      <c r="G145" s="5" t="s">
        <v>232</v>
      </c>
      <c r="J145" s="81" t="s">
        <v>222</v>
      </c>
      <c r="K145" s="81"/>
      <c r="L145" s="81"/>
      <c r="M145" s="81"/>
      <c r="N145" s="81"/>
      <c r="O145" s="81" t="s">
        <v>233</v>
      </c>
    </row>
    <row r="146" hidden="1" outlineLevel="1" spans="2:15">
      <c r="B146" s="1">
        <v>20</v>
      </c>
      <c r="C146" s="5" t="s">
        <v>234</v>
      </c>
      <c r="G146" s="5" t="s">
        <v>235</v>
      </c>
      <c r="J146" s="81" t="s">
        <v>236</v>
      </c>
      <c r="K146" s="81"/>
      <c r="L146" s="81"/>
      <c r="M146" s="81"/>
      <c r="N146" s="81"/>
      <c r="O146" s="81" t="s">
        <v>237</v>
      </c>
    </row>
    <row r="147" hidden="1" outlineLevel="1" spans="2:15">
      <c r="B147" s="1">
        <v>21</v>
      </c>
      <c r="C147" s="5" t="s">
        <v>234</v>
      </c>
      <c r="G147" s="5" t="s">
        <v>238</v>
      </c>
      <c r="J147" s="81" t="s">
        <v>236</v>
      </c>
      <c r="K147" s="81"/>
      <c r="L147" s="81"/>
      <c r="M147" s="81"/>
      <c r="N147" s="81"/>
      <c r="O147" s="81" t="s">
        <v>239</v>
      </c>
    </row>
    <row r="148" hidden="1" outlineLevel="1" spans="2:15">
      <c r="B148" s="1">
        <v>22</v>
      </c>
      <c r="C148" s="5" t="s">
        <v>234</v>
      </c>
      <c r="G148" s="5" t="s">
        <v>240</v>
      </c>
      <c r="J148" s="81" t="s">
        <v>236</v>
      </c>
      <c r="K148" s="81"/>
      <c r="L148" s="81"/>
      <c r="M148" s="81"/>
      <c r="N148" s="81"/>
      <c r="O148" s="81" t="s">
        <v>241</v>
      </c>
    </row>
    <row r="149" hidden="1" outlineLevel="1" spans="2:15">
      <c r="B149" s="1">
        <v>23</v>
      </c>
      <c r="C149" s="5" t="s">
        <v>234</v>
      </c>
      <c r="G149" s="5" t="s">
        <v>242</v>
      </c>
      <c r="J149" s="81" t="s">
        <v>236</v>
      </c>
      <c r="K149" s="81"/>
      <c r="L149" s="81"/>
      <c r="M149" s="81"/>
      <c r="N149" s="81"/>
      <c r="O149" s="81" t="s">
        <v>243</v>
      </c>
    </row>
    <row r="150" hidden="1" outlineLevel="1" spans="2:15">
      <c r="B150" s="1">
        <v>24</v>
      </c>
      <c r="C150" s="5" t="s">
        <v>234</v>
      </c>
      <c r="G150" s="5" t="s">
        <v>244</v>
      </c>
      <c r="J150" s="81" t="s">
        <v>236</v>
      </c>
      <c r="K150" s="81"/>
      <c r="L150" s="81"/>
      <c r="M150" s="81"/>
      <c r="N150" s="81"/>
      <c r="O150" s="81" t="s">
        <v>245</v>
      </c>
    </row>
    <row r="151" hidden="1" outlineLevel="1" spans="2:15">
      <c r="B151" s="1">
        <v>25</v>
      </c>
      <c r="C151" s="5" t="s">
        <v>234</v>
      </c>
      <c r="G151" s="5" t="s">
        <v>246</v>
      </c>
      <c r="J151" s="81" t="s">
        <v>236</v>
      </c>
      <c r="K151" s="81"/>
      <c r="L151" s="81"/>
      <c r="M151" s="81"/>
      <c r="N151" s="81"/>
      <c r="O151" s="81" t="s">
        <v>247</v>
      </c>
    </row>
    <row r="152" hidden="1" outlineLevel="1" spans="2:15">
      <c r="B152" s="1">
        <v>26</v>
      </c>
      <c r="C152" s="5" t="s">
        <v>248</v>
      </c>
      <c r="G152" s="5" t="s">
        <v>249</v>
      </c>
      <c r="J152" s="81" t="s">
        <v>250</v>
      </c>
      <c r="K152" s="81"/>
      <c r="L152" s="81"/>
      <c r="M152" s="81"/>
      <c r="N152" s="81"/>
      <c r="O152" s="81" t="s">
        <v>251</v>
      </c>
    </row>
    <row r="153" hidden="1" outlineLevel="1" spans="2:15">
      <c r="B153" s="1">
        <v>27</v>
      </c>
      <c r="C153" s="5" t="s">
        <v>248</v>
      </c>
      <c r="G153" s="5" t="s">
        <v>252</v>
      </c>
      <c r="J153" s="81" t="s">
        <v>250</v>
      </c>
      <c r="K153" s="81"/>
      <c r="L153" s="81"/>
      <c r="M153" s="81"/>
      <c r="N153" s="81"/>
      <c r="O153" s="81" t="s">
        <v>253</v>
      </c>
    </row>
    <row r="154" hidden="1" outlineLevel="1" spans="2:15">
      <c r="B154" s="1">
        <v>28</v>
      </c>
      <c r="C154" s="5" t="s">
        <v>248</v>
      </c>
      <c r="G154" s="5" t="s">
        <v>254</v>
      </c>
      <c r="J154" s="81" t="s">
        <v>250</v>
      </c>
      <c r="K154" s="81"/>
      <c r="L154" s="81"/>
      <c r="M154" s="81"/>
      <c r="N154" s="81"/>
      <c r="O154" s="81" t="s">
        <v>255</v>
      </c>
    </row>
    <row r="155" hidden="1" outlineLevel="1" spans="2:15">
      <c r="B155" s="1">
        <v>29</v>
      </c>
      <c r="C155" s="5" t="s">
        <v>248</v>
      </c>
      <c r="G155" s="5" t="s">
        <v>256</v>
      </c>
      <c r="J155" s="81" t="s">
        <v>250</v>
      </c>
      <c r="K155" s="81"/>
      <c r="L155" s="81"/>
      <c r="M155" s="81"/>
      <c r="N155" s="81"/>
      <c r="O155" s="81" t="s">
        <v>257</v>
      </c>
    </row>
    <row r="156" hidden="1" outlineLevel="1" spans="2:15">
      <c r="B156" s="1">
        <v>30</v>
      </c>
      <c r="C156" s="5" t="s">
        <v>248</v>
      </c>
      <c r="G156" s="5" t="s">
        <v>258</v>
      </c>
      <c r="J156" s="81" t="s">
        <v>250</v>
      </c>
      <c r="K156" s="81"/>
      <c r="L156" s="81"/>
      <c r="M156" s="81"/>
      <c r="N156" s="81"/>
      <c r="O156" s="81" t="s">
        <v>259</v>
      </c>
    </row>
    <row r="157" hidden="1" outlineLevel="1" spans="2:15">
      <c r="B157" s="1">
        <v>31</v>
      </c>
      <c r="C157" s="5" t="s">
        <v>248</v>
      </c>
      <c r="G157" s="5" t="s">
        <v>260</v>
      </c>
      <c r="J157" s="81" t="s">
        <v>250</v>
      </c>
      <c r="K157" s="81"/>
      <c r="L157" s="81"/>
      <c r="M157" s="81"/>
      <c r="N157" s="81"/>
      <c r="O157" s="81" t="s">
        <v>261</v>
      </c>
    </row>
    <row r="158" hidden="1" outlineLevel="1"/>
    <row r="159" hidden="1" outlineLevel="1"/>
    <row r="160" hidden="1" outlineLevel="1" spans="2:12">
      <c r="B160" s="27" t="s">
        <v>262</v>
      </c>
      <c r="C160" s="73"/>
      <c r="D160" s="73"/>
      <c r="E160" s="73"/>
      <c r="F160" s="73"/>
      <c r="G160" s="73"/>
      <c r="H160" s="73"/>
      <c r="I160" s="73"/>
      <c r="J160" s="73"/>
      <c r="K160" s="73"/>
      <c r="L160" s="73"/>
    </row>
    <row r="161" hidden="1" outlineLevel="1"/>
    <row r="162" hidden="1" outlineLevel="1" spans="3:17">
      <c r="C162" s="5" t="s">
        <v>60</v>
      </c>
      <c r="E162" s="4"/>
      <c r="G162" s="4"/>
      <c r="H162" s="4"/>
      <c r="I162" s="4"/>
      <c r="J162" s="81" t="s">
        <v>61</v>
      </c>
      <c r="K162" s="81"/>
      <c r="L162" s="81"/>
      <c r="M162" s="81"/>
      <c r="N162" s="81"/>
      <c r="O162" s="81"/>
      <c r="P162" s="81"/>
      <c r="Q162" s="81"/>
    </row>
    <row r="163" hidden="1" outlineLevel="1" spans="2:17">
      <c r="B163" s="1" t="s">
        <v>263</v>
      </c>
      <c r="C163" s="5" t="s">
        <v>264</v>
      </c>
      <c r="E163" s="4"/>
      <c r="H163" s="5" t="s">
        <v>265</v>
      </c>
      <c r="J163" s="81" t="s">
        <v>264</v>
      </c>
      <c r="K163" s="81"/>
      <c r="L163" s="81"/>
      <c r="M163" s="81"/>
      <c r="N163" s="81"/>
      <c r="O163" s="81"/>
      <c r="P163" s="81"/>
      <c r="Q163" s="81" t="s">
        <v>265</v>
      </c>
    </row>
    <row r="164" hidden="1" outlineLevel="1" spans="2:17">
      <c r="B164" s="1">
        <v>1</v>
      </c>
      <c r="C164" s="5" t="s">
        <v>266</v>
      </c>
      <c r="D164" s="5"/>
      <c r="E164" s="5"/>
      <c r="F164" s="5"/>
      <c r="G164" s="5"/>
      <c r="H164" s="5" t="s">
        <v>267</v>
      </c>
      <c r="J164" s="81"/>
      <c r="K164" s="81"/>
      <c r="L164" s="81"/>
      <c r="M164" s="81"/>
      <c r="N164" s="81"/>
      <c r="O164" s="81"/>
      <c r="P164" s="81"/>
      <c r="Q164" s="81"/>
    </row>
    <row r="165" hidden="1" outlineLevel="1" spans="2:17">
      <c r="B165" s="1">
        <v>2</v>
      </c>
      <c r="C165" s="5" t="s">
        <v>266</v>
      </c>
      <c r="D165" s="5"/>
      <c r="E165" s="5"/>
      <c r="F165" s="5"/>
      <c r="G165" s="5"/>
      <c r="H165" s="5" t="s">
        <v>268</v>
      </c>
      <c r="J165" s="81"/>
      <c r="K165" s="81"/>
      <c r="L165" s="81"/>
      <c r="M165" s="81"/>
      <c r="N165" s="81"/>
      <c r="O165" s="81"/>
      <c r="P165" s="81"/>
      <c r="Q165" s="81"/>
    </row>
    <row r="166" hidden="1" outlineLevel="1" spans="2:17">
      <c r="B166" s="1">
        <v>3</v>
      </c>
      <c r="C166" s="5" t="s">
        <v>269</v>
      </c>
      <c r="D166" s="5"/>
      <c r="E166" s="5"/>
      <c r="F166" s="5"/>
      <c r="G166" s="5"/>
      <c r="H166" s="5" t="s">
        <v>270</v>
      </c>
      <c r="J166" s="81"/>
      <c r="K166" s="81"/>
      <c r="L166" s="81"/>
      <c r="M166" s="81"/>
      <c r="N166" s="81"/>
      <c r="O166" s="81"/>
      <c r="P166" s="81"/>
      <c r="Q166" s="81"/>
    </row>
    <row r="167" hidden="1" outlineLevel="1" spans="2:17">
      <c r="B167" s="1">
        <v>4</v>
      </c>
      <c r="C167" s="5" t="s">
        <v>269</v>
      </c>
      <c r="D167" s="5"/>
      <c r="E167" s="5"/>
      <c r="F167" s="5"/>
      <c r="G167" s="5"/>
      <c r="H167" s="5" t="s">
        <v>271</v>
      </c>
      <c r="J167" s="81" t="s">
        <v>272</v>
      </c>
      <c r="K167" s="81"/>
      <c r="L167" s="81"/>
      <c r="M167" s="81"/>
      <c r="N167" s="81"/>
      <c r="O167" s="81"/>
      <c r="P167" s="81"/>
      <c r="Q167" s="81" t="s">
        <v>273</v>
      </c>
    </row>
    <row r="168" hidden="1" outlineLevel="1" spans="2:17">
      <c r="B168" s="1">
        <v>5</v>
      </c>
      <c r="C168" s="5" t="s">
        <v>269</v>
      </c>
      <c r="D168" s="5"/>
      <c r="E168" s="5"/>
      <c r="F168" s="5"/>
      <c r="G168" s="5"/>
      <c r="H168" s="5" t="s">
        <v>274</v>
      </c>
      <c r="J168" s="81" t="s">
        <v>272</v>
      </c>
      <c r="K168" s="81"/>
      <c r="L168" s="81"/>
      <c r="M168" s="81"/>
      <c r="N168" s="81"/>
      <c r="O168" s="81"/>
      <c r="P168" s="81"/>
      <c r="Q168" s="81" t="s">
        <v>275</v>
      </c>
    </row>
    <row r="169" hidden="1" outlineLevel="1" spans="2:17">
      <c r="B169" s="1">
        <v>6</v>
      </c>
      <c r="C169" s="5" t="s">
        <v>269</v>
      </c>
      <c r="D169" s="5"/>
      <c r="E169" s="5"/>
      <c r="F169" s="5"/>
      <c r="G169" s="5"/>
      <c r="H169" s="5" t="s">
        <v>276</v>
      </c>
      <c r="J169" s="81" t="s">
        <v>272</v>
      </c>
      <c r="K169" s="81"/>
      <c r="L169" s="81"/>
      <c r="M169" s="81"/>
      <c r="N169" s="81"/>
      <c r="O169" s="81"/>
      <c r="P169" s="81"/>
      <c r="Q169" s="81" t="s">
        <v>277</v>
      </c>
    </row>
    <row r="170" hidden="1" outlineLevel="1" spans="2:17">
      <c r="B170" s="1">
        <v>7</v>
      </c>
      <c r="C170" s="5" t="s">
        <v>269</v>
      </c>
      <c r="D170" s="5"/>
      <c r="E170" s="5"/>
      <c r="F170" s="5"/>
      <c r="G170" s="5"/>
      <c r="H170" s="5" t="s">
        <v>278</v>
      </c>
      <c r="J170" s="81" t="s">
        <v>272</v>
      </c>
      <c r="K170" s="81"/>
      <c r="L170" s="81"/>
      <c r="M170" s="81"/>
      <c r="N170" s="81"/>
      <c r="O170" s="81"/>
      <c r="P170" s="81"/>
      <c r="Q170" s="81" t="s">
        <v>279</v>
      </c>
    </row>
    <row r="171" hidden="1" outlineLevel="1" spans="2:17">
      <c r="B171" s="1">
        <v>8</v>
      </c>
      <c r="C171" s="5" t="s">
        <v>269</v>
      </c>
      <c r="D171" s="5"/>
      <c r="E171" s="5"/>
      <c r="F171" s="5"/>
      <c r="G171" s="5"/>
      <c r="H171" s="5" t="s">
        <v>280</v>
      </c>
      <c r="J171" s="81" t="s">
        <v>281</v>
      </c>
      <c r="K171" s="81"/>
      <c r="L171" s="81"/>
      <c r="M171" s="81"/>
      <c r="N171" s="81"/>
      <c r="O171" s="81"/>
      <c r="P171" s="81"/>
      <c r="Q171" s="81" t="s">
        <v>282</v>
      </c>
    </row>
    <row r="172" hidden="1" outlineLevel="1" spans="2:17">
      <c r="B172" s="1">
        <v>9</v>
      </c>
      <c r="C172" s="5" t="s">
        <v>283</v>
      </c>
      <c r="D172" s="5"/>
      <c r="E172" s="5"/>
      <c r="F172" s="5"/>
      <c r="G172" s="5"/>
      <c r="H172" s="5" t="s">
        <v>284</v>
      </c>
      <c r="J172" s="81" t="s">
        <v>285</v>
      </c>
      <c r="K172" s="81"/>
      <c r="L172" s="81"/>
      <c r="M172" s="81"/>
      <c r="N172" s="81"/>
      <c r="O172" s="81"/>
      <c r="P172" s="81"/>
      <c r="Q172" s="81" t="s">
        <v>286</v>
      </c>
    </row>
    <row r="173" hidden="1" outlineLevel="1" spans="2:17">
      <c r="B173" s="1">
        <v>10</v>
      </c>
      <c r="C173" s="5" t="s">
        <v>283</v>
      </c>
      <c r="D173" s="5"/>
      <c r="E173" s="5"/>
      <c r="F173" s="5"/>
      <c r="G173" s="5"/>
      <c r="H173" s="5" t="s">
        <v>287</v>
      </c>
      <c r="J173" s="81" t="s">
        <v>285</v>
      </c>
      <c r="K173" s="81"/>
      <c r="L173" s="81"/>
      <c r="M173" s="81"/>
      <c r="N173" s="81"/>
      <c r="O173" s="81"/>
      <c r="P173" s="81"/>
      <c r="Q173" s="81" t="s">
        <v>288</v>
      </c>
    </row>
    <row r="174" hidden="1" outlineLevel="1" spans="2:17">
      <c r="B174" s="1">
        <v>11</v>
      </c>
      <c r="C174" s="5" t="s">
        <v>283</v>
      </c>
      <c r="D174" s="5"/>
      <c r="E174" s="5"/>
      <c r="F174" s="5"/>
      <c r="G174" s="5"/>
      <c r="H174" s="5" t="s">
        <v>289</v>
      </c>
      <c r="J174" s="81" t="s">
        <v>290</v>
      </c>
      <c r="K174" s="81"/>
      <c r="L174" s="81"/>
      <c r="M174" s="81"/>
      <c r="N174" s="81"/>
      <c r="O174" s="81"/>
      <c r="P174" s="81"/>
      <c r="Q174" s="81" t="s">
        <v>291</v>
      </c>
    </row>
    <row r="175" hidden="1" outlineLevel="1" spans="2:17">
      <c r="B175" s="1">
        <v>12</v>
      </c>
      <c r="C175" s="5" t="s">
        <v>283</v>
      </c>
      <c r="D175" s="5"/>
      <c r="E175" s="5"/>
      <c r="F175" s="5"/>
      <c r="G175" s="5"/>
      <c r="H175" s="5" t="s">
        <v>292</v>
      </c>
      <c r="J175" s="81" t="s">
        <v>290</v>
      </c>
      <c r="K175" s="81"/>
      <c r="L175" s="81"/>
      <c r="M175" s="81"/>
      <c r="N175" s="81"/>
      <c r="O175" s="81"/>
      <c r="P175" s="81"/>
      <c r="Q175" s="81" t="s">
        <v>293</v>
      </c>
    </row>
    <row r="176" hidden="1" outlineLevel="1" spans="2:17">
      <c r="B176" s="1">
        <v>13</v>
      </c>
      <c r="C176" s="5" t="s">
        <v>283</v>
      </c>
      <c r="D176" s="5"/>
      <c r="E176" s="5"/>
      <c r="F176" s="5"/>
      <c r="G176" s="5"/>
      <c r="H176" s="5" t="s">
        <v>294</v>
      </c>
      <c r="J176" s="81" t="s">
        <v>290</v>
      </c>
      <c r="K176" s="81"/>
      <c r="L176" s="81"/>
      <c r="M176" s="81"/>
      <c r="N176" s="81"/>
      <c r="O176" s="81"/>
      <c r="P176" s="81"/>
      <c r="Q176" s="81" t="s">
        <v>295</v>
      </c>
    </row>
    <row r="177" hidden="1" outlineLevel="1" spans="2:17">
      <c r="B177" s="1">
        <v>14</v>
      </c>
      <c r="C177" s="5" t="s">
        <v>283</v>
      </c>
      <c r="D177" s="5"/>
      <c r="E177" s="5"/>
      <c r="F177" s="5"/>
      <c r="G177" s="5"/>
      <c r="H177" s="5" t="s">
        <v>296</v>
      </c>
      <c r="J177" s="81" t="s">
        <v>290</v>
      </c>
      <c r="K177" s="81"/>
      <c r="L177" s="81"/>
      <c r="M177" s="81"/>
      <c r="N177" s="81"/>
      <c r="O177" s="81"/>
      <c r="P177" s="81"/>
      <c r="Q177" s="81" t="s">
        <v>297</v>
      </c>
    </row>
    <row r="178" hidden="1" outlineLevel="1" spans="2:17">
      <c r="B178" s="1">
        <v>15</v>
      </c>
      <c r="C178" s="5" t="s">
        <v>298</v>
      </c>
      <c r="D178" s="5"/>
      <c r="E178" s="5"/>
      <c r="F178" s="5"/>
      <c r="G178" s="5"/>
      <c r="H178" s="5" t="s">
        <v>299</v>
      </c>
      <c r="J178" s="81" t="s">
        <v>300</v>
      </c>
      <c r="K178" s="81"/>
      <c r="L178" s="81"/>
      <c r="M178" s="81"/>
      <c r="N178" s="81"/>
      <c r="O178" s="81"/>
      <c r="P178" s="81"/>
      <c r="Q178" s="81" t="s">
        <v>301</v>
      </c>
    </row>
    <row r="179" hidden="1" outlineLevel="1" spans="2:17">
      <c r="B179" s="1">
        <v>16</v>
      </c>
      <c r="C179" s="5" t="s">
        <v>298</v>
      </c>
      <c r="D179" s="5"/>
      <c r="E179" s="5"/>
      <c r="F179" s="5"/>
      <c r="G179" s="5"/>
      <c r="H179" s="5" t="s">
        <v>302</v>
      </c>
      <c r="J179" s="81" t="s">
        <v>300</v>
      </c>
      <c r="K179" s="81"/>
      <c r="L179" s="81"/>
      <c r="M179" s="81"/>
      <c r="N179" s="81"/>
      <c r="O179" s="81"/>
      <c r="P179" s="81"/>
      <c r="Q179" s="81" t="s">
        <v>303</v>
      </c>
    </row>
    <row r="180" hidden="1" outlineLevel="1" spans="2:17">
      <c r="B180" s="1">
        <v>17</v>
      </c>
      <c r="C180" s="5" t="s">
        <v>298</v>
      </c>
      <c r="D180" s="5"/>
      <c r="E180" s="5"/>
      <c r="F180" s="5"/>
      <c r="G180" s="5"/>
      <c r="H180" s="5" t="s">
        <v>304</v>
      </c>
      <c r="J180" s="81" t="s">
        <v>300</v>
      </c>
      <c r="K180" s="81"/>
      <c r="L180" s="81"/>
      <c r="M180" s="81"/>
      <c r="N180" s="81"/>
      <c r="O180" s="81"/>
      <c r="P180" s="81"/>
      <c r="Q180" s="81" t="s">
        <v>305</v>
      </c>
    </row>
    <row r="181" hidden="1" outlineLevel="1" spans="2:17">
      <c r="B181" s="1">
        <v>18</v>
      </c>
      <c r="C181" s="5" t="s">
        <v>298</v>
      </c>
      <c r="D181" s="5"/>
      <c r="E181" s="5"/>
      <c r="F181" s="5"/>
      <c r="G181" s="5"/>
      <c r="H181" s="5" t="s">
        <v>306</v>
      </c>
      <c r="J181" s="81" t="s">
        <v>300</v>
      </c>
      <c r="K181" s="81"/>
      <c r="L181" s="81"/>
      <c r="M181" s="81"/>
      <c r="N181" s="81"/>
      <c r="O181" s="81"/>
      <c r="P181" s="81"/>
      <c r="Q181" s="81" t="s">
        <v>307</v>
      </c>
    </row>
    <row r="182" hidden="1" outlineLevel="1" spans="2:17">
      <c r="B182" s="1">
        <v>19</v>
      </c>
      <c r="C182" s="5" t="s">
        <v>298</v>
      </c>
      <c r="D182" s="5"/>
      <c r="E182" s="5"/>
      <c r="F182" s="5"/>
      <c r="G182" s="5"/>
      <c r="H182" s="5" t="s">
        <v>308</v>
      </c>
      <c r="J182" s="81" t="s">
        <v>300</v>
      </c>
      <c r="K182" s="81"/>
      <c r="L182" s="81"/>
      <c r="M182" s="81"/>
      <c r="N182" s="81"/>
      <c r="O182" s="81"/>
      <c r="P182" s="81"/>
      <c r="Q182" s="81" t="s">
        <v>309</v>
      </c>
    </row>
    <row r="183" hidden="1" outlineLevel="1" spans="2:17">
      <c r="B183" s="1">
        <v>20</v>
      </c>
      <c r="C183" s="5" t="s">
        <v>298</v>
      </c>
      <c r="D183" s="5"/>
      <c r="E183" s="5"/>
      <c r="F183" s="5"/>
      <c r="G183" s="5"/>
      <c r="H183" s="5" t="s">
        <v>310</v>
      </c>
      <c r="J183" s="81" t="s">
        <v>300</v>
      </c>
      <c r="K183" s="81"/>
      <c r="L183" s="81"/>
      <c r="M183" s="81"/>
      <c r="N183" s="81"/>
      <c r="O183" s="81"/>
      <c r="P183" s="81"/>
      <c r="Q183" s="81" t="s">
        <v>311</v>
      </c>
    </row>
    <row r="184" hidden="1" outlineLevel="1" spans="2:17">
      <c r="B184" s="1">
        <v>21</v>
      </c>
      <c r="C184" s="5" t="s">
        <v>312</v>
      </c>
      <c r="D184" s="5"/>
      <c r="E184" s="5"/>
      <c r="F184" s="5"/>
      <c r="G184" s="5"/>
      <c r="H184" s="5" t="s">
        <v>313</v>
      </c>
      <c r="J184" s="81" t="s">
        <v>314</v>
      </c>
      <c r="K184" s="81"/>
      <c r="L184" s="81"/>
      <c r="M184" s="81"/>
      <c r="N184" s="81"/>
      <c r="O184" s="81"/>
      <c r="P184" s="81"/>
      <c r="Q184" s="81" t="s">
        <v>315</v>
      </c>
    </row>
    <row r="185" hidden="1" outlineLevel="1" spans="2:17">
      <c r="B185" s="1">
        <v>22</v>
      </c>
      <c r="C185" s="5" t="s">
        <v>312</v>
      </c>
      <c r="D185" s="5"/>
      <c r="E185" s="5"/>
      <c r="F185" s="5"/>
      <c r="G185" s="5"/>
      <c r="H185" s="5" t="s">
        <v>316</v>
      </c>
      <c r="J185" s="81" t="s">
        <v>314</v>
      </c>
      <c r="K185" s="81"/>
      <c r="L185" s="81"/>
      <c r="M185" s="81"/>
      <c r="N185" s="81"/>
      <c r="O185" s="81"/>
      <c r="P185" s="81"/>
      <c r="Q185" s="81" t="s">
        <v>317</v>
      </c>
    </row>
    <row r="186" hidden="1" outlineLevel="1" spans="2:17">
      <c r="B186" s="1">
        <v>23</v>
      </c>
      <c r="C186" s="5" t="s">
        <v>312</v>
      </c>
      <c r="D186" s="5"/>
      <c r="E186" s="5"/>
      <c r="F186" s="5"/>
      <c r="G186" s="5"/>
      <c r="H186" s="5" t="s">
        <v>318</v>
      </c>
      <c r="J186" s="81" t="s">
        <v>314</v>
      </c>
      <c r="K186" s="81"/>
      <c r="L186" s="81"/>
      <c r="M186" s="81"/>
      <c r="N186" s="81"/>
      <c r="O186" s="81"/>
      <c r="P186" s="81"/>
      <c r="Q186" s="81" t="s">
        <v>319</v>
      </c>
    </row>
    <row r="187" hidden="1" outlineLevel="1" spans="2:17">
      <c r="B187" s="1">
        <v>24</v>
      </c>
      <c r="C187" s="5" t="s">
        <v>312</v>
      </c>
      <c r="D187" s="5"/>
      <c r="E187" s="5"/>
      <c r="F187" s="5"/>
      <c r="G187" s="5"/>
      <c r="H187" s="5" t="s">
        <v>320</v>
      </c>
      <c r="J187" s="81" t="s">
        <v>314</v>
      </c>
      <c r="K187" s="81"/>
      <c r="L187" s="81"/>
      <c r="M187" s="81"/>
      <c r="N187" s="81"/>
      <c r="O187" s="81"/>
      <c r="P187" s="81"/>
      <c r="Q187" s="81" t="s">
        <v>321</v>
      </c>
    </row>
    <row r="188" hidden="1" outlineLevel="1" spans="2:17">
      <c r="B188" s="1">
        <v>25</v>
      </c>
      <c r="C188" s="5" t="s">
        <v>312</v>
      </c>
      <c r="D188" s="5"/>
      <c r="E188" s="5"/>
      <c r="F188" s="5"/>
      <c r="G188" s="5"/>
      <c r="H188" s="5" t="s">
        <v>322</v>
      </c>
      <c r="J188" s="81" t="s">
        <v>314</v>
      </c>
      <c r="K188" s="81"/>
      <c r="L188" s="81"/>
      <c r="M188" s="81"/>
      <c r="N188" s="81"/>
      <c r="O188" s="81"/>
      <c r="P188" s="81"/>
      <c r="Q188" s="81" t="s">
        <v>323</v>
      </c>
    </row>
    <row r="189" hidden="1" outlineLevel="1" spans="2:17">
      <c r="B189" s="1">
        <v>26</v>
      </c>
      <c r="C189" s="5" t="s">
        <v>324</v>
      </c>
      <c r="D189" s="5"/>
      <c r="E189" s="5"/>
      <c r="F189" s="5"/>
      <c r="G189" s="5"/>
      <c r="H189" s="5" t="s">
        <v>325</v>
      </c>
      <c r="J189" s="81" t="s">
        <v>326</v>
      </c>
      <c r="K189" s="81"/>
      <c r="L189" s="81"/>
      <c r="M189" s="81"/>
      <c r="N189" s="81"/>
      <c r="O189" s="81"/>
      <c r="P189" s="81"/>
      <c r="Q189" s="81" t="s">
        <v>327</v>
      </c>
    </row>
    <row r="190" hidden="1" outlineLevel="1" spans="2:17">
      <c r="B190" s="1">
        <v>27</v>
      </c>
      <c r="C190" s="5" t="s">
        <v>324</v>
      </c>
      <c r="D190" s="5"/>
      <c r="E190" s="5"/>
      <c r="F190" s="5"/>
      <c r="G190" s="5"/>
      <c r="H190" s="5" t="s">
        <v>328</v>
      </c>
      <c r="J190" s="81" t="s">
        <v>326</v>
      </c>
      <c r="K190" s="81"/>
      <c r="L190" s="81"/>
      <c r="M190" s="81"/>
      <c r="N190" s="81"/>
      <c r="O190" s="81"/>
      <c r="P190" s="81"/>
      <c r="Q190" s="81" t="s">
        <v>329</v>
      </c>
    </row>
    <row r="191" hidden="1" outlineLevel="1" spans="2:17">
      <c r="B191" s="1">
        <v>28</v>
      </c>
      <c r="C191" s="5" t="s">
        <v>324</v>
      </c>
      <c r="D191" s="5"/>
      <c r="E191" s="5"/>
      <c r="F191" s="5"/>
      <c r="G191" s="5"/>
      <c r="H191" s="5" t="s">
        <v>330</v>
      </c>
      <c r="J191" s="81" t="s">
        <v>326</v>
      </c>
      <c r="K191" s="81"/>
      <c r="L191" s="81"/>
      <c r="M191" s="81"/>
      <c r="N191" s="81"/>
      <c r="O191" s="81"/>
      <c r="P191" s="81"/>
      <c r="Q191" s="81" t="s">
        <v>329</v>
      </c>
    </row>
    <row r="192" hidden="1" outlineLevel="1" spans="2:17">
      <c r="B192" s="1">
        <v>29</v>
      </c>
      <c r="C192" s="5" t="s">
        <v>324</v>
      </c>
      <c r="D192" s="5"/>
      <c r="E192" s="5"/>
      <c r="F192" s="5"/>
      <c r="G192" s="5"/>
      <c r="H192" s="5" t="s">
        <v>330</v>
      </c>
      <c r="J192" s="81" t="s">
        <v>326</v>
      </c>
      <c r="K192" s="81"/>
      <c r="L192" s="81"/>
      <c r="M192" s="81"/>
      <c r="N192" s="81"/>
      <c r="O192" s="81"/>
      <c r="P192" s="81"/>
      <c r="Q192" s="81" t="s">
        <v>331</v>
      </c>
    </row>
    <row r="193" hidden="1" outlineLevel="1" spans="2:17">
      <c r="B193" s="1">
        <v>30</v>
      </c>
      <c r="C193" s="5" t="s">
        <v>324</v>
      </c>
      <c r="D193" s="5"/>
      <c r="E193" s="5"/>
      <c r="F193" s="5"/>
      <c r="G193" s="5"/>
      <c r="H193" s="5" t="s">
        <v>332</v>
      </c>
      <c r="J193" s="81" t="s">
        <v>326</v>
      </c>
      <c r="K193" s="81"/>
      <c r="L193" s="81"/>
      <c r="M193" s="81"/>
      <c r="N193" s="81"/>
      <c r="O193" s="81"/>
      <c r="P193" s="81"/>
      <c r="Q193" s="81" t="s">
        <v>331</v>
      </c>
    </row>
    <row r="194" hidden="1" outlineLevel="1" spans="2:17">
      <c r="B194" s="1">
        <v>31</v>
      </c>
      <c r="C194" s="5" t="s">
        <v>324</v>
      </c>
      <c r="D194" s="5"/>
      <c r="E194" s="5"/>
      <c r="F194" s="5"/>
      <c r="G194" s="5"/>
      <c r="H194" s="5" t="s">
        <v>333</v>
      </c>
      <c r="J194" s="81" t="s">
        <v>326</v>
      </c>
      <c r="K194" s="81"/>
      <c r="L194" s="81"/>
      <c r="M194" s="81"/>
      <c r="N194" s="81"/>
      <c r="O194" s="81"/>
      <c r="P194" s="81"/>
      <c r="Q194" s="81" t="s">
        <v>334</v>
      </c>
    </row>
    <row r="195" hidden="1" outlineLevel="1" spans="2:17">
      <c r="B195" s="1">
        <v>32</v>
      </c>
      <c r="C195" s="5" t="s">
        <v>324</v>
      </c>
      <c r="D195" s="5"/>
      <c r="E195" s="5"/>
      <c r="F195" s="5"/>
      <c r="G195" s="5"/>
      <c r="H195" s="5" t="s">
        <v>335</v>
      </c>
      <c r="J195" s="81" t="s">
        <v>326</v>
      </c>
      <c r="K195" s="81"/>
      <c r="L195" s="81"/>
      <c r="M195" s="81"/>
      <c r="N195" s="81"/>
      <c r="O195" s="81"/>
      <c r="P195" s="81"/>
      <c r="Q195" s="81" t="s">
        <v>336</v>
      </c>
    </row>
    <row r="196" hidden="1" outlineLevel="1" spans="2:17">
      <c r="B196" s="1">
        <v>33</v>
      </c>
      <c r="C196" s="5" t="s">
        <v>324</v>
      </c>
      <c r="D196" s="5"/>
      <c r="E196" s="5"/>
      <c r="F196" s="5"/>
      <c r="G196" s="5"/>
      <c r="H196" s="5" t="s">
        <v>335</v>
      </c>
      <c r="J196" s="81" t="s">
        <v>326</v>
      </c>
      <c r="K196" s="81"/>
      <c r="L196" s="81"/>
      <c r="M196" s="81"/>
      <c r="N196" s="81"/>
      <c r="O196" s="81"/>
      <c r="P196" s="81"/>
      <c r="Q196" s="81" t="s">
        <v>336</v>
      </c>
    </row>
    <row r="197" hidden="1" outlineLevel="1" spans="2:17">
      <c r="B197" s="1">
        <v>34</v>
      </c>
      <c r="C197" s="5" t="s">
        <v>324</v>
      </c>
      <c r="D197" s="5"/>
      <c r="E197" s="5"/>
      <c r="F197" s="5"/>
      <c r="G197" s="5"/>
      <c r="H197" s="5" t="s">
        <v>335</v>
      </c>
      <c r="J197" s="81" t="s">
        <v>326</v>
      </c>
      <c r="K197" s="81"/>
      <c r="L197" s="81"/>
      <c r="M197" s="81"/>
      <c r="N197" s="81"/>
      <c r="O197" s="81"/>
      <c r="P197" s="81"/>
      <c r="Q197" s="81" t="s">
        <v>337</v>
      </c>
    </row>
    <row r="198" hidden="1" outlineLevel="1" spans="2:17">
      <c r="B198" s="1">
        <v>35</v>
      </c>
      <c r="C198" s="5" t="s">
        <v>324</v>
      </c>
      <c r="D198" s="5"/>
      <c r="E198" s="5"/>
      <c r="F198" s="5"/>
      <c r="G198" s="5"/>
      <c r="H198" s="5" t="s">
        <v>338</v>
      </c>
      <c r="J198" s="81" t="s">
        <v>326</v>
      </c>
      <c r="K198" s="81"/>
      <c r="L198" s="81"/>
      <c r="M198" s="81"/>
      <c r="N198" s="81"/>
      <c r="O198" s="81"/>
      <c r="P198" s="81"/>
      <c r="Q198" s="81" t="s">
        <v>339</v>
      </c>
    </row>
    <row r="199" hidden="1" outlineLevel="1" spans="3:17">
      <c r="C199" s="5"/>
      <c r="D199" s="5"/>
      <c r="E199" s="5"/>
      <c r="F199" s="5"/>
      <c r="G199" s="5"/>
      <c r="H199" s="5"/>
      <c r="J199" s="81"/>
      <c r="K199" s="81"/>
      <c r="L199" s="81"/>
      <c r="M199" s="81"/>
      <c r="N199" s="81"/>
      <c r="O199" s="81"/>
      <c r="P199" s="81"/>
      <c r="Q199" s="81"/>
    </row>
    <row r="200" hidden="1" outlineLevel="1" spans="2:12">
      <c r="B200" s="27" t="s">
        <v>340</v>
      </c>
      <c r="C200" s="73"/>
      <c r="D200" s="73"/>
      <c r="E200" s="73"/>
      <c r="F200" s="73"/>
      <c r="G200" s="73"/>
      <c r="H200" s="73"/>
      <c r="I200" s="73"/>
      <c r="J200" s="73"/>
      <c r="K200" s="73"/>
      <c r="L200" s="73"/>
    </row>
    <row r="201" hidden="1" outlineLevel="1"/>
    <row r="202" hidden="1" outlineLevel="1" spans="3:17">
      <c r="C202" s="5" t="s">
        <v>60</v>
      </c>
      <c r="E202" s="4" t="s">
        <v>61</v>
      </c>
      <c r="G202" s="4"/>
      <c r="H202" s="4"/>
      <c r="I202" s="4"/>
      <c r="J202" s="81"/>
      <c r="K202" s="81"/>
      <c r="L202" s="81"/>
      <c r="M202" s="81"/>
      <c r="N202" s="81"/>
      <c r="O202" s="81"/>
      <c r="P202" s="81"/>
      <c r="Q202" s="81"/>
    </row>
    <row r="203" hidden="1" outlineLevel="1" spans="2:17">
      <c r="B203" s="1" t="s">
        <v>263</v>
      </c>
      <c r="C203" s="5" t="s">
        <v>341</v>
      </c>
      <c r="E203" s="81" t="s">
        <v>342</v>
      </c>
      <c r="H203" s="5"/>
      <c r="J203" s="81"/>
      <c r="K203" s="81"/>
      <c r="L203" s="81"/>
      <c r="M203" s="81"/>
      <c r="N203" s="81"/>
      <c r="O203" s="81"/>
      <c r="P203" s="81"/>
      <c r="Q203" s="81"/>
    </row>
    <row r="204" hidden="1" outlineLevel="1" spans="2:17">
      <c r="B204" s="1">
        <v>1</v>
      </c>
      <c r="C204" s="5">
        <v>40</v>
      </c>
      <c r="D204" s="5"/>
      <c r="E204" s="81">
        <v>40</v>
      </c>
      <c r="F204" s="5"/>
      <c r="G204" s="5"/>
      <c r="H204" s="5"/>
      <c r="J204" s="81"/>
      <c r="K204" s="81"/>
      <c r="L204" s="81"/>
      <c r="M204" s="81"/>
      <c r="N204" s="81"/>
      <c r="O204" s="81"/>
      <c r="P204" s="81"/>
      <c r="Q204" s="81"/>
    </row>
    <row r="205" hidden="1" outlineLevel="1" spans="2:17">
      <c r="B205" s="1">
        <v>2</v>
      </c>
      <c r="C205" s="5">
        <v>120</v>
      </c>
      <c r="D205" s="5"/>
      <c r="E205" s="81">
        <v>160</v>
      </c>
      <c r="F205" s="5"/>
      <c r="G205" s="5"/>
      <c r="H205" s="5"/>
      <c r="J205" s="81"/>
      <c r="K205" s="81"/>
      <c r="L205" s="81"/>
      <c r="M205" s="81"/>
      <c r="N205" s="81"/>
      <c r="O205" s="81"/>
      <c r="P205" s="81"/>
      <c r="Q205" s="81"/>
    </row>
    <row r="206" hidden="1" outlineLevel="1" spans="2:17">
      <c r="B206" s="1">
        <v>3</v>
      </c>
      <c r="C206" s="5">
        <v>200</v>
      </c>
      <c r="D206" s="5"/>
      <c r="E206" s="81">
        <v>360</v>
      </c>
      <c r="F206" s="5"/>
      <c r="G206" s="5"/>
      <c r="H206" s="5"/>
      <c r="J206" s="81"/>
      <c r="K206" s="81"/>
      <c r="L206" s="81"/>
      <c r="M206" s="81"/>
      <c r="N206" s="81"/>
      <c r="O206" s="81"/>
      <c r="P206" s="81"/>
      <c r="Q206" s="81"/>
    </row>
    <row r="207" hidden="1" outlineLevel="1" spans="2:17">
      <c r="B207" s="1">
        <v>4</v>
      </c>
      <c r="C207" s="5">
        <v>560</v>
      </c>
      <c r="D207" s="5"/>
      <c r="E207" s="81">
        <v>765</v>
      </c>
      <c r="F207" s="5"/>
      <c r="G207" s="5"/>
      <c r="H207" s="5"/>
      <c r="J207" s="81"/>
      <c r="K207" s="81"/>
      <c r="L207" s="81"/>
      <c r="M207" s="81"/>
      <c r="N207" s="81"/>
      <c r="O207" s="81"/>
      <c r="P207" s="81"/>
      <c r="Q207" s="81"/>
    </row>
    <row r="208" hidden="1" outlineLevel="1" spans="2:17">
      <c r="B208" s="1">
        <v>5</v>
      </c>
      <c r="C208" s="5">
        <v>600</v>
      </c>
      <c r="D208" s="5"/>
      <c r="E208" s="81">
        <v>1085</v>
      </c>
      <c r="F208" s="5"/>
      <c r="G208" s="5"/>
      <c r="H208" s="5"/>
      <c r="J208" s="81"/>
      <c r="K208" s="81"/>
      <c r="L208" s="81"/>
      <c r="M208" s="81"/>
      <c r="N208" s="81"/>
      <c r="O208" s="81"/>
      <c r="P208" s="81"/>
      <c r="Q208" s="81"/>
    </row>
    <row r="209" hidden="1" outlineLevel="1" spans="2:17">
      <c r="B209" s="1">
        <v>6</v>
      </c>
      <c r="C209" s="5">
        <v>900</v>
      </c>
      <c r="D209" s="5"/>
      <c r="E209" s="81">
        <v>2230</v>
      </c>
      <c r="F209" s="5"/>
      <c r="G209" s="5"/>
      <c r="H209" s="5"/>
      <c r="J209" s="81"/>
      <c r="K209" s="81"/>
      <c r="L209" s="81"/>
      <c r="M209" s="81"/>
      <c r="N209" s="81"/>
      <c r="O209" s="81"/>
      <c r="P209" s="81"/>
      <c r="Q209" s="81"/>
    </row>
    <row r="210" hidden="1" outlineLevel="1" spans="2:17">
      <c r="B210" s="1">
        <v>7</v>
      </c>
      <c r="C210" s="5">
        <v>1510</v>
      </c>
      <c r="D210" s="5"/>
      <c r="E210" s="81">
        <v>2380</v>
      </c>
      <c r="F210" s="5"/>
      <c r="G210" s="5"/>
      <c r="H210" s="5"/>
      <c r="J210" s="81"/>
      <c r="K210" s="81"/>
      <c r="L210" s="81"/>
      <c r="M210" s="81"/>
      <c r="N210" s="81"/>
      <c r="O210" s="81"/>
      <c r="P210" s="81"/>
      <c r="Q210" s="81"/>
    </row>
    <row r="211" hidden="1" outlineLevel="1" spans="2:17">
      <c r="B211" s="1">
        <v>8</v>
      </c>
      <c r="C211" s="5">
        <v>2070</v>
      </c>
      <c r="D211" s="5"/>
      <c r="E211" s="81">
        <v>2630</v>
      </c>
      <c r="F211" s="5"/>
      <c r="G211" s="5"/>
      <c r="H211" s="5"/>
      <c r="J211" s="81"/>
      <c r="K211" s="81"/>
      <c r="L211" s="81"/>
      <c r="M211" s="81"/>
      <c r="N211" s="81"/>
      <c r="O211" s="81"/>
      <c r="P211" s="81"/>
      <c r="Q211" s="81"/>
    </row>
    <row r="212" hidden="1" outlineLevel="1" spans="2:17">
      <c r="B212" s="1">
        <v>9</v>
      </c>
      <c r="C212" s="5">
        <v>3560</v>
      </c>
      <c r="D212" s="5"/>
      <c r="E212" s="81">
        <v>4380</v>
      </c>
      <c r="F212" s="5"/>
      <c r="G212" s="5"/>
      <c r="H212" s="5"/>
      <c r="J212" s="81"/>
      <c r="K212" s="81"/>
      <c r="L212" s="81"/>
      <c r="M212" s="81"/>
      <c r="N212" s="81"/>
      <c r="O212" s="81"/>
      <c r="P212" s="81"/>
      <c r="Q212" s="81"/>
    </row>
    <row r="213" hidden="1" outlineLevel="1" spans="2:17">
      <c r="B213" s="1">
        <v>10</v>
      </c>
      <c r="C213" s="5">
        <v>5250</v>
      </c>
      <c r="D213" s="5"/>
      <c r="E213" s="81">
        <v>7290</v>
      </c>
      <c r="F213" s="5"/>
      <c r="G213" s="5"/>
      <c r="H213" s="5"/>
      <c r="J213" s="81"/>
      <c r="K213" s="81"/>
      <c r="L213" s="81"/>
      <c r="M213" s="81"/>
      <c r="N213" s="81"/>
      <c r="O213" s="81"/>
      <c r="P213" s="81"/>
      <c r="Q213" s="81"/>
    </row>
    <row r="214" hidden="1" outlineLevel="1" spans="2:17">
      <c r="B214" s="1">
        <v>11</v>
      </c>
      <c r="C214" s="5">
        <v>6940</v>
      </c>
      <c r="D214" s="5"/>
      <c r="E214" s="81">
        <v>11890</v>
      </c>
      <c r="F214" s="5"/>
      <c r="G214" s="5"/>
      <c r="H214" s="5"/>
      <c r="J214" s="81"/>
      <c r="K214" s="81"/>
      <c r="L214" s="81"/>
      <c r="M214" s="81"/>
      <c r="N214" s="81"/>
      <c r="O214" s="81"/>
      <c r="P214" s="81"/>
      <c r="Q214" s="81"/>
    </row>
    <row r="215" hidden="1" outlineLevel="1" spans="2:17">
      <c r="B215" s="1">
        <v>12</v>
      </c>
      <c r="C215" s="5">
        <v>8420</v>
      </c>
      <c r="D215" s="5"/>
      <c r="E215" s="81">
        <v>18510</v>
      </c>
      <c r="F215" s="5"/>
      <c r="G215" s="5"/>
      <c r="H215" s="5"/>
      <c r="J215" s="81"/>
      <c r="K215" s="81"/>
      <c r="L215" s="81"/>
      <c r="M215" s="81"/>
      <c r="N215" s="81"/>
      <c r="O215" s="81"/>
      <c r="P215" s="81"/>
      <c r="Q215" s="81"/>
    </row>
    <row r="216" hidden="1" outlineLevel="1" spans="2:17">
      <c r="B216" s="1">
        <v>13</v>
      </c>
      <c r="C216" s="5">
        <v>11990</v>
      </c>
      <c r="D216" s="5"/>
      <c r="E216" s="81">
        <v>25310</v>
      </c>
      <c r="F216" s="5"/>
      <c r="G216" s="5"/>
      <c r="H216" s="5"/>
      <c r="J216" s="81"/>
      <c r="K216" s="81"/>
      <c r="L216" s="81"/>
      <c r="M216" s="81"/>
      <c r="N216" s="81"/>
      <c r="O216" s="81"/>
      <c r="P216" s="81"/>
      <c r="Q216" s="81"/>
    </row>
    <row r="217" hidden="1" outlineLevel="1" spans="2:17">
      <c r="B217" s="1">
        <v>14</v>
      </c>
      <c r="C217" s="5">
        <v>27350</v>
      </c>
      <c r="D217" s="5"/>
      <c r="E217" s="81">
        <v>32440</v>
      </c>
      <c r="F217" s="5"/>
      <c r="G217" s="5"/>
      <c r="H217" s="5"/>
      <c r="J217" s="81"/>
      <c r="K217" s="81"/>
      <c r="L217" s="81"/>
      <c r="M217" s="81"/>
      <c r="N217" s="81"/>
      <c r="O217" s="81"/>
      <c r="P217" s="81"/>
      <c r="Q217" s="81"/>
    </row>
    <row r="218" hidden="1" outlineLevel="1" spans="2:17">
      <c r="B218" s="1">
        <v>15</v>
      </c>
      <c r="C218" s="5">
        <v>26460</v>
      </c>
      <c r="D218" s="5"/>
      <c r="E218" s="81">
        <v>53310</v>
      </c>
      <c r="F218" s="5"/>
      <c r="G218" s="5"/>
      <c r="H218" s="5"/>
      <c r="J218" s="81"/>
      <c r="K218" s="81"/>
      <c r="L218" s="81"/>
      <c r="M218" s="81"/>
      <c r="N218" s="81"/>
      <c r="O218" s="81"/>
      <c r="P218" s="81"/>
      <c r="Q218" s="81"/>
    </row>
    <row r="219" hidden="1" outlineLevel="1" spans="2:17">
      <c r="B219" s="1">
        <v>16</v>
      </c>
      <c r="C219" s="5">
        <v>36290</v>
      </c>
      <c r="D219" s="5"/>
      <c r="E219" s="81">
        <v>76530</v>
      </c>
      <c r="F219" s="5"/>
      <c r="G219" s="5"/>
      <c r="H219" s="5"/>
      <c r="J219" s="81"/>
      <c r="K219" s="81"/>
      <c r="L219" s="81"/>
      <c r="M219" s="81"/>
      <c r="N219" s="81"/>
      <c r="O219" s="81"/>
      <c r="P219" s="81"/>
      <c r="Q219" s="81"/>
    </row>
    <row r="220" hidden="1" outlineLevel="1" spans="2:17">
      <c r="B220" s="1">
        <v>17</v>
      </c>
      <c r="C220" s="5">
        <v>61230</v>
      </c>
      <c r="D220" s="5"/>
      <c r="E220" s="81">
        <v>109580</v>
      </c>
      <c r="F220" s="5"/>
      <c r="G220" s="5"/>
      <c r="H220" s="5"/>
      <c r="J220" s="81"/>
      <c r="K220" s="81"/>
      <c r="L220" s="81"/>
      <c r="M220" s="81"/>
      <c r="N220" s="81"/>
      <c r="O220" s="81"/>
      <c r="P220" s="81"/>
      <c r="Q220" s="81"/>
    </row>
    <row r="221" hidden="1" outlineLevel="1" spans="2:17">
      <c r="B221" s="1">
        <v>18</v>
      </c>
      <c r="C221" s="5">
        <v>142480</v>
      </c>
      <c r="D221" s="5"/>
      <c r="E221" s="81">
        <v>157850</v>
      </c>
      <c r="F221" s="5"/>
      <c r="G221" s="5"/>
      <c r="H221" s="5"/>
      <c r="J221" s="81"/>
      <c r="K221" s="81"/>
      <c r="L221" s="81"/>
      <c r="M221" s="81"/>
      <c r="N221" s="81"/>
      <c r="O221" s="81"/>
      <c r="P221" s="81"/>
      <c r="Q221" s="81"/>
    </row>
    <row r="222" hidden="1" outlineLevel="1" spans="2:17">
      <c r="B222" s="1">
        <v>19</v>
      </c>
      <c r="C222" s="5">
        <v>136080</v>
      </c>
      <c r="D222" s="5"/>
      <c r="E222" s="81">
        <v>295470</v>
      </c>
      <c r="F222" s="5"/>
      <c r="G222" s="5"/>
      <c r="H222" s="5"/>
      <c r="J222" s="81"/>
      <c r="K222" s="81"/>
      <c r="L222" s="81"/>
      <c r="M222" s="81"/>
      <c r="N222" s="81"/>
      <c r="O222" s="81"/>
      <c r="P222" s="81"/>
      <c r="Q222" s="81"/>
    </row>
    <row r="223" hidden="1" outlineLevel="1" spans="2:17">
      <c r="B223" s="1">
        <v>20</v>
      </c>
      <c r="C223" s="5">
        <v>157250</v>
      </c>
      <c r="D223" s="5"/>
      <c r="E223" s="81">
        <v>426690</v>
      </c>
      <c r="F223" s="5"/>
      <c r="G223" s="5"/>
      <c r="H223" s="5"/>
      <c r="J223" s="81"/>
      <c r="K223" s="81"/>
      <c r="L223" s="81"/>
      <c r="M223" s="81"/>
      <c r="N223" s="81"/>
      <c r="O223" s="81"/>
      <c r="P223" s="81"/>
      <c r="Q223" s="81"/>
    </row>
    <row r="224" hidden="1" outlineLevel="1" spans="2:17">
      <c r="B224" s="1">
        <v>21</v>
      </c>
      <c r="C224" s="5">
        <v>230250</v>
      </c>
      <c r="D224" s="5"/>
      <c r="E224" s="81">
        <v>579080</v>
      </c>
      <c r="F224" s="5"/>
      <c r="G224" s="5"/>
      <c r="H224" s="5"/>
      <c r="J224" s="81"/>
      <c r="K224" s="81"/>
      <c r="L224" s="81"/>
      <c r="M224" s="81"/>
      <c r="N224" s="81"/>
      <c r="O224" s="81"/>
      <c r="P224" s="81"/>
      <c r="Q224" s="81"/>
    </row>
    <row r="225" hidden="1" outlineLevel="1" spans="2:17">
      <c r="B225" s="1">
        <v>22</v>
      </c>
      <c r="C225" s="5">
        <v>258770</v>
      </c>
      <c r="D225" s="5"/>
      <c r="E225" s="81">
        <v>806090</v>
      </c>
      <c r="F225" s="5"/>
      <c r="G225" s="5"/>
      <c r="H225" s="5"/>
      <c r="J225" s="81"/>
      <c r="K225" s="81"/>
      <c r="L225" s="81"/>
      <c r="M225" s="81"/>
      <c r="N225" s="81"/>
      <c r="O225" s="81"/>
      <c r="P225" s="81"/>
      <c r="Q225" s="81"/>
    </row>
    <row r="226" hidden="1" outlineLevel="1" spans="2:17">
      <c r="B226" s="1">
        <v>23</v>
      </c>
      <c r="C226" s="5">
        <v>300240</v>
      </c>
      <c r="D226" s="5"/>
      <c r="E226" s="81">
        <v>1045420</v>
      </c>
      <c r="F226" s="5"/>
      <c r="G226" s="5"/>
      <c r="H226" s="5"/>
      <c r="J226" s="81"/>
      <c r="K226" s="81"/>
      <c r="L226" s="81"/>
      <c r="M226" s="81"/>
      <c r="N226" s="81"/>
      <c r="O226" s="81"/>
      <c r="P226" s="81"/>
      <c r="Q226" s="81"/>
    </row>
    <row r="227" hidden="1" outlineLevel="1" spans="2:17">
      <c r="B227" s="1">
        <v>24</v>
      </c>
      <c r="C227" s="5">
        <v>410400</v>
      </c>
      <c r="D227" s="5"/>
      <c r="E227" s="81">
        <v>1240360</v>
      </c>
      <c r="F227" s="5"/>
      <c r="G227" s="5"/>
      <c r="H227" s="5"/>
      <c r="J227" s="81"/>
      <c r="K227" s="81"/>
      <c r="L227" s="81"/>
      <c r="M227" s="81"/>
      <c r="N227" s="81"/>
      <c r="O227" s="81"/>
      <c r="P227" s="81"/>
      <c r="Q227" s="81"/>
    </row>
    <row r="228" hidden="1" outlineLevel="1" spans="2:17">
      <c r="B228" s="1">
        <v>25</v>
      </c>
      <c r="C228" s="5">
        <v>466560</v>
      </c>
      <c r="D228" s="5"/>
      <c r="E228" s="81">
        <v>1602160</v>
      </c>
      <c r="F228" s="5"/>
      <c r="G228" s="5"/>
      <c r="H228" s="5"/>
      <c r="J228" s="81"/>
      <c r="K228" s="81"/>
      <c r="L228" s="81"/>
      <c r="M228" s="81"/>
      <c r="N228" s="81"/>
      <c r="O228" s="81"/>
      <c r="P228" s="81"/>
      <c r="Q228" s="81"/>
    </row>
    <row r="229" hidden="1" outlineLevel="1" spans="2:17">
      <c r="B229" s="1">
        <v>26</v>
      </c>
      <c r="C229" s="5">
        <v>596160</v>
      </c>
      <c r="D229" s="5"/>
      <c r="E229" s="81">
        <v>2036320</v>
      </c>
      <c r="F229" s="5"/>
      <c r="G229" s="5"/>
      <c r="H229" s="5"/>
      <c r="J229" s="81"/>
      <c r="K229" s="81"/>
      <c r="L229" s="81"/>
      <c r="M229" s="81"/>
      <c r="N229" s="81"/>
      <c r="O229" s="81"/>
      <c r="P229" s="81"/>
      <c r="Q229" s="81"/>
    </row>
    <row r="230" hidden="1" outlineLevel="1" spans="2:17">
      <c r="B230" s="1">
        <v>27</v>
      </c>
      <c r="C230" s="5">
        <v>1468800</v>
      </c>
      <c r="D230" s="5"/>
      <c r="E230" s="81">
        <v>2243680</v>
      </c>
      <c r="F230" s="5"/>
      <c r="G230" s="5"/>
      <c r="H230" s="5"/>
      <c r="J230" s="81"/>
      <c r="K230" s="81"/>
      <c r="L230" s="81"/>
      <c r="M230" s="81"/>
      <c r="N230" s="81"/>
      <c r="O230" s="81"/>
      <c r="P230" s="81"/>
      <c r="Q230" s="81"/>
    </row>
    <row r="231" hidden="1" outlineLevel="1" spans="2:17">
      <c r="B231" s="1">
        <v>28</v>
      </c>
      <c r="C231" s="5">
        <v>1857600</v>
      </c>
      <c r="D231" s="5"/>
      <c r="E231" s="81">
        <v>3550480</v>
      </c>
      <c r="F231" s="5"/>
      <c r="G231" s="5"/>
      <c r="H231" s="5"/>
      <c r="J231" s="81"/>
      <c r="K231" s="81"/>
      <c r="L231" s="81"/>
      <c r="M231" s="81"/>
      <c r="N231" s="81"/>
      <c r="O231" s="81"/>
      <c r="P231" s="81"/>
      <c r="Q231" s="81"/>
    </row>
    <row r="232" hidden="1" outlineLevel="1" spans="2:17">
      <c r="B232" s="1">
        <v>29</v>
      </c>
      <c r="C232" s="5">
        <v>2613600</v>
      </c>
      <c r="D232" s="5"/>
      <c r="E232" s="81">
        <v>4679080</v>
      </c>
      <c r="F232" s="5"/>
      <c r="G232" s="5"/>
      <c r="H232" s="5"/>
      <c r="J232" s="81"/>
      <c r="K232" s="81"/>
      <c r="L232" s="81"/>
      <c r="M232" s="81"/>
      <c r="N232" s="81"/>
      <c r="O232" s="81"/>
      <c r="P232" s="81"/>
      <c r="Q232" s="81"/>
    </row>
    <row r="233" hidden="1" outlineLevel="1" spans="2:17">
      <c r="B233" s="1">
        <v>30</v>
      </c>
      <c r="C233" s="5">
        <v>4700160</v>
      </c>
      <c r="D233" s="5"/>
      <c r="E233" s="81">
        <v>7276480</v>
      </c>
      <c r="F233" s="5"/>
      <c r="G233" s="5"/>
      <c r="H233" s="5"/>
      <c r="J233" s="81"/>
      <c r="K233" s="81"/>
      <c r="L233" s="81"/>
      <c r="M233" s="81"/>
      <c r="N233" s="81"/>
      <c r="O233" s="81"/>
      <c r="P233" s="81"/>
      <c r="Q233" s="81"/>
    </row>
    <row r="234" hidden="1" outlineLevel="1" spans="2:17">
      <c r="B234" s="1">
        <v>31</v>
      </c>
      <c r="C234" s="5">
        <v>5590080</v>
      </c>
      <c r="D234" s="5"/>
      <c r="E234" s="81">
        <v>11944240</v>
      </c>
      <c r="F234" s="5"/>
      <c r="G234" s="5"/>
      <c r="H234" s="5"/>
      <c r="J234" s="81"/>
      <c r="K234" s="81"/>
      <c r="L234" s="81"/>
      <c r="M234" s="81"/>
      <c r="N234" s="81"/>
      <c r="O234" s="81"/>
      <c r="P234" s="81"/>
      <c r="Q234" s="81"/>
    </row>
    <row r="235" hidden="1" outlineLevel="1" spans="2:17">
      <c r="B235" s="1">
        <v>32</v>
      </c>
      <c r="C235" s="5">
        <v>999999999</v>
      </c>
      <c r="D235" s="5"/>
      <c r="E235" s="81">
        <v>999999999</v>
      </c>
      <c r="F235" s="5"/>
      <c r="G235" s="5"/>
      <c r="H235" s="5"/>
      <c r="J235" s="81"/>
      <c r="K235" s="81"/>
      <c r="L235" s="81"/>
      <c r="M235" s="81"/>
      <c r="N235" s="81"/>
      <c r="O235" s="81"/>
      <c r="P235" s="81"/>
      <c r="Q235" s="81"/>
    </row>
    <row r="236" hidden="1" outlineLevel="1" spans="3:19">
      <c r="C236" s="5"/>
      <c r="D236" s="5"/>
      <c r="E236" s="5"/>
      <c r="F236" s="5"/>
      <c r="G236" s="5"/>
      <c r="H236" s="5"/>
      <c r="I236" s="5"/>
      <c r="J236" s="5"/>
      <c r="L236" s="81"/>
      <c r="M236" s="81"/>
      <c r="N236" s="81"/>
      <c r="O236" s="81"/>
      <c r="P236" s="81"/>
      <c r="Q236" s="81"/>
      <c r="R236" s="81"/>
      <c r="S236" s="81"/>
    </row>
    <row r="237" collapsed="1" spans="3:19">
      <c r="C237" s="5"/>
      <c r="D237" s="5"/>
      <c r="E237" s="5"/>
      <c r="F237" s="5"/>
      <c r="G237" s="5"/>
      <c r="H237" s="5"/>
      <c r="I237" s="5"/>
      <c r="J237" s="5"/>
      <c r="L237" s="81"/>
      <c r="M237" s="81"/>
      <c r="N237" s="81"/>
      <c r="O237" s="81"/>
      <c r="P237" s="81"/>
      <c r="Q237" s="81"/>
      <c r="R237" s="81"/>
      <c r="S237" s="81"/>
    </row>
    <row r="239" s="181" customFormat="1" ht="16.75" spans="1:1">
      <c r="A239" s="182" t="s">
        <v>343</v>
      </c>
    </row>
    <row r="240" outlineLevel="1"/>
    <row r="241" outlineLevel="1" spans="2:12">
      <c r="B241" s="27" t="s">
        <v>344</v>
      </c>
      <c r="C241" s="73"/>
      <c r="D241" s="73"/>
      <c r="E241" s="73"/>
      <c r="F241" s="73"/>
      <c r="G241" s="73"/>
      <c r="H241" s="73"/>
      <c r="I241" s="73"/>
      <c r="J241" s="73"/>
      <c r="K241" s="73"/>
      <c r="L241" s="73"/>
    </row>
    <row r="242" outlineLevel="1"/>
    <row r="243" outlineLevel="1"/>
    <row r="244" s="181" customFormat="1" ht="16.75" outlineLevel="1" spans="1:1">
      <c r="A244" s="182" t="s">
        <v>345</v>
      </c>
    </row>
    <row r="245" outlineLevel="1" spans="1:1">
      <c r="A245" s="23"/>
    </row>
    <row r="246" outlineLevel="1" spans="1:12">
      <c r="A246" s="23"/>
      <c r="B246" s="27" t="s">
        <v>344</v>
      </c>
      <c r="C246" s="73"/>
      <c r="D246" s="73"/>
      <c r="E246" s="73"/>
      <c r="F246" s="73"/>
      <c r="G246" s="73"/>
      <c r="H246" s="73"/>
      <c r="I246" s="73"/>
      <c r="J246" s="73"/>
      <c r="K246" s="73"/>
      <c r="L246" s="73"/>
    </row>
    <row r="247" outlineLevel="1"/>
    <row r="248" outlineLevel="1" spans="2:9">
      <c r="B248" s="1" t="s">
        <v>346</v>
      </c>
      <c r="C248" s="5" t="s">
        <v>347</v>
      </c>
      <c r="D248" s="4" t="s">
        <v>348</v>
      </c>
      <c r="E248" s="5"/>
      <c r="G248" s="81"/>
      <c r="H248" s="81"/>
      <c r="I248" s="81"/>
    </row>
    <row r="249" outlineLevel="1" spans="2:4">
      <c r="B249" s="1">
        <v>201</v>
      </c>
      <c r="C249" s="5">
        <v>4300000</v>
      </c>
      <c r="D249" s="4">
        <v>2900000</v>
      </c>
    </row>
    <row r="250" outlineLevel="1" spans="2:4">
      <c r="B250" s="1">
        <v>202</v>
      </c>
      <c r="C250" s="5">
        <v>4300000</v>
      </c>
      <c r="D250" s="4">
        <v>2900000</v>
      </c>
    </row>
    <row r="251" outlineLevel="1" spans="2:4">
      <c r="B251" s="1">
        <v>203</v>
      </c>
      <c r="C251" s="5">
        <v>4400000</v>
      </c>
      <c r="D251" s="4">
        <v>2900000</v>
      </c>
    </row>
    <row r="252" outlineLevel="1" spans="2:4">
      <c r="B252" s="1">
        <v>204</v>
      </c>
      <c r="C252" s="5">
        <v>4400000</v>
      </c>
      <c r="D252" s="4">
        <v>2900000</v>
      </c>
    </row>
    <row r="253" outlineLevel="1" spans="2:4">
      <c r="B253" s="1">
        <v>205</v>
      </c>
      <c r="C253" s="5">
        <v>4400000</v>
      </c>
      <c r="D253" s="4">
        <v>2900000</v>
      </c>
    </row>
    <row r="254" outlineLevel="1" spans="2:4">
      <c r="B254" s="1">
        <v>206</v>
      </c>
      <c r="C254" s="5">
        <v>4400000</v>
      </c>
      <c r="D254" s="4">
        <v>3000000</v>
      </c>
    </row>
    <row r="255" outlineLevel="1" spans="2:4">
      <c r="B255" s="1">
        <v>207</v>
      </c>
      <c r="C255" s="5">
        <v>4400000</v>
      </c>
      <c r="D255" s="4">
        <v>3000000</v>
      </c>
    </row>
    <row r="256" outlineLevel="1" spans="2:4">
      <c r="B256" s="1">
        <v>208</v>
      </c>
      <c r="C256" s="5">
        <v>4500000</v>
      </c>
      <c r="D256" s="4">
        <v>3000000</v>
      </c>
    </row>
    <row r="257" outlineLevel="1" spans="2:4">
      <c r="B257" s="1">
        <v>209</v>
      </c>
      <c r="C257" s="5">
        <v>4500000</v>
      </c>
      <c r="D257" s="4">
        <v>3000000</v>
      </c>
    </row>
    <row r="258" outlineLevel="1" spans="2:4">
      <c r="B258" s="1">
        <v>210</v>
      </c>
      <c r="C258" s="5">
        <v>4500000</v>
      </c>
      <c r="D258" s="4">
        <v>3000000</v>
      </c>
    </row>
    <row r="259" outlineLevel="1" spans="2:4">
      <c r="B259" s="1">
        <v>211</v>
      </c>
      <c r="C259" s="5">
        <v>4500000</v>
      </c>
      <c r="D259" s="4">
        <v>3000000</v>
      </c>
    </row>
    <row r="260" outlineLevel="1" spans="2:4">
      <c r="B260" s="1">
        <v>212</v>
      </c>
      <c r="C260" s="5">
        <v>4600000</v>
      </c>
      <c r="D260" s="4">
        <v>3000000</v>
      </c>
    </row>
    <row r="261" outlineLevel="1" spans="2:4">
      <c r="B261" s="1">
        <v>213</v>
      </c>
      <c r="C261" s="5">
        <v>4600000</v>
      </c>
      <c r="D261" s="4">
        <v>3100000</v>
      </c>
    </row>
    <row r="262" outlineLevel="1" spans="2:4">
      <c r="B262" s="1">
        <v>214</v>
      </c>
      <c r="C262" s="5">
        <v>4600000</v>
      </c>
      <c r="D262" s="4">
        <v>3100000</v>
      </c>
    </row>
    <row r="263" outlineLevel="1" spans="2:4">
      <c r="B263" s="1">
        <v>215</v>
      </c>
      <c r="C263" s="5">
        <v>4600000</v>
      </c>
      <c r="D263" s="4">
        <v>3100000</v>
      </c>
    </row>
    <row r="264" outlineLevel="1" spans="2:4">
      <c r="B264" s="1">
        <v>216</v>
      </c>
      <c r="C264" s="5">
        <v>4600000</v>
      </c>
      <c r="D264" s="4">
        <v>3100000</v>
      </c>
    </row>
    <row r="265" outlineLevel="1" spans="2:4">
      <c r="B265" s="1">
        <v>217</v>
      </c>
      <c r="C265" s="5">
        <v>4700000</v>
      </c>
      <c r="D265" s="4">
        <v>3100000</v>
      </c>
    </row>
    <row r="266" outlineLevel="1" spans="2:4">
      <c r="B266" s="1">
        <v>218</v>
      </c>
      <c r="C266" s="5">
        <v>4700000</v>
      </c>
      <c r="D266" s="4">
        <v>3100000</v>
      </c>
    </row>
    <row r="267" outlineLevel="1" spans="2:4">
      <c r="B267" s="1">
        <v>219</v>
      </c>
      <c r="C267" s="5">
        <v>4700000</v>
      </c>
      <c r="D267" s="4">
        <v>3100000</v>
      </c>
    </row>
    <row r="268" outlineLevel="1" spans="2:4">
      <c r="B268" s="1">
        <v>220</v>
      </c>
      <c r="C268" s="5">
        <v>4700000</v>
      </c>
      <c r="D268" s="4">
        <v>3200000</v>
      </c>
    </row>
    <row r="269" outlineLevel="1" spans="2:4">
      <c r="B269" s="1">
        <v>221</v>
      </c>
      <c r="C269" s="5">
        <v>4800000</v>
      </c>
      <c r="D269" s="4">
        <v>3200000</v>
      </c>
    </row>
    <row r="270" outlineLevel="1" spans="2:4">
      <c r="B270" s="1">
        <v>222</v>
      </c>
      <c r="C270" s="5">
        <v>4800000</v>
      </c>
      <c r="D270" s="4">
        <v>3200000</v>
      </c>
    </row>
    <row r="271" outlineLevel="1" spans="2:4">
      <c r="B271" s="1">
        <v>223</v>
      </c>
      <c r="C271" s="5">
        <v>4800000</v>
      </c>
      <c r="D271" s="4">
        <v>3200000</v>
      </c>
    </row>
    <row r="272" outlineLevel="1" spans="2:4">
      <c r="B272" s="1">
        <v>224</v>
      </c>
      <c r="C272" s="5">
        <v>4800000</v>
      </c>
      <c r="D272" s="4">
        <v>3200000</v>
      </c>
    </row>
    <row r="273" outlineLevel="1" spans="2:4">
      <c r="B273" s="1">
        <v>225</v>
      </c>
      <c r="C273" s="5">
        <v>4800000</v>
      </c>
      <c r="D273" s="4">
        <v>3200000</v>
      </c>
    </row>
    <row r="274" outlineLevel="1" spans="2:4">
      <c r="B274" s="1">
        <v>226</v>
      </c>
      <c r="C274" s="5">
        <v>4900000</v>
      </c>
      <c r="D274" s="4">
        <v>3200000</v>
      </c>
    </row>
    <row r="275" outlineLevel="1" spans="2:4">
      <c r="B275" s="1">
        <v>227</v>
      </c>
      <c r="C275" s="5">
        <v>4900000</v>
      </c>
      <c r="D275" s="4">
        <v>3300000</v>
      </c>
    </row>
    <row r="276" outlineLevel="1" spans="2:4">
      <c r="B276" s="1">
        <v>228</v>
      </c>
      <c r="C276" s="5">
        <v>4900000</v>
      </c>
      <c r="D276" s="4">
        <v>3300000</v>
      </c>
    </row>
    <row r="277" outlineLevel="1" spans="2:4">
      <c r="B277" s="1">
        <v>229</v>
      </c>
      <c r="C277" s="5">
        <v>4900000</v>
      </c>
      <c r="D277" s="4">
        <v>3300000</v>
      </c>
    </row>
    <row r="278" outlineLevel="1" spans="2:4">
      <c r="B278" s="1">
        <v>230</v>
      </c>
      <c r="C278" s="5">
        <v>4900000</v>
      </c>
      <c r="D278" s="4">
        <v>3300000</v>
      </c>
    </row>
    <row r="279" outlineLevel="1" spans="2:4">
      <c r="B279" s="1">
        <v>231</v>
      </c>
      <c r="C279" s="5">
        <v>5000000</v>
      </c>
      <c r="D279" s="4">
        <v>3300000</v>
      </c>
    </row>
    <row r="280" outlineLevel="1" spans="2:4">
      <c r="B280" s="1">
        <v>232</v>
      </c>
      <c r="C280" s="5">
        <v>5000000</v>
      </c>
      <c r="D280" s="4">
        <v>3300000</v>
      </c>
    </row>
    <row r="281" outlineLevel="1" spans="2:4">
      <c r="B281" s="1">
        <v>233</v>
      </c>
      <c r="C281" s="5">
        <v>5000000</v>
      </c>
      <c r="D281" s="4">
        <v>3300000</v>
      </c>
    </row>
    <row r="282" outlineLevel="1" spans="2:4">
      <c r="B282" s="1">
        <v>234</v>
      </c>
      <c r="C282" s="5">
        <v>5000000</v>
      </c>
      <c r="D282" s="4">
        <v>3400000</v>
      </c>
    </row>
    <row r="283" outlineLevel="1" spans="2:4">
      <c r="B283" s="1">
        <v>235</v>
      </c>
      <c r="C283" s="5">
        <v>5100000</v>
      </c>
      <c r="D283" s="4">
        <v>3400000</v>
      </c>
    </row>
    <row r="284" outlineLevel="1" spans="2:4">
      <c r="B284" s="1">
        <v>236</v>
      </c>
      <c r="C284" s="5">
        <v>5100000</v>
      </c>
      <c r="D284" s="4">
        <v>3400000</v>
      </c>
    </row>
    <row r="285" outlineLevel="1" spans="2:4">
      <c r="B285" s="1">
        <v>237</v>
      </c>
      <c r="C285" s="5">
        <v>5100000</v>
      </c>
      <c r="D285" s="4">
        <v>3400000</v>
      </c>
    </row>
    <row r="286" outlineLevel="1" spans="2:4">
      <c r="B286" s="1">
        <v>238</v>
      </c>
      <c r="C286" s="5">
        <v>5100000</v>
      </c>
      <c r="D286" s="4">
        <v>3400000</v>
      </c>
    </row>
    <row r="287" outlineLevel="1" spans="2:4">
      <c r="B287" s="1">
        <v>239</v>
      </c>
      <c r="C287" s="5">
        <v>5100000</v>
      </c>
      <c r="D287" s="4">
        <v>3400000</v>
      </c>
    </row>
    <row r="288" outlineLevel="1" spans="2:4">
      <c r="B288" s="1">
        <v>240</v>
      </c>
      <c r="C288" s="5">
        <v>5200000</v>
      </c>
      <c r="D288" s="4">
        <v>3400000</v>
      </c>
    </row>
    <row r="289" outlineLevel="1" spans="2:4">
      <c r="B289" s="1">
        <v>241</v>
      </c>
      <c r="C289" s="5">
        <v>5200000</v>
      </c>
      <c r="D289" s="4">
        <v>3500000</v>
      </c>
    </row>
    <row r="290" outlineLevel="1" spans="2:4">
      <c r="B290" s="1">
        <v>242</v>
      </c>
      <c r="C290" s="5">
        <v>5200000</v>
      </c>
      <c r="D290" s="4">
        <v>3500000</v>
      </c>
    </row>
    <row r="291" outlineLevel="1" spans="2:4">
      <c r="B291" s="1">
        <v>243</v>
      </c>
      <c r="C291" s="5">
        <v>5200000</v>
      </c>
      <c r="D291" s="4">
        <v>3500000</v>
      </c>
    </row>
    <row r="292" outlineLevel="1" spans="2:4">
      <c r="B292" s="1">
        <v>244</v>
      </c>
      <c r="C292" s="5">
        <v>5200000</v>
      </c>
      <c r="D292" s="4">
        <v>3500000</v>
      </c>
    </row>
    <row r="293" outlineLevel="1" spans="2:4">
      <c r="B293" s="1">
        <v>245</v>
      </c>
      <c r="C293" s="5">
        <v>5300000</v>
      </c>
      <c r="D293" s="4">
        <v>3500000</v>
      </c>
    </row>
    <row r="294" outlineLevel="1" spans="2:4">
      <c r="B294" s="1">
        <v>246</v>
      </c>
      <c r="C294" s="5">
        <v>5300000</v>
      </c>
      <c r="D294" s="4">
        <v>3500000</v>
      </c>
    </row>
    <row r="295" outlineLevel="1" spans="2:4">
      <c r="B295" s="1">
        <v>247</v>
      </c>
      <c r="C295" s="5">
        <v>5300000</v>
      </c>
      <c r="D295" s="4">
        <v>3500000</v>
      </c>
    </row>
    <row r="296" outlineLevel="1" spans="2:4">
      <c r="B296" s="1">
        <v>248</v>
      </c>
      <c r="C296" s="5">
        <v>5300000</v>
      </c>
      <c r="D296" s="4">
        <v>3600000</v>
      </c>
    </row>
    <row r="297" outlineLevel="1" spans="2:4">
      <c r="B297" s="1">
        <v>249</v>
      </c>
      <c r="C297" s="5">
        <v>5400000</v>
      </c>
      <c r="D297" s="4">
        <v>3600000</v>
      </c>
    </row>
    <row r="298" outlineLevel="1" spans="2:4">
      <c r="B298" s="1">
        <v>250</v>
      </c>
      <c r="C298" s="5">
        <v>5400000</v>
      </c>
      <c r="D298" s="4">
        <v>3600000</v>
      </c>
    </row>
    <row r="299" outlineLevel="1" spans="2:4">
      <c r="B299" s="1">
        <v>251</v>
      </c>
      <c r="C299" s="5">
        <v>7200000</v>
      </c>
      <c r="D299" s="4">
        <v>3600000</v>
      </c>
    </row>
    <row r="300" outlineLevel="1" spans="2:4">
      <c r="B300" s="1">
        <v>252</v>
      </c>
      <c r="C300" s="5">
        <v>7200000</v>
      </c>
      <c r="D300" s="4">
        <v>3600000</v>
      </c>
    </row>
    <row r="301" outlineLevel="1" spans="2:4">
      <c r="B301" s="1">
        <v>253</v>
      </c>
      <c r="C301" s="5">
        <v>7300000</v>
      </c>
      <c r="D301" s="4">
        <v>3600000</v>
      </c>
    </row>
    <row r="302" outlineLevel="1" spans="2:4">
      <c r="B302" s="1">
        <v>254</v>
      </c>
      <c r="C302" s="5">
        <v>7300000</v>
      </c>
      <c r="D302" s="4">
        <v>3600000</v>
      </c>
    </row>
    <row r="303" outlineLevel="1" spans="2:4">
      <c r="B303" s="1">
        <v>255</v>
      </c>
      <c r="C303" s="5">
        <v>7300000</v>
      </c>
      <c r="D303" s="4">
        <v>3700000</v>
      </c>
    </row>
    <row r="304" outlineLevel="1" spans="2:4">
      <c r="B304" s="1">
        <v>256</v>
      </c>
      <c r="C304" s="5">
        <v>7300000</v>
      </c>
      <c r="D304" s="4">
        <v>3700000</v>
      </c>
    </row>
    <row r="305" outlineLevel="1" spans="2:4">
      <c r="B305" s="1">
        <v>257</v>
      </c>
      <c r="C305" s="5">
        <v>7400000</v>
      </c>
      <c r="D305" s="4">
        <v>3700000</v>
      </c>
    </row>
    <row r="306" outlineLevel="1" spans="2:4">
      <c r="B306" s="1">
        <v>258</v>
      </c>
      <c r="C306" s="5">
        <v>7400000</v>
      </c>
      <c r="D306" s="4">
        <v>3700000</v>
      </c>
    </row>
    <row r="307" outlineLevel="1" spans="2:4">
      <c r="B307" s="1">
        <v>259</v>
      </c>
      <c r="C307" s="5">
        <v>7400000</v>
      </c>
      <c r="D307" s="4">
        <v>3700000</v>
      </c>
    </row>
    <row r="308" outlineLevel="1" spans="2:4">
      <c r="B308" s="1">
        <v>260</v>
      </c>
      <c r="C308" s="5">
        <v>7500000</v>
      </c>
      <c r="D308" s="4">
        <v>3700000</v>
      </c>
    </row>
    <row r="309" outlineLevel="1" spans="2:4">
      <c r="B309" s="1">
        <v>261</v>
      </c>
      <c r="C309" s="5">
        <v>7500000</v>
      </c>
      <c r="D309" s="4">
        <v>3700000</v>
      </c>
    </row>
    <row r="310" outlineLevel="1" spans="2:4">
      <c r="B310" s="1">
        <v>262</v>
      </c>
      <c r="C310" s="5">
        <v>7500000</v>
      </c>
      <c r="D310" s="4">
        <v>3800000</v>
      </c>
    </row>
    <row r="311" outlineLevel="1" spans="2:4">
      <c r="B311" s="1">
        <v>263</v>
      </c>
      <c r="C311" s="5">
        <v>7500000</v>
      </c>
      <c r="D311" s="4">
        <v>3800000</v>
      </c>
    </row>
    <row r="312" outlineLevel="1" spans="2:4">
      <c r="B312" s="1">
        <v>264</v>
      </c>
      <c r="C312" s="5">
        <v>7600000</v>
      </c>
      <c r="D312" s="4">
        <v>3800000</v>
      </c>
    </row>
    <row r="313" outlineLevel="1" spans="2:4">
      <c r="B313" s="1">
        <v>265</v>
      </c>
      <c r="C313" s="5">
        <v>7600000</v>
      </c>
      <c r="D313" s="4">
        <v>3800000</v>
      </c>
    </row>
    <row r="314" outlineLevel="1" spans="2:4">
      <c r="B314" s="1">
        <v>266</v>
      </c>
      <c r="C314" s="5">
        <v>7600000</v>
      </c>
      <c r="D314" s="4">
        <v>3800000</v>
      </c>
    </row>
    <row r="315" outlineLevel="1" spans="2:4">
      <c r="B315" s="1">
        <v>267</v>
      </c>
      <c r="C315" s="5">
        <v>7700000</v>
      </c>
      <c r="D315" s="4">
        <v>3800000</v>
      </c>
    </row>
    <row r="316" outlineLevel="1" spans="2:4">
      <c r="B316" s="1">
        <v>268</v>
      </c>
      <c r="C316" s="5">
        <v>7700000</v>
      </c>
      <c r="D316" s="4">
        <v>3800000</v>
      </c>
    </row>
    <row r="317" outlineLevel="1" spans="2:4">
      <c r="B317" s="1">
        <v>269</v>
      </c>
      <c r="C317" s="5">
        <v>7700000</v>
      </c>
      <c r="D317" s="4">
        <v>3900000</v>
      </c>
    </row>
    <row r="318" outlineLevel="1" spans="2:4">
      <c r="B318" s="1">
        <v>270</v>
      </c>
      <c r="C318" s="5">
        <v>7700000</v>
      </c>
      <c r="D318" s="4">
        <v>3900000</v>
      </c>
    </row>
    <row r="319" outlineLevel="1" spans="2:4">
      <c r="B319" s="1">
        <v>271</v>
      </c>
      <c r="C319" s="5">
        <v>7800000</v>
      </c>
      <c r="D319" s="4">
        <v>3900000</v>
      </c>
    </row>
    <row r="320" outlineLevel="1" spans="2:4">
      <c r="B320" s="1">
        <v>272</v>
      </c>
      <c r="C320" s="5">
        <v>7800000</v>
      </c>
      <c r="D320" s="4">
        <v>3900000</v>
      </c>
    </row>
    <row r="321" outlineLevel="1" spans="2:4">
      <c r="B321" s="1">
        <v>273</v>
      </c>
      <c r="C321" s="5">
        <v>7800000</v>
      </c>
      <c r="D321" s="4">
        <v>3900000</v>
      </c>
    </row>
    <row r="322" outlineLevel="1" spans="2:4">
      <c r="B322" s="1">
        <v>274</v>
      </c>
      <c r="C322" s="5">
        <v>7900000</v>
      </c>
      <c r="D322" s="4">
        <v>3900000</v>
      </c>
    </row>
    <row r="323" outlineLevel="1" spans="2:4">
      <c r="B323" s="1">
        <v>275</v>
      </c>
      <c r="C323" s="5">
        <v>7900000</v>
      </c>
      <c r="D323" s="4">
        <v>3900000</v>
      </c>
    </row>
    <row r="324" outlineLevel="1" spans="2:4">
      <c r="B324" s="1">
        <v>276</v>
      </c>
      <c r="C324" s="5">
        <v>7900000</v>
      </c>
      <c r="D324" s="4">
        <v>4000000</v>
      </c>
    </row>
    <row r="325" outlineLevel="1" spans="2:4">
      <c r="B325" s="1">
        <v>277</v>
      </c>
      <c r="C325" s="5">
        <v>7900000</v>
      </c>
      <c r="D325" s="4">
        <v>4000000</v>
      </c>
    </row>
    <row r="326" outlineLevel="1" spans="2:4">
      <c r="B326" s="1">
        <v>278</v>
      </c>
      <c r="C326" s="5">
        <v>8000000</v>
      </c>
      <c r="D326" s="4">
        <v>4000000</v>
      </c>
    </row>
    <row r="327" outlineLevel="1" spans="2:4">
      <c r="B327" s="1">
        <v>279</v>
      </c>
      <c r="C327" s="5">
        <v>8000000</v>
      </c>
      <c r="D327" s="4">
        <v>4000000</v>
      </c>
    </row>
    <row r="328" outlineLevel="1" spans="2:4">
      <c r="B328" s="1">
        <v>280</v>
      </c>
      <c r="C328" s="5">
        <v>8000000</v>
      </c>
      <c r="D328" s="4">
        <v>4000000</v>
      </c>
    </row>
    <row r="329" outlineLevel="1" spans="2:4">
      <c r="B329" s="1">
        <v>281</v>
      </c>
      <c r="C329" s="5">
        <v>8100000</v>
      </c>
      <c r="D329" s="4">
        <v>4000000</v>
      </c>
    </row>
    <row r="330" outlineLevel="1" spans="2:4">
      <c r="B330" s="1">
        <v>282</v>
      </c>
      <c r="C330" s="5">
        <v>8100000</v>
      </c>
      <c r="D330" s="4">
        <v>4000000</v>
      </c>
    </row>
    <row r="331" outlineLevel="1" spans="2:4">
      <c r="B331" s="1">
        <v>283</v>
      </c>
      <c r="C331" s="5">
        <v>8100000</v>
      </c>
      <c r="D331" s="4">
        <v>4100000</v>
      </c>
    </row>
    <row r="332" outlineLevel="1" spans="2:4">
      <c r="B332" s="1">
        <v>284</v>
      </c>
      <c r="C332" s="5">
        <v>8200000</v>
      </c>
      <c r="D332" s="4">
        <v>4100000</v>
      </c>
    </row>
    <row r="333" outlineLevel="1" spans="2:4">
      <c r="B333" s="1">
        <v>285</v>
      </c>
      <c r="C333" s="5">
        <v>8200000</v>
      </c>
      <c r="D333" s="4">
        <v>4100000</v>
      </c>
    </row>
    <row r="334" outlineLevel="1" spans="2:4">
      <c r="B334" s="1">
        <v>286</v>
      </c>
      <c r="C334" s="5">
        <v>8200000</v>
      </c>
      <c r="D334" s="4">
        <v>4100000</v>
      </c>
    </row>
    <row r="335" outlineLevel="1" spans="2:4">
      <c r="B335" s="1">
        <v>287</v>
      </c>
      <c r="C335" s="5">
        <v>8200000</v>
      </c>
      <c r="D335" s="4">
        <v>4100000</v>
      </c>
    </row>
    <row r="336" outlineLevel="1" spans="2:4">
      <c r="B336" s="1">
        <v>288</v>
      </c>
      <c r="C336" s="5">
        <v>8300000</v>
      </c>
      <c r="D336" s="4">
        <v>4100000</v>
      </c>
    </row>
    <row r="337" outlineLevel="1" spans="2:4">
      <c r="B337" s="1">
        <v>289</v>
      </c>
      <c r="C337" s="5">
        <v>8300000</v>
      </c>
      <c r="D337" s="4">
        <v>4100000</v>
      </c>
    </row>
    <row r="338" outlineLevel="1" spans="2:4">
      <c r="B338" s="1">
        <v>290</v>
      </c>
      <c r="C338" s="5">
        <v>8300000</v>
      </c>
      <c r="D338" s="4">
        <v>4200000</v>
      </c>
    </row>
    <row r="339" outlineLevel="1" spans="2:4">
      <c r="B339" s="1">
        <v>291</v>
      </c>
      <c r="C339" s="5">
        <v>8400000</v>
      </c>
      <c r="D339" s="4">
        <v>4200000</v>
      </c>
    </row>
    <row r="340" outlineLevel="1" spans="2:4">
      <c r="B340" s="1">
        <v>292</v>
      </c>
      <c r="C340" s="5">
        <v>8400000</v>
      </c>
      <c r="D340" s="4">
        <v>4200000</v>
      </c>
    </row>
    <row r="341" outlineLevel="1" spans="2:4">
      <c r="B341" s="1">
        <v>293</v>
      </c>
      <c r="C341" s="5">
        <v>8400000</v>
      </c>
      <c r="D341" s="4">
        <v>4200000</v>
      </c>
    </row>
    <row r="342" outlineLevel="1" spans="2:4">
      <c r="B342" s="1">
        <v>294</v>
      </c>
      <c r="C342" s="5">
        <v>8400000</v>
      </c>
      <c r="D342" s="4">
        <v>4200000</v>
      </c>
    </row>
    <row r="343" outlineLevel="1" spans="2:4">
      <c r="B343" s="1">
        <v>295</v>
      </c>
      <c r="C343" s="5">
        <v>8500000</v>
      </c>
      <c r="D343" s="4">
        <v>4200000</v>
      </c>
    </row>
    <row r="344" outlineLevel="1" spans="2:4">
      <c r="B344" s="1">
        <v>296</v>
      </c>
      <c r="C344" s="5">
        <v>8500000</v>
      </c>
      <c r="D344" s="4">
        <v>4200000</v>
      </c>
    </row>
    <row r="345" outlineLevel="1" spans="2:4">
      <c r="B345" s="1">
        <v>297</v>
      </c>
      <c r="C345" s="5">
        <v>8500000</v>
      </c>
      <c r="D345" s="4">
        <v>4300000</v>
      </c>
    </row>
    <row r="346" outlineLevel="1" spans="2:4">
      <c r="B346" s="1">
        <v>298</v>
      </c>
      <c r="C346" s="5">
        <v>8600000</v>
      </c>
      <c r="D346" s="4">
        <v>4300000</v>
      </c>
    </row>
    <row r="347" outlineLevel="1" spans="2:4">
      <c r="B347" s="1">
        <v>299</v>
      </c>
      <c r="C347" s="5">
        <v>8600000</v>
      </c>
      <c r="D347" s="4">
        <v>4300000</v>
      </c>
    </row>
    <row r="348" outlineLevel="1" spans="2:4">
      <c r="B348" s="1">
        <v>300</v>
      </c>
      <c r="C348" s="5">
        <v>8600000</v>
      </c>
      <c r="D348" s="4">
        <v>4300000</v>
      </c>
    </row>
    <row r="349" outlineLevel="1" spans="2:4">
      <c r="B349" s="1">
        <v>301</v>
      </c>
      <c r="C349" s="5">
        <v>11000000</v>
      </c>
      <c r="D349" s="4">
        <v>6500000</v>
      </c>
    </row>
    <row r="350" outlineLevel="1" spans="2:4">
      <c r="B350" s="1">
        <v>302</v>
      </c>
      <c r="C350" s="5">
        <v>11000000</v>
      </c>
      <c r="D350" s="4">
        <v>6500000</v>
      </c>
    </row>
    <row r="351" outlineLevel="1" spans="2:4">
      <c r="B351" s="1">
        <v>303</v>
      </c>
      <c r="C351" s="5">
        <v>11000000</v>
      </c>
      <c r="D351" s="4">
        <v>6500000</v>
      </c>
    </row>
    <row r="352" outlineLevel="1" spans="2:4">
      <c r="B352" s="1">
        <v>304</v>
      </c>
      <c r="C352" s="5">
        <v>11000000</v>
      </c>
      <c r="D352" s="4">
        <v>6500000</v>
      </c>
    </row>
    <row r="353" outlineLevel="1" spans="2:4">
      <c r="B353" s="1">
        <v>305</v>
      </c>
      <c r="C353" s="5">
        <v>11000000</v>
      </c>
      <c r="D353" s="4">
        <v>6600000</v>
      </c>
    </row>
    <row r="354" outlineLevel="1" spans="2:4">
      <c r="B354" s="1">
        <v>306</v>
      </c>
      <c r="C354" s="5">
        <v>11000000</v>
      </c>
      <c r="D354" s="4">
        <v>6600000</v>
      </c>
    </row>
    <row r="355" outlineLevel="1" spans="2:4">
      <c r="B355" s="1">
        <v>307</v>
      </c>
      <c r="C355" s="5">
        <v>11000000</v>
      </c>
      <c r="D355" s="4">
        <v>6600000</v>
      </c>
    </row>
    <row r="356" outlineLevel="1" spans="2:4">
      <c r="B356" s="1">
        <v>308</v>
      </c>
      <c r="C356" s="5">
        <v>11000000</v>
      </c>
      <c r="D356" s="4">
        <v>6600000</v>
      </c>
    </row>
    <row r="357" outlineLevel="1" spans="2:4">
      <c r="B357" s="1">
        <v>309</v>
      </c>
      <c r="C357" s="5">
        <v>11000000</v>
      </c>
      <c r="D357" s="4">
        <v>6700000</v>
      </c>
    </row>
    <row r="358" outlineLevel="1" spans="2:4">
      <c r="B358" s="1">
        <v>310</v>
      </c>
      <c r="C358" s="5">
        <v>11000000</v>
      </c>
      <c r="D358" s="4">
        <v>6700000</v>
      </c>
    </row>
    <row r="359" outlineLevel="1" spans="2:4">
      <c r="B359" s="1">
        <v>311</v>
      </c>
      <c r="C359" s="5">
        <v>11000000</v>
      </c>
      <c r="D359" s="4">
        <v>6700000</v>
      </c>
    </row>
    <row r="360" outlineLevel="1" spans="2:4">
      <c r="B360" s="1">
        <v>312</v>
      </c>
      <c r="C360" s="5">
        <v>11000000</v>
      </c>
      <c r="D360" s="4">
        <v>6700000</v>
      </c>
    </row>
    <row r="361" outlineLevel="1" spans="2:4">
      <c r="B361" s="1">
        <v>313</v>
      </c>
      <c r="C361" s="5">
        <v>11000000</v>
      </c>
      <c r="D361" s="4">
        <v>6700000</v>
      </c>
    </row>
    <row r="362" outlineLevel="1" spans="2:4">
      <c r="B362" s="1">
        <v>314</v>
      </c>
      <c r="C362" s="5">
        <v>11000000</v>
      </c>
      <c r="D362" s="4">
        <v>6800000</v>
      </c>
    </row>
    <row r="363" outlineLevel="1" spans="2:4">
      <c r="B363" s="1">
        <v>315</v>
      </c>
      <c r="C363" s="5">
        <v>11000000</v>
      </c>
      <c r="D363" s="4">
        <v>6800000</v>
      </c>
    </row>
    <row r="364" outlineLevel="1" spans="2:4">
      <c r="B364" s="1">
        <v>316</v>
      </c>
      <c r="C364" s="5">
        <v>11000000</v>
      </c>
      <c r="D364" s="4">
        <v>6800000</v>
      </c>
    </row>
    <row r="365" outlineLevel="1" spans="2:4">
      <c r="B365" s="1">
        <v>317</v>
      </c>
      <c r="C365" s="5">
        <v>11000000</v>
      </c>
      <c r="D365" s="4">
        <v>6800000</v>
      </c>
    </row>
    <row r="366" outlineLevel="1" spans="2:4">
      <c r="B366" s="1">
        <v>318</v>
      </c>
      <c r="C366" s="5">
        <v>11000000</v>
      </c>
      <c r="D366" s="4">
        <v>6800000</v>
      </c>
    </row>
    <row r="367" outlineLevel="1" spans="2:4">
      <c r="B367" s="1">
        <v>319</v>
      </c>
      <c r="C367" s="5">
        <v>11000000</v>
      </c>
      <c r="D367" s="4">
        <v>6900000</v>
      </c>
    </row>
    <row r="368" outlineLevel="1" spans="2:4">
      <c r="B368" s="1">
        <v>320</v>
      </c>
      <c r="C368" s="5">
        <v>11000000</v>
      </c>
      <c r="D368" s="4">
        <v>6900000</v>
      </c>
    </row>
    <row r="369" outlineLevel="1" spans="2:4">
      <c r="B369" s="1">
        <v>321</v>
      </c>
      <c r="C369" s="5">
        <v>12000000</v>
      </c>
      <c r="D369" s="4">
        <v>6900000</v>
      </c>
    </row>
    <row r="370" outlineLevel="1" spans="2:4">
      <c r="B370" s="1">
        <v>322</v>
      </c>
      <c r="C370" s="5">
        <v>12000000</v>
      </c>
      <c r="D370" s="4">
        <v>6900000</v>
      </c>
    </row>
    <row r="371" outlineLevel="1" spans="2:4">
      <c r="B371" s="1">
        <v>323</v>
      </c>
      <c r="C371" s="5">
        <v>12000000</v>
      </c>
      <c r="D371" s="4">
        <v>7000000</v>
      </c>
    </row>
    <row r="372" outlineLevel="1" spans="2:4">
      <c r="B372" s="1">
        <v>324</v>
      </c>
      <c r="C372" s="5">
        <v>12000000</v>
      </c>
      <c r="D372" s="4">
        <v>7000000</v>
      </c>
    </row>
    <row r="373" outlineLevel="1" spans="2:4">
      <c r="B373" s="1">
        <v>325</v>
      </c>
      <c r="C373" s="5">
        <v>12000000</v>
      </c>
      <c r="D373" s="4">
        <v>7000000</v>
      </c>
    </row>
    <row r="374" outlineLevel="1" spans="2:4">
      <c r="B374" s="1">
        <v>326</v>
      </c>
      <c r="C374" s="5">
        <v>12000000</v>
      </c>
      <c r="D374" s="4">
        <v>7000000</v>
      </c>
    </row>
    <row r="375" outlineLevel="1" spans="2:4">
      <c r="B375" s="1">
        <v>327</v>
      </c>
      <c r="C375" s="5">
        <v>12000000</v>
      </c>
      <c r="D375" s="4">
        <v>7000000</v>
      </c>
    </row>
    <row r="376" outlineLevel="1" spans="2:4">
      <c r="B376" s="1">
        <v>328</v>
      </c>
      <c r="C376" s="5">
        <v>12000000</v>
      </c>
      <c r="D376" s="4">
        <v>7100000</v>
      </c>
    </row>
    <row r="377" outlineLevel="1" spans="2:4">
      <c r="B377" s="1">
        <v>329</v>
      </c>
      <c r="C377" s="5">
        <v>12000000</v>
      </c>
      <c r="D377" s="4">
        <v>7100000</v>
      </c>
    </row>
    <row r="378" outlineLevel="1" spans="2:4">
      <c r="B378" s="1">
        <v>330</v>
      </c>
      <c r="C378" s="5">
        <v>12000000</v>
      </c>
      <c r="D378" s="4">
        <v>7100000</v>
      </c>
    </row>
    <row r="379" outlineLevel="1" spans="2:4">
      <c r="B379" s="1">
        <v>331</v>
      </c>
      <c r="C379" s="5">
        <v>12000000</v>
      </c>
      <c r="D379" s="4">
        <v>7100000</v>
      </c>
    </row>
    <row r="380" outlineLevel="1" spans="2:4">
      <c r="B380" s="1">
        <v>332</v>
      </c>
      <c r="C380" s="5">
        <v>12000000</v>
      </c>
      <c r="D380" s="4">
        <v>7100000</v>
      </c>
    </row>
    <row r="381" outlineLevel="1" spans="2:4">
      <c r="B381" s="1">
        <v>333</v>
      </c>
      <c r="C381" s="5">
        <v>12000000</v>
      </c>
      <c r="D381" s="4">
        <v>7200000</v>
      </c>
    </row>
    <row r="382" outlineLevel="1" spans="2:4">
      <c r="B382" s="1">
        <v>334</v>
      </c>
      <c r="C382" s="5">
        <v>12000000</v>
      </c>
      <c r="D382" s="4">
        <v>7200000</v>
      </c>
    </row>
    <row r="383" outlineLevel="1" spans="2:4">
      <c r="B383" s="1">
        <v>335</v>
      </c>
      <c r="C383" s="5">
        <v>12000000</v>
      </c>
      <c r="D383" s="4">
        <v>7200000</v>
      </c>
    </row>
    <row r="384" outlineLevel="1" spans="2:4">
      <c r="B384" s="1">
        <v>336</v>
      </c>
      <c r="C384" s="5">
        <v>12000000</v>
      </c>
      <c r="D384" s="4">
        <v>7200000</v>
      </c>
    </row>
    <row r="385" outlineLevel="1" spans="2:4">
      <c r="B385" s="1">
        <v>337</v>
      </c>
      <c r="C385" s="5">
        <v>12000000</v>
      </c>
      <c r="D385" s="4">
        <v>7300000</v>
      </c>
    </row>
    <row r="386" outlineLevel="1" spans="2:4">
      <c r="B386" s="1">
        <v>338</v>
      </c>
      <c r="C386" s="5">
        <v>12000000</v>
      </c>
      <c r="D386" s="4">
        <v>7300000</v>
      </c>
    </row>
    <row r="387" outlineLevel="1" spans="2:4">
      <c r="B387" s="1">
        <v>339</v>
      </c>
      <c r="C387" s="5">
        <v>12000000</v>
      </c>
      <c r="D387" s="4">
        <v>7300000</v>
      </c>
    </row>
    <row r="388" outlineLevel="1" spans="2:4">
      <c r="B388" s="1">
        <v>340</v>
      </c>
      <c r="C388" s="5">
        <v>12000000</v>
      </c>
      <c r="D388" s="4">
        <v>7300000</v>
      </c>
    </row>
    <row r="389" outlineLevel="1" spans="2:4">
      <c r="B389" s="1">
        <v>341</v>
      </c>
      <c r="C389" s="5">
        <v>12000000</v>
      </c>
      <c r="D389" s="4">
        <v>7300000</v>
      </c>
    </row>
    <row r="390" outlineLevel="1" spans="2:4">
      <c r="B390" s="1">
        <v>342</v>
      </c>
      <c r="C390" s="5">
        <v>12000000</v>
      </c>
      <c r="D390" s="4">
        <v>7400000</v>
      </c>
    </row>
    <row r="391" outlineLevel="1" spans="2:4">
      <c r="B391" s="1">
        <v>343</v>
      </c>
      <c r="C391" s="5">
        <v>12000000</v>
      </c>
      <c r="D391" s="4">
        <v>7400000</v>
      </c>
    </row>
    <row r="392" outlineLevel="1" spans="2:4">
      <c r="B392" s="1">
        <v>344</v>
      </c>
      <c r="C392" s="5">
        <v>12000000</v>
      </c>
      <c r="D392" s="4">
        <v>7400000</v>
      </c>
    </row>
    <row r="393" outlineLevel="1" spans="2:4">
      <c r="B393" s="1">
        <v>345</v>
      </c>
      <c r="C393" s="5">
        <v>12000000</v>
      </c>
      <c r="D393" s="4">
        <v>7400000</v>
      </c>
    </row>
    <row r="394" outlineLevel="1" spans="2:4">
      <c r="B394" s="1">
        <v>346</v>
      </c>
      <c r="C394" s="5">
        <v>12000000</v>
      </c>
      <c r="D394" s="4">
        <v>7500000</v>
      </c>
    </row>
    <row r="395" outlineLevel="1" spans="2:4">
      <c r="B395" s="1">
        <v>347</v>
      </c>
      <c r="C395" s="5">
        <v>12000000</v>
      </c>
      <c r="D395" s="4">
        <v>7500000</v>
      </c>
    </row>
    <row r="396" outlineLevel="1" spans="2:4">
      <c r="B396" s="1">
        <v>348</v>
      </c>
      <c r="C396" s="5">
        <v>12000000</v>
      </c>
      <c r="D396" s="4">
        <v>7500000</v>
      </c>
    </row>
    <row r="397" outlineLevel="1" spans="2:4">
      <c r="B397" s="1">
        <v>349</v>
      </c>
      <c r="C397" s="5">
        <v>13000000</v>
      </c>
      <c r="D397" s="4">
        <v>7500000</v>
      </c>
    </row>
    <row r="398" outlineLevel="1" spans="2:4">
      <c r="B398" s="1">
        <v>350</v>
      </c>
      <c r="C398" s="5">
        <v>13000000</v>
      </c>
      <c r="D398" s="4">
        <v>7500000</v>
      </c>
    </row>
    <row r="399" outlineLevel="1" spans="2:4">
      <c r="B399" s="1">
        <v>351</v>
      </c>
      <c r="C399" s="5">
        <v>13000000</v>
      </c>
      <c r="D399" s="4">
        <v>7600000</v>
      </c>
    </row>
    <row r="400" outlineLevel="1" spans="2:4">
      <c r="B400" s="1">
        <v>352</v>
      </c>
      <c r="C400" s="5">
        <v>13000000</v>
      </c>
      <c r="D400" s="4">
        <v>7600000</v>
      </c>
    </row>
    <row r="401" outlineLevel="1" spans="2:4">
      <c r="B401" s="1">
        <v>353</v>
      </c>
      <c r="C401" s="5">
        <v>13000000</v>
      </c>
      <c r="D401" s="4">
        <v>7600000</v>
      </c>
    </row>
    <row r="402" outlineLevel="1" spans="2:4">
      <c r="B402" s="1">
        <v>354</v>
      </c>
      <c r="C402" s="5">
        <v>13000000</v>
      </c>
      <c r="D402" s="4">
        <v>7600000</v>
      </c>
    </row>
    <row r="403" outlineLevel="1" spans="2:4">
      <c r="B403" s="1">
        <v>355</v>
      </c>
      <c r="C403" s="5">
        <v>13000000</v>
      </c>
      <c r="D403" s="4">
        <v>7600000</v>
      </c>
    </row>
    <row r="404" outlineLevel="1" spans="2:4">
      <c r="B404" s="1">
        <v>356</v>
      </c>
      <c r="C404" s="5">
        <v>13000000</v>
      </c>
      <c r="D404" s="4">
        <v>7700000</v>
      </c>
    </row>
    <row r="405" outlineLevel="1" spans="2:4">
      <c r="B405" s="1">
        <v>357</v>
      </c>
      <c r="C405" s="5">
        <v>13000000</v>
      </c>
      <c r="D405" s="4">
        <v>7700000</v>
      </c>
    </row>
    <row r="406" outlineLevel="1" spans="2:4">
      <c r="B406" s="1">
        <v>358</v>
      </c>
      <c r="C406" s="5">
        <v>13000000</v>
      </c>
      <c r="D406" s="4">
        <v>7700000</v>
      </c>
    </row>
    <row r="407" outlineLevel="1" spans="2:4">
      <c r="B407" s="1">
        <v>359</v>
      </c>
      <c r="C407" s="5">
        <v>13000000</v>
      </c>
      <c r="D407" s="4">
        <v>7700000</v>
      </c>
    </row>
    <row r="408" outlineLevel="1" spans="2:4">
      <c r="B408" s="1">
        <v>360</v>
      </c>
      <c r="C408" s="5">
        <v>13000000</v>
      </c>
      <c r="D408" s="4">
        <v>7800000</v>
      </c>
    </row>
    <row r="409" outlineLevel="1" spans="2:4">
      <c r="B409" s="1">
        <v>361</v>
      </c>
      <c r="C409" s="5">
        <v>13000000</v>
      </c>
      <c r="D409" s="4">
        <v>7800000</v>
      </c>
    </row>
    <row r="410" outlineLevel="1" spans="2:4">
      <c r="B410" s="1">
        <v>362</v>
      </c>
      <c r="C410" s="5">
        <v>13000000</v>
      </c>
      <c r="D410" s="4">
        <v>7800000</v>
      </c>
    </row>
    <row r="411" outlineLevel="1" spans="2:4">
      <c r="B411" s="1">
        <v>363</v>
      </c>
      <c r="C411" s="5">
        <v>13000000</v>
      </c>
      <c r="D411" s="4">
        <v>7800000</v>
      </c>
    </row>
    <row r="412" outlineLevel="1" spans="2:4">
      <c r="B412" s="1">
        <v>364</v>
      </c>
      <c r="C412" s="5">
        <v>13000000</v>
      </c>
      <c r="D412" s="4">
        <v>7800000</v>
      </c>
    </row>
    <row r="413" outlineLevel="1" spans="2:4">
      <c r="B413" s="1">
        <v>365</v>
      </c>
      <c r="C413" s="5">
        <v>13000000</v>
      </c>
      <c r="D413" s="4">
        <v>7900000</v>
      </c>
    </row>
    <row r="414" outlineLevel="1" spans="2:4">
      <c r="B414" s="1">
        <v>366</v>
      </c>
      <c r="C414" s="5">
        <v>13000000</v>
      </c>
      <c r="D414" s="4">
        <v>7900000</v>
      </c>
    </row>
    <row r="415" outlineLevel="1" spans="2:4">
      <c r="B415" s="1">
        <v>367</v>
      </c>
      <c r="C415" s="5">
        <v>13000000</v>
      </c>
      <c r="D415" s="4">
        <v>7900000</v>
      </c>
    </row>
    <row r="416" outlineLevel="1" spans="2:4">
      <c r="B416" s="1">
        <v>368</v>
      </c>
      <c r="C416" s="5">
        <v>13000000</v>
      </c>
      <c r="D416" s="4">
        <v>7900000</v>
      </c>
    </row>
    <row r="417" outlineLevel="1" spans="2:4">
      <c r="B417" s="1">
        <v>369</v>
      </c>
      <c r="C417" s="5">
        <v>13000000</v>
      </c>
      <c r="D417" s="4">
        <v>7900000</v>
      </c>
    </row>
    <row r="418" outlineLevel="1" spans="2:4">
      <c r="B418" s="1">
        <v>370</v>
      </c>
      <c r="C418" s="5">
        <v>13000000</v>
      </c>
      <c r="D418" s="4">
        <v>8000000</v>
      </c>
    </row>
    <row r="419" outlineLevel="1" spans="2:4">
      <c r="B419" s="1">
        <v>371</v>
      </c>
      <c r="C419" s="5">
        <v>13000000</v>
      </c>
      <c r="D419" s="4">
        <v>8000000</v>
      </c>
    </row>
    <row r="420" outlineLevel="1" spans="2:4">
      <c r="B420" s="1">
        <v>372</v>
      </c>
      <c r="C420" s="5">
        <v>13000000</v>
      </c>
      <c r="D420" s="4">
        <v>8000000</v>
      </c>
    </row>
    <row r="421" outlineLevel="1" spans="2:4">
      <c r="B421" s="1">
        <v>373</v>
      </c>
      <c r="C421" s="5">
        <v>13000000</v>
      </c>
      <c r="D421" s="4">
        <v>8000000</v>
      </c>
    </row>
    <row r="422" outlineLevel="1" spans="2:4">
      <c r="B422" s="1">
        <v>374</v>
      </c>
      <c r="C422" s="5">
        <v>13000000</v>
      </c>
      <c r="D422" s="4">
        <v>8100000</v>
      </c>
    </row>
    <row r="423" outlineLevel="1" spans="2:4">
      <c r="B423" s="1">
        <v>375</v>
      </c>
      <c r="C423" s="5">
        <v>13000000</v>
      </c>
      <c r="D423" s="4">
        <v>8100000</v>
      </c>
    </row>
    <row r="424" outlineLevel="1" spans="2:4">
      <c r="B424" s="1">
        <v>376</v>
      </c>
      <c r="C424" s="5">
        <v>14000000</v>
      </c>
      <c r="D424" s="4">
        <v>8100000</v>
      </c>
    </row>
    <row r="425" outlineLevel="1" spans="2:4">
      <c r="B425" s="1">
        <v>377</v>
      </c>
      <c r="C425" s="5">
        <v>14000000</v>
      </c>
      <c r="D425" s="4">
        <v>8100000</v>
      </c>
    </row>
    <row r="426" outlineLevel="1" spans="2:4">
      <c r="B426" s="1">
        <v>378</v>
      </c>
      <c r="C426" s="5">
        <v>14000000</v>
      </c>
      <c r="D426" s="4">
        <v>8100000</v>
      </c>
    </row>
    <row r="427" outlineLevel="1" spans="2:4">
      <c r="B427" s="1">
        <v>379</v>
      </c>
      <c r="C427" s="5">
        <v>14000000</v>
      </c>
      <c r="D427" s="4">
        <v>8200000</v>
      </c>
    </row>
    <row r="428" outlineLevel="1" spans="2:4">
      <c r="B428" s="1">
        <v>380</v>
      </c>
      <c r="C428" s="5">
        <v>14000000</v>
      </c>
      <c r="D428" s="4">
        <v>8200000</v>
      </c>
    </row>
    <row r="429" outlineLevel="1" spans="2:4">
      <c r="B429" s="1">
        <v>381</v>
      </c>
      <c r="C429" s="5">
        <v>14000000</v>
      </c>
      <c r="D429" s="4">
        <v>8200000</v>
      </c>
    </row>
    <row r="430" outlineLevel="1" spans="2:4">
      <c r="B430" s="1">
        <v>382</v>
      </c>
      <c r="C430" s="5">
        <v>14000000</v>
      </c>
      <c r="D430" s="4">
        <v>8200000</v>
      </c>
    </row>
    <row r="431" outlineLevel="1" spans="2:4">
      <c r="B431" s="1">
        <v>383</v>
      </c>
      <c r="C431" s="5">
        <v>14000000</v>
      </c>
      <c r="D431" s="4">
        <v>8300000</v>
      </c>
    </row>
    <row r="432" outlineLevel="1" spans="2:4">
      <c r="B432" s="1">
        <v>384</v>
      </c>
      <c r="C432" s="5">
        <v>14000000</v>
      </c>
      <c r="D432" s="4">
        <v>8300000</v>
      </c>
    </row>
    <row r="433" outlineLevel="1" spans="2:4">
      <c r="B433" s="1">
        <v>385</v>
      </c>
      <c r="C433" s="5">
        <v>14000000</v>
      </c>
      <c r="D433" s="4">
        <v>8300000</v>
      </c>
    </row>
    <row r="434" outlineLevel="1" spans="2:4">
      <c r="B434" s="1">
        <v>386</v>
      </c>
      <c r="C434" s="5">
        <v>14000000</v>
      </c>
      <c r="D434" s="4">
        <v>8300000</v>
      </c>
    </row>
    <row r="435" outlineLevel="1" spans="2:4">
      <c r="B435" s="1">
        <v>387</v>
      </c>
      <c r="C435" s="5">
        <v>14000000</v>
      </c>
      <c r="D435" s="4">
        <v>8300000</v>
      </c>
    </row>
    <row r="436" outlineLevel="1" spans="2:4">
      <c r="B436" s="1">
        <v>388</v>
      </c>
      <c r="C436" s="5">
        <v>14000000</v>
      </c>
      <c r="D436" s="4">
        <v>8400000</v>
      </c>
    </row>
    <row r="437" outlineLevel="1" spans="2:4">
      <c r="B437" s="1">
        <v>389</v>
      </c>
      <c r="C437" s="5">
        <v>14000000</v>
      </c>
      <c r="D437" s="4">
        <v>8400000</v>
      </c>
    </row>
    <row r="438" outlineLevel="1" spans="2:4">
      <c r="B438" s="1">
        <v>390</v>
      </c>
      <c r="C438" s="5">
        <v>14000000</v>
      </c>
      <c r="D438" s="4">
        <v>8400000</v>
      </c>
    </row>
    <row r="439" outlineLevel="1" spans="2:4">
      <c r="B439" s="1">
        <v>391</v>
      </c>
      <c r="C439" s="5">
        <v>14000000</v>
      </c>
      <c r="D439" s="4">
        <v>8400000</v>
      </c>
    </row>
    <row r="440" outlineLevel="1" spans="2:4">
      <c r="B440" s="1">
        <v>392</v>
      </c>
      <c r="C440" s="5">
        <v>14000000</v>
      </c>
      <c r="D440" s="4">
        <v>8400000</v>
      </c>
    </row>
    <row r="441" outlineLevel="1" spans="2:4">
      <c r="B441" s="1">
        <v>393</v>
      </c>
      <c r="C441" s="5">
        <v>14000000</v>
      </c>
      <c r="D441" s="4">
        <v>8500000</v>
      </c>
    </row>
    <row r="442" outlineLevel="1" spans="2:4">
      <c r="B442" s="1">
        <v>394</v>
      </c>
      <c r="C442" s="5">
        <v>14000000</v>
      </c>
      <c r="D442" s="4">
        <v>8500000</v>
      </c>
    </row>
    <row r="443" outlineLevel="1" spans="2:4">
      <c r="B443" s="1">
        <v>395</v>
      </c>
      <c r="C443" s="5">
        <v>14000000</v>
      </c>
      <c r="D443" s="4">
        <v>8500000</v>
      </c>
    </row>
    <row r="444" outlineLevel="1" spans="2:4">
      <c r="B444" s="1">
        <v>396</v>
      </c>
      <c r="C444" s="5">
        <v>14000000</v>
      </c>
      <c r="D444" s="4">
        <v>8500000</v>
      </c>
    </row>
    <row r="445" outlineLevel="1" spans="2:4">
      <c r="B445" s="1">
        <v>397</v>
      </c>
      <c r="C445" s="5">
        <v>14000000</v>
      </c>
      <c r="D445" s="4">
        <v>8600000</v>
      </c>
    </row>
    <row r="446" outlineLevel="1" spans="2:4">
      <c r="B446" s="1">
        <v>398</v>
      </c>
      <c r="C446" s="5">
        <v>14000000</v>
      </c>
      <c r="D446" s="4">
        <v>8600000</v>
      </c>
    </row>
    <row r="447" outlineLevel="1" spans="2:4">
      <c r="B447" s="1">
        <v>399</v>
      </c>
      <c r="C447" s="5">
        <v>14000000</v>
      </c>
      <c r="D447" s="4">
        <v>8600000</v>
      </c>
    </row>
    <row r="448" outlineLevel="1" spans="2:4">
      <c r="B448" s="1">
        <v>400</v>
      </c>
      <c r="C448" s="5">
        <v>14000000</v>
      </c>
      <c r="D448" s="4">
        <v>8600000</v>
      </c>
    </row>
    <row r="449" outlineLevel="1" spans="2:4">
      <c r="B449" s="1">
        <v>401</v>
      </c>
      <c r="C449" s="5">
        <v>17000000</v>
      </c>
      <c r="D449" s="4">
        <v>12000000</v>
      </c>
    </row>
    <row r="450" outlineLevel="1" spans="2:4">
      <c r="B450" s="1">
        <v>402</v>
      </c>
      <c r="C450" s="5">
        <v>17000000</v>
      </c>
      <c r="D450" s="4">
        <v>12000000</v>
      </c>
    </row>
    <row r="451" outlineLevel="1" spans="2:4">
      <c r="B451" s="1">
        <v>403</v>
      </c>
      <c r="C451" s="5">
        <v>17000000</v>
      </c>
      <c r="D451" s="4">
        <v>12000000</v>
      </c>
    </row>
    <row r="452" outlineLevel="1" spans="2:4">
      <c r="B452" s="1">
        <v>404</v>
      </c>
      <c r="C452" s="5">
        <v>17000000</v>
      </c>
      <c r="D452" s="4">
        <v>12000000</v>
      </c>
    </row>
    <row r="453" outlineLevel="1" spans="2:4">
      <c r="B453" s="1">
        <v>405</v>
      </c>
      <c r="C453" s="5">
        <v>17000000</v>
      </c>
      <c r="D453" s="4">
        <v>12000000</v>
      </c>
    </row>
    <row r="454" outlineLevel="1" spans="2:4">
      <c r="B454" s="1">
        <v>406</v>
      </c>
      <c r="C454" s="5">
        <v>17000000</v>
      </c>
      <c r="D454" s="4">
        <v>12000000</v>
      </c>
    </row>
    <row r="455" outlineLevel="1" spans="2:4">
      <c r="B455" s="1">
        <v>407</v>
      </c>
      <c r="C455" s="5">
        <v>18000000</v>
      </c>
      <c r="D455" s="4">
        <v>12000000</v>
      </c>
    </row>
    <row r="456" outlineLevel="1" spans="2:4">
      <c r="B456" s="1">
        <v>408</v>
      </c>
      <c r="C456" s="5">
        <v>18000000</v>
      </c>
      <c r="D456" s="4">
        <v>12000000</v>
      </c>
    </row>
    <row r="457" outlineLevel="1" spans="2:4">
      <c r="B457" s="1">
        <v>409</v>
      </c>
      <c r="C457" s="5">
        <v>18000000</v>
      </c>
      <c r="D457" s="4">
        <v>12000000</v>
      </c>
    </row>
    <row r="458" outlineLevel="1" spans="2:4">
      <c r="B458" s="1">
        <v>410</v>
      </c>
      <c r="C458" s="5">
        <v>18000000</v>
      </c>
      <c r="D458" s="4">
        <v>12000000</v>
      </c>
    </row>
    <row r="459" outlineLevel="1" spans="2:4">
      <c r="B459" s="1">
        <v>411</v>
      </c>
      <c r="C459" s="5">
        <v>18000000</v>
      </c>
      <c r="D459" s="4">
        <v>12000000</v>
      </c>
    </row>
    <row r="460" outlineLevel="1" spans="2:4">
      <c r="B460" s="1">
        <v>412</v>
      </c>
      <c r="C460" s="5">
        <v>18000000</v>
      </c>
      <c r="D460" s="4">
        <v>12000000</v>
      </c>
    </row>
    <row r="461" outlineLevel="1" spans="2:4">
      <c r="B461" s="1">
        <v>413</v>
      </c>
      <c r="C461" s="5">
        <v>18000000</v>
      </c>
      <c r="D461" s="4">
        <v>12000000</v>
      </c>
    </row>
    <row r="462" outlineLevel="1" spans="2:4">
      <c r="B462" s="1">
        <v>414</v>
      </c>
      <c r="C462" s="5">
        <v>18000000</v>
      </c>
      <c r="D462" s="4">
        <v>12000000</v>
      </c>
    </row>
    <row r="463" outlineLevel="1" spans="2:4">
      <c r="B463" s="1">
        <v>415</v>
      </c>
      <c r="C463" s="5">
        <v>18000000</v>
      </c>
      <c r="D463" s="4">
        <v>12000000</v>
      </c>
    </row>
    <row r="464" outlineLevel="1" spans="2:4">
      <c r="B464" s="1">
        <v>416</v>
      </c>
      <c r="C464" s="5">
        <v>18000000</v>
      </c>
      <c r="D464" s="4">
        <v>12000000</v>
      </c>
    </row>
    <row r="465" outlineLevel="1" spans="2:4">
      <c r="B465" s="1">
        <v>417</v>
      </c>
      <c r="C465" s="5">
        <v>18000000</v>
      </c>
      <c r="D465" s="4">
        <v>12000000</v>
      </c>
    </row>
    <row r="466" outlineLevel="1" spans="2:4">
      <c r="B466" s="1">
        <v>418</v>
      </c>
      <c r="C466" s="5">
        <v>18000000</v>
      </c>
      <c r="D466" s="4">
        <v>12000000</v>
      </c>
    </row>
    <row r="467" outlineLevel="1" spans="2:4">
      <c r="B467" s="1">
        <v>419</v>
      </c>
      <c r="C467" s="5">
        <v>18000000</v>
      </c>
      <c r="D467" s="4">
        <v>12000000</v>
      </c>
    </row>
    <row r="468" outlineLevel="1" spans="2:4">
      <c r="B468" s="1">
        <v>420</v>
      </c>
      <c r="C468" s="5">
        <v>18000000</v>
      </c>
      <c r="D468" s="4">
        <v>12000000</v>
      </c>
    </row>
    <row r="469" outlineLevel="1" spans="2:4">
      <c r="B469" s="1">
        <v>421</v>
      </c>
      <c r="C469" s="5">
        <v>18000000</v>
      </c>
      <c r="D469" s="4">
        <v>12000000</v>
      </c>
    </row>
    <row r="470" outlineLevel="1" spans="2:4">
      <c r="B470" s="1">
        <v>422</v>
      </c>
      <c r="C470" s="5">
        <v>18000000</v>
      </c>
      <c r="D470" s="4">
        <v>12000000</v>
      </c>
    </row>
    <row r="471" outlineLevel="1" spans="2:4">
      <c r="B471" s="1">
        <v>423</v>
      </c>
      <c r="C471" s="5">
        <v>18000000</v>
      </c>
      <c r="D471" s="4">
        <v>12000000</v>
      </c>
    </row>
    <row r="472" outlineLevel="1" spans="2:4">
      <c r="B472" s="1">
        <v>424</v>
      </c>
      <c r="C472" s="5">
        <v>18000000</v>
      </c>
      <c r="D472" s="4">
        <v>12000000</v>
      </c>
    </row>
    <row r="473" outlineLevel="1" spans="2:4">
      <c r="B473" s="1">
        <v>425</v>
      </c>
      <c r="C473" s="5">
        <v>18000000</v>
      </c>
      <c r="D473" s="4">
        <v>12000000</v>
      </c>
    </row>
    <row r="474" outlineLevel="1" spans="2:4">
      <c r="B474" s="1">
        <v>426</v>
      </c>
      <c r="C474" s="5">
        <v>18000000</v>
      </c>
      <c r="D474" s="4">
        <v>12000000</v>
      </c>
    </row>
    <row r="475" outlineLevel="1" spans="2:4">
      <c r="B475" s="1">
        <v>427</v>
      </c>
      <c r="C475" s="5">
        <v>18000000</v>
      </c>
      <c r="D475" s="4">
        <v>12000000</v>
      </c>
    </row>
    <row r="476" outlineLevel="1" spans="2:4">
      <c r="B476" s="1">
        <v>428</v>
      </c>
      <c r="C476" s="5">
        <v>18000000</v>
      </c>
      <c r="D476" s="4">
        <v>12000000</v>
      </c>
    </row>
    <row r="477" outlineLevel="1" spans="2:4">
      <c r="B477" s="1">
        <v>429</v>
      </c>
      <c r="C477" s="5">
        <v>18000000</v>
      </c>
      <c r="D477" s="4">
        <v>12000000</v>
      </c>
    </row>
    <row r="478" outlineLevel="1" spans="2:4">
      <c r="B478" s="1">
        <v>430</v>
      </c>
      <c r="C478" s="5">
        <v>19000000</v>
      </c>
      <c r="D478" s="4">
        <v>12000000</v>
      </c>
    </row>
    <row r="479" outlineLevel="1" spans="2:4">
      <c r="B479" s="1">
        <v>431</v>
      </c>
      <c r="C479" s="5">
        <v>19000000</v>
      </c>
      <c r="D479" s="4">
        <v>12000000</v>
      </c>
    </row>
    <row r="480" outlineLevel="1" spans="2:4">
      <c r="B480" s="1">
        <v>432</v>
      </c>
      <c r="C480" s="5">
        <v>19000000</v>
      </c>
      <c r="D480" s="4">
        <v>12000000</v>
      </c>
    </row>
    <row r="481" outlineLevel="1" spans="2:4">
      <c r="B481" s="1">
        <v>433</v>
      </c>
      <c r="C481" s="5">
        <v>19000000</v>
      </c>
      <c r="D481" s="4">
        <v>12000000</v>
      </c>
    </row>
    <row r="482" outlineLevel="1" spans="2:4">
      <c r="B482" s="1">
        <v>434</v>
      </c>
      <c r="C482" s="5">
        <v>19000000</v>
      </c>
      <c r="D482" s="4">
        <v>12000000</v>
      </c>
    </row>
    <row r="483" outlineLevel="1" spans="2:4">
      <c r="B483" s="1">
        <v>435</v>
      </c>
      <c r="C483" s="5">
        <v>19000000</v>
      </c>
      <c r="D483" s="4">
        <v>12000000</v>
      </c>
    </row>
    <row r="484" outlineLevel="1" spans="2:4">
      <c r="B484" s="1">
        <v>436</v>
      </c>
      <c r="C484" s="5">
        <v>19000000</v>
      </c>
      <c r="D484" s="4">
        <v>13000000</v>
      </c>
    </row>
    <row r="485" outlineLevel="1" spans="2:4">
      <c r="B485" s="1">
        <v>437</v>
      </c>
      <c r="C485" s="5">
        <v>19000000</v>
      </c>
      <c r="D485" s="4">
        <v>13000000</v>
      </c>
    </row>
    <row r="486" outlineLevel="1" spans="2:4">
      <c r="B486" s="1">
        <v>438</v>
      </c>
      <c r="C486" s="5">
        <v>19000000</v>
      </c>
      <c r="D486" s="4">
        <v>13000000</v>
      </c>
    </row>
    <row r="487" outlineLevel="1" spans="2:4">
      <c r="B487" s="1">
        <v>439</v>
      </c>
      <c r="C487" s="5">
        <v>19000000</v>
      </c>
      <c r="D487" s="4">
        <v>13000000</v>
      </c>
    </row>
    <row r="488" outlineLevel="1" spans="2:4">
      <c r="B488" s="1">
        <v>440</v>
      </c>
      <c r="C488" s="5">
        <v>19000000</v>
      </c>
      <c r="D488" s="4">
        <v>13000000</v>
      </c>
    </row>
    <row r="489" outlineLevel="1" spans="2:4">
      <c r="B489" s="1">
        <v>441</v>
      </c>
      <c r="C489" s="5">
        <v>19000000</v>
      </c>
      <c r="D489" s="4">
        <v>13000000</v>
      </c>
    </row>
    <row r="490" outlineLevel="1" spans="2:4">
      <c r="B490" s="1">
        <v>442</v>
      </c>
      <c r="C490" s="5">
        <v>19000000</v>
      </c>
      <c r="D490" s="4">
        <v>13000000</v>
      </c>
    </row>
    <row r="491" outlineLevel="1" spans="2:4">
      <c r="B491" s="1">
        <v>443</v>
      </c>
      <c r="C491" s="5">
        <v>19000000</v>
      </c>
      <c r="D491" s="4">
        <v>13000000</v>
      </c>
    </row>
    <row r="492" outlineLevel="1" spans="2:4">
      <c r="B492" s="1">
        <v>444</v>
      </c>
      <c r="C492" s="5">
        <v>19000000</v>
      </c>
      <c r="D492" s="4">
        <v>13000000</v>
      </c>
    </row>
    <row r="493" outlineLevel="1" spans="2:4">
      <c r="B493" s="1">
        <v>445</v>
      </c>
      <c r="C493" s="5">
        <v>19000000</v>
      </c>
      <c r="D493" s="4">
        <v>13000000</v>
      </c>
    </row>
    <row r="494" outlineLevel="1" spans="2:4">
      <c r="B494" s="1">
        <v>446</v>
      </c>
      <c r="C494" s="5">
        <v>19000000</v>
      </c>
      <c r="D494" s="4">
        <v>13000000</v>
      </c>
    </row>
    <row r="495" outlineLevel="1" spans="2:4">
      <c r="B495" s="1">
        <v>447</v>
      </c>
      <c r="C495" s="5">
        <v>19000000</v>
      </c>
      <c r="D495" s="4">
        <v>13000000</v>
      </c>
    </row>
    <row r="496" outlineLevel="1" spans="2:4">
      <c r="B496" s="1">
        <v>448</v>
      </c>
      <c r="C496" s="5">
        <v>19000000</v>
      </c>
      <c r="D496" s="4">
        <v>13000000</v>
      </c>
    </row>
    <row r="497" outlineLevel="1" spans="2:4">
      <c r="B497" s="1">
        <v>449</v>
      </c>
      <c r="C497" s="5">
        <v>19000000</v>
      </c>
      <c r="D497" s="4">
        <v>13000000</v>
      </c>
    </row>
    <row r="498" outlineLevel="1" spans="2:4">
      <c r="B498" s="1">
        <v>450</v>
      </c>
      <c r="C498" s="5">
        <v>19000000</v>
      </c>
      <c r="D498" s="4">
        <v>13000000</v>
      </c>
    </row>
    <row r="499" outlineLevel="1" spans="2:4">
      <c r="B499" s="1">
        <v>451</v>
      </c>
      <c r="C499" s="5">
        <v>19000000</v>
      </c>
      <c r="D499" s="4">
        <v>13000000</v>
      </c>
    </row>
    <row r="500" outlineLevel="1" spans="2:4">
      <c r="B500" s="1">
        <v>452</v>
      </c>
      <c r="C500" s="5">
        <v>19000000</v>
      </c>
      <c r="D500" s="4">
        <v>13000000</v>
      </c>
    </row>
    <row r="501" outlineLevel="1" spans="2:4">
      <c r="B501" s="1">
        <v>453</v>
      </c>
      <c r="C501" s="5">
        <v>20000000</v>
      </c>
      <c r="D501" s="4">
        <v>13000000</v>
      </c>
    </row>
    <row r="502" outlineLevel="1" spans="2:4">
      <c r="B502" s="1">
        <v>454</v>
      </c>
      <c r="C502" s="5">
        <v>20000000</v>
      </c>
      <c r="D502" s="4">
        <v>13000000</v>
      </c>
    </row>
    <row r="503" outlineLevel="1" spans="2:4">
      <c r="B503" s="1">
        <v>455</v>
      </c>
      <c r="C503" s="5">
        <v>20000000</v>
      </c>
      <c r="D503" s="4">
        <v>13000000</v>
      </c>
    </row>
    <row r="504" outlineLevel="1" spans="2:4">
      <c r="B504" s="1">
        <v>456</v>
      </c>
      <c r="C504" s="5">
        <v>20000000</v>
      </c>
      <c r="D504" s="4">
        <v>13000000</v>
      </c>
    </row>
    <row r="505" outlineLevel="1" spans="2:4">
      <c r="B505" s="1">
        <v>457</v>
      </c>
      <c r="C505" s="5">
        <v>20000000</v>
      </c>
      <c r="D505" s="4">
        <v>13000000</v>
      </c>
    </row>
    <row r="506" outlineLevel="1" spans="2:4">
      <c r="B506" s="1">
        <v>458</v>
      </c>
      <c r="C506" s="5">
        <v>20000000</v>
      </c>
      <c r="D506" s="4">
        <v>13000000</v>
      </c>
    </row>
    <row r="507" outlineLevel="1" spans="2:4">
      <c r="B507" s="1">
        <v>459</v>
      </c>
      <c r="C507" s="5">
        <v>20000000</v>
      </c>
      <c r="D507" s="4">
        <v>13000000</v>
      </c>
    </row>
    <row r="508" outlineLevel="1" spans="2:4">
      <c r="B508" s="1">
        <v>460</v>
      </c>
      <c r="C508" s="5">
        <v>20000000</v>
      </c>
      <c r="D508" s="4">
        <v>13000000</v>
      </c>
    </row>
    <row r="509" outlineLevel="1" spans="2:4">
      <c r="B509" s="1">
        <v>461</v>
      </c>
      <c r="C509" s="5">
        <v>20000000</v>
      </c>
      <c r="D509" s="4">
        <v>13000000</v>
      </c>
    </row>
    <row r="510" outlineLevel="1" spans="2:4">
      <c r="B510" s="1">
        <v>462</v>
      </c>
      <c r="C510" s="5">
        <v>20000000</v>
      </c>
      <c r="D510" s="4">
        <v>13000000</v>
      </c>
    </row>
    <row r="511" outlineLevel="1" spans="2:4">
      <c r="B511" s="1">
        <v>463</v>
      </c>
      <c r="C511" s="5">
        <v>20000000</v>
      </c>
      <c r="D511" s="4">
        <v>13000000</v>
      </c>
    </row>
    <row r="512" outlineLevel="1" spans="2:4">
      <c r="B512" s="1">
        <v>464</v>
      </c>
      <c r="C512" s="5">
        <v>20000000</v>
      </c>
      <c r="D512" s="4">
        <v>13000000</v>
      </c>
    </row>
    <row r="513" outlineLevel="1" spans="2:4">
      <c r="B513" s="1">
        <v>465</v>
      </c>
      <c r="C513" s="5">
        <v>20000000</v>
      </c>
      <c r="D513" s="4">
        <v>13000000</v>
      </c>
    </row>
    <row r="514" outlineLevel="1" spans="2:4">
      <c r="B514" s="1">
        <v>466</v>
      </c>
      <c r="C514" s="5">
        <v>20000000</v>
      </c>
      <c r="D514" s="4">
        <v>13000000</v>
      </c>
    </row>
    <row r="515" outlineLevel="1" spans="2:4">
      <c r="B515" s="1">
        <v>467</v>
      </c>
      <c r="C515" s="5">
        <v>20000000</v>
      </c>
      <c r="D515" s="4">
        <v>13000000</v>
      </c>
    </row>
    <row r="516" outlineLevel="1" spans="2:4">
      <c r="B516" s="1">
        <v>468</v>
      </c>
      <c r="C516" s="5">
        <v>20000000</v>
      </c>
      <c r="D516" s="4">
        <v>13000000</v>
      </c>
    </row>
    <row r="517" outlineLevel="1" spans="2:4">
      <c r="B517" s="1">
        <v>469</v>
      </c>
      <c r="C517" s="5">
        <v>20000000</v>
      </c>
      <c r="D517" s="4">
        <v>13000000</v>
      </c>
    </row>
    <row r="518" outlineLevel="1" spans="2:4">
      <c r="B518" s="1">
        <v>470</v>
      </c>
      <c r="C518" s="5">
        <v>20000000</v>
      </c>
      <c r="D518" s="4">
        <v>14000000</v>
      </c>
    </row>
    <row r="519" outlineLevel="1" spans="2:4">
      <c r="B519" s="1">
        <v>471</v>
      </c>
      <c r="C519" s="5">
        <v>20000000</v>
      </c>
      <c r="D519" s="4">
        <v>14000000</v>
      </c>
    </row>
    <row r="520" outlineLevel="1" spans="2:4">
      <c r="B520" s="1">
        <v>472</v>
      </c>
      <c r="C520" s="5">
        <v>20000000</v>
      </c>
      <c r="D520" s="4">
        <v>14000000</v>
      </c>
    </row>
    <row r="521" outlineLevel="1" spans="2:4">
      <c r="B521" s="1">
        <v>473</v>
      </c>
      <c r="C521" s="5">
        <v>20000000</v>
      </c>
      <c r="D521" s="4">
        <v>14000000</v>
      </c>
    </row>
    <row r="522" outlineLevel="1" spans="2:4">
      <c r="B522" s="1">
        <v>474</v>
      </c>
      <c r="C522" s="5">
        <v>20000000</v>
      </c>
      <c r="D522" s="4">
        <v>14000000</v>
      </c>
    </row>
    <row r="523" outlineLevel="1" spans="2:4">
      <c r="B523" s="1">
        <v>475</v>
      </c>
      <c r="C523" s="5">
        <v>20000000</v>
      </c>
      <c r="D523" s="4">
        <v>14000000</v>
      </c>
    </row>
    <row r="524" outlineLevel="1" spans="2:4">
      <c r="B524" s="1">
        <v>476</v>
      </c>
      <c r="C524" s="5">
        <v>21000000</v>
      </c>
      <c r="D524" s="4">
        <v>14000000</v>
      </c>
    </row>
    <row r="525" outlineLevel="1" spans="2:4">
      <c r="B525" s="1">
        <v>477</v>
      </c>
      <c r="C525" s="5">
        <v>21000000</v>
      </c>
      <c r="D525" s="4">
        <v>14000000</v>
      </c>
    </row>
    <row r="526" outlineLevel="1" spans="2:4">
      <c r="B526" s="1">
        <v>478</v>
      </c>
      <c r="C526" s="5">
        <v>21000000</v>
      </c>
      <c r="D526" s="4">
        <v>14000000</v>
      </c>
    </row>
    <row r="527" outlineLevel="1" spans="2:4">
      <c r="B527" s="1">
        <v>479</v>
      </c>
      <c r="C527" s="5">
        <v>21000000</v>
      </c>
      <c r="D527" s="4">
        <v>14000000</v>
      </c>
    </row>
    <row r="528" outlineLevel="1" spans="2:4">
      <c r="B528" s="1">
        <v>480</v>
      </c>
      <c r="C528" s="5">
        <v>21000000</v>
      </c>
      <c r="D528" s="4">
        <v>14000000</v>
      </c>
    </row>
    <row r="529" outlineLevel="1" spans="2:4">
      <c r="B529" s="1">
        <v>481</v>
      </c>
      <c r="C529" s="5">
        <v>21000000</v>
      </c>
      <c r="D529" s="4">
        <v>14000000</v>
      </c>
    </row>
    <row r="530" outlineLevel="1" spans="2:4">
      <c r="B530" s="1">
        <v>482</v>
      </c>
      <c r="C530" s="5">
        <v>21000000</v>
      </c>
      <c r="D530" s="4">
        <v>14000000</v>
      </c>
    </row>
    <row r="531" outlineLevel="1" spans="2:4">
      <c r="B531" s="1">
        <v>483</v>
      </c>
      <c r="C531" s="5">
        <v>21000000</v>
      </c>
      <c r="D531" s="4">
        <v>14000000</v>
      </c>
    </row>
    <row r="532" outlineLevel="1" spans="2:4">
      <c r="B532" s="1">
        <v>484</v>
      </c>
      <c r="C532" s="5">
        <v>21000000</v>
      </c>
      <c r="D532" s="4">
        <v>14000000</v>
      </c>
    </row>
    <row r="533" outlineLevel="1" spans="2:4">
      <c r="B533" s="1">
        <v>485</v>
      </c>
      <c r="C533" s="5">
        <v>21000000</v>
      </c>
      <c r="D533" s="4">
        <v>14000000</v>
      </c>
    </row>
    <row r="534" outlineLevel="1" spans="2:4">
      <c r="B534" s="1">
        <v>486</v>
      </c>
      <c r="C534" s="5">
        <v>21000000</v>
      </c>
      <c r="D534" s="4">
        <v>14000000</v>
      </c>
    </row>
    <row r="535" outlineLevel="1" spans="2:4">
      <c r="B535" s="1">
        <v>487</v>
      </c>
      <c r="C535" s="5">
        <v>21000000</v>
      </c>
      <c r="D535" s="4">
        <v>14000000</v>
      </c>
    </row>
    <row r="536" outlineLevel="1" spans="2:4">
      <c r="B536" s="1">
        <v>488</v>
      </c>
      <c r="C536" s="5">
        <v>21000000</v>
      </c>
      <c r="D536" s="4">
        <v>14000000</v>
      </c>
    </row>
    <row r="537" outlineLevel="1" spans="2:4">
      <c r="B537" s="1">
        <v>489</v>
      </c>
      <c r="C537" s="5">
        <v>21000000</v>
      </c>
      <c r="D537" s="4">
        <v>14000000</v>
      </c>
    </row>
    <row r="538" outlineLevel="1" spans="2:4">
      <c r="B538" s="1">
        <v>490</v>
      </c>
      <c r="C538" s="5">
        <v>21000000</v>
      </c>
      <c r="D538" s="4">
        <v>14000000</v>
      </c>
    </row>
    <row r="539" outlineLevel="1" spans="2:4">
      <c r="B539" s="1">
        <v>491</v>
      </c>
      <c r="C539" s="5">
        <v>21000000</v>
      </c>
      <c r="D539" s="4">
        <v>14000000</v>
      </c>
    </row>
    <row r="540" outlineLevel="1" spans="2:4">
      <c r="B540" s="1">
        <v>492</v>
      </c>
      <c r="C540" s="5">
        <v>21000000</v>
      </c>
      <c r="D540" s="4">
        <v>14000000</v>
      </c>
    </row>
    <row r="541" outlineLevel="1" spans="2:4">
      <c r="B541" s="1">
        <v>493</v>
      </c>
      <c r="C541" s="5">
        <v>21000000</v>
      </c>
      <c r="D541" s="4">
        <v>14000000</v>
      </c>
    </row>
    <row r="542" outlineLevel="1" spans="2:4">
      <c r="B542" s="1">
        <v>494</v>
      </c>
      <c r="C542" s="5">
        <v>21000000</v>
      </c>
      <c r="D542" s="4">
        <v>14000000</v>
      </c>
    </row>
    <row r="543" outlineLevel="1" spans="2:4">
      <c r="B543" s="1">
        <v>495</v>
      </c>
      <c r="C543" s="5">
        <v>21000000</v>
      </c>
      <c r="D543" s="4">
        <v>14000000</v>
      </c>
    </row>
    <row r="544" outlineLevel="1" spans="2:4">
      <c r="B544" s="1">
        <v>496</v>
      </c>
      <c r="C544" s="5">
        <v>21000000</v>
      </c>
      <c r="D544" s="4">
        <v>14000000</v>
      </c>
    </row>
    <row r="545" outlineLevel="1" spans="2:4">
      <c r="B545" s="1">
        <v>497</v>
      </c>
      <c r="C545" s="5">
        <v>21000000</v>
      </c>
      <c r="D545" s="4">
        <v>14000000</v>
      </c>
    </row>
    <row r="546" outlineLevel="1" spans="2:4">
      <c r="B546" s="1">
        <v>498</v>
      </c>
      <c r="C546" s="5">
        <v>21000000</v>
      </c>
      <c r="D546" s="4">
        <v>14000000</v>
      </c>
    </row>
    <row r="547" outlineLevel="1" spans="2:4">
      <c r="B547" s="1">
        <v>499</v>
      </c>
      <c r="C547" s="5">
        <v>22000000</v>
      </c>
      <c r="D547" s="4">
        <v>14000000</v>
      </c>
    </row>
    <row r="548" outlineLevel="1" spans="2:4">
      <c r="B548" s="1">
        <v>500</v>
      </c>
      <c r="C548" s="5">
        <v>22000000</v>
      </c>
      <c r="D548" s="4">
        <v>14000000</v>
      </c>
    </row>
    <row r="549" outlineLevel="1"/>
  </sheetData>
  <pageMargins left="0.699305555555556" right="0.699305555555556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>
    <tabColor theme="5" tint="0.599993896298105"/>
  </sheetPr>
  <dimension ref="A1:Z92"/>
  <sheetViews>
    <sheetView zoomScale="70" zoomScaleNormal="70" workbookViewId="0">
      <selection activeCell="E38" sqref="E38"/>
    </sheetView>
  </sheetViews>
  <sheetFormatPr defaultColWidth="8.70967741935484" defaultRowHeight="13.1"/>
  <cols>
    <col min="1" max="12" width="10.6290322580645" style="1"/>
    <col min="13" max="13" width="10.6290322580645" style="1" customWidth="1"/>
    <col min="14" max="16384" width="10.6290322580645" style="1"/>
  </cols>
  <sheetData>
    <row r="1" s="181" customFormat="1" ht="16.75" spans="1:1">
      <c r="A1" s="182" t="s">
        <v>349</v>
      </c>
    </row>
    <row r="2" hidden="1" outlineLevel="1"/>
    <row r="3" hidden="1" outlineLevel="1" spans="2:12">
      <c r="B3" s="27" t="s">
        <v>350</v>
      </c>
      <c r="C3" s="73"/>
      <c r="D3" s="73"/>
      <c r="E3" s="73"/>
      <c r="F3" s="73"/>
      <c r="G3" s="73"/>
      <c r="H3" s="73"/>
      <c r="I3" s="73"/>
      <c r="J3" s="73"/>
      <c r="K3" s="73"/>
      <c r="L3" s="73"/>
    </row>
    <row r="4" hidden="1" outlineLevel="1"/>
    <row r="5" hidden="1" outlineLevel="1" spans="2:12">
      <c r="B5" s="27" t="s">
        <v>351</v>
      </c>
      <c r="C5" s="73"/>
      <c r="D5" s="73"/>
      <c r="E5" s="73"/>
      <c r="F5" s="73"/>
      <c r="G5" s="73"/>
      <c r="H5" s="73"/>
      <c r="I5" s="73"/>
      <c r="J5" s="73"/>
      <c r="K5" s="73"/>
      <c r="L5" s="73"/>
    </row>
    <row r="6" hidden="1" outlineLevel="1"/>
    <row r="7" hidden="1" outlineLevel="1"/>
    <row r="8" s="181" customFormat="1" ht="16.75" hidden="1" outlineLevel="1" spans="1:1">
      <c r="A8" s="182" t="s">
        <v>352</v>
      </c>
    </row>
    <row r="9" hidden="1" outlineLevel="1" spans="1:1">
      <c r="A9" s="23"/>
    </row>
    <row r="10" hidden="1" outlineLevel="1" spans="1:12">
      <c r="A10" s="23"/>
      <c r="B10" s="27" t="s">
        <v>350</v>
      </c>
      <c r="C10" s="73"/>
      <c r="D10" s="73"/>
      <c r="E10" s="73"/>
      <c r="F10" s="73"/>
      <c r="G10" s="73"/>
      <c r="H10" s="73"/>
      <c r="I10" s="73"/>
      <c r="J10" s="73"/>
      <c r="K10" s="73"/>
      <c r="L10" s="73"/>
    </row>
    <row r="11" hidden="1" outlineLevel="1" spans="1:1">
      <c r="A11" s="23"/>
    </row>
    <row r="12" hidden="1" outlineLevel="1" spans="1:3">
      <c r="A12" s="23"/>
      <c r="B12" s="1" t="s">
        <v>353</v>
      </c>
      <c r="C12" s="1" t="s">
        <v>354</v>
      </c>
    </row>
    <row r="13" hidden="1" outlineLevel="1" spans="1:3">
      <c r="A13" s="23"/>
      <c r="B13" s="1">
        <v>4</v>
      </c>
      <c r="C13" s="1">
        <v>0</v>
      </c>
    </row>
    <row r="14" hidden="1" outlineLevel="1" spans="2:3">
      <c r="B14" s="1">
        <v>4.1</v>
      </c>
      <c r="C14" s="81">
        <v>20000</v>
      </c>
    </row>
    <row r="15" hidden="1" outlineLevel="1" spans="1:3">
      <c r="A15" s="23"/>
      <c r="B15" s="1">
        <v>5</v>
      </c>
      <c r="C15" s="81">
        <v>40000</v>
      </c>
    </row>
    <row r="16" hidden="1" outlineLevel="1" spans="1:15">
      <c r="A16" s="23"/>
      <c r="B16" s="1">
        <v>5.1</v>
      </c>
      <c r="C16" s="81">
        <v>60000</v>
      </c>
      <c r="M16" s="4"/>
      <c r="N16" s="4"/>
      <c r="O16" s="4"/>
    </row>
    <row r="17" hidden="1" outlineLevel="1" spans="1:15">
      <c r="A17" s="23"/>
      <c r="B17" s="1">
        <v>6</v>
      </c>
      <c r="C17" s="81">
        <v>100000</v>
      </c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</row>
    <row r="18" hidden="1" outlineLevel="1" spans="1:15">
      <c r="A18" s="23"/>
      <c r="B18" s="1">
        <v>6.1</v>
      </c>
      <c r="C18" s="81">
        <v>160000</v>
      </c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</row>
    <row r="19" hidden="1" outlineLevel="1" spans="1:15">
      <c r="A19" s="23"/>
      <c r="B19" s="1">
        <v>7</v>
      </c>
      <c r="C19" s="81">
        <v>300000</v>
      </c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</row>
    <row r="20" hidden="1" outlineLevel="1" spans="1:15">
      <c r="A20" s="23"/>
      <c r="B20" s="1">
        <v>7.1</v>
      </c>
      <c r="C20" s="81">
        <v>600000</v>
      </c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</row>
    <row r="21" hidden="1" outlineLevel="1" spans="1:15">
      <c r="A21" s="23"/>
      <c r="B21" s="1">
        <v>7.2</v>
      </c>
      <c r="C21" s="81">
        <v>2000000</v>
      </c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</row>
    <row r="22" hidden="1" outlineLevel="1" spans="1:15">
      <c r="A22" s="23"/>
      <c r="C22" s="5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</row>
    <row r="23" hidden="1" outlineLevel="1" spans="1:15">
      <c r="A23" s="23"/>
      <c r="B23" s="27" t="s">
        <v>351</v>
      </c>
      <c r="C23" s="27"/>
      <c r="D23" s="27"/>
      <c r="E23" s="27"/>
      <c r="F23" s="27"/>
      <c r="G23" s="27"/>
      <c r="H23" s="27"/>
      <c r="I23" s="4"/>
      <c r="J23" s="4"/>
      <c r="K23" s="4"/>
      <c r="L23" s="4"/>
      <c r="M23" s="4"/>
      <c r="N23" s="4"/>
      <c r="O23" s="4"/>
    </row>
    <row r="24" hidden="1" outlineLevel="1" spans="1:15">
      <c r="A24" s="23"/>
      <c r="I24" s="4"/>
      <c r="J24" s="4"/>
      <c r="K24" s="4"/>
      <c r="L24" s="4"/>
      <c r="M24" s="4"/>
      <c r="N24" s="4"/>
      <c r="O24" s="4"/>
    </row>
    <row r="25" hidden="1" outlineLevel="1" spans="1:8">
      <c r="A25" s="23"/>
      <c r="B25" s="1" t="s">
        <v>353</v>
      </c>
      <c r="C25" s="1" t="s">
        <v>355</v>
      </c>
      <c r="D25" s="1" t="s">
        <v>356</v>
      </c>
      <c r="F25" s="1" t="s">
        <v>357</v>
      </c>
      <c r="G25" s="1" t="s">
        <v>63</v>
      </c>
      <c r="H25" s="1" t="s">
        <v>358</v>
      </c>
    </row>
    <row r="26" hidden="1" outlineLevel="1" spans="1:8">
      <c r="A26" s="23"/>
      <c r="B26" s="1">
        <v>4</v>
      </c>
      <c r="C26" s="1">
        <v>0</v>
      </c>
      <c r="D26" s="30"/>
      <c r="E26" s="30"/>
      <c r="F26" s="30"/>
      <c r="G26" s="30"/>
      <c r="H26" s="30"/>
    </row>
    <row r="27" hidden="1" outlineLevel="1" spans="1:8">
      <c r="A27" s="23"/>
      <c r="B27" s="1">
        <v>4.1</v>
      </c>
      <c r="C27" s="81">
        <v>40000</v>
      </c>
      <c r="D27" s="30"/>
      <c r="E27" s="30"/>
      <c r="F27" s="30"/>
      <c r="G27" s="30">
        <v>2</v>
      </c>
      <c r="H27" s="30"/>
    </row>
    <row r="28" hidden="1" outlineLevel="1" spans="1:8">
      <c r="A28" s="23"/>
      <c r="B28" s="1">
        <v>5</v>
      </c>
      <c r="C28" s="81">
        <v>80000</v>
      </c>
      <c r="D28" s="30" t="s">
        <v>359</v>
      </c>
      <c r="E28" s="30"/>
      <c r="F28" s="30">
        <v>1</v>
      </c>
      <c r="G28" s="30">
        <v>2</v>
      </c>
      <c r="H28" s="30"/>
    </row>
    <row r="29" hidden="1" outlineLevel="1" spans="1:8">
      <c r="A29" s="23"/>
      <c r="B29" s="1">
        <v>5.1</v>
      </c>
      <c r="C29" s="81">
        <v>120000</v>
      </c>
      <c r="D29" s="30" t="s">
        <v>359</v>
      </c>
      <c r="E29" s="30"/>
      <c r="F29" s="30">
        <v>1</v>
      </c>
      <c r="G29" s="30">
        <v>3</v>
      </c>
      <c r="H29" s="30"/>
    </row>
    <row r="30" hidden="1" outlineLevel="1" spans="1:8">
      <c r="A30" s="23"/>
      <c r="B30" s="1">
        <v>6</v>
      </c>
      <c r="C30" s="81">
        <v>200000</v>
      </c>
      <c r="D30" s="30" t="s">
        <v>359</v>
      </c>
      <c r="E30" s="30"/>
      <c r="F30" s="30">
        <v>1</v>
      </c>
      <c r="G30" s="30"/>
      <c r="H30" s="30">
        <v>3</v>
      </c>
    </row>
    <row r="31" hidden="1" outlineLevel="1" spans="1:8">
      <c r="A31" s="23"/>
      <c r="B31" s="1">
        <v>6.1</v>
      </c>
      <c r="C31" s="81">
        <v>320000</v>
      </c>
      <c r="D31" s="30" t="s">
        <v>359</v>
      </c>
      <c r="E31" s="30"/>
      <c r="F31" s="30">
        <v>1</v>
      </c>
      <c r="G31" s="30"/>
      <c r="H31" s="30">
        <v>3</v>
      </c>
    </row>
    <row r="32" hidden="1" outlineLevel="1" spans="1:8">
      <c r="A32" s="23"/>
      <c r="B32" s="1">
        <v>7</v>
      </c>
      <c r="C32" s="81">
        <v>600000</v>
      </c>
      <c r="D32" s="30" t="s">
        <v>360</v>
      </c>
      <c r="E32" s="30"/>
      <c r="F32" s="30">
        <v>1</v>
      </c>
      <c r="G32" s="30"/>
      <c r="H32" s="30">
        <v>4</v>
      </c>
    </row>
    <row r="33" hidden="1" outlineLevel="1" spans="1:8">
      <c r="A33" s="23"/>
      <c r="B33" s="1">
        <v>7.1</v>
      </c>
      <c r="C33" s="81">
        <v>1200000</v>
      </c>
      <c r="D33" s="30" t="s">
        <v>360</v>
      </c>
      <c r="E33" s="30"/>
      <c r="F33" s="30">
        <v>1</v>
      </c>
      <c r="G33" s="30"/>
      <c r="H33" s="30">
        <v>5</v>
      </c>
    </row>
    <row r="34" hidden="1" outlineLevel="1" spans="1:8">
      <c r="A34" s="23"/>
      <c r="B34" s="1">
        <v>7.2</v>
      </c>
      <c r="C34" s="81">
        <v>4000000</v>
      </c>
      <c r="D34" s="30" t="s">
        <v>360</v>
      </c>
      <c r="E34" s="30"/>
      <c r="F34" s="30">
        <v>1</v>
      </c>
      <c r="G34" s="30"/>
      <c r="H34" s="30">
        <v>6</v>
      </c>
    </row>
    <row r="35" hidden="1" outlineLevel="1" spans="1:1">
      <c r="A35" s="23"/>
    </row>
    <row r="36" hidden="1" outlineLevel="1"/>
    <row r="37" collapsed="1"/>
    <row r="38" s="181" customFormat="1" ht="16.75" spans="1:1">
      <c r="A38" s="182" t="s">
        <v>361</v>
      </c>
    </row>
    <row r="39" hidden="1" outlineLevel="1"/>
    <row r="40" hidden="1" outlineLevel="1" spans="2:12">
      <c r="B40" s="27" t="s">
        <v>362</v>
      </c>
      <c r="C40" s="73"/>
      <c r="D40" s="73"/>
      <c r="E40" s="73"/>
      <c r="F40" s="73"/>
      <c r="G40" s="73"/>
      <c r="H40" s="73"/>
      <c r="I40" s="73"/>
      <c r="J40" s="73"/>
      <c r="K40" s="73"/>
      <c r="L40" s="73"/>
    </row>
    <row r="41" hidden="1" outlineLevel="1"/>
    <row r="42" hidden="1" outlineLevel="1"/>
    <row r="43" s="181" customFormat="1" ht="16.75" hidden="1" outlineLevel="1" spans="1:1">
      <c r="A43" s="182" t="s">
        <v>363</v>
      </c>
    </row>
    <row r="44" hidden="1" outlineLevel="1" spans="1:1">
      <c r="A44" s="23"/>
    </row>
    <row r="45" hidden="1" outlineLevel="1" spans="1:12">
      <c r="A45" s="23"/>
      <c r="B45" s="27" t="s">
        <v>362</v>
      </c>
      <c r="C45" s="73"/>
      <c r="D45" s="73"/>
      <c r="E45" s="73"/>
      <c r="F45" s="73"/>
      <c r="G45" s="73"/>
      <c r="H45" s="73"/>
      <c r="I45" s="73"/>
      <c r="J45" s="73"/>
      <c r="K45" s="73"/>
      <c r="L45" s="73"/>
    </row>
    <row r="46" hidden="1" outlineLevel="1" spans="1:1">
      <c r="A46" s="23"/>
    </row>
    <row r="47" hidden="1" outlineLevel="1" spans="1:8">
      <c r="A47" s="23"/>
      <c r="B47" s="29" t="s">
        <v>364</v>
      </c>
      <c r="E47" s="4"/>
      <c r="F47" s="5"/>
      <c r="G47" s="4"/>
      <c r="H47" s="5"/>
    </row>
    <row r="48" hidden="1" outlineLevel="1" spans="1:13">
      <c r="A48" s="23"/>
      <c r="E48" s="1" t="s">
        <v>365</v>
      </c>
      <c r="G48" s="1" t="s">
        <v>366</v>
      </c>
      <c r="I48" s="1" t="s">
        <v>367</v>
      </c>
      <c r="K48" s="1" t="s">
        <v>368</v>
      </c>
      <c r="M48" s="1" t="s">
        <v>369</v>
      </c>
    </row>
    <row r="49" hidden="1" outlineLevel="1" spans="1:13">
      <c r="A49" s="23"/>
      <c r="B49" s="1" t="s">
        <v>370</v>
      </c>
      <c r="C49" s="4" t="s">
        <v>371</v>
      </c>
      <c r="D49" s="4" t="s">
        <v>372</v>
      </c>
      <c r="E49" s="4" t="s">
        <v>371</v>
      </c>
      <c r="F49" s="4" t="s">
        <v>373</v>
      </c>
      <c r="G49" s="4" t="s">
        <v>371</v>
      </c>
      <c r="H49" s="4" t="s">
        <v>374</v>
      </c>
      <c r="I49" s="4" t="s">
        <v>371</v>
      </c>
      <c r="J49" s="4" t="s">
        <v>375</v>
      </c>
      <c r="K49" s="4" t="s">
        <v>371</v>
      </c>
      <c r="L49" s="4" t="s">
        <v>376</v>
      </c>
      <c r="M49" s="4" t="s">
        <v>371</v>
      </c>
    </row>
    <row r="50" hidden="1" outlineLevel="1" spans="1:13">
      <c r="A50" s="23"/>
      <c r="B50" s="1">
        <v>36</v>
      </c>
      <c r="C50" s="4">
        <v>170</v>
      </c>
      <c r="D50" s="4">
        <v>42</v>
      </c>
      <c r="E50" s="4">
        <v>0</v>
      </c>
      <c r="F50" s="4">
        <v>8</v>
      </c>
      <c r="G50" s="4">
        <v>0</v>
      </c>
      <c r="H50" s="4">
        <v>5</v>
      </c>
      <c r="I50" s="4">
        <v>0</v>
      </c>
      <c r="J50" s="4">
        <v>3</v>
      </c>
      <c r="K50" s="4">
        <v>0</v>
      </c>
      <c r="L50" s="4">
        <v>1</v>
      </c>
      <c r="M50" s="4">
        <v>10</v>
      </c>
    </row>
    <row r="51" hidden="1" outlineLevel="1" spans="1:13">
      <c r="A51" s="23"/>
      <c r="B51" s="1">
        <v>37</v>
      </c>
      <c r="C51" s="4">
        <v>174</v>
      </c>
      <c r="D51" s="4">
        <v>43</v>
      </c>
      <c r="E51" s="4">
        <v>0</v>
      </c>
      <c r="F51" s="4">
        <v>9</v>
      </c>
      <c r="G51" s="4">
        <v>0</v>
      </c>
      <c r="H51" s="4">
        <v>5</v>
      </c>
      <c r="I51" s="4">
        <v>1</v>
      </c>
      <c r="J51" s="4">
        <v>3</v>
      </c>
      <c r="K51" s="4">
        <v>1</v>
      </c>
      <c r="L51" s="4">
        <v>1</v>
      </c>
      <c r="M51" s="4">
        <v>11</v>
      </c>
    </row>
    <row r="52" hidden="1" outlineLevel="1" spans="1:13">
      <c r="A52" s="23"/>
      <c r="B52" s="1">
        <v>38</v>
      </c>
      <c r="C52" s="4">
        <v>178</v>
      </c>
      <c r="D52" s="4">
        <v>44</v>
      </c>
      <c r="E52" s="4">
        <v>0</v>
      </c>
      <c r="F52" s="4">
        <v>9</v>
      </c>
      <c r="G52" s="4">
        <v>1</v>
      </c>
      <c r="H52" s="4">
        <v>5</v>
      </c>
      <c r="I52" s="4">
        <v>2</v>
      </c>
      <c r="J52" s="4">
        <v>3</v>
      </c>
      <c r="K52" s="4">
        <v>2</v>
      </c>
      <c r="L52" s="4">
        <v>1</v>
      </c>
      <c r="M52" s="4">
        <v>12</v>
      </c>
    </row>
    <row r="53" hidden="1" outlineLevel="1" spans="1:13">
      <c r="A53" s="23"/>
      <c r="B53" s="1">
        <v>39</v>
      </c>
      <c r="C53" s="4">
        <v>182</v>
      </c>
      <c r="D53" s="4">
        <v>45</v>
      </c>
      <c r="E53" s="4">
        <v>0</v>
      </c>
      <c r="F53" s="4">
        <v>9</v>
      </c>
      <c r="G53" s="4">
        <v>2</v>
      </c>
      <c r="H53" s="4">
        <v>5</v>
      </c>
      <c r="I53" s="4">
        <v>3</v>
      </c>
      <c r="J53" s="4">
        <v>3</v>
      </c>
      <c r="K53" s="4">
        <v>3</v>
      </c>
      <c r="L53" s="4">
        <v>1</v>
      </c>
      <c r="M53" s="4">
        <v>13</v>
      </c>
    </row>
    <row r="54" hidden="1" outlineLevel="1" spans="1:13">
      <c r="A54" s="23"/>
      <c r="B54" s="1">
        <v>40</v>
      </c>
      <c r="C54" s="4">
        <v>186</v>
      </c>
      <c r="D54" s="4">
        <v>46</v>
      </c>
      <c r="E54" s="4">
        <v>0</v>
      </c>
      <c r="F54" s="4">
        <v>9</v>
      </c>
      <c r="G54" s="4">
        <v>3</v>
      </c>
      <c r="H54" s="4">
        <v>5</v>
      </c>
      <c r="I54" s="4">
        <v>4</v>
      </c>
      <c r="J54" s="4">
        <v>4</v>
      </c>
      <c r="K54" s="4">
        <v>0</v>
      </c>
      <c r="L54" s="4">
        <v>1</v>
      </c>
      <c r="M54" s="4">
        <v>14</v>
      </c>
    </row>
    <row r="55" hidden="1" outlineLevel="1" spans="1:13">
      <c r="A55" s="23"/>
      <c r="B55" s="1">
        <v>41</v>
      </c>
      <c r="C55" s="4">
        <v>188</v>
      </c>
      <c r="D55" s="4">
        <v>47</v>
      </c>
      <c r="E55" s="4">
        <v>0</v>
      </c>
      <c r="F55" s="4">
        <v>9</v>
      </c>
      <c r="G55" s="4">
        <v>4</v>
      </c>
      <c r="H55" s="4">
        <v>5</v>
      </c>
      <c r="I55" s="4">
        <v>5</v>
      </c>
      <c r="J55" s="4">
        <v>4</v>
      </c>
      <c r="K55" s="4">
        <v>1</v>
      </c>
      <c r="L55" s="4">
        <v>2</v>
      </c>
      <c r="M55" s="4">
        <v>0</v>
      </c>
    </row>
    <row r="56" hidden="1" outlineLevel="1" spans="1:13">
      <c r="A56" s="23"/>
      <c r="B56" s="1">
        <v>42</v>
      </c>
      <c r="C56" s="4">
        <v>191</v>
      </c>
      <c r="D56" s="4">
        <v>47</v>
      </c>
      <c r="E56" s="4">
        <v>1</v>
      </c>
      <c r="F56" s="4">
        <v>9</v>
      </c>
      <c r="G56" s="4">
        <v>5</v>
      </c>
      <c r="H56" s="4">
        <v>5</v>
      </c>
      <c r="I56" s="4">
        <v>6</v>
      </c>
      <c r="J56" s="4">
        <v>4</v>
      </c>
      <c r="K56" s="4">
        <v>2</v>
      </c>
      <c r="L56" s="4">
        <v>2</v>
      </c>
      <c r="M56" s="4">
        <v>1</v>
      </c>
    </row>
    <row r="57" hidden="1" outlineLevel="1" spans="1:13">
      <c r="A57" s="23"/>
      <c r="B57" s="1">
        <v>43</v>
      </c>
      <c r="C57" s="4">
        <v>193</v>
      </c>
      <c r="D57" s="4">
        <v>48</v>
      </c>
      <c r="E57" s="4">
        <v>0</v>
      </c>
      <c r="F57" s="4">
        <v>9</v>
      </c>
      <c r="G57" s="4">
        <v>6</v>
      </c>
      <c r="H57" s="4">
        <v>5</v>
      </c>
      <c r="I57" s="4">
        <v>7</v>
      </c>
      <c r="J57" s="4">
        <v>4</v>
      </c>
      <c r="K57" s="4">
        <v>3</v>
      </c>
      <c r="L57" s="4">
        <v>2</v>
      </c>
      <c r="M57" s="4">
        <v>2</v>
      </c>
    </row>
    <row r="58" hidden="1" outlineLevel="1" spans="1:13">
      <c r="A58" s="23"/>
      <c r="B58" s="1">
        <v>44</v>
      </c>
      <c r="C58" s="4">
        <v>195</v>
      </c>
      <c r="D58" s="4">
        <v>49</v>
      </c>
      <c r="E58" s="4">
        <v>0</v>
      </c>
      <c r="F58" s="4">
        <v>10</v>
      </c>
      <c r="G58" s="4">
        <v>0</v>
      </c>
      <c r="H58" s="4">
        <v>5</v>
      </c>
      <c r="I58" s="4">
        <v>8</v>
      </c>
      <c r="J58" s="4">
        <v>4</v>
      </c>
      <c r="K58" s="4">
        <v>4</v>
      </c>
      <c r="L58" s="4">
        <v>2</v>
      </c>
      <c r="M58" s="4">
        <v>3</v>
      </c>
    </row>
    <row r="59" hidden="1" outlineLevel="1" spans="2:13">
      <c r="B59" s="1">
        <v>45</v>
      </c>
      <c r="C59" s="4">
        <v>197</v>
      </c>
      <c r="D59" s="4">
        <v>49</v>
      </c>
      <c r="E59" s="4">
        <v>1</v>
      </c>
      <c r="F59" s="4">
        <v>10</v>
      </c>
      <c r="G59" s="4">
        <v>1</v>
      </c>
      <c r="H59" s="4">
        <v>5</v>
      </c>
      <c r="I59" s="4">
        <v>9</v>
      </c>
      <c r="J59" s="4">
        <v>4</v>
      </c>
      <c r="K59" s="4">
        <v>5</v>
      </c>
      <c r="L59" s="4">
        <v>2</v>
      </c>
      <c r="M59" s="4">
        <v>4</v>
      </c>
    </row>
    <row r="60" hidden="1" outlineLevel="1" spans="1:13">
      <c r="A60" s="23"/>
      <c r="B60" s="1">
        <v>46</v>
      </c>
      <c r="C60" s="4">
        <v>199</v>
      </c>
      <c r="D60" s="4">
        <v>50</v>
      </c>
      <c r="E60" s="4">
        <v>0</v>
      </c>
      <c r="F60" s="4">
        <v>10</v>
      </c>
      <c r="G60" s="4">
        <v>2</v>
      </c>
      <c r="H60" s="4">
        <v>5</v>
      </c>
      <c r="I60" s="4">
        <v>10</v>
      </c>
      <c r="J60" s="4">
        <v>4</v>
      </c>
      <c r="K60" s="4">
        <v>6</v>
      </c>
      <c r="L60" s="4">
        <v>2</v>
      </c>
      <c r="M60" s="4">
        <v>5</v>
      </c>
    </row>
    <row r="61" hidden="1" outlineLevel="1" spans="1:13">
      <c r="A61" s="23"/>
      <c r="B61" s="1">
        <v>47</v>
      </c>
      <c r="C61" s="4">
        <v>207</v>
      </c>
      <c r="D61" s="4">
        <v>51</v>
      </c>
      <c r="E61" s="4">
        <v>0</v>
      </c>
      <c r="F61" s="4">
        <v>10</v>
      </c>
      <c r="G61" s="4">
        <v>3</v>
      </c>
      <c r="H61" s="4">
        <v>6</v>
      </c>
      <c r="I61" s="4">
        <v>0</v>
      </c>
      <c r="J61" s="4">
        <v>4</v>
      </c>
      <c r="K61" s="4">
        <v>7</v>
      </c>
      <c r="L61" s="4">
        <v>2</v>
      </c>
      <c r="M61" s="4">
        <v>6</v>
      </c>
    </row>
    <row r="62" hidden="1" outlineLevel="1" spans="1:13">
      <c r="A62" s="23"/>
      <c r="B62" s="1">
        <v>48</v>
      </c>
      <c r="C62" s="4">
        <v>209</v>
      </c>
      <c r="D62" s="4">
        <v>52</v>
      </c>
      <c r="E62" s="4">
        <v>0</v>
      </c>
      <c r="F62" s="4">
        <v>10</v>
      </c>
      <c r="G62" s="4">
        <v>4</v>
      </c>
      <c r="H62" s="4">
        <v>6</v>
      </c>
      <c r="I62" s="4">
        <v>1</v>
      </c>
      <c r="J62" s="4">
        <v>4</v>
      </c>
      <c r="K62" s="4">
        <v>8</v>
      </c>
      <c r="L62" s="4">
        <v>2</v>
      </c>
      <c r="M62" s="4">
        <v>7</v>
      </c>
    </row>
    <row r="63" hidden="1" outlineLevel="1" spans="1:13">
      <c r="A63" s="23"/>
      <c r="B63" s="1">
        <v>49</v>
      </c>
      <c r="C63" s="4">
        <v>211</v>
      </c>
      <c r="D63" s="81">
        <v>53</v>
      </c>
      <c r="E63" s="4">
        <v>0</v>
      </c>
      <c r="F63" s="81">
        <v>10</v>
      </c>
      <c r="G63" s="4">
        <v>5</v>
      </c>
      <c r="H63" s="4">
        <v>6</v>
      </c>
      <c r="I63" s="4">
        <v>2</v>
      </c>
      <c r="J63" s="4">
        <v>4</v>
      </c>
      <c r="K63" s="4">
        <v>9</v>
      </c>
      <c r="L63" s="4">
        <v>2</v>
      </c>
      <c r="M63" s="4">
        <v>8</v>
      </c>
    </row>
    <row r="64" hidden="1" outlineLevel="1" spans="1:13">
      <c r="A64" s="23"/>
      <c r="B64" s="1">
        <v>50</v>
      </c>
      <c r="C64" s="4">
        <v>213</v>
      </c>
      <c r="D64" s="81">
        <v>53</v>
      </c>
      <c r="E64" s="4">
        <v>1</v>
      </c>
      <c r="F64" s="81">
        <v>10</v>
      </c>
      <c r="G64" s="4">
        <v>6</v>
      </c>
      <c r="H64" s="4">
        <v>6</v>
      </c>
      <c r="I64" s="4">
        <v>3</v>
      </c>
      <c r="J64" s="4">
        <v>4</v>
      </c>
      <c r="K64" s="4">
        <v>10</v>
      </c>
      <c r="L64" s="4">
        <v>2</v>
      </c>
      <c r="M64" s="4">
        <v>9</v>
      </c>
    </row>
    <row r="65" hidden="1" outlineLevel="1" spans="1:1">
      <c r="A65" s="23"/>
    </row>
    <row r="66" hidden="1" outlineLevel="1" spans="1:2">
      <c r="A66" s="23"/>
      <c r="B66" s="29" t="s">
        <v>377</v>
      </c>
    </row>
    <row r="67" hidden="1" outlineLevel="1" spans="1:13">
      <c r="A67" s="23"/>
      <c r="B67" s="1" t="s">
        <v>370</v>
      </c>
      <c r="C67" s="4" t="s">
        <v>378</v>
      </c>
      <c r="D67" s="4" t="s">
        <v>379</v>
      </c>
      <c r="H67" s="4"/>
      <c r="J67" s="5"/>
      <c r="M67" s="5"/>
    </row>
    <row r="68" hidden="1" outlineLevel="1" spans="1:13">
      <c r="A68" s="23"/>
      <c r="B68" s="1">
        <v>10</v>
      </c>
      <c r="C68" s="4">
        <v>97</v>
      </c>
      <c r="D68" s="4">
        <v>56</v>
      </c>
      <c r="E68" s="4"/>
      <c r="H68" s="4"/>
      <c r="J68" s="5"/>
      <c r="M68" s="5"/>
    </row>
    <row r="69" hidden="1" outlineLevel="1" spans="1:13">
      <c r="A69" s="23"/>
      <c r="B69" s="1">
        <v>11</v>
      </c>
      <c r="C69" s="4">
        <v>103</v>
      </c>
      <c r="D69" s="4">
        <v>60</v>
      </c>
      <c r="E69" s="4"/>
      <c r="H69" s="4"/>
      <c r="J69" s="5"/>
      <c r="M69" s="5"/>
    </row>
    <row r="70" hidden="1" outlineLevel="1" spans="1:13">
      <c r="A70" s="23"/>
      <c r="B70" s="1">
        <v>12</v>
      </c>
      <c r="C70" s="4">
        <v>109</v>
      </c>
      <c r="D70" s="4">
        <v>63</v>
      </c>
      <c r="E70" s="4"/>
      <c r="H70" s="4"/>
      <c r="J70" s="5"/>
      <c r="M70" s="5"/>
    </row>
    <row r="71" hidden="1" outlineLevel="1" spans="1:13">
      <c r="A71" s="23"/>
      <c r="B71" s="1">
        <v>13</v>
      </c>
      <c r="C71" s="4">
        <v>115</v>
      </c>
      <c r="D71" s="4">
        <v>66</v>
      </c>
      <c r="E71" s="4"/>
      <c r="H71" s="4"/>
      <c r="J71" s="5"/>
      <c r="M71" s="5"/>
    </row>
    <row r="72" hidden="1" outlineLevel="1" spans="1:1">
      <c r="A72" s="23"/>
    </row>
    <row r="73" hidden="1" outlineLevel="1" spans="1:2">
      <c r="A73" s="23"/>
      <c r="B73" s="29" t="s">
        <v>380</v>
      </c>
    </row>
    <row r="74" hidden="1" outlineLevel="1" spans="1:16">
      <c r="A74" s="23"/>
      <c r="B74" s="1" t="s">
        <v>381</v>
      </c>
      <c r="C74" s="1" t="s">
        <v>382</v>
      </c>
      <c r="D74" s="81" t="s">
        <v>264</v>
      </c>
      <c r="E74" s="4"/>
      <c r="G74" s="4"/>
      <c r="H74" s="4"/>
      <c r="J74" s="4"/>
      <c r="K74" s="81" t="s">
        <v>265</v>
      </c>
      <c r="P74" s="4"/>
    </row>
    <row r="75" hidden="1" outlineLevel="1" spans="1:16">
      <c r="A75" s="23"/>
      <c r="B75" s="1">
        <v>36</v>
      </c>
      <c r="C75" s="1">
        <v>120</v>
      </c>
      <c r="D75" s="4" t="s">
        <v>326</v>
      </c>
      <c r="E75" s="4"/>
      <c r="G75" s="4"/>
      <c r="H75" s="4"/>
      <c r="J75" s="4"/>
      <c r="K75" s="4" t="s">
        <v>383</v>
      </c>
      <c r="P75" s="4"/>
    </row>
    <row r="76" hidden="1" outlineLevel="1" spans="1:16">
      <c r="A76" s="23"/>
      <c r="B76" s="1">
        <v>37</v>
      </c>
      <c r="C76" s="1">
        <v>123</v>
      </c>
      <c r="D76" s="4" t="s">
        <v>326</v>
      </c>
      <c r="E76" s="4"/>
      <c r="G76" s="4"/>
      <c r="H76" s="4"/>
      <c r="J76" s="4"/>
      <c r="K76" s="4" t="s">
        <v>384</v>
      </c>
      <c r="P76" s="4"/>
    </row>
    <row r="77" hidden="1" outlineLevel="1" spans="1:16">
      <c r="A77" s="23"/>
      <c r="B77" s="1">
        <v>38</v>
      </c>
      <c r="C77" s="1">
        <v>126</v>
      </c>
      <c r="D77" s="4" t="s">
        <v>326</v>
      </c>
      <c r="E77" s="4"/>
      <c r="G77" s="4"/>
      <c r="H77" s="4"/>
      <c r="J77" s="4"/>
      <c r="K77" s="4" t="s">
        <v>385</v>
      </c>
      <c r="P77" s="4"/>
    </row>
    <row r="78" hidden="1" outlineLevel="1" spans="1:16">
      <c r="A78" s="23"/>
      <c r="B78" s="1">
        <v>39</v>
      </c>
      <c r="C78" s="1">
        <v>129</v>
      </c>
      <c r="D78" s="4" t="s">
        <v>326</v>
      </c>
      <c r="E78" s="4"/>
      <c r="G78" s="4"/>
      <c r="H78" s="4"/>
      <c r="J78" s="4"/>
      <c r="K78" s="4" t="s">
        <v>385</v>
      </c>
      <c r="P78" s="4"/>
    </row>
    <row r="79" hidden="1" outlineLevel="1" spans="1:16">
      <c r="A79" s="23"/>
      <c r="B79" s="1">
        <v>40</v>
      </c>
      <c r="C79" s="1">
        <v>133</v>
      </c>
      <c r="D79" s="4" t="s">
        <v>326</v>
      </c>
      <c r="E79" s="4"/>
      <c r="G79" s="4"/>
      <c r="H79" s="4"/>
      <c r="J79" s="4"/>
      <c r="K79" s="4" t="s">
        <v>385</v>
      </c>
      <c r="P79" s="4"/>
    </row>
    <row r="80" hidden="1" outlineLevel="1" spans="1:16">
      <c r="A80" s="23"/>
      <c r="B80" s="1">
        <v>41</v>
      </c>
      <c r="C80" s="1">
        <v>135</v>
      </c>
      <c r="D80" s="4" t="s">
        <v>326</v>
      </c>
      <c r="E80" s="4"/>
      <c r="G80" s="4"/>
      <c r="H80" s="4"/>
      <c r="J80" s="4"/>
      <c r="K80" s="4" t="s">
        <v>386</v>
      </c>
      <c r="P80" s="4"/>
    </row>
    <row r="81" hidden="1" outlineLevel="1" spans="1:16">
      <c r="A81" s="23"/>
      <c r="B81" s="1">
        <v>42</v>
      </c>
      <c r="C81" s="1">
        <v>137</v>
      </c>
      <c r="D81" s="4" t="s">
        <v>326</v>
      </c>
      <c r="E81" s="4"/>
      <c r="G81" s="4"/>
      <c r="H81" s="4"/>
      <c r="J81" s="4"/>
      <c r="K81" s="4" t="s">
        <v>386</v>
      </c>
      <c r="P81" s="4"/>
    </row>
    <row r="82" hidden="1" outlineLevel="1" spans="1:16">
      <c r="A82" s="23"/>
      <c r="B82" s="1">
        <v>43</v>
      </c>
      <c r="C82" s="1">
        <v>139</v>
      </c>
      <c r="D82" s="4" t="s">
        <v>326</v>
      </c>
      <c r="E82" s="4"/>
      <c r="G82" s="4"/>
      <c r="H82" s="4"/>
      <c r="J82" s="4"/>
      <c r="K82" s="4" t="s">
        <v>386</v>
      </c>
      <c r="P82" s="4"/>
    </row>
    <row r="83" hidden="1" outlineLevel="1" spans="1:16">
      <c r="A83" s="23"/>
      <c r="B83" s="1">
        <v>44</v>
      </c>
      <c r="C83" s="1">
        <v>141</v>
      </c>
      <c r="D83" s="4" t="s">
        <v>326</v>
      </c>
      <c r="E83" s="4"/>
      <c r="G83" s="4"/>
      <c r="H83" s="4"/>
      <c r="J83" s="4"/>
      <c r="K83" s="4" t="s">
        <v>387</v>
      </c>
      <c r="P83" s="4"/>
    </row>
    <row r="84" hidden="1" outlineLevel="1" spans="1:16">
      <c r="A84" s="23"/>
      <c r="B84" s="1">
        <v>45</v>
      </c>
      <c r="C84" s="1">
        <v>143</v>
      </c>
      <c r="D84" s="4" t="s">
        <v>326</v>
      </c>
      <c r="E84" s="4"/>
      <c r="G84" s="4"/>
      <c r="H84" s="4"/>
      <c r="J84" s="4"/>
      <c r="K84" s="4" t="s">
        <v>387</v>
      </c>
      <c r="P84" s="4"/>
    </row>
    <row r="85" hidden="1" outlineLevel="1" spans="1:16">
      <c r="A85" s="23"/>
      <c r="B85" s="1">
        <v>46</v>
      </c>
      <c r="C85" s="1">
        <v>147</v>
      </c>
      <c r="D85" s="4" t="s">
        <v>326</v>
      </c>
      <c r="E85" s="4"/>
      <c r="G85" s="4"/>
      <c r="H85" s="4"/>
      <c r="J85" s="4"/>
      <c r="K85" s="4" t="s">
        <v>387</v>
      </c>
      <c r="P85" s="4"/>
    </row>
    <row r="86" hidden="1" outlineLevel="1" spans="1:16">
      <c r="A86" s="23"/>
      <c r="B86" s="1">
        <v>47</v>
      </c>
      <c r="C86" s="1">
        <v>151</v>
      </c>
      <c r="D86" s="4" t="s">
        <v>326</v>
      </c>
      <c r="E86" s="4"/>
      <c r="G86" s="4"/>
      <c r="H86" s="4"/>
      <c r="J86" s="4"/>
      <c r="K86" s="4" t="s">
        <v>388</v>
      </c>
      <c r="P86" s="4"/>
    </row>
    <row r="87" hidden="1" outlineLevel="1" spans="1:16">
      <c r="A87" s="23"/>
      <c r="B87" s="1">
        <v>48</v>
      </c>
      <c r="C87" s="1">
        <v>155</v>
      </c>
      <c r="D87" s="4" t="s">
        <v>326</v>
      </c>
      <c r="E87" s="4"/>
      <c r="G87" s="4"/>
      <c r="H87" s="4"/>
      <c r="J87" s="4"/>
      <c r="K87" s="4" t="s">
        <v>388</v>
      </c>
      <c r="P87" s="4"/>
    </row>
    <row r="88" hidden="1" outlineLevel="1" spans="1:16">
      <c r="A88" s="23"/>
      <c r="B88" s="1">
        <v>49</v>
      </c>
      <c r="C88" s="1">
        <v>159</v>
      </c>
      <c r="D88" s="4" t="s">
        <v>326</v>
      </c>
      <c r="E88" s="4"/>
      <c r="G88" s="4"/>
      <c r="H88" s="4"/>
      <c r="J88" s="4"/>
      <c r="K88" s="4" t="s">
        <v>388</v>
      </c>
      <c r="P88" s="4"/>
    </row>
    <row r="89" hidden="1" outlineLevel="1" spans="1:16">
      <c r="A89" s="23"/>
      <c r="B89" s="1">
        <v>50</v>
      </c>
      <c r="C89" s="1">
        <v>163</v>
      </c>
      <c r="D89" s="4" t="s">
        <v>326</v>
      </c>
      <c r="E89" s="4"/>
      <c r="G89" s="4"/>
      <c r="H89" s="4"/>
      <c r="J89" s="4"/>
      <c r="K89" s="4" t="s">
        <v>389</v>
      </c>
      <c r="P89" s="4"/>
    </row>
    <row r="90" hidden="1" outlineLevel="1" spans="1:26">
      <c r="A90" s="23"/>
      <c r="L90" s="68"/>
      <c r="M90" s="68"/>
      <c r="T90" s="4"/>
      <c r="Z90" s="4"/>
    </row>
    <row r="91" hidden="1" outlineLevel="1"/>
    <row r="92" collapsed="1"/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002">
    <tabColor theme="5" tint="0.599993896298105"/>
  </sheetPr>
  <dimension ref="A1:L50"/>
  <sheetViews>
    <sheetView workbookViewId="0">
      <selection activeCell="A1" sqref="A1"/>
    </sheetView>
  </sheetViews>
  <sheetFormatPr defaultColWidth="8.70967741935484" defaultRowHeight="13.1"/>
  <cols>
    <col min="1" max="16384" width="10.6290322580645" style="1"/>
  </cols>
  <sheetData>
    <row r="1" s="25" customFormat="1" spans="1:1">
      <c r="A1" s="2" t="s">
        <v>390</v>
      </c>
    </row>
    <row r="3" spans="2:4">
      <c r="B3" s="3" t="s">
        <v>391</v>
      </c>
      <c r="D3" s="1" t="s">
        <v>392</v>
      </c>
    </row>
    <row r="4" spans="2:4">
      <c r="B4" s="3" t="s">
        <v>393</v>
      </c>
      <c r="D4" s="1" t="s">
        <v>394</v>
      </c>
    </row>
    <row r="5" spans="2:4">
      <c r="B5" s="3" t="s">
        <v>395</v>
      </c>
      <c r="D5" s="1" t="s">
        <v>396</v>
      </c>
    </row>
    <row r="6" spans="2:4">
      <c r="B6" s="3" t="s">
        <v>397</v>
      </c>
      <c r="D6" s="1" t="s">
        <v>398</v>
      </c>
    </row>
    <row r="7" spans="2:4">
      <c r="B7" s="3" t="s">
        <v>399</v>
      </c>
      <c r="D7" s="1" t="s">
        <v>400</v>
      </c>
    </row>
    <row r="10" s="25" customFormat="1" spans="1:1">
      <c r="A10" s="2" t="s">
        <v>401</v>
      </c>
    </row>
    <row r="12" spans="2:12">
      <c r="B12" s="27" t="s">
        <v>402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</row>
    <row r="14" spans="2:4">
      <c r="B14" s="171" t="s">
        <v>403</v>
      </c>
      <c r="C14" s="171"/>
      <c r="D14" s="171"/>
    </row>
    <row r="15" spans="2:4">
      <c r="B15" s="73" t="s">
        <v>404</v>
      </c>
      <c r="C15" s="73"/>
      <c r="D15" s="73"/>
    </row>
    <row r="16" spans="2:4">
      <c r="B16" s="15" t="s">
        <v>405</v>
      </c>
      <c r="C16" s="15"/>
      <c r="D16" s="15"/>
    </row>
    <row r="17" spans="2:4">
      <c r="B17" s="172" t="s">
        <v>406</v>
      </c>
      <c r="C17" s="172"/>
      <c r="D17" s="172"/>
    </row>
    <row r="19" spans="2:12">
      <c r="B19" s="27" t="s">
        <v>407</v>
      </c>
      <c r="C19" s="27"/>
      <c r="D19" s="27"/>
      <c r="E19" s="27"/>
      <c r="F19" s="27"/>
      <c r="G19" s="27"/>
      <c r="H19" s="27"/>
      <c r="I19" s="27"/>
      <c r="J19" s="27"/>
      <c r="K19" s="27"/>
      <c r="L19" s="27"/>
    </row>
    <row r="21" spans="2:4">
      <c r="B21" s="143" t="s">
        <v>408</v>
      </c>
      <c r="C21" s="112"/>
      <c r="D21" s="112"/>
    </row>
    <row r="22" spans="2:2">
      <c r="B22" s="4" t="s">
        <v>409</v>
      </c>
    </row>
    <row r="23" spans="2:2">
      <c r="B23" s="5" t="s">
        <v>410</v>
      </c>
    </row>
    <row r="24" spans="2:2">
      <c r="B24" s="1" t="s">
        <v>411</v>
      </c>
    </row>
    <row r="25" spans="2:2">
      <c r="B25" s="44" t="s">
        <v>412</v>
      </c>
    </row>
    <row r="27" spans="2:4">
      <c r="B27" s="173" t="s">
        <v>413</v>
      </c>
      <c r="C27" s="174"/>
      <c r="D27" s="174"/>
    </row>
    <row r="28" spans="2:4">
      <c r="B28" s="175" t="s">
        <v>414</v>
      </c>
      <c r="C28" s="176"/>
      <c r="D28" s="176"/>
    </row>
    <row r="29" spans="2:4">
      <c r="B29" s="177" t="s">
        <v>415</v>
      </c>
      <c r="C29" s="178"/>
      <c r="D29" s="178"/>
    </row>
    <row r="30" spans="2:4">
      <c r="B30" s="11" t="s">
        <v>416</v>
      </c>
      <c r="C30" s="179"/>
      <c r="D30" s="179"/>
    </row>
    <row r="31" spans="2:4">
      <c r="B31" s="12" t="s">
        <v>417</v>
      </c>
      <c r="C31" s="180"/>
      <c r="D31" s="180"/>
    </row>
    <row r="33" spans="2:12">
      <c r="B33" s="27" t="s">
        <v>418</v>
      </c>
      <c r="C33" s="27"/>
      <c r="D33" s="27"/>
      <c r="E33" s="27"/>
      <c r="F33" s="27"/>
      <c r="G33" s="27"/>
      <c r="H33" s="27"/>
      <c r="I33" s="27"/>
      <c r="J33" s="27"/>
      <c r="K33" s="27"/>
      <c r="L33" s="27"/>
    </row>
    <row r="35" spans="2:2">
      <c r="B35" s="1" t="s">
        <v>419</v>
      </c>
    </row>
    <row r="36" spans="2:2">
      <c r="B36" s="1" t="s">
        <v>420</v>
      </c>
    </row>
    <row r="39" s="25" customFormat="1" spans="1:1">
      <c r="A39" s="2" t="s">
        <v>421</v>
      </c>
    </row>
    <row r="41" spans="2:12">
      <c r="B41" s="27" t="s">
        <v>422</v>
      </c>
      <c r="C41" s="27"/>
      <c r="D41" s="27" t="s">
        <v>423</v>
      </c>
      <c r="E41" s="27"/>
      <c r="F41" s="27"/>
      <c r="G41" s="27"/>
      <c r="H41" s="27"/>
      <c r="I41" s="27"/>
      <c r="J41" s="27"/>
      <c r="K41" s="27"/>
      <c r="L41" s="27"/>
    </row>
    <row r="43" spans="2:5">
      <c r="B43" s="1" t="s">
        <v>424</v>
      </c>
      <c r="E43" s="1" t="s">
        <v>425</v>
      </c>
    </row>
    <row r="45" spans="2:12">
      <c r="B45" s="27" t="s">
        <v>426</v>
      </c>
      <c r="C45" s="27"/>
      <c r="D45" s="27"/>
      <c r="E45" s="27"/>
      <c r="F45" s="27"/>
      <c r="G45" s="27"/>
      <c r="H45" s="27"/>
      <c r="I45" s="27"/>
      <c r="J45" s="27"/>
      <c r="K45" s="27"/>
      <c r="L45" s="27"/>
    </row>
    <row r="47" spans="2:5">
      <c r="B47" s="1" t="s">
        <v>427</v>
      </c>
      <c r="E47" s="1" t="s">
        <v>428</v>
      </c>
    </row>
    <row r="50" s="25" customFormat="1" spans="1:1">
      <c r="A50" s="2"/>
    </row>
  </sheetData>
  <hyperlinks>
    <hyperlink ref="B3" location="总规划!A1" display="总规划"/>
    <hyperlink ref="B4" location="养成规划!A1" display="养成规划"/>
    <hyperlink ref="B7" location="控制台!A1" display="控制台"/>
    <hyperlink ref="B5" location="运营对接!A1" display="运营对接"/>
    <hyperlink ref="B6" location="战斗对接!A1" display="战斗对接"/>
  </hyperlinks>
  <pageMargins left="0.699305555555556" right="0.699305555555556" top="0.75" bottom="0.75" header="0.3" footer="0.3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011">
    <tabColor theme="7" tint="0.599993896298105"/>
  </sheetPr>
  <dimension ref="A1:AJ345"/>
  <sheetViews>
    <sheetView tabSelected="1" zoomScale="70" zoomScaleNormal="70" topLeftCell="AD48" workbookViewId="0">
      <selection activeCell="M172" sqref="M172"/>
    </sheetView>
  </sheetViews>
  <sheetFormatPr defaultColWidth="8.70967741935484" defaultRowHeight="13.1"/>
  <cols>
    <col min="1" max="1" width="10.6290322580645" style="1"/>
    <col min="2" max="2" width="29.1290322580645" style="1" customWidth="1"/>
    <col min="3" max="3" width="24.3790322580645" style="1" customWidth="1"/>
    <col min="4" max="15" width="10.6290322580645" style="1"/>
    <col min="16" max="17" width="10.6290322580645" style="1" customWidth="1"/>
    <col min="18" max="16384" width="10.6290322580645" style="1"/>
  </cols>
  <sheetData>
    <row r="1" spans="1:1">
      <c r="A1" s="3" t="s">
        <v>429</v>
      </c>
    </row>
    <row r="3" s="25" customFormat="1" spans="1:1">
      <c r="A3" s="2" t="s">
        <v>390</v>
      </c>
    </row>
    <row r="5" spans="2:2">
      <c r="B5" s="3" t="s">
        <v>430</v>
      </c>
    </row>
    <row r="6" spans="2:2">
      <c r="B6" s="3" t="s">
        <v>431</v>
      </c>
    </row>
    <row r="7" spans="2:2">
      <c r="B7" s="3" t="s">
        <v>432</v>
      </c>
    </row>
    <row r="8" spans="2:2">
      <c r="B8" s="3" t="s">
        <v>433</v>
      </c>
    </row>
    <row r="9" spans="2:2">
      <c r="B9" s="3" t="s">
        <v>434</v>
      </c>
    </row>
    <row r="10" spans="2:2">
      <c r="B10" s="3" t="s">
        <v>435</v>
      </c>
    </row>
    <row r="13" s="25" customFormat="1" spans="1:3">
      <c r="A13" s="2" t="s">
        <v>430</v>
      </c>
      <c r="C13" s="26" t="s">
        <v>436</v>
      </c>
    </row>
    <row r="15" ht="15.4" spans="2:2">
      <c r="B15" s="1" t="s">
        <v>437</v>
      </c>
    </row>
    <row r="16" spans="2:2">
      <c r="B16" s="1" t="s">
        <v>438</v>
      </c>
    </row>
    <row r="17" spans="3:3">
      <c r="C17" s="5" t="s">
        <v>439</v>
      </c>
    </row>
    <row r="18" spans="3:3">
      <c r="C18" s="5" t="s">
        <v>440</v>
      </c>
    </row>
    <row r="19" ht="15.4" spans="2:2">
      <c r="B19" s="1" t="s">
        <v>441</v>
      </c>
    </row>
    <row r="20" spans="2:2">
      <c r="B20" s="1" t="s">
        <v>442</v>
      </c>
    </row>
    <row r="21" ht="15.4" spans="2:2">
      <c r="B21" s="1" t="s">
        <v>443</v>
      </c>
    </row>
    <row r="22" spans="2:2">
      <c r="B22" s="1" t="s">
        <v>444</v>
      </c>
    </row>
    <row r="23" spans="3:3">
      <c r="C23" s="5" t="s">
        <v>445</v>
      </c>
    </row>
    <row r="24" spans="3:3">
      <c r="C24" s="5" t="s">
        <v>446</v>
      </c>
    </row>
    <row r="25" spans="3:3">
      <c r="C25" s="5" t="s">
        <v>447</v>
      </c>
    </row>
    <row r="28" s="25" customFormat="1" spans="1:3">
      <c r="A28" s="2" t="s">
        <v>431</v>
      </c>
      <c r="C28" s="26" t="s">
        <v>436</v>
      </c>
    </row>
    <row r="29" spans="1:2">
      <c r="A29" s="23"/>
      <c r="B29" s="29"/>
    </row>
    <row r="30" spans="2:12">
      <c r="B30" s="27" t="s">
        <v>448</v>
      </c>
      <c r="C30" s="27"/>
      <c r="D30" s="27"/>
      <c r="E30" s="27"/>
      <c r="F30" s="27"/>
      <c r="G30" s="27"/>
      <c r="H30" s="27"/>
      <c r="I30" s="27"/>
      <c r="J30" s="27"/>
      <c r="K30" s="27"/>
      <c r="L30" s="27"/>
    </row>
    <row r="32" spans="2:4">
      <c r="B32" s="1" t="s">
        <v>449</v>
      </c>
      <c r="C32" s="1" t="s">
        <v>450</v>
      </c>
      <c r="D32" s="1" t="s">
        <v>451</v>
      </c>
    </row>
    <row r="33" spans="2:4">
      <c r="B33" s="1" t="s">
        <v>452</v>
      </c>
      <c r="C33" s="1" t="s">
        <v>450</v>
      </c>
      <c r="D33" s="1" t="s">
        <v>451</v>
      </c>
    </row>
    <row r="35" spans="2:4">
      <c r="B35" s="1" t="s">
        <v>453</v>
      </c>
      <c r="C35" s="1" t="s">
        <v>450</v>
      </c>
      <c r="D35" s="1" t="s">
        <v>454</v>
      </c>
    </row>
    <row r="36" spans="2:4">
      <c r="B36" s="1" t="s">
        <v>455</v>
      </c>
      <c r="C36" s="1" t="s">
        <v>450</v>
      </c>
      <c r="D36" s="1" t="s">
        <v>456</v>
      </c>
    </row>
    <row r="37" spans="2:4">
      <c r="B37" s="1" t="s">
        <v>457</v>
      </c>
      <c r="C37" s="1" t="s">
        <v>450</v>
      </c>
      <c r="D37" s="1" t="s">
        <v>458</v>
      </c>
    </row>
    <row r="38" spans="2:4">
      <c r="B38" s="1" t="s">
        <v>459</v>
      </c>
      <c r="C38" s="1" t="s">
        <v>450</v>
      </c>
      <c r="D38" s="1" t="s">
        <v>460</v>
      </c>
    </row>
    <row r="39" spans="2:4">
      <c r="B39" s="1" t="s">
        <v>461</v>
      </c>
      <c r="C39" s="1" t="s">
        <v>450</v>
      </c>
      <c r="D39" s="1" t="s">
        <v>462</v>
      </c>
    </row>
    <row r="41" spans="2:4">
      <c r="B41" s="1" t="s">
        <v>463</v>
      </c>
      <c r="C41" s="1" t="s">
        <v>450</v>
      </c>
      <c r="D41" s="1" t="s">
        <v>464</v>
      </c>
    </row>
    <row r="43" spans="2:4">
      <c r="B43" s="1" t="s">
        <v>465</v>
      </c>
      <c r="C43" s="1" t="s">
        <v>450</v>
      </c>
      <c r="D43" s="1" t="s">
        <v>466</v>
      </c>
    </row>
    <row r="44" spans="2:4">
      <c r="B44" s="1" t="s">
        <v>467</v>
      </c>
      <c r="C44" s="1" t="s">
        <v>450</v>
      </c>
      <c r="D44" s="1" t="s">
        <v>468</v>
      </c>
    </row>
    <row r="45" spans="2:4">
      <c r="B45" s="1" t="s">
        <v>469</v>
      </c>
      <c r="C45" s="1" t="s">
        <v>450</v>
      </c>
      <c r="D45" s="1" t="s">
        <v>470</v>
      </c>
    </row>
    <row r="47" spans="2:4">
      <c r="B47" s="1" t="s">
        <v>471</v>
      </c>
      <c r="C47" s="1" t="s">
        <v>450</v>
      </c>
      <c r="D47" s="1" t="s">
        <v>472</v>
      </c>
    </row>
    <row r="48" spans="2:4">
      <c r="B48" s="1" t="s">
        <v>473</v>
      </c>
      <c r="C48" s="1" t="s">
        <v>450</v>
      </c>
      <c r="D48" s="1" t="s">
        <v>474</v>
      </c>
    </row>
    <row r="49" spans="1:2">
      <c r="A49" s="23"/>
      <c r="B49" s="29"/>
    </row>
    <row r="50" spans="2:12">
      <c r="B50" s="27" t="s">
        <v>475</v>
      </c>
      <c r="C50" s="27"/>
      <c r="D50" s="27"/>
      <c r="E50" s="27"/>
      <c r="F50" s="27"/>
      <c r="G50" s="27"/>
      <c r="H50" s="27"/>
      <c r="I50" s="27"/>
      <c r="J50" s="27"/>
      <c r="K50" s="27"/>
      <c r="L50" s="27"/>
    </row>
    <row r="52" spans="2:4">
      <c r="B52" s="1" t="s">
        <v>476</v>
      </c>
      <c r="D52" s="30" t="s">
        <v>477</v>
      </c>
    </row>
    <row r="53" spans="2:4">
      <c r="B53" s="1" t="s">
        <v>478</v>
      </c>
      <c r="D53" s="30" t="s">
        <v>477</v>
      </c>
    </row>
    <row r="54" spans="2:4">
      <c r="B54" s="1" t="s">
        <v>454</v>
      </c>
      <c r="D54" s="30"/>
    </row>
    <row r="55" spans="2:4">
      <c r="B55" s="1" t="s">
        <v>479</v>
      </c>
      <c r="D55" s="30" t="s">
        <v>480</v>
      </c>
    </row>
    <row r="56" spans="2:4">
      <c r="B56" s="1" t="s">
        <v>379</v>
      </c>
      <c r="D56" s="30" t="s">
        <v>480</v>
      </c>
    </row>
    <row r="57" spans="2:4">
      <c r="B57" s="1" t="s">
        <v>481</v>
      </c>
      <c r="D57" s="30"/>
    </row>
    <row r="58" spans="2:4">
      <c r="B58" s="1" t="s">
        <v>482</v>
      </c>
      <c r="D58" s="30"/>
    </row>
    <row r="59" spans="2:4">
      <c r="B59" s="1" t="s">
        <v>458</v>
      </c>
      <c r="D59" s="30"/>
    </row>
    <row r="60" spans="2:4">
      <c r="B60" s="1" t="s">
        <v>462</v>
      </c>
      <c r="D60" s="30"/>
    </row>
    <row r="61" spans="2:4">
      <c r="B61" s="1" t="s">
        <v>483</v>
      </c>
      <c r="D61" s="30" t="s">
        <v>480</v>
      </c>
    </row>
    <row r="62" spans="2:4">
      <c r="B62" s="1" t="s">
        <v>484</v>
      </c>
      <c r="D62" s="30" t="s">
        <v>485</v>
      </c>
    </row>
    <row r="63" spans="2:4">
      <c r="B63" s="1" t="s">
        <v>466</v>
      </c>
      <c r="D63" s="30" t="s">
        <v>486</v>
      </c>
    </row>
    <row r="64" spans="2:4">
      <c r="B64" s="1" t="s">
        <v>468</v>
      </c>
      <c r="D64" s="30"/>
    </row>
    <row r="65" spans="2:4">
      <c r="B65" s="1" t="s">
        <v>470</v>
      </c>
      <c r="D65" s="30" t="s">
        <v>486</v>
      </c>
    </row>
    <row r="66" spans="2:4">
      <c r="B66" s="1" t="s">
        <v>472</v>
      </c>
      <c r="D66" s="30"/>
    </row>
    <row r="67" spans="2:4">
      <c r="B67" s="1" t="s">
        <v>487</v>
      </c>
      <c r="D67" s="30" t="s">
        <v>477</v>
      </c>
    </row>
    <row r="70" s="25" customFormat="1" spans="1:3">
      <c r="A70" s="2" t="s">
        <v>432</v>
      </c>
      <c r="C70" s="26" t="s">
        <v>436</v>
      </c>
    </row>
    <row r="71" spans="1:2">
      <c r="A71" s="23"/>
      <c r="B71" s="29"/>
    </row>
    <row r="72" spans="1:12">
      <c r="A72" s="23"/>
      <c r="B72" s="27" t="s">
        <v>488</v>
      </c>
      <c r="C72" s="27"/>
      <c r="D72" s="27"/>
      <c r="E72" s="27"/>
      <c r="F72" s="27"/>
      <c r="G72" s="27"/>
      <c r="H72" s="27"/>
      <c r="I72" s="27"/>
      <c r="J72" s="27"/>
      <c r="K72" s="27"/>
      <c r="L72" s="27"/>
    </row>
    <row r="73" ht="13.85" spans="1:2">
      <c r="A73" s="23"/>
      <c r="B73" s="29"/>
    </row>
    <row r="74" spans="1:11">
      <c r="A74" s="23"/>
      <c r="B74" s="1" t="s">
        <v>489</v>
      </c>
      <c r="D74" s="141">
        <v>10</v>
      </c>
      <c r="H74" s="144" t="str">
        <f t="array" ref="H74:K74">TRANSPOSE(B74:B77)</f>
        <v>A档</v>
      </c>
      <c r="I74" s="145" t="str">
        <v>B档</v>
      </c>
      <c r="J74" s="145" t="str">
        <v>C档</v>
      </c>
      <c r="K74" s="146" t="str">
        <v>D档</v>
      </c>
    </row>
    <row r="75" ht="13.85" spans="1:11">
      <c r="A75" s="23"/>
      <c r="B75" s="1" t="s">
        <v>490</v>
      </c>
      <c r="D75" s="141">
        <v>2</v>
      </c>
      <c r="H75" s="121">
        <f t="array" ref="H75:K75">TRANSPOSE(D74:D77)</f>
        <v>10</v>
      </c>
      <c r="I75" s="120">
        <v>2</v>
      </c>
      <c r="J75" s="120">
        <v>1</v>
      </c>
      <c r="K75" s="124">
        <v>0.3</v>
      </c>
    </row>
    <row r="76" spans="1:4">
      <c r="A76" s="23"/>
      <c r="B76" s="1" t="s">
        <v>491</v>
      </c>
      <c r="D76" s="141">
        <v>1</v>
      </c>
    </row>
    <row r="77" spans="1:4">
      <c r="A77" s="23"/>
      <c r="B77" s="1" t="s">
        <v>492</v>
      </c>
      <c r="D77" s="141">
        <v>0.3</v>
      </c>
    </row>
    <row r="78" spans="1:2">
      <c r="A78" s="23"/>
      <c r="B78" s="29"/>
    </row>
    <row r="79" spans="1:12">
      <c r="A79" s="23"/>
      <c r="B79" s="27" t="s">
        <v>493</v>
      </c>
      <c r="C79" s="27"/>
      <c r="D79" s="27"/>
      <c r="E79" s="27"/>
      <c r="F79" s="27"/>
      <c r="G79" s="27"/>
      <c r="H79" s="27"/>
      <c r="I79" s="27"/>
      <c r="J79" s="27"/>
      <c r="K79" s="27"/>
      <c r="L79" s="27"/>
    </row>
    <row r="80" spans="1:2">
      <c r="A80" s="23"/>
      <c r="B80" s="29"/>
    </row>
    <row r="81" spans="1:4">
      <c r="A81" s="23"/>
      <c r="B81" s="86" t="s">
        <v>494</v>
      </c>
      <c r="D81" s="5" t="s">
        <v>495</v>
      </c>
    </row>
    <row r="82" spans="1:4">
      <c r="A82" s="23"/>
      <c r="B82" s="86" t="s">
        <v>496</v>
      </c>
      <c r="D82" s="5" t="s">
        <v>497</v>
      </c>
    </row>
    <row r="83" spans="1:2">
      <c r="A83" s="23"/>
      <c r="B83" s="29"/>
    </row>
    <row r="84" spans="1:34">
      <c r="A84" s="23"/>
      <c r="B84" s="29" t="s">
        <v>498</v>
      </c>
      <c r="D84" s="29" t="s">
        <v>499</v>
      </c>
      <c r="E84" s="29"/>
      <c r="F84" s="29" t="s">
        <v>500</v>
      </c>
      <c r="G84" s="29"/>
      <c r="H84" s="29" t="s">
        <v>501</v>
      </c>
      <c r="I84" s="29"/>
      <c r="J84" s="29"/>
      <c r="K84" s="29"/>
      <c r="L84" s="29"/>
      <c r="M84" s="29" t="s">
        <v>502</v>
      </c>
      <c r="N84" s="29" t="s">
        <v>503</v>
      </c>
      <c r="O84" s="29" t="s">
        <v>504</v>
      </c>
      <c r="P84" s="29" t="s">
        <v>505</v>
      </c>
      <c r="Q84" s="29" t="s">
        <v>506</v>
      </c>
      <c r="S84" s="29" t="s">
        <v>507</v>
      </c>
      <c r="X84" s="29" t="s">
        <v>508</v>
      </c>
      <c r="AC84" s="29" t="s">
        <v>509</v>
      </c>
      <c r="AH84" s="29" t="s">
        <v>510</v>
      </c>
    </row>
    <row r="85" spans="2:36">
      <c r="B85" s="1" t="s">
        <v>476</v>
      </c>
      <c r="D85" s="142">
        <v>14</v>
      </c>
      <c r="E85" s="8"/>
      <c r="F85" s="142">
        <v>4</v>
      </c>
      <c r="G85" s="8"/>
      <c r="H85" s="8">
        <f t="shared" ref="H85:K95" si="0">H$75*$F85</f>
        <v>40</v>
      </c>
      <c r="I85" s="8">
        <f>I$75*$F85</f>
        <v>8</v>
      </c>
      <c r="J85" s="8">
        <f t="shared" si="0"/>
        <v>4</v>
      </c>
      <c r="K85" s="8">
        <f t="shared" si="0"/>
        <v>1.2</v>
      </c>
      <c r="L85" s="8"/>
      <c r="M85" s="8">
        <f t="shared" ref="M85:M100" si="1">D85</f>
        <v>14</v>
      </c>
      <c r="N85" s="142">
        <v>12</v>
      </c>
      <c r="O85" s="142">
        <v>10</v>
      </c>
      <c r="P85" s="142">
        <v>1</v>
      </c>
      <c r="Q85" s="142">
        <v>1</v>
      </c>
      <c r="S85" s="28">
        <f t="shared" ref="S85:S100" si="2">IFERROR((M85-N85)*30/H85*100,0)</f>
        <v>150</v>
      </c>
      <c r="T85" s="28">
        <f t="shared" ref="T85:T98" si="3">IFERROR((N85-O85)*30/I85*100,0)</f>
        <v>750</v>
      </c>
      <c r="U85" s="28">
        <f t="shared" ref="U85:U100" si="4">IFERROR((O85-P85)*30/J85*100,0)</f>
        <v>6750</v>
      </c>
      <c r="V85" s="28">
        <f>IFERROR((P85-Q85)*30/K85*100,0)</f>
        <v>0</v>
      </c>
      <c r="X85" s="28">
        <f t="shared" ref="X85:X101" si="5">S85</f>
        <v>150</v>
      </c>
      <c r="Y85" s="28">
        <f t="shared" ref="Y85:Y101" si="6">X85+T85</f>
        <v>900</v>
      </c>
      <c r="Z85" s="28">
        <f t="shared" ref="Z85:Z101" si="7">Y85+U85</f>
        <v>7650</v>
      </c>
      <c r="AA85" s="28">
        <f t="shared" ref="AA85:AA101" si="8">Z85+V85</f>
        <v>7650</v>
      </c>
      <c r="AC85" s="28">
        <f t="shared" ref="AC85:AC100" si="9">X85/N85</f>
        <v>12.5</v>
      </c>
      <c r="AD85" s="28">
        <f t="shared" ref="AD85:AD98" si="10">Y85/O85</f>
        <v>90</v>
      </c>
      <c r="AE85" s="28">
        <f t="shared" ref="AE85:AE98" si="11">Z85/P85</f>
        <v>7650</v>
      </c>
      <c r="AF85" s="28">
        <f t="shared" ref="AF85:AF98" si="12">AA85/Q85</f>
        <v>7650</v>
      </c>
      <c r="AH85" s="147">
        <f t="shared" ref="AH85:AH98" si="13">S85/N85</f>
        <v>12.5</v>
      </c>
      <c r="AI85" s="147">
        <f t="shared" ref="AI85:AI98" si="14">T85/O85</f>
        <v>75</v>
      </c>
      <c r="AJ85" s="147">
        <f t="shared" ref="AJ85:AJ98" si="15">U85/P85</f>
        <v>6750</v>
      </c>
    </row>
    <row r="86" spans="2:36">
      <c r="B86" s="1" t="s">
        <v>478</v>
      </c>
      <c r="D86" s="142">
        <v>14</v>
      </c>
      <c r="E86" s="8"/>
      <c r="F86" s="142">
        <v>4</v>
      </c>
      <c r="G86" s="8"/>
      <c r="H86" s="8">
        <f t="shared" si="0"/>
        <v>40</v>
      </c>
      <c r="I86" s="8">
        <f t="shared" si="0"/>
        <v>8</v>
      </c>
      <c r="J86" s="8">
        <f t="shared" si="0"/>
        <v>4</v>
      </c>
      <c r="K86" s="8">
        <f t="shared" si="0"/>
        <v>1.2</v>
      </c>
      <c r="L86" s="8"/>
      <c r="M86" s="8">
        <f t="shared" si="1"/>
        <v>14</v>
      </c>
      <c r="N86" s="142">
        <v>12</v>
      </c>
      <c r="O86" s="142">
        <v>10</v>
      </c>
      <c r="P86" s="142">
        <v>1</v>
      </c>
      <c r="Q86" s="142">
        <v>1</v>
      </c>
      <c r="S86" s="28">
        <f t="shared" si="2"/>
        <v>150</v>
      </c>
      <c r="T86" s="28">
        <f t="shared" si="3"/>
        <v>750</v>
      </c>
      <c r="U86" s="28">
        <f t="shared" si="4"/>
        <v>6750</v>
      </c>
      <c r="V86" s="28">
        <f t="shared" ref="V86:V100" si="16">IFERROR((P86-Q86)*30/K86*100,0)</f>
        <v>0</v>
      </c>
      <c r="X86" s="28">
        <f t="shared" si="5"/>
        <v>150</v>
      </c>
      <c r="Y86" s="28">
        <f t="shared" si="6"/>
        <v>900</v>
      </c>
      <c r="Z86" s="28">
        <f t="shared" si="7"/>
        <v>7650</v>
      </c>
      <c r="AA86" s="28">
        <f t="shared" si="8"/>
        <v>7650</v>
      </c>
      <c r="AC86" s="28">
        <f t="shared" si="9"/>
        <v>12.5</v>
      </c>
      <c r="AD86" s="28">
        <f t="shared" si="10"/>
        <v>90</v>
      </c>
      <c r="AE86" s="28">
        <f t="shared" si="11"/>
        <v>7650</v>
      </c>
      <c r="AF86" s="28">
        <f t="shared" si="12"/>
        <v>7650</v>
      </c>
      <c r="AH86" s="147">
        <f t="shared" si="13"/>
        <v>12.5</v>
      </c>
      <c r="AI86" s="147">
        <f t="shared" si="14"/>
        <v>75</v>
      </c>
      <c r="AJ86" s="147">
        <f t="shared" si="15"/>
        <v>6750</v>
      </c>
    </row>
    <row r="87" spans="2:36">
      <c r="B87" s="1" t="s">
        <v>454</v>
      </c>
      <c r="D87" s="142">
        <v>16</v>
      </c>
      <c r="E87" s="8"/>
      <c r="F87" s="142">
        <v>4</v>
      </c>
      <c r="G87" s="8"/>
      <c r="H87" s="8">
        <f t="shared" si="0"/>
        <v>40</v>
      </c>
      <c r="I87" s="8">
        <f t="shared" si="0"/>
        <v>8</v>
      </c>
      <c r="J87" s="8">
        <f t="shared" si="0"/>
        <v>4</v>
      </c>
      <c r="K87" s="8">
        <f t="shared" si="0"/>
        <v>1.2</v>
      </c>
      <c r="L87" s="8"/>
      <c r="M87" s="8">
        <f t="shared" si="1"/>
        <v>16</v>
      </c>
      <c r="N87" s="142">
        <v>12</v>
      </c>
      <c r="O87" s="142">
        <v>10</v>
      </c>
      <c r="P87" s="142">
        <v>2</v>
      </c>
      <c r="Q87" s="142">
        <v>1</v>
      </c>
      <c r="S87" s="28">
        <f t="shared" si="2"/>
        <v>300</v>
      </c>
      <c r="T87" s="28">
        <f t="shared" si="3"/>
        <v>750</v>
      </c>
      <c r="U87" s="28">
        <f t="shared" si="4"/>
        <v>6000</v>
      </c>
      <c r="V87" s="28">
        <f t="shared" si="16"/>
        <v>2500</v>
      </c>
      <c r="X87" s="28">
        <f t="shared" si="5"/>
        <v>300</v>
      </c>
      <c r="Y87" s="28">
        <f t="shared" si="6"/>
        <v>1050</v>
      </c>
      <c r="Z87" s="28">
        <f t="shared" si="7"/>
        <v>7050</v>
      </c>
      <c r="AA87" s="28">
        <f t="shared" si="8"/>
        <v>9550</v>
      </c>
      <c r="AC87" s="28">
        <f t="shared" si="9"/>
        <v>25</v>
      </c>
      <c r="AD87" s="28">
        <f t="shared" si="10"/>
        <v>105</v>
      </c>
      <c r="AE87" s="28">
        <f t="shared" si="11"/>
        <v>3525</v>
      </c>
      <c r="AF87" s="28">
        <f t="shared" si="12"/>
        <v>9550</v>
      </c>
      <c r="AH87" s="147">
        <f t="shared" si="13"/>
        <v>25</v>
      </c>
      <c r="AI87" s="147">
        <f t="shared" si="14"/>
        <v>75</v>
      </c>
      <c r="AJ87" s="147">
        <f t="shared" si="15"/>
        <v>3000</v>
      </c>
    </row>
    <row r="88" spans="2:36">
      <c r="B88" s="1" t="s">
        <v>479</v>
      </c>
      <c r="D88" s="142">
        <v>14</v>
      </c>
      <c r="E88" s="8"/>
      <c r="F88" s="142">
        <v>4</v>
      </c>
      <c r="G88" s="8"/>
      <c r="H88" s="8">
        <f t="shared" si="0"/>
        <v>40</v>
      </c>
      <c r="I88" s="8">
        <f t="shared" si="0"/>
        <v>8</v>
      </c>
      <c r="J88" s="8">
        <f t="shared" si="0"/>
        <v>4</v>
      </c>
      <c r="K88" s="8">
        <f t="shared" si="0"/>
        <v>1.2</v>
      </c>
      <c r="L88" s="8"/>
      <c r="M88" s="8">
        <f t="shared" si="1"/>
        <v>14</v>
      </c>
      <c r="N88" s="142">
        <v>12</v>
      </c>
      <c r="O88" s="142">
        <v>10</v>
      </c>
      <c r="P88" s="142">
        <v>2</v>
      </c>
      <c r="Q88" s="142">
        <v>1</v>
      </c>
      <c r="S88" s="28">
        <f t="shared" si="2"/>
        <v>150</v>
      </c>
      <c r="T88" s="28">
        <f t="shared" si="3"/>
        <v>750</v>
      </c>
      <c r="U88" s="28">
        <f t="shared" si="4"/>
        <v>6000</v>
      </c>
      <c r="V88" s="28">
        <f t="shared" si="16"/>
        <v>2500</v>
      </c>
      <c r="X88" s="28">
        <f t="shared" si="5"/>
        <v>150</v>
      </c>
      <c r="Y88" s="28">
        <f t="shared" si="6"/>
        <v>900</v>
      </c>
      <c r="Z88" s="28">
        <f t="shared" si="7"/>
        <v>6900</v>
      </c>
      <c r="AA88" s="28">
        <f t="shared" si="8"/>
        <v>9400</v>
      </c>
      <c r="AC88" s="28">
        <f t="shared" si="9"/>
        <v>12.5</v>
      </c>
      <c r="AD88" s="28">
        <f t="shared" si="10"/>
        <v>90</v>
      </c>
      <c r="AE88" s="28">
        <f t="shared" si="11"/>
        <v>3450</v>
      </c>
      <c r="AF88" s="28">
        <f t="shared" si="12"/>
        <v>9400</v>
      </c>
      <c r="AH88" s="147">
        <f t="shared" si="13"/>
        <v>12.5</v>
      </c>
      <c r="AI88" s="147">
        <f t="shared" si="14"/>
        <v>75</v>
      </c>
      <c r="AJ88" s="147">
        <f t="shared" si="15"/>
        <v>3000</v>
      </c>
    </row>
    <row r="89" spans="2:36">
      <c r="B89" s="1" t="s">
        <v>379</v>
      </c>
      <c r="D89" s="142">
        <v>16</v>
      </c>
      <c r="E89" s="8"/>
      <c r="F89" s="142">
        <v>4</v>
      </c>
      <c r="G89" s="8"/>
      <c r="H89" s="8">
        <f t="shared" si="0"/>
        <v>40</v>
      </c>
      <c r="I89" s="8">
        <f t="shared" si="0"/>
        <v>8</v>
      </c>
      <c r="J89" s="8">
        <f t="shared" si="0"/>
        <v>4</v>
      </c>
      <c r="K89" s="8">
        <f t="shared" si="0"/>
        <v>1.2</v>
      </c>
      <c r="L89" s="8"/>
      <c r="M89" s="8">
        <f t="shared" si="1"/>
        <v>16</v>
      </c>
      <c r="N89" s="142">
        <v>12</v>
      </c>
      <c r="O89" s="142">
        <v>10</v>
      </c>
      <c r="P89" s="142">
        <v>2</v>
      </c>
      <c r="Q89" s="142">
        <v>1</v>
      </c>
      <c r="S89" s="28">
        <f t="shared" si="2"/>
        <v>300</v>
      </c>
      <c r="T89" s="28">
        <f t="shared" si="3"/>
        <v>750</v>
      </c>
      <c r="U89" s="28">
        <f t="shared" si="4"/>
        <v>6000</v>
      </c>
      <c r="V89" s="28">
        <f t="shared" si="16"/>
        <v>2500</v>
      </c>
      <c r="X89" s="28">
        <f t="shared" si="5"/>
        <v>300</v>
      </c>
      <c r="Y89" s="28">
        <f t="shared" si="6"/>
        <v>1050</v>
      </c>
      <c r="Z89" s="28">
        <f t="shared" si="7"/>
        <v>7050</v>
      </c>
      <c r="AA89" s="28">
        <f t="shared" si="8"/>
        <v>9550</v>
      </c>
      <c r="AC89" s="28">
        <f t="shared" si="9"/>
        <v>25</v>
      </c>
      <c r="AD89" s="28">
        <f t="shared" si="10"/>
        <v>105</v>
      </c>
      <c r="AE89" s="28">
        <f t="shared" si="11"/>
        <v>3525</v>
      </c>
      <c r="AF89" s="28">
        <f t="shared" si="12"/>
        <v>9550</v>
      </c>
      <c r="AH89" s="147">
        <f t="shared" si="13"/>
        <v>25</v>
      </c>
      <c r="AI89" s="147">
        <f t="shared" si="14"/>
        <v>75</v>
      </c>
      <c r="AJ89" s="147">
        <f t="shared" si="15"/>
        <v>3000</v>
      </c>
    </row>
    <row r="90" spans="2:36">
      <c r="B90" s="1" t="s">
        <v>458</v>
      </c>
      <c r="D90" s="142">
        <v>16</v>
      </c>
      <c r="E90" s="8"/>
      <c r="F90" s="142">
        <v>4</v>
      </c>
      <c r="G90" s="8"/>
      <c r="H90" s="8">
        <f t="shared" ref="H90:K90" si="17">H$75*$F90</f>
        <v>40</v>
      </c>
      <c r="I90" s="8">
        <f t="shared" si="17"/>
        <v>8</v>
      </c>
      <c r="J90" s="8">
        <f t="shared" si="17"/>
        <v>4</v>
      </c>
      <c r="K90" s="8">
        <f t="shared" si="17"/>
        <v>1.2</v>
      </c>
      <c r="L90" s="8"/>
      <c r="M90" s="8">
        <f t="shared" si="1"/>
        <v>16</v>
      </c>
      <c r="N90" s="142">
        <v>12</v>
      </c>
      <c r="O90" s="142">
        <v>6</v>
      </c>
      <c r="P90" s="142">
        <v>2</v>
      </c>
      <c r="Q90" s="142">
        <v>1</v>
      </c>
      <c r="S90" s="28">
        <f t="shared" ref="S90:V90" si="18">IFERROR((M90-N90)*30/H90*100,0)</f>
        <v>300</v>
      </c>
      <c r="T90" s="28">
        <f t="shared" si="18"/>
        <v>2250</v>
      </c>
      <c r="U90" s="28">
        <f t="shared" si="18"/>
        <v>3000</v>
      </c>
      <c r="V90" s="28">
        <f t="shared" si="18"/>
        <v>2500</v>
      </c>
      <c r="X90" s="28">
        <f t="shared" si="5"/>
        <v>300</v>
      </c>
      <c r="Y90" s="28">
        <f t="shared" ref="Y90:AA90" si="19">X90+T90</f>
        <v>2550</v>
      </c>
      <c r="Z90" s="28">
        <f t="shared" si="19"/>
        <v>5550</v>
      </c>
      <c r="AA90" s="28">
        <f t="shared" si="19"/>
        <v>8050</v>
      </c>
      <c r="AC90" s="28">
        <f t="shared" ref="AC90:AF90" si="20">X90/N90</f>
        <v>25</v>
      </c>
      <c r="AD90" s="28">
        <f t="shared" si="20"/>
        <v>425</v>
      </c>
      <c r="AE90" s="28">
        <f t="shared" si="20"/>
        <v>2775</v>
      </c>
      <c r="AF90" s="28">
        <f t="shared" si="20"/>
        <v>8050</v>
      </c>
      <c r="AH90" s="147">
        <f t="shared" ref="AH90:AJ90" si="21">S90/N90</f>
        <v>25</v>
      </c>
      <c r="AI90" s="147">
        <f t="shared" si="21"/>
        <v>375</v>
      </c>
      <c r="AJ90" s="147">
        <f t="shared" si="21"/>
        <v>1500</v>
      </c>
    </row>
    <row r="91" spans="2:36">
      <c r="B91" s="1" t="s">
        <v>483</v>
      </c>
      <c r="D91" s="142">
        <v>28</v>
      </c>
      <c r="E91" s="8"/>
      <c r="F91" s="142">
        <v>4</v>
      </c>
      <c r="G91" s="8"/>
      <c r="H91" s="8">
        <f t="shared" ref="H91" si="22">H$75*$F91</f>
        <v>40</v>
      </c>
      <c r="I91" s="8">
        <f t="shared" si="0"/>
        <v>8</v>
      </c>
      <c r="J91" s="8">
        <f t="shared" si="0"/>
        <v>4</v>
      </c>
      <c r="K91" s="8">
        <f t="shared" si="0"/>
        <v>1.2</v>
      </c>
      <c r="L91" s="8"/>
      <c r="M91" s="8">
        <f t="shared" si="1"/>
        <v>28</v>
      </c>
      <c r="N91" s="142">
        <v>24</v>
      </c>
      <c r="O91" s="142">
        <v>20</v>
      </c>
      <c r="P91" s="142">
        <v>4</v>
      </c>
      <c r="Q91" s="142">
        <v>2</v>
      </c>
      <c r="S91" s="28">
        <f t="shared" si="2"/>
        <v>300</v>
      </c>
      <c r="T91" s="28">
        <f t="shared" si="3"/>
        <v>1500</v>
      </c>
      <c r="U91" s="28">
        <f t="shared" si="4"/>
        <v>12000</v>
      </c>
      <c r="V91" s="28">
        <f t="shared" si="16"/>
        <v>5000</v>
      </c>
      <c r="X91" s="28">
        <f t="shared" si="5"/>
        <v>300</v>
      </c>
      <c r="Y91" s="28">
        <f t="shared" si="6"/>
        <v>1800</v>
      </c>
      <c r="Z91" s="28">
        <f t="shared" si="7"/>
        <v>13800</v>
      </c>
      <c r="AA91" s="28">
        <f t="shared" si="8"/>
        <v>18800</v>
      </c>
      <c r="AC91" s="28">
        <f t="shared" si="9"/>
        <v>12.5</v>
      </c>
      <c r="AD91" s="28">
        <f t="shared" si="10"/>
        <v>90</v>
      </c>
      <c r="AE91" s="28">
        <f t="shared" si="11"/>
        <v>3450</v>
      </c>
      <c r="AF91" s="28">
        <f t="shared" si="12"/>
        <v>9400</v>
      </c>
      <c r="AH91" s="147">
        <f t="shared" si="13"/>
        <v>12.5</v>
      </c>
      <c r="AI91" s="147">
        <f t="shared" si="14"/>
        <v>75</v>
      </c>
      <c r="AJ91" s="147">
        <f t="shared" si="15"/>
        <v>3000</v>
      </c>
    </row>
    <row r="92" spans="2:36">
      <c r="B92" s="1" t="s">
        <v>484</v>
      </c>
      <c r="D92" s="142">
        <v>20</v>
      </c>
      <c r="E92" s="8"/>
      <c r="F92" s="142">
        <v>15</v>
      </c>
      <c r="G92" s="8"/>
      <c r="H92" s="8">
        <f t="shared" si="0"/>
        <v>150</v>
      </c>
      <c r="I92" s="8">
        <f t="shared" si="0"/>
        <v>30</v>
      </c>
      <c r="J92" s="8">
        <f t="shared" si="0"/>
        <v>15</v>
      </c>
      <c r="K92" s="8">
        <f t="shared" si="0"/>
        <v>4.5</v>
      </c>
      <c r="L92" s="8"/>
      <c r="M92" s="8">
        <f t="shared" si="1"/>
        <v>20</v>
      </c>
      <c r="N92" s="142">
        <v>20</v>
      </c>
      <c r="O92" s="142">
        <v>15</v>
      </c>
      <c r="P92" s="142">
        <v>8</v>
      </c>
      <c r="Q92" s="142">
        <v>8</v>
      </c>
      <c r="S92" s="28">
        <f t="shared" si="2"/>
        <v>0</v>
      </c>
      <c r="T92" s="28">
        <f t="shared" si="3"/>
        <v>500</v>
      </c>
      <c r="U92" s="28">
        <f t="shared" si="4"/>
        <v>1400</v>
      </c>
      <c r="V92" s="28">
        <f t="shared" si="16"/>
        <v>0</v>
      </c>
      <c r="X92" s="28">
        <f t="shared" si="5"/>
        <v>0</v>
      </c>
      <c r="Y92" s="28">
        <f t="shared" si="6"/>
        <v>500</v>
      </c>
      <c r="Z92" s="28">
        <f t="shared" si="7"/>
        <v>1900</v>
      </c>
      <c r="AA92" s="28">
        <f t="shared" si="8"/>
        <v>1900</v>
      </c>
      <c r="AC92" s="28">
        <f t="shared" si="9"/>
        <v>0</v>
      </c>
      <c r="AD92" s="28">
        <f t="shared" si="10"/>
        <v>33.3333333333333</v>
      </c>
      <c r="AE92" s="28">
        <f t="shared" si="11"/>
        <v>237.5</v>
      </c>
      <c r="AF92" s="28">
        <f t="shared" si="12"/>
        <v>237.5</v>
      </c>
      <c r="AH92" s="147">
        <f t="shared" si="13"/>
        <v>0</v>
      </c>
      <c r="AI92" s="147">
        <f t="shared" si="14"/>
        <v>33.3333333333333</v>
      </c>
      <c r="AJ92" s="147">
        <f t="shared" si="15"/>
        <v>175</v>
      </c>
    </row>
    <row r="93" spans="2:36">
      <c r="B93" s="1" t="s">
        <v>466</v>
      </c>
      <c r="D93" s="142">
        <v>14</v>
      </c>
      <c r="E93" s="8"/>
      <c r="F93" s="142">
        <v>4</v>
      </c>
      <c r="G93" s="8"/>
      <c r="H93" s="8">
        <f t="shared" si="0"/>
        <v>40</v>
      </c>
      <c r="I93" s="8">
        <f t="shared" si="0"/>
        <v>8</v>
      </c>
      <c r="J93" s="8">
        <f t="shared" si="0"/>
        <v>4</v>
      </c>
      <c r="K93" s="8">
        <f t="shared" si="0"/>
        <v>1.2</v>
      </c>
      <c r="L93" s="8"/>
      <c r="M93" s="8">
        <f t="shared" si="1"/>
        <v>14</v>
      </c>
      <c r="N93" s="142">
        <v>12</v>
      </c>
      <c r="O93" s="142">
        <v>10</v>
      </c>
      <c r="P93" s="142">
        <v>6</v>
      </c>
      <c r="Q93" s="142">
        <v>6</v>
      </c>
      <c r="S93" s="28">
        <f t="shared" si="2"/>
        <v>150</v>
      </c>
      <c r="T93" s="28">
        <f t="shared" si="3"/>
        <v>750</v>
      </c>
      <c r="U93" s="28">
        <f t="shared" si="4"/>
        <v>3000</v>
      </c>
      <c r="V93" s="28">
        <f t="shared" si="16"/>
        <v>0</v>
      </c>
      <c r="X93" s="28">
        <f t="shared" si="5"/>
        <v>150</v>
      </c>
      <c r="Y93" s="28">
        <f t="shared" si="6"/>
        <v>900</v>
      </c>
      <c r="Z93" s="28">
        <f t="shared" si="7"/>
        <v>3900</v>
      </c>
      <c r="AA93" s="28">
        <f t="shared" si="8"/>
        <v>3900</v>
      </c>
      <c r="AC93" s="28">
        <f t="shared" si="9"/>
        <v>12.5</v>
      </c>
      <c r="AD93" s="28">
        <f t="shared" si="10"/>
        <v>90</v>
      </c>
      <c r="AE93" s="28">
        <f t="shared" si="11"/>
        <v>650</v>
      </c>
      <c r="AF93" s="28">
        <f t="shared" si="12"/>
        <v>650</v>
      </c>
      <c r="AH93" s="147">
        <f t="shared" si="13"/>
        <v>12.5</v>
      </c>
      <c r="AI93" s="147">
        <f t="shared" si="14"/>
        <v>75</v>
      </c>
      <c r="AJ93" s="147">
        <f t="shared" si="15"/>
        <v>500</v>
      </c>
    </row>
    <row r="94" spans="2:36">
      <c r="B94" s="1" t="s">
        <v>468</v>
      </c>
      <c r="D94" s="142">
        <v>50</v>
      </c>
      <c r="E94" s="8"/>
      <c r="F94" s="142">
        <v>5</v>
      </c>
      <c r="G94" s="8"/>
      <c r="H94" s="8">
        <f t="shared" ref="H94:K94" si="23">H$75*$F94</f>
        <v>50</v>
      </c>
      <c r="I94" s="8">
        <f t="shared" si="23"/>
        <v>10</v>
      </c>
      <c r="J94" s="8">
        <f t="shared" si="23"/>
        <v>5</v>
      </c>
      <c r="K94" s="8">
        <f t="shared" si="23"/>
        <v>1.5</v>
      </c>
      <c r="L94" s="8"/>
      <c r="M94" s="8">
        <f t="shared" si="1"/>
        <v>50</v>
      </c>
      <c r="N94" s="142">
        <v>25</v>
      </c>
      <c r="O94" s="142">
        <v>25</v>
      </c>
      <c r="P94" s="142">
        <v>15</v>
      </c>
      <c r="Q94" s="142">
        <v>15</v>
      </c>
      <c r="S94" s="28">
        <f t="shared" si="2"/>
        <v>1500</v>
      </c>
      <c r="T94" s="28">
        <f t="shared" si="3"/>
        <v>0</v>
      </c>
      <c r="U94" s="28">
        <f t="shared" si="4"/>
        <v>6000</v>
      </c>
      <c r="V94" s="28">
        <f t="shared" si="16"/>
        <v>0</v>
      </c>
      <c r="X94" s="28">
        <f t="shared" si="5"/>
        <v>1500</v>
      </c>
      <c r="Y94" s="28">
        <f t="shared" si="6"/>
        <v>1500</v>
      </c>
      <c r="Z94" s="28">
        <f t="shared" si="7"/>
        <v>7500</v>
      </c>
      <c r="AA94" s="28">
        <f t="shared" si="8"/>
        <v>7500</v>
      </c>
      <c r="AC94" s="28">
        <f t="shared" si="9"/>
        <v>60</v>
      </c>
      <c r="AD94" s="28">
        <f t="shared" si="10"/>
        <v>60</v>
      </c>
      <c r="AE94" s="28">
        <f t="shared" si="11"/>
        <v>500</v>
      </c>
      <c r="AF94" s="28">
        <f t="shared" si="12"/>
        <v>500</v>
      </c>
      <c r="AH94" s="147">
        <f t="shared" si="13"/>
        <v>60</v>
      </c>
      <c r="AI94" s="147">
        <f t="shared" si="14"/>
        <v>0</v>
      </c>
      <c r="AJ94" s="147">
        <f t="shared" si="15"/>
        <v>400</v>
      </c>
    </row>
    <row r="95" spans="2:36">
      <c r="B95" s="1" t="s">
        <v>470</v>
      </c>
      <c r="D95" s="142">
        <v>14</v>
      </c>
      <c r="E95" s="8"/>
      <c r="F95" s="142">
        <v>4</v>
      </c>
      <c r="G95" s="8"/>
      <c r="H95" s="8">
        <f t="shared" si="0"/>
        <v>40</v>
      </c>
      <c r="I95" s="8">
        <f t="shared" si="0"/>
        <v>8</v>
      </c>
      <c r="J95" s="8">
        <f t="shared" si="0"/>
        <v>4</v>
      </c>
      <c r="K95" s="8">
        <f t="shared" si="0"/>
        <v>1.2</v>
      </c>
      <c r="L95" s="8"/>
      <c r="M95" s="8">
        <f t="shared" si="1"/>
        <v>14</v>
      </c>
      <c r="N95" s="142">
        <v>12</v>
      </c>
      <c r="O95" s="142">
        <v>10</v>
      </c>
      <c r="P95" s="142">
        <v>8</v>
      </c>
      <c r="Q95" s="142">
        <v>8</v>
      </c>
      <c r="S95" s="28">
        <f t="shared" si="2"/>
        <v>150</v>
      </c>
      <c r="T95" s="28">
        <f t="shared" si="3"/>
        <v>750</v>
      </c>
      <c r="U95" s="28">
        <f t="shared" si="4"/>
        <v>1500</v>
      </c>
      <c r="V95" s="28">
        <f t="shared" si="16"/>
        <v>0</v>
      </c>
      <c r="X95" s="28">
        <f t="shared" si="5"/>
        <v>150</v>
      </c>
      <c r="Y95" s="28">
        <f t="shared" si="6"/>
        <v>900</v>
      </c>
      <c r="Z95" s="28">
        <f t="shared" si="7"/>
        <v>2400</v>
      </c>
      <c r="AA95" s="28">
        <f t="shared" si="8"/>
        <v>2400</v>
      </c>
      <c r="AC95" s="28">
        <f t="shared" si="9"/>
        <v>12.5</v>
      </c>
      <c r="AD95" s="28">
        <f t="shared" si="10"/>
        <v>90</v>
      </c>
      <c r="AE95" s="28">
        <f t="shared" si="11"/>
        <v>300</v>
      </c>
      <c r="AF95" s="28">
        <f t="shared" si="12"/>
        <v>300</v>
      </c>
      <c r="AH95" s="147">
        <f t="shared" si="13"/>
        <v>12.5</v>
      </c>
      <c r="AI95" s="147">
        <f t="shared" si="14"/>
        <v>75</v>
      </c>
      <c r="AJ95" s="147">
        <f t="shared" si="15"/>
        <v>187.5</v>
      </c>
    </row>
    <row r="96" spans="2:36">
      <c r="B96" s="1" t="s">
        <v>472</v>
      </c>
      <c r="D96" s="142">
        <v>150</v>
      </c>
      <c r="E96" s="8"/>
      <c r="F96" s="142">
        <v>400</v>
      </c>
      <c r="G96" s="8"/>
      <c r="H96" s="8">
        <f t="shared" ref="H96:K97" si="24">H$75*$F96</f>
        <v>4000</v>
      </c>
      <c r="I96" s="8">
        <f t="shared" si="24"/>
        <v>800</v>
      </c>
      <c r="J96" s="8">
        <f t="shared" si="24"/>
        <v>400</v>
      </c>
      <c r="K96" s="8">
        <f t="shared" si="24"/>
        <v>120</v>
      </c>
      <c r="L96" s="8"/>
      <c r="M96" s="8">
        <f t="shared" si="1"/>
        <v>150</v>
      </c>
      <c r="N96" s="142">
        <v>100</v>
      </c>
      <c r="O96" s="142">
        <v>10</v>
      </c>
      <c r="P96" s="142">
        <v>2</v>
      </c>
      <c r="Q96" s="142">
        <v>1</v>
      </c>
      <c r="S96" s="28">
        <f t="shared" si="2"/>
        <v>37.5</v>
      </c>
      <c r="T96" s="28">
        <f t="shared" si="3"/>
        <v>337.5</v>
      </c>
      <c r="U96" s="28">
        <f t="shared" si="4"/>
        <v>60</v>
      </c>
      <c r="V96" s="28">
        <f t="shared" si="16"/>
        <v>25</v>
      </c>
      <c r="X96" s="28">
        <f t="shared" si="5"/>
        <v>37.5</v>
      </c>
      <c r="Y96" s="28">
        <f t="shared" si="6"/>
        <v>375</v>
      </c>
      <c r="Z96" s="28">
        <f t="shared" si="7"/>
        <v>435</v>
      </c>
      <c r="AA96" s="28">
        <f t="shared" si="8"/>
        <v>460</v>
      </c>
      <c r="AC96" s="28">
        <f t="shared" si="9"/>
        <v>0.375</v>
      </c>
      <c r="AD96" s="28">
        <f t="shared" si="10"/>
        <v>37.5</v>
      </c>
      <c r="AE96" s="28">
        <f t="shared" si="11"/>
        <v>217.5</v>
      </c>
      <c r="AF96" s="28">
        <f t="shared" si="12"/>
        <v>460</v>
      </c>
      <c r="AH96" s="147">
        <f t="shared" si="13"/>
        <v>0.375</v>
      </c>
      <c r="AI96" s="147">
        <f t="shared" si="14"/>
        <v>33.75</v>
      </c>
      <c r="AJ96" s="147">
        <f t="shared" si="15"/>
        <v>30</v>
      </c>
    </row>
    <row r="97" spans="2:36">
      <c r="B97" s="1" t="s">
        <v>487</v>
      </c>
      <c r="D97" s="142">
        <v>8</v>
      </c>
      <c r="E97" s="8"/>
      <c r="F97" s="142">
        <v>10</v>
      </c>
      <c r="G97" s="8"/>
      <c r="H97" s="8">
        <f t="shared" si="24"/>
        <v>100</v>
      </c>
      <c r="I97" s="8">
        <f t="shared" si="24"/>
        <v>20</v>
      </c>
      <c r="J97" s="8">
        <f t="shared" si="24"/>
        <v>10</v>
      </c>
      <c r="K97" s="8">
        <f t="shared" si="24"/>
        <v>3</v>
      </c>
      <c r="L97" s="8"/>
      <c r="M97" s="8">
        <f t="shared" si="1"/>
        <v>8</v>
      </c>
      <c r="N97" s="142">
        <v>4</v>
      </c>
      <c r="O97" s="142">
        <v>4</v>
      </c>
      <c r="P97" s="142">
        <v>1</v>
      </c>
      <c r="Q97" s="142">
        <v>1</v>
      </c>
      <c r="S97" s="28">
        <f t="shared" si="2"/>
        <v>120</v>
      </c>
      <c r="T97" s="28">
        <f t="shared" si="3"/>
        <v>0</v>
      </c>
      <c r="U97" s="28">
        <f t="shared" si="4"/>
        <v>900</v>
      </c>
      <c r="V97" s="28">
        <f t="shared" si="16"/>
        <v>0</v>
      </c>
      <c r="X97" s="28">
        <f t="shared" si="5"/>
        <v>120</v>
      </c>
      <c r="Y97" s="28">
        <f t="shared" si="6"/>
        <v>120</v>
      </c>
      <c r="Z97" s="28">
        <f t="shared" si="7"/>
        <v>1020</v>
      </c>
      <c r="AA97" s="28">
        <f t="shared" si="8"/>
        <v>1020</v>
      </c>
      <c r="AC97" s="28">
        <f t="shared" si="9"/>
        <v>30</v>
      </c>
      <c r="AD97" s="28">
        <f t="shared" si="10"/>
        <v>30</v>
      </c>
      <c r="AE97" s="28">
        <f t="shared" si="11"/>
        <v>1020</v>
      </c>
      <c r="AF97" s="28">
        <f t="shared" si="12"/>
        <v>1020</v>
      </c>
      <c r="AH97" s="147">
        <f t="shared" si="13"/>
        <v>30</v>
      </c>
      <c r="AI97" s="147">
        <f t="shared" si="14"/>
        <v>0</v>
      </c>
      <c r="AJ97" s="147">
        <f t="shared" si="15"/>
        <v>900</v>
      </c>
    </row>
    <row r="98" spans="2:36">
      <c r="B98" s="1" t="s">
        <v>481</v>
      </c>
      <c r="D98" s="142">
        <v>16.8</v>
      </c>
      <c r="E98" s="8"/>
      <c r="F98" s="142">
        <v>4</v>
      </c>
      <c r="G98" s="8"/>
      <c r="H98" s="8">
        <f t="shared" ref="H98:K100" si="25">H$75*$F98</f>
        <v>40</v>
      </c>
      <c r="I98" s="8">
        <f t="shared" si="25"/>
        <v>8</v>
      </c>
      <c r="J98" s="8">
        <f t="shared" si="25"/>
        <v>4</v>
      </c>
      <c r="K98" s="8">
        <f t="shared" si="25"/>
        <v>1.2</v>
      </c>
      <c r="L98" s="8"/>
      <c r="M98" s="8">
        <f t="shared" si="1"/>
        <v>16.8</v>
      </c>
      <c r="N98" s="142">
        <v>14.4</v>
      </c>
      <c r="O98" s="142">
        <v>12</v>
      </c>
      <c r="P98" s="142">
        <v>2.4</v>
      </c>
      <c r="Q98" s="142">
        <v>1.2</v>
      </c>
      <c r="S98" s="28">
        <f t="shared" si="2"/>
        <v>180</v>
      </c>
      <c r="T98" s="28">
        <f t="shared" si="3"/>
        <v>899.999999999999</v>
      </c>
      <c r="U98" s="28">
        <f t="shared" si="4"/>
        <v>7200</v>
      </c>
      <c r="V98" s="28">
        <f t="shared" si="16"/>
        <v>3000</v>
      </c>
      <c r="X98" s="28">
        <f t="shared" si="5"/>
        <v>180</v>
      </c>
      <c r="Y98" s="28">
        <f t="shared" si="6"/>
        <v>1080</v>
      </c>
      <c r="Z98" s="28">
        <f t="shared" si="7"/>
        <v>8280</v>
      </c>
      <c r="AA98" s="28">
        <f t="shared" si="8"/>
        <v>11280</v>
      </c>
      <c r="AC98" s="28">
        <f t="shared" si="9"/>
        <v>12.5</v>
      </c>
      <c r="AD98" s="28">
        <f t="shared" si="10"/>
        <v>89.9999999999999</v>
      </c>
      <c r="AE98" s="28">
        <f t="shared" si="11"/>
        <v>3450</v>
      </c>
      <c r="AF98" s="28">
        <f t="shared" si="12"/>
        <v>9400</v>
      </c>
      <c r="AH98" s="147">
        <f t="shared" si="13"/>
        <v>12.5</v>
      </c>
      <c r="AI98" s="147">
        <f t="shared" si="14"/>
        <v>75</v>
      </c>
      <c r="AJ98" s="147">
        <f t="shared" si="15"/>
        <v>3000</v>
      </c>
    </row>
    <row r="99" spans="2:36">
      <c r="B99" s="1" t="s">
        <v>482</v>
      </c>
      <c r="D99" s="142">
        <v>19.2</v>
      </c>
      <c r="E99" s="8"/>
      <c r="F99" s="142">
        <v>4</v>
      </c>
      <c r="G99" s="8"/>
      <c r="H99" s="8">
        <f t="shared" si="25"/>
        <v>40</v>
      </c>
      <c r="I99" s="8">
        <f t="shared" si="25"/>
        <v>8</v>
      </c>
      <c r="J99" s="8">
        <f t="shared" si="25"/>
        <v>4</v>
      </c>
      <c r="K99" s="8">
        <f t="shared" si="25"/>
        <v>1.2</v>
      </c>
      <c r="L99" s="8"/>
      <c r="M99" s="8">
        <f t="shared" si="1"/>
        <v>19.2</v>
      </c>
      <c r="N99" s="142">
        <v>14.4</v>
      </c>
      <c r="O99" s="142">
        <v>12</v>
      </c>
      <c r="P99" s="142">
        <v>2.4</v>
      </c>
      <c r="Q99" s="142">
        <v>1.2</v>
      </c>
      <c r="S99" s="28">
        <f t="shared" si="2"/>
        <v>360</v>
      </c>
      <c r="T99" s="28">
        <f t="shared" ref="T99:T100" si="26">IFERROR((N99-O99)*30/I99*100,0)</f>
        <v>899.999999999999</v>
      </c>
      <c r="U99" s="28">
        <f t="shared" si="4"/>
        <v>7200</v>
      </c>
      <c r="V99" s="28">
        <f t="shared" si="16"/>
        <v>3000</v>
      </c>
      <c r="X99" s="28">
        <f t="shared" si="5"/>
        <v>360</v>
      </c>
      <c r="Y99" s="28">
        <f t="shared" ref="Y99:Y100" si="27">X99+T99</f>
        <v>1260</v>
      </c>
      <c r="Z99" s="28">
        <f t="shared" ref="Z99:Z100" si="28">Y99+U99</f>
        <v>8460</v>
      </c>
      <c r="AA99" s="28">
        <f t="shared" ref="AA99:AA100" si="29">Z99+V99</f>
        <v>11460</v>
      </c>
      <c r="AC99" s="28">
        <f t="shared" si="9"/>
        <v>25</v>
      </c>
      <c r="AD99" s="28">
        <f t="shared" ref="AD99:AD100" si="30">Y99/O99</f>
        <v>105</v>
      </c>
      <c r="AE99" s="28">
        <f t="shared" ref="AE99:AE100" si="31">Z99/P99</f>
        <v>3525</v>
      </c>
      <c r="AF99" s="28">
        <f t="shared" ref="AF99:AF100" si="32">AA99/Q99</f>
        <v>9550</v>
      </c>
      <c r="AH99" s="147">
        <f t="shared" ref="AH99:AH100" si="33">S99/N99</f>
        <v>25</v>
      </c>
      <c r="AI99" s="147">
        <f t="shared" ref="AI99:AI100" si="34">T99/O99</f>
        <v>75</v>
      </c>
      <c r="AJ99" s="147">
        <f t="shared" ref="AJ99:AJ100" si="35">U99/P99</f>
        <v>3000</v>
      </c>
    </row>
    <row r="100" spans="2:36">
      <c r="B100" s="1" t="s">
        <v>462</v>
      </c>
      <c r="D100" s="142">
        <v>19.2</v>
      </c>
      <c r="E100" s="8"/>
      <c r="F100" s="142">
        <v>4</v>
      </c>
      <c r="G100" s="8"/>
      <c r="H100" s="8">
        <f t="shared" si="25"/>
        <v>40</v>
      </c>
      <c r="I100" s="8">
        <f t="shared" si="25"/>
        <v>8</v>
      </c>
      <c r="J100" s="8">
        <f t="shared" si="25"/>
        <v>4</v>
      </c>
      <c r="K100" s="8">
        <f t="shared" si="25"/>
        <v>1.2</v>
      </c>
      <c r="L100" s="8"/>
      <c r="M100" s="8">
        <f t="shared" si="1"/>
        <v>19.2</v>
      </c>
      <c r="N100" s="142">
        <v>14.4</v>
      </c>
      <c r="O100" s="142">
        <v>7.2</v>
      </c>
      <c r="P100" s="142">
        <v>2.4</v>
      </c>
      <c r="Q100" s="142">
        <v>1.2</v>
      </c>
      <c r="S100" s="28">
        <f t="shared" si="2"/>
        <v>360</v>
      </c>
      <c r="T100" s="28">
        <f t="shared" si="26"/>
        <v>2700</v>
      </c>
      <c r="U100" s="28">
        <f t="shared" si="4"/>
        <v>3600</v>
      </c>
      <c r="V100" s="28">
        <f t="shared" si="16"/>
        <v>3000</v>
      </c>
      <c r="X100" s="28">
        <f t="shared" si="5"/>
        <v>360</v>
      </c>
      <c r="Y100" s="28">
        <f t="shared" si="27"/>
        <v>3060</v>
      </c>
      <c r="Z100" s="28">
        <f t="shared" si="28"/>
        <v>6660</v>
      </c>
      <c r="AA100" s="28">
        <f t="shared" si="29"/>
        <v>9660</v>
      </c>
      <c r="AC100" s="28">
        <f t="shared" si="9"/>
        <v>25</v>
      </c>
      <c r="AD100" s="28">
        <f t="shared" si="30"/>
        <v>425</v>
      </c>
      <c r="AE100" s="28">
        <f t="shared" si="31"/>
        <v>2775</v>
      </c>
      <c r="AF100" s="28">
        <f t="shared" si="32"/>
        <v>8050</v>
      </c>
      <c r="AH100" s="147">
        <f t="shared" si="33"/>
        <v>25</v>
      </c>
      <c r="AI100" s="147">
        <f t="shared" si="34"/>
        <v>375</v>
      </c>
      <c r="AJ100" s="147">
        <f t="shared" si="35"/>
        <v>1500</v>
      </c>
    </row>
    <row r="101" spans="2:36">
      <c r="B101" s="80"/>
      <c r="S101" s="28">
        <f t="shared" ref="S101:V101" si="36">SUM(S85:S100)</f>
        <v>4507.5</v>
      </c>
      <c r="T101" s="28">
        <f t="shared" si="36"/>
        <v>14337.5</v>
      </c>
      <c r="U101" s="28">
        <f t="shared" si="36"/>
        <v>77360</v>
      </c>
      <c r="V101" s="28">
        <f t="shared" si="36"/>
        <v>24025</v>
      </c>
      <c r="X101" s="28">
        <f t="shared" si="5"/>
        <v>4507.5</v>
      </c>
      <c r="Y101" s="28">
        <f t="shared" si="6"/>
        <v>18845</v>
      </c>
      <c r="Z101" s="28">
        <f t="shared" si="7"/>
        <v>96205</v>
      </c>
      <c r="AA101" s="28">
        <f t="shared" si="8"/>
        <v>120230</v>
      </c>
      <c r="AC101" s="28">
        <f t="shared" ref="AC101:AF101" si="37">SUM(AC85:AC97)</f>
        <v>240.375</v>
      </c>
      <c r="AD101" s="28">
        <f t="shared" si="37"/>
        <v>1335.83333333333</v>
      </c>
      <c r="AE101" s="28">
        <f t="shared" si="37"/>
        <v>34950</v>
      </c>
      <c r="AF101" s="28">
        <f t="shared" si="37"/>
        <v>64417.5</v>
      </c>
      <c r="AH101" s="147">
        <f t="shared" ref="AH101:AJ101" si="38">SUM(AH85:AH97)</f>
        <v>240.375</v>
      </c>
      <c r="AI101" s="147">
        <f t="shared" si="38"/>
        <v>1042.08333333333</v>
      </c>
      <c r="AJ101" s="147">
        <f t="shared" si="38"/>
        <v>29192.5</v>
      </c>
    </row>
    <row r="102" spans="1:22">
      <c r="A102" s="23"/>
      <c r="B102" s="27" t="s">
        <v>511</v>
      </c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V102" s="147"/>
    </row>
    <row r="104" spans="2:8">
      <c r="B104" s="29" t="s">
        <v>498</v>
      </c>
      <c r="C104" s="29" t="s">
        <v>512</v>
      </c>
      <c r="D104" s="29" t="s">
        <v>513</v>
      </c>
      <c r="E104" s="29" t="s">
        <v>514</v>
      </c>
      <c r="F104" s="29" t="s">
        <v>515</v>
      </c>
      <c r="G104" s="86" t="s">
        <v>516</v>
      </c>
      <c r="H104" s="29" t="s">
        <v>517</v>
      </c>
    </row>
    <row r="105" spans="2:8">
      <c r="B105" s="1" t="s">
        <v>476</v>
      </c>
      <c r="C105" s="143" t="s">
        <v>518</v>
      </c>
      <c r="D105" s="143">
        <v>1800</v>
      </c>
      <c r="E105" s="1">
        <f t="shared" ref="E105:E120" si="39">D105*D85</f>
        <v>25200</v>
      </c>
      <c r="F105" s="1">
        <f t="shared" ref="F105:F120" si="40">D105/30*J85</f>
        <v>240</v>
      </c>
      <c r="G105" s="116">
        <f t="shared" ref="G105:G120" si="41">IFERROR(100/(D105/30*J85),0)</f>
        <v>0.416666666666667</v>
      </c>
      <c r="H105" s="24">
        <f t="shared" ref="H105:H120" si="42">D105*G105/30</f>
        <v>25</v>
      </c>
    </row>
    <row r="106" spans="2:8">
      <c r="B106" s="1" t="s">
        <v>478</v>
      </c>
      <c r="C106" s="143" t="s">
        <v>519</v>
      </c>
      <c r="D106" s="143">
        <v>480</v>
      </c>
      <c r="E106" s="1">
        <f t="shared" si="39"/>
        <v>6720</v>
      </c>
      <c r="F106" s="1">
        <f t="shared" si="40"/>
        <v>64</v>
      </c>
      <c r="G106" s="116">
        <f t="shared" si="41"/>
        <v>1.5625</v>
      </c>
      <c r="H106" s="24">
        <f t="shared" si="42"/>
        <v>25</v>
      </c>
    </row>
    <row r="107" spans="2:8">
      <c r="B107" s="1" t="s">
        <v>454</v>
      </c>
      <c r="C107" s="143" t="s">
        <v>520</v>
      </c>
      <c r="D107" s="143">
        <v>1500</v>
      </c>
      <c r="E107" s="1">
        <f t="shared" si="39"/>
        <v>24000</v>
      </c>
      <c r="F107" s="1">
        <f t="shared" si="40"/>
        <v>200</v>
      </c>
      <c r="G107" s="116">
        <f t="shared" si="41"/>
        <v>0.5</v>
      </c>
      <c r="H107" s="24">
        <f t="shared" si="42"/>
        <v>25</v>
      </c>
    </row>
    <row r="108" spans="2:8">
      <c r="B108" s="1" t="s">
        <v>479</v>
      </c>
      <c r="C108" s="143" t="s">
        <v>521</v>
      </c>
      <c r="D108" s="143">
        <v>300</v>
      </c>
      <c r="E108" s="1">
        <f t="shared" si="39"/>
        <v>4200</v>
      </c>
      <c r="F108" s="1">
        <f t="shared" si="40"/>
        <v>40</v>
      </c>
      <c r="G108" s="116">
        <f t="shared" si="41"/>
        <v>2.5</v>
      </c>
      <c r="H108" s="24">
        <f t="shared" si="42"/>
        <v>25</v>
      </c>
    </row>
    <row r="109" spans="2:8">
      <c r="B109" s="1" t="s">
        <v>379</v>
      </c>
      <c r="C109" s="143" t="s">
        <v>522</v>
      </c>
      <c r="D109" s="143">
        <v>200</v>
      </c>
      <c r="E109" s="1">
        <f t="shared" si="39"/>
        <v>3200</v>
      </c>
      <c r="F109" s="1">
        <f t="shared" si="40"/>
        <v>26.6666666666667</v>
      </c>
      <c r="G109" s="116">
        <f t="shared" si="41"/>
        <v>3.75</v>
      </c>
      <c r="H109" s="24">
        <f t="shared" si="42"/>
        <v>25</v>
      </c>
    </row>
    <row r="110" spans="2:8">
      <c r="B110" s="1" t="s">
        <v>458</v>
      </c>
      <c r="C110" s="143" t="s">
        <v>523</v>
      </c>
      <c r="D110" s="143">
        <v>60</v>
      </c>
      <c r="E110" s="1">
        <f t="shared" si="39"/>
        <v>960</v>
      </c>
      <c r="F110" s="1">
        <f t="shared" si="40"/>
        <v>8</v>
      </c>
      <c r="G110" s="116">
        <f t="shared" si="41"/>
        <v>12.5</v>
      </c>
      <c r="H110" s="24">
        <f t="shared" si="42"/>
        <v>25</v>
      </c>
    </row>
    <row r="111" spans="2:8">
      <c r="B111" s="1" t="s">
        <v>483</v>
      </c>
      <c r="C111" s="143" t="s">
        <v>524</v>
      </c>
      <c r="D111" s="143">
        <v>360</v>
      </c>
      <c r="E111" s="1">
        <f t="shared" si="39"/>
        <v>10080</v>
      </c>
      <c r="F111" s="1">
        <f t="shared" si="40"/>
        <v>48</v>
      </c>
      <c r="G111" s="116">
        <f t="shared" si="41"/>
        <v>2.08333333333333</v>
      </c>
      <c r="H111" s="24">
        <f t="shared" si="42"/>
        <v>25</v>
      </c>
    </row>
    <row r="112" spans="2:8">
      <c r="B112" s="1" t="s">
        <v>484</v>
      </c>
      <c r="C112" s="143" t="s">
        <v>525</v>
      </c>
      <c r="D112" s="143">
        <v>3.2</v>
      </c>
      <c r="E112" s="1">
        <f t="shared" si="39"/>
        <v>64</v>
      </c>
      <c r="F112" s="1">
        <f t="shared" si="40"/>
        <v>1.6</v>
      </c>
      <c r="G112" s="116">
        <f t="shared" si="41"/>
        <v>62.5</v>
      </c>
      <c r="H112" s="24">
        <f t="shared" si="42"/>
        <v>6.66666666666667</v>
      </c>
    </row>
    <row r="113" spans="2:8">
      <c r="B113" s="1" t="s">
        <v>466</v>
      </c>
      <c r="C113" s="143" t="s">
        <v>526</v>
      </c>
      <c r="D113" s="143">
        <v>120</v>
      </c>
      <c r="E113" s="1">
        <f t="shared" si="39"/>
        <v>1680</v>
      </c>
      <c r="F113" s="1">
        <f t="shared" si="40"/>
        <v>16</v>
      </c>
      <c r="G113" s="116">
        <f t="shared" si="41"/>
        <v>6.25</v>
      </c>
      <c r="H113" s="24">
        <f t="shared" si="42"/>
        <v>25</v>
      </c>
    </row>
    <row r="114" spans="2:8">
      <c r="B114" s="1" t="s">
        <v>468</v>
      </c>
      <c r="C114" s="143" t="s">
        <v>527</v>
      </c>
      <c r="D114" s="143">
        <v>180</v>
      </c>
      <c r="E114" s="1">
        <f t="shared" si="39"/>
        <v>9000</v>
      </c>
      <c r="F114" s="1">
        <f t="shared" si="40"/>
        <v>30</v>
      </c>
      <c r="G114" s="116">
        <f t="shared" si="41"/>
        <v>3.33333333333333</v>
      </c>
      <c r="H114" s="24">
        <f t="shared" si="42"/>
        <v>20</v>
      </c>
    </row>
    <row r="115" spans="2:8">
      <c r="B115" s="1" t="s">
        <v>470</v>
      </c>
      <c r="C115" s="143" t="s">
        <v>528</v>
      </c>
      <c r="D115" s="143">
        <v>10.8</v>
      </c>
      <c r="E115" s="1">
        <f t="shared" si="39"/>
        <v>151.2</v>
      </c>
      <c r="F115" s="1">
        <f t="shared" si="40"/>
        <v>1.44</v>
      </c>
      <c r="G115" s="116">
        <f t="shared" si="41"/>
        <v>69.4444444444444</v>
      </c>
      <c r="H115" s="24">
        <f t="shared" si="42"/>
        <v>25</v>
      </c>
    </row>
    <row r="116" spans="2:8">
      <c r="B116" s="1" t="s">
        <v>472</v>
      </c>
      <c r="C116" s="143" t="s">
        <v>529</v>
      </c>
      <c r="D116" s="143">
        <v>9</v>
      </c>
      <c r="E116" s="1">
        <f t="shared" si="39"/>
        <v>1350</v>
      </c>
      <c r="F116" s="1">
        <f t="shared" si="40"/>
        <v>120</v>
      </c>
      <c r="G116" s="116">
        <f t="shared" si="41"/>
        <v>0.833333333333333</v>
      </c>
      <c r="H116" s="24">
        <f t="shared" si="42"/>
        <v>0.25</v>
      </c>
    </row>
    <row r="117" spans="2:8">
      <c r="B117" s="1" t="s">
        <v>487</v>
      </c>
      <c r="C117" s="143" t="s">
        <v>530</v>
      </c>
      <c r="D117" s="143">
        <v>6000</v>
      </c>
      <c r="E117" s="1">
        <f t="shared" si="39"/>
        <v>48000</v>
      </c>
      <c r="F117" s="1">
        <f t="shared" si="40"/>
        <v>2000</v>
      </c>
      <c r="G117" s="116">
        <f t="shared" si="41"/>
        <v>0.05</v>
      </c>
      <c r="H117" s="24">
        <f t="shared" si="42"/>
        <v>10</v>
      </c>
    </row>
    <row r="118" spans="2:9">
      <c r="B118" s="1" t="s">
        <v>481</v>
      </c>
      <c r="C118" s="143" t="s">
        <v>531</v>
      </c>
      <c r="D118" s="143">
        <v>150</v>
      </c>
      <c r="E118" s="1">
        <f t="shared" si="39"/>
        <v>2520</v>
      </c>
      <c r="F118" s="1">
        <f t="shared" si="40"/>
        <v>20</v>
      </c>
      <c r="G118" s="116">
        <f t="shared" si="41"/>
        <v>5</v>
      </c>
      <c r="H118" s="24">
        <f t="shared" si="42"/>
        <v>25</v>
      </c>
      <c r="I118" s="24"/>
    </row>
    <row r="119" spans="2:9">
      <c r="B119" s="1" t="s">
        <v>482</v>
      </c>
      <c r="C119" s="143" t="s">
        <v>532</v>
      </c>
      <c r="D119" s="143">
        <v>100</v>
      </c>
      <c r="E119" s="1">
        <f t="shared" si="39"/>
        <v>1920</v>
      </c>
      <c r="F119" s="1">
        <f t="shared" si="40"/>
        <v>13.3333333333333</v>
      </c>
      <c r="G119" s="116">
        <f t="shared" si="41"/>
        <v>7.5</v>
      </c>
      <c r="H119" s="24">
        <f t="shared" si="42"/>
        <v>25</v>
      </c>
      <c r="I119" s="24"/>
    </row>
    <row r="120" spans="2:8">
      <c r="B120" s="1" t="s">
        <v>462</v>
      </c>
      <c r="C120" s="143" t="s">
        <v>533</v>
      </c>
      <c r="D120" s="143">
        <v>30</v>
      </c>
      <c r="E120" s="1">
        <f t="shared" si="39"/>
        <v>576</v>
      </c>
      <c r="F120" s="1">
        <f t="shared" si="40"/>
        <v>4</v>
      </c>
      <c r="G120" s="116">
        <f t="shared" si="41"/>
        <v>25</v>
      </c>
      <c r="H120" s="24">
        <f t="shared" si="42"/>
        <v>25</v>
      </c>
    </row>
    <row r="121" spans="2:8">
      <c r="B121" s="1" t="s">
        <v>534</v>
      </c>
      <c r="F121" s="24"/>
      <c r="H121" s="24">
        <f>SUM(H105:H120)</f>
        <v>336.916666666667</v>
      </c>
    </row>
    <row r="122" spans="8:14">
      <c r="H122" s="24"/>
      <c r="I122" s="24"/>
      <c r="K122" s="24"/>
      <c r="L122" s="24"/>
      <c r="N122" s="24"/>
    </row>
    <row r="123" spans="8:11">
      <c r="H123" s="24"/>
      <c r="I123" s="24"/>
      <c r="K123" s="24"/>
    </row>
    <row r="124" s="25" customFormat="1" spans="1:3">
      <c r="A124" s="2" t="s">
        <v>433</v>
      </c>
      <c r="C124" s="26" t="s">
        <v>436</v>
      </c>
    </row>
    <row r="126" spans="1:12">
      <c r="A126" s="23"/>
      <c r="B126" s="27" t="s">
        <v>535</v>
      </c>
      <c r="C126" s="27"/>
      <c r="D126" s="27"/>
      <c r="E126" s="27"/>
      <c r="F126" s="27"/>
      <c r="G126" s="27"/>
      <c r="H126" s="27"/>
      <c r="I126" s="27"/>
      <c r="J126" s="27"/>
      <c r="K126" s="27"/>
      <c r="L126" s="27"/>
    </row>
    <row r="128" spans="2:2">
      <c r="B128" s="5" t="s">
        <v>536</v>
      </c>
    </row>
    <row r="129" spans="2:2">
      <c r="B129" s="5" t="s">
        <v>537</v>
      </c>
    </row>
    <row r="130" spans="2:2">
      <c r="B130" s="5" t="s">
        <v>538</v>
      </c>
    </row>
    <row r="132" spans="1:12">
      <c r="A132" s="23"/>
      <c r="B132" s="27" t="s">
        <v>539</v>
      </c>
      <c r="C132" s="27"/>
      <c r="D132" s="27"/>
      <c r="E132" s="27"/>
      <c r="F132" s="27"/>
      <c r="G132" s="27"/>
      <c r="H132" s="27"/>
      <c r="I132" s="27"/>
      <c r="J132" s="27"/>
      <c r="K132" s="27"/>
      <c r="L132" s="27"/>
    </row>
    <row r="133" ht="13.7"/>
    <row r="134" spans="2:19">
      <c r="B134" s="89"/>
      <c r="C134" s="93" t="s">
        <v>540</v>
      </c>
      <c r="D134" s="93" t="s">
        <v>476</v>
      </c>
      <c r="E134" s="93" t="s">
        <v>478</v>
      </c>
      <c r="F134" s="93" t="s">
        <v>454</v>
      </c>
      <c r="G134" s="93" t="s">
        <v>479</v>
      </c>
      <c r="H134" s="93" t="s">
        <v>379</v>
      </c>
      <c r="I134" s="93" t="s">
        <v>458</v>
      </c>
      <c r="J134" s="93" t="s">
        <v>483</v>
      </c>
      <c r="K134" s="93" t="s">
        <v>484</v>
      </c>
      <c r="L134" s="93" t="s">
        <v>466</v>
      </c>
      <c r="M134" s="93" t="s">
        <v>468</v>
      </c>
      <c r="N134" s="93" t="s">
        <v>470</v>
      </c>
      <c r="O134" s="93" t="s">
        <v>472</v>
      </c>
      <c r="P134" s="93" t="s">
        <v>487</v>
      </c>
      <c r="Q134" s="93" t="s">
        <v>481</v>
      </c>
      <c r="R134" s="93" t="s">
        <v>541</v>
      </c>
      <c r="S134" s="100" t="s">
        <v>542</v>
      </c>
    </row>
    <row r="135" spans="2:19">
      <c r="B135" s="148" t="s">
        <v>543</v>
      </c>
      <c r="C135" s="42">
        <f t="shared" ref="C135:S135" si="43">C152-SUM(C136:C151)</f>
        <v>0.05</v>
      </c>
      <c r="D135" s="42">
        <f t="shared" si="43"/>
        <v>0.0839999999999999</v>
      </c>
      <c r="E135" s="42">
        <f t="shared" si="43"/>
        <v>0.0969999999999999</v>
      </c>
      <c r="F135" s="42">
        <f t="shared" si="43"/>
        <v>0.237</v>
      </c>
      <c r="G135" s="42">
        <f t="shared" si="43"/>
        <v>0.257</v>
      </c>
      <c r="H135" s="42">
        <f t="shared" si="43"/>
        <v>0.248</v>
      </c>
      <c r="I135" s="42">
        <f t="shared" si="43"/>
        <v>0.2747</v>
      </c>
      <c r="J135" s="42">
        <f t="shared" si="43"/>
        <v>0.12</v>
      </c>
      <c r="K135" s="42">
        <f t="shared" si="43"/>
        <v>0.4</v>
      </c>
      <c r="L135" s="42">
        <f t="shared" si="43"/>
        <v>0.185</v>
      </c>
      <c r="M135" s="42">
        <f t="shared" si="43"/>
        <v>0</v>
      </c>
      <c r="N135" s="42">
        <f t="shared" si="43"/>
        <v>0</v>
      </c>
      <c r="O135" s="42">
        <f t="shared" si="43"/>
        <v>1</v>
      </c>
      <c r="P135" s="42">
        <f t="shared" si="43"/>
        <v>0</v>
      </c>
      <c r="Q135" s="42">
        <f t="shared" si="43"/>
        <v>0.257</v>
      </c>
      <c r="R135" s="42">
        <f t="shared" si="43"/>
        <v>0.248</v>
      </c>
      <c r="S135" s="153">
        <f t="shared" si="43"/>
        <v>0.315</v>
      </c>
    </row>
    <row r="136" spans="2:19">
      <c r="B136" s="148" t="s">
        <v>544</v>
      </c>
      <c r="C136" s="149"/>
      <c r="D136" s="149"/>
      <c r="E136" s="149">
        <v>0.375</v>
      </c>
      <c r="F136" s="149"/>
      <c r="G136" s="149"/>
      <c r="H136" s="149"/>
      <c r="I136" s="149"/>
      <c r="J136" s="149"/>
      <c r="K136" s="149"/>
      <c r="L136" s="149"/>
      <c r="M136" s="149"/>
      <c r="N136" s="149"/>
      <c r="O136" s="149"/>
      <c r="P136" s="149"/>
      <c r="Q136" s="149"/>
      <c r="R136" s="149"/>
      <c r="S136" s="154"/>
    </row>
    <row r="137" spans="2:19">
      <c r="B137" s="148" t="s">
        <v>545</v>
      </c>
      <c r="C137" s="149"/>
      <c r="D137" s="149"/>
      <c r="E137" s="149">
        <v>0.075</v>
      </c>
      <c r="F137" s="149"/>
      <c r="G137" s="149"/>
      <c r="H137" s="149"/>
      <c r="I137" s="149"/>
      <c r="J137" s="149"/>
      <c r="K137" s="149"/>
      <c r="L137" s="149"/>
      <c r="M137" s="149"/>
      <c r="N137" s="149"/>
      <c r="O137" s="149"/>
      <c r="P137" s="149"/>
      <c r="Q137" s="149"/>
      <c r="R137" s="149"/>
      <c r="S137" s="154"/>
    </row>
    <row r="138" spans="2:19">
      <c r="B138" s="148" t="s">
        <v>377</v>
      </c>
      <c r="C138" s="149"/>
      <c r="D138" s="149"/>
      <c r="E138" s="149">
        <v>0.075</v>
      </c>
      <c r="F138" s="149"/>
      <c r="G138" s="149"/>
      <c r="H138" s="149">
        <v>0.05</v>
      </c>
      <c r="I138" s="149"/>
      <c r="J138" s="149"/>
      <c r="K138" s="149"/>
      <c r="L138" s="149"/>
      <c r="M138" s="149"/>
      <c r="N138" s="149"/>
      <c r="O138" s="149"/>
      <c r="P138" s="149"/>
      <c r="Q138" s="149"/>
      <c r="R138" s="149"/>
      <c r="S138" s="154"/>
    </row>
    <row r="139" spans="2:19">
      <c r="B139" s="148" t="s">
        <v>546</v>
      </c>
      <c r="C139" s="149"/>
      <c r="D139" s="149">
        <v>0.5</v>
      </c>
      <c r="E139" s="149"/>
      <c r="F139" s="149"/>
      <c r="G139" s="149"/>
      <c r="H139" s="149"/>
      <c r="I139" s="149"/>
      <c r="J139" s="149"/>
      <c r="K139" s="149"/>
      <c r="L139" s="149"/>
      <c r="M139" s="149"/>
      <c r="N139" s="149"/>
      <c r="O139" s="149"/>
      <c r="P139" s="149"/>
      <c r="Q139" s="149"/>
      <c r="R139" s="149"/>
      <c r="S139" s="154"/>
    </row>
    <row r="140" spans="2:19">
      <c r="B140" s="148" t="s">
        <v>547</v>
      </c>
      <c r="C140" s="149"/>
      <c r="D140" s="149">
        <v>0.02</v>
      </c>
      <c r="E140" s="149">
        <v>0.015</v>
      </c>
      <c r="F140" s="149">
        <v>0.04</v>
      </c>
      <c r="G140" s="149"/>
      <c r="H140" s="149"/>
      <c r="I140" s="149">
        <v>0.023</v>
      </c>
      <c r="J140" s="149">
        <v>0.05</v>
      </c>
      <c r="K140" s="149"/>
      <c r="L140" s="149">
        <v>0.5</v>
      </c>
      <c r="M140" s="149">
        <v>0.5</v>
      </c>
      <c r="N140" s="149">
        <v>1</v>
      </c>
      <c r="O140" s="149"/>
      <c r="P140" s="149"/>
      <c r="Q140" s="149"/>
      <c r="R140" s="149"/>
      <c r="S140" s="154"/>
    </row>
    <row r="141" spans="2:19">
      <c r="B141" s="148" t="s">
        <v>548</v>
      </c>
      <c r="C141" s="149">
        <v>0.2</v>
      </c>
      <c r="D141" s="149">
        <v>0.02</v>
      </c>
      <c r="E141" s="149">
        <v>0.02</v>
      </c>
      <c r="F141" s="149">
        <v>0.04</v>
      </c>
      <c r="G141" s="149"/>
      <c r="H141" s="149"/>
      <c r="I141" s="149">
        <v>0.09</v>
      </c>
      <c r="J141" s="149"/>
      <c r="K141" s="149"/>
      <c r="L141" s="149"/>
      <c r="M141" s="149"/>
      <c r="N141" s="149"/>
      <c r="O141" s="149"/>
      <c r="P141" s="149"/>
      <c r="Q141" s="149"/>
      <c r="R141" s="149"/>
      <c r="S141" s="154">
        <v>0.09</v>
      </c>
    </row>
    <row r="142" spans="2:19">
      <c r="B142" s="148" t="s">
        <v>549</v>
      </c>
      <c r="C142" s="149"/>
      <c r="D142" s="149"/>
      <c r="E142" s="149"/>
      <c r="F142" s="149">
        <v>0.06</v>
      </c>
      <c r="G142" s="149">
        <v>0.5</v>
      </c>
      <c r="H142" s="149">
        <v>0.45</v>
      </c>
      <c r="I142" s="149">
        <v>0.023</v>
      </c>
      <c r="J142" s="149">
        <v>0.25</v>
      </c>
      <c r="K142" s="149"/>
      <c r="L142" s="149"/>
      <c r="M142" s="149"/>
      <c r="N142" s="149"/>
      <c r="O142" s="149"/>
      <c r="P142" s="149"/>
      <c r="Q142" s="149">
        <v>0.5</v>
      </c>
      <c r="R142" s="149">
        <v>0.45</v>
      </c>
      <c r="S142" s="154">
        <v>0.05</v>
      </c>
    </row>
    <row r="143" spans="2:19">
      <c r="B143" s="148" t="s">
        <v>550</v>
      </c>
      <c r="C143" s="149">
        <v>0.2</v>
      </c>
      <c r="D143" s="149">
        <v>0.12</v>
      </c>
      <c r="E143" s="149"/>
      <c r="F143" s="149">
        <v>0.08</v>
      </c>
      <c r="G143" s="149"/>
      <c r="H143" s="149"/>
      <c r="I143" s="149">
        <v>0.15</v>
      </c>
      <c r="J143" s="149"/>
      <c r="K143" s="149"/>
      <c r="L143" s="149"/>
      <c r="M143" s="149"/>
      <c r="N143" s="149"/>
      <c r="O143" s="149"/>
      <c r="P143" s="149"/>
      <c r="Q143" s="149"/>
      <c r="R143" s="149"/>
      <c r="S143" s="154">
        <v>0.15</v>
      </c>
    </row>
    <row r="144" spans="2:19">
      <c r="B144" s="148" t="s">
        <v>551</v>
      </c>
      <c r="C144" s="149"/>
      <c r="D144" s="149"/>
      <c r="E144" s="149">
        <v>0.06</v>
      </c>
      <c r="F144" s="149">
        <v>0.03</v>
      </c>
      <c r="G144" s="149">
        <v>0.03</v>
      </c>
      <c r="H144" s="149">
        <v>0.03</v>
      </c>
      <c r="I144" s="149">
        <v>0.03</v>
      </c>
      <c r="J144" s="149">
        <v>0.03</v>
      </c>
      <c r="K144" s="149"/>
      <c r="L144" s="149">
        <v>0.03</v>
      </c>
      <c r="M144" s="149"/>
      <c r="N144" s="149"/>
      <c r="O144" s="149"/>
      <c r="P144" s="149"/>
      <c r="Q144" s="149">
        <v>0.03</v>
      </c>
      <c r="R144" s="149">
        <v>0.03</v>
      </c>
      <c r="S144" s="154">
        <v>0.03</v>
      </c>
    </row>
    <row r="145" spans="2:19">
      <c r="B145" s="148" t="s">
        <v>552</v>
      </c>
      <c r="C145" s="149">
        <v>0.33</v>
      </c>
      <c r="D145" s="149"/>
      <c r="E145" s="149"/>
      <c r="F145" s="149"/>
      <c r="G145" s="149"/>
      <c r="H145" s="149"/>
      <c r="I145" s="149"/>
      <c r="J145" s="149"/>
      <c r="K145" s="149"/>
      <c r="L145" s="149"/>
      <c r="M145" s="149"/>
      <c r="N145" s="149"/>
      <c r="O145" s="149"/>
      <c r="P145" s="149"/>
      <c r="Q145" s="149"/>
      <c r="R145" s="149"/>
      <c r="S145" s="154"/>
    </row>
    <row r="146" spans="2:19">
      <c r="B146" s="148" t="s">
        <v>553</v>
      </c>
      <c r="C146" s="56">
        <v>0.2</v>
      </c>
      <c r="D146" s="56">
        <v>0.2</v>
      </c>
      <c r="E146" s="56">
        <v>0.25</v>
      </c>
      <c r="F146" s="56">
        <v>0.4</v>
      </c>
      <c r="G146" s="56">
        <v>0.2</v>
      </c>
      <c r="H146" s="56">
        <v>0.2</v>
      </c>
      <c r="I146" s="56">
        <v>0.25</v>
      </c>
      <c r="J146" s="56">
        <v>0.3</v>
      </c>
      <c r="K146" s="56">
        <v>0.4</v>
      </c>
      <c r="L146" s="56">
        <v>0.25</v>
      </c>
      <c r="M146" s="56">
        <v>0.17</v>
      </c>
      <c r="N146" s="56">
        <v>0</v>
      </c>
      <c r="O146" s="56">
        <v>0</v>
      </c>
      <c r="P146" s="56">
        <v>1</v>
      </c>
      <c r="Q146" s="56">
        <v>0.2</v>
      </c>
      <c r="R146" s="56">
        <v>0.2</v>
      </c>
      <c r="S146" s="155">
        <v>0.25</v>
      </c>
    </row>
    <row r="147" spans="2:19">
      <c r="B147" s="148" t="s">
        <v>554</v>
      </c>
      <c r="C147" s="149"/>
      <c r="D147" s="149">
        <v>0.006</v>
      </c>
      <c r="E147" s="149"/>
      <c r="F147" s="149">
        <v>0.048</v>
      </c>
      <c r="G147" s="149">
        <v>0.013</v>
      </c>
      <c r="H147" s="149"/>
      <c r="I147" s="149">
        <v>0.0828</v>
      </c>
      <c r="J147" s="149">
        <v>0.1</v>
      </c>
      <c r="K147" s="149"/>
      <c r="L147" s="149"/>
      <c r="M147" s="149">
        <v>0.33</v>
      </c>
      <c r="N147" s="149"/>
      <c r="O147" s="149"/>
      <c r="P147" s="149"/>
      <c r="Q147" s="149">
        <v>0.013</v>
      </c>
      <c r="R147" s="149"/>
      <c r="S147" s="154"/>
    </row>
    <row r="148" spans="2:19">
      <c r="B148" s="148" t="s">
        <v>555</v>
      </c>
      <c r="C148" s="149"/>
      <c r="D148" s="149"/>
      <c r="E148" s="149">
        <v>0.003</v>
      </c>
      <c r="F148" s="149">
        <v>0.045</v>
      </c>
      <c r="G148" s="149"/>
      <c r="H148" s="149">
        <v>0.022</v>
      </c>
      <c r="I148" s="149">
        <v>0.065</v>
      </c>
      <c r="J148" s="149"/>
      <c r="K148" s="149"/>
      <c r="L148" s="149">
        <v>0.035</v>
      </c>
      <c r="M148" s="149"/>
      <c r="N148" s="149"/>
      <c r="O148" s="149"/>
      <c r="P148" s="149"/>
      <c r="Q148" s="149"/>
      <c r="R148" s="149">
        <v>0.022</v>
      </c>
      <c r="S148" s="154">
        <v>0.065</v>
      </c>
    </row>
    <row r="149" spans="2:19">
      <c r="B149" s="148" t="s">
        <v>556</v>
      </c>
      <c r="C149" s="149"/>
      <c r="D149" s="149"/>
      <c r="E149" s="149"/>
      <c r="F149" s="149">
        <v>0.02</v>
      </c>
      <c r="G149" s="149"/>
      <c r="H149" s="149"/>
      <c r="I149" s="149">
        <v>0.0115</v>
      </c>
      <c r="J149" s="149">
        <v>0.05</v>
      </c>
      <c r="K149" s="149"/>
      <c r="L149" s="149"/>
      <c r="M149" s="149"/>
      <c r="N149" s="149"/>
      <c r="O149" s="149"/>
      <c r="P149" s="149"/>
      <c r="Q149" s="149"/>
      <c r="R149" s="149"/>
      <c r="S149" s="154"/>
    </row>
    <row r="150" spans="2:19">
      <c r="B150" s="148" t="s">
        <v>557</v>
      </c>
      <c r="C150" s="149">
        <v>0.02</v>
      </c>
      <c r="D150" s="149">
        <v>0.05</v>
      </c>
      <c r="E150" s="149">
        <v>0.03</v>
      </c>
      <c r="F150" s="149"/>
      <c r="G150" s="149"/>
      <c r="H150" s="149"/>
      <c r="I150" s="149"/>
      <c r="J150" s="149">
        <v>0.1</v>
      </c>
      <c r="K150" s="149">
        <v>0.2</v>
      </c>
      <c r="L150" s="149"/>
      <c r="M150" s="149"/>
      <c r="N150" s="149"/>
      <c r="O150" s="149"/>
      <c r="P150" s="149"/>
      <c r="Q150" s="149"/>
      <c r="R150" s="149"/>
      <c r="S150" s="154"/>
    </row>
    <row r="151" ht="13.85" spans="2:19">
      <c r="B151" s="150" t="s">
        <v>558</v>
      </c>
      <c r="C151" s="151"/>
      <c r="D151" s="151"/>
      <c r="E151" s="151"/>
      <c r="F151" s="151"/>
      <c r="G151" s="151"/>
      <c r="H151" s="151"/>
      <c r="I151" s="151"/>
      <c r="J151" s="151"/>
      <c r="K151" s="151"/>
      <c r="L151" s="151"/>
      <c r="M151" s="151"/>
      <c r="N151" s="151"/>
      <c r="O151" s="151"/>
      <c r="P151" s="151"/>
      <c r="Q151" s="151"/>
      <c r="R151" s="151">
        <v>0.05</v>
      </c>
      <c r="S151" s="156">
        <v>0.05</v>
      </c>
    </row>
    <row r="152" spans="2:19">
      <c r="B152" s="1" t="s">
        <v>534</v>
      </c>
      <c r="C152" s="13">
        <v>1</v>
      </c>
      <c r="D152" s="13">
        <v>1</v>
      </c>
      <c r="E152" s="13">
        <v>1</v>
      </c>
      <c r="F152" s="13">
        <v>1</v>
      </c>
      <c r="G152" s="13">
        <v>1</v>
      </c>
      <c r="H152" s="13">
        <v>1</v>
      </c>
      <c r="I152" s="13">
        <v>1</v>
      </c>
      <c r="J152" s="13">
        <v>1</v>
      </c>
      <c r="K152" s="13">
        <v>1</v>
      </c>
      <c r="L152" s="13">
        <v>1</v>
      </c>
      <c r="M152" s="13">
        <v>1</v>
      </c>
      <c r="N152" s="13">
        <v>1</v>
      </c>
      <c r="O152" s="13">
        <v>1</v>
      </c>
      <c r="P152" s="13">
        <v>1</v>
      </c>
      <c r="Q152" s="13">
        <v>1</v>
      </c>
      <c r="R152" s="13">
        <v>1</v>
      </c>
      <c r="S152" s="13">
        <v>1</v>
      </c>
    </row>
    <row r="153" spans="3:15"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</row>
    <row r="154" spans="2:12">
      <c r="B154" s="27" t="s">
        <v>559</v>
      </c>
      <c r="C154" s="27"/>
      <c r="D154" s="27"/>
      <c r="E154" s="27"/>
      <c r="F154" s="27"/>
      <c r="G154" s="27"/>
      <c r="H154" s="27"/>
      <c r="I154" s="27"/>
      <c r="J154" s="27"/>
      <c r="K154" s="27"/>
      <c r="L154" s="27"/>
    </row>
    <row r="155" ht="13.7"/>
    <row r="156" spans="3:19">
      <c r="C156" s="89"/>
      <c r="D156" s="93" t="str">
        <f t="array" ref="D156:S156">TRANSPOSE(B105:B120)</f>
        <v>基础资源</v>
      </c>
      <c r="E156" s="93" t="str">
        <v>加速</v>
      </c>
      <c r="F156" s="93" t="str">
        <v>卡牌</v>
      </c>
      <c r="G156" s="93" t="str">
        <v>陆军经验</v>
      </c>
      <c r="H156" s="93" t="str">
        <v>弹药</v>
      </c>
      <c r="I156" s="93" t="str">
        <v>零件</v>
      </c>
      <c r="J156" s="93" t="str">
        <v>配件材料</v>
      </c>
      <c r="K156" s="93" t="str">
        <v>配件图纸</v>
      </c>
      <c r="L156" s="93" t="str">
        <v>军官经验</v>
      </c>
      <c r="M156" s="93" t="str">
        <v>军官技能书</v>
      </c>
      <c r="N156" s="93" t="str">
        <v>阵营经验</v>
      </c>
      <c r="O156" s="93" t="str">
        <v>VIP经验</v>
      </c>
      <c r="P156" s="93" t="str">
        <v>科技书</v>
      </c>
      <c r="Q156" s="93" t="str">
        <v>空军经验</v>
      </c>
      <c r="R156" s="93" t="str">
        <v>空军弹药</v>
      </c>
      <c r="S156" s="100" t="str">
        <v>空军零件</v>
      </c>
    </row>
    <row r="157" ht="13.85" spans="3:19">
      <c r="C157" s="150" t="s">
        <v>560</v>
      </c>
      <c r="D157" s="152">
        <f t="array" ref="D157:S157">TRANSPOSE(H105:H120)</f>
        <v>25</v>
      </c>
      <c r="E157" s="152">
        <v>25</v>
      </c>
      <c r="F157" s="152">
        <v>25</v>
      </c>
      <c r="G157" s="152">
        <v>25</v>
      </c>
      <c r="H157" s="152">
        <v>25</v>
      </c>
      <c r="I157" s="152">
        <v>25</v>
      </c>
      <c r="J157" s="152">
        <v>25</v>
      </c>
      <c r="K157" s="152">
        <v>6.66666666666667</v>
      </c>
      <c r="L157" s="152">
        <v>25</v>
      </c>
      <c r="M157" s="152">
        <v>20</v>
      </c>
      <c r="N157" s="152">
        <v>25</v>
      </c>
      <c r="O157" s="152">
        <v>0.25</v>
      </c>
      <c r="P157" s="152">
        <v>10</v>
      </c>
      <c r="Q157" s="152">
        <v>25</v>
      </c>
      <c r="R157" s="152">
        <v>25</v>
      </c>
      <c r="S157" s="157">
        <v>25</v>
      </c>
    </row>
    <row r="158" ht="13.7"/>
    <row r="159" spans="2:19">
      <c r="B159" s="89"/>
      <c r="C159" s="93" t="s">
        <v>540</v>
      </c>
      <c r="D159" s="93" t="s">
        <v>476</v>
      </c>
      <c r="E159" s="93" t="s">
        <v>478</v>
      </c>
      <c r="F159" s="93" t="s">
        <v>454</v>
      </c>
      <c r="G159" s="93" t="s">
        <v>479</v>
      </c>
      <c r="H159" s="93" t="s">
        <v>379</v>
      </c>
      <c r="I159" s="93" t="s">
        <v>458</v>
      </c>
      <c r="J159" s="93" t="s">
        <v>483</v>
      </c>
      <c r="K159" s="93" t="s">
        <v>484</v>
      </c>
      <c r="L159" s="93" t="s">
        <v>466</v>
      </c>
      <c r="M159" s="93" t="s">
        <v>468</v>
      </c>
      <c r="N159" s="93" t="s">
        <v>470</v>
      </c>
      <c r="O159" s="93" t="s">
        <v>472</v>
      </c>
      <c r="P159" s="93" t="s">
        <v>487</v>
      </c>
      <c r="Q159" s="93" t="s">
        <v>481</v>
      </c>
      <c r="R159" s="93" t="s">
        <v>541</v>
      </c>
      <c r="S159" s="100" t="s">
        <v>542</v>
      </c>
    </row>
    <row r="160" spans="2:19">
      <c r="B160" s="148" t="s">
        <v>543</v>
      </c>
      <c r="C160" s="33">
        <f t="shared" ref="C160:C175" si="44">IF($D$243*C135=0,"",$D$243*C135)</f>
        <v>0.125</v>
      </c>
      <c r="D160" s="33">
        <f t="shared" ref="D160:S160" si="45">IF(D135*D$157=0,"",D135*D$157)</f>
        <v>2.1</v>
      </c>
      <c r="E160" s="33">
        <f t="shared" si="45"/>
        <v>2.425</v>
      </c>
      <c r="F160" s="33">
        <f t="shared" si="45"/>
        <v>5.925</v>
      </c>
      <c r="G160" s="33">
        <f t="shared" si="45"/>
        <v>6.425</v>
      </c>
      <c r="H160" s="33">
        <f t="shared" si="45"/>
        <v>6.2</v>
      </c>
      <c r="I160" s="33">
        <f t="shared" si="45"/>
        <v>6.8675</v>
      </c>
      <c r="J160" s="33">
        <f t="shared" si="45"/>
        <v>3</v>
      </c>
      <c r="K160" s="33">
        <f t="shared" si="45"/>
        <v>2.66666666666667</v>
      </c>
      <c r="L160" s="33">
        <f t="shared" si="45"/>
        <v>4.625</v>
      </c>
      <c r="M160" s="33" t="str">
        <f t="shared" si="45"/>
        <v/>
      </c>
      <c r="N160" s="33" t="str">
        <f t="shared" si="45"/>
        <v/>
      </c>
      <c r="O160" s="33">
        <f t="shared" si="45"/>
        <v>0.25</v>
      </c>
      <c r="P160" s="33" t="str">
        <f t="shared" si="45"/>
        <v/>
      </c>
      <c r="Q160" s="33">
        <f t="shared" si="45"/>
        <v>6.425</v>
      </c>
      <c r="R160" s="33">
        <f t="shared" si="45"/>
        <v>6.2</v>
      </c>
      <c r="S160" s="158">
        <f t="shared" si="45"/>
        <v>7.875</v>
      </c>
    </row>
    <row r="161" spans="2:19">
      <c r="B161" s="148" t="s">
        <v>544</v>
      </c>
      <c r="C161" s="33" t="str">
        <f t="shared" si="44"/>
        <v/>
      </c>
      <c r="D161" s="33" t="str">
        <f t="shared" ref="D161:S161" si="46">IF(D136*D$157=0,"",D136*D$157)</f>
        <v/>
      </c>
      <c r="E161" s="33">
        <f t="shared" si="46"/>
        <v>9.375</v>
      </c>
      <c r="F161" s="33" t="str">
        <f t="shared" si="46"/>
        <v/>
      </c>
      <c r="G161" s="33" t="str">
        <f t="shared" si="46"/>
        <v/>
      </c>
      <c r="H161" s="33" t="str">
        <f t="shared" si="46"/>
        <v/>
      </c>
      <c r="I161" s="33" t="str">
        <f t="shared" si="46"/>
        <v/>
      </c>
      <c r="J161" s="33" t="str">
        <f t="shared" si="46"/>
        <v/>
      </c>
      <c r="K161" s="33" t="str">
        <f t="shared" si="46"/>
        <v/>
      </c>
      <c r="L161" s="33" t="str">
        <f t="shared" si="46"/>
        <v/>
      </c>
      <c r="M161" s="33" t="str">
        <f t="shared" si="46"/>
        <v/>
      </c>
      <c r="N161" s="33" t="str">
        <f t="shared" si="46"/>
        <v/>
      </c>
      <c r="O161" s="33" t="str">
        <f t="shared" si="46"/>
        <v/>
      </c>
      <c r="P161" s="33" t="str">
        <f t="shared" si="46"/>
        <v/>
      </c>
      <c r="Q161" s="33" t="str">
        <f t="shared" si="46"/>
        <v/>
      </c>
      <c r="R161" s="33" t="str">
        <f t="shared" si="46"/>
        <v/>
      </c>
      <c r="S161" s="158" t="str">
        <f t="shared" si="46"/>
        <v/>
      </c>
    </row>
    <row r="162" spans="2:19">
      <c r="B162" s="148" t="s">
        <v>545</v>
      </c>
      <c r="C162" s="33" t="str">
        <f t="shared" si="44"/>
        <v/>
      </c>
      <c r="D162" s="33" t="str">
        <f t="shared" ref="D162:S162" si="47">IF(D137*D$157=0,"",D137*D$157)</f>
        <v/>
      </c>
      <c r="E162" s="33">
        <f t="shared" si="47"/>
        <v>1.875</v>
      </c>
      <c r="F162" s="33" t="str">
        <f t="shared" si="47"/>
        <v/>
      </c>
      <c r="G162" s="33" t="str">
        <f t="shared" si="47"/>
        <v/>
      </c>
      <c r="H162" s="33" t="str">
        <f t="shared" si="47"/>
        <v/>
      </c>
      <c r="I162" s="33" t="str">
        <f t="shared" si="47"/>
        <v/>
      </c>
      <c r="J162" s="33" t="str">
        <f t="shared" si="47"/>
        <v/>
      </c>
      <c r="K162" s="33" t="str">
        <f t="shared" si="47"/>
        <v/>
      </c>
      <c r="L162" s="33" t="str">
        <f t="shared" si="47"/>
        <v/>
      </c>
      <c r="M162" s="33" t="str">
        <f t="shared" si="47"/>
        <v/>
      </c>
      <c r="N162" s="33" t="str">
        <f t="shared" si="47"/>
        <v/>
      </c>
      <c r="O162" s="33" t="str">
        <f t="shared" si="47"/>
        <v/>
      </c>
      <c r="P162" s="33" t="str">
        <f t="shared" si="47"/>
        <v/>
      </c>
      <c r="Q162" s="33" t="str">
        <f t="shared" si="47"/>
        <v/>
      </c>
      <c r="R162" s="33" t="str">
        <f t="shared" si="47"/>
        <v/>
      </c>
      <c r="S162" s="158" t="str">
        <f t="shared" si="47"/>
        <v/>
      </c>
    </row>
    <row r="163" spans="2:19">
      <c r="B163" s="148" t="s">
        <v>377</v>
      </c>
      <c r="C163" s="33" t="str">
        <f t="shared" si="44"/>
        <v/>
      </c>
      <c r="D163" s="33" t="str">
        <f t="shared" ref="D163:S163" si="48">IF(D138*D$157=0,"",D138*D$157)</f>
        <v/>
      </c>
      <c r="E163" s="33">
        <f t="shared" si="48"/>
        <v>1.875</v>
      </c>
      <c r="F163" s="33" t="str">
        <f t="shared" si="48"/>
        <v/>
      </c>
      <c r="G163" s="33" t="str">
        <f t="shared" si="48"/>
        <v/>
      </c>
      <c r="H163" s="33">
        <f t="shared" si="48"/>
        <v>1.25</v>
      </c>
      <c r="I163" s="33" t="str">
        <f t="shared" si="48"/>
        <v/>
      </c>
      <c r="J163" s="33" t="str">
        <f t="shared" si="48"/>
        <v/>
      </c>
      <c r="K163" s="33" t="str">
        <f t="shared" si="48"/>
        <v/>
      </c>
      <c r="L163" s="33" t="str">
        <f t="shared" si="48"/>
        <v/>
      </c>
      <c r="M163" s="33" t="str">
        <f t="shared" si="48"/>
        <v/>
      </c>
      <c r="N163" s="33" t="str">
        <f t="shared" si="48"/>
        <v/>
      </c>
      <c r="O163" s="33" t="str">
        <f t="shared" si="48"/>
        <v/>
      </c>
      <c r="P163" s="33" t="str">
        <f t="shared" si="48"/>
        <v/>
      </c>
      <c r="Q163" s="33" t="str">
        <f t="shared" si="48"/>
        <v/>
      </c>
      <c r="R163" s="33" t="str">
        <f t="shared" si="48"/>
        <v/>
      </c>
      <c r="S163" s="158" t="str">
        <f t="shared" si="48"/>
        <v/>
      </c>
    </row>
    <row r="164" spans="2:19">
      <c r="B164" s="148" t="s">
        <v>546</v>
      </c>
      <c r="C164" s="33" t="str">
        <f t="shared" si="44"/>
        <v/>
      </c>
      <c r="D164" s="33">
        <f t="shared" ref="D164:S164" si="49">IF(D139*D$157=0,"",D139*D$157)</f>
        <v>12.5</v>
      </c>
      <c r="E164" s="33" t="str">
        <f t="shared" si="49"/>
        <v/>
      </c>
      <c r="F164" s="33" t="str">
        <f t="shared" si="49"/>
        <v/>
      </c>
      <c r="G164" s="33" t="str">
        <f t="shared" si="49"/>
        <v/>
      </c>
      <c r="H164" s="33" t="str">
        <f t="shared" si="49"/>
        <v/>
      </c>
      <c r="I164" s="33" t="str">
        <f t="shared" si="49"/>
        <v/>
      </c>
      <c r="J164" s="33" t="str">
        <f t="shared" si="49"/>
        <v/>
      </c>
      <c r="K164" s="33" t="str">
        <f t="shared" si="49"/>
        <v/>
      </c>
      <c r="L164" s="33" t="str">
        <f t="shared" si="49"/>
        <v/>
      </c>
      <c r="M164" s="33" t="str">
        <f t="shared" si="49"/>
        <v/>
      </c>
      <c r="N164" s="33" t="str">
        <f t="shared" si="49"/>
        <v/>
      </c>
      <c r="O164" s="33" t="str">
        <f t="shared" si="49"/>
        <v/>
      </c>
      <c r="P164" s="33" t="str">
        <f t="shared" si="49"/>
        <v/>
      </c>
      <c r="Q164" s="33" t="str">
        <f t="shared" si="49"/>
        <v/>
      </c>
      <c r="R164" s="33" t="str">
        <f t="shared" si="49"/>
        <v/>
      </c>
      <c r="S164" s="158" t="str">
        <f t="shared" si="49"/>
        <v/>
      </c>
    </row>
    <row r="165" spans="2:19">
      <c r="B165" s="148" t="s">
        <v>547</v>
      </c>
      <c r="C165" s="33" t="str">
        <f t="shared" si="44"/>
        <v/>
      </c>
      <c r="D165" s="33">
        <f t="shared" ref="D165:S165" si="50">IF(D140*D$157=0,"",D140*D$157)</f>
        <v>0.5</v>
      </c>
      <c r="E165" s="33">
        <f t="shared" si="50"/>
        <v>0.375</v>
      </c>
      <c r="F165" s="33">
        <f t="shared" si="50"/>
        <v>1</v>
      </c>
      <c r="G165" s="33" t="str">
        <f t="shared" si="50"/>
        <v/>
      </c>
      <c r="H165" s="33" t="str">
        <f t="shared" si="50"/>
        <v/>
      </c>
      <c r="I165" s="33">
        <f t="shared" si="50"/>
        <v>0.575</v>
      </c>
      <c r="J165" s="33">
        <f t="shared" si="50"/>
        <v>1.25</v>
      </c>
      <c r="K165" s="33" t="str">
        <f t="shared" si="50"/>
        <v/>
      </c>
      <c r="L165" s="33">
        <f t="shared" si="50"/>
        <v>12.5</v>
      </c>
      <c r="M165" s="33">
        <f t="shared" si="50"/>
        <v>10</v>
      </c>
      <c r="N165" s="33">
        <f t="shared" si="50"/>
        <v>25</v>
      </c>
      <c r="O165" s="33" t="str">
        <f t="shared" si="50"/>
        <v/>
      </c>
      <c r="P165" s="33" t="str">
        <f t="shared" si="50"/>
        <v/>
      </c>
      <c r="Q165" s="33" t="str">
        <f t="shared" si="50"/>
        <v/>
      </c>
      <c r="R165" s="33" t="str">
        <f t="shared" si="50"/>
        <v/>
      </c>
      <c r="S165" s="158" t="str">
        <f t="shared" si="50"/>
        <v/>
      </c>
    </row>
    <row r="166" spans="2:19">
      <c r="B166" s="148" t="s">
        <v>548</v>
      </c>
      <c r="C166" s="33">
        <f t="shared" si="44"/>
        <v>0.5</v>
      </c>
      <c r="D166" s="33">
        <f t="shared" ref="D166:S166" si="51">IF(D141*D$157=0,"",D141*D$157)</f>
        <v>0.5</v>
      </c>
      <c r="E166" s="33">
        <f t="shared" si="51"/>
        <v>0.5</v>
      </c>
      <c r="F166" s="33">
        <f t="shared" si="51"/>
        <v>1</v>
      </c>
      <c r="G166" s="33" t="str">
        <f t="shared" si="51"/>
        <v/>
      </c>
      <c r="H166" s="33" t="str">
        <f t="shared" si="51"/>
        <v/>
      </c>
      <c r="I166" s="33">
        <f t="shared" si="51"/>
        <v>2.25</v>
      </c>
      <c r="J166" s="33" t="str">
        <f t="shared" si="51"/>
        <v/>
      </c>
      <c r="K166" s="33" t="str">
        <f t="shared" si="51"/>
        <v/>
      </c>
      <c r="L166" s="33" t="str">
        <f t="shared" si="51"/>
        <v/>
      </c>
      <c r="M166" s="33" t="str">
        <f t="shared" si="51"/>
        <v/>
      </c>
      <c r="N166" s="33" t="str">
        <f t="shared" si="51"/>
        <v/>
      </c>
      <c r="O166" s="33" t="str">
        <f t="shared" si="51"/>
        <v/>
      </c>
      <c r="P166" s="33" t="str">
        <f t="shared" si="51"/>
        <v/>
      </c>
      <c r="Q166" s="33" t="str">
        <f t="shared" si="51"/>
        <v/>
      </c>
      <c r="R166" s="33" t="str">
        <f t="shared" si="51"/>
        <v/>
      </c>
      <c r="S166" s="158">
        <f t="shared" si="51"/>
        <v>2.25</v>
      </c>
    </row>
    <row r="167" spans="2:19">
      <c r="B167" s="148" t="s">
        <v>549</v>
      </c>
      <c r="C167" s="33" t="str">
        <f t="shared" si="44"/>
        <v/>
      </c>
      <c r="D167" s="33" t="str">
        <f t="shared" ref="D167:S167" si="52">IF(D142*D$157=0,"",D142*D$157)</f>
        <v/>
      </c>
      <c r="E167" s="33" t="str">
        <f t="shared" si="52"/>
        <v/>
      </c>
      <c r="F167" s="33">
        <f t="shared" si="52"/>
        <v>1.5</v>
      </c>
      <c r="G167" s="33">
        <f t="shared" si="52"/>
        <v>12.5</v>
      </c>
      <c r="H167" s="33">
        <f t="shared" si="52"/>
        <v>11.25</v>
      </c>
      <c r="I167" s="33">
        <f t="shared" si="52"/>
        <v>0.575</v>
      </c>
      <c r="J167" s="33">
        <f t="shared" si="52"/>
        <v>6.25</v>
      </c>
      <c r="K167" s="33" t="str">
        <f t="shared" si="52"/>
        <v/>
      </c>
      <c r="L167" s="33" t="str">
        <f t="shared" si="52"/>
        <v/>
      </c>
      <c r="M167" s="33" t="str">
        <f t="shared" si="52"/>
        <v/>
      </c>
      <c r="N167" s="33" t="str">
        <f t="shared" si="52"/>
        <v/>
      </c>
      <c r="O167" s="33" t="str">
        <f t="shared" si="52"/>
        <v/>
      </c>
      <c r="P167" s="33" t="str">
        <f t="shared" si="52"/>
        <v/>
      </c>
      <c r="Q167" s="33">
        <f t="shared" si="52"/>
        <v>12.5</v>
      </c>
      <c r="R167" s="33">
        <f t="shared" si="52"/>
        <v>11.25</v>
      </c>
      <c r="S167" s="158">
        <f t="shared" si="52"/>
        <v>1.25</v>
      </c>
    </row>
    <row r="168" spans="2:19">
      <c r="B168" s="148" t="s">
        <v>550</v>
      </c>
      <c r="C168" s="33">
        <f t="shared" si="44"/>
        <v>0.5</v>
      </c>
      <c r="D168" s="33">
        <f t="shared" ref="D168:S168" si="53">IF(D143*D$157=0,"",D143*D$157)</f>
        <v>3</v>
      </c>
      <c r="E168" s="33" t="str">
        <f t="shared" si="53"/>
        <v/>
      </c>
      <c r="F168" s="33">
        <f t="shared" si="53"/>
        <v>2</v>
      </c>
      <c r="G168" s="33" t="str">
        <f t="shared" si="53"/>
        <v/>
      </c>
      <c r="H168" s="33" t="str">
        <f t="shared" si="53"/>
        <v/>
      </c>
      <c r="I168" s="33">
        <f t="shared" si="53"/>
        <v>3.75</v>
      </c>
      <c r="J168" s="33" t="str">
        <f t="shared" si="53"/>
        <v/>
      </c>
      <c r="K168" s="33" t="str">
        <f t="shared" si="53"/>
        <v/>
      </c>
      <c r="L168" s="33" t="str">
        <f t="shared" si="53"/>
        <v/>
      </c>
      <c r="M168" s="33" t="str">
        <f t="shared" si="53"/>
        <v/>
      </c>
      <c r="N168" s="33" t="str">
        <f t="shared" si="53"/>
        <v/>
      </c>
      <c r="O168" s="33" t="str">
        <f t="shared" si="53"/>
        <v/>
      </c>
      <c r="P168" s="33" t="str">
        <f t="shared" si="53"/>
        <v/>
      </c>
      <c r="Q168" s="33" t="str">
        <f t="shared" si="53"/>
        <v/>
      </c>
      <c r="R168" s="33" t="str">
        <f t="shared" si="53"/>
        <v/>
      </c>
      <c r="S168" s="158">
        <f t="shared" si="53"/>
        <v>3.75</v>
      </c>
    </row>
    <row r="169" spans="2:19">
      <c r="B169" s="148" t="s">
        <v>551</v>
      </c>
      <c r="C169" s="33" t="str">
        <f t="shared" si="44"/>
        <v/>
      </c>
      <c r="D169" s="33" t="str">
        <f t="shared" ref="D169:S169" si="54">IF(D144*D$157=0,"",D144*D$157)</f>
        <v/>
      </c>
      <c r="E169" s="33">
        <f t="shared" si="54"/>
        <v>1.5</v>
      </c>
      <c r="F169" s="33">
        <f t="shared" si="54"/>
        <v>0.75</v>
      </c>
      <c r="G169" s="33">
        <f t="shared" si="54"/>
        <v>0.75</v>
      </c>
      <c r="H169" s="33">
        <f t="shared" si="54"/>
        <v>0.75</v>
      </c>
      <c r="I169" s="33">
        <f t="shared" si="54"/>
        <v>0.75</v>
      </c>
      <c r="J169" s="33">
        <f t="shared" si="54"/>
        <v>0.75</v>
      </c>
      <c r="K169" s="33" t="str">
        <f t="shared" si="54"/>
        <v/>
      </c>
      <c r="L169" s="33">
        <f t="shared" si="54"/>
        <v>0.75</v>
      </c>
      <c r="M169" s="33" t="str">
        <f t="shared" si="54"/>
        <v/>
      </c>
      <c r="N169" s="33" t="str">
        <f t="shared" si="54"/>
        <v/>
      </c>
      <c r="O169" s="33" t="str">
        <f t="shared" si="54"/>
        <v/>
      </c>
      <c r="P169" s="33" t="str">
        <f t="shared" si="54"/>
        <v/>
      </c>
      <c r="Q169" s="33">
        <f t="shared" si="54"/>
        <v>0.75</v>
      </c>
      <c r="R169" s="33">
        <f t="shared" si="54"/>
        <v>0.75</v>
      </c>
      <c r="S169" s="158">
        <f t="shared" si="54"/>
        <v>0.75</v>
      </c>
    </row>
    <row r="170" spans="2:19">
      <c r="B170" s="148" t="s">
        <v>552</v>
      </c>
      <c r="C170" s="33">
        <f t="shared" si="44"/>
        <v>0.825</v>
      </c>
      <c r="D170" s="33" t="str">
        <f t="shared" ref="D170:S170" si="55">IF(D145*D$157=0,"",D145*D$157)</f>
        <v/>
      </c>
      <c r="E170" s="33" t="str">
        <f t="shared" si="55"/>
        <v/>
      </c>
      <c r="F170" s="33" t="str">
        <f t="shared" si="55"/>
        <v/>
      </c>
      <c r="G170" s="33" t="str">
        <f t="shared" si="55"/>
        <v/>
      </c>
      <c r="H170" s="33" t="str">
        <f t="shared" si="55"/>
        <v/>
      </c>
      <c r="I170" s="33" t="str">
        <f t="shared" si="55"/>
        <v/>
      </c>
      <c r="J170" s="33" t="str">
        <f t="shared" si="55"/>
        <v/>
      </c>
      <c r="K170" s="33" t="str">
        <f t="shared" si="55"/>
        <v/>
      </c>
      <c r="L170" s="33" t="str">
        <f t="shared" si="55"/>
        <v/>
      </c>
      <c r="M170" s="33" t="str">
        <f t="shared" si="55"/>
        <v/>
      </c>
      <c r="N170" s="33" t="str">
        <f t="shared" si="55"/>
        <v/>
      </c>
      <c r="O170" s="33" t="str">
        <f t="shared" si="55"/>
        <v/>
      </c>
      <c r="P170" s="33" t="str">
        <f t="shared" si="55"/>
        <v/>
      </c>
      <c r="Q170" s="33" t="str">
        <f t="shared" si="55"/>
        <v/>
      </c>
      <c r="R170" s="33" t="str">
        <f t="shared" si="55"/>
        <v/>
      </c>
      <c r="S170" s="158" t="str">
        <f t="shared" si="55"/>
        <v/>
      </c>
    </row>
    <row r="171" spans="2:19">
      <c r="B171" s="148" t="s">
        <v>553</v>
      </c>
      <c r="C171" s="33">
        <f t="shared" si="44"/>
        <v>0.5</v>
      </c>
      <c r="D171" s="33">
        <f t="shared" ref="D171:S171" si="56">IF(D146*D$157=0,"",D146*D$157)</f>
        <v>5</v>
      </c>
      <c r="E171" s="33">
        <f t="shared" si="56"/>
        <v>6.25</v>
      </c>
      <c r="F171" s="33">
        <f t="shared" si="56"/>
        <v>10</v>
      </c>
      <c r="G171" s="33">
        <f t="shared" si="56"/>
        <v>5</v>
      </c>
      <c r="H171" s="33">
        <f t="shared" si="56"/>
        <v>5</v>
      </c>
      <c r="I171" s="33">
        <f t="shared" si="56"/>
        <v>6.25</v>
      </c>
      <c r="J171" s="33">
        <f t="shared" si="56"/>
        <v>7.5</v>
      </c>
      <c r="K171" s="33">
        <f t="shared" si="56"/>
        <v>2.66666666666667</v>
      </c>
      <c r="L171" s="33">
        <f t="shared" si="56"/>
        <v>6.25</v>
      </c>
      <c r="M171" s="33">
        <f t="shared" si="56"/>
        <v>3.4</v>
      </c>
      <c r="N171" s="33" t="str">
        <f t="shared" si="56"/>
        <v/>
      </c>
      <c r="O171" s="33" t="str">
        <f t="shared" si="56"/>
        <v/>
      </c>
      <c r="P171" s="33">
        <f t="shared" si="56"/>
        <v>10</v>
      </c>
      <c r="Q171" s="33">
        <f t="shared" si="56"/>
        <v>5</v>
      </c>
      <c r="R171" s="33">
        <f t="shared" si="56"/>
        <v>5</v>
      </c>
      <c r="S171" s="158">
        <f t="shared" si="56"/>
        <v>6.25</v>
      </c>
    </row>
    <row r="172" spans="2:19">
      <c r="B172" s="148" t="s">
        <v>554</v>
      </c>
      <c r="C172" s="33" t="str">
        <f t="shared" si="44"/>
        <v/>
      </c>
      <c r="D172" s="33">
        <f t="shared" ref="D172:S172" si="57">IF(D147*D$157=0,"",D147*D$157)</f>
        <v>0.15</v>
      </c>
      <c r="E172" s="33" t="str">
        <f t="shared" si="57"/>
        <v/>
      </c>
      <c r="F172" s="33">
        <f t="shared" si="57"/>
        <v>1.2</v>
      </c>
      <c r="G172" s="33">
        <f t="shared" si="57"/>
        <v>0.325</v>
      </c>
      <c r="H172" s="33" t="str">
        <f t="shared" si="57"/>
        <v/>
      </c>
      <c r="I172" s="33">
        <f t="shared" si="57"/>
        <v>2.07</v>
      </c>
      <c r="J172" s="33">
        <f t="shared" si="57"/>
        <v>2.5</v>
      </c>
      <c r="K172" s="33" t="str">
        <f t="shared" si="57"/>
        <v/>
      </c>
      <c r="L172" s="33" t="str">
        <f t="shared" si="57"/>
        <v/>
      </c>
      <c r="M172" s="33">
        <f t="shared" si="57"/>
        <v>6.6</v>
      </c>
      <c r="N172" s="33" t="str">
        <f t="shared" si="57"/>
        <v/>
      </c>
      <c r="O172" s="33" t="str">
        <f t="shared" si="57"/>
        <v/>
      </c>
      <c r="P172" s="33" t="str">
        <f t="shared" si="57"/>
        <v/>
      </c>
      <c r="Q172" s="33">
        <f t="shared" si="57"/>
        <v>0.325</v>
      </c>
      <c r="R172" s="33" t="str">
        <f t="shared" si="57"/>
        <v/>
      </c>
      <c r="S172" s="158" t="str">
        <f t="shared" si="57"/>
        <v/>
      </c>
    </row>
    <row r="173" spans="2:19">
      <c r="B173" s="148" t="s">
        <v>555</v>
      </c>
      <c r="C173" s="33" t="str">
        <f t="shared" si="44"/>
        <v/>
      </c>
      <c r="D173" s="33" t="str">
        <f t="shared" ref="D173:S173" si="58">IF(D148*D$157=0,"",D148*D$157)</f>
        <v/>
      </c>
      <c r="E173" s="33">
        <f t="shared" si="58"/>
        <v>0.075</v>
      </c>
      <c r="F173" s="33">
        <f t="shared" si="58"/>
        <v>1.125</v>
      </c>
      <c r="G173" s="33" t="str">
        <f t="shared" si="58"/>
        <v/>
      </c>
      <c r="H173" s="33">
        <f t="shared" si="58"/>
        <v>0.55</v>
      </c>
      <c r="I173" s="33">
        <f t="shared" si="58"/>
        <v>1.625</v>
      </c>
      <c r="J173" s="33" t="str">
        <f t="shared" si="58"/>
        <v/>
      </c>
      <c r="K173" s="33" t="str">
        <f t="shared" si="58"/>
        <v/>
      </c>
      <c r="L173" s="33">
        <f t="shared" si="58"/>
        <v>0.875</v>
      </c>
      <c r="M173" s="33" t="str">
        <f t="shared" si="58"/>
        <v/>
      </c>
      <c r="N173" s="33" t="str">
        <f t="shared" si="58"/>
        <v/>
      </c>
      <c r="O173" s="33" t="str">
        <f t="shared" si="58"/>
        <v/>
      </c>
      <c r="P173" s="33" t="str">
        <f t="shared" si="58"/>
        <v/>
      </c>
      <c r="Q173" s="33" t="str">
        <f t="shared" si="58"/>
        <v/>
      </c>
      <c r="R173" s="33">
        <f t="shared" si="58"/>
        <v>0.55</v>
      </c>
      <c r="S173" s="158">
        <f t="shared" si="58"/>
        <v>1.625</v>
      </c>
    </row>
    <row r="174" spans="2:19">
      <c r="B174" s="148" t="s">
        <v>556</v>
      </c>
      <c r="C174" s="33" t="str">
        <f t="shared" si="44"/>
        <v/>
      </c>
      <c r="D174" s="33" t="str">
        <f t="shared" ref="D174:S175" si="59">IF(D149*D$157=0,"",D149*D$157)</f>
        <v/>
      </c>
      <c r="E174" s="33" t="str">
        <f t="shared" si="59"/>
        <v/>
      </c>
      <c r="F174" s="33">
        <f t="shared" si="59"/>
        <v>0.5</v>
      </c>
      <c r="G174" s="33" t="str">
        <f t="shared" si="59"/>
        <v/>
      </c>
      <c r="H174" s="33" t="str">
        <f t="shared" si="59"/>
        <v/>
      </c>
      <c r="I174" s="33">
        <f t="shared" si="59"/>
        <v>0.2875</v>
      </c>
      <c r="J174" s="33">
        <f t="shared" si="59"/>
        <v>1.25</v>
      </c>
      <c r="K174" s="33" t="str">
        <f t="shared" si="59"/>
        <v/>
      </c>
      <c r="L174" s="33" t="str">
        <f t="shared" si="59"/>
        <v/>
      </c>
      <c r="M174" s="33" t="str">
        <f t="shared" si="59"/>
        <v/>
      </c>
      <c r="N174" s="33" t="str">
        <f t="shared" si="59"/>
        <v/>
      </c>
      <c r="O174" s="33" t="str">
        <f t="shared" si="59"/>
        <v/>
      </c>
      <c r="P174" s="33" t="str">
        <f t="shared" si="59"/>
        <v/>
      </c>
      <c r="Q174" s="33" t="str">
        <f t="shared" si="59"/>
        <v/>
      </c>
      <c r="R174" s="33" t="str">
        <f t="shared" si="59"/>
        <v/>
      </c>
      <c r="S174" s="158" t="str">
        <f t="shared" si="59"/>
        <v/>
      </c>
    </row>
    <row r="175" spans="2:19">
      <c r="B175" s="148" t="s">
        <v>557</v>
      </c>
      <c r="C175" s="33">
        <f t="shared" si="44"/>
        <v>0.05</v>
      </c>
      <c r="D175" s="33">
        <f t="shared" si="59"/>
        <v>1.25</v>
      </c>
      <c r="E175" s="33">
        <f t="shared" si="59"/>
        <v>0.75</v>
      </c>
      <c r="F175" s="33" t="str">
        <f t="shared" si="59"/>
        <v/>
      </c>
      <c r="G175" s="33" t="str">
        <f t="shared" si="59"/>
        <v/>
      </c>
      <c r="H175" s="33" t="str">
        <f t="shared" si="59"/>
        <v/>
      </c>
      <c r="I175" s="33" t="str">
        <f t="shared" si="59"/>
        <v/>
      </c>
      <c r="J175" s="33">
        <f t="shared" si="59"/>
        <v>2.5</v>
      </c>
      <c r="K175" s="33">
        <f t="shared" si="59"/>
        <v>1.33333333333333</v>
      </c>
      <c r="L175" s="33" t="str">
        <f t="shared" si="59"/>
        <v/>
      </c>
      <c r="M175" s="33" t="str">
        <f t="shared" si="59"/>
        <v/>
      </c>
      <c r="N175" s="33" t="str">
        <f t="shared" si="59"/>
        <v/>
      </c>
      <c r="O175" s="33" t="str">
        <f t="shared" si="59"/>
        <v/>
      </c>
      <c r="P175" s="33" t="str">
        <f t="shared" si="59"/>
        <v/>
      </c>
      <c r="Q175" s="33" t="str">
        <f t="shared" si="59"/>
        <v/>
      </c>
      <c r="R175" s="33" t="str">
        <f t="shared" si="59"/>
        <v/>
      </c>
      <c r="S175" s="158" t="str">
        <f t="shared" si="59"/>
        <v/>
      </c>
    </row>
    <row r="176" ht="13.85" spans="2:19">
      <c r="B176" s="150" t="s">
        <v>558</v>
      </c>
      <c r="C176" s="152"/>
      <c r="D176" s="152"/>
      <c r="E176" s="152"/>
      <c r="F176" s="152" t="str">
        <f>IF(F151*F$157=0,"",F151*F$157)</f>
        <v/>
      </c>
      <c r="G176" s="152"/>
      <c r="H176" s="152"/>
      <c r="I176" s="152"/>
      <c r="J176" s="152"/>
      <c r="K176" s="152"/>
      <c r="L176" s="152"/>
      <c r="M176" s="152"/>
      <c r="N176" s="152"/>
      <c r="O176" s="152"/>
      <c r="P176" s="152"/>
      <c r="Q176" s="152" t="str">
        <f t="shared" ref="Q176:S176" si="60">IF(Q151*Q$157=0,"",Q151*Q$157)</f>
        <v/>
      </c>
      <c r="R176" s="152">
        <f t="shared" si="60"/>
        <v>1.25</v>
      </c>
      <c r="S176" s="157">
        <f t="shared" si="60"/>
        <v>1.25</v>
      </c>
    </row>
    <row r="177" spans="2:19">
      <c r="B177" s="1" t="s">
        <v>534</v>
      </c>
      <c r="C177" s="32">
        <f t="shared" ref="C177:S177" si="61">SUM(C161:C176)</f>
        <v>2.375</v>
      </c>
      <c r="D177" s="32">
        <f t="shared" si="61"/>
        <v>22.9</v>
      </c>
      <c r="E177" s="32">
        <f t="shared" si="61"/>
        <v>22.575</v>
      </c>
      <c r="F177" s="32">
        <f t="shared" si="61"/>
        <v>19.075</v>
      </c>
      <c r="G177" s="32">
        <f t="shared" si="61"/>
        <v>18.575</v>
      </c>
      <c r="H177" s="32">
        <f t="shared" si="61"/>
        <v>18.8</v>
      </c>
      <c r="I177" s="32">
        <f t="shared" si="61"/>
        <v>18.1325</v>
      </c>
      <c r="J177" s="32">
        <f t="shared" si="61"/>
        <v>22</v>
      </c>
      <c r="K177" s="32">
        <f t="shared" si="61"/>
        <v>4</v>
      </c>
      <c r="L177" s="32">
        <f t="shared" si="61"/>
        <v>20.375</v>
      </c>
      <c r="M177" s="32">
        <f t="shared" si="61"/>
        <v>20</v>
      </c>
      <c r="N177" s="32">
        <f t="shared" si="61"/>
        <v>25</v>
      </c>
      <c r="O177" s="32">
        <f t="shared" si="61"/>
        <v>0</v>
      </c>
      <c r="P177" s="32">
        <f t="shared" si="61"/>
        <v>10</v>
      </c>
      <c r="Q177" s="32">
        <f t="shared" si="61"/>
        <v>18.575</v>
      </c>
      <c r="R177" s="32">
        <f t="shared" si="61"/>
        <v>18.8</v>
      </c>
      <c r="S177" s="32">
        <f t="shared" si="61"/>
        <v>17.125</v>
      </c>
    </row>
    <row r="180" s="25" customFormat="1" spans="1:3">
      <c r="A180" s="2" t="s">
        <v>434</v>
      </c>
      <c r="C180" s="26" t="s">
        <v>436</v>
      </c>
    </row>
    <row r="182" ht="13.85" spans="2:12">
      <c r="B182" s="27" t="s">
        <v>561</v>
      </c>
      <c r="C182" s="27"/>
      <c r="D182" s="27"/>
      <c r="E182" s="27"/>
      <c r="F182" s="27"/>
      <c r="G182" s="27"/>
      <c r="H182" s="27"/>
      <c r="I182" s="27"/>
      <c r="J182" s="27"/>
      <c r="K182" s="27"/>
      <c r="L182" s="27"/>
    </row>
    <row r="183" spans="2:20">
      <c r="B183" s="89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100"/>
    </row>
    <row r="184" spans="2:20">
      <c r="B184" s="148"/>
      <c r="C184" s="1" t="s">
        <v>540</v>
      </c>
      <c r="D184" s="1" t="s">
        <v>476</v>
      </c>
      <c r="E184" s="1" t="s">
        <v>478</v>
      </c>
      <c r="F184" s="1" t="s">
        <v>454</v>
      </c>
      <c r="G184" s="1" t="s">
        <v>479</v>
      </c>
      <c r="H184" s="1" t="s">
        <v>379</v>
      </c>
      <c r="I184" s="1" t="s">
        <v>458</v>
      </c>
      <c r="J184" s="1" t="s">
        <v>483</v>
      </c>
      <c r="K184" s="1" t="s">
        <v>484</v>
      </c>
      <c r="L184" s="1" t="s">
        <v>466</v>
      </c>
      <c r="M184" s="1" t="s">
        <v>468</v>
      </c>
      <c r="N184" s="1" t="s">
        <v>470</v>
      </c>
      <c r="O184" s="1" t="s">
        <v>472</v>
      </c>
      <c r="P184" s="1" t="s">
        <v>487</v>
      </c>
      <c r="Q184" s="1" t="s">
        <v>481</v>
      </c>
      <c r="R184" s="1" t="s">
        <v>541</v>
      </c>
      <c r="S184" s="1" t="s">
        <v>542</v>
      </c>
      <c r="T184" s="101" t="s">
        <v>562</v>
      </c>
    </row>
    <row r="185" spans="2:20">
      <c r="B185" s="148" t="s">
        <v>563</v>
      </c>
      <c r="C185" s="33">
        <f>控制台!C4476</f>
        <v>21.9583333333333</v>
      </c>
      <c r="D185" s="33">
        <f>SUM(控制台!Q4476:S4476)</f>
        <v>25.125</v>
      </c>
      <c r="E185" s="33">
        <f>控制台!D4476</f>
        <v>8.24652777777778</v>
      </c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158">
        <f>控制台!$T$4476</f>
        <v>53.75</v>
      </c>
    </row>
    <row r="186" spans="2:20">
      <c r="B186" s="148" t="s">
        <v>564</v>
      </c>
      <c r="C186" s="33">
        <f>控制台!D4491</f>
        <v>19.375</v>
      </c>
      <c r="D186" s="33">
        <f>控制台!G4483</f>
        <v>12.15</v>
      </c>
      <c r="E186" s="33">
        <f>控制台!G4491+控制台!G4484</f>
        <v>37.0974392361111</v>
      </c>
      <c r="F186" s="33">
        <f>控制台!H4491</f>
        <v>39.9</v>
      </c>
      <c r="G186" s="33">
        <f>控制台!I4491</f>
        <v>0.0255</v>
      </c>
      <c r="H186" s="33"/>
      <c r="I186" s="33">
        <f>控制台!K4491</f>
        <v>9.37875</v>
      </c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158"/>
    </row>
    <row r="187" spans="2:20">
      <c r="B187" s="148" t="s">
        <v>380</v>
      </c>
      <c r="C187" s="33">
        <f>控制台!D4550</f>
        <v>18.7083333333333</v>
      </c>
      <c r="D187" s="33"/>
      <c r="E187" s="33">
        <f>控制台!H4550</f>
        <v>32.9861111111111</v>
      </c>
      <c r="F187" s="33"/>
      <c r="G187" s="33">
        <f>控制台!E4550</f>
        <v>32.6</v>
      </c>
      <c r="H187" s="33">
        <f>控制台!F4550</f>
        <v>31.425</v>
      </c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158">
        <f>控制台!G4550</f>
        <v>11.25</v>
      </c>
    </row>
    <row r="188" spans="2:20">
      <c r="B188" s="148" t="s">
        <v>565</v>
      </c>
      <c r="C188" s="33">
        <f>控制台!D4560</f>
        <v>21.7833333333333</v>
      </c>
      <c r="D188" s="33">
        <f>控制台!F4560</f>
        <v>7.0125</v>
      </c>
      <c r="E188" s="33">
        <f>控制台!G4560</f>
        <v>10.2864583333333</v>
      </c>
      <c r="F188" s="33"/>
      <c r="G188" s="33">
        <f>控制台!I4560</f>
        <v>26.325</v>
      </c>
      <c r="H188" s="33">
        <f>控制台!J4560</f>
        <v>19.74375</v>
      </c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158"/>
    </row>
    <row r="189" spans="2:20">
      <c r="B189" s="148" t="s">
        <v>566</v>
      </c>
      <c r="C189" s="33">
        <f>控制台!D4570</f>
        <v>0.5</v>
      </c>
      <c r="D189" s="33">
        <f>控制台!F4570</f>
        <v>26.3666666666667</v>
      </c>
      <c r="E189" s="33">
        <f>控制台!G4570</f>
        <v>23.0740017361111</v>
      </c>
      <c r="F189" s="33">
        <f>控制台!H4570</f>
        <v>12</v>
      </c>
      <c r="G189" s="33">
        <f>控制台!I4570</f>
        <v>12.6</v>
      </c>
      <c r="H189" s="33">
        <f>控制台!J4570</f>
        <v>19.125</v>
      </c>
      <c r="I189" s="33">
        <f>控制台!K4570</f>
        <v>13</v>
      </c>
      <c r="J189" s="33"/>
      <c r="K189" s="33"/>
      <c r="L189" s="33"/>
      <c r="M189" s="33">
        <f>控制台!O4570</f>
        <v>2400</v>
      </c>
      <c r="N189" s="33"/>
      <c r="O189" s="33"/>
      <c r="P189" s="33"/>
      <c r="Q189" s="33"/>
      <c r="R189" s="33"/>
      <c r="S189" s="33"/>
      <c r="T189" s="158"/>
    </row>
    <row r="190" spans="2:20">
      <c r="B190" s="148" t="s">
        <v>567</v>
      </c>
      <c r="C190" s="33"/>
      <c r="D190" s="33">
        <f>控制台!C4582</f>
        <v>36.875</v>
      </c>
      <c r="E190" s="33">
        <f>控制台!D4582</f>
        <v>92.96875</v>
      </c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158"/>
    </row>
    <row r="191" spans="2:20">
      <c r="B191" s="148" t="s">
        <v>568</v>
      </c>
      <c r="C191" s="33">
        <f>控制台!G4589</f>
        <v>21.6666666666667</v>
      </c>
      <c r="D191" s="33"/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158"/>
    </row>
    <row r="192" spans="2:20">
      <c r="B192" s="148" t="s">
        <v>569</v>
      </c>
      <c r="C192" s="33"/>
      <c r="D192" s="33"/>
      <c r="E192" s="33"/>
      <c r="F192" s="33"/>
      <c r="G192" s="33">
        <f ca="1">控制台!E4610</f>
        <v>57.25</v>
      </c>
      <c r="H192" s="33">
        <f ca="1">控制台!E4611</f>
        <v>66.50625</v>
      </c>
      <c r="I192" s="33">
        <f ca="1">控制台!E4612</f>
        <v>22.125</v>
      </c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158"/>
    </row>
    <row r="193" spans="2:20">
      <c r="B193" s="148" t="s">
        <v>570</v>
      </c>
      <c r="C193" s="33">
        <f>控制台!C4642</f>
        <v>29.1666666666667</v>
      </c>
      <c r="D193" s="33">
        <f>控制台!D4642</f>
        <v>18.0989583333333</v>
      </c>
      <c r="E193" s="33">
        <f>SUM(控制台!E4642:G4642)</f>
        <v>46.875</v>
      </c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158"/>
    </row>
    <row r="194" spans="2:20">
      <c r="B194" s="148" t="s">
        <v>571</v>
      </c>
      <c r="C194" s="33">
        <f>控制台!C4655</f>
        <v>44.5833333333333</v>
      </c>
      <c r="D194" s="33"/>
      <c r="E194" s="33">
        <f>控制台!E4655</f>
        <v>34.5052083333333</v>
      </c>
      <c r="F194" s="33">
        <f>控制台!D4655*控制台!H4819/控制台!H4821</f>
        <v>30</v>
      </c>
      <c r="G194" s="33"/>
      <c r="H194" s="33"/>
      <c r="I194" s="33">
        <f>控制台!D4655*控制台!H4820/控制台!H4821</f>
        <v>17.15625</v>
      </c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158"/>
    </row>
    <row r="195" ht="13.85" spans="2:20">
      <c r="B195" s="150" t="s">
        <v>572</v>
      </c>
      <c r="C195" s="152">
        <f>控制台!F4679</f>
        <v>0</v>
      </c>
      <c r="D195" s="152">
        <f>SUM(控制台!H4679:J4679)</f>
        <v>0</v>
      </c>
      <c r="E195" s="152"/>
      <c r="F195" s="152">
        <f>控制台!G4679*控制台!H4819/控制台!H4821</f>
        <v>0</v>
      </c>
      <c r="G195" s="152"/>
      <c r="H195" s="152"/>
      <c r="I195" s="152">
        <f>控制台!G4679*控制台!H4820/控制台!H4821</f>
        <v>0</v>
      </c>
      <c r="J195" s="152"/>
      <c r="K195" s="152"/>
      <c r="L195" s="152"/>
      <c r="M195" s="152"/>
      <c r="N195" s="152"/>
      <c r="O195" s="152"/>
      <c r="P195" s="152"/>
      <c r="Q195" s="152"/>
      <c r="R195" s="152"/>
      <c r="S195" s="152"/>
      <c r="T195" s="157"/>
    </row>
    <row r="196" spans="2:16">
      <c r="B196" s="1" t="s">
        <v>534</v>
      </c>
      <c r="C196" s="33">
        <f>SUM(C185:C195)</f>
        <v>177.741666666667</v>
      </c>
      <c r="D196" s="33">
        <f t="shared" ref="D196:O196" si="62">SUM(D185:D195)</f>
        <v>125.628125</v>
      </c>
      <c r="E196" s="33">
        <f t="shared" si="62"/>
        <v>286.039496527778</v>
      </c>
      <c r="F196" s="33">
        <f t="shared" si="62"/>
        <v>81.9</v>
      </c>
      <c r="G196" s="33">
        <f ca="1" t="shared" si="62"/>
        <v>128.8005</v>
      </c>
      <c r="H196" s="33">
        <f ca="1" t="shared" si="62"/>
        <v>136.8</v>
      </c>
      <c r="I196" s="33">
        <f ca="1" t="shared" si="62"/>
        <v>61.66</v>
      </c>
      <c r="J196" s="33">
        <f t="shared" si="62"/>
        <v>0</v>
      </c>
      <c r="K196" s="33">
        <f t="shared" si="62"/>
        <v>0</v>
      </c>
      <c r="L196" s="33">
        <f t="shared" si="62"/>
        <v>0</v>
      </c>
      <c r="M196" s="33">
        <f t="shared" si="62"/>
        <v>2400</v>
      </c>
      <c r="N196" s="33">
        <f t="shared" si="62"/>
        <v>0</v>
      </c>
      <c r="O196" s="33">
        <f t="shared" si="62"/>
        <v>0</v>
      </c>
      <c r="P196" s="33">
        <f t="shared" ref="P196" si="63">SUM(P185:P195)</f>
        <v>0</v>
      </c>
    </row>
    <row r="198" spans="2:12">
      <c r="B198" s="27" t="s">
        <v>573</v>
      </c>
      <c r="C198" s="27"/>
      <c r="D198" s="27"/>
      <c r="E198" s="27"/>
      <c r="F198" s="27"/>
      <c r="G198" s="27"/>
      <c r="H198" s="27"/>
      <c r="I198" s="27"/>
      <c r="J198" s="27"/>
      <c r="K198" s="27"/>
      <c r="L198" s="27"/>
    </row>
    <row r="199" ht="13.7"/>
    <row r="200" spans="4:20">
      <c r="D200" s="89" t="s">
        <v>476</v>
      </c>
      <c r="E200" s="93" t="s">
        <v>478</v>
      </c>
      <c r="F200" s="93" t="s">
        <v>454</v>
      </c>
      <c r="G200" s="93" t="s">
        <v>479</v>
      </c>
      <c r="H200" s="93" t="s">
        <v>379</v>
      </c>
      <c r="I200" s="93" t="s">
        <v>458</v>
      </c>
      <c r="J200" s="93" t="s">
        <v>483</v>
      </c>
      <c r="K200" s="93" t="s">
        <v>484</v>
      </c>
      <c r="L200" s="93" t="s">
        <v>466</v>
      </c>
      <c r="M200" s="93" t="s">
        <v>468</v>
      </c>
      <c r="N200" s="93" t="s">
        <v>470</v>
      </c>
      <c r="O200" s="93" t="s">
        <v>472</v>
      </c>
      <c r="P200" s="93" t="s">
        <v>487</v>
      </c>
      <c r="Q200" s="93" t="s">
        <v>481</v>
      </c>
      <c r="R200" s="93" t="s">
        <v>541</v>
      </c>
      <c r="S200" s="93" t="s">
        <v>542</v>
      </c>
      <c r="T200" s="100" t="s">
        <v>562</v>
      </c>
    </row>
    <row r="201" spans="3:20">
      <c r="C201" s="1" t="s">
        <v>574</v>
      </c>
      <c r="D201" s="148">
        <f t="array" ref="D201:S201">TRANSPOSE($G$105:$G$120)</f>
        <v>0.416666666666667</v>
      </c>
      <c r="E201" s="1">
        <v>1.5625</v>
      </c>
      <c r="F201" s="1">
        <v>0.5</v>
      </c>
      <c r="G201" s="1">
        <v>2.5</v>
      </c>
      <c r="H201" s="1">
        <v>3.75</v>
      </c>
      <c r="I201" s="1">
        <v>12.5</v>
      </c>
      <c r="J201" s="1">
        <v>2.08333333333333</v>
      </c>
      <c r="K201" s="1">
        <v>62.5</v>
      </c>
      <c r="L201" s="1">
        <v>6.25</v>
      </c>
      <c r="M201" s="1">
        <v>3.33333333333333</v>
      </c>
      <c r="N201" s="1">
        <v>69.4444444444444</v>
      </c>
      <c r="O201" s="1">
        <v>0.833333333333333</v>
      </c>
      <c r="P201" s="1">
        <v>0.05</v>
      </c>
      <c r="Q201" s="1">
        <v>5</v>
      </c>
      <c r="R201" s="1">
        <v>7.5</v>
      </c>
      <c r="S201" s="1">
        <v>25</v>
      </c>
      <c r="T201" s="160">
        <f>$D$280</f>
        <v>0.0125</v>
      </c>
    </row>
    <row r="202" ht="13.85" spans="3:20">
      <c r="C202" s="1" t="s">
        <v>512</v>
      </c>
      <c r="D202" s="150" t="str">
        <f t="array" ref="D202:S202">TRANSPOSE($C$105:$C$120)</f>
        <v>1M资源</v>
      </c>
      <c r="E202" s="95" t="str">
        <v>1天</v>
      </c>
      <c r="F202" s="95" t="str">
        <v>1四星卡</v>
      </c>
      <c r="G202" s="95" t="str">
        <v>1M陆经</v>
      </c>
      <c r="H202" s="95" t="str">
        <v>1k弹药</v>
      </c>
      <c r="I202" s="95" t="str">
        <v>1k零件</v>
      </c>
      <c r="J202" s="95" t="str">
        <v>1k铜材料</v>
      </c>
      <c r="K202" s="95" t="str">
        <v>1金++</v>
      </c>
      <c r="L202" s="95" t="str">
        <v>1M军经</v>
      </c>
      <c r="M202" s="95" t="str">
        <v>1技书</v>
      </c>
      <c r="N202" s="95" t="str">
        <v>1M阵经</v>
      </c>
      <c r="O202" s="95" t="str">
        <v>1k经验</v>
      </c>
      <c r="P202" s="95" t="str">
        <v>1科技书</v>
      </c>
      <c r="Q202" s="95" t="str">
        <v>1M空经</v>
      </c>
      <c r="R202" s="95" t="str">
        <v>1k空弹</v>
      </c>
      <c r="S202" s="95" t="str">
        <v>1k空零</v>
      </c>
      <c r="T202" s="102" t="s">
        <v>575</v>
      </c>
    </row>
    <row r="203" ht="13.7"/>
    <row r="204" spans="2:20">
      <c r="B204" s="89"/>
      <c r="C204" s="93" t="s">
        <v>540</v>
      </c>
      <c r="D204" s="93" t="s">
        <v>476</v>
      </c>
      <c r="E204" s="93" t="s">
        <v>478</v>
      </c>
      <c r="F204" s="93" t="s">
        <v>454</v>
      </c>
      <c r="G204" s="93" t="s">
        <v>479</v>
      </c>
      <c r="H204" s="93" t="s">
        <v>379</v>
      </c>
      <c r="I204" s="93" t="s">
        <v>458</v>
      </c>
      <c r="J204" s="93" t="s">
        <v>483</v>
      </c>
      <c r="K204" s="93" t="s">
        <v>484</v>
      </c>
      <c r="L204" s="93" t="s">
        <v>466</v>
      </c>
      <c r="M204" s="93" t="s">
        <v>468</v>
      </c>
      <c r="N204" s="93" t="s">
        <v>470</v>
      </c>
      <c r="O204" s="93" t="s">
        <v>472</v>
      </c>
      <c r="P204" s="93" t="s">
        <v>487</v>
      </c>
      <c r="Q204" s="93" t="s">
        <v>481</v>
      </c>
      <c r="R204" s="93" t="s">
        <v>541</v>
      </c>
      <c r="S204" s="93" t="s">
        <v>542</v>
      </c>
      <c r="T204" s="100" t="s">
        <v>562</v>
      </c>
    </row>
    <row r="205" spans="2:20">
      <c r="B205" s="148" t="s">
        <v>563</v>
      </c>
      <c r="C205" s="8">
        <f t="shared" ref="C205:C215" si="64">IF(C185*$D$249=0,"",C185*$D$249)</f>
        <v>26350</v>
      </c>
      <c r="D205" s="8">
        <f t="shared" ref="D205:D215" si="65">IF(D185/D$201=0,"",D185/D$201)</f>
        <v>60.3</v>
      </c>
      <c r="E205" s="8">
        <f t="shared" ref="E205:S205" si="66">IF(E185/E$201=0,"",E185/E$201)</f>
        <v>5.27777777777778</v>
      </c>
      <c r="F205" s="8" t="str">
        <f t="shared" si="66"/>
        <v/>
      </c>
      <c r="G205" s="8" t="str">
        <f t="shared" si="66"/>
        <v/>
      </c>
      <c r="H205" s="8" t="str">
        <f t="shared" si="66"/>
        <v/>
      </c>
      <c r="I205" s="8" t="str">
        <f t="shared" si="66"/>
        <v/>
      </c>
      <c r="J205" s="8" t="str">
        <f t="shared" si="66"/>
        <v/>
      </c>
      <c r="K205" s="8" t="str">
        <f t="shared" si="66"/>
        <v/>
      </c>
      <c r="L205" s="8" t="str">
        <f t="shared" si="66"/>
        <v/>
      </c>
      <c r="M205" s="8" t="str">
        <f t="shared" si="66"/>
        <v/>
      </c>
      <c r="N205" s="8" t="str">
        <f t="shared" si="66"/>
        <v/>
      </c>
      <c r="O205" s="8" t="str">
        <f t="shared" si="66"/>
        <v/>
      </c>
      <c r="P205" s="8" t="str">
        <f t="shared" si="66"/>
        <v/>
      </c>
      <c r="Q205" s="8" t="str">
        <f t="shared" si="66"/>
        <v/>
      </c>
      <c r="R205" s="8" t="str">
        <f t="shared" si="66"/>
        <v/>
      </c>
      <c r="S205" s="8" t="str">
        <f t="shared" si="66"/>
        <v/>
      </c>
      <c r="T205" s="101">
        <f>控制台!T4475</f>
        <v>4300</v>
      </c>
    </row>
    <row r="206" spans="2:20">
      <c r="B206" s="148" t="s">
        <v>564</v>
      </c>
      <c r="C206" s="8">
        <f t="shared" si="64"/>
        <v>23250</v>
      </c>
      <c r="D206" s="8">
        <f t="shared" si="65"/>
        <v>29.16</v>
      </c>
      <c r="E206" s="8">
        <f t="shared" ref="E206:S206" si="67">IF(E186/E$201=0,"",E186/E$201)</f>
        <v>23.7423611111111</v>
      </c>
      <c r="F206" s="8">
        <f t="shared" si="67"/>
        <v>79.8</v>
      </c>
      <c r="G206" s="8">
        <f t="shared" si="67"/>
        <v>0.0102</v>
      </c>
      <c r="H206" s="8" t="str">
        <f t="shared" si="67"/>
        <v/>
      </c>
      <c r="I206" s="8">
        <f t="shared" si="67"/>
        <v>0.7503</v>
      </c>
      <c r="J206" s="8" t="str">
        <f t="shared" si="67"/>
        <v/>
      </c>
      <c r="K206" s="8" t="str">
        <f t="shared" si="67"/>
        <v/>
      </c>
      <c r="L206" s="8" t="str">
        <f t="shared" si="67"/>
        <v/>
      </c>
      <c r="M206" s="8" t="str">
        <f t="shared" si="67"/>
        <v/>
      </c>
      <c r="N206" s="8" t="str">
        <f t="shared" si="67"/>
        <v/>
      </c>
      <c r="O206" s="8" t="str">
        <f t="shared" si="67"/>
        <v/>
      </c>
      <c r="P206" s="8" t="str">
        <f t="shared" si="67"/>
        <v/>
      </c>
      <c r="Q206" s="8" t="str">
        <f t="shared" si="67"/>
        <v/>
      </c>
      <c r="R206" s="8" t="str">
        <f t="shared" si="67"/>
        <v/>
      </c>
      <c r="S206" s="8" t="str">
        <f t="shared" si="67"/>
        <v/>
      </c>
      <c r="T206" s="101"/>
    </row>
    <row r="207" spans="2:20">
      <c r="B207" s="148" t="s">
        <v>380</v>
      </c>
      <c r="C207" s="8">
        <f t="shared" si="64"/>
        <v>22450</v>
      </c>
      <c r="D207" s="8" t="str">
        <f t="shared" si="65"/>
        <v/>
      </c>
      <c r="E207" s="8">
        <f t="shared" ref="E207:S207" si="68">IF(E187/E$201=0,"",E187/E$201)</f>
        <v>21.1111111111111</v>
      </c>
      <c r="F207" s="8" t="str">
        <f t="shared" si="68"/>
        <v/>
      </c>
      <c r="G207" s="8">
        <f t="shared" si="68"/>
        <v>13.04</v>
      </c>
      <c r="H207" s="8">
        <f t="shared" si="68"/>
        <v>8.38</v>
      </c>
      <c r="I207" s="8" t="str">
        <f t="shared" si="68"/>
        <v/>
      </c>
      <c r="J207" s="8" t="str">
        <f t="shared" si="68"/>
        <v/>
      </c>
      <c r="K207" s="8" t="str">
        <f t="shared" si="68"/>
        <v/>
      </c>
      <c r="L207" s="8" t="str">
        <f t="shared" si="68"/>
        <v/>
      </c>
      <c r="M207" s="8" t="str">
        <f t="shared" si="68"/>
        <v/>
      </c>
      <c r="N207" s="8" t="str">
        <f t="shared" si="68"/>
        <v/>
      </c>
      <c r="O207" s="8" t="str">
        <f t="shared" si="68"/>
        <v/>
      </c>
      <c r="P207" s="8" t="str">
        <f t="shared" si="68"/>
        <v/>
      </c>
      <c r="Q207" s="8" t="str">
        <f t="shared" si="68"/>
        <v/>
      </c>
      <c r="R207" s="8" t="str">
        <f t="shared" si="68"/>
        <v/>
      </c>
      <c r="S207" s="8" t="str">
        <f t="shared" si="68"/>
        <v/>
      </c>
      <c r="T207" s="101">
        <f>SUM(控制台!$G$4499:$G$4548)*50</f>
        <v>4500</v>
      </c>
    </row>
    <row r="208" spans="2:20">
      <c r="B208" s="148" t="s">
        <v>565</v>
      </c>
      <c r="C208" s="8">
        <f t="shared" si="64"/>
        <v>26140</v>
      </c>
      <c r="D208" s="8">
        <f t="shared" si="65"/>
        <v>16.83</v>
      </c>
      <c r="E208" s="8">
        <f t="shared" ref="E208:S208" si="69">IF(E188/E$201=0,"",E188/E$201)</f>
        <v>6.58333333333333</v>
      </c>
      <c r="F208" s="8" t="str">
        <f t="shared" si="69"/>
        <v/>
      </c>
      <c r="G208" s="8">
        <f t="shared" si="69"/>
        <v>10.53</v>
      </c>
      <c r="H208" s="8">
        <f t="shared" si="69"/>
        <v>5.265</v>
      </c>
      <c r="I208" s="8" t="str">
        <f t="shared" si="69"/>
        <v/>
      </c>
      <c r="J208" s="8" t="str">
        <f t="shared" si="69"/>
        <v/>
      </c>
      <c r="K208" s="8" t="str">
        <f t="shared" si="69"/>
        <v/>
      </c>
      <c r="L208" s="8" t="str">
        <f t="shared" si="69"/>
        <v/>
      </c>
      <c r="M208" s="8" t="str">
        <f t="shared" si="69"/>
        <v/>
      </c>
      <c r="N208" s="8" t="str">
        <f t="shared" si="69"/>
        <v/>
      </c>
      <c r="O208" s="8" t="str">
        <f t="shared" si="69"/>
        <v/>
      </c>
      <c r="P208" s="8" t="str">
        <f t="shared" si="69"/>
        <v/>
      </c>
      <c r="Q208" s="8" t="str">
        <f t="shared" si="69"/>
        <v/>
      </c>
      <c r="R208" s="8" t="str">
        <f t="shared" si="69"/>
        <v/>
      </c>
      <c r="S208" s="8" t="str">
        <f t="shared" si="69"/>
        <v/>
      </c>
      <c r="T208" s="101"/>
    </row>
    <row r="209" spans="2:20">
      <c r="B209" s="148" t="s">
        <v>566</v>
      </c>
      <c r="C209" s="8">
        <f t="shared" si="64"/>
        <v>600</v>
      </c>
      <c r="D209" s="8">
        <f t="shared" si="65"/>
        <v>63.28</v>
      </c>
      <c r="E209" s="8">
        <f t="shared" ref="E209:S209" si="70">IF(E189/E$201=0,"",E189/E$201)</f>
        <v>14.7673611111111</v>
      </c>
      <c r="F209" s="8">
        <f t="shared" si="70"/>
        <v>24</v>
      </c>
      <c r="G209" s="8">
        <f t="shared" si="70"/>
        <v>5.04</v>
      </c>
      <c r="H209" s="8">
        <f t="shared" si="70"/>
        <v>5.1</v>
      </c>
      <c r="I209" s="8">
        <f t="shared" si="70"/>
        <v>1.04</v>
      </c>
      <c r="J209" s="8" t="str">
        <f t="shared" si="70"/>
        <v/>
      </c>
      <c r="K209" s="8" t="str">
        <f t="shared" si="70"/>
        <v/>
      </c>
      <c r="L209" s="8" t="str">
        <f t="shared" si="70"/>
        <v/>
      </c>
      <c r="M209" s="8">
        <f t="shared" si="70"/>
        <v>720</v>
      </c>
      <c r="N209" s="8" t="str">
        <f t="shared" si="70"/>
        <v/>
      </c>
      <c r="O209" s="8" t="str">
        <f t="shared" si="70"/>
        <v/>
      </c>
      <c r="P209" s="8" t="str">
        <f t="shared" si="70"/>
        <v/>
      </c>
      <c r="Q209" s="8" t="str">
        <f t="shared" si="70"/>
        <v/>
      </c>
      <c r="R209" s="8" t="str">
        <f t="shared" si="70"/>
        <v/>
      </c>
      <c r="S209" s="8" t="str">
        <f t="shared" si="70"/>
        <v/>
      </c>
      <c r="T209" s="101"/>
    </row>
    <row r="210" spans="2:20">
      <c r="B210" s="148" t="s">
        <v>567</v>
      </c>
      <c r="C210" s="8" t="str">
        <f t="shared" si="64"/>
        <v/>
      </c>
      <c r="D210" s="8">
        <f t="shared" si="65"/>
        <v>88.5</v>
      </c>
      <c r="E210" s="8">
        <f t="shared" ref="E210:S210" si="71">IF(E190/E$201=0,"",E190/E$201)</f>
        <v>59.5</v>
      </c>
      <c r="F210" s="8" t="str">
        <f t="shared" si="71"/>
        <v/>
      </c>
      <c r="G210" s="8" t="str">
        <f t="shared" si="71"/>
        <v/>
      </c>
      <c r="H210" s="8" t="str">
        <f t="shared" si="71"/>
        <v/>
      </c>
      <c r="I210" s="8" t="str">
        <f t="shared" si="71"/>
        <v/>
      </c>
      <c r="J210" s="8" t="str">
        <f t="shared" si="71"/>
        <v/>
      </c>
      <c r="K210" s="8" t="str">
        <f t="shared" si="71"/>
        <v/>
      </c>
      <c r="L210" s="8" t="str">
        <f t="shared" si="71"/>
        <v/>
      </c>
      <c r="M210" s="8" t="str">
        <f t="shared" si="71"/>
        <v/>
      </c>
      <c r="N210" s="8" t="str">
        <f t="shared" si="71"/>
        <v/>
      </c>
      <c r="O210" s="8" t="str">
        <f t="shared" si="71"/>
        <v/>
      </c>
      <c r="P210" s="8" t="str">
        <f t="shared" si="71"/>
        <v/>
      </c>
      <c r="Q210" s="8" t="str">
        <f t="shared" si="71"/>
        <v/>
      </c>
      <c r="R210" s="8" t="str">
        <f t="shared" si="71"/>
        <v/>
      </c>
      <c r="S210" s="8" t="str">
        <f t="shared" si="71"/>
        <v/>
      </c>
      <c r="T210" s="101"/>
    </row>
    <row r="211" spans="2:20">
      <c r="B211" s="148" t="s">
        <v>568</v>
      </c>
      <c r="C211" s="8">
        <f t="shared" si="64"/>
        <v>26000</v>
      </c>
      <c r="D211" s="8" t="str">
        <f t="shared" si="65"/>
        <v/>
      </c>
      <c r="E211" s="8" t="str">
        <f t="shared" ref="E211:S211" si="72">IF(E191/E$201=0,"",E191/E$201)</f>
        <v/>
      </c>
      <c r="F211" s="8" t="str">
        <f t="shared" si="72"/>
        <v/>
      </c>
      <c r="G211" s="8" t="str">
        <f t="shared" si="72"/>
        <v/>
      </c>
      <c r="H211" s="8" t="str">
        <f t="shared" si="72"/>
        <v/>
      </c>
      <c r="I211" s="8" t="str">
        <f t="shared" si="72"/>
        <v/>
      </c>
      <c r="J211" s="8" t="str">
        <f t="shared" si="72"/>
        <v/>
      </c>
      <c r="K211" s="8" t="str">
        <f t="shared" si="72"/>
        <v/>
      </c>
      <c r="L211" s="8" t="str">
        <f t="shared" si="72"/>
        <v/>
      </c>
      <c r="M211" s="8" t="str">
        <f t="shared" si="72"/>
        <v/>
      </c>
      <c r="N211" s="8" t="str">
        <f t="shared" si="72"/>
        <v/>
      </c>
      <c r="O211" s="8" t="str">
        <f t="shared" si="72"/>
        <v/>
      </c>
      <c r="P211" s="8" t="str">
        <f t="shared" si="72"/>
        <v/>
      </c>
      <c r="Q211" s="8" t="str">
        <f t="shared" si="72"/>
        <v/>
      </c>
      <c r="R211" s="8" t="str">
        <f t="shared" si="72"/>
        <v/>
      </c>
      <c r="S211" s="8" t="str">
        <f t="shared" si="72"/>
        <v/>
      </c>
      <c r="T211" s="101"/>
    </row>
    <row r="212" spans="2:20">
      <c r="B212" s="148" t="s">
        <v>569</v>
      </c>
      <c r="C212" s="8" t="str">
        <f t="shared" si="64"/>
        <v/>
      </c>
      <c r="D212" s="8" t="str">
        <f t="shared" si="65"/>
        <v/>
      </c>
      <c r="E212" s="8" t="str">
        <f t="shared" ref="E212:S212" si="73">IF(E192/E$201=0,"",E192/E$201)</f>
        <v/>
      </c>
      <c r="F212" s="8" t="str">
        <f t="shared" si="73"/>
        <v/>
      </c>
      <c r="G212" s="8">
        <f ca="1" t="shared" si="73"/>
        <v>22.9</v>
      </c>
      <c r="H212" s="8">
        <f ca="1" t="shared" si="73"/>
        <v>17.735</v>
      </c>
      <c r="I212" s="8">
        <f ca="1" t="shared" si="73"/>
        <v>1.77</v>
      </c>
      <c r="J212" s="8" t="str">
        <f t="shared" si="73"/>
        <v/>
      </c>
      <c r="K212" s="8" t="str">
        <f t="shared" si="73"/>
        <v/>
      </c>
      <c r="L212" s="8" t="str">
        <f t="shared" si="73"/>
        <v/>
      </c>
      <c r="M212" s="8" t="str">
        <f t="shared" si="73"/>
        <v/>
      </c>
      <c r="N212" s="8" t="str">
        <f t="shared" si="73"/>
        <v/>
      </c>
      <c r="O212" s="8" t="str">
        <f t="shared" si="73"/>
        <v/>
      </c>
      <c r="P212" s="8" t="str">
        <f t="shared" si="73"/>
        <v/>
      </c>
      <c r="Q212" s="8" t="str">
        <f t="shared" si="73"/>
        <v/>
      </c>
      <c r="R212" s="8" t="str">
        <f t="shared" si="73"/>
        <v/>
      </c>
      <c r="S212" s="8" t="str">
        <f t="shared" si="73"/>
        <v/>
      </c>
      <c r="T212" s="101"/>
    </row>
    <row r="213" spans="2:20">
      <c r="B213" s="148" t="s">
        <v>570</v>
      </c>
      <c r="C213" s="8">
        <f t="shared" si="64"/>
        <v>35000</v>
      </c>
      <c r="D213" s="8">
        <f t="shared" si="65"/>
        <v>43.4375</v>
      </c>
      <c r="E213" s="8">
        <f t="shared" ref="E213:S213" si="74">IF(E193/E$201=0,"",E193/E$201)</f>
        <v>30</v>
      </c>
      <c r="F213" s="8" t="str">
        <f t="shared" si="74"/>
        <v/>
      </c>
      <c r="G213" s="8" t="str">
        <f t="shared" si="74"/>
        <v/>
      </c>
      <c r="H213" s="8" t="str">
        <f t="shared" si="74"/>
        <v/>
      </c>
      <c r="I213" s="8" t="str">
        <f t="shared" si="74"/>
        <v/>
      </c>
      <c r="J213" s="8" t="str">
        <f t="shared" si="74"/>
        <v/>
      </c>
      <c r="K213" s="8" t="str">
        <f t="shared" si="74"/>
        <v/>
      </c>
      <c r="L213" s="8" t="str">
        <f t="shared" si="74"/>
        <v/>
      </c>
      <c r="M213" s="8" t="str">
        <f t="shared" si="74"/>
        <v/>
      </c>
      <c r="N213" s="8" t="str">
        <f t="shared" si="74"/>
        <v/>
      </c>
      <c r="O213" s="8" t="str">
        <f t="shared" si="74"/>
        <v/>
      </c>
      <c r="P213" s="8" t="str">
        <f t="shared" si="74"/>
        <v/>
      </c>
      <c r="Q213" s="8" t="str">
        <f t="shared" si="74"/>
        <v/>
      </c>
      <c r="R213" s="8" t="str">
        <f t="shared" si="74"/>
        <v/>
      </c>
      <c r="S213" s="8" t="str">
        <f t="shared" si="74"/>
        <v/>
      </c>
      <c r="T213" s="101"/>
    </row>
    <row r="214" spans="2:20">
      <c r="B214" s="148" t="s">
        <v>571</v>
      </c>
      <c r="C214" s="8">
        <f t="shared" si="64"/>
        <v>53500</v>
      </c>
      <c r="D214" s="8" t="str">
        <f t="shared" si="65"/>
        <v/>
      </c>
      <c r="E214" s="8">
        <f t="shared" ref="E214:S215" si="75">IF(E194/E$201=0,"",E194/E$201)</f>
        <v>22.0833333333333</v>
      </c>
      <c r="F214" s="8">
        <f t="shared" si="75"/>
        <v>60</v>
      </c>
      <c r="G214" s="8" t="str">
        <f t="shared" si="75"/>
        <v/>
      </c>
      <c r="H214" s="8" t="str">
        <f t="shared" si="75"/>
        <v/>
      </c>
      <c r="I214" s="8">
        <f t="shared" si="75"/>
        <v>1.3725</v>
      </c>
      <c r="J214" s="8" t="str">
        <f t="shared" si="75"/>
        <v/>
      </c>
      <c r="K214" s="8" t="str">
        <f t="shared" si="75"/>
        <v/>
      </c>
      <c r="L214" s="8" t="str">
        <f t="shared" si="75"/>
        <v/>
      </c>
      <c r="M214" s="8" t="str">
        <f t="shared" si="75"/>
        <v/>
      </c>
      <c r="N214" s="8" t="str">
        <f t="shared" si="75"/>
        <v/>
      </c>
      <c r="O214" s="8" t="str">
        <f t="shared" si="75"/>
        <v/>
      </c>
      <c r="P214" s="8" t="str">
        <f t="shared" si="75"/>
        <v/>
      </c>
      <c r="Q214" s="8" t="str">
        <f t="shared" si="75"/>
        <v/>
      </c>
      <c r="R214" s="8" t="str">
        <f t="shared" si="75"/>
        <v/>
      </c>
      <c r="S214" s="8" t="str">
        <f t="shared" si="75"/>
        <v/>
      </c>
      <c r="T214" s="101"/>
    </row>
    <row r="215" ht="13.85" spans="2:20">
      <c r="B215" s="150" t="s">
        <v>572</v>
      </c>
      <c r="C215" s="159" t="str">
        <f t="shared" si="64"/>
        <v/>
      </c>
      <c r="D215" s="159" t="str">
        <f t="shared" si="65"/>
        <v/>
      </c>
      <c r="E215" s="159" t="str">
        <f t="shared" si="75"/>
        <v/>
      </c>
      <c r="F215" s="159" t="str">
        <f t="shared" si="75"/>
        <v/>
      </c>
      <c r="G215" s="159" t="str">
        <f t="shared" si="75"/>
        <v/>
      </c>
      <c r="H215" s="159" t="str">
        <f t="shared" si="75"/>
        <v/>
      </c>
      <c r="I215" s="159" t="str">
        <f t="shared" si="75"/>
        <v/>
      </c>
      <c r="J215" s="159" t="str">
        <f t="shared" si="75"/>
        <v/>
      </c>
      <c r="K215" s="159" t="str">
        <f t="shared" si="75"/>
        <v/>
      </c>
      <c r="L215" s="159" t="str">
        <f t="shared" si="75"/>
        <v/>
      </c>
      <c r="M215" s="159" t="str">
        <f t="shared" si="75"/>
        <v/>
      </c>
      <c r="N215" s="159" t="str">
        <f t="shared" si="75"/>
        <v/>
      </c>
      <c r="O215" s="159" t="str">
        <f t="shared" si="75"/>
        <v/>
      </c>
      <c r="P215" s="159" t="str">
        <f t="shared" si="75"/>
        <v/>
      </c>
      <c r="Q215" s="159" t="str">
        <f t="shared" si="75"/>
        <v/>
      </c>
      <c r="R215" s="159" t="str">
        <f t="shared" si="75"/>
        <v/>
      </c>
      <c r="S215" s="159" t="str">
        <f t="shared" si="75"/>
        <v/>
      </c>
      <c r="T215" s="102"/>
    </row>
    <row r="216" spans="2:20">
      <c r="B216" s="1" t="s">
        <v>534</v>
      </c>
      <c r="C216" s="1">
        <f>SUM(C205:C215)</f>
        <v>213290</v>
      </c>
      <c r="D216" s="1">
        <f t="shared" ref="D216:T216" si="76">SUM(D205:D215)</f>
        <v>301.5075</v>
      </c>
      <c r="E216" s="1">
        <f t="shared" si="76"/>
        <v>183.065277777778</v>
      </c>
      <c r="F216" s="1">
        <f t="shared" si="76"/>
        <v>163.8</v>
      </c>
      <c r="G216" s="1">
        <f ca="1" t="shared" si="76"/>
        <v>51.5202</v>
      </c>
      <c r="H216" s="1">
        <f ca="1" t="shared" si="76"/>
        <v>36.48</v>
      </c>
      <c r="I216" s="1">
        <f ca="1" t="shared" si="76"/>
        <v>4.9328</v>
      </c>
      <c r="J216" s="1">
        <f t="shared" si="76"/>
        <v>0</v>
      </c>
      <c r="K216" s="1">
        <f t="shared" si="76"/>
        <v>0</v>
      </c>
      <c r="L216" s="1">
        <f t="shared" si="76"/>
        <v>0</v>
      </c>
      <c r="M216" s="1">
        <f t="shared" si="76"/>
        <v>720</v>
      </c>
      <c r="N216" s="1">
        <f t="shared" si="76"/>
        <v>0</v>
      </c>
      <c r="O216" s="1">
        <f t="shared" si="76"/>
        <v>0</v>
      </c>
      <c r="P216" s="1">
        <f t="shared" si="76"/>
        <v>0</v>
      </c>
      <c r="Q216" s="1">
        <f t="shared" si="76"/>
        <v>0</v>
      </c>
      <c r="R216" s="1">
        <f t="shared" si="76"/>
        <v>0</v>
      </c>
      <c r="S216" s="1">
        <f t="shared" si="76"/>
        <v>0</v>
      </c>
      <c r="T216" s="1">
        <f t="shared" si="76"/>
        <v>8800</v>
      </c>
    </row>
    <row r="218" spans="2:12">
      <c r="B218" s="27" t="s">
        <v>576</v>
      </c>
      <c r="C218" s="27"/>
      <c r="D218" s="27"/>
      <c r="E218" s="27"/>
      <c r="F218" s="27"/>
      <c r="G218" s="27"/>
      <c r="H218" s="27"/>
      <c r="I218" s="27"/>
      <c r="J218" s="27"/>
      <c r="K218" s="27"/>
      <c r="L218" s="27"/>
    </row>
    <row r="219" ht="13.7"/>
    <row r="220" spans="4:20">
      <c r="D220" s="89" t="s">
        <v>476</v>
      </c>
      <c r="E220" s="93" t="s">
        <v>478</v>
      </c>
      <c r="F220" s="93" t="s">
        <v>454</v>
      </c>
      <c r="G220" s="93" t="s">
        <v>479</v>
      </c>
      <c r="H220" s="93" t="s">
        <v>379</v>
      </c>
      <c r="I220" s="93" t="s">
        <v>458</v>
      </c>
      <c r="J220" s="93" t="s">
        <v>483</v>
      </c>
      <c r="K220" s="93" t="s">
        <v>484</v>
      </c>
      <c r="L220" s="93" t="s">
        <v>466</v>
      </c>
      <c r="M220" s="93" t="s">
        <v>468</v>
      </c>
      <c r="N220" s="93" t="s">
        <v>470</v>
      </c>
      <c r="O220" s="93" t="s">
        <v>472</v>
      </c>
      <c r="P220" s="93" t="s">
        <v>487</v>
      </c>
      <c r="Q220" s="93" t="s">
        <v>481</v>
      </c>
      <c r="R220" s="93" t="s">
        <v>541</v>
      </c>
      <c r="S220" s="93" t="s">
        <v>542</v>
      </c>
      <c r="T220" s="100" t="s">
        <v>562</v>
      </c>
    </row>
    <row r="221" spans="3:20">
      <c r="C221" s="1" t="s">
        <v>574</v>
      </c>
      <c r="D221" s="148">
        <f t="array" ref="D221:S221">TRANSPOSE($G$105:$G$120)</f>
        <v>0.416666666666667</v>
      </c>
      <c r="E221" s="1">
        <v>1.5625</v>
      </c>
      <c r="F221" s="1">
        <v>0.5</v>
      </c>
      <c r="G221" s="1">
        <v>2.5</v>
      </c>
      <c r="H221" s="1">
        <v>3.75</v>
      </c>
      <c r="I221" s="1">
        <v>12.5</v>
      </c>
      <c r="J221" s="1">
        <v>2.08333333333333</v>
      </c>
      <c r="K221" s="1">
        <v>62.5</v>
      </c>
      <c r="L221" s="1">
        <v>6.25</v>
      </c>
      <c r="M221" s="1">
        <v>3.33333333333333</v>
      </c>
      <c r="N221" s="1">
        <v>69.4444444444444</v>
      </c>
      <c r="O221" s="1">
        <v>0.833333333333333</v>
      </c>
      <c r="P221" s="1">
        <v>0.05</v>
      </c>
      <c r="Q221" s="1">
        <v>5</v>
      </c>
      <c r="R221" s="1">
        <v>7.5</v>
      </c>
      <c r="S221" s="1">
        <v>25</v>
      </c>
      <c r="T221" s="160">
        <f>$D$280</f>
        <v>0.0125</v>
      </c>
    </row>
    <row r="222" ht="13.85" spans="3:20">
      <c r="C222" s="1" t="s">
        <v>512</v>
      </c>
      <c r="D222" s="150" t="str">
        <f t="array" ref="D222:S222">TRANSPOSE($C$105:$C$120)</f>
        <v>1M资源</v>
      </c>
      <c r="E222" s="95" t="str">
        <v>1天</v>
      </c>
      <c r="F222" s="95" t="str">
        <v>1四星卡</v>
      </c>
      <c r="G222" s="95" t="str">
        <v>1M陆经</v>
      </c>
      <c r="H222" s="95" t="str">
        <v>1k弹药</v>
      </c>
      <c r="I222" s="95" t="str">
        <v>1k零件</v>
      </c>
      <c r="J222" s="95" t="str">
        <v>1k铜材料</v>
      </c>
      <c r="K222" s="95" t="str">
        <v>1金++</v>
      </c>
      <c r="L222" s="95" t="str">
        <v>1M军经</v>
      </c>
      <c r="M222" s="95" t="str">
        <v>1技书</v>
      </c>
      <c r="N222" s="95" t="str">
        <v>1M阵经</v>
      </c>
      <c r="O222" s="95" t="str">
        <v>1k经验</v>
      </c>
      <c r="P222" s="95" t="str">
        <v>1科技书</v>
      </c>
      <c r="Q222" s="95" t="str">
        <v>1M空经</v>
      </c>
      <c r="R222" s="95" t="str">
        <v>1k空弹</v>
      </c>
      <c r="S222" s="95" t="str">
        <v>1k空零</v>
      </c>
      <c r="T222" s="102" t="s">
        <v>575</v>
      </c>
    </row>
    <row r="223" ht="13.7"/>
    <row r="224" spans="2:21">
      <c r="B224" s="89"/>
      <c r="C224" s="93" t="s">
        <v>540</v>
      </c>
      <c r="D224" s="93" t="s">
        <v>476</v>
      </c>
      <c r="E224" s="93" t="s">
        <v>478</v>
      </c>
      <c r="F224" s="93" t="s">
        <v>454</v>
      </c>
      <c r="G224" s="93" t="s">
        <v>479</v>
      </c>
      <c r="H224" s="93" t="s">
        <v>379</v>
      </c>
      <c r="I224" s="93" t="s">
        <v>458</v>
      </c>
      <c r="J224" s="93" t="s">
        <v>483</v>
      </c>
      <c r="K224" s="93" t="s">
        <v>484</v>
      </c>
      <c r="L224" s="93" t="s">
        <v>466</v>
      </c>
      <c r="M224" s="93" t="s">
        <v>468</v>
      </c>
      <c r="N224" s="93" t="s">
        <v>470</v>
      </c>
      <c r="O224" s="93" t="s">
        <v>472</v>
      </c>
      <c r="P224" s="93" t="s">
        <v>487</v>
      </c>
      <c r="Q224" s="93" t="s">
        <v>481</v>
      </c>
      <c r="R224" s="93" t="s">
        <v>541</v>
      </c>
      <c r="S224" s="93" t="s">
        <v>542</v>
      </c>
      <c r="T224" s="100" t="s">
        <v>562</v>
      </c>
      <c r="U224" s="1" t="s">
        <v>577</v>
      </c>
    </row>
    <row r="225" spans="2:21">
      <c r="B225" s="148" t="s">
        <v>563</v>
      </c>
      <c r="C225" s="8">
        <f t="shared" ref="C225:S225" si="77">IFERROR(C205*$U225,"")</f>
        <v>6587.5</v>
      </c>
      <c r="D225" s="8">
        <f t="shared" si="77"/>
        <v>15.075</v>
      </c>
      <c r="E225" s="8">
        <f t="shared" si="77"/>
        <v>1.31944444444444</v>
      </c>
      <c r="F225" s="8" t="str">
        <f t="shared" si="77"/>
        <v/>
      </c>
      <c r="G225" s="8" t="str">
        <f t="shared" si="77"/>
        <v/>
      </c>
      <c r="H225" s="8" t="str">
        <f t="shared" si="77"/>
        <v/>
      </c>
      <c r="I225" s="8" t="str">
        <f t="shared" si="77"/>
        <v/>
      </c>
      <c r="J225" s="8" t="str">
        <f t="shared" si="77"/>
        <v/>
      </c>
      <c r="K225" s="8" t="str">
        <f t="shared" si="77"/>
        <v/>
      </c>
      <c r="L225" s="8" t="str">
        <f t="shared" si="77"/>
        <v/>
      </c>
      <c r="M225" s="8" t="str">
        <f t="shared" si="77"/>
        <v/>
      </c>
      <c r="N225" s="8" t="str">
        <f t="shared" si="77"/>
        <v/>
      </c>
      <c r="O225" s="8" t="str">
        <f t="shared" si="77"/>
        <v/>
      </c>
      <c r="P225" s="8" t="str">
        <f t="shared" si="77"/>
        <v/>
      </c>
      <c r="Q225" s="8" t="str">
        <f t="shared" si="77"/>
        <v/>
      </c>
      <c r="R225" s="8" t="str">
        <f t="shared" si="77"/>
        <v/>
      </c>
      <c r="S225" s="8" t="str">
        <f t="shared" si="77"/>
        <v/>
      </c>
      <c r="T225" s="161">
        <f>SUM(控制台!$T$4444:$T$4457)*50</f>
        <v>1750</v>
      </c>
      <c r="U225" s="43">
        <v>0.25</v>
      </c>
    </row>
    <row r="226" spans="2:21">
      <c r="B226" s="148" t="s">
        <v>564</v>
      </c>
      <c r="C226" s="8">
        <f t="shared" ref="C226:S226" si="78">IFERROR(C206*$U226,"")</f>
        <v>23250</v>
      </c>
      <c r="D226" s="8">
        <f t="shared" si="78"/>
        <v>29.16</v>
      </c>
      <c r="E226" s="8">
        <f t="shared" si="78"/>
        <v>23.7423611111111</v>
      </c>
      <c r="F226" s="8">
        <f t="shared" si="78"/>
        <v>79.8</v>
      </c>
      <c r="G226" s="8">
        <f t="shared" si="78"/>
        <v>0.0102</v>
      </c>
      <c r="H226" s="8" t="str">
        <f t="shared" si="78"/>
        <v/>
      </c>
      <c r="I226" s="8">
        <f t="shared" si="78"/>
        <v>0.7503</v>
      </c>
      <c r="J226" s="8" t="str">
        <f t="shared" si="78"/>
        <v/>
      </c>
      <c r="K226" s="8" t="str">
        <f t="shared" si="78"/>
        <v/>
      </c>
      <c r="L226" s="8" t="str">
        <f t="shared" si="78"/>
        <v/>
      </c>
      <c r="M226" s="8" t="str">
        <f t="shared" si="78"/>
        <v/>
      </c>
      <c r="N226" s="8" t="str">
        <f t="shared" si="78"/>
        <v/>
      </c>
      <c r="O226" s="8" t="str">
        <f t="shared" si="78"/>
        <v/>
      </c>
      <c r="P226" s="8" t="str">
        <f t="shared" si="78"/>
        <v/>
      </c>
      <c r="Q226" s="8" t="str">
        <f t="shared" si="78"/>
        <v/>
      </c>
      <c r="R226" s="8" t="str">
        <f t="shared" si="78"/>
        <v/>
      </c>
      <c r="S226" s="8" t="str">
        <f t="shared" si="78"/>
        <v/>
      </c>
      <c r="T226" s="161"/>
      <c r="U226" s="43">
        <v>1</v>
      </c>
    </row>
    <row r="227" spans="2:21">
      <c r="B227" s="148" t="s">
        <v>380</v>
      </c>
      <c r="C227" s="8">
        <f t="shared" ref="C227:S227" si="79">IFERROR(C207*$U227,"")</f>
        <v>6735</v>
      </c>
      <c r="D227" s="8" t="str">
        <f t="shared" si="79"/>
        <v/>
      </c>
      <c r="E227" s="8">
        <f t="shared" si="79"/>
        <v>6.33333333333333</v>
      </c>
      <c r="F227" s="8" t="str">
        <f t="shared" si="79"/>
        <v/>
      </c>
      <c r="G227" s="8">
        <f t="shared" si="79"/>
        <v>3.912</v>
      </c>
      <c r="H227" s="8">
        <f t="shared" si="79"/>
        <v>2.514</v>
      </c>
      <c r="I227" s="8" t="str">
        <f t="shared" si="79"/>
        <v/>
      </c>
      <c r="J227" s="8" t="str">
        <f t="shared" si="79"/>
        <v/>
      </c>
      <c r="K227" s="8" t="str">
        <f t="shared" si="79"/>
        <v/>
      </c>
      <c r="L227" s="8" t="str">
        <f t="shared" si="79"/>
        <v/>
      </c>
      <c r="M227" s="8" t="str">
        <f t="shared" si="79"/>
        <v/>
      </c>
      <c r="N227" s="8" t="str">
        <f t="shared" si="79"/>
        <v/>
      </c>
      <c r="O227" s="8" t="str">
        <f t="shared" si="79"/>
        <v/>
      </c>
      <c r="P227" s="8" t="str">
        <f t="shared" si="79"/>
        <v/>
      </c>
      <c r="Q227" s="8" t="str">
        <f t="shared" si="79"/>
        <v/>
      </c>
      <c r="R227" s="8" t="str">
        <f t="shared" si="79"/>
        <v/>
      </c>
      <c r="S227" s="8" t="str">
        <f t="shared" si="79"/>
        <v/>
      </c>
      <c r="T227" s="161">
        <f>SUM(控制台!$G$4499:$G$4508)*20+SUM(控制台!$G$4509:$G$4515)*50</f>
        <v>900</v>
      </c>
      <c r="U227" s="43">
        <v>0.3</v>
      </c>
    </row>
    <row r="228" spans="2:21">
      <c r="B228" s="148" t="s">
        <v>565</v>
      </c>
      <c r="C228" s="8">
        <f t="shared" ref="C228:S228" si="80">IFERROR(C208*$U228,"")</f>
        <v>6535</v>
      </c>
      <c r="D228" s="8">
        <f t="shared" si="80"/>
        <v>4.2075</v>
      </c>
      <c r="E228" s="8">
        <f t="shared" si="80"/>
        <v>1.64583333333333</v>
      </c>
      <c r="F228" s="8" t="str">
        <f t="shared" si="80"/>
        <v/>
      </c>
      <c r="G228" s="8">
        <f t="shared" si="80"/>
        <v>2.6325</v>
      </c>
      <c r="H228" s="8">
        <f t="shared" si="80"/>
        <v>1.31625</v>
      </c>
      <c r="I228" s="8" t="str">
        <f t="shared" si="80"/>
        <v/>
      </c>
      <c r="J228" s="8" t="str">
        <f t="shared" si="80"/>
        <v/>
      </c>
      <c r="K228" s="8" t="str">
        <f t="shared" si="80"/>
        <v/>
      </c>
      <c r="L228" s="8" t="str">
        <f t="shared" si="80"/>
        <v/>
      </c>
      <c r="M228" s="8" t="str">
        <f t="shared" si="80"/>
        <v/>
      </c>
      <c r="N228" s="8" t="str">
        <f t="shared" si="80"/>
        <v/>
      </c>
      <c r="O228" s="8" t="str">
        <f t="shared" si="80"/>
        <v/>
      </c>
      <c r="P228" s="8" t="str">
        <f t="shared" si="80"/>
        <v/>
      </c>
      <c r="Q228" s="8" t="str">
        <f t="shared" si="80"/>
        <v/>
      </c>
      <c r="R228" s="8" t="str">
        <f t="shared" si="80"/>
        <v/>
      </c>
      <c r="S228" s="8" t="str">
        <f t="shared" si="80"/>
        <v/>
      </c>
      <c r="T228" s="161"/>
      <c r="U228" s="43">
        <v>0.25</v>
      </c>
    </row>
    <row r="229" spans="2:21">
      <c r="B229" s="148" t="s">
        <v>566</v>
      </c>
      <c r="C229" s="8">
        <f t="shared" ref="C229:S229" si="81">IFERROR(C209*$U229,"")</f>
        <v>150</v>
      </c>
      <c r="D229" s="8">
        <f t="shared" si="81"/>
        <v>15.82</v>
      </c>
      <c r="E229" s="8">
        <f t="shared" si="81"/>
        <v>3.69184027777778</v>
      </c>
      <c r="F229" s="8">
        <f t="shared" si="81"/>
        <v>6</v>
      </c>
      <c r="G229" s="8">
        <f t="shared" si="81"/>
        <v>1.26</v>
      </c>
      <c r="H229" s="8">
        <f t="shared" si="81"/>
        <v>1.275</v>
      </c>
      <c r="I229" s="8">
        <f t="shared" si="81"/>
        <v>0.26</v>
      </c>
      <c r="J229" s="8" t="str">
        <f t="shared" si="81"/>
        <v/>
      </c>
      <c r="K229" s="8" t="str">
        <f t="shared" si="81"/>
        <v/>
      </c>
      <c r="L229" s="8" t="str">
        <f t="shared" si="81"/>
        <v/>
      </c>
      <c r="M229" s="8">
        <f t="shared" si="81"/>
        <v>180</v>
      </c>
      <c r="N229" s="8" t="str">
        <f t="shared" si="81"/>
        <v/>
      </c>
      <c r="O229" s="8" t="str">
        <f t="shared" si="81"/>
        <v/>
      </c>
      <c r="P229" s="8" t="str">
        <f t="shared" si="81"/>
        <v/>
      </c>
      <c r="Q229" s="8" t="str">
        <f t="shared" si="81"/>
        <v/>
      </c>
      <c r="R229" s="8" t="str">
        <f t="shared" si="81"/>
        <v/>
      </c>
      <c r="S229" s="8" t="str">
        <f t="shared" si="81"/>
        <v/>
      </c>
      <c r="T229" s="161"/>
      <c r="U229" s="43">
        <v>0.25</v>
      </c>
    </row>
    <row r="230" spans="2:21">
      <c r="B230" s="148" t="s">
        <v>567</v>
      </c>
      <c r="C230" s="8" t="str">
        <f t="shared" ref="C230:S230" si="82">IFERROR(C210*$U230,"")</f>
        <v/>
      </c>
      <c r="D230" s="8">
        <f t="shared" si="82"/>
        <v>17.7</v>
      </c>
      <c r="E230" s="8">
        <f t="shared" si="82"/>
        <v>11.9</v>
      </c>
      <c r="F230" s="8" t="str">
        <f t="shared" si="82"/>
        <v/>
      </c>
      <c r="G230" s="8" t="str">
        <f t="shared" si="82"/>
        <v/>
      </c>
      <c r="H230" s="8" t="str">
        <f t="shared" si="82"/>
        <v/>
      </c>
      <c r="I230" s="8" t="str">
        <f t="shared" si="82"/>
        <v/>
      </c>
      <c r="J230" s="8" t="str">
        <f t="shared" si="82"/>
        <v/>
      </c>
      <c r="K230" s="8" t="str">
        <f t="shared" si="82"/>
        <v/>
      </c>
      <c r="L230" s="8" t="str">
        <f t="shared" si="82"/>
        <v/>
      </c>
      <c r="M230" s="8" t="str">
        <f t="shared" si="82"/>
        <v/>
      </c>
      <c r="N230" s="8" t="str">
        <f t="shared" si="82"/>
        <v/>
      </c>
      <c r="O230" s="8" t="str">
        <f t="shared" si="82"/>
        <v/>
      </c>
      <c r="P230" s="8" t="str">
        <f t="shared" si="82"/>
        <v/>
      </c>
      <c r="Q230" s="8" t="str">
        <f t="shared" si="82"/>
        <v/>
      </c>
      <c r="R230" s="8" t="str">
        <f t="shared" si="82"/>
        <v/>
      </c>
      <c r="S230" s="8" t="str">
        <f t="shared" si="82"/>
        <v/>
      </c>
      <c r="T230" s="161"/>
      <c r="U230" s="43">
        <v>0.2</v>
      </c>
    </row>
    <row r="231" spans="2:21">
      <c r="B231" s="148" t="s">
        <v>568</v>
      </c>
      <c r="C231" s="8">
        <f t="shared" ref="C231:S231" si="83">IFERROR(C211*$U231,"")</f>
        <v>13000</v>
      </c>
      <c r="D231" s="8" t="str">
        <f t="shared" si="83"/>
        <v/>
      </c>
      <c r="E231" s="8" t="str">
        <f t="shared" si="83"/>
        <v/>
      </c>
      <c r="F231" s="8" t="str">
        <f t="shared" si="83"/>
        <v/>
      </c>
      <c r="G231" s="8" t="str">
        <f t="shared" si="83"/>
        <v/>
      </c>
      <c r="H231" s="8" t="str">
        <f t="shared" si="83"/>
        <v/>
      </c>
      <c r="I231" s="8" t="str">
        <f t="shared" si="83"/>
        <v/>
      </c>
      <c r="J231" s="8" t="str">
        <f t="shared" si="83"/>
        <v/>
      </c>
      <c r="K231" s="8" t="str">
        <f t="shared" si="83"/>
        <v/>
      </c>
      <c r="L231" s="8" t="str">
        <f t="shared" si="83"/>
        <v/>
      </c>
      <c r="M231" s="8" t="str">
        <f t="shared" si="83"/>
        <v/>
      </c>
      <c r="N231" s="8" t="str">
        <f t="shared" si="83"/>
        <v/>
      </c>
      <c r="O231" s="8" t="str">
        <f t="shared" si="83"/>
        <v/>
      </c>
      <c r="P231" s="8" t="str">
        <f t="shared" si="83"/>
        <v/>
      </c>
      <c r="Q231" s="8" t="str">
        <f t="shared" si="83"/>
        <v/>
      </c>
      <c r="R231" s="8" t="str">
        <f t="shared" si="83"/>
        <v/>
      </c>
      <c r="S231" s="8" t="str">
        <f t="shared" si="83"/>
        <v/>
      </c>
      <c r="T231" s="161"/>
      <c r="U231" s="43">
        <v>0.5</v>
      </c>
    </row>
    <row r="232" spans="2:21">
      <c r="B232" s="148" t="s">
        <v>569</v>
      </c>
      <c r="C232" s="8" t="str">
        <f t="shared" ref="C232:S232" si="84">IFERROR(C212*$U232,"")</f>
        <v/>
      </c>
      <c r="D232" s="8" t="str">
        <f t="shared" si="84"/>
        <v/>
      </c>
      <c r="E232" s="8" t="str">
        <f t="shared" si="84"/>
        <v/>
      </c>
      <c r="F232" s="8" t="str">
        <f t="shared" si="84"/>
        <v/>
      </c>
      <c r="G232" s="8">
        <f ca="1" t="shared" si="84"/>
        <v>3.435</v>
      </c>
      <c r="H232" s="8">
        <f ca="1" t="shared" si="84"/>
        <v>2.66025</v>
      </c>
      <c r="I232" s="8">
        <f ca="1" t="shared" si="84"/>
        <v>0.2655</v>
      </c>
      <c r="J232" s="8" t="str">
        <f t="shared" si="84"/>
        <v/>
      </c>
      <c r="K232" s="8" t="str">
        <f t="shared" si="84"/>
        <v/>
      </c>
      <c r="L232" s="8" t="str">
        <f t="shared" si="84"/>
        <v/>
      </c>
      <c r="M232" s="8" t="str">
        <f t="shared" si="84"/>
        <v/>
      </c>
      <c r="N232" s="8" t="str">
        <f t="shared" si="84"/>
        <v/>
      </c>
      <c r="O232" s="8" t="str">
        <f t="shared" si="84"/>
        <v/>
      </c>
      <c r="P232" s="8" t="str">
        <f t="shared" si="84"/>
        <v/>
      </c>
      <c r="Q232" s="8" t="str">
        <f t="shared" si="84"/>
        <v/>
      </c>
      <c r="R232" s="8" t="str">
        <f t="shared" si="84"/>
        <v/>
      </c>
      <c r="S232" s="8" t="str">
        <f t="shared" si="84"/>
        <v/>
      </c>
      <c r="T232" s="161"/>
      <c r="U232" s="43">
        <v>0.15</v>
      </c>
    </row>
    <row r="233" spans="2:21">
      <c r="B233" s="148" t="s">
        <v>570</v>
      </c>
      <c r="C233" s="8">
        <f t="shared" ref="C233:S233" si="85">IFERROR(C213*$U233,"")</f>
        <v>700</v>
      </c>
      <c r="D233" s="8">
        <f t="shared" si="85"/>
        <v>0.86875</v>
      </c>
      <c r="E233" s="8">
        <f t="shared" si="85"/>
        <v>0.6</v>
      </c>
      <c r="F233" s="8" t="str">
        <f t="shared" si="85"/>
        <v/>
      </c>
      <c r="G233" s="8" t="str">
        <f t="shared" si="85"/>
        <v/>
      </c>
      <c r="H233" s="8" t="str">
        <f t="shared" si="85"/>
        <v/>
      </c>
      <c r="I233" s="8" t="str">
        <f t="shared" si="85"/>
        <v/>
      </c>
      <c r="J233" s="8" t="str">
        <f t="shared" si="85"/>
        <v/>
      </c>
      <c r="K233" s="8" t="str">
        <f t="shared" si="85"/>
        <v/>
      </c>
      <c r="L233" s="8" t="str">
        <f t="shared" si="85"/>
        <v/>
      </c>
      <c r="M233" s="8" t="str">
        <f t="shared" si="85"/>
        <v/>
      </c>
      <c r="N233" s="8" t="str">
        <f t="shared" si="85"/>
        <v/>
      </c>
      <c r="O233" s="8" t="str">
        <f t="shared" si="85"/>
        <v/>
      </c>
      <c r="P233" s="8" t="str">
        <f t="shared" si="85"/>
        <v/>
      </c>
      <c r="Q233" s="8" t="str">
        <f t="shared" si="85"/>
        <v/>
      </c>
      <c r="R233" s="8" t="str">
        <f t="shared" si="85"/>
        <v/>
      </c>
      <c r="S233" s="8" t="str">
        <f t="shared" si="85"/>
        <v/>
      </c>
      <c r="T233" s="161"/>
      <c r="U233" s="43">
        <v>0.02</v>
      </c>
    </row>
    <row r="234" spans="2:21">
      <c r="B234" s="148" t="s">
        <v>571</v>
      </c>
      <c r="C234" s="8">
        <f t="shared" ref="C234:S234" si="86">IFERROR(C214*$U234,"")</f>
        <v>2675</v>
      </c>
      <c r="D234" s="8" t="str">
        <f t="shared" si="86"/>
        <v/>
      </c>
      <c r="E234" s="8">
        <f t="shared" si="86"/>
        <v>1.10416666666667</v>
      </c>
      <c r="F234" s="8">
        <f t="shared" si="86"/>
        <v>3</v>
      </c>
      <c r="G234" s="8" t="str">
        <f t="shared" si="86"/>
        <v/>
      </c>
      <c r="H234" s="8" t="str">
        <f t="shared" si="86"/>
        <v/>
      </c>
      <c r="I234" s="8">
        <f t="shared" si="86"/>
        <v>0.068625</v>
      </c>
      <c r="J234" s="8" t="str">
        <f t="shared" si="86"/>
        <v/>
      </c>
      <c r="K234" s="8" t="str">
        <f t="shared" si="86"/>
        <v/>
      </c>
      <c r="L234" s="8" t="str">
        <f t="shared" si="86"/>
        <v/>
      </c>
      <c r="M234" s="8" t="str">
        <f t="shared" si="86"/>
        <v/>
      </c>
      <c r="N234" s="8" t="str">
        <f t="shared" si="86"/>
        <v/>
      </c>
      <c r="O234" s="8" t="str">
        <f t="shared" si="86"/>
        <v/>
      </c>
      <c r="P234" s="8" t="str">
        <f t="shared" si="86"/>
        <v/>
      </c>
      <c r="Q234" s="8" t="str">
        <f t="shared" si="86"/>
        <v/>
      </c>
      <c r="R234" s="8" t="str">
        <f t="shared" si="86"/>
        <v/>
      </c>
      <c r="S234" s="8" t="str">
        <f t="shared" si="86"/>
        <v/>
      </c>
      <c r="T234" s="161"/>
      <c r="U234" s="43">
        <v>0.05</v>
      </c>
    </row>
    <row r="235" ht="13.85" spans="2:21">
      <c r="B235" s="150" t="s">
        <v>572</v>
      </c>
      <c r="C235" s="159" t="str">
        <f t="shared" ref="C235:S235" si="87">IFERROR(C215*$U235,"")</f>
        <v/>
      </c>
      <c r="D235" s="159" t="str">
        <f t="shared" si="87"/>
        <v/>
      </c>
      <c r="E235" s="159" t="str">
        <f t="shared" si="87"/>
        <v/>
      </c>
      <c r="F235" s="159" t="str">
        <f t="shared" si="87"/>
        <v/>
      </c>
      <c r="G235" s="159" t="str">
        <f t="shared" si="87"/>
        <v/>
      </c>
      <c r="H235" s="159" t="str">
        <f t="shared" si="87"/>
        <v/>
      </c>
      <c r="I235" s="159" t="str">
        <f t="shared" si="87"/>
        <v/>
      </c>
      <c r="J235" s="159" t="str">
        <f t="shared" si="87"/>
        <v/>
      </c>
      <c r="K235" s="159" t="str">
        <f t="shared" si="87"/>
        <v/>
      </c>
      <c r="L235" s="159" t="str">
        <f t="shared" si="87"/>
        <v/>
      </c>
      <c r="M235" s="159" t="str">
        <f t="shared" si="87"/>
        <v/>
      </c>
      <c r="N235" s="159" t="str">
        <f t="shared" si="87"/>
        <v/>
      </c>
      <c r="O235" s="159" t="str">
        <f t="shared" si="87"/>
        <v/>
      </c>
      <c r="P235" s="159" t="str">
        <f t="shared" si="87"/>
        <v/>
      </c>
      <c r="Q235" s="159" t="str">
        <f t="shared" si="87"/>
        <v/>
      </c>
      <c r="R235" s="159" t="str">
        <f t="shared" si="87"/>
        <v/>
      </c>
      <c r="S235" s="159" t="str">
        <f t="shared" si="87"/>
        <v/>
      </c>
      <c r="T235" s="162"/>
      <c r="U235" s="43">
        <v>0.1</v>
      </c>
    </row>
    <row r="236" spans="2:20">
      <c r="B236" s="1" t="s">
        <v>534</v>
      </c>
      <c r="C236" s="1">
        <f>SUM(C225:C235)</f>
        <v>59632.5</v>
      </c>
      <c r="D236" s="1">
        <f t="shared" ref="D236:O236" si="88">SUM(D225:D235)</f>
        <v>82.83125</v>
      </c>
      <c r="E236" s="1">
        <f t="shared" si="88"/>
        <v>50.3369791666667</v>
      </c>
      <c r="F236" s="1">
        <f t="shared" si="88"/>
        <v>88.8</v>
      </c>
      <c r="G236" s="1">
        <f ca="1" t="shared" si="88"/>
        <v>11.2497</v>
      </c>
      <c r="H236" s="1">
        <f ca="1" t="shared" si="88"/>
        <v>7.7655</v>
      </c>
      <c r="I236" s="1">
        <f ca="1" t="shared" si="88"/>
        <v>1.344425</v>
      </c>
      <c r="J236" s="1">
        <f t="shared" si="88"/>
        <v>0</v>
      </c>
      <c r="K236" s="1">
        <f t="shared" si="88"/>
        <v>0</v>
      </c>
      <c r="L236" s="1">
        <f t="shared" si="88"/>
        <v>0</v>
      </c>
      <c r="M236" s="1">
        <f t="shared" si="88"/>
        <v>180</v>
      </c>
      <c r="N236" s="1">
        <f t="shared" si="88"/>
        <v>0</v>
      </c>
      <c r="O236" s="1">
        <f t="shared" si="88"/>
        <v>0</v>
      </c>
      <c r="P236" s="1">
        <f t="shared" ref="P236:T236" si="89">SUM(P225:P235)</f>
        <v>0</v>
      </c>
      <c r="Q236" s="1">
        <f t="shared" si="89"/>
        <v>0</v>
      </c>
      <c r="R236" s="1">
        <f t="shared" si="89"/>
        <v>0</v>
      </c>
      <c r="S236" s="1">
        <f t="shared" si="89"/>
        <v>0</v>
      </c>
      <c r="T236" s="1">
        <f t="shared" si="89"/>
        <v>2650</v>
      </c>
    </row>
    <row r="239" s="25" customFormat="1" spans="1:3">
      <c r="A239" s="2" t="s">
        <v>435</v>
      </c>
      <c r="C239" s="26" t="s">
        <v>436</v>
      </c>
    </row>
    <row r="241" spans="2:12">
      <c r="B241" s="27" t="s">
        <v>578</v>
      </c>
      <c r="C241" s="27"/>
      <c r="D241" s="27"/>
      <c r="E241" s="27"/>
      <c r="F241" s="27"/>
      <c r="G241" s="27"/>
      <c r="H241" s="27"/>
      <c r="I241" s="27"/>
      <c r="J241" s="27"/>
      <c r="K241" s="27"/>
      <c r="L241" s="27"/>
    </row>
    <row r="243" spans="2:4">
      <c r="B243" s="1" t="s">
        <v>579</v>
      </c>
      <c r="D243" s="103">
        <v>2.5</v>
      </c>
    </row>
    <row r="244" spans="2:4">
      <c r="B244" s="1" t="s">
        <v>580</v>
      </c>
      <c r="D244" s="8">
        <f>D243*D249</f>
        <v>3000</v>
      </c>
    </row>
    <row r="245" spans="2:16">
      <c r="B245" s="1" t="s">
        <v>581</v>
      </c>
      <c r="D245" s="8">
        <f>D243*D249*30</f>
        <v>90000</v>
      </c>
      <c r="N245" s="28"/>
      <c r="P245" s="28"/>
    </row>
    <row r="247" spans="2:12">
      <c r="B247" s="27" t="s">
        <v>582</v>
      </c>
      <c r="C247" s="27"/>
      <c r="D247" s="27"/>
      <c r="E247" s="27"/>
      <c r="F247" s="27"/>
      <c r="G247" s="27"/>
      <c r="H247" s="27"/>
      <c r="I247" s="27"/>
      <c r="J247" s="27"/>
      <c r="K247" s="27"/>
      <c r="L247" s="27"/>
    </row>
    <row r="249" spans="2:5">
      <c r="B249" s="28">
        <v>1</v>
      </c>
      <c r="C249" s="1" t="s">
        <v>450</v>
      </c>
      <c r="D249" s="30">
        <v>1200</v>
      </c>
      <c r="E249" s="1" t="s">
        <v>540</v>
      </c>
    </row>
    <row r="250" spans="16:16">
      <c r="P250" s="28"/>
    </row>
    <row r="251" spans="2:12">
      <c r="B251" s="27" t="s">
        <v>583</v>
      </c>
      <c r="C251" s="27"/>
      <c r="D251" s="27"/>
      <c r="E251" s="27"/>
      <c r="F251" s="27"/>
      <c r="G251" s="27"/>
      <c r="H251" s="27"/>
      <c r="I251" s="27"/>
      <c r="J251" s="27"/>
      <c r="K251" s="27"/>
      <c r="L251" s="27"/>
    </row>
    <row r="253" spans="4:6">
      <c r="D253" s="29" t="s">
        <v>584</v>
      </c>
      <c r="F253" s="29" t="s">
        <v>585</v>
      </c>
    </row>
    <row r="254" spans="2:6">
      <c r="B254" s="1" t="s">
        <v>586</v>
      </c>
      <c r="D254" s="141">
        <v>1</v>
      </c>
      <c r="F254" s="1" t="s">
        <v>587</v>
      </c>
    </row>
    <row r="255" spans="2:6">
      <c r="B255" s="1" t="s">
        <v>588</v>
      </c>
      <c r="D255" s="141">
        <v>0.5</v>
      </c>
      <c r="F255" s="1" t="s">
        <v>589</v>
      </c>
    </row>
    <row r="257" spans="2:12">
      <c r="B257" s="27" t="s">
        <v>590</v>
      </c>
      <c r="C257" s="27"/>
      <c r="D257" s="27"/>
      <c r="E257" s="27"/>
      <c r="F257" s="27"/>
      <c r="G257" s="27"/>
      <c r="H257" s="27"/>
      <c r="I257" s="27"/>
      <c r="J257" s="27"/>
      <c r="K257" s="27"/>
      <c r="L257" s="27"/>
    </row>
    <row r="259" spans="2:18">
      <c r="B259" s="29" t="s">
        <v>498</v>
      </c>
      <c r="C259" s="29" t="s">
        <v>512</v>
      </c>
      <c r="D259" s="29" t="s">
        <v>516</v>
      </c>
      <c r="E259" s="86" t="s">
        <v>29</v>
      </c>
      <c r="F259" s="29" t="s">
        <v>31</v>
      </c>
      <c r="G259" s="29" t="s">
        <v>591</v>
      </c>
      <c r="H259" s="29" t="s">
        <v>592</v>
      </c>
      <c r="I259" s="29" t="s">
        <v>593</v>
      </c>
      <c r="J259" s="29" t="s">
        <v>594</v>
      </c>
      <c r="K259" s="29" t="s">
        <v>595</v>
      </c>
      <c r="L259" s="29" t="s">
        <v>596</v>
      </c>
      <c r="M259" s="29" t="s">
        <v>597</v>
      </c>
      <c r="N259" s="29" t="s">
        <v>598</v>
      </c>
      <c r="O259" s="29" t="s">
        <v>599</v>
      </c>
      <c r="P259" s="29" t="s">
        <v>600</v>
      </c>
      <c r="Q259" s="29" t="s">
        <v>601</v>
      </c>
      <c r="R259" s="29" t="s">
        <v>602</v>
      </c>
    </row>
    <row r="260" spans="2:18">
      <c r="B260" s="1" t="s">
        <v>476</v>
      </c>
      <c r="C260" s="1" t="str">
        <f t="shared" ref="C260:C275" si="90">C105</f>
        <v>1M资源</v>
      </c>
      <c r="D260" s="21">
        <f t="shared" ref="D260:D275" si="91">G105</f>
        <v>0.416666666666667</v>
      </c>
      <c r="E260" s="165">
        <f t="shared" ref="E260:E271" si="92">D260*$D$249/$D$254</f>
        <v>500</v>
      </c>
      <c r="F260" s="166">
        <f>D260*$D$249/$D$255</f>
        <v>1000</v>
      </c>
      <c r="G260" s="1">
        <f>E260/$E$260</f>
        <v>1</v>
      </c>
      <c r="H260" s="1">
        <f>F260/$F$260</f>
        <v>1</v>
      </c>
      <c r="I260" s="1" t="str">
        <f>$C$260</f>
        <v>1M资源</v>
      </c>
      <c r="J260" s="1">
        <f t="shared" ref="J260:J272" si="93">E260/$E$288*1000</f>
        <v>416.666666666667</v>
      </c>
      <c r="K260" s="1">
        <f t="shared" ref="K260:K272" si="94">F260/$F$288*1000</f>
        <v>416.666666666667</v>
      </c>
      <c r="L260" s="1" t="s">
        <v>603</v>
      </c>
      <c r="M260" s="1">
        <f t="shared" ref="M260:M275" si="95">E260/$E$335*1000</f>
        <v>166.666666666667</v>
      </c>
      <c r="N260" s="1">
        <f t="shared" ref="N260:N275" si="96">F260/$F$335*1000</f>
        <v>166.666666666667</v>
      </c>
      <c r="O260" s="1" t="s">
        <v>604</v>
      </c>
      <c r="P260" s="1">
        <f>E260/$E$289*1000</f>
        <v>208.333333333333</v>
      </c>
      <c r="Q260" s="1">
        <f>F260/$F$289*1000</f>
        <v>208.333333333333</v>
      </c>
      <c r="R260" s="1" t="s">
        <v>605</v>
      </c>
    </row>
    <row r="261" spans="2:18">
      <c r="B261" s="1" t="s">
        <v>478</v>
      </c>
      <c r="C261" s="1" t="str">
        <f t="shared" si="90"/>
        <v>1天</v>
      </c>
      <c r="D261" s="21">
        <f t="shared" si="91"/>
        <v>1.5625</v>
      </c>
      <c r="E261" s="165">
        <f t="shared" si="92"/>
        <v>1875</v>
      </c>
      <c r="F261" s="30">
        <f>3*1440</f>
        <v>4320</v>
      </c>
      <c r="G261" s="1">
        <f>E261/$E$260</f>
        <v>3.75</v>
      </c>
      <c r="H261" s="1">
        <f t="shared" ref="H261:H271" si="97">F261/$F$260</f>
        <v>4.32</v>
      </c>
      <c r="I261" s="1" t="str">
        <f t="shared" ref="I261:I275" si="98">$C$260</f>
        <v>1M资源</v>
      </c>
      <c r="J261" s="1">
        <f t="shared" si="93"/>
        <v>1562.5</v>
      </c>
      <c r="K261" s="1">
        <f t="shared" si="94"/>
        <v>1800</v>
      </c>
      <c r="L261" s="1" t="s">
        <v>603</v>
      </c>
      <c r="M261" s="1">
        <f t="shared" si="95"/>
        <v>625</v>
      </c>
      <c r="N261" s="1">
        <f t="shared" si="96"/>
        <v>720</v>
      </c>
      <c r="O261" s="1" t="s">
        <v>604</v>
      </c>
      <c r="P261" s="1">
        <f t="shared" ref="P261:P275" si="99">E261/$E$289*1000</f>
        <v>781.25</v>
      </c>
      <c r="Q261" s="1">
        <f t="shared" ref="Q261:Q275" si="100">F261/$F$289*1000</f>
        <v>900</v>
      </c>
      <c r="R261" s="1" t="s">
        <v>605</v>
      </c>
    </row>
    <row r="262" spans="2:18">
      <c r="B262" s="1" t="s">
        <v>454</v>
      </c>
      <c r="C262" s="1" t="str">
        <f t="shared" si="90"/>
        <v>1四星卡</v>
      </c>
      <c r="D262" s="21">
        <f t="shared" si="91"/>
        <v>0.5</v>
      </c>
      <c r="E262" s="165">
        <f t="shared" si="92"/>
        <v>600</v>
      </c>
      <c r="F262" s="166">
        <f t="shared" ref="F262:F272" si="101">D262*$D$249/$D$255</f>
        <v>1200</v>
      </c>
      <c r="G262" s="1">
        <f t="shared" ref="G262:G271" si="102">E262/$E$260</f>
        <v>1.2</v>
      </c>
      <c r="H262" s="1">
        <f t="shared" si="97"/>
        <v>1.2</v>
      </c>
      <c r="I262" s="1" t="str">
        <f t="shared" si="98"/>
        <v>1M资源</v>
      </c>
      <c r="J262" s="1">
        <f t="shared" si="93"/>
        <v>500</v>
      </c>
      <c r="K262" s="1">
        <f t="shared" si="94"/>
        <v>500</v>
      </c>
      <c r="L262" s="1" t="s">
        <v>603</v>
      </c>
      <c r="M262" s="1">
        <f t="shared" si="95"/>
        <v>200</v>
      </c>
      <c r="N262" s="1">
        <f t="shared" si="96"/>
        <v>200</v>
      </c>
      <c r="O262" s="1" t="s">
        <v>604</v>
      </c>
      <c r="P262" s="1">
        <f t="shared" si="99"/>
        <v>250</v>
      </c>
      <c r="Q262" s="1">
        <f t="shared" si="100"/>
        <v>250</v>
      </c>
      <c r="R262" s="1" t="s">
        <v>605</v>
      </c>
    </row>
    <row r="263" spans="2:18">
      <c r="B263" s="1" t="s">
        <v>479</v>
      </c>
      <c r="C263" s="1" t="str">
        <f t="shared" si="90"/>
        <v>1M陆经</v>
      </c>
      <c r="D263" s="21">
        <f t="shared" si="91"/>
        <v>2.5</v>
      </c>
      <c r="E263" s="165">
        <f t="shared" si="92"/>
        <v>3000</v>
      </c>
      <c r="F263" s="166">
        <f t="shared" si="101"/>
        <v>6000</v>
      </c>
      <c r="G263" s="1">
        <f t="shared" si="102"/>
        <v>6</v>
      </c>
      <c r="H263" s="1">
        <f t="shared" si="97"/>
        <v>6</v>
      </c>
      <c r="I263" s="1" t="str">
        <f t="shared" si="98"/>
        <v>1M资源</v>
      </c>
      <c r="J263" s="1">
        <f t="shared" si="93"/>
        <v>2500</v>
      </c>
      <c r="K263" s="1">
        <f t="shared" si="94"/>
        <v>2500</v>
      </c>
      <c r="L263" s="1" t="s">
        <v>603</v>
      </c>
      <c r="M263" s="1">
        <f t="shared" si="95"/>
        <v>1000</v>
      </c>
      <c r="N263" s="1">
        <f t="shared" si="96"/>
        <v>1000</v>
      </c>
      <c r="O263" s="1" t="s">
        <v>604</v>
      </c>
      <c r="P263" s="1">
        <f t="shared" si="99"/>
        <v>1250</v>
      </c>
      <c r="Q263" s="1">
        <f t="shared" si="100"/>
        <v>1250</v>
      </c>
      <c r="R263" s="1" t="s">
        <v>605</v>
      </c>
    </row>
    <row r="264" spans="2:18">
      <c r="B264" s="1" t="s">
        <v>379</v>
      </c>
      <c r="C264" s="1" t="str">
        <f t="shared" si="90"/>
        <v>1k弹药</v>
      </c>
      <c r="D264" s="21">
        <f t="shared" si="91"/>
        <v>3.75</v>
      </c>
      <c r="E264" s="165">
        <f t="shared" si="92"/>
        <v>4500</v>
      </c>
      <c r="F264" s="166">
        <f t="shared" si="101"/>
        <v>9000</v>
      </c>
      <c r="G264" s="1">
        <f t="shared" si="102"/>
        <v>9</v>
      </c>
      <c r="H264" s="1">
        <f t="shared" si="97"/>
        <v>9</v>
      </c>
      <c r="I264" s="1" t="str">
        <f t="shared" si="98"/>
        <v>1M资源</v>
      </c>
      <c r="J264" s="1">
        <f t="shared" si="93"/>
        <v>3750</v>
      </c>
      <c r="K264" s="1">
        <f t="shared" si="94"/>
        <v>3750</v>
      </c>
      <c r="L264" s="1" t="s">
        <v>603</v>
      </c>
      <c r="M264" s="1">
        <f t="shared" si="95"/>
        <v>1500</v>
      </c>
      <c r="N264" s="1">
        <f t="shared" si="96"/>
        <v>1500</v>
      </c>
      <c r="O264" s="1" t="s">
        <v>604</v>
      </c>
      <c r="P264" s="1">
        <f t="shared" si="99"/>
        <v>1875</v>
      </c>
      <c r="Q264" s="1">
        <f t="shared" si="100"/>
        <v>1875</v>
      </c>
      <c r="R264" s="1" t="s">
        <v>605</v>
      </c>
    </row>
    <row r="265" spans="2:18">
      <c r="B265" s="1" t="s">
        <v>458</v>
      </c>
      <c r="C265" s="1" t="str">
        <f t="shared" si="90"/>
        <v>1k零件</v>
      </c>
      <c r="D265" s="21">
        <f t="shared" si="91"/>
        <v>12.5</v>
      </c>
      <c r="E265" s="165">
        <f t="shared" si="92"/>
        <v>15000</v>
      </c>
      <c r="F265" s="166">
        <f t="shared" si="101"/>
        <v>30000</v>
      </c>
      <c r="G265" s="1">
        <f t="shared" si="102"/>
        <v>30</v>
      </c>
      <c r="H265" s="1">
        <f t="shared" si="97"/>
        <v>30</v>
      </c>
      <c r="I265" s="1" t="str">
        <f t="shared" si="98"/>
        <v>1M资源</v>
      </c>
      <c r="J265" s="1">
        <f t="shared" si="93"/>
        <v>12500</v>
      </c>
      <c r="K265" s="1">
        <f t="shared" si="94"/>
        <v>12500</v>
      </c>
      <c r="L265" s="1" t="s">
        <v>603</v>
      </c>
      <c r="M265" s="1">
        <f t="shared" si="95"/>
        <v>5000</v>
      </c>
      <c r="N265" s="1">
        <f t="shared" si="96"/>
        <v>5000</v>
      </c>
      <c r="O265" s="1" t="s">
        <v>604</v>
      </c>
      <c r="P265" s="1">
        <f t="shared" si="99"/>
        <v>6250</v>
      </c>
      <c r="Q265" s="1">
        <f t="shared" si="100"/>
        <v>6250</v>
      </c>
      <c r="R265" s="1" t="s">
        <v>605</v>
      </c>
    </row>
    <row r="266" spans="2:18">
      <c r="B266" s="1" t="s">
        <v>483</v>
      </c>
      <c r="C266" s="1" t="str">
        <f t="shared" si="90"/>
        <v>1k铜材料</v>
      </c>
      <c r="D266" s="21">
        <f t="shared" si="91"/>
        <v>2.08333333333333</v>
      </c>
      <c r="E266" s="165">
        <f t="shared" si="92"/>
        <v>2500</v>
      </c>
      <c r="F266" s="166">
        <f t="shared" si="101"/>
        <v>5000</v>
      </c>
      <c r="G266" s="1">
        <f t="shared" si="102"/>
        <v>5</v>
      </c>
      <c r="H266" s="1">
        <f t="shared" si="97"/>
        <v>5</v>
      </c>
      <c r="I266" s="1" t="str">
        <f t="shared" si="98"/>
        <v>1M资源</v>
      </c>
      <c r="J266" s="1">
        <f t="shared" si="93"/>
        <v>2083.33333333333</v>
      </c>
      <c r="K266" s="1">
        <f t="shared" si="94"/>
        <v>2083.33333333333</v>
      </c>
      <c r="L266" s="1" t="s">
        <v>603</v>
      </c>
      <c r="M266" s="1">
        <f t="shared" si="95"/>
        <v>833.333333333333</v>
      </c>
      <c r="N266" s="1">
        <f t="shared" si="96"/>
        <v>833.333333333333</v>
      </c>
      <c r="O266" s="1" t="s">
        <v>604</v>
      </c>
      <c r="P266" s="1">
        <f t="shared" si="99"/>
        <v>1041.66666666667</v>
      </c>
      <c r="Q266" s="1">
        <f t="shared" si="100"/>
        <v>1041.66666666667</v>
      </c>
      <c r="R266" s="1" t="s">
        <v>605</v>
      </c>
    </row>
    <row r="267" spans="2:18">
      <c r="B267" s="1" t="s">
        <v>484</v>
      </c>
      <c r="C267" s="1" t="str">
        <f t="shared" si="90"/>
        <v>1金++</v>
      </c>
      <c r="D267" s="21">
        <f t="shared" si="91"/>
        <v>62.5</v>
      </c>
      <c r="E267" s="165">
        <f t="shared" si="92"/>
        <v>75000</v>
      </c>
      <c r="F267" s="166">
        <f t="shared" si="101"/>
        <v>150000</v>
      </c>
      <c r="G267" s="1">
        <f t="shared" si="102"/>
        <v>150</v>
      </c>
      <c r="H267" s="1">
        <f t="shared" si="97"/>
        <v>150</v>
      </c>
      <c r="I267" s="1" t="str">
        <f t="shared" si="98"/>
        <v>1M资源</v>
      </c>
      <c r="J267" s="1">
        <f t="shared" si="93"/>
        <v>62500</v>
      </c>
      <c r="K267" s="1">
        <f t="shared" si="94"/>
        <v>62500</v>
      </c>
      <c r="L267" s="1" t="s">
        <v>603</v>
      </c>
      <c r="M267" s="1">
        <f t="shared" si="95"/>
        <v>25000</v>
      </c>
      <c r="N267" s="1">
        <f t="shared" si="96"/>
        <v>25000</v>
      </c>
      <c r="O267" s="1" t="s">
        <v>604</v>
      </c>
      <c r="P267" s="1">
        <f t="shared" si="99"/>
        <v>31250</v>
      </c>
      <c r="Q267" s="1">
        <f t="shared" si="100"/>
        <v>31250</v>
      </c>
      <c r="R267" s="1" t="s">
        <v>605</v>
      </c>
    </row>
    <row r="268" spans="2:18">
      <c r="B268" s="1" t="s">
        <v>466</v>
      </c>
      <c r="C268" s="1" t="str">
        <f t="shared" si="90"/>
        <v>1M军经</v>
      </c>
      <c r="D268" s="21">
        <f t="shared" si="91"/>
        <v>6.25</v>
      </c>
      <c r="E268" s="165">
        <f t="shared" si="92"/>
        <v>7500</v>
      </c>
      <c r="F268" s="166">
        <f t="shared" si="101"/>
        <v>15000</v>
      </c>
      <c r="G268" s="1">
        <f t="shared" si="102"/>
        <v>15</v>
      </c>
      <c r="H268" s="1">
        <f t="shared" si="97"/>
        <v>15</v>
      </c>
      <c r="I268" s="1" t="str">
        <f t="shared" si="98"/>
        <v>1M资源</v>
      </c>
      <c r="J268" s="1">
        <f t="shared" si="93"/>
        <v>6250</v>
      </c>
      <c r="K268" s="1">
        <f t="shared" si="94"/>
        <v>6250</v>
      </c>
      <c r="L268" s="1" t="s">
        <v>603</v>
      </c>
      <c r="M268" s="1">
        <f t="shared" si="95"/>
        <v>2500</v>
      </c>
      <c r="N268" s="1">
        <f t="shared" si="96"/>
        <v>2500</v>
      </c>
      <c r="O268" s="1" t="s">
        <v>604</v>
      </c>
      <c r="P268" s="1">
        <f t="shared" si="99"/>
        <v>3125</v>
      </c>
      <c r="Q268" s="1">
        <f t="shared" si="100"/>
        <v>3125</v>
      </c>
      <c r="R268" s="1" t="s">
        <v>605</v>
      </c>
    </row>
    <row r="269" spans="2:18">
      <c r="B269" s="1" t="s">
        <v>468</v>
      </c>
      <c r="C269" s="1" t="str">
        <f t="shared" si="90"/>
        <v>1技书</v>
      </c>
      <c r="D269" s="21">
        <f t="shared" si="91"/>
        <v>3.33333333333333</v>
      </c>
      <c r="E269" s="165">
        <f t="shared" si="92"/>
        <v>4000</v>
      </c>
      <c r="F269" s="166">
        <f t="shared" si="101"/>
        <v>8000</v>
      </c>
      <c r="G269" s="1">
        <f t="shared" si="102"/>
        <v>8</v>
      </c>
      <c r="H269" s="1">
        <f t="shared" si="97"/>
        <v>8</v>
      </c>
      <c r="I269" s="1" t="str">
        <f t="shared" si="98"/>
        <v>1M资源</v>
      </c>
      <c r="J269" s="1">
        <f t="shared" si="93"/>
        <v>3333.33333333333</v>
      </c>
      <c r="K269" s="1">
        <f t="shared" si="94"/>
        <v>3333.33333333333</v>
      </c>
      <c r="L269" s="1" t="s">
        <v>603</v>
      </c>
      <c r="M269" s="1">
        <f t="shared" si="95"/>
        <v>1333.33333333333</v>
      </c>
      <c r="N269" s="1">
        <f t="shared" si="96"/>
        <v>1333.33333333333</v>
      </c>
      <c r="O269" s="1" t="s">
        <v>604</v>
      </c>
      <c r="P269" s="1">
        <f t="shared" si="99"/>
        <v>1666.66666666667</v>
      </c>
      <c r="Q269" s="1">
        <f t="shared" si="100"/>
        <v>1666.66666666667</v>
      </c>
      <c r="R269" s="1" t="s">
        <v>605</v>
      </c>
    </row>
    <row r="270" spans="2:18">
      <c r="B270" s="1" t="s">
        <v>470</v>
      </c>
      <c r="C270" s="1" t="str">
        <f t="shared" si="90"/>
        <v>1M阵经</v>
      </c>
      <c r="D270" s="21">
        <f t="shared" si="91"/>
        <v>69.4444444444444</v>
      </c>
      <c r="E270" s="165">
        <f t="shared" si="92"/>
        <v>83333.3333333333</v>
      </c>
      <c r="F270" s="166">
        <f t="shared" si="101"/>
        <v>166666.666666667</v>
      </c>
      <c r="G270" s="1">
        <f t="shared" si="102"/>
        <v>166.666666666667</v>
      </c>
      <c r="H270" s="1">
        <f t="shared" si="97"/>
        <v>166.666666666667</v>
      </c>
      <c r="I270" s="1" t="str">
        <f t="shared" si="98"/>
        <v>1M资源</v>
      </c>
      <c r="J270" s="1">
        <f t="shared" si="93"/>
        <v>69444.4444444444</v>
      </c>
      <c r="K270" s="1">
        <f t="shared" si="94"/>
        <v>69444.4444444444</v>
      </c>
      <c r="L270" s="1" t="s">
        <v>603</v>
      </c>
      <c r="M270" s="1">
        <f t="shared" si="95"/>
        <v>27777.7777777778</v>
      </c>
      <c r="N270" s="1">
        <f t="shared" si="96"/>
        <v>27777.7777777778</v>
      </c>
      <c r="O270" s="1" t="s">
        <v>604</v>
      </c>
      <c r="P270" s="1">
        <f t="shared" si="99"/>
        <v>34722.2222222222</v>
      </c>
      <c r="Q270" s="1">
        <f t="shared" si="100"/>
        <v>34722.2222222222</v>
      </c>
      <c r="R270" s="1" t="s">
        <v>605</v>
      </c>
    </row>
    <row r="271" spans="2:18">
      <c r="B271" s="1" t="s">
        <v>472</v>
      </c>
      <c r="C271" s="1" t="str">
        <f t="shared" si="90"/>
        <v>1k经验</v>
      </c>
      <c r="D271" s="21">
        <f t="shared" si="91"/>
        <v>0.833333333333333</v>
      </c>
      <c r="E271" s="165">
        <f t="shared" si="92"/>
        <v>1000</v>
      </c>
      <c r="F271" s="167">
        <v>1000</v>
      </c>
      <c r="G271" s="1">
        <f t="shared" si="102"/>
        <v>2</v>
      </c>
      <c r="H271" s="1">
        <f t="shared" si="97"/>
        <v>1</v>
      </c>
      <c r="I271" s="1" t="str">
        <f t="shared" si="98"/>
        <v>1M资源</v>
      </c>
      <c r="J271" s="1">
        <f t="shared" si="93"/>
        <v>833.333333333333</v>
      </c>
      <c r="K271" s="1">
        <f t="shared" si="94"/>
        <v>416.666666666667</v>
      </c>
      <c r="L271" s="1" t="s">
        <v>603</v>
      </c>
      <c r="M271" s="1">
        <f t="shared" si="95"/>
        <v>333.333333333333</v>
      </c>
      <c r="N271" s="1">
        <f t="shared" si="96"/>
        <v>166.666666666667</v>
      </c>
      <c r="O271" s="1" t="s">
        <v>604</v>
      </c>
      <c r="P271" s="1">
        <f t="shared" si="99"/>
        <v>416.666666666667</v>
      </c>
      <c r="Q271" s="1">
        <f t="shared" si="100"/>
        <v>208.333333333333</v>
      </c>
      <c r="R271" s="1" t="s">
        <v>605</v>
      </c>
    </row>
    <row r="272" spans="2:18">
      <c r="B272" s="1" t="s">
        <v>487</v>
      </c>
      <c r="C272" s="1" t="str">
        <f t="shared" si="90"/>
        <v>1科技书</v>
      </c>
      <c r="D272" s="21">
        <f t="shared" si="91"/>
        <v>0.05</v>
      </c>
      <c r="E272" s="165">
        <f t="shared" ref="E272" si="103">D272*$D$249/$D$254</f>
        <v>60</v>
      </c>
      <c r="F272" s="166">
        <f t="shared" si="101"/>
        <v>120</v>
      </c>
      <c r="G272" s="1">
        <f t="shared" ref="G272" si="104">E272/$E$260</f>
        <v>0.12</v>
      </c>
      <c r="H272" s="1">
        <f t="shared" ref="H272" si="105">F272/$F$260</f>
        <v>0.12</v>
      </c>
      <c r="I272" s="1" t="str">
        <f t="shared" si="98"/>
        <v>1M资源</v>
      </c>
      <c r="J272" s="1">
        <f t="shared" si="93"/>
        <v>50</v>
      </c>
      <c r="K272" s="1">
        <f t="shared" si="94"/>
        <v>50</v>
      </c>
      <c r="L272" s="1" t="s">
        <v>603</v>
      </c>
      <c r="M272" s="1">
        <f t="shared" si="95"/>
        <v>20</v>
      </c>
      <c r="N272" s="1">
        <f t="shared" si="96"/>
        <v>20</v>
      </c>
      <c r="O272" s="1" t="s">
        <v>604</v>
      </c>
      <c r="P272" s="1">
        <f t="shared" si="99"/>
        <v>25</v>
      </c>
      <c r="Q272" s="1">
        <f t="shared" si="100"/>
        <v>25</v>
      </c>
      <c r="R272" s="1" t="s">
        <v>605</v>
      </c>
    </row>
    <row r="273" spans="2:18">
      <c r="B273" s="1" t="s">
        <v>481</v>
      </c>
      <c r="C273" s="1" t="str">
        <f t="shared" si="90"/>
        <v>1M空经</v>
      </c>
      <c r="D273" s="21">
        <f t="shared" si="91"/>
        <v>5</v>
      </c>
      <c r="E273" s="165">
        <f t="shared" ref="E273:E275" si="106">D273*$D$249/$D$254</f>
        <v>6000</v>
      </c>
      <c r="F273" s="166">
        <f t="shared" ref="F273:F275" si="107">D273*$D$249/$D$255</f>
        <v>12000</v>
      </c>
      <c r="G273" s="1">
        <f t="shared" ref="G273:G275" si="108">E273/$E$260</f>
        <v>12</v>
      </c>
      <c r="H273" s="1">
        <f t="shared" ref="H273:H275" si="109">F273/$F$260</f>
        <v>12</v>
      </c>
      <c r="I273" s="1" t="str">
        <f t="shared" si="98"/>
        <v>1M资源</v>
      </c>
      <c r="J273" s="1">
        <f t="shared" ref="J273:J275" si="110">E273/$E$288*1000</f>
        <v>5000</v>
      </c>
      <c r="K273" s="1">
        <f t="shared" ref="K273:K275" si="111">F273/$F$288*1000</f>
        <v>5000</v>
      </c>
      <c r="L273" s="1" t="s">
        <v>603</v>
      </c>
      <c r="M273" s="1">
        <f t="shared" si="95"/>
        <v>2000</v>
      </c>
      <c r="N273" s="1">
        <f t="shared" si="96"/>
        <v>2000</v>
      </c>
      <c r="O273" s="1" t="s">
        <v>604</v>
      </c>
      <c r="P273" s="1">
        <f t="shared" si="99"/>
        <v>2500</v>
      </c>
      <c r="Q273" s="1">
        <f t="shared" si="100"/>
        <v>2500</v>
      </c>
      <c r="R273" s="1" t="s">
        <v>605</v>
      </c>
    </row>
    <row r="274" spans="2:18">
      <c r="B274" s="1" t="s">
        <v>482</v>
      </c>
      <c r="C274" s="1" t="str">
        <f t="shared" si="90"/>
        <v>1k空弹</v>
      </c>
      <c r="D274" s="21">
        <f t="shared" si="91"/>
        <v>7.5</v>
      </c>
      <c r="E274" s="165">
        <f t="shared" si="106"/>
        <v>9000</v>
      </c>
      <c r="F274" s="166">
        <f t="shared" si="107"/>
        <v>18000</v>
      </c>
      <c r="G274" s="1">
        <f t="shared" si="108"/>
        <v>18</v>
      </c>
      <c r="H274" s="1">
        <f t="shared" si="109"/>
        <v>18</v>
      </c>
      <c r="I274" s="1" t="str">
        <f t="shared" si="98"/>
        <v>1M资源</v>
      </c>
      <c r="J274" s="1">
        <f t="shared" si="110"/>
        <v>7500</v>
      </c>
      <c r="K274" s="1">
        <f t="shared" si="111"/>
        <v>7500</v>
      </c>
      <c r="L274" s="1" t="s">
        <v>603</v>
      </c>
      <c r="M274" s="1">
        <f t="shared" si="95"/>
        <v>3000</v>
      </c>
      <c r="N274" s="1">
        <f t="shared" si="96"/>
        <v>3000</v>
      </c>
      <c r="O274" s="1" t="s">
        <v>604</v>
      </c>
      <c r="P274" s="1">
        <f t="shared" si="99"/>
        <v>3750</v>
      </c>
      <c r="Q274" s="1">
        <f t="shared" si="100"/>
        <v>3750</v>
      </c>
      <c r="R274" s="1" t="s">
        <v>605</v>
      </c>
    </row>
    <row r="275" spans="2:18">
      <c r="B275" s="1" t="s">
        <v>462</v>
      </c>
      <c r="C275" s="1" t="str">
        <f t="shared" si="90"/>
        <v>1k空零</v>
      </c>
      <c r="D275" s="21">
        <f t="shared" si="91"/>
        <v>25</v>
      </c>
      <c r="E275" s="165">
        <f t="shared" si="106"/>
        <v>30000</v>
      </c>
      <c r="F275" s="166">
        <f t="shared" si="107"/>
        <v>60000</v>
      </c>
      <c r="G275" s="1">
        <f t="shared" si="108"/>
        <v>60</v>
      </c>
      <c r="H275" s="1">
        <f t="shared" si="109"/>
        <v>60</v>
      </c>
      <c r="I275" s="1" t="str">
        <f t="shared" si="98"/>
        <v>1M资源</v>
      </c>
      <c r="J275" s="1">
        <f t="shared" si="110"/>
        <v>25000</v>
      </c>
      <c r="K275" s="1">
        <f t="shared" si="111"/>
        <v>25000</v>
      </c>
      <c r="L275" s="1" t="s">
        <v>603</v>
      </c>
      <c r="M275" s="1">
        <f t="shared" si="95"/>
        <v>10000</v>
      </c>
      <c r="N275" s="1">
        <f t="shared" si="96"/>
        <v>10000</v>
      </c>
      <c r="O275" s="1" t="s">
        <v>604</v>
      </c>
      <c r="P275" s="1">
        <f t="shared" si="99"/>
        <v>12500</v>
      </c>
      <c r="Q275" s="1">
        <f t="shared" si="100"/>
        <v>12500</v>
      </c>
      <c r="R275" s="1" t="s">
        <v>605</v>
      </c>
    </row>
    <row r="277" spans="2:12">
      <c r="B277" s="27" t="s">
        <v>606</v>
      </c>
      <c r="C277" s="27"/>
      <c r="D277" s="27"/>
      <c r="E277" s="27"/>
      <c r="F277" s="27"/>
      <c r="G277" s="27"/>
      <c r="H277" s="27"/>
      <c r="I277" s="27"/>
      <c r="J277" s="27"/>
      <c r="K277" s="27"/>
      <c r="L277" s="27"/>
    </row>
    <row r="279" spans="2:18">
      <c r="B279" s="29" t="s">
        <v>607</v>
      </c>
      <c r="C279" s="29" t="s">
        <v>512</v>
      </c>
      <c r="D279" s="29" t="s">
        <v>516</v>
      </c>
      <c r="E279" s="86" t="s">
        <v>29</v>
      </c>
      <c r="F279" s="29" t="s">
        <v>31</v>
      </c>
      <c r="G279" s="29" t="s">
        <v>591</v>
      </c>
      <c r="H279" s="29" t="s">
        <v>592</v>
      </c>
      <c r="I279" s="29" t="s">
        <v>593</v>
      </c>
      <c r="J279" s="29" t="s">
        <v>594</v>
      </c>
      <c r="K279" s="29" t="s">
        <v>595</v>
      </c>
      <c r="L279" s="29" t="s">
        <v>596</v>
      </c>
      <c r="M279" s="29" t="s">
        <v>597</v>
      </c>
      <c r="N279" s="29" t="s">
        <v>598</v>
      </c>
      <c r="O279" s="29" t="s">
        <v>599</v>
      </c>
      <c r="P279" s="29" t="s">
        <v>600</v>
      </c>
      <c r="Q279" s="29" t="s">
        <v>601</v>
      </c>
      <c r="R279" s="29" t="s">
        <v>602</v>
      </c>
    </row>
    <row r="280" spans="2:18">
      <c r="B280" s="1" t="s">
        <v>608</v>
      </c>
      <c r="C280" s="1" t="s">
        <v>575</v>
      </c>
      <c r="D280" s="21">
        <f>控制台!$E$4735</f>
        <v>0.0125</v>
      </c>
      <c r="E280" s="168">
        <f t="shared" ref="E280:E285" si="112">D280*$D$249/$D$254</f>
        <v>15</v>
      </c>
      <c r="F280" s="8">
        <f t="shared" ref="F280:F285" si="113">D280*$D$249/$D$255</f>
        <v>30</v>
      </c>
      <c r="G280" s="1">
        <f>E280/$E$260</f>
        <v>0.03</v>
      </c>
      <c r="H280" s="1">
        <f>F280/$F$260</f>
        <v>0.03</v>
      </c>
      <c r="I280" s="1" t="str">
        <f>$C$260</f>
        <v>1M资源</v>
      </c>
      <c r="J280" s="1">
        <f>E280/$E$288*1000</f>
        <v>12.5</v>
      </c>
      <c r="K280" s="1">
        <f>F280/$F$288*1000</f>
        <v>12.5</v>
      </c>
      <c r="L280" s="1" t="s">
        <v>603</v>
      </c>
      <c r="M280" s="1">
        <f t="shared" ref="M280:M319" si="114">E280/$E$335*1000</f>
        <v>5</v>
      </c>
      <c r="N280" s="1">
        <f t="shared" ref="N280:N319" si="115">F280/$F$335*1000</f>
        <v>5</v>
      </c>
      <c r="O280" s="1" t="s">
        <v>604</v>
      </c>
      <c r="P280" s="1">
        <f>E280/$E$289*1000</f>
        <v>6.25</v>
      </c>
      <c r="Q280" s="1">
        <f>F280/$F$289*1000</f>
        <v>6.25</v>
      </c>
      <c r="R280" s="1" t="s">
        <v>605</v>
      </c>
    </row>
    <row r="281" spans="2:18">
      <c r="B281" s="1" t="s">
        <v>63</v>
      </c>
      <c r="C281" s="1" t="s">
        <v>609</v>
      </c>
      <c r="D281" s="21">
        <f>控制台!$H$4821</f>
        <v>0.62875</v>
      </c>
      <c r="E281" s="168">
        <f t="shared" si="112"/>
        <v>754.5</v>
      </c>
      <c r="F281" s="60">
        <v>900</v>
      </c>
      <c r="G281" s="1">
        <f t="shared" ref="G281:G284" si="116">E281/$E$260</f>
        <v>1.509</v>
      </c>
      <c r="H281" s="1">
        <f t="shared" ref="H281:H284" si="117">F281/$F$260</f>
        <v>0.9</v>
      </c>
      <c r="I281" s="1" t="str">
        <f t="shared" ref="I281:I335" si="118">$C$260</f>
        <v>1M资源</v>
      </c>
      <c r="J281" s="1">
        <f t="shared" ref="J281:J288" si="119">E281/$E$288*1000</f>
        <v>628.75</v>
      </c>
      <c r="K281" s="1">
        <f t="shared" ref="K281:K288" si="120">F281/$F$288*1000</f>
        <v>375</v>
      </c>
      <c r="L281" s="1" t="s">
        <v>603</v>
      </c>
      <c r="M281" s="1">
        <f t="shared" si="114"/>
        <v>251.5</v>
      </c>
      <c r="N281" s="1">
        <f t="shared" si="115"/>
        <v>150</v>
      </c>
      <c r="O281" s="1" t="s">
        <v>604</v>
      </c>
      <c r="P281" s="1">
        <f t="shared" ref="P281:P282" si="121">E281/$E$289*1000</f>
        <v>314.375</v>
      </c>
      <c r="Q281" s="1">
        <f t="shared" ref="Q281:Q282" si="122">F281/$F$289*1000</f>
        <v>187.5</v>
      </c>
      <c r="R281" s="1" t="s">
        <v>605</v>
      </c>
    </row>
    <row r="282" spans="2:18">
      <c r="B282" s="1" t="s">
        <v>610</v>
      </c>
      <c r="C282" s="1" t="s">
        <v>609</v>
      </c>
      <c r="D282" s="21">
        <f>控制台!$H$4821</f>
        <v>0.62875</v>
      </c>
      <c r="E282" s="168">
        <f t="shared" si="112"/>
        <v>754.5</v>
      </c>
      <c r="F282" s="60">
        <v>1500</v>
      </c>
      <c r="G282" s="1">
        <f t="shared" si="116"/>
        <v>1.509</v>
      </c>
      <c r="H282" s="1">
        <f t="shared" si="117"/>
        <v>1.5</v>
      </c>
      <c r="I282" s="1" t="str">
        <f t="shared" si="118"/>
        <v>1M资源</v>
      </c>
      <c r="J282" s="1">
        <f t="shared" si="119"/>
        <v>628.75</v>
      </c>
      <c r="K282" s="1">
        <f t="shared" si="120"/>
        <v>625</v>
      </c>
      <c r="L282" s="1" t="s">
        <v>603</v>
      </c>
      <c r="M282" s="1">
        <f t="shared" si="114"/>
        <v>251.5</v>
      </c>
      <c r="N282" s="1">
        <f t="shared" si="115"/>
        <v>250</v>
      </c>
      <c r="O282" s="1" t="s">
        <v>604</v>
      </c>
      <c r="P282" s="1">
        <f t="shared" si="121"/>
        <v>314.375</v>
      </c>
      <c r="Q282" s="1">
        <f t="shared" si="122"/>
        <v>312.5</v>
      </c>
      <c r="R282" s="1" t="s">
        <v>605</v>
      </c>
    </row>
    <row r="283" spans="2:18">
      <c r="B283" s="1" t="s">
        <v>611</v>
      </c>
      <c r="C283" s="1" t="s">
        <v>609</v>
      </c>
      <c r="D283" s="21">
        <f>控制台!$C$5136</f>
        <v>0.5</v>
      </c>
      <c r="E283" s="168">
        <f t="shared" si="112"/>
        <v>600</v>
      </c>
      <c r="F283" s="8">
        <f t="shared" si="113"/>
        <v>1200</v>
      </c>
      <c r="G283" s="1">
        <f t="shared" si="116"/>
        <v>1.2</v>
      </c>
      <c r="H283" s="1">
        <f t="shared" si="117"/>
        <v>1.2</v>
      </c>
      <c r="I283" s="1" t="str">
        <f t="shared" si="118"/>
        <v>1M资源</v>
      </c>
      <c r="J283" s="1">
        <f t="shared" si="119"/>
        <v>500</v>
      </c>
      <c r="K283" s="1">
        <f t="shared" si="120"/>
        <v>500</v>
      </c>
      <c r="L283" s="1" t="s">
        <v>603</v>
      </c>
      <c r="M283" s="1">
        <f t="shared" si="114"/>
        <v>200</v>
      </c>
      <c r="N283" s="1">
        <f t="shared" si="115"/>
        <v>200</v>
      </c>
      <c r="O283" s="1" t="s">
        <v>604</v>
      </c>
      <c r="P283" s="1">
        <f t="shared" ref="P283:P335" si="123">E283/$E$289*1000</f>
        <v>250</v>
      </c>
      <c r="Q283" s="1">
        <f t="shared" ref="Q283:Q335" si="124">F283/$F$289*1000</f>
        <v>250</v>
      </c>
      <c r="R283" s="1" t="s">
        <v>605</v>
      </c>
    </row>
    <row r="284" spans="2:18">
      <c r="B284" s="1" t="s">
        <v>612</v>
      </c>
      <c r="C284" s="1" t="s">
        <v>609</v>
      </c>
      <c r="D284" s="21">
        <f>控制台!$C$5137</f>
        <v>1.5</v>
      </c>
      <c r="E284" s="168">
        <f t="shared" si="112"/>
        <v>1800</v>
      </c>
      <c r="F284" s="8">
        <f t="shared" si="113"/>
        <v>3600</v>
      </c>
      <c r="G284" s="1">
        <f t="shared" si="116"/>
        <v>3.6</v>
      </c>
      <c r="H284" s="1">
        <f t="shared" si="117"/>
        <v>3.6</v>
      </c>
      <c r="I284" s="1" t="str">
        <f t="shared" si="118"/>
        <v>1M资源</v>
      </c>
      <c r="J284" s="1">
        <f t="shared" si="119"/>
        <v>1500</v>
      </c>
      <c r="K284" s="1">
        <f t="shared" si="120"/>
        <v>1500</v>
      </c>
      <c r="L284" s="1" t="s">
        <v>603</v>
      </c>
      <c r="M284" s="1">
        <f t="shared" si="114"/>
        <v>600</v>
      </c>
      <c r="N284" s="1">
        <f t="shared" si="115"/>
        <v>600</v>
      </c>
      <c r="O284" s="1" t="s">
        <v>604</v>
      </c>
      <c r="P284" s="1">
        <f t="shared" si="123"/>
        <v>750</v>
      </c>
      <c r="Q284" s="1">
        <f t="shared" si="124"/>
        <v>750</v>
      </c>
      <c r="R284" s="1" t="s">
        <v>605</v>
      </c>
    </row>
    <row r="285" spans="2:18">
      <c r="B285" s="1" t="s">
        <v>613</v>
      </c>
      <c r="C285" s="1" t="s">
        <v>614</v>
      </c>
      <c r="D285" s="21">
        <f>控制台!$F$4856</f>
        <v>0.025</v>
      </c>
      <c r="E285" s="168">
        <f t="shared" si="112"/>
        <v>30</v>
      </c>
      <c r="F285" s="8">
        <f t="shared" si="113"/>
        <v>60</v>
      </c>
      <c r="G285" s="1">
        <f t="shared" ref="G285" si="125">E285/$E$260</f>
        <v>0.06</v>
      </c>
      <c r="H285" s="1">
        <f t="shared" ref="H285" si="126">F285/$F$260</f>
        <v>0.06</v>
      </c>
      <c r="I285" s="1" t="str">
        <f t="shared" si="118"/>
        <v>1M资源</v>
      </c>
      <c r="J285" s="1">
        <f t="shared" si="119"/>
        <v>25</v>
      </c>
      <c r="K285" s="1">
        <f t="shared" si="120"/>
        <v>25</v>
      </c>
      <c r="L285" s="1" t="s">
        <v>603</v>
      </c>
      <c r="M285" s="1">
        <f t="shared" si="114"/>
        <v>10</v>
      </c>
      <c r="N285" s="1">
        <f t="shared" si="115"/>
        <v>10</v>
      </c>
      <c r="O285" s="1" t="s">
        <v>604</v>
      </c>
      <c r="P285" s="1">
        <f t="shared" si="123"/>
        <v>12.5</v>
      </c>
      <c r="Q285" s="1">
        <f t="shared" si="124"/>
        <v>12.5</v>
      </c>
      <c r="R285" s="1" t="s">
        <v>605</v>
      </c>
    </row>
    <row r="286" spans="2:18">
      <c r="B286" s="1" t="s">
        <v>615</v>
      </c>
      <c r="C286" s="1" t="s">
        <v>614</v>
      </c>
      <c r="D286" s="163">
        <v>2.5</v>
      </c>
      <c r="E286" s="168">
        <f t="shared" ref="E286:E287" si="127">D286*$D$249/$D$254</f>
        <v>3000</v>
      </c>
      <c r="F286" s="8">
        <f t="shared" ref="F286:F287" si="128">D286*$D$249/$D$255</f>
        <v>6000</v>
      </c>
      <c r="G286" s="1">
        <f t="shared" ref="G286:G287" si="129">E286/$E$260</f>
        <v>6</v>
      </c>
      <c r="H286" s="1">
        <f t="shared" ref="H286:H287" si="130">F286/$F$260</f>
        <v>6</v>
      </c>
      <c r="I286" s="1" t="str">
        <f t="shared" si="118"/>
        <v>1M资源</v>
      </c>
      <c r="J286" s="1">
        <f t="shared" si="119"/>
        <v>2500</v>
      </c>
      <c r="K286" s="1">
        <f t="shared" si="120"/>
        <v>2500</v>
      </c>
      <c r="L286" s="1" t="s">
        <v>603</v>
      </c>
      <c r="M286" s="1">
        <f t="shared" si="114"/>
        <v>1000</v>
      </c>
      <c r="N286" s="1">
        <f t="shared" si="115"/>
        <v>1000</v>
      </c>
      <c r="O286" s="1" t="s">
        <v>604</v>
      </c>
      <c r="P286" s="1">
        <f t="shared" si="123"/>
        <v>1250</v>
      </c>
      <c r="Q286" s="1">
        <f t="shared" si="124"/>
        <v>1250</v>
      </c>
      <c r="R286" s="1" t="s">
        <v>605</v>
      </c>
    </row>
    <row r="287" spans="2:18">
      <c r="B287" s="1" t="s">
        <v>616</v>
      </c>
      <c r="C287" s="1" t="s">
        <v>614</v>
      </c>
      <c r="D287" s="163">
        <v>1.25</v>
      </c>
      <c r="E287" s="168">
        <f t="shared" si="127"/>
        <v>1500</v>
      </c>
      <c r="F287" s="8">
        <f t="shared" si="128"/>
        <v>3000</v>
      </c>
      <c r="G287" s="1">
        <f t="shared" si="129"/>
        <v>3</v>
      </c>
      <c r="H287" s="1">
        <f t="shared" si="130"/>
        <v>3</v>
      </c>
      <c r="I287" s="1" t="str">
        <f t="shared" si="118"/>
        <v>1M资源</v>
      </c>
      <c r="J287" s="1">
        <f t="shared" si="119"/>
        <v>1250</v>
      </c>
      <c r="K287" s="1">
        <f t="shared" si="120"/>
        <v>1250</v>
      </c>
      <c r="L287" s="1" t="s">
        <v>603</v>
      </c>
      <c r="M287" s="1">
        <f t="shared" si="114"/>
        <v>500</v>
      </c>
      <c r="N287" s="1">
        <f t="shared" si="115"/>
        <v>500</v>
      </c>
      <c r="O287" s="1" t="s">
        <v>604</v>
      </c>
      <c r="P287" s="1">
        <f t="shared" si="123"/>
        <v>625</v>
      </c>
      <c r="Q287" s="1">
        <f t="shared" si="124"/>
        <v>625</v>
      </c>
      <c r="R287" s="1" t="s">
        <v>605</v>
      </c>
    </row>
    <row r="288" spans="2:18">
      <c r="B288" s="1" t="s">
        <v>617</v>
      </c>
      <c r="C288" s="1" t="s">
        <v>618</v>
      </c>
      <c r="D288" s="21">
        <f>控制台!$D$2849</f>
        <v>1</v>
      </c>
      <c r="E288" s="168">
        <f t="shared" ref="E288:E291" si="131">D288*$D$249/$D$254</f>
        <v>1200</v>
      </c>
      <c r="F288" s="8">
        <f t="shared" ref="F288" si="132">D288*$D$249/$D$255</f>
        <v>2400</v>
      </c>
      <c r="G288" s="1">
        <f t="shared" ref="G288" si="133">E288/$E$260</f>
        <v>2.4</v>
      </c>
      <c r="H288" s="1">
        <f t="shared" ref="H288" si="134">F288/$F$260</f>
        <v>2.4</v>
      </c>
      <c r="I288" s="1" t="str">
        <f t="shared" si="118"/>
        <v>1M资源</v>
      </c>
      <c r="J288" s="1">
        <f t="shared" si="119"/>
        <v>1000</v>
      </c>
      <c r="K288" s="1">
        <f t="shared" si="120"/>
        <v>1000</v>
      </c>
      <c r="L288" s="1" t="s">
        <v>603</v>
      </c>
      <c r="M288" s="1">
        <f t="shared" si="114"/>
        <v>400</v>
      </c>
      <c r="N288" s="1">
        <f t="shared" si="115"/>
        <v>400</v>
      </c>
      <c r="O288" s="1" t="s">
        <v>604</v>
      </c>
      <c r="P288" s="1">
        <f t="shared" si="123"/>
        <v>500</v>
      </c>
      <c r="Q288" s="1">
        <f t="shared" si="124"/>
        <v>500</v>
      </c>
      <c r="R288" s="1" t="s">
        <v>605</v>
      </c>
    </row>
    <row r="289" spans="2:18">
      <c r="B289" s="1" t="s">
        <v>619</v>
      </c>
      <c r="C289" s="1" t="s">
        <v>620</v>
      </c>
      <c r="D289" s="21">
        <f>控制台!$H$2849</f>
        <v>2</v>
      </c>
      <c r="E289" s="168">
        <f t="shared" ref="E289" si="135">D289*$D$249/$D$254</f>
        <v>2400</v>
      </c>
      <c r="F289" s="8">
        <f t="shared" ref="F289" si="136">D289*$D$249/$D$255</f>
        <v>4800</v>
      </c>
      <c r="G289" s="1">
        <f t="shared" ref="G289" si="137">E289/$E$260</f>
        <v>4.8</v>
      </c>
      <c r="H289" s="1">
        <f t="shared" ref="H289" si="138">F289/$F$260</f>
        <v>4.8</v>
      </c>
      <c r="I289" s="1" t="str">
        <f t="shared" si="118"/>
        <v>1M资源</v>
      </c>
      <c r="J289" s="1">
        <f t="shared" ref="J289" si="139">E289/$E$288*1000</f>
        <v>2000</v>
      </c>
      <c r="K289" s="1">
        <f t="shared" ref="K289" si="140">F289/$F$288*1000</f>
        <v>2000</v>
      </c>
      <c r="L289" s="1" t="s">
        <v>603</v>
      </c>
      <c r="M289" s="1">
        <f t="shared" si="114"/>
        <v>800</v>
      </c>
      <c r="N289" s="1">
        <f t="shared" si="115"/>
        <v>800</v>
      </c>
      <c r="O289" s="1" t="s">
        <v>604</v>
      </c>
      <c r="P289" s="1">
        <f t="shared" si="123"/>
        <v>1000</v>
      </c>
      <c r="Q289" s="1">
        <f t="shared" si="124"/>
        <v>1000</v>
      </c>
      <c r="R289" s="1" t="s">
        <v>605</v>
      </c>
    </row>
    <row r="290" s="15" customFormat="1" spans="2:18">
      <c r="B290" s="15" t="s">
        <v>621</v>
      </c>
      <c r="C290" s="15" t="s">
        <v>614</v>
      </c>
      <c r="D290" s="164">
        <f ca="1">控制台!F1554</f>
        <v>0.9125</v>
      </c>
      <c r="E290" s="169">
        <f ca="1" t="shared" si="131"/>
        <v>1095</v>
      </c>
      <c r="F290" s="64">
        <f ca="1" t="shared" ref="F290:F291" si="141">D290*$D$249/$D$255</f>
        <v>2190</v>
      </c>
      <c r="G290" s="15">
        <f ca="1" t="shared" ref="G290:G291" si="142">E290/$E$260</f>
        <v>2.19</v>
      </c>
      <c r="H290" s="15">
        <f ca="1" t="shared" ref="H290:H291" si="143">F290/$F$260</f>
        <v>2.19</v>
      </c>
      <c r="I290" s="15" t="str">
        <f t="shared" si="118"/>
        <v>1M资源</v>
      </c>
      <c r="J290" s="15">
        <f ca="1" t="shared" ref="J290:J291" si="144">E290/$E$288*1000</f>
        <v>912.5</v>
      </c>
      <c r="K290" s="15">
        <f ca="1" t="shared" ref="K290:K291" si="145">F290/$F$288*1000</f>
        <v>912.5</v>
      </c>
      <c r="L290" s="15" t="s">
        <v>603</v>
      </c>
      <c r="M290" s="15">
        <f ca="1" t="shared" si="114"/>
        <v>365</v>
      </c>
      <c r="N290" s="15">
        <f ca="1" t="shared" si="115"/>
        <v>365</v>
      </c>
      <c r="O290" s="15" t="s">
        <v>604</v>
      </c>
      <c r="P290" s="15">
        <f ca="1" t="shared" si="123"/>
        <v>456.25</v>
      </c>
      <c r="Q290" s="15">
        <f ca="1" t="shared" si="124"/>
        <v>456.25</v>
      </c>
      <c r="R290" s="15" t="s">
        <v>605</v>
      </c>
    </row>
    <row r="291" s="15" customFormat="1" spans="2:18">
      <c r="B291" s="15" t="s">
        <v>622</v>
      </c>
      <c r="C291" s="15" t="s">
        <v>614</v>
      </c>
      <c r="D291" s="164">
        <f ca="1">控制台!F1555</f>
        <v>0.9125</v>
      </c>
      <c r="E291" s="169">
        <f ca="1" t="shared" si="131"/>
        <v>1095</v>
      </c>
      <c r="F291" s="64">
        <f ca="1" t="shared" si="141"/>
        <v>2190</v>
      </c>
      <c r="G291" s="15">
        <f ca="1" t="shared" si="142"/>
        <v>2.19</v>
      </c>
      <c r="H291" s="15">
        <f ca="1" t="shared" si="143"/>
        <v>2.19</v>
      </c>
      <c r="I291" s="15" t="str">
        <f t="shared" si="118"/>
        <v>1M资源</v>
      </c>
      <c r="J291" s="15">
        <f ca="1" t="shared" si="144"/>
        <v>912.5</v>
      </c>
      <c r="K291" s="15">
        <f ca="1" t="shared" si="145"/>
        <v>912.5</v>
      </c>
      <c r="L291" s="15" t="s">
        <v>603</v>
      </c>
      <c r="M291" s="15">
        <f ca="1" t="shared" si="114"/>
        <v>365</v>
      </c>
      <c r="N291" s="15">
        <f ca="1" t="shared" si="115"/>
        <v>365</v>
      </c>
      <c r="O291" s="15" t="s">
        <v>604</v>
      </c>
      <c r="P291" s="15">
        <f ca="1" t="shared" si="123"/>
        <v>456.25</v>
      </c>
      <c r="Q291" s="15">
        <f ca="1" t="shared" si="124"/>
        <v>456.25</v>
      </c>
      <c r="R291" s="15" t="s">
        <v>605</v>
      </c>
    </row>
    <row r="292" s="15" customFormat="1" spans="2:18">
      <c r="B292" s="15" t="s">
        <v>623</v>
      </c>
      <c r="C292" s="15" t="s">
        <v>614</v>
      </c>
      <c r="D292" s="164">
        <f ca="1">控制台!F1556</f>
        <v>0.9125</v>
      </c>
      <c r="E292" s="169">
        <f ca="1" t="shared" ref="E292:E319" si="146">D292*$D$249/$D$254</f>
        <v>1095</v>
      </c>
      <c r="F292" s="64">
        <f ca="1" t="shared" ref="F292:F319" si="147">D292*$D$249/$D$255</f>
        <v>2190</v>
      </c>
      <c r="G292" s="15">
        <f ca="1" t="shared" ref="G292:G319" si="148">E292/$E$260</f>
        <v>2.19</v>
      </c>
      <c r="H292" s="15">
        <f ca="1" t="shared" ref="H292:H319" si="149">F292/$F$260</f>
        <v>2.19</v>
      </c>
      <c r="I292" s="15" t="str">
        <f t="shared" si="118"/>
        <v>1M资源</v>
      </c>
      <c r="J292" s="15">
        <f ca="1" t="shared" ref="J292:J319" si="150">E292/$E$288*1000</f>
        <v>912.5</v>
      </c>
      <c r="K292" s="15">
        <f ca="1" t="shared" ref="K292:K319" si="151">F292/$F$288*1000</f>
        <v>912.5</v>
      </c>
      <c r="L292" s="15" t="s">
        <v>603</v>
      </c>
      <c r="M292" s="15">
        <f ca="1" t="shared" si="114"/>
        <v>365</v>
      </c>
      <c r="N292" s="15">
        <f ca="1" t="shared" si="115"/>
        <v>365</v>
      </c>
      <c r="O292" s="15" t="s">
        <v>604</v>
      </c>
      <c r="P292" s="15">
        <f ca="1" t="shared" si="123"/>
        <v>456.25</v>
      </c>
      <c r="Q292" s="15">
        <f ca="1" t="shared" si="124"/>
        <v>456.25</v>
      </c>
      <c r="R292" s="15" t="s">
        <v>605</v>
      </c>
    </row>
    <row r="293" s="15" customFormat="1" spans="2:18">
      <c r="B293" s="15" t="s">
        <v>624</v>
      </c>
      <c r="C293" s="15" t="s">
        <v>614</v>
      </c>
      <c r="D293" s="164">
        <f ca="1">控制台!F1557</f>
        <v>0.9125</v>
      </c>
      <c r="E293" s="169">
        <f ca="1" t="shared" si="146"/>
        <v>1095</v>
      </c>
      <c r="F293" s="64">
        <f ca="1" t="shared" si="147"/>
        <v>2190</v>
      </c>
      <c r="G293" s="15">
        <f ca="1" t="shared" si="148"/>
        <v>2.19</v>
      </c>
      <c r="H293" s="15">
        <f ca="1" t="shared" si="149"/>
        <v>2.19</v>
      </c>
      <c r="I293" s="15" t="str">
        <f t="shared" si="118"/>
        <v>1M资源</v>
      </c>
      <c r="J293" s="15">
        <f ca="1" t="shared" si="150"/>
        <v>912.5</v>
      </c>
      <c r="K293" s="15">
        <f ca="1" t="shared" si="151"/>
        <v>912.5</v>
      </c>
      <c r="L293" s="15" t="s">
        <v>603</v>
      </c>
      <c r="M293" s="15">
        <f ca="1" t="shared" si="114"/>
        <v>365</v>
      </c>
      <c r="N293" s="15">
        <f ca="1" t="shared" si="115"/>
        <v>365</v>
      </c>
      <c r="O293" s="15" t="s">
        <v>604</v>
      </c>
      <c r="P293" s="15">
        <f ca="1" t="shared" si="123"/>
        <v>456.25</v>
      </c>
      <c r="Q293" s="15">
        <f ca="1" t="shared" si="124"/>
        <v>456.25</v>
      </c>
      <c r="R293" s="15" t="s">
        <v>605</v>
      </c>
    </row>
    <row r="294" s="15" customFormat="1" spans="2:18">
      <c r="B294" s="15" t="s">
        <v>625</v>
      </c>
      <c r="C294" s="15" t="s">
        <v>614</v>
      </c>
      <c r="D294" s="164">
        <f ca="1">控制台!F1558</f>
        <v>0.9125</v>
      </c>
      <c r="E294" s="169">
        <f ca="1" t="shared" si="146"/>
        <v>1095</v>
      </c>
      <c r="F294" s="64">
        <f ca="1" t="shared" si="147"/>
        <v>2190</v>
      </c>
      <c r="G294" s="15">
        <f ca="1" t="shared" si="148"/>
        <v>2.19</v>
      </c>
      <c r="H294" s="15">
        <f ca="1" t="shared" si="149"/>
        <v>2.19</v>
      </c>
      <c r="I294" s="15" t="str">
        <f t="shared" si="118"/>
        <v>1M资源</v>
      </c>
      <c r="J294" s="15">
        <f ca="1" t="shared" si="150"/>
        <v>912.5</v>
      </c>
      <c r="K294" s="15">
        <f ca="1" t="shared" si="151"/>
        <v>912.5</v>
      </c>
      <c r="L294" s="15" t="s">
        <v>603</v>
      </c>
      <c r="M294" s="15">
        <f ca="1" t="shared" si="114"/>
        <v>365</v>
      </c>
      <c r="N294" s="15">
        <f ca="1" t="shared" si="115"/>
        <v>365</v>
      </c>
      <c r="O294" s="15" t="s">
        <v>604</v>
      </c>
      <c r="P294" s="15">
        <f ca="1" t="shared" si="123"/>
        <v>456.25</v>
      </c>
      <c r="Q294" s="15">
        <f ca="1" t="shared" si="124"/>
        <v>456.25</v>
      </c>
      <c r="R294" s="15" t="s">
        <v>605</v>
      </c>
    </row>
    <row r="295" s="15" customFormat="1" spans="2:18">
      <c r="B295" s="15" t="s">
        <v>626</v>
      </c>
      <c r="C295" s="15" t="s">
        <v>614</v>
      </c>
      <c r="D295" s="164">
        <f ca="1">控制台!F1559</f>
        <v>1.825</v>
      </c>
      <c r="E295" s="169">
        <f ca="1" t="shared" si="146"/>
        <v>2190</v>
      </c>
      <c r="F295" s="64">
        <f ca="1" t="shared" si="147"/>
        <v>4380</v>
      </c>
      <c r="G295" s="15">
        <f ca="1" t="shared" si="148"/>
        <v>4.38</v>
      </c>
      <c r="H295" s="15">
        <f ca="1" t="shared" si="149"/>
        <v>4.38</v>
      </c>
      <c r="I295" s="15" t="str">
        <f t="shared" si="118"/>
        <v>1M资源</v>
      </c>
      <c r="J295" s="15">
        <f ca="1" t="shared" si="150"/>
        <v>1825</v>
      </c>
      <c r="K295" s="15">
        <f ca="1" t="shared" si="151"/>
        <v>1825</v>
      </c>
      <c r="L295" s="15" t="s">
        <v>603</v>
      </c>
      <c r="M295" s="15">
        <f ca="1" t="shared" si="114"/>
        <v>730</v>
      </c>
      <c r="N295" s="15">
        <f ca="1" t="shared" si="115"/>
        <v>730</v>
      </c>
      <c r="O295" s="15" t="s">
        <v>604</v>
      </c>
      <c r="P295" s="15">
        <f ca="1" t="shared" si="123"/>
        <v>912.5</v>
      </c>
      <c r="Q295" s="15">
        <f ca="1" t="shared" si="124"/>
        <v>912.5</v>
      </c>
      <c r="R295" s="15" t="s">
        <v>605</v>
      </c>
    </row>
    <row r="296" s="15" customFormat="1" spans="2:18">
      <c r="B296" s="15" t="s">
        <v>627</v>
      </c>
      <c r="C296" s="15" t="s">
        <v>614</v>
      </c>
      <c r="D296" s="164">
        <f ca="1">控制台!F1560</f>
        <v>1.825</v>
      </c>
      <c r="E296" s="169">
        <f ca="1" t="shared" si="146"/>
        <v>2190</v>
      </c>
      <c r="F296" s="64">
        <f ca="1" t="shared" si="147"/>
        <v>4380</v>
      </c>
      <c r="G296" s="15">
        <f ca="1" t="shared" si="148"/>
        <v>4.38</v>
      </c>
      <c r="H296" s="15">
        <f ca="1" t="shared" si="149"/>
        <v>4.38</v>
      </c>
      <c r="I296" s="15" t="str">
        <f t="shared" si="118"/>
        <v>1M资源</v>
      </c>
      <c r="J296" s="15">
        <f ca="1" t="shared" si="150"/>
        <v>1825</v>
      </c>
      <c r="K296" s="15">
        <f ca="1" t="shared" si="151"/>
        <v>1825</v>
      </c>
      <c r="L296" s="15" t="s">
        <v>603</v>
      </c>
      <c r="M296" s="15">
        <f ca="1" t="shared" si="114"/>
        <v>730</v>
      </c>
      <c r="N296" s="15">
        <f ca="1" t="shared" si="115"/>
        <v>730</v>
      </c>
      <c r="O296" s="15" t="s">
        <v>604</v>
      </c>
      <c r="P296" s="15">
        <f ca="1" t="shared" si="123"/>
        <v>912.5</v>
      </c>
      <c r="Q296" s="15">
        <f ca="1" t="shared" si="124"/>
        <v>912.5</v>
      </c>
      <c r="R296" s="15" t="s">
        <v>605</v>
      </c>
    </row>
    <row r="297" s="15" customFormat="1" spans="2:18">
      <c r="B297" s="15" t="s">
        <v>628</v>
      </c>
      <c r="C297" s="15" t="s">
        <v>614</v>
      </c>
      <c r="D297" s="164">
        <f ca="1">控制台!F1561</f>
        <v>1.825</v>
      </c>
      <c r="E297" s="169">
        <f ca="1" t="shared" si="146"/>
        <v>2190</v>
      </c>
      <c r="F297" s="64">
        <f ca="1" t="shared" si="147"/>
        <v>4380</v>
      </c>
      <c r="G297" s="15">
        <f ca="1" t="shared" si="148"/>
        <v>4.38</v>
      </c>
      <c r="H297" s="15">
        <f ca="1" t="shared" si="149"/>
        <v>4.38</v>
      </c>
      <c r="I297" s="15" t="str">
        <f t="shared" si="118"/>
        <v>1M资源</v>
      </c>
      <c r="J297" s="15">
        <f ca="1" t="shared" si="150"/>
        <v>1825</v>
      </c>
      <c r="K297" s="15">
        <f ca="1" t="shared" si="151"/>
        <v>1825</v>
      </c>
      <c r="L297" s="15" t="s">
        <v>603</v>
      </c>
      <c r="M297" s="15">
        <f ca="1" t="shared" si="114"/>
        <v>730</v>
      </c>
      <c r="N297" s="15">
        <f ca="1" t="shared" si="115"/>
        <v>730</v>
      </c>
      <c r="O297" s="15" t="s">
        <v>604</v>
      </c>
      <c r="P297" s="15">
        <f ca="1" t="shared" si="123"/>
        <v>912.5</v>
      </c>
      <c r="Q297" s="15">
        <f ca="1" t="shared" si="124"/>
        <v>912.5</v>
      </c>
      <c r="R297" s="15" t="s">
        <v>605</v>
      </c>
    </row>
    <row r="298" s="15" customFormat="1" spans="2:18">
      <c r="B298" s="15" t="s">
        <v>629</v>
      </c>
      <c r="C298" s="15" t="s">
        <v>614</v>
      </c>
      <c r="D298" s="164">
        <f ca="1">控制台!F1562</f>
        <v>1.825</v>
      </c>
      <c r="E298" s="169">
        <f ca="1" t="shared" si="146"/>
        <v>2190</v>
      </c>
      <c r="F298" s="64">
        <f ca="1" t="shared" si="147"/>
        <v>4380</v>
      </c>
      <c r="G298" s="15">
        <f ca="1" t="shared" si="148"/>
        <v>4.38</v>
      </c>
      <c r="H298" s="15">
        <f ca="1" t="shared" si="149"/>
        <v>4.38</v>
      </c>
      <c r="I298" s="15" t="str">
        <f t="shared" si="118"/>
        <v>1M资源</v>
      </c>
      <c r="J298" s="15">
        <f ca="1" t="shared" si="150"/>
        <v>1825</v>
      </c>
      <c r="K298" s="15">
        <f ca="1" t="shared" si="151"/>
        <v>1825</v>
      </c>
      <c r="L298" s="15" t="s">
        <v>603</v>
      </c>
      <c r="M298" s="15">
        <f ca="1" t="shared" si="114"/>
        <v>730</v>
      </c>
      <c r="N298" s="15">
        <f ca="1" t="shared" si="115"/>
        <v>730</v>
      </c>
      <c r="O298" s="15" t="s">
        <v>604</v>
      </c>
      <c r="P298" s="15">
        <f ca="1" t="shared" si="123"/>
        <v>912.5</v>
      </c>
      <c r="Q298" s="15">
        <f ca="1" t="shared" si="124"/>
        <v>912.5</v>
      </c>
      <c r="R298" s="15" t="s">
        <v>605</v>
      </c>
    </row>
    <row r="299" s="15" customFormat="1" spans="2:18">
      <c r="B299" s="15" t="s">
        <v>630</v>
      </c>
      <c r="C299" s="15" t="s">
        <v>614</v>
      </c>
      <c r="D299" s="164">
        <f ca="1">控制台!F1563</f>
        <v>0.45625</v>
      </c>
      <c r="E299" s="169">
        <f ca="1" t="shared" si="146"/>
        <v>547.5</v>
      </c>
      <c r="F299" s="64">
        <f ca="1" t="shared" si="147"/>
        <v>1095</v>
      </c>
      <c r="G299" s="15">
        <f ca="1" t="shared" si="148"/>
        <v>1.095</v>
      </c>
      <c r="H299" s="15">
        <f ca="1" t="shared" si="149"/>
        <v>1.095</v>
      </c>
      <c r="I299" s="15" t="str">
        <f t="shared" si="118"/>
        <v>1M资源</v>
      </c>
      <c r="J299" s="15">
        <f ca="1" t="shared" si="150"/>
        <v>456.25</v>
      </c>
      <c r="K299" s="15">
        <f ca="1" t="shared" si="151"/>
        <v>456.25</v>
      </c>
      <c r="L299" s="15" t="s">
        <v>603</v>
      </c>
      <c r="M299" s="15">
        <f ca="1" t="shared" si="114"/>
        <v>182.5</v>
      </c>
      <c r="N299" s="15">
        <f ca="1" t="shared" si="115"/>
        <v>182.5</v>
      </c>
      <c r="O299" s="15" t="s">
        <v>604</v>
      </c>
      <c r="P299" s="15">
        <f ca="1" t="shared" si="123"/>
        <v>228.125</v>
      </c>
      <c r="Q299" s="15">
        <f ca="1" t="shared" si="124"/>
        <v>228.125</v>
      </c>
      <c r="R299" s="15" t="s">
        <v>605</v>
      </c>
    </row>
    <row r="300" spans="2:18">
      <c r="B300" s="1" t="s">
        <v>631</v>
      </c>
      <c r="C300" s="1" t="s">
        <v>614</v>
      </c>
      <c r="D300" s="21">
        <f ca="1">控制台!F1564</f>
        <v>14.75</v>
      </c>
      <c r="E300" s="168">
        <f ca="1" t="shared" si="146"/>
        <v>17700</v>
      </c>
      <c r="F300" s="8">
        <f ca="1" t="shared" si="147"/>
        <v>35400</v>
      </c>
      <c r="G300" s="1">
        <f ca="1" t="shared" si="148"/>
        <v>35.4</v>
      </c>
      <c r="H300" s="1">
        <f ca="1" t="shared" si="149"/>
        <v>35.4</v>
      </c>
      <c r="I300" s="1" t="str">
        <f t="shared" si="118"/>
        <v>1M资源</v>
      </c>
      <c r="J300" s="1">
        <f ca="1" t="shared" si="150"/>
        <v>14750</v>
      </c>
      <c r="K300" s="1">
        <f ca="1" t="shared" si="151"/>
        <v>14750</v>
      </c>
      <c r="L300" s="1" t="s">
        <v>603</v>
      </c>
      <c r="M300" s="1">
        <f ca="1" t="shared" si="114"/>
        <v>5900</v>
      </c>
      <c r="N300" s="1">
        <f ca="1" t="shared" si="115"/>
        <v>5900</v>
      </c>
      <c r="O300" s="1" t="s">
        <v>604</v>
      </c>
      <c r="P300" s="1">
        <f ca="1" t="shared" si="123"/>
        <v>7375</v>
      </c>
      <c r="Q300" s="1">
        <f ca="1" t="shared" si="124"/>
        <v>7375</v>
      </c>
      <c r="R300" s="1" t="s">
        <v>605</v>
      </c>
    </row>
    <row r="301" spans="2:18">
      <c r="B301" s="1" t="s">
        <v>632</v>
      </c>
      <c r="C301" s="1" t="s">
        <v>614</v>
      </c>
      <c r="D301" s="21">
        <f ca="1">控制台!F1565</f>
        <v>14.75</v>
      </c>
      <c r="E301" s="168">
        <f ca="1" t="shared" si="146"/>
        <v>17700</v>
      </c>
      <c r="F301" s="8">
        <f ca="1" t="shared" si="147"/>
        <v>35400</v>
      </c>
      <c r="G301" s="1">
        <f ca="1" t="shared" si="148"/>
        <v>35.4</v>
      </c>
      <c r="H301" s="1">
        <f ca="1" t="shared" si="149"/>
        <v>35.4</v>
      </c>
      <c r="I301" s="1" t="str">
        <f t="shared" si="118"/>
        <v>1M资源</v>
      </c>
      <c r="J301" s="1">
        <f ca="1" t="shared" si="150"/>
        <v>14750</v>
      </c>
      <c r="K301" s="1">
        <f ca="1" t="shared" si="151"/>
        <v>14750</v>
      </c>
      <c r="L301" s="1" t="s">
        <v>603</v>
      </c>
      <c r="M301" s="1">
        <f ca="1" t="shared" si="114"/>
        <v>5900</v>
      </c>
      <c r="N301" s="1">
        <f ca="1" t="shared" si="115"/>
        <v>5900</v>
      </c>
      <c r="O301" s="1" t="s">
        <v>604</v>
      </c>
      <c r="P301" s="1">
        <f ca="1" t="shared" si="123"/>
        <v>7375</v>
      </c>
      <c r="Q301" s="1">
        <f ca="1" t="shared" si="124"/>
        <v>7375</v>
      </c>
      <c r="R301" s="1" t="s">
        <v>605</v>
      </c>
    </row>
    <row r="302" spans="2:18">
      <c r="B302" s="1" t="s">
        <v>633</v>
      </c>
      <c r="C302" s="1" t="s">
        <v>614</v>
      </c>
      <c r="D302" s="21">
        <f ca="1">控制台!F1566</f>
        <v>14.75</v>
      </c>
      <c r="E302" s="168">
        <f ca="1" t="shared" si="146"/>
        <v>17700</v>
      </c>
      <c r="F302" s="8">
        <f ca="1" t="shared" si="147"/>
        <v>35400</v>
      </c>
      <c r="G302" s="1">
        <f ca="1" t="shared" si="148"/>
        <v>35.4</v>
      </c>
      <c r="H302" s="1">
        <f ca="1" t="shared" si="149"/>
        <v>35.4</v>
      </c>
      <c r="I302" s="1" t="str">
        <f t="shared" si="118"/>
        <v>1M资源</v>
      </c>
      <c r="J302" s="1">
        <f ca="1" t="shared" si="150"/>
        <v>14750</v>
      </c>
      <c r="K302" s="1">
        <f ca="1" t="shared" si="151"/>
        <v>14750</v>
      </c>
      <c r="L302" s="1" t="s">
        <v>603</v>
      </c>
      <c r="M302" s="1">
        <f ca="1" t="shared" si="114"/>
        <v>5900</v>
      </c>
      <c r="N302" s="1">
        <f ca="1" t="shared" si="115"/>
        <v>5900</v>
      </c>
      <c r="O302" s="1" t="s">
        <v>604</v>
      </c>
      <c r="P302" s="1">
        <f ca="1" t="shared" si="123"/>
        <v>7375</v>
      </c>
      <c r="Q302" s="1">
        <f ca="1" t="shared" si="124"/>
        <v>7375</v>
      </c>
      <c r="R302" s="1" t="s">
        <v>605</v>
      </c>
    </row>
    <row r="303" spans="2:18">
      <c r="B303" s="1" t="s">
        <v>634</v>
      </c>
      <c r="C303" s="1" t="s">
        <v>614</v>
      </c>
      <c r="D303" s="21">
        <f ca="1">控制台!F1567</f>
        <v>14.75</v>
      </c>
      <c r="E303" s="168">
        <f ca="1" t="shared" si="146"/>
        <v>17700</v>
      </c>
      <c r="F303" s="8">
        <f ca="1" t="shared" si="147"/>
        <v>35400</v>
      </c>
      <c r="G303" s="1">
        <f ca="1" t="shared" si="148"/>
        <v>35.4</v>
      </c>
      <c r="H303" s="1">
        <f ca="1" t="shared" si="149"/>
        <v>35.4</v>
      </c>
      <c r="I303" s="1" t="str">
        <f t="shared" si="118"/>
        <v>1M资源</v>
      </c>
      <c r="J303" s="1">
        <f ca="1" t="shared" si="150"/>
        <v>14750</v>
      </c>
      <c r="K303" s="1">
        <f ca="1" t="shared" si="151"/>
        <v>14750</v>
      </c>
      <c r="L303" s="1" t="s">
        <v>603</v>
      </c>
      <c r="M303" s="1">
        <f ca="1" t="shared" si="114"/>
        <v>5900</v>
      </c>
      <c r="N303" s="1">
        <f ca="1" t="shared" si="115"/>
        <v>5900</v>
      </c>
      <c r="O303" s="1" t="s">
        <v>604</v>
      </c>
      <c r="P303" s="1">
        <f ca="1" t="shared" si="123"/>
        <v>7375</v>
      </c>
      <c r="Q303" s="1">
        <f ca="1" t="shared" si="124"/>
        <v>7375</v>
      </c>
      <c r="R303" s="1" t="s">
        <v>605</v>
      </c>
    </row>
    <row r="304" spans="2:18">
      <c r="B304" s="1" t="s">
        <v>635</v>
      </c>
      <c r="C304" s="1" t="s">
        <v>614</v>
      </c>
      <c r="D304" s="21">
        <f ca="1">控制台!F1568</f>
        <v>14.75</v>
      </c>
      <c r="E304" s="168">
        <f ca="1" t="shared" si="146"/>
        <v>17700</v>
      </c>
      <c r="F304" s="8">
        <f ca="1" t="shared" si="147"/>
        <v>35400</v>
      </c>
      <c r="G304" s="1">
        <f ca="1" t="shared" si="148"/>
        <v>35.4</v>
      </c>
      <c r="H304" s="1">
        <f ca="1" t="shared" si="149"/>
        <v>35.4</v>
      </c>
      <c r="I304" s="1" t="str">
        <f t="shared" si="118"/>
        <v>1M资源</v>
      </c>
      <c r="J304" s="1">
        <f ca="1" t="shared" si="150"/>
        <v>14750</v>
      </c>
      <c r="K304" s="1">
        <f ca="1" t="shared" si="151"/>
        <v>14750</v>
      </c>
      <c r="L304" s="1" t="s">
        <v>603</v>
      </c>
      <c r="M304" s="1">
        <f ca="1" t="shared" si="114"/>
        <v>5900</v>
      </c>
      <c r="N304" s="1">
        <f ca="1" t="shared" si="115"/>
        <v>5900</v>
      </c>
      <c r="O304" s="1" t="s">
        <v>604</v>
      </c>
      <c r="P304" s="1">
        <f ca="1" t="shared" si="123"/>
        <v>7375</v>
      </c>
      <c r="Q304" s="1">
        <f ca="1" t="shared" si="124"/>
        <v>7375</v>
      </c>
      <c r="R304" s="1" t="s">
        <v>605</v>
      </c>
    </row>
    <row r="305" spans="2:18">
      <c r="B305" s="1" t="s">
        <v>636</v>
      </c>
      <c r="C305" s="1" t="s">
        <v>614</v>
      </c>
      <c r="D305" s="21">
        <f ca="1">控制台!F1569</f>
        <v>29.5</v>
      </c>
      <c r="E305" s="168">
        <f ca="1" t="shared" si="146"/>
        <v>35400</v>
      </c>
      <c r="F305" s="8">
        <f ca="1" t="shared" si="147"/>
        <v>70800</v>
      </c>
      <c r="G305" s="1">
        <f ca="1" t="shared" si="148"/>
        <v>70.8</v>
      </c>
      <c r="H305" s="1">
        <f ca="1" t="shared" si="149"/>
        <v>70.8</v>
      </c>
      <c r="I305" s="1" t="str">
        <f t="shared" si="118"/>
        <v>1M资源</v>
      </c>
      <c r="J305" s="1">
        <f ca="1" t="shared" si="150"/>
        <v>29500</v>
      </c>
      <c r="K305" s="1">
        <f ca="1" t="shared" si="151"/>
        <v>29500</v>
      </c>
      <c r="L305" s="1" t="s">
        <v>603</v>
      </c>
      <c r="M305" s="1">
        <f ca="1" t="shared" si="114"/>
        <v>11800</v>
      </c>
      <c r="N305" s="1">
        <f ca="1" t="shared" si="115"/>
        <v>11800</v>
      </c>
      <c r="O305" s="1" t="s">
        <v>604</v>
      </c>
      <c r="P305" s="1">
        <f ca="1" t="shared" si="123"/>
        <v>14750</v>
      </c>
      <c r="Q305" s="1">
        <f ca="1" t="shared" si="124"/>
        <v>14750</v>
      </c>
      <c r="R305" s="1" t="s">
        <v>605</v>
      </c>
    </row>
    <row r="306" spans="2:18">
      <c r="B306" s="1" t="s">
        <v>637</v>
      </c>
      <c r="C306" s="1" t="s">
        <v>614</v>
      </c>
      <c r="D306" s="21">
        <f ca="1">控制台!F1570</f>
        <v>29.5</v>
      </c>
      <c r="E306" s="168">
        <f ca="1" t="shared" si="146"/>
        <v>35400</v>
      </c>
      <c r="F306" s="8">
        <f ca="1" t="shared" si="147"/>
        <v>70800</v>
      </c>
      <c r="G306" s="1">
        <f ca="1" t="shared" si="148"/>
        <v>70.8</v>
      </c>
      <c r="H306" s="1">
        <f ca="1" t="shared" si="149"/>
        <v>70.8</v>
      </c>
      <c r="I306" s="1" t="str">
        <f t="shared" si="118"/>
        <v>1M资源</v>
      </c>
      <c r="J306" s="1">
        <f ca="1" t="shared" si="150"/>
        <v>29500</v>
      </c>
      <c r="K306" s="1">
        <f ca="1" t="shared" si="151"/>
        <v>29500</v>
      </c>
      <c r="L306" s="1" t="s">
        <v>603</v>
      </c>
      <c r="M306" s="1">
        <f ca="1" t="shared" si="114"/>
        <v>11800</v>
      </c>
      <c r="N306" s="1">
        <f ca="1" t="shared" si="115"/>
        <v>11800</v>
      </c>
      <c r="O306" s="1" t="s">
        <v>604</v>
      </c>
      <c r="P306" s="1">
        <f ca="1" t="shared" si="123"/>
        <v>14750</v>
      </c>
      <c r="Q306" s="1">
        <f ca="1" t="shared" si="124"/>
        <v>14750</v>
      </c>
      <c r="R306" s="1" t="s">
        <v>605</v>
      </c>
    </row>
    <row r="307" spans="2:18">
      <c r="B307" s="1" t="s">
        <v>638</v>
      </c>
      <c r="C307" s="1" t="s">
        <v>614</v>
      </c>
      <c r="D307" s="21">
        <f ca="1">控制台!F1571</f>
        <v>29.5</v>
      </c>
      <c r="E307" s="168">
        <f ca="1" t="shared" si="146"/>
        <v>35400</v>
      </c>
      <c r="F307" s="8">
        <f ca="1" t="shared" si="147"/>
        <v>70800</v>
      </c>
      <c r="G307" s="1">
        <f ca="1" t="shared" si="148"/>
        <v>70.8</v>
      </c>
      <c r="H307" s="1">
        <f ca="1" t="shared" si="149"/>
        <v>70.8</v>
      </c>
      <c r="I307" s="1" t="str">
        <f t="shared" si="118"/>
        <v>1M资源</v>
      </c>
      <c r="J307" s="1">
        <f ca="1" t="shared" si="150"/>
        <v>29500</v>
      </c>
      <c r="K307" s="1">
        <f ca="1" t="shared" si="151"/>
        <v>29500</v>
      </c>
      <c r="L307" s="1" t="s">
        <v>603</v>
      </c>
      <c r="M307" s="1">
        <f ca="1" t="shared" si="114"/>
        <v>11800</v>
      </c>
      <c r="N307" s="1">
        <f ca="1" t="shared" si="115"/>
        <v>11800</v>
      </c>
      <c r="O307" s="1" t="s">
        <v>604</v>
      </c>
      <c r="P307" s="1">
        <f ca="1" t="shared" si="123"/>
        <v>14750</v>
      </c>
      <c r="Q307" s="1">
        <f ca="1" t="shared" si="124"/>
        <v>14750</v>
      </c>
      <c r="R307" s="1" t="s">
        <v>605</v>
      </c>
    </row>
    <row r="308" spans="2:18">
      <c r="B308" s="1" t="s">
        <v>639</v>
      </c>
      <c r="C308" s="1" t="s">
        <v>614</v>
      </c>
      <c r="D308" s="21">
        <f ca="1">控制台!F1572</f>
        <v>29.5</v>
      </c>
      <c r="E308" s="168">
        <f ca="1" t="shared" si="146"/>
        <v>35400</v>
      </c>
      <c r="F308" s="8">
        <f ca="1" t="shared" si="147"/>
        <v>70800</v>
      </c>
      <c r="G308" s="1">
        <f ca="1" t="shared" si="148"/>
        <v>70.8</v>
      </c>
      <c r="H308" s="1">
        <f ca="1" t="shared" si="149"/>
        <v>70.8</v>
      </c>
      <c r="I308" s="1" t="str">
        <f t="shared" si="118"/>
        <v>1M资源</v>
      </c>
      <c r="J308" s="1">
        <f ca="1" t="shared" si="150"/>
        <v>29500</v>
      </c>
      <c r="K308" s="1">
        <f ca="1" t="shared" si="151"/>
        <v>29500</v>
      </c>
      <c r="L308" s="1" t="s">
        <v>603</v>
      </c>
      <c r="M308" s="1">
        <f ca="1" t="shared" si="114"/>
        <v>11800</v>
      </c>
      <c r="N308" s="1">
        <f ca="1" t="shared" si="115"/>
        <v>11800</v>
      </c>
      <c r="O308" s="1" t="s">
        <v>604</v>
      </c>
      <c r="P308" s="1">
        <f ca="1" t="shared" si="123"/>
        <v>14750</v>
      </c>
      <c r="Q308" s="1">
        <f ca="1" t="shared" si="124"/>
        <v>14750</v>
      </c>
      <c r="R308" s="1" t="s">
        <v>605</v>
      </c>
    </row>
    <row r="309" spans="2:18">
      <c r="B309" s="1" t="s">
        <v>640</v>
      </c>
      <c r="C309" s="1" t="s">
        <v>614</v>
      </c>
      <c r="D309" s="21">
        <f ca="1">控制台!F1573</f>
        <v>7.375</v>
      </c>
      <c r="E309" s="168">
        <f ca="1" t="shared" si="146"/>
        <v>8850</v>
      </c>
      <c r="F309" s="8">
        <f ca="1" t="shared" si="147"/>
        <v>17700</v>
      </c>
      <c r="G309" s="1">
        <f ca="1" t="shared" si="148"/>
        <v>17.7</v>
      </c>
      <c r="H309" s="1">
        <f ca="1" t="shared" si="149"/>
        <v>17.7</v>
      </c>
      <c r="I309" s="1" t="str">
        <f t="shared" si="118"/>
        <v>1M资源</v>
      </c>
      <c r="J309" s="1">
        <f ca="1" t="shared" si="150"/>
        <v>7375</v>
      </c>
      <c r="K309" s="1">
        <f ca="1" t="shared" si="151"/>
        <v>7375</v>
      </c>
      <c r="L309" s="1" t="s">
        <v>603</v>
      </c>
      <c r="M309" s="1">
        <f ca="1" t="shared" si="114"/>
        <v>2950</v>
      </c>
      <c r="N309" s="1">
        <f ca="1" t="shared" si="115"/>
        <v>2950</v>
      </c>
      <c r="O309" s="1" t="s">
        <v>604</v>
      </c>
      <c r="P309" s="1">
        <f ca="1" t="shared" si="123"/>
        <v>3687.5</v>
      </c>
      <c r="Q309" s="1">
        <f ca="1" t="shared" si="124"/>
        <v>3687.5</v>
      </c>
      <c r="R309" s="1" t="s">
        <v>605</v>
      </c>
    </row>
    <row r="310" s="15" customFormat="1" spans="2:18">
      <c r="B310" s="15" t="s">
        <v>641</v>
      </c>
      <c r="C310" s="15" t="s">
        <v>614</v>
      </c>
      <c r="D310" s="164">
        <f ca="1">控制台!F1574</f>
        <v>35</v>
      </c>
      <c r="E310" s="169">
        <f ca="1" t="shared" si="146"/>
        <v>42000</v>
      </c>
      <c r="F310" s="64">
        <f ca="1" t="shared" si="147"/>
        <v>84000</v>
      </c>
      <c r="G310" s="15">
        <f ca="1" t="shared" si="148"/>
        <v>84</v>
      </c>
      <c r="H310" s="15">
        <f ca="1" t="shared" si="149"/>
        <v>84</v>
      </c>
      <c r="I310" s="15" t="str">
        <f t="shared" si="118"/>
        <v>1M资源</v>
      </c>
      <c r="J310" s="15">
        <f ca="1" t="shared" si="150"/>
        <v>35000</v>
      </c>
      <c r="K310" s="15">
        <f ca="1" t="shared" si="151"/>
        <v>35000</v>
      </c>
      <c r="L310" s="15" t="s">
        <v>603</v>
      </c>
      <c r="M310" s="15">
        <f ca="1" t="shared" si="114"/>
        <v>14000</v>
      </c>
      <c r="N310" s="15">
        <f ca="1" t="shared" si="115"/>
        <v>14000</v>
      </c>
      <c r="O310" s="15" t="s">
        <v>604</v>
      </c>
      <c r="P310" s="15">
        <f ca="1" t="shared" si="123"/>
        <v>17500</v>
      </c>
      <c r="Q310" s="15">
        <f ca="1" t="shared" si="124"/>
        <v>17500</v>
      </c>
      <c r="R310" s="15" t="s">
        <v>605</v>
      </c>
    </row>
    <row r="311" s="15" customFormat="1" spans="2:18">
      <c r="B311" s="15" t="s">
        <v>642</v>
      </c>
      <c r="C311" s="15" t="s">
        <v>614</v>
      </c>
      <c r="D311" s="164">
        <f ca="1">控制台!F1575</f>
        <v>35</v>
      </c>
      <c r="E311" s="169">
        <f ca="1" t="shared" si="146"/>
        <v>42000</v>
      </c>
      <c r="F311" s="64">
        <f ca="1" t="shared" si="147"/>
        <v>84000</v>
      </c>
      <c r="G311" s="15">
        <f ca="1" t="shared" si="148"/>
        <v>84</v>
      </c>
      <c r="H311" s="15">
        <f ca="1" t="shared" si="149"/>
        <v>84</v>
      </c>
      <c r="I311" s="15" t="str">
        <f t="shared" si="118"/>
        <v>1M资源</v>
      </c>
      <c r="J311" s="15">
        <f ca="1" t="shared" si="150"/>
        <v>35000</v>
      </c>
      <c r="K311" s="15">
        <f ca="1" t="shared" si="151"/>
        <v>35000</v>
      </c>
      <c r="L311" s="15" t="s">
        <v>603</v>
      </c>
      <c r="M311" s="15">
        <f ca="1" t="shared" si="114"/>
        <v>14000</v>
      </c>
      <c r="N311" s="15">
        <f ca="1" t="shared" si="115"/>
        <v>14000</v>
      </c>
      <c r="O311" s="15" t="s">
        <v>604</v>
      </c>
      <c r="P311" s="15">
        <f ca="1" t="shared" si="123"/>
        <v>17500</v>
      </c>
      <c r="Q311" s="15">
        <f ca="1" t="shared" si="124"/>
        <v>17500</v>
      </c>
      <c r="R311" s="15" t="s">
        <v>605</v>
      </c>
    </row>
    <row r="312" s="15" customFormat="1" spans="2:18">
      <c r="B312" s="15" t="s">
        <v>643</v>
      </c>
      <c r="C312" s="15" t="s">
        <v>614</v>
      </c>
      <c r="D312" s="164">
        <f ca="1">控制台!F1576</f>
        <v>35</v>
      </c>
      <c r="E312" s="169">
        <f ca="1" t="shared" si="146"/>
        <v>42000</v>
      </c>
      <c r="F312" s="64">
        <f ca="1" t="shared" si="147"/>
        <v>84000</v>
      </c>
      <c r="G312" s="15">
        <f ca="1" t="shared" si="148"/>
        <v>84</v>
      </c>
      <c r="H312" s="15">
        <f ca="1" t="shared" si="149"/>
        <v>84</v>
      </c>
      <c r="I312" s="15" t="str">
        <f t="shared" si="118"/>
        <v>1M资源</v>
      </c>
      <c r="J312" s="15">
        <f ca="1" t="shared" si="150"/>
        <v>35000</v>
      </c>
      <c r="K312" s="15">
        <f ca="1" t="shared" si="151"/>
        <v>35000</v>
      </c>
      <c r="L312" s="15" t="s">
        <v>603</v>
      </c>
      <c r="M312" s="15">
        <f ca="1" t="shared" si="114"/>
        <v>14000</v>
      </c>
      <c r="N312" s="15">
        <f ca="1" t="shared" si="115"/>
        <v>14000</v>
      </c>
      <c r="O312" s="15" t="s">
        <v>604</v>
      </c>
      <c r="P312" s="15">
        <f ca="1" t="shared" si="123"/>
        <v>17500</v>
      </c>
      <c r="Q312" s="15">
        <f ca="1" t="shared" si="124"/>
        <v>17500</v>
      </c>
      <c r="R312" s="15" t="s">
        <v>605</v>
      </c>
    </row>
    <row r="313" s="15" customFormat="1" spans="2:18">
      <c r="B313" s="15" t="s">
        <v>644</v>
      </c>
      <c r="C313" s="15" t="s">
        <v>614</v>
      </c>
      <c r="D313" s="164">
        <f ca="1">控制台!F1577</f>
        <v>35</v>
      </c>
      <c r="E313" s="169">
        <f ca="1" t="shared" si="146"/>
        <v>42000</v>
      </c>
      <c r="F313" s="64">
        <f ca="1" t="shared" si="147"/>
        <v>84000</v>
      </c>
      <c r="G313" s="15">
        <f ca="1" t="shared" si="148"/>
        <v>84</v>
      </c>
      <c r="H313" s="15">
        <f ca="1" t="shared" si="149"/>
        <v>84</v>
      </c>
      <c r="I313" s="15" t="str">
        <f t="shared" si="118"/>
        <v>1M资源</v>
      </c>
      <c r="J313" s="15">
        <f ca="1" t="shared" si="150"/>
        <v>35000</v>
      </c>
      <c r="K313" s="15">
        <f ca="1" t="shared" si="151"/>
        <v>35000</v>
      </c>
      <c r="L313" s="15" t="s">
        <v>603</v>
      </c>
      <c r="M313" s="15">
        <f ca="1" t="shared" si="114"/>
        <v>14000</v>
      </c>
      <c r="N313" s="15">
        <f ca="1" t="shared" si="115"/>
        <v>14000</v>
      </c>
      <c r="O313" s="15" t="s">
        <v>604</v>
      </c>
      <c r="P313" s="15">
        <f ca="1" t="shared" si="123"/>
        <v>17500</v>
      </c>
      <c r="Q313" s="15">
        <f ca="1" t="shared" si="124"/>
        <v>17500</v>
      </c>
      <c r="R313" s="15" t="s">
        <v>605</v>
      </c>
    </row>
    <row r="314" s="15" customFormat="1" spans="2:18">
      <c r="B314" s="15" t="s">
        <v>645</v>
      </c>
      <c r="C314" s="15" t="s">
        <v>614</v>
      </c>
      <c r="D314" s="164">
        <f ca="1">控制台!F1578</f>
        <v>35</v>
      </c>
      <c r="E314" s="169">
        <f ca="1" t="shared" si="146"/>
        <v>42000</v>
      </c>
      <c r="F314" s="64">
        <f ca="1" t="shared" si="147"/>
        <v>84000</v>
      </c>
      <c r="G314" s="15">
        <f ca="1" t="shared" si="148"/>
        <v>84</v>
      </c>
      <c r="H314" s="15">
        <f ca="1" t="shared" si="149"/>
        <v>84</v>
      </c>
      <c r="I314" s="15" t="str">
        <f t="shared" si="118"/>
        <v>1M资源</v>
      </c>
      <c r="J314" s="15">
        <f ca="1" t="shared" si="150"/>
        <v>35000</v>
      </c>
      <c r="K314" s="15">
        <f ca="1" t="shared" si="151"/>
        <v>35000</v>
      </c>
      <c r="L314" s="15" t="s">
        <v>603</v>
      </c>
      <c r="M314" s="15">
        <f ca="1" t="shared" si="114"/>
        <v>14000</v>
      </c>
      <c r="N314" s="15">
        <f ca="1" t="shared" si="115"/>
        <v>14000</v>
      </c>
      <c r="O314" s="15" t="s">
        <v>604</v>
      </c>
      <c r="P314" s="15">
        <f ca="1" t="shared" si="123"/>
        <v>17500</v>
      </c>
      <c r="Q314" s="15">
        <f ca="1" t="shared" si="124"/>
        <v>17500</v>
      </c>
      <c r="R314" s="15" t="s">
        <v>605</v>
      </c>
    </row>
    <row r="315" s="15" customFormat="1" spans="2:18">
      <c r="B315" s="15" t="s">
        <v>646</v>
      </c>
      <c r="C315" s="15" t="s">
        <v>614</v>
      </c>
      <c r="D315" s="164">
        <f ca="1">控制台!F1579</f>
        <v>70</v>
      </c>
      <c r="E315" s="169">
        <f ca="1" t="shared" si="146"/>
        <v>84000</v>
      </c>
      <c r="F315" s="64">
        <f ca="1" t="shared" si="147"/>
        <v>168000</v>
      </c>
      <c r="G315" s="15">
        <f ca="1" t="shared" si="148"/>
        <v>168</v>
      </c>
      <c r="H315" s="15">
        <f ca="1" t="shared" si="149"/>
        <v>168</v>
      </c>
      <c r="I315" s="15" t="str">
        <f t="shared" si="118"/>
        <v>1M资源</v>
      </c>
      <c r="J315" s="15">
        <f ca="1" t="shared" si="150"/>
        <v>70000</v>
      </c>
      <c r="K315" s="15">
        <f ca="1" t="shared" si="151"/>
        <v>70000</v>
      </c>
      <c r="L315" s="15" t="s">
        <v>603</v>
      </c>
      <c r="M315" s="15">
        <f ca="1" t="shared" si="114"/>
        <v>28000</v>
      </c>
      <c r="N315" s="15">
        <f ca="1" t="shared" si="115"/>
        <v>28000</v>
      </c>
      <c r="O315" s="15" t="s">
        <v>604</v>
      </c>
      <c r="P315" s="15">
        <f ca="1" t="shared" si="123"/>
        <v>35000</v>
      </c>
      <c r="Q315" s="15">
        <f ca="1" t="shared" si="124"/>
        <v>35000</v>
      </c>
      <c r="R315" s="15" t="s">
        <v>605</v>
      </c>
    </row>
    <row r="316" s="15" customFormat="1" spans="2:18">
      <c r="B316" s="15" t="s">
        <v>647</v>
      </c>
      <c r="C316" s="15" t="s">
        <v>614</v>
      </c>
      <c r="D316" s="164">
        <f ca="1">控制台!F1580</f>
        <v>70</v>
      </c>
      <c r="E316" s="169">
        <f ca="1" t="shared" si="146"/>
        <v>84000</v>
      </c>
      <c r="F316" s="64">
        <f ca="1" t="shared" si="147"/>
        <v>168000</v>
      </c>
      <c r="G316" s="15">
        <f ca="1" t="shared" si="148"/>
        <v>168</v>
      </c>
      <c r="H316" s="15">
        <f ca="1" t="shared" si="149"/>
        <v>168</v>
      </c>
      <c r="I316" s="15" t="str">
        <f t="shared" si="118"/>
        <v>1M资源</v>
      </c>
      <c r="J316" s="15">
        <f ca="1" t="shared" si="150"/>
        <v>70000</v>
      </c>
      <c r="K316" s="15">
        <f ca="1" t="shared" si="151"/>
        <v>70000</v>
      </c>
      <c r="L316" s="15" t="s">
        <v>603</v>
      </c>
      <c r="M316" s="15">
        <f ca="1" t="shared" si="114"/>
        <v>28000</v>
      </c>
      <c r="N316" s="15">
        <f ca="1" t="shared" si="115"/>
        <v>28000</v>
      </c>
      <c r="O316" s="15" t="s">
        <v>604</v>
      </c>
      <c r="P316" s="15">
        <f ca="1" t="shared" si="123"/>
        <v>35000</v>
      </c>
      <c r="Q316" s="15">
        <f ca="1" t="shared" si="124"/>
        <v>35000</v>
      </c>
      <c r="R316" s="15" t="s">
        <v>605</v>
      </c>
    </row>
    <row r="317" s="15" customFormat="1" spans="2:18">
      <c r="B317" s="15" t="s">
        <v>648</v>
      </c>
      <c r="C317" s="15" t="s">
        <v>614</v>
      </c>
      <c r="D317" s="164">
        <f ca="1">控制台!F1581</f>
        <v>70</v>
      </c>
      <c r="E317" s="169">
        <f ca="1" t="shared" si="146"/>
        <v>84000</v>
      </c>
      <c r="F317" s="64">
        <f ca="1" t="shared" si="147"/>
        <v>168000</v>
      </c>
      <c r="G317" s="15">
        <f ca="1" t="shared" si="148"/>
        <v>168</v>
      </c>
      <c r="H317" s="15">
        <f ca="1" t="shared" si="149"/>
        <v>168</v>
      </c>
      <c r="I317" s="15" t="str">
        <f t="shared" si="118"/>
        <v>1M资源</v>
      </c>
      <c r="J317" s="15">
        <f ca="1" t="shared" si="150"/>
        <v>70000</v>
      </c>
      <c r="K317" s="15">
        <f ca="1" t="shared" si="151"/>
        <v>70000</v>
      </c>
      <c r="L317" s="15" t="s">
        <v>603</v>
      </c>
      <c r="M317" s="15">
        <f ca="1" t="shared" si="114"/>
        <v>28000</v>
      </c>
      <c r="N317" s="15">
        <f ca="1" t="shared" si="115"/>
        <v>28000</v>
      </c>
      <c r="O317" s="15" t="s">
        <v>604</v>
      </c>
      <c r="P317" s="15">
        <f ca="1" t="shared" si="123"/>
        <v>35000</v>
      </c>
      <c r="Q317" s="15">
        <f ca="1" t="shared" si="124"/>
        <v>35000</v>
      </c>
      <c r="R317" s="15" t="s">
        <v>605</v>
      </c>
    </row>
    <row r="318" s="15" customFormat="1" spans="2:18">
      <c r="B318" s="15" t="s">
        <v>649</v>
      </c>
      <c r="C318" s="15" t="s">
        <v>614</v>
      </c>
      <c r="D318" s="164">
        <f ca="1">控制台!F1582</f>
        <v>70</v>
      </c>
      <c r="E318" s="169">
        <f ca="1" t="shared" si="146"/>
        <v>84000</v>
      </c>
      <c r="F318" s="64">
        <f ca="1" t="shared" si="147"/>
        <v>168000</v>
      </c>
      <c r="G318" s="15">
        <f ca="1" t="shared" si="148"/>
        <v>168</v>
      </c>
      <c r="H318" s="15">
        <f ca="1" t="shared" si="149"/>
        <v>168</v>
      </c>
      <c r="I318" s="15" t="str">
        <f t="shared" si="118"/>
        <v>1M资源</v>
      </c>
      <c r="J318" s="15">
        <f ca="1" t="shared" si="150"/>
        <v>70000</v>
      </c>
      <c r="K318" s="15">
        <f ca="1" t="shared" si="151"/>
        <v>70000</v>
      </c>
      <c r="L318" s="15" t="s">
        <v>603</v>
      </c>
      <c r="M318" s="15">
        <f ca="1" t="shared" si="114"/>
        <v>28000</v>
      </c>
      <c r="N318" s="15">
        <f ca="1" t="shared" si="115"/>
        <v>28000</v>
      </c>
      <c r="O318" s="15" t="s">
        <v>604</v>
      </c>
      <c r="P318" s="15">
        <f ca="1" t="shared" si="123"/>
        <v>35000</v>
      </c>
      <c r="Q318" s="15">
        <f ca="1" t="shared" si="124"/>
        <v>35000</v>
      </c>
      <c r="R318" s="15" t="s">
        <v>605</v>
      </c>
    </row>
    <row r="319" s="15" customFormat="1" spans="2:18">
      <c r="B319" s="15" t="s">
        <v>650</v>
      </c>
      <c r="C319" s="15" t="s">
        <v>614</v>
      </c>
      <c r="D319" s="164">
        <f ca="1">控制台!F1583</f>
        <v>17.5</v>
      </c>
      <c r="E319" s="169">
        <f ca="1" t="shared" si="146"/>
        <v>21000</v>
      </c>
      <c r="F319" s="64">
        <f ca="1" t="shared" si="147"/>
        <v>42000</v>
      </c>
      <c r="G319" s="15">
        <f ca="1" t="shared" si="148"/>
        <v>42</v>
      </c>
      <c r="H319" s="15">
        <f ca="1" t="shared" si="149"/>
        <v>42</v>
      </c>
      <c r="I319" s="15" t="str">
        <f t="shared" si="118"/>
        <v>1M资源</v>
      </c>
      <c r="J319" s="15">
        <f ca="1" t="shared" si="150"/>
        <v>17500</v>
      </c>
      <c r="K319" s="15">
        <f ca="1" t="shared" si="151"/>
        <v>17500</v>
      </c>
      <c r="L319" s="15" t="s">
        <v>603</v>
      </c>
      <c r="M319" s="15">
        <f ca="1" t="shared" si="114"/>
        <v>7000</v>
      </c>
      <c r="N319" s="15">
        <f ca="1" t="shared" si="115"/>
        <v>7000</v>
      </c>
      <c r="O319" s="15" t="s">
        <v>604</v>
      </c>
      <c r="P319" s="15">
        <f ca="1" t="shared" si="123"/>
        <v>8750</v>
      </c>
      <c r="Q319" s="15">
        <f ca="1" t="shared" si="124"/>
        <v>8750</v>
      </c>
      <c r="R319" s="15" t="s">
        <v>605</v>
      </c>
    </row>
    <row r="320" spans="2:18">
      <c r="B320" s="1" t="s">
        <v>651</v>
      </c>
      <c r="C320" s="1" t="s">
        <v>614</v>
      </c>
      <c r="D320" s="21">
        <f ca="1">控制台!F1584</f>
        <v>0.9125</v>
      </c>
      <c r="E320" s="168">
        <f ca="1" t="shared" ref="E320:E334" si="152">D320*$D$249/$D$254</f>
        <v>1095</v>
      </c>
      <c r="F320" s="8">
        <f ca="1" t="shared" ref="F320:F334" si="153">D320*$D$249/$D$255</f>
        <v>2190</v>
      </c>
      <c r="G320" s="1">
        <f ca="1" t="shared" ref="G320:G334" si="154">E320/$E$260</f>
        <v>2.19</v>
      </c>
      <c r="H320" s="1">
        <f ca="1" t="shared" ref="H320:H334" si="155">F320/$F$260</f>
        <v>2.19</v>
      </c>
      <c r="I320" s="1" t="str">
        <f t="shared" si="118"/>
        <v>1M资源</v>
      </c>
      <c r="J320" s="1">
        <f ca="1" t="shared" ref="J320:J334" si="156">E320/$E$288*1000</f>
        <v>912.5</v>
      </c>
      <c r="K320" s="1">
        <f ca="1" t="shared" ref="K320:K334" si="157">F320/$F$288*1000</f>
        <v>912.5</v>
      </c>
      <c r="L320" s="1" t="s">
        <v>603</v>
      </c>
      <c r="M320" s="1">
        <f ca="1" t="shared" ref="M320:M335" si="158">E320/$E$335*1000</f>
        <v>365</v>
      </c>
      <c r="N320" s="1">
        <f ca="1" t="shared" ref="N320:N335" si="159">F320/$F$335*1000</f>
        <v>365</v>
      </c>
      <c r="O320" s="1" t="s">
        <v>604</v>
      </c>
      <c r="P320" s="1">
        <f ca="1" t="shared" ref="P320:P334" si="160">E320/$E$289*1000</f>
        <v>456.25</v>
      </c>
      <c r="Q320" s="1">
        <f ca="1" t="shared" ref="Q320:Q334" si="161">F320/$F$289*1000</f>
        <v>456.25</v>
      </c>
      <c r="R320" s="1" t="s">
        <v>605</v>
      </c>
    </row>
    <row r="321" spans="2:18">
      <c r="B321" s="1" t="s">
        <v>652</v>
      </c>
      <c r="C321" s="1" t="s">
        <v>614</v>
      </c>
      <c r="D321" s="21">
        <f ca="1">控制台!F1585</f>
        <v>0.9125</v>
      </c>
      <c r="E321" s="168">
        <f ca="1" t="shared" si="152"/>
        <v>1095</v>
      </c>
      <c r="F321" s="8">
        <f ca="1" t="shared" si="153"/>
        <v>2190</v>
      </c>
      <c r="G321" s="1">
        <f ca="1" t="shared" si="154"/>
        <v>2.19</v>
      </c>
      <c r="H321" s="1">
        <f ca="1" t="shared" si="155"/>
        <v>2.19</v>
      </c>
      <c r="I321" s="1" t="str">
        <f t="shared" si="118"/>
        <v>1M资源</v>
      </c>
      <c r="J321" s="1">
        <f ca="1" t="shared" si="156"/>
        <v>912.5</v>
      </c>
      <c r="K321" s="1">
        <f ca="1" t="shared" si="157"/>
        <v>912.5</v>
      </c>
      <c r="L321" s="1" t="s">
        <v>603</v>
      </c>
      <c r="M321" s="1">
        <f ca="1" t="shared" si="158"/>
        <v>365</v>
      </c>
      <c r="N321" s="1">
        <f ca="1" t="shared" si="159"/>
        <v>365</v>
      </c>
      <c r="O321" s="1" t="s">
        <v>604</v>
      </c>
      <c r="P321" s="1">
        <f ca="1" t="shared" si="160"/>
        <v>456.25</v>
      </c>
      <c r="Q321" s="1">
        <f ca="1" t="shared" si="161"/>
        <v>456.25</v>
      </c>
      <c r="R321" s="1" t="s">
        <v>605</v>
      </c>
    </row>
    <row r="322" spans="2:18">
      <c r="B322" s="1" t="s">
        <v>653</v>
      </c>
      <c r="C322" s="1" t="s">
        <v>614</v>
      </c>
      <c r="D322" s="21">
        <f ca="1">控制台!F1586</f>
        <v>1.825</v>
      </c>
      <c r="E322" s="168">
        <f ca="1" t="shared" si="152"/>
        <v>2190</v>
      </c>
      <c r="F322" s="8">
        <f ca="1" t="shared" si="153"/>
        <v>4380</v>
      </c>
      <c r="G322" s="1">
        <f ca="1" t="shared" si="154"/>
        <v>4.38</v>
      </c>
      <c r="H322" s="1">
        <f ca="1" t="shared" si="155"/>
        <v>4.38</v>
      </c>
      <c r="I322" s="1" t="str">
        <f t="shared" si="118"/>
        <v>1M资源</v>
      </c>
      <c r="J322" s="1">
        <f ca="1" t="shared" si="156"/>
        <v>1825</v>
      </c>
      <c r="K322" s="1">
        <f ca="1" t="shared" si="157"/>
        <v>1825</v>
      </c>
      <c r="L322" s="1" t="s">
        <v>603</v>
      </c>
      <c r="M322" s="1">
        <f ca="1" t="shared" si="158"/>
        <v>730</v>
      </c>
      <c r="N322" s="1">
        <f ca="1" t="shared" si="159"/>
        <v>730</v>
      </c>
      <c r="O322" s="1" t="s">
        <v>604</v>
      </c>
      <c r="P322" s="1">
        <f ca="1" t="shared" si="160"/>
        <v>912.5</v>
      </c>
      <c r="Q322" s="1">
        <f ca="1" t="shared" si="161"/>
        <v>912.5</v>
      </c>
      <c r="R322" s="1" t="s">
        <v>605</v>
      </c>
    </row>
    <row r="323" spans="2:18">
      <c r="B323" s="1" t="s">
        <v>654</v>
      </c>
      <c r="C323" s="1" t="s">
        <v>614</v>
      </c>
      <c r="D323" s="21">
        <f ca="1">控制台!F1587</f>
        <v>1.825</v>
      </c>
      <c r="E323" s="168">
        <f ca="1" t="shared" si="152"/>
        <v>2190</v>
      </c>
      <c r="F323" s="8">
        <f ca="1" t="shared" si="153"/>
        <v>4380</v>
      </c>
      <c r="G323" s="1">
        <f ca="1" t="shared" si="154"/>
        <v>4.38</v>
      </c>
      <c r="H323" s="1">
        <f ca="1" t="shared" si="155"/>
        <v>4.38</v>
      </c>
      <c r="I323" s="1" t="str">
        <f t="shared" si="118"/>
        <v>1M资源</v>
      </c>
      <c r="J323" s="1">
        <f ca="1" t="shared" si="156"/>
        <v>1825</v>
      </c>
      <c r="K323" s="1">
        <f ca="1" t="shared" si="157"/>
        <v>1825</v>
      </c>
      <c r="L323" s="1" t="s">
        <v>603</v>
      </c>
      <c r="M323" s="1">
        <f ca="1" t="shared" si="158"/>
        <v>730</v>
      </c>
      <c r="N323" s="1">
        <f ca="1" t="shared" si="159"/>
        <v>730</v>
      </c>
      <c r="O323" s="1" t="s">
        <v>604</v>
      </c>
      <c r="P323" s="1">
        <f ca="1" t="shared" si="160"/>
        <v>912.5</v>
      </c>
      <c r="Q323" s="1">
        <f ca="1" t="shared" si="161"/>
        <v>912.5</v>
      </c>
      <c r="R323" s="1" t="s">
        <v>605</v>
      </c>
    </row>
    <row r="324" spans="2:18">
      <c r="B324" s="1" t="s">
        <v>655</v>
      </c>
      <c r="C324" s="1" t="s">
        <v>614</v>
      </c>
      <c r="D324" s="21">
        <f ca="1">控制台!F1588</f>
        <v>0.45625</v>
      </c>
      <c r="E324" s="168">
        <f ca="1" t="shared" si="152"/>
        <v>547.5</v>
      </c>
      <c r="F324" s="8">
        <f ca="1" t="shared" si="153"/>
        <v>1095</v>
      </c>
      <c r="G324" s="1">
        <f ca="1" t="shared" si="154"/>
        <v>1.095</v>
      </c>
      <c r="H324" s="1">
        <f ca="1" t="shared" si="155"/>
        <v>1.095</v>
      </c>
      <c r="I324" s="1" t="str">
        <f t="shared" si="118"/>
        <v>1M资源</v>
      </c>
      <c r="J324" s="1">
        <f ca="1" t="shared" si="156"/>
        <v>456.25</v>
      </c>
      <c r="K324" s="1">
        <f ca="1" t="shared" si="157"/>
        <v>456.25</v>
      </c>
      <c r="L324" s="1" t="s">
        <v>603</v>
      </c>
      <c r="M324" s="1">
        <f ca="1" t="shared" si="158"/>
        <v>182.5</v>
      </c>
      <c r="N324" s="1">
        <f ca="1" t="shared" si="159"/>
        <v>182.5</v>
      </c>
      <c r="O324" s="1" t="s">
        <v>604</v>
      </c>
      <c r="P324" s="1">
        <f ca="1" t="shared" si="160"/>
        <v>228.125</v>
      </c>
      <c r="Q324" s="1">
        <f ca="1" t="shared" si="161"/>
        <v>228.125</v>
      </c>
      <c r="R324" s="1" t="s">
        <v>605</v>
      </c>
    </row>
    <row r="325" s="15" customFormat="1" spans="2:18">
      <c r="B325" s="15" t="s">
        <v>656</v>
      </c>
      <c r="C325" s="15" t="s">
        <v>614</v>
      </c>
      <c r="D325" s="164">
        <f ca="1">控制台!F1589</f>
        <v>14.75</v>
      </c>
      <c r="E325" s="169">
        <f ca="1" t="shared" si="152"/>
        <v>17700</v>
      </c>
      <c r="F325" s="64">
        <f ca="1" t="shared" si="153"/>
        <v>35400</v>
      </c>
      <c r="G325" s="15">
        <f ca="1" t="shared" si="154"/>
        <v>35.4</v>
      </c>
      <c r="H325" s="15">
        <f ca="1" t="shared" si="155"/>
        <v>35.4</v>
      </c>
      <c r="I325" s="15" t="str">
        <f t="shared" si="118"/>
        <v>1M资源</v>
      </c>
      <c r="J325" s="15">
        <f ca="1" t="shared" si="156"/>
        <v>14750</v>
      </c>
      <c r="K325" s="15">
        <f ca="1" t="shared" si="157"/>
        <v>14750</v>
      </c>
      <c r="L325" s="15" t="s">
        <v>603</v>
      </c>
      <c r="M325" s="15">
        <f ca="1" t="shared" si="158"/>
        <v>5900</v>
      </c>
      <c r="N325" s="15">
        <f ca="1" t="shared" si="159"/>
        <v>5900</v>
      </c>
      <c r="O325" s="15" t="s">
        <v>604</v>
      </c>
      <c r="P325" s="15">
        <f ca="1" t="shared" si="160"/>
        <v>7375</v>
      </c>
      <c r="Q325" s="15">
        <f ca="1" t="shared" si="161"/>
        <v>7375</v>
      </c>
      <c r="R325" s="15" t="s">
        <v>605</v>
      </c>
    </row>
    <row r="326" s="15" customFormat="1" spans="2:18">
      <c r="B326" s="15" t="s">
        <v>657</v>
      </c>
      <c r="C326" s="15" t="s">
        <v>614</v>
      </c>
      <c r="D326" s="164">
        <f ca="1">控制台!F1590</f>
        <v>14.75</v>
      </c>
      <c r="E326" s="169">
        <f ca="1" t="shared" si="152"/>
        <v>17700</v>
      </c>
      <c r="F326" s="64">
        <f ca="1" t="shared" si="153"/>
        <v>35400</v>
      </c>
      <c r="G326" s="15">
        <f ca="1" t="shared" si="154"/>
        <v>35.4</v>
      </c>
      <c r="H326" s="15">
        <f ca="1" t="shared" si="155"/>
        <v>35.4</v>
      </c>
      <c r="I326" s="15" t="str">
        <f t="shared" si="118"/>
        <v>1M资源</v>
      </c>
      <c r="J326" s="15">
        <f ca="1" t="shared" si="156"/>
        <v>14750</v>
      </c>
      <c r="K326" s="15">
        <f ca="1" t="shared" si="157"/>
        <v>14750</v>
      </c>
      <c r="L326" s="15" t="s">
        <v>603</v>
      </c>
      <c r="M326" s="15">
        <f ca="1" t="shared" si="158"/>
        <v>5900</v>
      </c>
      <c r="N326" s="15">
        <f ca="1" t="shared" si="159"/>
        <v>5900</v>
      </c>
      <c r="O326" s="15" t="s">
        <v>604</v>
      </c>
      <c r="P326" s="15">
        <f ca="1" t="shared" si="160"/>
        <v>7375</v>
      </c>
      <c r="Q326" s="15">
        <f ca="1" t="shared" si="161"/>
        <v>7375</v>
      </c>
      <c r="R326" s="15" t="s">
        <v>605</v>
      </c>
    </row>
    <row r="327" s="15" customFormat="1" spans="2:18">
      <c r="B327" s="15" t="s">
        <v>658</v>
      </c>
      <c r="C327" s="15" t="s">
        <v>614</v>
      </c>
      <c r="D327" s="164">
        <f ca="1">控制台!F1591</f>
        <v>29.5</v>
      </c>
      <c r="E327" s="169">
        <f ca="1" t="shared" si="152"/>
        <v>35400</v>
      </c>
      <c r="F327" s="64">
        <f ca="1" t="shared" si="153"/>
        <v>70800</v>
      </c>
      <c r="G327" s="15">
        <f ca="1" t="shared" si="154"/>
        <v>70.8</v>
      </c>
      <c r="H327" s="15">
        <f ca="1" t="shared" si="155"/>
        <v>70.8</v>
      </c>
      <c r="I327" s="15" t="str">
        <f t="shared" si="118"/>
        <v>1M资源</v>
      </c>
      <c r="J327" s="15">
        <f ca="1" t="shared" si="156"/>
        <v>29500</v>
      </c>
      <c r="K327" s="15">
        <f ca="1" t="shared" si="157"/>
        <v>29500</v>
      </c>
      <c r="L327" s="15" t="s">
        <v>603</v>
      </c>
      <c r="M327" s="15">
        <f ca="1" t="shared" si="158"/>
        <v>11800</v>
      </c>
      <c r="N327" s="15">
        <f ca="1" t="shared" si="159"/>
        <v>11800</v>
      </c>
      <c r="O327" s="15" t="s">
        <v>604</v>
      </c>
      <c r="P327" s="15">
        <f ca="1" t="shared" si="160"/>
        <v>14750</v>
      </c>
      <c r="Q327" s="15">
        <f ca="1" t="shared" si="161"/>
        <v>14750</v>
      </c>
      <c r="R327" s="15" t="s">
        <v>605</v>
      </c>
    </row>
    <row r="328" s="15" customFormat="1" spans="2:18">
      <c r="B328" s="15" t="s">
        <v>659</v>
      </c>
      <c r="C328" s="15" t="s">
        <v>614</v>
      </c>
      <c r="D328" s="164">
        <f ca="1">控制台!F1592</f>
        <v>29.5</v>
      </c>
      <c r="E328" s="169">
        <f ca="1" t="shared" si="152"/>
        <v>35400</v>
      </c>
      <c r="F328" s="64">
        <f ca="1" t="shared" si="153"/>
        <v>70800</v>
      </c>
      <c r="G328" s="15">
        <f ca="1" t="shared" si="154"/>
        <v>70.8</v>
      </c>
      <c r="H328" s="15">
        <f ca="1" t="shared" si="155"/>
        <v>70.8</v>
      </c>
      <c r="I328" s="15" t="str">
        <f t="shared" si="118"/>
        <v>1M资源</v>
      </c>
      <c r="J328" s="15">
        <f ca="1" t="shared" si="156"/>
        <v>29500</v>
      </c>
      <c r="K328" s="15">
        <f ca="1" t="shared" si="157"/>
        <v>29500</v>
      </c>
      <c r="L328" s="15" t="s">
        <v>603</v>
      </c>
      <c r="M328" s="15">
        <f ca="1" t="shared" si="158"/>
        <v>11800</v>
      </c>
      <c r="N328" s="15">
        <f ca="1" t="shared" si="159"/>
        <v>11800</v>
      </c>
      <c r="O328" s="15" t="s">
        <v>604</v>
      </c>
      <c r="P328" s="15">
        <f ca="1" t="shared" si="160"/>
        <v>14750</v>
      </c>
      <c r="Q328" s="15">
        <f ca="1" t="shared" si="161"/>
        <v>14750</v>
      </c>
      <c r="R328" s="15" t="s">
        <v>605</v>
      </c>
    </row>
    <row r="329" s="15" customFormat="1" spans="2:18">
      <c r="B329" s="15" t="s">
        <v>660</v>
      </c>
      <c r="C329" s="15" t="s">
        <v>614</v>
      </c>
      <c r="D329" s="164">
        <f ca="1">控制台!F1593</f>
        <v>7.375</v>
      </c>
      <c r="E329" s="169">
        <f ca="1" t="shared" si="152"/>
        <v>8850</v>
      </c>
      <c r="F329" s="64">
        <f ca="1" t="shared" si="153"/>
        <v>17700</v>
      </c>
      <c r="G329" s="15">
        <f ca="1" t="shared" si="154"/>
        <v>17.7</v>
      </c>
      <c r="H329" s="15">
        <f ca="1" t="shared" si="155"/>
        <v>17.7</v>
      </c>
      <c r="I329" s="15" t="str">
        <f t="shared" si="118"/>
        <v>1M资源</v>
      </c>
      <c r="J329" s="15">
        <f ca="1" t="shared" si="156"/>
        <v>7375</v>
      </c>
      <c r="K329" s="15">
        <f ca="1" t="shared" si="157"/>
        <v>7375</v>
      </c>
      <c r="L329" s="15" t="s">
        <v>603</v>
      </c>
      <c r="M329" s="15">
        <f ca="1" t="shared" si="158"/>
        <v>2950</v>
      </c>
      <c r="N329" s="15">
        <f ca="1" t="shared" si="159"/>
        <v>2950</v>
      </c>
      <c r="O329" s="15" t="s">
        <v>604</v>
      </c>
      <c r="P329" s="15">
        <f ca="1" t="shared" si="160"/>
        <v>3687.5</v>
      </c>
      <c r="Q329" s="15">
        <f ca="1" t="shared" si="161"/>
        <v>3687.5</v>
      </c>
      <c r="R329" s="15" t="s">
        <v>605</v>
      </c>
    </row>
    <row r="330" spans="2:18">
      <c r="B330" s="1" t="s">
        <v>661</v>
      </c>
      <c r="C330" s="1" t="s">
        <v>614</v>
      </c>
      <c r="D330" s="21">
        <f ca="1">控制台!F1594</f>
        <v>14.75</v>
      </c>
      <c r="E330" s="168">
        <f ca="1" t="shared" si="152"/>
        <v>17700</v>
      </c>
      <c r="F330" s="8">
        <f ca="1" t="shared" si="153"/>
        <v>35400</v>
      </c>
      <c r="G330" s="1">
        <f ca="1" t="shared" si="154"/>
        <v>35.4</v>
      </c>
      <c r="H330" s="1">
        <f ca="1" t="shared" si="155"/>
        <v>35.4</v>
      </c>
      <c r="I330" s="1" t="str">
        <f t="shared" si="118"/>
        <v>1M资源</v>
      </c>
      <c r="J330" s="1">
        <f ca="1" t="shared" si="156"/>
        <v>14750</v>
      </c>
      <c r="K330" s="1">
        <f ca="1" t="shared" si="157"/>
        <v>14750</v>
      </c>
      <c r="L330" s="1" t="s">
        <v>603</v>
      </c>
      <c r="M330" s="1">
        <f ca="1" t="shared" si="158"/>
        <v>5900</v>
      </c>
      <c r="N330" s="1">
        <f ca="1" t="shared" si="159"/>
        <v>5900</v>
      </c>
      <c r="O330" s="1" t="s">
        <v>604</v>
      </c>
      <c r="P330" s="1">
        <f ca="1" t="shared" si="160"/>
        <v>7375</v>
      </c>
      <c r="Q330" s="1">
        <f ca="1" t="shared" si="161"/>
        <v>7375</v>
      </c>
      <c r="R330" s="1" t="s">
        <v>605</v>
      </c>
    </row>
    <row r="331" spans="2:18">
      <c r="B331" s="1" t="s">
        <v>662</v>
      </c>
      <c r="C331" s="1" t="s">
        <v>614</v>
      </c>
      <c r="D331" s="21">
        <f ca="1">控制台!F1595</f>
        <v>14.75</v>
      </c>
      <c r="E331" s="168">
        <f ca="1" t="shared" si="152"/>
        <v>17700</v>
      </c>
      <c r="F331" s="8">
        <f ca="1" t="shared" si="153"/>
        <v>35400</v>
      </c>
      <c r="G331" s="1">
        <f ca="1" t="shared" si="154"/>
        <v>35.4</v>
      </c>
      <c r="H331" s="1">
        <f ca="1" t="shared" si="155"/>
        <v>35.4</v>
      </c>
      <c r="I331" s="1" t="str">
        <f t="shared" si="118"/>
        <v>1M资源</v>
      </c>
      <c r="J331" s="1">
        <f ca="1" t="shared" si="156"/>
        <v>14750</v>
      </c>
      <c r="K331" s="1">
        <f ca="1" t="shared" si="157"/>
        <v>14750</v>
      </c>
      <c r="L331" s="1" t="s">
        <v>603</v>
      </c>
      <c r="M331" s="1">
        <f ca="1" t="shared" si="158"/>
        <v>5900</v>
      </c>
      <c r="N331" s="1">
        <f ca="1" t="shared" si="159"/>
        <v>5900</v>
      </c>
      <c r="O331" s="1" t="s">
        <v>604</v>
      </c>
      <c r="P331" s="1">
        <f ca="1" t="shared" si="160"/>
        <v>7375</v>
      </c>
      <c r="Q331" s="1">
        <f ca="1" t="shared" si="161"/>
        <v>7375</v>
      </c>
      <c r="R331" s="1" t="s">
        <v>605</v>
      </c>
    </row>
    <row r="332" spans="2:18">
      <c r="B332" s="1" t="s">
        <v>663</v>
      </c>
      <c r="C332" s="1" t="s">
        <v>614</v>
      </c>
      <c r="D332" s="21">
        <f ca="1">控制台!F1596</f>
        <v>29.5</v>
      </c>
      <c r="E332" s="168">
        <f ca="1" t="shared" si="152"/>
        <v>35400</v>
      </c>
      <c r="F332" s="8">
        <f ca="1" t="shared" si="153"/>
        <v>70800</v>
      </c>
      <c r="G332" s="1">
        <f ca="1" t="shared" si="154"/>
        <v>70.8</v>
      </c>
      <c r="H332" s="1">
        <f ca="1" t="shared" si="155"/>
        <v>70.8</v>
      </c>
      <c r="I332" s="1" t="str">
        <f t="shared" si="118"/>
        <v>1M资源</v>
      </c>
      <c r="J332" s="1">
        <f ca="1" t="shared" si="156"/>
        <v>29500</v>
      </c>
      <c r="K332" s="1">
        <f ca="1" t="shared" si="157"/>
        <v>29500</v>
      </c>
      <c r="L332" s="1" t="s">
        <v>603</v>
      </c>
      <c r="M332" s="1">
        <f ca="1" t="shared" si="158"/>
        <v>11800</v>
      </c>
      <c r="N332" s="1">
        <f ca="1" t="shared" si="159"/>
        <v>11800</v>
      </c>
      <c r="O332" s="1" t="s">
        <v>604</v>
      </c>
      <c r="P332" s="1">
        <f ca="1" t="shared" si="160"/>
        <v>14750</v>
      </c>
      <c r="Q332" s="1">
        <f ca="1" t="shared" si="161"/>
        <v>14750</v>
      </c>
      <c r="R332" s="1" t="s">
        <v>605</v>
      </c>
    </row>
    <row r="333" spans="2:18">
      <c r="B333" s="1" t="s">
        <v>664</v>
      </c>
      <c r="C333" s="1" t="s">
        <v>614</v>
      </c>
      <c r="D333" s="21">
        <f ca="1">控制台!F1597</f>
        <v>29.5</v>
      </c>
      <c r="E333" s="168">
        <f ca="1" t="shared" si="152"/>
        <v>35400</v>
      </c>
      <c r="F333" s="8">
        <f ca="1" t="shared" si="153"/>
        <v>70800</v>
      </c>
      <c r="G333" s="1">
        <f ca="1" t="shared" si="154"/>
        <v>70.8</v>
      </c>
      <c r="H333" s="1">
        <f ca="1" t="shared" si="155"/>
        <v>70.8</v>
      </c>
      <c r="I333" s="1" t="str">
        <f t="shared" si="118"/>
        <v>1M资源</v>
      </c>
      <c r="J333" s="1">
        <f ca="1" t="shared" si="156"/>
        <v>29500</v>
      </c>
      <c r="K333" s="1">
        <f ca="1" t="shared" si="157"/>
        <v>29500</v>
      </c>
      <c r="L333" s="1" t="s">
        <v>603</v>
      </c>
      <c r="M333" s="1">
        <f ca="1" t="shared" si="158"/>
        <v>11800</v>
      </c>
      <c r="N333" s="1">
        <f ca="1" t="shared" si="159"/>
        <v>11800</v>
      </c>
      <c r="O333" s="1" t="s">
        <v>604</v>
      </c>
      <c r="P333" s="1">
        <f ca="1" t="shared" si="160"/>
        <v>14750</v>
      </c>
      <c r="Q333" s="1">
        <f ca="1" t="shared" si="161"/>
        <v>14750</v>
      </c>
      <c r="R333" s="1" t="s">
        <v>605</v>
      </c>
    </row>
    <row r="334" spans="2:18">
      <c r="B334" s="1" t="s">
        <v>665</v>
      </c>
      <c r="C334" s="1" t="s">
        <v>614</v>
      </c>
      <c r="D334" s="21">
        <f ca="1">控制台!F1598</f>
        <v>7.375</v>
      </c>
      <c r="E334" s="168">
        <f ca="1" t="shared" si="152"/>
        <v>8850</v>
      </c>
      <c r="F334" s="8">
        <f ca="1" t="shared" si="153"/>
        <v>17700</v>
      </c>
      <c r="G334" s="1">
        <f ca="1" t="shared" si="154"/>
        <v>17.7</v>
      </c>
      <c r="H334" s="1">
        <f ca="1" t="shared" si="155"/>
        <v>17.7</v>
      </c>
      <c r="I334" s="1" t="str">
        <f t="shared" si="118"/>
        <v>1M资源</v>
      </c>
      <c r="J334" s="1">
        <f ca="1" t="shared" si="156"/>
        <v>7375</v>
      </c>
      <c r="K334" s="1">
        <f ca="1" t="shared" si="157"/>
        <v>7375</v>
      </c>
      <c r="L334" s="1" t="s">
        <v>603</v>
      </c>
      <c r="M334" s="1">
        <f ca="1" t="shared" si="158"/>
        <v>2950</v>
      </c>
      <c r="N334" s="1">
        <f ca="1" t="shared" si="159"/>
        <v>2950</v>
      </c>
      <c r="O334" s="1" t="s">
        <v>604</v>
      </c>
      <c r="P334" s="1">
        <f ca="1" t="shared" si="160"/>
        <v>3687.5</v>
      </c>
      <c r="Q334" s="1">
        <f ca="1" t="shared" si="161"/>
        <v>3687.5</v>
      </c>
      <c r="R334" s="1" t="s">
        <v>605</v>
      </c>
    </row>
    <row r="335" spans="2:18">
      <c r="B335" s="1" t="s">
        <v>666</v>
      </c>
      <c r="C335" s="1" t="s">
        <v>667</v>
      </c>
      <c r="D335" s="21">
        <f>控制台!$D$4033</f>
        <v>2.5</v>
      </c>
      <c r="E335" s="168">
        <f t="shared" ref="E335" si="162">D335*$D$249/$D$254</f>
        <v>3000</v>
      </c>
      <c r="F335" s="8">
        <f t="shared" ref="F335" si="163">D335*$D$249/$D$255</f>
        <v>6000</v>
      </c>
      <c r="G335" s="1">
        <f t="shared" ref="G335" si="164">E335/$E$260</f>
        <v>6</v>
      </c>
      <c r="H335" s="1">
        <f t="shared" ref="H335" si="165">F335/$F$260</f>
        <v>6</v>
      </c>
      <c r="I335" s="1" t="str">
        <f t="shared" si="118"/>
        <v>1M资源</v>
      </c>
      <c r="J335" s="1">
        <f t="shared" ref="J335" si="166">E335/$E$288*1000</f>
        <v>2500</v>
      </c>
      <c r="K335" s="1">
        <f t="shared" ref="K335" si="167">F335/$F$288*1000</f>
        <v>2500</v>
      </c>
      <c r="L335" s="1" t="s">
        <v>603</v>
      </c>
      <c r="M335" s="1">
        <f t="shared" si="158"/>
        <v>1000</v>
      </c>
      <c r="N335" s="1">
        <f t="shared" si="159"/>
        <v>1000</v>
      </c>
      <c r="O335" s="1" t="s">
        <v>604</v>
      </c>
      <c r="P335" s="1">
        <f t="shared" si="123"/>
        <v>1250</v>
      </c>
      <c r="Q335" s="1">
        <f t="shared" si="124"/>
        <v>1250</v>
      </c>
      <c r="R335" s="1" t="s">
        <v>605</v>
      </c>
    </row>
    <row r="337" spans="2:12">
      <c r="B337" s="27" t="s">
        <v>668</v>
      </c>
      <c r="C337" s="27"/>
      <c r="D337" s="27"/>
      <c r="E337" s="27"/>
      <c r="F337" s="27"/>
      <c r="G337" s="27"/>
      <c r="H337" s="27"/>
      <c r="I337" s="27"/>
      <c r="J337" s="27"/>
      <c r="K337" s="27"/>
      <c r="L337" s="27"/>
    </row>
    <row r="339" spans="2:6">
      <c r="B339" s="29" t="s">
        <v>669</v>
      </c>
      <c r="D339" s="86" t="s">
        <v>670</v>
      </c>
      <c r="F339" s="29" t="s">
        <v>671</v>
      </c>
    </row>
    <row r="340" spans="2:6">
      <c r="B340" s="1" t="s">
        <v>551</v>
      </c>
      <c r="D340" s="170">
        <v>1.2</v>
      </c>
      <c r="F340" s="1" t="s">
        <v>672</v>
      </c>
    </row>
    <row r="341" spans="2:6">
      <c r="B341" s="1" t="s">
        <v>555</v>
      </c>
      <c r="D341" s="170">
        <v>1.8</v>
      </c>
      <c r="F341" s="1" t="s">
        <v>673</v>
      </c>
    </row>
    <row r="342" spans="2:6">
      <c r="B342" s="1" t="s">
        <v>674</v>
      </c>
      <c r="D342" s="170">
        <v>3.5</v>
      </c>
      <c r="F342" s="1" t="s">
        <v>675</v>
      </c>
    </row>
    <row r="345" s="25" customFormat="1" spans="1:1">
      <c r="A345" s="2"/>
    </row>
  </sheetData>
  <conditionalFormatting sqref="C135:C15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5:K10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5:Q100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35:S15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60:S176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85:T19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5:S19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location="目录及说明!A1" display="返回目录及说明"/>
    <hyperlink ref="C13" location="总规划_000_目录" display="返回目录"/>
    <hyperlink ref="C28" location="总规划_000_目录" display="返回目录"/>
    <hyperlink ref="C70" location="总规划_000_目录" display="返回目录"/>
    <hyperlink ref="C124" location="总规划_000_目录" display="返回目录"/>
    <hyperlink ref="C180" location="总规划_000_目录" display="返回目录"/>
    <hyperlink ref="C239" location="总规划_000_目录" display="返回目录"/>
    <hyperlink ref="B5" location="总规划_101_思路" display="思路"/>
    <hyperlink ref="B6" location="总规划_102_坑位与萝卜" display="坑位与萝卜"/>
    <hyperlink ref="B7" location="总规划_103_送萝卜与卖萝卜" display="送萝卜与卖萝卜"/>
    <hyperlink ref="B8" location="总规划_104_日常投放" display="日常投放"/>
    <hyperlink ref="B9" location="总规划_105_一次性投放" display="一次性投放"/>
    <hyperlink ref="B10" location="总规划_106_黄金规划" display="黄金规划"/>
  </hyperlinks>
  <pageMargins left="0.699305555555556" right="0.699305555555556" top="0.75" bottom="0.75" header="0.3" footer="0.3"/>
  <pageSetup paperSize="9" orientation="portrait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012">
    <tabColor theme="7" tint="0.599993896298105"/>
  </sheetPr>
  <dimension ref="A1:AH159"/>
  <sheetViews>
    <sheetView zoomScale="70" zoomScaleNormal="70" workbookViewId="0">
      <selection activeCell="T6" sqref="T6"/>
    </sheetView>
  </sheetViews>
  <sheetFormatPr defaultColWidth="8.70967741935484" defaultRowHeight="13.1"/>
  <cols>
    <col min="1" max="8" width="10.6290322580645" style="1"/>
    <col min="9" max="9" width="10.6290322580645" style="1" customWidth="1"/>
    <col min="10" max="10" width="10.6290322580645" style="8" customWidth="1"/>
    <col min="11" max="13" width="10.6290322580645" style="1" customWidth="1"/>
    <col min="14" max="16384" width="10.6290322580645" style="1"/>
  </cols>
  <sheetData>
    <row r="1" spans="1:10">
      <c r="A1" s="3" t="s">
        <v>429</v>
      </c>
      <c r="J1" s="1"/>
    </row>
    <row r="2" spans="10:10">
      <c r="J2" s="1"/>
    </row>
    <row r="3" s="25" customFormat="1" spans="1:10">
      <c r="A3" s="2" t="s">
        <v>676</v>
      </c>
      <c r="J3" s="132"/>
    </row>
    <row r="5" spans="2:34">
      <c r="B5" s="1" t="s">
        <v>382</v>
      </c>
      <c r="C5" s="1" t="s">
        <v>138</v>
      </c>
      <c r="D5" s="1" t="s">
        <v>677</v>
      </c>
      <c r="E5" s="1" t="s">
        <v>678</v>
      </c>
      <c r="F5" s="1" t="s">
        <v>455</v>
      </c>
      <c r="G5" s="1" t="s">
        <v>453</v>
      </c>
      <c r="H5" s="1" t="s">
        <v>457</v>
      </c>
      <c r="I5" s="1" t="s">
        <v>463</v>
      </c>
      <c r="J5" s="1" t="s">
        <v>679</v>
      </c>
      <c r="K5" s="1" t="s">
        <v>465</v>
      </c>
      <c r="L5" s="1" t="s">
        <v>62</v>
      </c>
      <c r="M5" s="1" t="s">
        <v>471</v>
      </c>
      <c r="N5" s="1" t="s">
        <v>680</v>
      </c>
      <c r="O5" s="1" t="s">
        <v>681</v>
      </c>
      <c r="P5" s="1" t="s">
        <v>682</v>
      </c>
      <c r="Q5" s="1" t="s">
        <v>683</v>
      </c>
      <c r="S5" s="133" t="s">
        <v>382</v>
      </c>
      <c r="T5" s="133" t="s">
        <v>138</v>
      </c>
      <c r="U5" s="133" t="s">
        <v>677</v>
      </c>
      <c r="V5" s="133" t="s">
        <v>678</v>
      </c>
      <c r="W5" s="133" t="s">
        <v>455</v>
      </c>
      <c r="X5" s="133" t="s">
        <v>453</v>
      </c>
      <c r="Y5" s="133" t="s">
        <v>457</v>
      </c>
      <c r="Z5" s="133" t="s">
        <v>463</v>
      </c>
      <c r="AA5" s="133" t="s">
        <v>679</v>
      </c>
      <c r="AB5" s="133" t="s">
        <v>465</v>
      </c>
      <c r="AC5" s="133" t="s">
        <v>62</v>
      </c>
      <c r="AD5" s="133" t="s">
        <v>471</v>
      </c>
      <c r="AE5" s="133" t="s">
        <v>680</v>
      </c>
      <c r="AF5" s="133" t="s">
        <v>681</v>
      </c>
      <c r="AG5" s="133" t="s">
        <v>682</v>
      </c>
      <c r="AH5" s="133" t="s">
        <v>683</v>
      </c>
    </row>
    <row r="6" spans="2:34">
      <c r="B6" s="7">
        <v>0</v>
      </c>
      <c r="C6" s="30">
        <v>0</v>
      </c>
      <c r="D6" s="30">
        <v>0</v>
      </c>
      <c r="E6" s="30">
        <v>1</v>
      </c>
      <c r="F6" s="30">
        <v>0</v>
      </c>
      <c r="G6" s="30">
        <v>0</v>
      </c>
      <c r="H6" s="30">
        <v>0</v>
      </c>
      <c r="I6" s="30" t="s">
        <v>684</v>
      </c>
      <c r="J6" s="30">
        <v>0</v>
      </c>
      <c r="K6" s="30">
        <v>0</v>
      </c>
      <c r="L6" s="30">
        <v>0</v>
      </c>
      <c r="M6" s="30">
        <v>0</v>
      </c>
      <c r="N6" s="30">
        <v>0</v>
      </c>
      <c r="O6" s="30">
        <v>0</v>
      </c>
      <c r="P6" s="30">
        <v>0</v>
      </c>
      <c r="Q6" s="30">
        <v>0</v>
      </c>
      <c r="S6" s="134">
        <v>0</v>
      </c>
      <c r="T6" s="133">
        <f ca="1" t="shared" ref="T6:T37" si="0">IF(C6="",INDIRECT(ADDRESS(ROW()-1,COLUMN())),C6)</f>
        <v>0</v>
      </c>
      <c r="U6" s="133">
        <f ca="1" t="shared" ref="U6:U37" si="1">IF(D6="",INDIRECT(ADDRESS(ROW()-1,COLUMN())),D6)</f>
        <v>0</v>
      </c>
      <c r="V6" s="133">
        <f ca="1" t="shared" ref="V6:V37" si="2">IF(E6="",INDIRECT(ADDRESS(ROW()-1,COLUMN())),E6)</f>
        <v>1</v>
      </c>
      <c r="W6" s="133">
        <f ca="1" t="shared" ref="W6:W37" si="3">IF(F6="",INDIRECT(ADDRESS(ROW()-1,COLUMN())),F6)</f>
        <v>0</v>
      </c>
      <c r="X6" s="133">
        <f ca="1" t="shared" ref="X6:X37" si="4">IF(G6="",INDIRECT(ADDRESS(ROW()-1,COLUMN())),G6)</f>
        <v>0</v>
      </c>
      <c r="Y6" s="133">
        <f ca="1" t="shared" ref="Y6:Y37" si="5">IF(H6="",INDIRECT(ADDRESS(ROW()-1,COLUMN())),H6)</f>
        <v>0</v>
      </c>
      <c r="Z6" s="133" t="str">
        <f ca="1" t="shared" ref="Z6:Z37" si="6">IF(I6="",INDIRECT(ADDRESS(ROW()-1,COLUMN())),I6)</f>
        <v>无</v>
      </c>
      <c r="AA6" s="133">
        <f ca="1" t="shared" ref="AA6:AA37" si="7">IF(J6="",INDIRECT(ADDRESS(ROW()-1,COLUMN())),J6)</f>
        <v>0</v>
      </c>
      <c r="AB6" s="133">
        <f ca="1" t="shared" ref="AB6:AB37" si="8">IF(K6="",INDIRECT(ADDRESS(ROW()-1,COLUMN())),K6)</f>
        <v>0</v>
      </c>
      <c r="AC6" s="133">
        <f ca="1" t="shared" ref="AC6:AC37" si="9">IF(L6="",INDIRECT(ADDRESS(ROW()-1,COLUMN())),L6)</f>
        <v>0</v>
      </c>
      <c r="AD6" s="133">
        <f ca="1" t="shared" ref="AD6:AD37" si="10">IF(M6="",INDIRECT(ADDRESS(ROW()-1,COLUMN())),M6)</f>
        <v>0</v>
      </c>
      <c r="AE6" s="133">
        <f ca="1" t="shared" ref="AE6:AE37" si="11">IF(N6="",INDIRECT(ADDRESS(ROW()-1,COLUMN())),N6)</f>
        <v>0</v>
      </c>
      <c r="AF6" s="133">
        <f ca="1" t="shared" ref="AF6:AF37" si="12">IF(O6="",INDIRECT(ADDRESS(ROW()-1,COLUMN())),O6)</f>
        <v>0</v>
      </c>
      <c r="AG6" s="133">
        <f ca="1" t="shared" ref="AG6:AG37" si="13">IF(P6="",INDIRECT(ADDRESS(ROW()-1,COLUMN())),P6)</f>
        <v>0</v>
      </c>
      <c r="AH6" s="133">
        <f ca="1" t="shared" ref="AH6:AH37" si="14">IF(Q6="",INDIRECT(ADDRESS(ROW()-1,COLUMN())),Q6)</f>
        <v>0</v>
      </c>
    </row>
    <row r="7" spans="2:34">
      <c r="B7" s="7">
        <v>0.1</v>
      </c>
      <c r="C7" s="30">
        <v>1</v>
      </c>
      <c r="D7" s="30">
        <v>1</v>
      </c>
      <c r="E7" s="30">
        <v>2</v>
      </c>
      <c r="F7" s="30"/>
      <c r="G7" s="30">
        <v>3</v>
      </c>
      <c r="H7" s="30"/>
      <c r="I7" s="30"/>
      <c r="J7" s="30">
        <v>1</v>
      </c>
      <c r="K7" s="30"/>
      <c r="L7" s="30"/>
      <c r="M7" s="30"/>
      <c r="N7" s="30"/>
      <c r="O7" s="30"/>
      <c r="P7" s="30"/>
      <c r="Q7" s="30"/>
      <c r="S7" s="134">
        <v>0.1</v>
      </c>
      <c r="T7" s="133">
        <f ca="1" t="shared" si="0"/>
        <v>1</v>
      </c>
      <c r="U7" s="133">
        <f ca="1" t="shared" si="1"/>
        <v>1</v>
      </c>
      <c r="V7" s="133">
        <f ca="1" t="shared" si="2"/>
        <v>2</v>
      </c>
      <c r="W7" s="133">
        <f ca="1" t="shared" si="3"/>
        <v>0</v>
      </c>
      <c r="X7" s="133">
        <f ca="1" t="shared" si="4"/>
        <v>3</v>
      </c>
      <c r="Y7" s="133">
        <f ca="1" t="shared" si="5"/>
        <v>0</v>
      </c>
      <c r="Z7" s="133" t="str">
        <f ca="1" t="shared" si="6"/>
        <v>无</v>
      </c>
      <c r="AA7" s="133">
        <f ca="1" t="shared" si="7"/>
        <v>1</v>
      </c>
      <c r="AB7" s="133">
        <f ca="1" t="shared" si="8"/>
        <v>0</v>
      </c>
      <c r="AC7" s="133">
        <f ca="1" t="shared" si="9"/>
        <v>0</v>
      </c>
      <c r="AD7" s="133">
        <f ca="1" t="shared" si="10"/>
        <v>0</v>
      </c>
      <c r="AE7" s="133">
        <f ca="1" t="shared" si="11"/>
        <v>0</v>
      </c>
      <c r="AF7" s="133">
        <f ca="1" t="shared" si="12"/>
        <v>0</v>
      </c>
      <c r="AG7" s="133">
        <f ca="1" t="shared" si="13"/>
        <v>0</v>
      </c>
      <c r="AH7" s="133">
        <f ca="1" t="shared" si="14"/>
        <v>0</v>
      </c>
    </row>
    <row r="8" spans="2:34">
      <c r="B8" s="7">
        <v>0.2</v>
      </c>
      <c r="C8" s="30">
        <v>2</v>
      </c>
      <c r="D8" s="30"/>
      <c r="E8" s="30"/>
      <c r="F8" s="30">
        <v>10</v>
      </c>
      <c r="G8" s="30">
        <v>4</v>
      </c>
      <c r="H8" s="30"/>
      <c r="I8" s="30"/>
      <c r="J8" s="30">
        <v>2</v>
      </c>
      <c r="K8" s="30"/>
      <c r="L8" s="30"/>
      <c r="M8" s="30"/>
      <c r="N8" s="30"/>
      <c r="O8" s="30"/>
      <c r="P8" s="30"/>
      <c r="Q8" s="30"/>
      <c r="S8" s="134">
        <v>0.2</v>
      </c>
      <c r="T8" s="133">
        <f ca="1" t="shared" si="0"/>
        <v>2</v>
      </c>
      <c r="U8" s="133">
        <f ca="1" t="shared" si="1"/>
        <v>1</v>
      </c>
      <c r="V8" s="133">
        <f ca="1" t="shared" si="2"/>
        <v>2</v>
      </c>
      <c r="W8" s="133">
        <f ca="1" t="shared" si="3"/>
        <v>10</v>
      </c>
      <c r="X8" s="133">
        <f ca="1" t="shared" si="4"/>
        <v>4</v>
      </c>
      <c r="Y8" s="133">
        <f ca="1" t="shared" si="5"/>
        <v>0</v>
      </c>
      <c r="Z8" s="133" t="str">
        <f ca="1" t="shared" si="6"/>
        <v>无</v>
      </c>
      <c r="AA8" s="133">
        <f ca="1" t="shared" si="7"/>
        <v>2</v>
      </c>
      <c r="AB8" s="133">
        <f ca="1" t="shared" si="8"/>
        <v>0</v>
      </c>
      <c r="AC8" s="133">
        <f ca="1" t="shared" si="9"/>
        <v>0</v>
      </c>
      <c r="AD8" s="133">
        <f ca="1" t="shared" si="10"/>
        <v>0</v>
      </c>
      <c r="AE8" s="133">
        <f ca="1" t="shared" si="11"/>
        <v>0</v>
      </c>
      <c r="AF8" s="133">
        <f ca="1" t="shared" si="12"/>
        <v>0</v>
      </c>
      <c r="AG8" s="133">
        <f ca="1" t="shared" si="13"/>
        <v>0</v>
      </c>
      <c r="AH8" s="133">
        <f ca="1" t="shared" si="14"/>
        <v>0</v>
      </c>
    </row>
    <row r="9" spans="2:34">
      <c r="B9" s="7">
        <v>0.3</v>
      </c>
      <c r="C9" s="30">
        <v>3</v>
      </c>
      <c r="D9" s="30"/>
      <c r="E9" s="30"/>
      <c r="F9" s="30"/>
      <c r="G9" s="30"/>
      <c r="H9" s="30"/>
      <c r="I9" s="30"/>
      <c r="J9" s="30">
        <v>3</v>
      </c>
      <c r="K9" s="30"/>
      <c r="L9" s="30"/>
      <c r="M9" s="30"/>
      <c r="N9" s="30"/>
      <c r="O9" s="30"/>
      <c r="P9" s="30"/>
      <c r="Q9" s="30"/>
      <c r="S9" s="134">
        <v>0.3</v>
      </c>
      <c r="T9" s="133">
        <f ca="1" t="shared" si="0"/>
        <v>3</v>
      </c>
      <c r="U9" s="133">
        <f ca="1" t="shared" si="1"/>
        <v>1</v>
      </c>
      <c r="V9" s="133">
        <f ca="1" t="shared" si="2"/>
        <v>2</v>
      </c>
      <c r="W9" s="133">
        <f ca="1" t="shared" si="3"/>
        <v>10</v>
      </c>
      <c r="X9" s="133">
        <f ca="1" t="shared" si="4"/>
        <v>4</v>
      </c>
      <c r="Y9" s="133">
        <f ca="1" t="shared" si="5"/>
        <v>0</v>
      </c>
      <c r="Z9" s="133" t="str">
        <f ca="1" t="shared" si="6"/>
        <v>无</v>
      </c>
      <c r="AA9" s="133">
        <f ca="1" t="shared" si="7"/>
        <v>3</v>
      </c>
      <c r="AB9" s="133">
        <f ca="1" t="shared" si="8"/>
        <v>0</v>
      </c>
      <c r="AC9" s="133">
        <f ca="1" t="shared" si="9"/>
        <v>0</v>
      </c>
      <c r="AD9" s="133">
        <f ca="1" t="shared" si="10"/>
        <v>0</v>
      </c>
      <c r="AE9" s="133">
        <f ca="1" t="shared" si="11"/>
        <v>0</v>
      </c>
      <c r="AF9" s="133">
        <f ca="1" t="shared" si="12"/>
        <v>0</v>
      </c>
      <c r="AG9" s="133">
        <f ca="1" t="shared" si="13"/>
        <v>0</v>
      </c>
      <c r="AH9" s="133">
        <f ca="1" t="shared" si="14"/>
        <v>0</v>
      </c>
    </row>
    <row r="10" spans="2:34">
      <c r="B10" s="7">
        <v>0.4</v>
      </c>
      <c r="C10" s="30">
        <v>4</v>
      </c>
      <c r="D10" s="30"/>
      <c r="E10" s="30">
        <v>3</v>
      </c>
      <c r="F10" s="30"/>
      <c r="G10" s="30">
        <v>4.1</v>
      </c>
      <c r="H10" s="30"/>
      <c r="I10" s="30"/>
      <c r="J10" s="30">
        <v>4</v>
      </c>
      <c r="K10" s="30"/>
      <c r="L10" s="30"/>
      <c r="M10" s="30"/>
      <c r="N10" s="30"/>
      <c r="O10" s="30"/>
      <c r="P10" s="30"/>
      <c r="Q10" s="30"/>
      <c r="S10" s="134">
        <v>0.4</v>
      </c>
      <c r="T10" s="133">
        <f ca="1" t="shared" si="0"/>
        <v>4</v>
      </c>
      <c r="U10" s="133">
        <f ca="1" t="shared" si="1"/>
        <v>1</v>
      </c>
      <c r="V10" s="133">
        <f ca="1" t="shared" si="2"/>
        <v>3</v>
      </c>
      <c r="W10" s="133">
        <f ca="1" t="shared" si="3"/>
        <v>10</v>
      </c>
      <c r="X10" s="133">
        <f ca="1" t="shared" si="4"/>
        <v>4.1</v>
      </c>
      <c r="Y10" s="133">
        <f ca="1" t="shared" si="5"/>
        <v>0</v>
      </c>
      <c r="Z10" s="133" t="str">
        <f ca="1" t="shared" si="6"/>
        <v>无</v>
      </c>
      <c r="AA10" s="133">
        <f ca="1" t="shared" si="7"/>
        <v>4</v>
      </c>
      <c r="AB10" s="133">
        <f ca="1" t="shared" si="8"/>
        <v>0</v>
      </c>
      <c r="AC10" s="133">
        <f ca="1" t="shared" si="9"/>
        <v>0</v>
      </c>
      <c r="AD10" s="133">
        <f ca="1" t="shared" si="10"/>
        <v>0</v>
      </c>
      <c r="AE10" s="133">
        <f ca="1" t="shared" si="11"/>
        <v>0</v>
      </c>
      <c r="AF10" s="133">
        <f ca="1" t="shared" si="12"/>
        <v>0</v>
      </c>
      <c r="AG10" s="133">
        <f ca="1" t="shared" si="13"/>
        <v>0</v>
      </c>
      <c r="AH10" s="133">
        <f ca="1" t="shared" si="14"/>
        <v>0</v>
      </c>
    </row>
    <row r="11" spans="2:34">
      <c r="B11" s="7">
        <v>0.5</v>
      </c>
      <c r="C11" s="30">
        <v>5</v>
      </c>
      <c r="D11" s="30"/>
      <c r="E11" s="30"/>
      <c r="F11" s="30"/>
      <c r="G11" s="30"/>
      <c r="H11" s="30">
        <v>101</v>
      </c>
      <c r="I11" s="30"/>
      <c r="J11" s="30"/>
      <c r="K11" s="30"/>
      <c r="L11" s="30"/>
      <c r="M11" s="30"/>
      <c r="N11" s="30"/>
      <c r="O11" s="30"/>
      <c r="P11" s="30"/>
      <c r="Q11" s="30"/>
      <c r="S11" s="134">
        <v>0.5</v>
      </c>
      <c r="T11" s="133">
        <f ca="1" t="shared" si="0"/>
        <v>5</v>
      </c>
      <c r="U11" s="133">
        <f ca="1" t="shared" si="1"/>
        <v>1</v>
      </c>
      <c r="V11" s="133">
        <f ca="1" t="shared" si="2"/>
        <v>3</v>
      </c>
      <c r="W11" s="133">
        <f ca="1" t="shared" si="3"/>
        <v>10</v>
      </c>
      <c r="X11" s="133">
        <f ca="1" t="shared" si="4"/>
        <v>4.1</v>
      </c>
      <c r="Y11" s="133">
        <f ca="1" t="shared" si="5"/>
        <v>101</v>
      </c>
      <c r="Z11" s="133" t="str">
        <f ca="1" t="shared" si="6"/>
        <v>无</v>
      </c>
      <c r="AA11" s="133">
        <f ca="1" t="shared" si="7"/>
        <v>4</v>
      </c>
      <c r="AB11" s="133">
        <f ca="1" t="shared" si="8"/>
        <v>0</v>
      </c>
      <c r="AC11" s="133">
        <f ca="1" t="shared" si="9"/>
        <v>0</v>
      </c>
      <c r="AD11" s="133">
        <f ca="1" t="shared" si="10"/>
        <v>0</v>
      </c>
      <c r="AE11" s="133">
        <f ca="1" t="shared" si="11"/>
        <v>0</v>
      </c>
      <c r="AF11" s="133">
        <f ca="1" t="shared" si="12"/>
        <v>0</v>
      </c>
      <c r="AG11" s="133">
        <f ca="1" t="shared" si="13"/>
        <v>0</v>
      </c>
      <c r="AH11" s="133">
        <f ca="1" t="shared" si="14"/>
        <v>0</v>
      </c>
    </row>
    <row r="12" spans="2:34">
      <c r="B12" s="7">
        <v>0.6</v>
      </c>
      <c r="C12" s="30">
        <v>6</v>
      </c>
      <c r="D12" s="30"/>
      <c r="E12" s="30"/>
      <c r="F12" s="30"/>
      <c r="G12" s="30"/>
      <c r="H12" s="30"/>
      <c r="I12" s="30"/>
      <c r="J12" s="30">
        <v>5</v>
      </c>
      <c r="K12" s="30"/>
      <c r="L12" s="30"/>
      <c r="M12" s="30"/>
      <c r="N12" s="30"/>
      <c r="O12" s="30"/>
      <c r="P12" s="30"/>
      <c r="Q12" s="30"/>
      <c r="S12" s="134">
        <v>0.6</v>
      </c>
      <c r="T12" s="133">
        <f ca="1" t="shared" si="0"/>
        <v>6</v>
      </c>
      <c r="U12" s="133">
        <f ca="1" t="shared" si="1"/>
        <v>1</v>
      </c>
      <c r="V12" s="133">
        <f ca="1" t="shared" si="2"/>
        <v>3</v>
      </c>
      <c r="W12" s="133">
        <f ca="1" t="shared" si="3"/>
        <v>10</v>
      </c>
      <c r="X12" s="133">
        <f ca="1" t="shared" si="4"/>
        <v>4.1</v>
      </c>
      <c r="Y12" s="133">
        <f ca="1" t="shared" si="5"/>
        <v>101</v>
      </c>
      <c r="Z12" s="133" t="str">
        <f ca="1" t="shared" si="6"/>
        <v>无</v>
      </c>
      <c r="AA12" s="133">
        <f ca="1" t="shared" si="7"/>
        <v>5</v>
      </c>
      <c r="AB12" s="133">
        <f ca="1" t="shared" si="8"/>
        <v>0</v>
      </c>
      <c r="AC12" s="133">
        <f ca="1" t="shared" si="9"/>
        <v>0</v>
      </c>
      <c r="AD12" s="133">
        <f ca="1" t="shared" si="10"/>
        <v>0</v>
      </c>
      <c r="AE12" s="133">
        <f ca="1" t="shared" si="11"/>
        <v>0</v>
      </c>
      <c r="AF12" s="133">
        <f ca="1" t="shared" si="12"/>
        <v>0</v>
      </c>
      <c r="AG12" s="133">
        <f ca="1" t="shared" si="13"/>
        <v>0</v>
      </c>
      <c r="AH12" s="133">
        <f ca="1" t="shared" si="14"/>
        <v>0</v>
      </c>
    </row>
    <row r="13" spans="2:34">
      <c r="B13" s="7">
        <v>0.7</v>
      </c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S13" s="134">
        <v>0.7</v>
      </c>
      <c r="T13" s="133">
        <f ca="1" t="shared" si="0"/>
        <v>6</v>
      </c>
      <c r="U13" s="133">
        <f ca="1" t="shared" si="1"/>
        <v>1</v>
      </c>
      <c r="V13" s="133">
        <f ca="1" t="shared" si="2"/>
        <v>3</v>
      </c>
      <c r="W13" s="133">
        <f ca="1" t="shared" si="3"/>
        <v>10</v>
      </c>
      <c r="X13" s="133">
        <f ca="1" t="shared" si="4"/>
        <v>4.1</v>
      </c>
      <c r="Y13" s="133">
        <f ca="1" t="shared" si="5"/>
        <v>101</v>
      </c>
      <c r="Z13" s="133" t="str">
        <f ca="1" t="shared" si="6"/>
        <v>无</v>
      </c>
      <c r="AA13" s="133">
        <f ca="1" t="shared" si="7"/>
        <v>5</v>
      </c>
      <c r="AB13" s="133">
        <f ca="1" t="shared" si="8"/>
        <v>0</v>
      </c>
      <c r="AC13" s="133">
        <f ca="1" t="shared" si="9"/>
        <v>0</v>
      </c>
      <c r="AD13" s="133">
        <f ca="1" t="shared" si="10"/>
        <v>0</v>
      </c>
      <c r="AE13" s="133">
        <f ca="1" t="shared" si="11"/>
        <v>0</v>
      </c>
      <c r="AF13" s="133">
        <f ca="1" t="shared" si="12"/>
        <v>0</v>
      </c>
      <c r="AG13" s="133">
        <f ca="1" t="shared" si="13"/>
        <v>0</v>
      </c>
      <c r="AH13" s="133">
        <f ca="1" t="shared" si="14"/>
        <v>0</v>
      </c>
    </row>
    <row r="14" spans="2:34">
      <c r="B14" s="7">
        <v>0.8</v>
      </c>
      <c r="C14" s="30">
        <v>7</v>
      </c>
      <c r="D14" s="30"/>
      <c r="E14" s="30"/>
      <c r="F14" s="30"/>
      <c r="G14" s="30"/>
      <c r="H14" s="30"/>
      <c r="I14" s="30"/>
      <c r="J14" s="30">
        <v>6</v>
      </c>
      <c r="K14" s="30"/>
      <c r="L14" s="30"/>
      <c r="M14" s="30"/>
      <c r="N14" s="30"/>
      <c r="O14" s="30"/>
      <c r="P14" s="30"/>
      <c r="Q14" s="30"/>
      <c r="S14" s="134">
        <v>0.8</v>
      </c>
      <c r="T14" s="133">
        <f ca="1" t="shared" si="0"/>
        <v>7</v>
      </c>
      <c r="U14" s="133">
        <f ca="1" t="shared" si="1"/>
        <v>1</v>
      </c>
      <c r="V14" s="133">
        <f ca="1" t="shared" si="2"/>
        <v>3</v>
      </c>
      <c r="W14" s="133">
        <f ca="1" t="shared" si="3"/>
        <v>10</v>
      </c>
      <c r="X14" s="133">
        <f ca="1" t="shared" si="4"/>
        <v>4.1</v>
      </c>
      <c r="Y14" s="133">
        <f ca="1" t="shared" si="5"/>
        <v>101</v>
      </c>
      <c r="Z14" s="133" t="str">
        <f ca="1" t="shared" si="6"/>
        <v>无</v>
      </c>
      <c r="AA14" s="133">
        <f ca="1" t="shared" si="7"/>
        <v>6</v>
      </c>
      <c r="AB14" s="133">
        <f ca="1" t="shared" si="8"/>
        <v>0</v>
      </c>
      <c r="AC14" s="133">
        <f ca="1" t="shared" si="9"/>
        <v>0</v>
      </c>
      <c r="AD14" s="133">
        <f ca="1" t="shared" si="10"/>
        <v>0</v>
      </c>
      <c r="AE14" s="133">
        <f ca="1" t="shared" si="11"/>
        <v>0</v>
      </c>
      <c r="AF14" s="133">
        <f ca="1" t="shared" si="12"/>
        <v>0</v>
      </c>
      <c r="AG14" s="133">
        <f ca="1" t="shared" si="13"/>
        <v>0</v>
      </c>
      <c r="AH14" s="133">
        <f ca="1" t="shared" si="14"/>
        <v>0</v>
      </c>
    </row>
    <row r="15" spans="2:34">
      <c r="B15" s="7">
        <v>0.9</v>
      </c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S15" s="134">
        <v>0.9</v>
      </c>
      <c r="T15" s="133">
        <f ca="1" t="shared" si="0"/>
        <v>7</v>
      </c>
      <c r="U15" s="133">
        <f ca="1" t="shared" si="1"/>
        <v>1</v>
      </c>
      <c r="V15" s="133">
        <f ca="1" t="shared" si="2"/>
        <v>3</v>
      </c>
      <c r="W15" s="133">
        <f ca="1" t="shared" si="3"/>
        <v>10</v>
      </c>
      <c r="X15" s="133">
        <f ca="1" t="shared" si="4"/>
        <v>4.1</v>
      </c>
      <c r="Y15" s="133">
        <f ca="1" t="shared" si="5"/>
        <v>101</v>
      </c>
      <c r="Z15" s="133" t="str">
        <f ca="1" t="shared" si="6"/>
        <v>无</v>
      </c>
      <c r="AA15" s="133">
        <f ca="1" t="shared" si="7"/>
        <v>6</v>
      </c>
      <c r="AB15" s="133">
        <f ca="1" t="shared" si="8"/>
        <v>0</v>
      </c>
      <c r="AC15" s="133">
        <f ca="1" t="shared" si="9"/>
        <v>0</v>
      </c>
      <c r="AD15" s="133">
        <f ca="1" t="shared" si="10"/>
        <v>0</v>
      </c>
      <c r="AE15" s="133">
        <f ca="1" t="shared" si="11"/>
        <v>0</v>
      </c>
      <c r="AF15" s="133">
        <f ca="1" t="shared" si="12"/>
        <v>0</v>
      </c>
      <c r="AG15" s="133">
        <f ca="1" t="shared" si="13"/>
        <v>0</v>
      </c>
      <c r="AH15" s="133">
        <f ca="1" t="shared" si="14"/>
        <v>0</v>
      </c>
    </row>
    <row r="16" spans="2:34">
      <c r="B16" s="7">
        <v>1</v>
      </c>
      <c r="C16" s="30">
        <v>8</v>
      </c>
      <c r="D16" s="30"/>
      <c r="E16" s="30">
        <v>4</v>
      </c>
      <c r="F16" s="30">
        <v>20</v>
      </c>
      <c r="G16" s="30">
        <v>5</v>
      </c>
      <c r="H16" s="30">
        <v>102</v>
      </c>
      <c r="I16" s="30"/>
      <c r="J16" s="30">
        <v>7</v>
      </c>
      <c r="K16" s="30">
        <v>10</v>
      </c>
      <c r="L16" s="30">
        <v>1</v>
      </c>
      <c r="M16" s="30"/>
      <c r="N16" s="30"/>
      <c r="O16" s="30"/>
      <c r="P16" s="30"/>
      <c r="Q16" s="30"/>
      <c r="S16" s="134">
        <v>1</v>
      </c>
      <c r="T16" s="133">
        <f ca="1" t="shared" si="0"/>
        <v>8</v>
      </c>
      <c r="U16" s="133">
        <f ca="1" t="shared" si="1"/>
        <v>1</v>
      </c>
      <c r="V16" s="133">
        <f ca="1" t="shared" si="2"/>
        <v>4</v>
      </c>
      <c r="W16" s="133">
        <f ca="1" t="shared" si="3"/>
        <v>20</v>
      </c>
      <c r="X16" s="133">
        <f ca="1" t="shared" si="4"/>
        <v>5</v>
      </c>
      <c r="Y16" s="133">
        <f ca="1" t="shared" si="5"/>
        <v>102</v>
      </c>
      <c r="Z16" s="133" t="str">
        <f ca="1" t="shared" si="6"/>
        <v>无</v>
      </c>
      <c r="AA16" s="133">
        <f ca="1" t="shared" si="7"/>
        <v>7</v>
      </c>
      <c r="AB16" s="133">
        <f ca="1" t="shared" si="8"/>
        <v>10</v>
      </c>
      <c r="AC16" s="133">
        <f ca="1" t="shared" si="9"/>
        <v>1</v>
      </c>
      <c r="AD16" s="133">
        <f ca="1" t="shared" si="10"/>
        <v>0</v>
      </c>
      <c r="AE16" s="133">
        <f ca="1" t="shared" si="11"/>
        <v>0</v>
      </c>
      <c r="AF16" s="133">
        <f ca="1" t="shared" si="12"/>
        <v>0</v>
      </c>
      <c r="AG16" s="133">
        <f ca="1" t="shared" si="13"/>
        <v>0</v>
      </c>
      <c r="AH16" s="133">
        <f ca="1" t="shared" si="14"/>
        <v>0</v>
      </c>
    </row>
    <row r="17" spans="2:34">
      <c r="B17" s="9">
        <v>1.5</v>
      </c>
      <c r="C17" s="30">
        <v>9</v>
      </c>
      <c r="D17" s="30">
        <v>2</v>
      </c>
      <c r="E17" s="30"/>
      <c r="F17" s="30"/>
      <c r="G17" s="30"/>
      <c r="H17" s="30"/>
      <c r="I17" s="30"/>
      <c r="J17" s="30"/>
      <c r="K17" s="30"/>
      <c r="L17" s="30">
        <v>2</v>
      </c>
      <c r="M17" s="30"/>
      <c r="N17" s="30">
        <v>0</v>
      </c>
      <c r="O17" s="30">
        <v>0</v>
      </c>
      <c r="P17" s="30">
        <v>0</v>
      </c>
      <c r="Q17" s="30"/>
      <c r="S17" s="135">
        <v>1.5</v>
      </c>
      <c r="T17" s="133">
        <f ca="1" t="shared" si="0"/>
        <v>9</v>
      </c>
      <c r="U17" s="133">
        <f ca="1" t="shared" si="1"/>
        <v>2</v>
      </c>
      <c r="V17" s="133">
        <f ca="1" t="shared" si="2"/>
        <v>4</v>
      </c>
      <c r="W17" s="133">
        <f ca="1" t="shared" si="3"/>
        <v>20</v>
      </c>
      <c r="X17" s="133">
        <f ca="1" t="shared" si="4"/>
        <v>5</v>
      </c>
      <c r="Y17" s="133">
        <f ca="1" t="shared" si="5"/>
        <v>102</v>
      </c>
      <c r="Z17" s="133" t="str">
        <f ca="1" t="shared" si="6"/>
        <v>无</v>
      </c>
      <c r="AA17" s="133">
        <f ca="1" t="shared" si="7"/>
        <v>7</v>
      </c>
      <c r="AB17" s="133">
        <f ca="1" t="shared" si="8"/>
        <v>10</v>
      </c>
      <c r="AC17" s="133">
        <f ca="1" t="shared" si="9"/>
        <v>2</v>
      </c>
      <c r="AD17" s="133">
        <f ca="1" t="shared" si="10"/>
        <v>0</v>
      </c>
      <c r="AE17" s="133">
        <f ca="1" t="shared" si="11"/>
        <v>0</v>
      </c>
      <c r="AF17" s="133">
        <f ca="1" t="shared" si="12"/>
        <v>0</v>
      </c>
      <c r="AG17" s="133">
        <f ca="1" t="shared" si="13"/>
        <v>0</v>
      </c>
      <c r="AH17" s="133">
        <f ca="1" t="shared" si="14"/>
        <v>0</v>
      </c>
    </row>
    <row r="18" spans="2:34">
      <c r="B18" s="9">
        <v>2</v>
      </c>
      <c r="C18" s="30">
        <v>10</v>
      </c>
      <c r="D18" s="30"/>
      <c r="E18" s="30"/>
      <c r="F18" s="30">
        <v>30</v>
      </c>
      <c r="G18" s="30"/>
      <c r="H18" s="30"/>
      <c r="I18" s="30"/>
      <c r="J18" s="30"/>
      <c r="K18" s="30"/>
      <c r="L18" s="30"/>
      <c r="M18" s="30">
        <v>1</v>
      </c>
      <c r="N18" s="30">
        <v>1</v>
      </c>
      <c r="O18" s="30"/>
      <c r="P18" s="30">
        <v>4</v>
      </c>
      <c r="Q18" s="30">
        <v>0</v>
      </c>
      <c r="S18" s="135">
        <v>2</v>
      </c>
      <c r="T18" s="133">
        <f ca="1" t="shared" si="0"/>
        <v>10</v>
      </c>
      <c r="U18" s="133">
        <f ca="1" t="shared" si="1"/>
        <v>2</v>
      </c>
      <c r="V18" s="133">
        <f ca="1" t="shared" si="2"/>
        <v>4</v>
      </c>
      <c r="W18" s="133">
        <f ca="1" t="shared" si="3"/>
        <v>30</v>
      </c>
      <c r="X18" s="133">
        <f ca="1" t="shared" si="4"/>
        <v>5</v>
      </c>
      <c r="Y18" s="133">
        <f ca="1" t="shared" si="5"/>
        <v>102</v>
      </c>
      <c r="Z18" s="133" t="str">
        <f ca="1" t="shared" si="6"/>
        <v>无</v>
      </c>
      <c r="AA18" s="133">
        <f ca="1" t="shared" si="7"/>
        <v>7</v>
      </c>
      <c r="AB18" s="133">
        <f ca="1" t="shared" si="8"/>
        <v>10</v>
      </c>
      <c r="AC18" s="133">
        <f ca="1" t="shared" si="9"/>
        <v>2</v>
      </c>
      <c r="AD18" s="133">
        <f ca="1" t="shared" si="10"/>
        <v>1</v>
      </c>
      <c r="AE18" s="133">
        <f ca="1" t="shared" si="11"/>
        <v>1</v>
      </c>
      <c r="AF18" s="133">
        <f ca="1" t="shared" si="12"/>
        <v>0</v>
      </c>
      <c r="AG18" s="133">
        <f ca="1" t="shared" si="13"/>
        <v>4</v>
      </c>
      <c r="AH18" s="133">
        <f ca="1" t="shared" si="14"/>
        <v>0</v>
      </c>
    </row>
    <row r="19" spans="2:34">
      <c r="B19" s="9">
        <v>2.5</v>
      </c>
      <c r="C19" s="30">
        <v>11</v>
      </c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>
        <v>10</v>
      </c>
      <c r="P19" s="30">
        <v>4.1</v>
      </c>
      <c r="Q19" s="30"/>
      <c r="S19" s="135">
        <v>2.5</v>
      </c>
      <c r="T19" s="133">
        <f ca="1" t="shared" si="0"/>
        <v>11</v>
      </c>
      <c r="U19" s="133">
        <f ca="1" t="shared" si="1"/>
        <v>2</v>
      </c>
      <c r="V19" s="133">
        <f ca="1" t="shared" si="2"/>
        <v>4</v>
      </c>
      <c r="W19" s="133">
        <f ca="1" t="shared" si="3"/>
        <v>30</v>
      </c>
      <c r="X19" s="133">
        <f ca="1" t="shared" si="4"/>
        <v>5</v>
      </c>
      <c r="Y19" s="133">
        <f ca="1" t="shared" si="5"/>
        <v>102</v>
      </c>
      <c r="Z19" s="133" t="str">
        <f ca="1" t="shared" si="6"/>
        <v>无</v>
      </c>
      <c r="AA19" s="133">
        <f ca="1" t="shared" si="7"/>
        <v>7</v>
      </c>
      <c r="AB19" s="133">
        <f ca="1" t="shared" si="8"/>
        <v>10</v>
      </c>
      <c r="AC19" s="133">
        <f ca="1" t="shared" si="9"/>
        <v>2</v>
      </c>
      <c r="AD19" s="133">
        <f ca="1" t="shared" si="10"/>
        <v>1</v>
      </c>
      <c r="AE19" s="133">
        <f ca="1" t="shared" si="11"/>
        <v>1</v>
      </c>
      <c r="AF19" s="133">
        <f ca="1" t="shared" si="12"/>
        <v>10</v>
      </c>
      <c r="AG19" s="133">
        <f ca="1" t="shared" si="13"/>
        <v>4.1</v>
      </c>
      <c r="AH19" s="133">
        <f ca="1" t="shared" si="14"/>
        <v>0</v>
      </c>
    </row>
    <row r="20" spans="2:34">
      <c r="B20" s="9">
        <v>3</v>
      </c>
      <c r="C20" s="30">
        <v>12</v>
      </c>
      <c r="D20" s="30"/>
      <c r="E20" s="30"/>
      <c r="F20" s="30">
        <v>40</v>
      </c>
      <c r="G20" s="30"/>
      <c r="H20" s="30"/>
      <c r="I20" s="30"/>
      <c r="J20" s="30">
        <v>8</v>
      </c>
      <c r="K20" s="30"/>
      <c r="L20" s="30"/>
      <c r="M20" s="30"/>
      <c r="N20" s="30">
        <v>2</v>
      </c>
      <c r="O20" s="30">
        <v>20</v>
      </c>
      <c r="P20" s="30"/>
      <c r="Q20" s="30">
        <v>101</v>
      </c>
      <c r="S20" s="135">
        <v>3</v>
      </c>
      <c r="T20" s="133">
        <f ca="1" t="shared" si="0"/>
        <v>12</v>
      </c>
      <c r="U20" s="133">
        <f ca="1" t="shared" si="1"/>
        <v>2</v>
      </c>
      <c r="V20" s="133">
        <f ca="1" t="shared" si="2"/>
        <v>4</v>
      </c>
      <c r="W20" s="133">
        <f ca="1" t="shared" si="3"/>
        <v>40</v>
      </c>
      <c r="X20" s="133">
        <f ca="1" t="shared" si="4"/>
        <v>5</v>
      </c>
      <c r="Y20" s="133">
        <f ca="1" t="shared" si="5"/>
        <v>102</v>
      </c>
      <c r="Z20" s="133" t="str">
        <f ca="1" t="shared" si="6"/>
        <v>无</v>
      </c>
      <c r="AA20" s="133">
        <f ca="1" t="shared" si="7"/>
        <v>8</v>
      </c>
      <c r="AB20" s="133">
        <f ca="1" t="shared" si="8"/>
        <v>10</v>
      </c>
      <c r="AC20" s="133">
        <f ca="1" t="shared" si="9"/>
        <v>2</v>
      </c>
      <c r="AD20" s="133">
        <f ca="1" t="shared" si="10"/>
        <v>1</v>
      </c>
      <c r="AE20" s="133">
        <f ca="1" t="shared" si="11"/>
        <v>2</v>
      </c>
      <c r="AF20" s="133">
        <f ca="1" t="shared" si="12"/>
        <v>20</v>
      </c>
      <c r="AG20" s="133">
        <f ca="1" t="shared" si="13"/>
        <v>4.1</v>
      </c>
      <c r="AH20" s="133">
        <f ca="1" t="shared" si="14"/>
        <v>101</v>
      </c>
    </row>
    <row r="21" spans="2:34">
      <c r="B21" s="9">
        <v>3.5</v>
      </c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S21" s="135">
        <v>3.5</v>
      </c>
      <c r="T21" s="133">
        <f ca="1" t="shared" si="0"/>
        <v>12</v>
      </c>
      <c r="U21" s="133">
        <f ca="1" t="shared" si="1"/>
        <v>2</v>
      </c>
      <c r="V21" s="133">
        <f ca="1" t="shared" si="2"/>
        <v>4</v>
      </c>
      <c r="W21" s="133">
        <f ca="1" t="shared" si="3"/>
        <v>40</v>
      </c>
      <c r="X21" s="133">
        <f ca="1" t="shared" si="4"/>
        <v>5</v>
      </c>
      <c r="Y21" s="133">
        <f ca="1" t="shared" si="5"/>
        <v>102</v>
      </c>
      <c r="Z21" s="133" t="str">
        <f ca="1" t="shared" si="6"/>
        <v>无</v>
      </c>
      <c r="AA21" s="133">
        <f ca="1" t="shared" si="7"/>
        <v>8</v>
      </c>
      <c r="AB21" s="133">
        <f ca="1" t="shared" si="8"/>
        <v>10</v>
      </c>
      <c r="AC21" s="133">
        <f ca="1" t="shared" si="9"/>
        <v>2</v>
      </c>
      <c r="AD21" s="133">
        <f ca="1" t="shared" si="10"/>
        <v>1</v>
      </c>
      <c r="AE21" s="133">
        <f ca="1" t="shared" si="11"/>
        <v>2</v>
      </c>
      <c r="AF21" s="133">
        <f ca="1" t="shared" si="12"/>
        <v>20</v>
      </c>
      <c r="AG21" s="133">
        <f ca="1" t="shared" si="13"/>
        <v>4.1</v>
      </c>
      <c r="AH21" s="133">
        <f ca="1" t="shared" si="14"/>
        <v>101</v>
      </c>
    </row>
    <row r="22" spans="2:34">
      <c r="B22" s="9">
        <v>4</v>
      </c>
      <c r="C22" s="30">
        <v>13</v>
      </c>
      <c r="D22" s="30"/>
      <c r="E22" s="30"/>
      <c r="F22" s="30"/>
      <c r="G22" s="30"/>
      <c r="H22" s="30" t="s">
        <v>685</v>
      </c>
      <c r="I22" s="30"/>
      <c r="J22" s="30"/>
      <c r="K22" s="30">
        <v>20</v>
      </c>
      <c r="L22" s="30"/>
      <c r="M22" s="30">
        <v>2</v>
      </c>
      <c r="N22" s="30"/>
      <c r="O22" s="30">
        <v>30</v>
      </c>
      <c r="P22" s="30"/>
      <c r="Q22" s="30">
        <v>102</v>
      </c>
      <c r="S22" s="135">
        <v>4</v>
      </c>
      <c r="T22" s="133">
        <f ca="1" t="shared" si="0"/>
        <v>13</v>
      </c>
      <c r="U22" s="133">
        <f ca="1" t="shared" si="1"/>
        <v>2</v>
      </c>
      <c r="V22" s="133">
        <f ca="1" t="shared" si="2"/>
        <v>4</v>
      </c>
      <c r="W22" s="133">
        <f ca="1" t="shared" si="3"/>
        <v>40</v>
      </c>
      <c r="X22" s="133">
        <f ca="1" t="shared" si="4"/>
        <v>5</v>
      </c>
      <c r="Y22" s="133">
        <f ca="1" t="shared" si="5"/>
        <v>102</v>
      </c>
      <c r="Z22" s="133" t="str">
        <f ca="1" t="shared" si="6"/>
        <v>无</v>
      </c>
      <c r="AA22" s="133">
        <f ca="1" t="shared" si="7"/>
        <v>8</v>
      </c>
      <c r="AB22" s="133">
        <f ca="1" t="shared" si="8"/>
        <v>20</v>
      </c>
      <c r="AC22" s="133">
        <f ca="1" t="shared" si="9"/>
        <v>2</v>
      </c>
      <c r="AD22" s="133">
        <f ca="1" t="shared" si="10"/>
        <v>2</v>
      </c>
      <c r="AE22" s="133">
        <f ca="1" t="shared" si="11"/>
        <v>2</v>
      </c>
      <c r="AF22" s="133">
        <f ca="1" t="shared" si="12"/>
        <v>30</v>
      </c>
      <c r="AG22" s="133">
        <f ca="1" t="shared" si="13"/>
        <v>4.1</v>
      </c>
      <c r="AH22" s="133">
        <f ca="1" t="shared" si="14"/>
        <v>102</v>
      </c>
    </row>
    <row r="23" spans="2:34">
      <c r="B23" s="9">
        <v>4.5</v>
      </c>
      <c r="C23" s="30"/>
      <c r="D23" s="30"/>
      <c r="E23" s="30"/>
      <c r="F23" s="30"/>
      <c r="G23" s="30"/>
      <c r="H23" s="30"/>
      <c r="I23" s="30"/>
      <c r="J23" s="30"/>
      <c r="K23" s="30"/>
      <c r="L23" s="30">
        <v>3</v>
      </c>
      <c r="M23" s="30"/>
      <c r="N23" s="30"/>
      <c r="O23" s="30"/>
      <c r="P23" s="30"/>
      <c r="Q23" s="30"/>
      <c r="S23" s="135">
        <v>4.5</v>
      </c>
      <c r="T23" s="133">
        <f ca="1" t="shared" si="0"/>
        <v>13</v>
      </c>
      <c r="U23" s="133">
        <f ca="1" t="shared" si="1"/>
        <v>2</v>
      </c>
      <c r="V23" s="133">
        <f ca="1" t="shared" si="2"/>
        <v>4</v>
      </c>
      <c r="W23" s="133">
        <f ca="1" t="shared" si="3"/>
        <v>40</v>
      </c>
      <c r="X23" s="133">
        <f ca="1" t="shared" si="4"/>
        <v>5</v>
      </c>
      <c r="Y23" s="133">
        <f ca="1" t="shared" si="5"/>
        <v>102</v>
      </c>
      <c r="Z23" s="133" t="str">
        <f ca="1" t="shared" si="6"/>
        <v>无</v>
      </c>
      <c r="AA23" s="133">
        <f ca="1" t="shared" si="7"/>
        <v>8</v>
      </c>
      <c r="AB23" s="133">
        <f ca="1" t="shared" si="8"/>
        <v>20</v>
      </c>
      <c r="AC23" s="133">
        <f ca="1" t="shared" si="9"/>
        <v>3</v>
      </c>
      <c r="AD23" s="133">
        <f ca="1" t="shared" si="10"/>
        <v>2</v>
      </c>
      <c r="AE23" s="133">
        <f ca="1" t="shared" si="11"/>
        <v>2</v>
      </c>
      <c r="AF23" s="133">
        <f ca="1" t="shared" si="12"/>
        <v>30</v>
      </c>
      <c r="AG23" s="133">
        <f ca="1" t="shared" si="13"/>
        <v>4.1</v>
      </c>
      <c r="AH23" s="133">
        <f ca="1" t="shared" si="14"/>
        <v>102</v>
      </c>
    </row>
    <row r="24" spans="2:34">
      <c r="B24" s="9">
        <v>5</v>
      </c>
      <c r="C24" s="30">
        <v>14</v>
      </c>
      <c r="D24" s="30"/>
      <c r="E24" s="30"/>
      <c r="F24" s="30"/>
      <c r="G24" s="30"/>
      <c r="H24" s="30">
        <v>103</v>
      </c>
      <c r="I24" s="30"/>
      <c r="J24" s="30"/>
      <c r="K24" s="30"/>
      <c r="L24" s="30"/>
      <c r="M24" s="30"/>
      <c r="N24" s="30"/>
      <c r="O24" s="30"/>
      <c r="P24" s="30"/>
      <c r="Q24" s="30"/>
      <c r="S24" s="135">
        <v>5</v>
      </c>
      <c r="T24" s="133">
        <f ca="1" t="shared" si="0"/>
        <v>14</v>
      </c>
      <c r="U24" s="133">
        <f ca="1" t="shared" si="1"/>
        <v>2</v>
      </c>
      <c r="V24" s="133">
        <f ca="1" t="shared" si="2"/>
        <v>4</v>
      </c>
      <c r="W24" s="133">
        <f ca="1" t="shared" si="3"/>
        <v>40</v>
      </c>
      <c r="X24" s="133">
        <f ca="1" t="shared" si="4"/>
        <v>5</v>
      </c>
      <c r="Y24" s="133">
        <f ca="1" t="shared" si="5"/>
        <v>103</v>
      </c>
      <c r="Z24" s="133" t="str">
        <f ca="1" t="shared" si="6"/>
        <v>无</v>
      </c>
      <c r="AA24" s="133">
        <f ca="1" t="shared" si="7"/>
        <v>8</v>
      </c>
      <c r="AB24" s="133">
        <f ca="1" t="shared" si="8"/>
        <v>20</v>
      </c>
      <c r="AC24" s="133">
        <f ca="1" t="shared" si="9"/>
        <v>3</v>
      </c>
      <c r="AD24" s="133">
        <f ca="1" t="shared" si="10"/>
        <v>2</v>
      </c>
      <c r="AE24" s="133">
        <f ca="1" t="shared" si="11"/>
        <v>2</v>
      </c>
      <c r="AF24" s="133">
        <f ca="1" t="shared" si="12"/>
        <v>30</v>
      </c>
      <c r="AG24" s="133">
        <f ca="1" t="shared" si="13"/>
        <v>4.1</v>
      </c>
      <c r="AH24" s="133">
        <f ca="1" t="shared" si="14"/>
        <v>102</v>
      </c>
    </row>
    <row r="25" spans="2:34">
      <c r="B25" s="9">
        <v>5.5</v>
      </c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S25" s="135">
        <v>5.5</v>
      </c>
      <c r="T25" s="133">
        <f ca="1" t="shared" si="0"/>
        <v>14</v>
      </c>
      <c r="U25" s="133">
        <f ca="1" t="shared" si="1"/>
        <v>2</v>
      </c>
      <c r="V25" s="133">
        <f ca="1" t="shared" si="2"/>
        <v>4</v>
      </c>
      <c r="W25" s="133">
        <f ca="1" t="shared" si="3"/>
        <v>40</v>
      </c>
      <c r="X25" s="133">
        <f ca="1" t="shared" si="4"/>
        <v>5</v>
      </c>
      <c r="Y25" s="133">
        <f ca="1" t="shared" si="5"/>
        <v>103</v>
      </c>
      <c r="Z25" s="133" t="str">
        <f ca="1" t="shared" si="6"/>
        <v>无</v>
      </c>
      <c r="AA25" s="133">
        <f ca="1" t="shared" si="7"/>
        <v>8</v>
      </c>
      <c r="AB25" s="133">
        <f ca="1" t="shared" si="8"/>
        <v>20</v>
      </c>
      <c r="AC25" s="133">
        <f ca="1" t="shared" si="9"/>
        <v>3</v>
      </c>
      <c r="AD25" s="133">
        <f ca="1" t="shared" si="10"/>
        <v>2</v>
      </c>
      <c r="AE25" s="133">
        <f ca="1" t="shared" si="11"/>
        <v>2</v>
      </c>
      <c r="AF25" s="133">
        <f ca="1" t="shared" si="12"/>
        <v>30</v>
      </c>
      <c r="AG25" s="133">
        <f ca="1" t="shared" si="13"/>
        <v>4.1</v>
      </c>
      <c r="AH25" s="133">
        <f ca="1" t="shared" si="14"/>
        <v>102</v>
      </c>
    </row>
    <row r="26" spans="2:34">
      <c r="B26" s="9">
        <v>6</v>
      </c>
      <c r="C26" s="30"/>
      <c r="D26" s="30"/>
      <c r="E26" s="30"/>
      <c r="F26" s="30"/>
      <c r="G26" s="30"/>
      <c r="H26" s="30" t="s">
        <v>685</v>
      </c>
      <c r="I26" s="30"/>
      <c r="J26" s="30"/>
      <c r="K26" s="30"/>
      <c r="L26" s="30"/>
      <c r="M26" s="30">
        <v>3</v>
      </c>
      <c r="N26" s="30"/>
      <c r="O26" s="30"/>
      <c r="P26" s="30"/>
      <c r="Q26" s="30"/>
      <c r="S26" s="135">
        <v>6</v>
      </c>
      <c r="T26" s="133">
        <f ca="1" t="shared" si="0"/>
        <v>14</v>
      </c>
      <c r="U26" s="133">
        <f ca="1" t="shared" si="1"/>
        <v>2</v>
      </c>
      <c r="V26" s="133">
        <f ca="1" t="shared" si="2"/>
        <v>4</v>
      </c>
      <c r="W26" s="133">
        <f ca="1" t="shared" si="3"/>
        <v>40</v>
      </c>
      <c r="X26" s="133">
        <f ca="1" t="shared" si="4"/>
        <v>5</v>
      </c>
      <c r="Y26" s="133">
        <f ca="1" t="shared" si="5"/>
        <v>103</v>
      </c>
      <c r="Z26" s="133" t="str">
        <f ca="1" t="shared" si="6"/>
        <v>无</v>
      </c>
      <c r="AA26" s="133">
        <f ca="1" t="shared" si="7"/>
        <v>8</v>
      </c>
      <c r="AB26" s="133">
        <f ca="1" t="shared" si="8"/>
        <v>20</v>
      </c>
      <c r="AC26" s="133">
        <f ca="1" t="shared" si="9"/>
        <v>3</v>
      </c>
      <c r="AD26" s="133">
        <f ca="1" t="shared" si="10"/>
        <v>3</v>
      </c>
      <c r="AE26" s="133">
        <f ca="1" t="shared" si="11"/>
        <v>2</v>
      </c>
      <c r="AF26" s="133">
        <f ca="1" t="shared" si="12"/>
        <v>30</v>
      </c>
      <c r="AG26" s="133">
        <f ca="1" t="shared" si="13"/>
        <v>4.1</v>
      </c>
      <c r="AH26" s="133">
        <f ca="1" t="shared" si="14"/>
        <v>102</v>
      </c>
    </row>
    <row r="27" spans="2:34">
      <c r="B27" s="9">
        <v>6.5</v>
      </c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S27" s="135">
        <v>6.5</v>
      </c>
      <c r="T27" s="133">
        <f ca="1" t="shared" si="0"/>
        <v>14</v>
      </c>
      <c r="U27" s="133">
        <f ca="1" t="shared" si="1"/>
        <v>2</v>
      </c>
      <c r="V27" s="133">
        <f ca="1" t="shared" si="2"/>
        <v>4</v>
      </c>
      <c r="W27" s="133">
        <f ca="1" t="shared" si="3"/>
        <v>40</v>
      </c>
      <c r="X27" s="133">
        <f ca="1" t="shared" si="4"/>
        <v>5</v>
      </c>
      <c r="Y27" s="133">
        <f ca="1" t="shared" si="5"/>
        <v>103</v>
      </c>
      <c r="Z27" s="133" t="str">
        <f ca="1" t="shared" si="6"/>
        <v>无</v>
      </c>
      <c r="AA27" s="133">
        <f ca="1" t="shared" si="7"/>
        <v>8</v>
      </c>
      <c r="AB27" s="133">
        <f ca="1" t="shared" si="8"/>
        <v>20</v>
      </c>
      <c r="AC27" s="133">
        <f ca="1" t="shared" si="9"/>
        <v>3</v>
      </c>
      <c r="AD27" s="133">
        <f ca="1" t="shared" si="10"/>
        <v>3</v>
      </c>
      <c r="AE27" s="133">
        <f ca="1" t="shared" si="11"/>
        <v>2</v>
      </c>
      <c r="AF27" s="133">
        <f ca="1" t="shared" si="12"/>
        <v>30</v>
      </c>
      <c r="AG27" s="133">
        <f ca="1" t="shared" si="13"/>
        <v>4.1</v>
      </c>
      <c r="AH27" s="133">
        <f ca="1" t="shared" si="14"/>
        <v>102</v>
      </c>
    </row>
    <row r="28" spans="2:34">
      <c r="B28" s="9">
        <v>7</v>
      </c>
      <c r="C28" s="30">
        <v>15</v>
      </c>
      <c r="D28" s="30">
        <v>3</v>
      </c>
      <c r="E28" s="30">
        <v>5</v>
      </c>
      <c r="F28" s="30">
        <v>50</v>
      </c>
      <c r="G28" s="30">
        <v>5.1</v>
      </c>
      <c r="H28" s="30">
        <v>201</v>
      </c>
      <c r="I28" s="30" t="s">
        <v>75</v>
      </c>
      <c r="J28" s="30">
        <v>9</v>
      </c>
      <c r="K28" s="30"/>
      <c r="L28" s="30">
        <v>4</v>
      </c>
      <c r="M28" s="30"/>
      <c r="N28" s="30">
        <v>3</v>
      </c>
      <c r="O28" s="30">
        <v>40</v>
      </c>
      <c r="P28" s="30">
        <v>5</v>
      </c>
      <c r="Q28" s="30">
        <v>103</v>
      </c>
      <c r="S28" s="135">
        <v>7</v>
      </c>
      <c r="T28" s="133">
        <f ca="1" t="shared" si="0"/>
        <v>15</v>
      </c>
      <c r="U28" s="133">
        <f ca="1" t="shared" si="1"/>
        <v>3</v>
      </c>
      <c r="V28" s="133">
        <f ca="1" t="shared" si="2"/>
        <v>5</v>
      </c>
      <c r="W28" s="133">
        <f ca="1" t="shared" si="3"/>
        <v>50</v>
      </c>
      <c r="X28" s="133">
        <f ca="1" t="shared" si="4"/>
        <v>5.1</v>
      </c>
      <c r="Y28" s="133">
        <f ca="1" t="shared" si="5"/>
        <v>201</v>
      </c>
      <c r="Z28" s="133" t="str">
        <f ca="1" t="shared" si="6"/>
        <v>铜</v>
      </c>
      <c r="AA28" s="133">
        <f ca="1" t="shared" si="7"/>
        <v>9</v>
      </c>
      <c r="AB28" s="133">
        <f ca="1" t="shared" si="8"/>
        <v>20</v>
      </c>
      <c r="AC28" s="133">
        <f ca="1" t="shared" si="9"/>
        <v>4</v>
      </c>
      <c r="AD28" s="133">
        <f ca="1" t="shared" si="10"/>
        <v>3</v>
      </c>
      <c r="AE28" s="133">
        <f ca="1" t="shared" si="11"/>
        <v>3</v>
      </c>
      <c r="AF28" s="133">
        <f ca="1" t="shared" si="12"/>
        <v>40</v>
      </c>
      <c r="AG28" s="133">
        <f ca="1" t="shared" si="13"/>
        <v>5</v>
      </c>
      <c r="AH28" s="133">
        <f ca="1" t="shared" si="14"/>
        <v>103</v>
      </c>
    </row>
    <row r="29" spans="2:34">
      <c r="B29" s="10">
        <v>8</v>
      </c>
      <c r="C29" s="30"/>
      <c r="D29" s="30"/>
      <c r="E29" s="30"/>
      <c r="F29" s="30"/>
      <c r="G29" s="30"/>
      <c r="H29" s="30" t="s">
        <v>685</v>
      </c>
      <c r="I29" s="30"/>
      <c r="J29" s="30"/>
      <c r="K29" s="30"/>
      <c r="L29" s="30"/>
      <c r="M29" s="30"/>
      <c r="N29" s="30"/>
      <c r="O29" s="30"/>
      <c r="P29" s="30"/>
      <c r="Q29" s="30" t="s">
        <v>685</v>
      </c>
      <c r="S29" s="136">
        <v>8</v>
      </c>
      <c r="T29" s="133">
        <f ca="1" t="shared" si="0"/>
        <v>15</v>
      </c>
      <c r="U29" s="133">
        <f ca="1" t="shared" si="1"/>
        <v>3</v>
      </c>
      <c r="V29" s="133">
        <f ca="1" t="shared" si="2"/>
        <v>5</v>
      </c>
      <c r="W29" s="133">
        <f ca="1" t="shared" si="3"/>
        <v>50</v>
      </c>
      <c r="X29" s="133">
        <f ca="1" t="shared" si="4"/>
        <v>5.1</v>
      </c>
      <c r="Y29" s="133">
        <f ca="1" t="shared" si="5"/>
        <v>201</v>
      </c>
      <c r="Z29" s="133" t="str">
        <f ca="1" t="shared" si="6"/>
        <v>铜</v>
      </c>
      <c r="AA29" s="133">
        <f ca="1" t="shared" si="7"/>
        <v>9</v>
      </c>
      <c r="AB29" s="133">
        <f ca="1" t="shared" si="8"/>
        <v>20</v>
      </c>
      <c r="AC29" s="133">
        <f ca="1" t="shared" si="9"/>
        <v>4</v>
      </c>
      <c r="AD29" s="133">
        <f ca="1" t="shared" si="10"/>
        <v>3</v>
      </c>
      <c r="AE29" s="133">
        <f ca="1" t="shared" si="11"/>
        <v>3</v>
      </c>
      <c r="AF29" s="133">
        <f ca="1" t="shared" si="12"/>
        <v>40</v>
      </c>
      <c r="AG29" s="133">
        <f ca="1" t="shared" si="13"/>
        <v>5</v>
      </c>
      <c r="AH29" s="133">
        <f ca="1" t="shared" si="14"/>
        <v>103</v>
      </c>
    </row>
    <row r="30" spans="2:34">
      <c r="B30" s="10">
        <v>9</v>
      </c>
      <c r="C30" s="30">
        <v>16</v>
      </c>
      <c r="D30" s="30"/>
      <c r="E30" s="30"/>
      <c r="F30" s="30"/>
      <c r="G30" s="30"/>
      <c r="H30" s="30" t="s">
        <v>685</v>
      </c>
      <c r="I30" s="30"/>
      <c r="J30" s="30"/>
      <c r="K30" s="30"/>
      <c r="L30" s="30"/>
      <c r="M30" s="30">
        <v>4</v>
      </c>
      <c r="N30" s="30"/>
      <c r="O30" s="30"/>
      <c r="P30" s="30"/>
      <c r="Q30" s="30" t="s">
        <v>685</v>
      </c>
      <c r="S30" s="136">
        <v>9</v>
      </c>
      <c r="T30" s="133">
        <f ca="1" t="shared" si="0"/>
        <v>16</v>
      </c>
      <c r="U30" s="133">
        <f ca="1" t="shared" si="1"/>
        <v>3</v>
      </c>
      <c r="V30" s="133">
        <f ca="1" t="shared" si="2"/>
        <v>5</v>
      </c>
      <c r="W30" s="133">
        <f ca="1" t="shared" si="3"/>
        <v>50</v>
      </c>
      <c r="X30" s="133">
        <f ca="1" t="shared" si="4"/>
        <v>5.1</v>
      </c>
      <c r="Y30" s="133">
        <f ca="1" t="shared" si="5"/>
        <v>201</v>
      </c>
      <c r="Z30" s="133" t="str">
        <f ca="1" t="shared" si="6"/>
        <v>铜</v>
      </c>
      <c r="AA30" s="133">
        <f ca="1" t="shared" si="7"/>
        <v>9</v>
      </c>
      <c r="AB30" s="133">
        <f ca="1" t="shared" si="8"/>
        <v>20</v>
      </c>
      <c r="AC30" s="133">
        <f ca="1" t="shared" si="9"/>
        <v>4</v>
      </c>
      <c r="AD30" s="133">
        <f ca="1" t="shared" si="10"/>
        <v>4</v>
      </c>
      <c r="AE30" s="133">
        <f ca="1" t="shared" si="11"/>
        <v>3</v>
      </c>
      <c r="AF30" s="133">
        <f ca="1" t="shared" si="12"/>
        <v>40</v>
      </c>
      <c r="AG30" s="133">
        <f ca="1" t="shared" si="13"/>
        <v>5</v>
      </c>
      <c r="AH30" s="133">
        <f ca="1" t="shared" si="14"/>
        <v>103</v>
      </c>
    </row>
    <row r="31" spans="2:34">
      <c r="B31" s="10">
        <v>10</v>
      </c>
      <c r="C31" s="30"/>
      <c r="D31" s="30"/>
      <c r="E31" s="30"/>
      <c r="F31" s="30"/>
      <c r="G31" s="30"/>
      <c r="H31" s="30" t="s">
        <v>685</v>
      </c>
      <c r="I31" s="30"/>
      <c r="J31" s="30"/>
      <c r="K31" s="30">
        <v>30</v>
      </c>
      <c r="L31" s="30"/>
      <c r="M31" s="30"/>
      <c r="N31" s="30"/>
      <c r="O31" s="30"/>
      <c r="P31" s="30"/>
      <c r="Q31" s="30" t="s">
        <v>685</v>
      </c>
      <c r="S31" s="136">
        <v>10</v>
      </c>
      <c r="T31" s="133">
        <f ca="1" t="shared" si="0"/>
        <v>16</v>
      </c>
      <c r="U31" s="133">
        <f ca="1" t="shared" si="1"/>
        <v>3</v>
      </c>
      <c r="V31" s="133">
        <f ca="1" t="shared" si="2"/>
        <v>5</v>
      </c>
      <c r="W31" s="133">
        <f ca="1" t="shared" si="3"/>
        <v>50</v>
      </c>
      <c r="X31" s="133">
        <f ca="1" t="shared" si="4"/>
        <v>5.1</v>
      </c>
      <c r="Y31" s="133">
        <f ca="1" t="shared" si="5"/>
        <v>201</v>
      </c>
      <c r="Z31" s="133" t="str">
        <f ca="1" t="shared" si="6"/>
        <v>铜</v>
      </c>
      <c r="AA31" s="133">
        <f ca="1" t="shared" si="7"/>
        <v>9</v>
      </c>
      <c r="AB31" s="133">
        <f ca="1" t="shared" si="8"/>
        <v>30</v>
      </c>
      <c r="AC31" s="133">
        <f ca="1" t="shared" si="9"/>
        <v>4</v>
      </c>
      <c r="AD31" s="133">
        <f ca="1" t="shared" si="10"/>
        <v>4</v>
      </c>
      <c r="AE31" s="133">
        <f ca="1" t="shared" si="11"/>
        <v>3</v>
      </c>
      <c r="AF31" s="133">
        <f ca="1" t="shared" si="12"/>
        <v>40</v>
      </c>
      <c r="AG31" s="133">
        <f ca="1" t="shared" si="13"/>
        <v>5</v>
      </c>
      <c r="AH31" s="133">
        <f ca="1" t="shared" si="14"/>
        <v>103</v>
      </c>
    </row>
    <row r="32" spans="2:34">
      <c r="B32" s="10">
        <v>11</v>
      </c>
      <c r="C32" s="30">
        <v>17</v>
      </c>
      <c r="D32" s="30"/>
      <c r="E32" s="30"/>
      <c r="F32" s="30"/>
      <c r="G32" s="30"/>
      <c r="H32" s="30">
        <v>202</v>
      </c>
      <c r="I32" s="30"/>
      <c r="J32" s="30"/>
      <c r="K32" s="30"/>
      <c r="L32" s="30"/>
      <c r="M32" s="30"/>
      <c r="N32" s="30"/>
      <c r="O32" s="30"/>
      <c r="P32" s="30"/>
      <c r="Q32" s="30">
        <v>202</v>
      </c>
      <c r="S32" s="136">
        <v>11</v>
      </c>
      <c r="T32" s="133">
        <f ca="1" t="shared" si="0"/>
        <v>17</v>
      </c>
      <c r="U32" s="133">
        <f ca="1" t="shared" si="1"/>
        <v>3</v>
      </c>
      <c r="V32" s="133">
        <f ca="1" t="shared" si="2"/>
        <v>5</v>
      </c>
      <c r="W32" s="133">
        <f ca="1" t="shared" si="3"/>
        <v>50</v>
      </c>
      <c r="X32" s="133">
        <f ca="1" t="shared" si="4"/>
        <v>5.1</v>
      </c>
      <c r="Y32" s="133">
        <f ca="1" t="shared" si="5"/>
        <v>202</v>
      </c>
      <c r="Z32" s="133" t="str">
        <f ca="1" t="shared" si="6"/>
        <v>铜</v>
      </c>
      <c r="AA32" s="133">
        <f ca="1" t="shared" si="7"/>
        <v>9</v>
      </c>
      <c r="AB32" s="133">
        <f ca="1" t="shared" si="8"/>
        <v>30</v>
      </c>
      <c r="AC32" s="133">
        <f ca="1" t="shared" si="9"/>
        <v>4</v>
      </c>
      <c r="AD32" s="133">
        <f ca="1" t="shared" si="10"/>
        <v>4</v>
      </c>
      <c r="AE32" s="133">
        <f ca="1" t="shared" si="11"/>
        <v>3</v>
      </c>
      <c r="AF32" s="133">
        <f ca="1" t="shared" si="12"/>
        <v>40</v>
      </c>
      <c r="AG32" s="133">
        <f ca="1" t="shared" si="13"/>
        <v>5</v>
      </c>
      <c r="AH32" s="133">
        <f ca="1" t="shared" si="14"/>
        <v>202</v>
      </c>
    </row>
    <row r="33" spans="2:34">
      <c r="B33" s="10">
        <v>12</v>
      </c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S33" s="136">
        <v>12</v>
      </c>
      <c r="T33" s="133">
        <f ca="1" t="shared" si="0"/>
        <v>17</v>
      </c>
      <c r="U33" s="133">
        <f ca="1" t="shared" si="1"/>
        <v>3</v>
      </c>
      <c r="V33" s="133">
        <f ca="1" t="shared" si="2"/>
        <v>5</v>
      </c>
      <c r="W33" s="133">
        <f ca="1" t="shared" si="3"/>
        <v>50</v>
      </c>
      <c r="X33" s="133">
        <f ca="1" t="shared" si="4"/>
        <v>5.1</v>
      </c>
      <c r="Y33" s="133">
        <f ca="1" t="shared" si="5"/>
        <v>202</v>
      </c>
      <c r="Z33" s="133" t="str">
        <f ca="1" t="shared" si="6"/>
        <v>铜</v>
      </c>
      <c r="AA33" s="133">
        <f ca="1" t="shared" si="7"/>
        <v>9</v>
      </c>
      <c r="AB33" s="133">
        <f ca="1" t="shared" si="8"/>
        <v>30</v>
      </c>
      <c r="AC33" s="133">
        <f ca="1" t="shared" si="9"/>
        <v>4</v>
      </c>
      <c r="AD33" s="133">
        <f ca="1" t="shared" si="10"/>
        <v>4</v>
      </c>
      <c r="AE33" s="133">
        <f ca="1" t="shared" si="11"/>
        <v>3</v>
      </c>
      <c r="AF33" s="133">
        <f ca="1" t="shared" si="12"/>
        <v>40</v>
      </c>
      <c r="AG33" s="133">
        <f ca="1" t="shared" si="13"/>
        <v>5</v>
      </c>
      <c r="AH33" s="133">
        <f ca="1" t="shared" si="14"/>
        <v>202</v>
      </c>
    </row>
    <row r="34" spans="2:34">
      <c r="B34" s="10">
        <v>13</v>
      </c>
      <c r="C34" s="30"/>
      <c r="D34" s="30"/>
      <c r="E34" s="30"/>
      <c r="F34" s="30">
        <v>60</v>
      </c>
      <c r="G34" s="30"/>
      <c r="H34" s="30" t="s">
        <v>685</v>
      </c>
      <c r="I34" s="30"/>
      <c r="J34" s="30"/>
      <c r="K34" s="30"/>
      <c r="L34" s="30"/>
      <c r="M34" s="30"/>
      <c r="N34" s="30"/>
      <c r="O34" s="30">
        <v>50</v>
      </c>
      <c r="P34" s="30"/>
      <c r="Q34" s="30" t="s">
        <v>685</v>
      </c>
      <c r="S34" s="136">
        <v>13</v>
      </c>
      <c r="T34" s="133">
        <f ca="1" t="shared" si="0"/>
        <v>17</v>
      </c>
      <c r="U34" s="133">
        <f ca="1" t="shared" si="1"/>
        <v>3</v>
      </c>
      <c r="V34" s="133">
        <f ca="1" t="shared" si="2"/>
        <v>5</v>
      </c>
      <c r="W34" s="133">
        <f ca="1" t="shared" si="3"/>
        <v>60</v>
      </c>
      <c r="X34" s="133">
        <f ca="1" t="shared" si="4"/>
        <v>5.1</v>
      </c>
      <c r="Y34" s="133">
        <f ca="1" t="shared" si="5"/>
        <v>202</v>
      </c>
      <c r="Z34" s="133" t="str">
        <f ca="1" t="shared" si="6"/>
        <v>铜</v>
      </c>
      <c r="AA34" s="133">
        <f ca="1" t="shared" si="7"/>
        <v>9</v>
      </c>
      <c r="AB34" s="133">
        <f ca="1" t="shared" si="8"/>
        <v>30</v>
      </c>
      <c r="AC34" s="133">
        <f ca="1" t="shared" si="9"/>
        <v>4</v>
      </c>
      <c r="AD34" s="133">
        <f ca="1" t="shared" si="10"/>
        <v>4</v>
      </c>
      <c r="AE34" s="133">
        <f ca="1" t="shared" si="11"/>
        <v>3</v>
      </c>
      <c r="AF34" s="133">
        <f ca="1" t="shared" si="12"/>
        <v>50</v>
      </c>
      <c r="AG34" s="133">
        <f ca="1" t="shared" si="13"/>
        <v>5</v>
      </c>
      <c r="AH34" s="133">
        <f ca="1" t="shared" si="14"/>
        <v>202</v>
      </c>
    </row>
    <row r="35" spans="2:34">
      <c r="B35" s="10">
        <v>14</v>
      </c>
      <c r="C35" s="30">
        <v>18</v>
      </c>
      <c r="D35" s="30"/>
      <c r="E35" s="30"/>
      <c r="F35" s="30"/>
      <c r="G35" s="30"/>
      <c r="H35" s="30" t="s">
        <v>685</v>
      </c>
      <c r="I35" s="30"/>
      <c r="J35" s="30"/>
      <c r="K35" s="30"/>
      <c r="L35" s="30">
        <v>5</v>
      </c>
      <c r="M35" s="30">
        <v>5</v>
      </c>
      <c r="N35" s="30"/>
      <c r="O35" s="30"/>
      <c r="P35" s="30"/>
      <c r="Q35" s="30" t="s">
        <v>685</v>
      </c>
      <c r="S35" s="136">
        <v>14</v>
      </c>
      <c r="T35" s="133">
        <f ca="1" t="shared" si="0"/>
        <v>18</v>
      </c>
      <c r="U35" s="133">
        <f ca="1" t="shared" si="1"/>
        <v>3</v>
      </c>
      <c r="V35" s="133">
        <f ca="1" t="shared" si="2"/>
        <v>5</v>
      </c>
      <c r="W35" s="133">
        <f ca="1" t="shared" si="3"/>
        <v>60</v>
      </c>
      <c r="X35" s="133">
        <f ca="1" t="shared" si="4"/>
        <v>5.1</v>
      </c>
      <c r="Y35" s="133">
        <f ca="1" t="shared" si="5"/>
        <v>202</v>
      </c>
      <c r="Z35" s="133" t="str">
        <f ca="1" t="shared" si="6"/>
        <v>铜</v>
      </c>
      <c r="AA35" s="133">
        <f ca="1" t="shared" si="7"/>
        <v>9</v>
      </c>
      <c r="AB35" s="133">
        <f ca="1" t="shared" si="8"/>
        <v>30</v>
      </c>
      <c r="AC35" s="133">
        <f ca="1" t="shared" si="9"/>
        <v>5</v>
      </c>
      <c r="AD35" s="133">
        <f ca="1" t="shared" si="10"/>
        <v>5</v>
      </c>
      <c r="AE35" s="133">
        <f ca="1" t="shared" si="11"/>
        <v>3</v>
      </c>
      <c r="AF35" s="133">
        <f ca="1" t="shared" si="12"/>
        <v>50</v>
      </c>
      <c r="AG35" s="133">
        <f ca="1" t="shared" si="13"/>
        <v>5</v>
      </c>
      <c r="AH35" s="133">
        <f ca="1" t="shared" si="14"/>
        <v>202</v>
      </c>
    </row>
    <row r="36" spans="2:34">
      <c r="B36" s="10">
        <v>15</v>
      </c>
      <c r="C36" s="30"/>
      <c r="D36" s="30"/>
      <c r="E36" s="30"/>
      <c r="F36" s="30"/>
      <c r="G36" s="30"/>
      <c r="H36" s="30" t="s">
        <v>685</v>
      </c>
      <c r="I36" s="30"/>
      <c r="J36" s="30"/>
      <c r="K36" s="30"/>
      <c r="L36" s="30"/>
      <c r="M36" s="30"/>
      <c r="N36" s="30"/>
      <c r="O36" s="30"/>
      <c r="P36" s="30">
        <v>5.1</v>
      </c>
      <c r="Q36" s="30" t="s">
        <v>685</v>
      </c>
      <c r="S36" s="136">
        <v>15</v>
      </c>
      <c r="T36" s="133">
        <f ca="1" t="shared" si="0"/>
        <v>18</v>
      </c>
      <c r="U36" s="133">
        <f ca="1" t="shared" si="1"/>
        <v>3</v>
      </c>
      <c r="V36" s="133">
        <f ca="1" t="shared" si="2"/>
        <v>5</v>
      </c>
      <c r="W36" s="133">
        <f ca="1" t="shared" si="3"/>
        <v>60</v>
      </c>
      <c r="X36" s="133">
        <f ca="1" t="shared" si="4"/>
        <v>5.1</v>
      </c>
      <c r="Y36" s="133">
        <f ca="1" t="shared" si="5"/>
        <v>202</v>
      </c>
      <c r="Z36" s="133" t="str">
        <f ca="1" t="shared" si="6"/>
        <v>铜</v>
      </c>
      <c r="AA36" s="133">
        <f ca="1" t="shared" si="7"/>
        <v>9</v>
      </c>
      <c r="AB36" s="133">
        <f ca="1" t="shared" si="8"/>
        <v>30</v>
      </c>
      <c r="AC36" s="133">
        <f ca="1" t="shared" si="9"/>
        <v>5</v>
      </c>
      <c r="AD36" s="133">
        <f ca="1" t="shared" si="10"/>
        <v>5</v>
      </c>
      <c r="AE36" s="133">
        <f ca="1" t="shared" si="11"/>
        <v>3</v>
      </c>
      <c r="AF36" s="133">
        <f ca="1" t="shared" si="12"/>
        <v>50</v>
      </c>
      <c r="AG36" s="133">
        <f ca="1" t="shared" si="13"/>
        <v>5.1</v>
      </c>
      <c r="AH36" s="133">
        <f ca="1" t="shared" si="14"/>
        <v>202</v>
      </c>
    </row>
    <row r="37" spans="2:34">
      <c r="B37" s="10">
        <v>16</v>
      </c>
      <c r="C37" s="30"/>
      <c r="D37" s="30"/>
      <c r="E37" s="30"/>
      <c r="F37" s="30"/>
      <c r="G37" s="30"/>
      <c r="H37" s="30">
        <v>203</v>
      </c>
      <c r="I37" s="30"/>
      <c r="J37" s="30"/>
      <c r="K37" s="30"/>
      <c r="L37" s="30"/>
      <c r="M37" s="30"/>
      <c r="N37" s="30"/>
      <c r="O37" s="30"/>
      <c r="P37" s="30"/>
      <c r="Q37" s="30">
        <v>203</v>
      </c>
      <c r="S37" s="136">
        <v>16</v>
      </c>
      <c r="T37" s="133">
        <f ca="1" t="shared" si="0"/>
        <v>18</v>
      </c>
      <c r="U37" s="133">
        <f ca="1" t="shared" si="1"/>
        <v>3</v>
      </c>
      <c r="V37" s="133">
        <f ca="1" t="shared" si="2"/>
        <v>5</v>
      </c>
      <c r="W37" s="133">
        <f ca="1" t="shared" si="3"/>
        <v>60</v>
      </c>
      <c r="X37" s="133">
        <f ca="1" t="shared" si="4"/>
        <v>5.1</v>
      </c>
      <c r="Y37" s="133">
        <f ca="1" t="shared" si="5"/>
        <v>203</v>
      </c>
      <c r="Z37" s="133" t="str">
        <f ca="1" t="shared" si="6"/>
        <v>铜</v>
      </c>
      <c r="AA37" s="133">
        <f ca="1" t="shared" si="7"/>
        <v>9</v>
      </c>
      <c r="AB37" s="133">
        <f ca="1" t="shared" si="8"/>
        <v>30</v>
      </c>
      <c r="AC37" s="133">
        <f ca="1" t="shared" si="9"/>
        <v>5</v>
      </c>
      <c r="AD37" s="133">
        <f ca="1" t="shared" si="10"/>
        <v>5</v>
      </c>
      <c r="AE37" s="133">
        <f ca="1" t="shared" si="11"/>
        <v>3</v>
      </c>
      <c r="AF37" s="133">
        <f ca="1" t="shared" si="12"/>
        <v>50</v>
      </c>
      <c r="AG37" s="133">
        <f ca="1" t="shared" si="13"/>
        <v>5.1</v>
      </c>
      <c r="AH37" s="133">
        <f ca="1" t="shared" si="14"/>
        <v>203</v>
      </c>
    </row>
    <row r="38" spans="2:34">
      <c r="B38" s="10">
        <v>17</v>
      </c>
      <c r="C38" s="30">
        <v>19</v>
      </c>
      <c r="D38" s="30"/>
      <c r="E38" s="30"/>
      <c r="F38" s="30"/>
      <c r="G38" s="30"/>
      <c r="H38" s="30" t="s">
        <v>685</v>
      </c>
      <c r="I38" s="30"/>
      <c r="J38" s="30"/>
      <c r="K38" s="30"/>
      <c r="L38" s="30"/>
      <c r="M38" s="30"/>
      <c r="N38" s="30"/>
      <c r="O38" s="30"/>
      <c r="P38" s="30"/>
      <c r="Q38" s="30" t="s">
        <v>685</v>
      </c>
      <c r="S38" s="136">
        <v>17</v>
      </c>
      <c r="T38" s="133">
        <f ca="1" t="shared" ref="T38:T69" si="15">IF(C38="",INDIRECT(ADDRESS(ROW()-1,COLUMN())),C38)</f>
        <v>19</v>
      </c>
      <c r="U38" s="133">
        <f ca="1" t="shared" ref="U38:U69" si="16">IF(D38="",INDIRECT(ADDRESS(ROW()-1,COLUMN())),D38)</f>
        <v>3</v>
      </c>
      <c r="V38" s="133">
        <f ca="1" t="shared" ref="V38:V69" si="17">IF(E38="",INDIRECT(ADDRESS(ROW()-1,COLUMN())),E38)</f>
        <v>5</v>
      </c>
      <c r="W38" s="133">
        <f ca="1" t="shared" ref="W38:W69" si="18">IF(F38="",INDIRECT(ADDRESS(ROW()-1,COLUMN())),F38)</f>
        <v>60</v>
      </c>
      <c r="X38" s="133">
        <f ca="1" t="shared" ref="X38:X69" si="19">IF(G38="",INDIRECT(ADDRESS(ROW()-1,COLUMN())),G38)</f>
        <v>5.1</v>
      </c>
      <c r="Y38" s="133">
        <f ca="1" t="shared" ref="Y38:Y69" si="20">IF(H38="",INDIRECT(ADDRESS(ROW()-1,COLUMN())),H38)</f>
        <v>203</v>
      </c>
      <c r="Z38" s="133" t="str">
        <f ca="1" t="shared" ref="Z38:Z69" si="21">IF(I38="",INDIRECT(ADDRESS(ROW()-1,COLUMN())),I38)</f>
        <v>铜</v>
      </c>
      <c r="AA38" s="133">
        <f ca="1" t="shared" ref="AA38:AA69" si="22">IF(J38="",INDIRECT(ADDRESS(ROW()-1,COLUMN())),J38)</f>
        <v>9</v>
      </c>
      <c r="AB38" s="133">
        <f ca="1" t="shared" ref="AB38:AB69" si="23">IF(K38="",INDIRECT(ADDRESS(ROW()-1,COLUMN())),K38)</f>
        <v>30</v>
      </c>
      <c r="AC38" s="133">
        <f ca="1" t="shared" ref="AC38:AC69" si="24">IF(L38="",INDIRECT(ADDRESS(ROW()-1,COLUMN())),L38)</f>
        <v>5</v>
      </c>
      <c r="AD38" s="133">
        <f ca="1" t="shared" ref="AD38:AD69" si="25">IF(M38="",INDIRECT(ADDRESS(ROW()-1,COLUMN())),M38)</f>
        <v>5</v>
      </c>
      <c r="AE38" s="133">
        <f ca="1" t="shared" ref="AE38:AE69" si="26">IF(N38="",INDIRECT(ADDRESS(ROW()-1,COLUMN())),N38)</f>
        <v>3</v>
      </c>
      <c r="AF38" s="133">
        <f ca="1" t="shared" ref="AF38:AF69" si="27">IF(O38="",INDIRECT(ADDRESS(ROW()-1,COLUMN())),O38)</f>
        <v>50</v>
      </c>
      <c r="AG38" s="133">
        <f ca="1" t="shared" ref="AG38:AG69" si="28">IF(P38="",INDIRECT(ADDRESS(ROW()-1,COLUMN())),P38)</f>
        <v>5.1</v>
      </c>
      <c r="AH38" s="133">
        <f ca="1" t="shared" ref="AH38:AH69" si="29">IF(Q38="",INDIRECT(ADDRESS(ROW()-1,COLUMN())),Q38)</f>
        <v>203</v>
      </c>
    </row>
    <row r="39" spans="2:34">
      <c r="B39" s="10">
        <v>18</v>
      </c>
      <c r="C39" s="30"/>
      <c r="D39" s="30"/>
      <c r="E39" s="30"/>
      <c r="F39" s="30"/>
      <c r="G39" s="30">
        <v>6</v>
      </c>
      <c r="H39" s="30"/>
      <c r="I39" s="30"/>
      <c r="J39" s="30"/>
      <c r="K39" s="30"/>
      <c r="L39" s="30"/>
      <c r="M39" s="30"/>
      <c r="N39" s="30"/>
      <c r="O39" s="30"/>
      <c r="P39" s="30"/>
      <c r="Q39" s="30"/>
      <c r="S39" s="136">
        <v>18</v>
      </c>
      <c r="T39" s="133">
        <f ca="1" t="shared" si="15"/>
        <v>19</v>
      </c>
      <c r="U39" s="133">
        <f ca="1" t="shared" si="16"/>
        <v>3</v>
      </c>
      <c r="V39" s="133">
        <f ca="1" t="shared" si="17"/>
        <v>5</v>
      </c>
      <c r="W39" s="133">
        <f ca="1" t="shared" si="18"/>
        <v>60</v>
      </c>
      <c r="X39" s="133">
        <f ca="1" t="shared" si="19"/>
        <v>6</v>
      </c>
      <c r="Y39" s="133">
        <f ca="1" t="shared" si="20"/>
        <v>203</v>
      </c>
      <c r="Z39" s="133" t="str">
        <f ca="1" t="shared" si="21"/>
        <v>铜</v>
      </c>
      <c r="AA39" s="133">
        <f ca="1" t="shared" si="22"/>
        <v>9</v>
      </c>
      <c r="AB39" s="133">
        <f ca="1" t="shared" si="23"/>
        <v>30</v>
      </c>
      <c r="AC39" s="133">
        <f ca="1" t="shared" si="24"/>
        <v>5</v>
      </c>
      <c r="AD39" s="133">
        <f ca="1" t="shared" si="25"/>
        <v>5</v>
      </c>
      <c r="AE39" s="133">
        <f ca="1" t="shared" si="26"/>
        <v>3</v>
      </c>
      <c r="AF39" s="133">
        <f ca="1" t="shared" si="27"/>
        <v>50</v>
      </c>
      <c r="AG39" s="133">
        <f ca="1" t="shared" si="28"/>
        <v>5.1</v>
      </c>
      <c r="AH39" s="133">
        <f ca="1" t="shared" si="29"/>
        <v>203</v>
      </c>
    </row>
    <row r="40" spans="2:34">
      <c r="B40" s="10">
        <v>19</v>
      </c>
      <c r="C40" s="30"/>
      <c r="D40" s="30"/>
      <c r="E40" s="30"/>
      <c r="F40" s="30"/>
      <c r="G40" s="30"/>
      <c r="H40" s="30" t="s">
        <v>685</v>
      </c>
      <c r="I40" s="30"/>
      <c r="J40" s="30"/>
      <c r="K40" s="30"/>
      <c r="L40" s="30"/>
      <c r="M40" s="30"/>
      <c r="N40" s="30"/>
      <c r="O40" s="30"/>
      <c r="P40" s="30"/>
      <c r="Q40" s="30" t="s">
        <v>685</v>
      </c>
      <c r="S40" s="136">
        <v>19</v>
      </c>
      <c r="T40" s="133">
        <f ca="1" t="shared" si="15"/>
        <v>19</v>
      </c>
      <c r="U40" s="133">
        <f ca="1" t="shared" si="16"/>
        <v>3</v>
      </c>
      <c r="V40" s="133">
        <f ca="1" t="shared" si="17"/>
        <v>5</v>
      </c>
      <c r="W40" s="133">
        <f ca="1" t="shared" si="18"/>
        <v>60</v>
      </c>
      <c r="X40" s="133">
        <f ca="1" t="shared" si="19"/>
        <v>6</v>
      </c>
      <c r="Y40" s="133">
        <f ca="1" t="shared" si="20"/>
        <v>203</v>
      </c>
      <c r="Z40" s="133" t="str">
        <f ca="1" t="shared" si="21"/>
        <v>铜</v>
      </c>
      <c r="AA40" s="133">
        <f ca="1" t="shared" si="22"/>
        <v>9</v>
      </c>
      <c r="AB40" s="133">
        <f ca="1" t="shared" si="23"/>
        <v>30</v>
      </c>
      <c r="AC40" s="133">
        <f ca="1" t="shared" si="24"/>
        <v>5</v>
      </c>
      <c r="AD40" s="133">
        <f ca="1" t="shared" si="25"/>
        <v>5</v>
      </c>
      <c r="AE40" s="133">
        <f ca="1" t="shared" si="26"/>
        <v>3</v>
      </c>
      <c r="AF40" s="133">
        <f ca="1" t="shared" si="27"/>
        <v>50</v>
      </c>
      <c r="AG40" s="133">
        <f ca="1" t="shared" si="28"/>
        <v>5.1</v>
      </c>
      <c r="AH40" s="133">
        <f ca="1" t="shared" si="29"/>
        <v>203</v>
      </c>
    </row>
    <row r="41" spans="2:34">
      <c r="B41" s="10">
        <v>20</v>
      </c>
      <c r="C41" s="30">
        <v>20</v>
      </c>
      <c r="D41" s="30"/>
      <c r="E41" s="30"/>
      <c r="F41" s="30"/>
      <c r="G41" s="30"/>
      <c r="H41" s="30"/>
      <c r="I41" s="30" t="s">
        <v>86</v>
      </c>
      <c r="J41" s="30"/>
      <c r="K41" s="30"/>
      <c r="L41" s="30"/>
      <c r="M41" s="30">
        <v>6</v>
      </c>
      <c r="N41" s="30"/>
      <c r="O41" s="30">
        <v>60</v>
      </c>
      <c r="P41" s="30"/>
      <c r="Q41" s="30"/>
      <c r="S41" s="136">
        <v>20</v>
      </c>
      <c r="T41" s="133">
        <f ca="1" t="shared" si="15"/>
        <v>20</v>
      </c>
      <c r="U41" s="133">
        <f ca="1" t="shared" si="16"/>
        <v>3</v>
      </c>
      <c r="V41" s="133">
        <f ca="1" t="shared" si="17"/>
        <v>5</v>
      </c>
      <c r="W41" s="133">
        <f ca="1" t="shared" si="18"/>
        <v>60</v>
      </c>
      <c r="X41" s="133">
        <f ca="1" t="shared" si="19"/>
        <v>6</v>
      </c>
      <c r="Y41" s="133">
        <f ca="1" t="shared" si="20"/>
        <v>203</v>
      </c>
      <c r="Z41" s="133" t="str">
        <f ca="1" t="shared" si="21"/>
        <v>银</v>
      </c>
      <c r="AA41" s="133">
        <f ca="1" t="shared" si="22"/>
        <v>9</v>
      </c>
      <c r="AB41" s="133">
        <f ca="1" t="shared" si="23"/>
        <v>30</v>
      </c>
      <c r="AC41" s="133">
        <f ca="1" t="shared" si="24"/>
        <v>5</v>
      </c>
      <c r="AD41" s="133">
        <f ca="1" t="shared" si="25"/>
        <v>6</v>
      </c>
      <c r="AE41" s="133">
        <f ca="1" t="shared" si="26"/>
        <v>3</v>
      </c>
      <c r="AF41" s="133">
        <f ca="1" t="shared" si="27"/>
        <v>60</v>
      </c>
      <c r="AG41" s="133">
        <f ca="1" t="shared" si="28"/>
        <v>5.1</v>
      </c>
      <c r="AH41" s="133">
        <f ca="1" t="shared" si="29"/>
        <v>203</v>
      </c>
    </row>
    <row r="42" spans="2:34">
      <c r="B42" s="10">
        <v>21</v>
      </c>
      <c r="C42" s="30"/>
      <c r="D42" s="30"/>
      <c r="E42" s="30"/>
      <c r="F42" s="30"/>
      <c r="G42" s="30"/>
      <c r="H42" s="30">
        <v>204</v>
      </c>
      <c r="I42" s="30"/>
      <c r="J42" s="30"/>
      <c r="K42" s="30"/>
      <c r="L42" s="30"/>
      <c r="M42" s="30"/>
      <c r="N42" s="30"/>
      <c r="O42" s="30"/>
      <c r="P42" s="30"/>
      <c r="Q42" s="30">
        <v>204</v>
      </c>
      <c r="S42" s="136">
        <v>21</v>
      </c>
      <c r="T42" s="133">
        <f ca="1" t="shared" si="15"/>
        <v>20</v>
      </c>
      <c r="U42" s="133">
        <f ca="1" t="shared" si="16"/>
        <v>3</v>
      </c>
      <c r="V42" s="133">
        <f ca="1" t="shared" si="17"/>
        <v>5</v>
      </c>
      <c r="W42" s="133">
        <f ca="1" t="shared" si="18"/>
        <v>60</v>
      </c>
      <c r="X42" s="133">
        <f ca="1" t="shared" si="19"/>
        <v>6</v>
      </c>
      <c r="Y42" s="133">
        <f ca="1" t="shared" si="20"/>
        <v>204</v>
      </c>
      <c r="Z42" s="133" t="str">
        <f ca="1" t="shared" si="21"/>
        <v>银</v>
      </c>
      <c r="AA42" s="133">
        <f ca="1" t="shared" si="22"/>
        <v>9</v>
      </c>
      <c r="AB42" s="133">
        <f ca="1" t="shared" si="23"/>
        <v>30</v>
      </c>
      <c r="AC42" s="133">
        <f ca="1" t="shared" si="24"/>
        <v>5</v>
      </c>
      <c r="AD42" s="133">
        <f ca="1" t="shared" si="25"/>
        <v>6</v>
      </c>
      <c r="AE42" s="133">
        <f ca="1" t="shared" si="26"/>
        <v>3</v>
      </c>
      <c r="AF42" s="133">
        <f ca="1" t="shared" si="27"/>
        <v>60</v>
      </c>
      <c r="AG42" s="133">
        <f ca="1" t="shared" si="28"/>
        <v>5.1</v>
      </c>
      <c r="AH42" s="133">
        <f ca="1" t="shared" si="29"/>
        <v>204</v>
      </c>
    </row>
    <row r="43" spans="2:34">
      <c r="B43" s="10">
        <v>22</v>
      </c>
      <c r="C43" s="30"/>
      <c r="D43" s="30"/>
      <c r="E43" s="30"/>
      <c r="F43" s="30"/>
      <c r="G43" s="30"/>
      <c r="H43" s="30" t="s">
        <v>685</v>
      </c>
      <c r="I43" s="30"/>
      <c r="J43" s="30"/>
      <c r="K43" s="30"/>
      <c r="L43" s="30"/>
      <c r="M43" s="30"/>
      <c r="N43" s="30"/>
      <c r="O43" s="30"/>
      <c r="P43" s="30"/>
      <c r="Q43" s="30" t="s">
        <v>685</v>
      </c>
      <c r="S43" s="136">
        <v>22</v>
      </c>
      <c r="T43" s="133">
        <f ca="1" t="shared" si="15"/>
        <v>20</v>
      </c>
      <c r="U43" s="133">
        <f ca="1" t="shared" si="16"/>
        <v>3</v>
      </c>
      <c r="V43" s="133">
        <f ca="1" t="shared" si="17"/>
        <v>5</v>
      </c>
      <c r="W43" s="133">
        <f ca="1" t="shared" si="18"/>
        <v>60</v>
      </c>
      <c r="X43" s="133">
        <f ca="1" t="shared" si="19"/>
        <v>6</v>
      </c>
      <c r="Y43" s="133">
        <f ca="1" t="shared" si="20"/>
        <v>204</v>
      </c>
      <c r="Z43" s="133" t="str">
        <f ca="1" t="shared" si="21"/>
        <v>银</v>
      </c>
      <c r="AA43" s="133">
        <f ca="1" t="shared" si="22"/>
        <v>9</v>
      </c>
      <c r="AB43" s="133">
        <f ca="1" t="shared" si="23"/>
        <v>30</v>
      </c>
      <c r="AC43" s="133">
        <f ca="1" t="shared" si="24"/>
        <v>5</v>
      </c>
      <c r="AD43" s="133">
        <f ca="1" t="shared" si="25"/>
        <v>6</v>
      </c>
      <c r="AE43" s="133">
        <f ca="1" t="shared" si="26"/>
        <v>3</v>
      </c>
      <c r="AF43" s="133">
        <f ca="1" t="shared" si="27"/>
        <v>60</v>
      </c>
      <c r="AG43" s="133">
        <f ca="1" t="shared" si="28"/>
        <v>5.1</v>
      </c>
      <c r="AH43" s="133">
        <f ca="1" t="shared" si="29"/>
        <v>204</v>
      </c>
    </row>
    <row r="44" spans="2:34">
      <c r="B44" s="10">
        <v>23</v>
      </c>
      <c r="C44" s="30">
        <v>21</v>
      </c>
      <c r="D44" s="30">
        <v>4</v>
      </c>
      <c r="E44" s="30"/>
      <c r="F44" s="30"/>
      <c r="G44" s="30"/>
      <c r="H44" s="30" t="s">
        <v>685</v>
      </c>
      <c r="I44" s="30"/>
      <c r="J44" s="30"/>
      <c r="K44" s="30"/>
      <c r="L44" s="30"/>
      <c r="M44" s="30"/>
      <c r="N44" s="30"/>
      <c r="O44" s="30"/>
      <c r="P44" s="30">
        <v>6</v>
      </c>
      <c r="Q44" s="30" t="s">
        <v>685</v>
      </c>
      <c r="S44" s="136">
        <v>23</v>
      </c>
      <c r="T44" s="133">
        <f ca="1" t="shared" si="15"/>
        <v>21</v>
      </c>
      <c r="U44" s="133">
        <f ca="1" t="shared" si="16"/>
        <v>4</v>
      </c>
      <c r="V44" s="133">
        <f ca="1" t="shared" si="17"/>
        <v>5</v>
      </c>
      <c r="W44" s="133">
        <f ca="1" t="shared" si="18"/>
        <v>60</v>
      </c>
      <c r="X44" s="133">
        <f ca="1" t="shared" si="19"/>
        <v>6</v>
      </c>
      <c r="Y44" s="133">
        <f ca="1" t="shared" si="20"/>
        <v>204</v>
      </c>
      <c r="Z44" s="133" t="str">
        <f ca="1" t="shared" si="21"/>
        <v>银</v>
      </c>
      <c r="AA44" s="133">
        <f ca="1" t="shared" si="22"/>
        <v>9</v>
      </c>
      <c r="AB44" s="133">
        <f ca="1" t="shared" si="23"/>
        <v>30</v>
      </c>
      <c r="AC44" s="133">
        <f ca="1" t="shared" si="24"/>
        <v>5</v>
      </c>
      <c r="AD44" s="133">
        <f ca="1" t="shared" si="25"/>
        <v>6</v>
      </c>
      <c r="AE44" s="133">
        <f ca="1" t="shared" si="26"/>
        <v>3</v>
      </c>
      <c r="AF44" s="133">
        <f ca="1" t="shared" si="27"/>
        <v>60</v>
      </c>
      <c r="AG44" s="133">
        <f ca="1" t="shared" si="28"/>
        <v>6</v>
      </c>
      <c r="AH44" s="133">
        <f ca="1" t="shared" si="29"/>
        <v>204</v>
      </c>
    </row>
    <row r="45" spans="2:34">
      <c r="B45" s="10">
        <v>24</v>
      </c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S45" s="136">
        <v>24</v>
      </c>
      <c r="T45" s="133">
        <f ca="1" t="shared" si="15"/>
        <v>21</v>
      </c>
      <c r="U45" s="133">
        <f ca="1" t="shared" si="16"/>
        <v>4</v>
      </c>
      <c r="V45" s="133">
        <f ca="1" t="shared" si="17"/>
        <v>5</v>
      </c>
      <c r="W45" s="133">
        <f ca="1" t="shared" si="18"/>
        <v>60</v>
      </c>
      <c r="X45" s="133">
        <f ca="1" t="shared" si="19"/>
        <v>6</v>
      </c>
      <c r="Y45" s="133">
        <f ca="1" t="shared" si="20"/>
        <v>204</v>
      </c>
      <c r="Z45" s="133" t="str">
        <f ca="1" t="shared" si="21"/>
        <v>银</v>
      </c>
      <c r="AA45" s="133">
        <f ca="1" t="shared" si="22"/>
        <v>9</v>
      </c>
      <c r="AB45" s="133">
        <f ca="1" t="shared" si="23"/>
        <v>30</v>
      </c>
      <c r="AC45" s="133">
        <f ca="1" t="shared" si="24"/>
        <v>5</v>
      </c>
      <c r="AD45" s="133">
        <f ca="1" t="shared" si="25"/>
        <v>6</v>
      </c>
      <c r="AE45" s="133">
        <f ca="1" t="shared" si="26"/>
        <v>3</v>
      </c>
      <c r="AF45" s="133">
        <f ca="1" t="shared" si="27"/>
        <v>60</v>
      </c>
      <c r="AG45" s="133">
        <f ca="1" t="shared" si="28"/>
        <v>6</v>
      </c>
      <c r="AH45" s="133">
        <f ca="1" t="shared" si="29"/>
        <v>204</v>
      </c>
    </row>
    <row r="46" spans="2:34">
      <c r="B46" s="10">
        <v>25</v>
      </c>
      <c r="C46" s="30"/>
      <c r="D46" s="30"/>
      <c r="E46" s="30"/>
      <c r="F46" s="30">
        <v>70</v>
      </c>
      <c r="G46" s="30"/>
      <c r="H46" s="30" t="s">
        <v>685</v>
      </c>
      <c r="I46" s="30"/>
      <c r="J46" s="30"/>
      <c r="K46" s="30"/>
      <c r="L46" s="30"/>
      <c r="M46" s="30"/>
      <c r="N46" s="30"/>
      <c r="O46" s="30"/>
      <c r="P46" s="30"/>
      <c r="Q46" s="30" t="s">
        <v>685</v>
      </c>
      <c r="S46" s="136">
        <v>25</v>
      </c>
      <c r="T46" s="133">
        <f ca="1" t="shared" si="15"/>
        <v>21</v>
      </c>
      <c r="U46" s="133">
        <f ca="1" t="shared" si="16"/>
        <v>4</v>
      </c>
      <c r="V46" s="133">
        <f ca="1" t="shared" si="17"/>
        <v>5</v>
      </c>
      <c r="W46" s="133">
        <f ca="1" t="shared" si="18"/>
        <v>70</v>
      </c>
      <c r="X46" s="133">
        <f ca="1" t="shared" si="19"/>
        <v>6</v>
      </c>
      <c r="Y46" s="133">
        <f ca="1" t="shared" si="20"/>
        <v>204</v>
      </c>
      <c r="Z46" s="133" t="str">
        <f ca="1" t="shared" si="21"/>
        <v>银</v>
      </c>
      <c r="AA46" s="133">
        <f ca="1" t="shared" si="22"/>
        <v>9</v>
      </c>
      <c r="AB46" s="133">
        <f ca="1" t="shared" si="23"/>
        <v>30</v>
      </c>
      <c r="AC46" s="133">
        <f ca="1" t="shared" si="24"/>
        <v>5</v>
      </c>
      <c r="AD46" s="133">
        <f ca="1" t="shared" si="25"/>
        <v>6</v>
      </c>
      <c r="AE46" s="133">
        <f ca="1" t="shared" si="26"/>
        <v>3</v>
      </c>
      <c r="AF46" s="133">
        <f ca="1" t="shared" si="27"/>
        <v>60</v>
      </c>
      <c r="AG46" s="133">
        <f ca="1" t="shared" si="28"/>
        <v>6</v>
      </c>
      <c r="AH46" s="133">
        <f ca="1" t="shared" si="29"/>
        <v>204</v>
      </c>
    </row>
    <row r="47" spans="2:34">
      <c r="B47" s="10">
        <v>26</v>
      </c>
      <c r="C47" s="30">
        <v>22</v>
      </c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S47" s="136">
        <v>26</v>
      </c>
      <c r="T47" s="133">
        <f ca="1" t="shared" si="15"/>
        <v>22</v>
      </c>
      <c r="U47" s="133">
        <f ca="1" t="shared" si="16"/>
        <v>4</v>
      </c>
      <c r="V47" s="133">
        <f ca="1" t="shared" si="17"/>
        <v>5</v>
      </c>
      <c r="W47" s="133">
        <f ca="1" t="shared" si="18"/>
        <v>70</v>
      </c>
      <c r="X47" s="133">
        <f ca="1" t="shared" si="19"/>
        <v>6</v>
      </c>
      <c r="Y47" s="133">
        <f ca="1" t="shared" si="20"/>
        <v>204</v>
      </c>
      <c r="Z47" s="133" t="str">
        <f ca="1" t="shared" si="21"/>
        <v>银</v>
      </c>
      <c r="AA47" s="133">
        <f ca="1" t="shared" si="22"/>
        <v>9</v>
      </c>
      <c r="AB47" s="133">
        <f ca="1" t="shared" si="23"/>
        <v>30</v>
      </c>
      <c r="AC47" s="133">
        <f ca="1" t="shared" si="24"/>
        <v>5</v>
      </c>
      <c r="AD47" s="133">
        <f ca="1" t="shared" si="25"/>
        <v>6</v>
      </c>
      <c r="AE47" s="133">
        <f ca="1" t="shared" si="26"/>
        <v>3</v>
      </c>
      <c r="AF47" s="133">
        <f ca="1" t="shared" si="27"/>
        <v>60</v>
      </c>
      <c r="AG47" s="133">
        <f ca="1" t="shared" si="28"/>
        <v>6</v>
      </c>
      <c r="AH47" s="133">
        <f ca="1" t="shared" si="29"/>
        <v>204</v>
      </c>
    </row>
    <row r="48" spans="2:34">
      <c r="B48" s="10">
        <v>27</v>
      </c>
      <c r="C48" s="30"/>
      <c r="D48" s="30"/>
      <c r="E48" s="30"/>
      <c r="F48" s="30"/>
      <c r="G48" s="30"/>
      <c r="H48" s="30">
        <v>205</v>
      </c>
      <c r="I48" s="30"/>
      <c r="J48" s="30"/>
      <c r="K48" s="30"/>
      <c r="L48" s="30"/>
      <c r="M48" s="30"/>
      <c r="N48" s="30"/>
      <c r="O48" s="30"/>
      <c r="P48" s="30"/>
      <c r="Q48" s="30">
        <v>205</v>
      </c>
      <c r="S48" s="136">
        <v>27</v>
      </c>
      <c r="T48" s="133">
        <f ca="1" t="shared" si="15"/>
        <v>22</v>
      </c>
      <c r="U48" s="133">
        <f ca="1" t="shared" si="16"/>
        <v>4</v>
      </c>
      <c r="V48" s="133">
        <f ca="1" t="shared" si="17"/>
        <v>5</v>
      </c>
      <c r="W48" s="133">
        <f ca="1" t="shared" si="18"/>
        <v>70</v>
      </c>
      <c r="X48" s="133">
        <f ca="1" t="shared" si="19"/>
        <v>6</v>
      </c>
      <c r="Y48" s="133">
        <f ca="1" t="shared" si="20"/>
        <v>205</v>
      </c>
      <c r="Z48" s="133" t="str">
        <f ca="1" t="shared" si="21"/>
        <v>银</v>
      </c>
      <c r="AA48" s="133">
        <f ca="1" t="shared" si="22"/>
        <v>9</v>
      </c>
      <c r="AB48" s="133">
        <f ca="1" t="shared" si="23"/>
        <v>30</v>
      </c>
      <c r="AC48" s="133">
        <f ca="1" t="shared" si="24"/>
        <v>5</v>
      </c>
      <c r="AD48" s="133">
        <f ca="1" t="shared" si="25"/>
        <v>6</v>
      </c>
      <c r="AE48" s="133">
        <f ca="1" t="shared" si="26"/>
        <v>3</v>
      </c>
      <c r="AF48" s="133">
        <f ca="1" t="shared" si="27"/>
        <v>60</v>
      </c>
      <c r="AG48" s="133">
        <f ca="1" t="shared" si="28"/>
        <v>6</v>
      </c>
      <c r="AH48" s="133">
        <f ca="1" t="shared" si="29"/>
        <v>205</v>
      </c>
    </row>
    <row r="49" spans="2:34">
      <c r="B49" s="10">
        <v>28</v>
      </c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S49" s="136">
        <v>28</v>
      </c>
      <c r="T49" s="133">
        <f ca="1" t="shared" si="15"/>
        <v>22</v>
      </c>
      <c r="U49" s="133">
        <f ca="1" t="shared" si="16"/>
        <v>4</v>
      </c>
      <c r="V49" s="133">
        <f ca="1" t="shared" si="17"/>
        <v>5</v>
      </c>
      <c r="W49" s="133">
        <f ca="1" t="shared" si="18"/>
        <v>70</v>
      </c>
      <c r="X49" s="133">
        <f ca="1" t="shared" si="19"/>
        <v>6</v>
      </c>
      <c r="Y49" s="133">
        <f ca="1" t="shared" si="20"/>
        <v>205</v>
      </c>
      <c r="Z49" s="133" t="str">
        <f ca="1" t="shared" si="21"/>
        <v>银</v>
      </c>
      <c r="AA49" s="133">
        <f ca="1" t="shared" si="22"/>
        <v>9</v>
      </c>
      <c r="AB49" s="133">
        <f ca="1" t="shared" si="23"/>
        <v>30</v>
      </c>
      <c r="AC49" s="133">
        <f ca="1" t="shared" si="24"/>
        <v>5</v>
      </c>
      <c r="AD49" s="133">
        <f ca="1" t="shared" si="25"/>
        <v>6</v>
      </c>
      <c r="AE49" s="133">
        <f ca="1" t="shared" si="26"/>
        <v>3</v>
      </c>
      <c r="AF49" s="133">
        <f ca="1" t="shared" si="27"/>
        <v>60</v>
      </c>
      <c r="AG49" s="133">
        <f ca="1" t="shared" si="28"/>
        <v>6</v>
      </c>
      <c r="AH49" s="133">
        <f ca="1" t="shared" si="29"/>
        <v>205</v>
      </c>
    </row>
    <row r="50" spans="2:34">
      <c r="B50" s="10">
        <v>29</v>
      </c>
      <c r="C50" s="30"/>
      <c r="D50" s="30"/>
      <c r="E50" s="30"/>
      <c r="F50" s="30"/>
      <c r="G50" s="30"/>
      <c r="H50" s="30">
        <v>301</v>
      </c>
      <c r="I50" s="30"/>
      <c r="J50" s="30"/>
      <c r="K50" s="30"/>
      <c r="L50" s="30">
        <v>6</v>
      </c>
      <c r="M50" s="30"/>
      <c r="N50" s="30"/>
      <c r="O50" s="30"/>
      <c r="P50" s="30"/>
      <c r="Q50" s="30">
        <v>301</v>
      </c>
      <c r="S50" s="136">
        <v>29</v>
      </c>
      <c r="T50" s="133">
        <f ca="1" t="shared" si="15"/>
        <v>22</v>
      </c>
      <c r="U50" s="133">
        <f ca="1" t="shared" si="16"/>
        <v>4</v>
      </c>
      <c r="V50" s="133">
        <f ca="1" t="shared" si="17"/>
        <v>5</v>
      </c>
      <c r="W50" s="133">
        <f ca="1" t="shared" si="18"/>
        <v>70</v>
      </c>
      <c r="X50" s="133">
        <f ca="1" t="shared" si="19"/>
        <v>6</v>
      </c>
      <c r="Y50" s="133">
        <f ca="1" t="shared" si="20"/>
        <v>301</v>
      </c>
      <c r="Z50" s="133" t="str">
        <f ca="1" t="shared" si="21"/>
        <v>银</v>
      </c>
      <c r="AA50" s="133">
        <f ca="1" t="shared" si="22"/>
        <v>9</v>
      </c>
      <c r="AB50" s="133">
        <f ca="1" t="shared" si="23"/>
        <v>30</v>
      </c>
      <c r="AC50" s="133">
        <f ca="1" t="shared" si="24"/>
        <v>6</v>
      </c>
      <c r="AD50" s="133">
        <f ca="1" t="shared" si="25"/>
        <v>6</v>
      </c>
      <c r="AE50" s="133">
        <f ca="1" t="shared" si="26"/>
        <v>3</v>
      </c>
      <c r="AF50" s="133">
        <f ca="1" t="shared" si="27"/>
        <v>60</v>
      </c>
      <c r="AG50" s="133">
        <f ca="1" t="shared" si="28"/>
        <v>6</v>
      </c>
      <c r="AH50" s="133">
        <f ca="1" t="shared" si="29"/>
        <v>301</v>
      </c>
    </row>
    <row r="51" spans="2:34">
      <c r="B51" s="10">
        <v>30</v>
      </c>
      <c r="C51" s="30">
        <v>23</v>
      </c>
      <c r="D51" s="30"/>
      <c r="E51" s="30"/>
      <c r="F51" s="30"/>
      <c r="G51" s="30"/>
      <c r="H51" s="30">
        <v>302</v>
      </c>
      <c r="I51" s="30"/>
      <c r="J51" s="30"/>
      <c r="K51" s="30">
        <v>40</v>
      </c>
      <c r="L51" s="30"/>
      <c r="M51" s="30">
        <v>7</v>
      </c>
      <c r="N51" s="30"/>
      <c r="O51" s="30">
        <v>70</v>
      </c>
      <c r="P51" s="30"/>
      <c r="Q51" s="30">
        <v>302</v>
      </c>
      <c r="S51" s="136">
        <v>30</v>
      </c>
      <c r="T51" s="133">
        <f ca="1" t="shared" si="15"/>
        <v>23</v>
      </c>
      <c r="U51" s="133">
        <f ca="1" t="shared" si="16"/>
        <v>4</v>
      </c>
      <c r="V51" s="133">
        <f ca="1" t="shared" si="17"/>
        <v>5</v>
      </c>
      <c r="W51" s="133">
        <f ca="1" t="shared" si="18"/>
        <v>70</v>
      </c>
      <c r="X51" s="133">
        <f ca="1" t="shared" si="19"/>
        <v>6</v>
      </c>
      <c r="Y51" s="133">
        <f ca="1" t="shared" si="20"/>
        <v>302</v>
      </c>
      <c r="Z51" s="133" t="str">
        <f ca="1" t="shared" si="21"/>
        <v>银</v>
      </c>
      <c r="AA51" s="133">
        <f ca="1" t="shared" si="22"/>
        <v>9</v>
      </c>
      <c r="AB51" s="133">
        <f ca="1" t="shared" si="23"/>
        <v>40</v>
      </c>
      <c r="AC51" s="133">
        <f ca="1" t="shared" si="24"/>
        <v>6</v>
      </c>
      <c r="AD51" s="133">
        <f ca="1" t="shared" si="25"/>
        <v>7</v>
      </c>
      <c r="AE51" s="133">
        <f ca="1" t="shared" si="26"/>
        <v>3</v>
      </c>
      <c r="AF51" s="133">
        <f ca="1" t="shared" si="27"/>
        <v>70</v>
      </c>
      <c r="AG51" s="133">
        <f ca="1" t="shared" si="28"/>
        <v>6</v>
      </c>
      <c r="AH51" s="133">
        <f ca="1" t="shared" si="29"/>
        <v>302</v>
      </c>
    </row>
    <row r="52" spans="2:34">
      <c r="B52" s="11">
        <v>35</v>
      </c>
      <c r="C52" s="30"/>
      <c r="D52" s="30"/>
      <c r="E52" s="30"/>
      <c r="F52" s="30"/>
      <c r="G52" s="30"/>
      <c r="H52" s="30">
        <v>303</v>
      </c>
      <c r="I52" s="30"/>
      <c r="J52" s="30"/>
      <c r="K52" s="30"/>
      <c r="L52" s="30"/>
      <c r="M52" s="30"/>
      <c r="N52" s="30"/>
      <c r="O52" s="30"/>
      <c r="P52" s="30"/>
      <c r="Q52" s="30">
        <v>303</v>
      </c>
      <c r="S52" s="137">
        <v>35</v>
      </c>
      <c r="T52" s="133">
        <f ca="1" t="shared" si="15"/>
        <v>23</v>
      </c>
      <c r="U52" s="133">
        <f ca="1" t="shared" si="16"/>
        <v>4</v>
      </c>
      <c r="V52" s="133">
        <f ca="1" t="shared" si="17"/>
        <v>5</v>
      </c>
      <c r="W52" s="133">
        <f ca="1" t="shared" si="18"/>
        <v>70</v>
      </c>
      <c r="X52" s="133">
        <f ca="1" t="shared" si="19"/>
        <v>6</v>
      </c>
      <c r="Y52" s="133">
        <f ca="1" t="shared" si="20"/>
        <v>303</v>
      </c>
      <c r="Z52" s="133" t="str">
        <f ca="1" t="shared" si="21"/>
        <v>银</v>
      </c>
      <c r="AA52" s="133">
        <f ca="1" t="shared" si="22"/>
        <v>9</v>
      </c>
      <c r="AB52" s="133">
        <f ca="1" t="shared" si="23"/>
        <v>40</v>
      </c>
      <c r="AC52" s="133">
        <f ca="1" t="shared" si="24"/>
        <v>6</v>
      </c>
      <c r="AD52" s="133">
        <f ca="1" t="shared" si="25"/>
        <v>7</v>
      </c>
      <c r="AE52" s="133">
        <f ca="1" t="shared" si="26"/>
        <v>3</v>
      </c>
      <c r="AF52" s="133">
        <f ca="1" t="shared" si="27"/>
        <v>70</v>
      </c>
      <c r="AG52" s="133">
        <f ca="1" t="shared" si="28"/>
        <v>6</v>
      </c>
      <c r="AH52" s="133">
        <f ca="1" t="shared" si="29"/>
        <v>303</v>
      </c>
    </row>
    <row r="53" spans="2:34">
      <c r="B53" s="11">
        <v>40</v>
      </c>
      <c r="C53" s="30">
        <v>24</v>
      </c>
      <c r="D53" s="30"/>
      <c r="E53" s="30"/>
      <c r="F53" s="30">
        <v>80</v>
      </c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S53" s="137">
        <v>40</v>
      </c>
      <c r="T53" s="133">
        <f ca="1" t="shared" si="15"/>
        <v>24</v>
      </c>
      <c r="U53" s="133">
        <f ca="1" t="shared" si="16"/>
        <v>4</v>
      </c>
      <c r="V53" s="133">
        <f ca="1" t="shared" si="17"/>
        <v>5</v>
      </c>
      <c r="W53" s="133">
        <f ca="1" t="shared" si="18"/>
        <v>80</v>
      </c>
      <c r="X53" s="133">
        <f ca="1" t="shared" si="19"/>
        <v>6</v>
      </c>
      <c r="Y53" s="133">
        <f ca="1" t="shared" si="20"/>
        <v>303</v>
      </c>
      <c r="Z53" s="133" t="str">
        <f ca="1" t="shared" si="21"/>
        <v>银</v>
      </c>
      <c r="AA53" s="133">
        <f ca="1" t="shared" si="22"/>
        <v>9</v>
      </c>
      <c r="AB53" s="133">
        <f ca="1" t="shared" si="23"/>
        <v>40</v>
      </c>
      <c r="AC53" s="133">
        <f ca="1" t="shared" si="24"/>
        <v>6</v>
      </c>
      <c r="AD53" s="133">
        <f ca="1" t="shared" si="25"/>
        <v>7</v>
      </c>
      <c r="AE53" s="133">
        <f ca="1" t="shared" si="26"/>
        <v>3</v>
      </c>
      <c r="AF53" s="133">
        <f ca="1" t="shared" si="27"/>
        <v>70</v>
      </c>
      <c r="AG53" s="133">
        <f ca="1" t="shared" si="28"/>
        <v>6</v>
      </c>
      <c r="AH53" s="133">
        <f ca="1" t="shared" si="29"/>
        <v>303</v>
      </c>
    </row>
    <row r="54" spans="2:34">
      <c r="B54" s="11">
        <v>45</v>
      </c>
      <c r="C54" s="30"/>
      <c r="D54" s="30"/>
      <c r="E54" s="30"/>
      <c r="F54" s="30"/>
      <c r="G54" s="30"/>
      <c r="H54" s="30">
        <v>304</v>
      </c>
      <c r="I54" s="30" t="s">
        <v>97</v>
      </c>
      <c r="J54" s="30"/>
      <c r="K54" s="30"/>
      <c r="L54" s="30">
        <v>7</v>
      </c>
      <c r="M54" s="30"/>
      <c r="N54" s="30"/>
      <c r="O54" s="30">
        <v>80</v>
      </c>
      <c r="P54" s="30"/>
      <c r="Q54" s="30">
        <v>304</v>
      </c>
      <c r="S54" s="137">
        <v>45</v>
      </c>
      <c r="T54" s="133">
        <f ca="1" t="shared" si="15"/>
        <v>24</v>
      </c>
      <c r="U54" s="133">
        <f ca="1" t="shared" si="16"/>
        <v>4</v>
      </c>
      <c r="V54" s="133">
        <f ca="1" t="shared" si="17"/>
        <v>5</v>
      </c>
      <c r="W54" s="133">
        <f ca="1" t="shared" si="18"/>
        <v>80</v>
      </c>
      <c r="X54" s="133">
        <f ca="1" t="shared" si="19"/>
        <v>6</v>
      </c>
      <c r="Y54" s="133">
        <f ca="1" t="shared" si="20"/>
        <v>304</v>
      </c>
      <c r="Z54" s="133" t="str">
        <f ca="1" t="shared" si="21"/>
        <v>银+</v>
      </c>
      <c r="AA54" s="133">
        <f ca="1" t="shared" si="22"/>
        <v>9</v>
      </c>
      <c r="AB54" s="133">
        <f ca="1" t="shared" si="23"/>
        <v>40</v>
      </c>
      <c r="AC54" s="133">
        <f ca="1" t="shared" si="24"/>
        <v>7</v>
      </c>
      <c r="AD54" s="133">
        <f ca="1" t="shared" si="25"/>
        <v>7</v>
      </c>
      <c r="AE54" s="133">
        <f ca="1" t="shared" si="26"/>
        <v>3</v>
      </c>
      <c r="AF54" s="133">
        <f ca="1" t="shared" si="27"/>
        <v>80</v>
      </c>
      <c r="AG54" s="133">
        <f ca="1" t="shared" si="28"/>
        <v>6</v>
      </c>
      <c r="AH54" s="133">
        <f ca="1" t="shared" si="29"/>
        <v>304</v>
      </c>
    </row>
    <row r="55" spans="2:34">
      <c r="B55" s="11">
        <v>50</v>
      </c>
      <c r="C55" s="30">
        <v>25</v>
      </c>
      <c r="D55" s="30"/>
      <c r="E55" s="30"/>
      <c r="F55" s="30"/>
      <c r="G55" s="30"/>
      <c r="H55" s="30" t="s">
        <v>685</v>
      </c>
      <c r="I55" s="30"/>
      <c r="J55" s="30"/>
      <c r="K55" s="30"/>
      <c r="L55" s="30"/>
      <c r="M55" s="30"/>
      <c r="N55" s="30"/>
      <c r="O55" s="30"/>
      <c r="P55" s="30"/>
      <c r="Q55" s="30" t="s">
        <v>685</v>
      </c>
      <c r="S55" s="137">
        <v>50</v>
      </c>
      <c r="T55" s="133">
        <f ca="1" t="shared" si="15"/>
        <v>25</v>
      </c>
      <c r="U55" s="133">
        <f ca="1" t="shared" si="16"/>
        <v>4</v>
      </c>
      <c r="V55" s="133">
        <f ca="1" t="shared" si="17"/>
        <v>5</v>
      </c>
      <c r="W55" s="133">
        <f ca="1" t="shared" si="18"/>
        <v>80</v>
      </c>
      <c r="X55" s="133">
        <f ca="1" t="shared" si="19"/>
        <v>6</v>
      </c>
      <c r="Y55" s="133">
        <f ca="1" t="shared" si="20"/>
        <v>304</v>
      </c>
      <c r="Z55" s="133" t="str">
        <f ca="1" t="shared" si="21"/>
        <v>银+</v>
      </c>
      <c r="AA55" s="133">
        <f ca="1" t="shared" si="22"/>
        <v>9</v>
      </c>
      <c r="AB55" s="133">
        <f ca="1" t="shared" si="23"/>
        <v>40</v>
      </c>
      <c r="AC55" s="133">
        <f ca="1" t="shared" si="24"/>
        <v>7</v>
      </c>
      <c r="AD55" s="133">
        <f ca="1" t="shared" si="25"/>
        <v>7</v>
      </c>
      <c r="AE55" s="133">
        <f ca="1" t="shared" si="26"/>
        <v>3</v>
      </c>
      <c r="AF55" s="133">
        <f ca="1" t="shared" si="27"/>
        <v>80</v>
      </c>
      <c r="AG55" s="133">
        <f ca="1" t="shared" si="28"/>
        <v>6</v>
      </c>
      <c r="AH55" s="133">
        <f ca="1" t="shared" si="29"/>
        <v>304</v>
      </c>
    </row>
    <row r="56" spans="2:34">
      <c r="B56" s="11">
        <v>55</v>
      </c>
      <c r="C56" s="30"/>
      <c r="D56" s="30"/>
      <c r="E56" s="30"/>
      <c r="F56" s="30">
        <v>90</v>
      </c>
      <c r="G56" s="30">
        <v>6.1</v>
      </c>
      <c r="H56" s="30" t="s">
        <v>685</v>
      </c>
      <c r="I56" s="30"/>
      <c r="J56" s="30"/>
      <c r="K56" s="30"/>
      <c r="L56" s="30"/>
      <c r="M56" s="30"/>
      <c r="N56" s="30"/>
      <c r="O56" s="30"/>
      <c r="P56" s="30">
        <v>6.1</v>
      </c>
      <c r="Q56" s="30" t="s">
        <v>685</v>
      </c>
      <c r="S56" s="137">
        <v>55</v>
      </c>
      <c r="T56" s="133">
        <f ca="1" t="shared" si="15"/>
        <v>25</v>
      </c>
      <c r="U56" s="133">
        <f ca="1" t="shared" si="16"/>
        <v>4</v>
      </c>
      <c r="V56" s="133">
        <f ca="1" t="shared" si="17"/>
        <v>5</v>
      </c>
      <c r="W56" s="133">
        <f ca="1" t="shared" si="18"/>
        <v>90</v>
      </c>
      <c r="X56" s="133">
        <f ca="1" t="shared" si="19"/>
        <v>6.1</v>
      </c>
      <c r="Y56" s="133">
        <f ca="1" t="shared" si="20"/>
        <v>304</v>
      </c>
      <c r="Z56" s="133" t="str">
        <f ca="1" t="shared" si="21"/>
        <v>银+</v>
      </c>
      <c r="AA56" s="133">
        <f ca="1" t="shared" si="22"/>
        <v>9</v>
      </c>
      <c r="AB56" s="133">
        <f ca="1" t="shared" si="23"/>
        <v>40</v>
      </c>
      <c r="AC56" s="133">
        <f ca="1" t="shared" si="24"/>
        <v>7</v>
      </c>
      <c r="AD56" s="133">
        <f ca="1" t="shared" si="25"/>
        <v>7</v>
      </c>
      <c r="AE56" s="133">
        <f ca="1" t="shared" si="26"/>
        <v>3</v>
      </c>
      <c r="AF56" s="133">
        <f ca="1" t="shared" si="27"/>
        <v>80</v>
      </c>
      <c r="AG56" s="133">
        <f ca="1" t="shared" si="28"/>
        <v>6.1</v>
      </c>
      <c r="AH56" s="133">
        <f ca="1" t="shared" si="29"/>
        <v>304</v>
      </c>
    </row>
    <row r="57" spans="2:34">
      <c r="B57" s="11">
        <v>60</v>
      </c>
      <c r="C57" s="30">
        <v>26</v>
      </c>
      <c r="D57" s="30"/>
      <c r="E57" s="30"/>
      <c r="F57" s="30"/>
      <c r="G57" s="30"/>
      <c r="H57" s="30">
        <v>305</v>
      </c>
      <c r="I57" s="30"/>
      <c r="J57" s="30"/>
      <c r="K57" s="30"/>
      <c r="L57" s="30">
        <v>8</v>
      </c>
      <c r="M57" s="30">
        <v>8</v>
      </c>
      <c r="N57" s="30"/>
      <c r="O57" s="30">
        <v>90</v>
      </c>
      <c r="P57" s="30"/>
      <c r="Q57" s="30">
        <v>305</v>
      </c>
      <c r="S57" s="137">
        <v>60</v>
      </c>
      <c r="T57" s="133">
        <f ca="1" t="shared" si="15"/>
        <v>26</v>
      </c>
      <c r="U57" s="133">
        <f ca="1" t="shared" si="16"/>
        <v>4</v>
      </c>
      <c r="V57" s="133">
        <f ca="1" t="shared" si="17"/>
        <v>5</v>
      </c>
      <c r="W57" s="133">
        <f ca="1" t="shared" si="18"/>
        <v>90</v>
      </c>
      <c r="X57" s="133">
        <f ca="1" t="shared" si="19"/>
        <v>6.1</v>
      </c>
      <c r="Y57" s="133">
        <f ca="1" t="shared" si="20"/>
        <v>305</v>
      </c>
      <c r="Z57" s="133" t="str">
        <f ca="1" t="shared" si="21"/>
        <v>银+</v>
      </c>
      <c r="AA57" s="133">
        <f ca="1" t="shared" si="22"/>
        <v>9</v>
      </c>
      <c r="AB57" s="133">
        <f ca="1" t="shared" si="23"/>
        <v>40</v>
      </c>
      <c r="AC57" s="133">
        <f ca="1" t="shared" si="24"/>
        <v>8</v>
      </c>
      <c r="AD57" s="133">
        <f ca="1" t="shared" si="25"/>
        <v>8</v>
      </c>
      <c r="AE57" s="133">
        <f ca="1" t="shared" si="26"/>
        <v>3</v>
      </c>
      <c r="AF57" s="133">
        <f ca="1" t="shared" si="27"/>
        <v>90</v>
      </c>
      <c r="AG57" s="133">
        <f ca="1" t="shared" si="28"/>
        <v>6.1</v>
      </c>
      <c r="AH57" s="133">
        <f ca="1" t="shared" si="29"/>
        <v>305</v>
      </c>
    </row>
    <row r="58" spans="2:34">
      <c r="B58" s="11">
        <v>65</v>
      </c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S58" s="137">
        <v>65</v>
      </c>
      <c r="T58" s="133">
        <f ca="1" t="shared" si="15"/>
        <v>26</v>
      </c>
      <c r="U58" s="133">
        <f ca="1" t="shared" si="16"/>
        <v>4</v>
      </c>
      <c r="V58" s="133">
        <f ca="1" t="shared" si="17"/>
        <v>5</v>
      </c>
      <c r="W58" s="133">
        <f ca="1" t="shared" si="18"/>
        <v>90</v>
      </c>
      <c r="X58" s="133">
        <f ca="1" t="shared" si="19"/>
        <v>6.1</v>
      </c>
      <c r="Y58" s="133">
        <f ca="1" t="shared" si="20"/>
        <v>305</v>
      </c>
      <c r="Z58" s="133" t="str">
        <f ca="1" t="shared" si="21"/>
        <v>银+</v>
      </c>
      <c r="AA58" s="133">
        <f ca="1" t="shared" si="22"/>
        <v>9</v>
      </c>
      <c r="AB58" s="133">
        <f ca="1" t="shared" si="23"/>
        <v>40</v>
      </c>
      <c r="AC58" s="133">
        <f ca="1" t="shared" si="24"/>
        <v>8</v>
      </c>
      <c r="AD58" s="133">
        <f ca="1" t="shared" si="25"/>
        <v>8</v>
      </c>
      <c r="AE58" s="133">
        <f ca="1" t="shared" si="26"/>
        <v>3</v>
      </c>
      <c r="AF58" s="133">
        <f ca="1" t="shared" si="27"/>
        <v>90</v>
      </c>
      <c r="AG58" s="133">
        <f ca="1" t="shared" si="28"/>
        <v>6.1</v>
      </c>
      <c r="AH58" s="133">
        <f ca="1" t="shared" si="29"/>
        <v>305</v>
      </c>
    </row>
    <row r="59" spans="2:34">
      <c r="B59" s="11">
        <v>70</v>
      </c>
      <c r="C59" s="30"/>
      <c r="D59" s="30"/>
      <c r="E59" s="30"/>
      <c r="F59" s="30">
        <v>100</v>
      </c>
      <c r="G59" s="30"/>
      <c r="H59" s="30" t="s">
        <v>685</v>
      </c>
      <c r="I59" s="30"/>
      <c r="J59" s="30"/>
      <c r="K59" s="30"/>
      <c r="L59" s="30"/>
      <c r="M59" s="30"/>
      <c r="N59" s="30"/>
      <c r="O59" s="30"/>
      <c r="P59" s="30"/>
      <c r="Q59" s="30" t="s">
        <v>685</v>
      </c>
      <c r="S59" s="137">
        <v>70</v>
      </c>
      <c r="T59" s="133">
        <f ca="1" t="shared" si="15"/>
        <v>26</v>
      </c>
      <c r="U59" s="133">
        <f ca="1" t="shared" si="16"/>
        <v>4</v>
      </c>
      <c r="V59" s="133">
        <f ca="1" t="shared" si="17"/>
        <v>5</v>
      </c>
      <c r="W59" s="133">
        <f ca="1" t="shared" si="18"/>
        <v>100</v>
      </c>
      <c r="X59" s="133">
        <f ca="1" t="shared" si="19"/>
        <v>6.1</v>
      </c>
      <c r="Y59" s="133">
        <f ca="1" t="shared" si="20"/>
        <v>305</v>
      </c>
      <c r="Z59" s="133" t="str">
        <f ca="1" t="shared" si="21"/>
        <v>银+</v>
      </c>
      <c r="AA59" s="133">
        <f ca="1" t="shared" si="22"/>
        <v>9</v>
      </c>
      <c r="AB59" s="133">
        <f ca="1" t="shared" si="23"/>
        <v>40</v>
      </c>
      <c r="AC59" s="133">
        <f ca="1" t="shared" si="24"/>
        <v>8</v>
      </c>
      <c r="AD59" s="133">
        <f ca="1" t="shared" si="25"/>
        <v>8</v>
      </c>
      <c r="AE59" s="133">
        <f ca="1" t="shared" si="26"/>
        <v>3</v>
      </c>
      <c r="AF59" s="133">
        <f ca="1" t="shared" si="27"/>
        <v>90</v>
      </c>
      <c r="AG59" s="133">
        <f ca="1" t="shared" si="28"/>
        <v>6.1</v>
      </c>
      <c r="AH59" s="133">
        <f ca="1" t="shared" si="29"/>
        <v>305</v>
      </c>
    </row>
    <row r="60" spans="2:34">
      <c r="B60" s="11">
        <v>75</v>
      </c>
      <c r="C60" s="30"/>
      <c r="D60" s="30">
        <v>5</v>
      </c>
      <c r="E60" s="30"/>
      <c r="F60" s="30"/>
      <c r="G60" s="30"/>
      <c r="H60" s="30" t="s">
        <v>685</v>
      </c>
      <c r="I60" s="30"/>
      <c r="J60" s="30"/>
      <c r="K60" s="30"/>
      <c r="L60" s="30">
        <v>9</v>
      </c>
      <c r="M60" s="30"/>
      <c r="N60" s="30"/>
      <c r="O60" s="30"/>
      <c r="P60" s="30"/>
      <c r="Q60" s="30" t="s">
        <v>685</v>
      </c>
      <c r="S60" s="137">
        <v>75</v>
      </c>
      <c r="T60" s="133">
        <f ca="1" t="shared" si="15"/>
        <v>26</v>
      </c>
      <c r="U60" s="133">
        <f ca="1" t="shared" si="16"/>
        <v>5</v>
      </c>
      <c r="V60" s="133">
        <f ca="1" t="shared" si="17"/>
        <v>5</v>
      </c>
      <c r="W60" s="133">
        <f ca="1" t="shared" si="18"/>
        <v>100</v>
      </c>
      <c r="X60" s="133">
        <f ca="1" t="shared" si="19"/>
        <v>6.1</v>
      </c>
      <c r="Y60" s="133">
        <f ca="1" t="shared" si="20"/>
        <v>305</v>
      </c>
      <c r="Z60" s="133" t="str">
        <f ca="1" t="shared" si="21"/>
        <v>银+</v>
      </c>
      <c r="AA60" s="133">
        <f ca="1" t="shared" si="22"/>
        <v>9</v>
      </c>
      <c r="AB60" s="133">
        <f ca="1" t="shared" si="23"/>
        <v>40</v>
      </c>
      <c r="AC60" s="133">
        <f ca="1" t="shared" si="24"/>
        <v>9</v>
      </c>
      <c r="AD60" s="133">
        <f ca="1" t="shared" si="25"/>
        <v>8</v>
      </c>
      <c r="AE60" s="133">
        <f ca="1" t="shared" si="26"/>
        <v>3</v>
      </c>
      <c r="AF60" s="133">
        <f ca="1" t="shared" si="27"/>
        <v>90</v>
      </c>
      <c r="AG60" s="133">
        <f ca="1" t="shared" si="28"/>
        <v>6.1</v>
      </c>
      <c r="AH60" s="133">
        <f ca="1" t="shared" si="29"/>
        <v>305</v>
      </c>
    </row>
    <row r="61" spans="2:34">
      <c r="B61" s="11">
        <v>80</v>
      </c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S61" s="137">
        <v>80</v>
      </c>
      <c r="T61" s="133">
        <f ca="1" t="shared" si="15"/>
        <v>26</v>
      </c>
      <c r="U61" s="133">
        <f ca="1" t="shared" si="16"/>
        <v>5</v>
      </c>
      <c r="V61" s="133">
        <f ca="1" t="shared" si="17"/>
        <v>5</v>
      </c>
      <c r="W61" s="133">
        <f ca="1" t="shared" si="18"/>
        <v>100</v>
      </c>
      <c r="X61" s="133">
        <f ca="1" t="shared" si="19"/>
        <v>6.1</v>
      </c>
      <c r="Y61" s="133">
        <f ca="1" t="shared" si="20"/>
        <v>305</v>
      </c>
      <c r="Z61" s="133" t="str">
        <f ca="1" t="shared" si="21"/>
        <v>银+</v>
      </c>
      <c r="AA61" s="133">
        <f ca="1" t="shared" si="22"/>
        <v>9</v>
      </c>
      <c r="AB61" s="133">
        <f ca="1" t="shared" si="23"/>
        <v>40</v>
      </c>
      <c r="AC61" s="133">
        <f ca="1" t="shared" si="24"/>
        <v>9</v>
      </c>
      <c r="AD61" s="133">
        <f ca="1" t="shared" si="25"/>
        <v>8</v>
      </c>
      <c r="AE61" s="133">
        <f ca="1" t="shared" si="26"/>
        <v>3</v>
      </c>
      <c r="AF61" s="133">
        <f ca="1" t="shared" si="27"/>
        <v>90</v>
      </c>
      <c r="AG61" s="133">
        <f ca="1" t="shared" si="28"/>
        <v>6.1</v>
      </c>
      <c r="AH61" s="133">
        <f ca="1" t="shared" si="29"/>
        <v>305</v>
      </c>
    </row>
    <row r="62" spans="2:34">
      <c r="B62" s="11">
        <v>85</v>
      </c>
      <c r="C62" s="30"/>
      <c r="D62" s="30"/>
      <c r="E62" s="30"/>
      <c r="F62" s="30"/>
      <c r="G62" s="30"/>
      <c r="H62" s="30">
        <v>306</v>
      </c>
      <c r="I62" s="30"/>
      <c r="J62" s="30"/>
      <c r="K62" s="30"/>
      <c r="L62" s="30"/>
      <c r="M62" s="30"/>
      <c r="N62" s="30"/>
      <c r="O62" s="30"/>
      <c r="P62" s="30"/>
      <c r="Q62" s="30">
        <v>306</v>
      </c>
      <c r="S62" s="137">
        <v>85</v>
      </c>
      <c r="T62" s="133">
        <f ca="1" t="shared" si="15"/>
        <v>26</v>
      </c>
      <c r="U62" s="133">
        <f ca="1" t="shared" si="16"/>
        <v>5</v>
      </c>
      <c r="V62" s="133">
        <f ca="1" t="shared" si="17"/>
        <v>5</v>
      </c>
      <c r="W62" s="133">
        <f ca="1" t="shared" si="18"/>
        <v>100</v>
      </c>
      <c r="X62" s="133">
        <f ca="1" t="shared" si="19"/>
        <v>6.1</v>
      </c>
      <c r="Y62" s="133">
        <f ca="1" t="shared" si="20"/>
        <v>306</v>
      </c>
      <c r="Z62" s="133" t="str">
        <f ca="1" t="shared" si="21"/>
        <v>银+</v>
      </c>
      <c r="AA62" s="133">
        <f ca="1" t="shared" si="22"/>
        <v>9</v>
      </c>
      <c r="AB62" s="133">
        <f ca="1" t="shared" si="23"/>
        <v>40</v>
      </c>
      <c r="AC62" s="133">
        <f ca="1" t="shared" si="24"/>
        <v>9</v>
      </c>
      <c r="AD62" s="133">
        <f ca="1" t="shared" si="25"/>
        <v>8</v>
      </c>
      <c r="AE62" s="133">
        <f ca="1" t="shared" si="26"/>
        <v>3</v>
      </c>
      <c r="AF62" s="133">
        <f ca="1" t="shared" si="27"/>
        <v>90</v>
      </c>
      <c r="AG62" s="133">
        <f ca="1" t="shared" si="28"/>
        <v>6.1</v>
      </c>
      <c r="AH62" s="133">
        <f ca="1" t="shared" si="29"/>
        <v>306</v>
      </c>
    </row>
    <row r="63" spans="2:34">
      <c r="B63" s="11">
        <v>90</v>
      </c>
      <c r="C63" s="30">
        <v>27</v>
      </c>
      <c r="D63" s="30"/>
      <c r="E63" s="30"/>
      <c r="F63" s="30">
        <v>110</v>
      </c>
      <c r="G63" s="30"/>
      <c r="H63" s="30"/>
      <c r="I63" s="30"/>
      <c r="J63" s="30"/>
      <c r="K63" s="30"/>
      <c r="L63" s="30"/>
      <c r="M63" s="30">
        <v>9</v>
      </c>
      <c r="N63" s="30"/>
      <c r="O63" s="30">
        <v>100</v>
      </c>
      <c r="P63" s="30"/>
      <c r="Q63" s="30"/>
      <c r="S63" s="137">
        <v>90</v>
      </c>
      <c r="T63" s="133">
        <f ca="1" t="shared" si="15"/>
        <v>27</v>
      </c>
      <c r="U63" s="133">
        <f ca="1" t="shared" si="16"/>
        <v>5</v>
      </c>
      <c r="V63" s="133">
        <f ca="1" t="shared" si="17"/>
        <v>5</v>
      </c>
      <c r="W63" s="133">
        <f ca="1" t="shared" si="18"/>
        <v>110</v>
      </c>
      <c r="X63" s="133">
        <f ca="1" t="shared" si="19"/>
        <v>6.1</v>
      </c>
      <c r="Y63" s="133">
        <f ca="1" t="shared" si="20"/>
        <v>306</v>
      </c>
      <c r="Z63" s="133" t="str">
        <f ca="1" t="shared" si="21"/>
        <v>银+</v>
      </c>
      <c r="AA63" s="133">
        <f ca="1" t="shared" si="22"/>
        <v>9</v>
      </c>
      <c r="AB63" s="133">
        <f ca="1" t="shared" si="23"/>
        <v>40</v>
      </c>
      <c r="AC63" s="133">
        <f ca="1" t="shared" si="24"/>
        <v>9</v>
      </c>
      <c r="AD63" s="133">
        <f ca="1" t="shared" si="25"/>
        <v>9</v>
      </c>
      <c r="AE63" s="133">
        <f ca="1" t="shared" si="26"/>
        <v>3</v>
      </c>
      <c r="AF63" s="133">
        <f ca="1" t="shared" si="27"/>
        <v>100</v>
      </c>
      <c r="AG63" s="133">
        <f ca="1" t="shared" si="28"/>
        <v>6.1</v>
      </c>
      <c r="AH63" s="133">
        <f ca="1" t="shared" si="29"/>
        <v>306</v>
      </c>
    </row>
    <row r="64" spans="2:34">
      <c r="B64" s="11">
        <v>95</v>
      </c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S64" s="137">
        <v>95</v>
      </c>
      <c r="T64" s="133">
        <f ca="1" t="shared" si="15"/>
        <v>27</v>
      </c>
      <c r="U64" s="133">
        <f ca="1" t="shared" si="16"/>
        <v>5</v>
      </c>
      <c r="V64" s="133">
        <f ca="1" t="shared" si="17"/>
        <v>5</v>
      </c>
      <c r="W64" s="133">
        <f ca="1" t="shared" si="18"/>
        <v>110</v>
      </c>
      <c r="X64" s="133">
        <f ca="1" t="shared" si="19"/>
        <v>6.1</v>
      </c>
      <c r="Y64" s="133">
        <f ca="1" t="shared" si="20"/>
        <v>306</v>
      </c>
      <c r="Z64" s="133" t="str">
        <f ca="1" t="shared" si="21"/>
        <v>银+</v>
      </c>
      <c r="AA64" s="133">
        <f ca="1" t="shared" si="22"/>
        <v>9</v>
      </c>
      <c r="AB64" s="133">
        <f ca="1" t="shared" si="23"/>
        <v>40</v>
      </c>
      <c r="AC64" s="133">
        <f ca="1" t="shared" si="24"/>
        <v>9</v>
      </c>
      <c r="AD64" s="133">
        <f ca="1" t="shared" si="25"/>
        <v>9</v>
      </c>
      <c r="AE64" s="133">
        <f ca="1" t="shared" si="26"/>
        <v>3</v>
      </c>
      <c r="AF64" s="133">
        <f ca="1" t="shared" si="27"/>
        <v>100</v>
      </c>
      <c r="AG64" s="133">
        <f ca="1" t="shared" si="28"/>
        <v>6.1</v>
      </c>
      <c r="AH64" s="133">
        <f ca="1" t="shared" si="29"/>
        <v>306</v>
      </c>
    </row>
    <row r="65" spans="2:34">
      <c r="B65" s="11">
        <v>100</v>
      </c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S65" s="137">
        <v>100</v>
      </c>
      <c r="T65" s="133">
        <f ca="1" t="shared" si="15"/>
        <v>27</v>
      </c>
      <c r="U65" s="133">
        <f ca="1" t="shared" si="16"/>
        <v>5</v>
      </c>
      <c r="V65" s="133">
        <f ca="1" t="shared" si="17"/>
        <v>5</v>
      </c>
      <c r="W65" s="133">
        <f ca="1" t="shared" si="18"/>
        <v>110</v>
      </c>
      <c r="X65" s="133">
        <f ca="1" t="shared" si="19"/>
        <v>6.1</v>
      </c>
      <c r="Y65" s="133">
        <f ca="1" t="shared" si="20"/>
        <v>306</v>
      </c>
      <c r="Z65" s="133" t="str">
        <f ca="1" t="shared" si="21"/>
        <v>银+</v>
      </c>
      <c r="AA65" s="133">
        <f ca="1" t="shared" si="22"/>
        <v>9</v>
      </c>
      <c r="AB65" s="133">
        <f ca="1" t="shared" si="23"/>
        <v>40</v>
      </c>
      <c r="AC65" s="133">
        <f ca="1" t="shared" si="24"/>
        <v>9</v>
      </c>
      <c r="AD65" s="133">
        <f ca="1" t="shared" si="25"/>
        <v>9</v>
      </c>
      <c r="AE65" s="133">
        <f ca="1" t="shared" si="26"/>
        <v>3</v>
      </c>
      <c r="AF65" s="133">
        <f ca="1" t="shared" si="27"/>
        <v>100</v>
      </c>
      <c r="AG65" s="133">
        <f ca="1" t="shared" si="28"/>
        <v>6.1</v>
      </c>
      <c r="AH65" s="133">
        <f ca="1" t="shared" si="29"/>
        <v>306</v>
      </c>
    </row>
    <row r="66" spans="2:34">
      <c r="B66" s="11">
        <v>105</v>
      </c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S66" s="137">
        <v>105</v>
      </c>
      <c r="T66" s="133">
        <f ca="1" t="shared" si="15"/>
        <v>27</v>
      </c>
      <c r="U66" s="133">
        <f ca="1" t="shared" si="16"/>
        <v>5</v>
      </c>
      <c r="V66" s="133">
        <f ca="1" t="shared" si="17"/>
        <v>5</v>
      </c>
      <c r="W66" s="133">
        <f ca="1" t="shared" si="18"/>
        <v>110</v>
      </c>
      <c r="X66" s="133">
        <f ca="1" t="shared" si="19"/>
        <v>6.1</v>
      </c>
      <c r="Y66" s="133">
        <f ca="1" t="shared" si="20"/>
        <v>306</v>
      </c>
      <c r="Z66" s="133" t="str">
        <f ca="1" t="shared" si="21"/>
        <v>银+</v>
      </c>
      <c r="AA66" s="133">
        <f ca="1" t="shared" si="22"/>
        <v>9</v>
      </c>
      <c r="AB66" s="133">
        <f ca="1" t="shared" si="23"/>
        <v>40</v>
      </c>
      <c r="AC66" s="133">
        <f ca="1" t="shared" si="24"/>
        <v>9</v>
      </c>
      <c r="AD66" s="133">
        <f ca="1" t="shared" si="25"/>
        <v>9</v>
      </c>
      <c r="AE66" s="133">
        <f ca="1" t="shared" si="26"/>
        <v>3</v>
      </c>
      <c r="AF66" s="133">
        <f ca="1" t="shared" si="27"/>
        <v>100</v>
      </c>
      <c r="AG66" s="133">
        <f ca="1" t="shared" si="28"/>
        <v>6.1</v>
      </c>
      <c r="AH66" s="133">
        <f ca="1" t="shared" si="29"/>
        <v>306</v>
      </c>
    </row>
    <row r="67" spans="2:34">
      <c r="B67" s="11">
        <v>110</v>
      </c>
      <c r="C67" s="30"/>
      <c r="D67" s="30"/>
      <c r="E67" s="30"/>
      <c r="F67" s="30"/>
      <c r="G67" s="30"/>
      <c r="H67" s="30"/>
      <c r="I67" s="30"/>
      <c r="J67" s="30"/>
      <c r="K67" s="30"/>
      <c r="L67" s="30">
        <v>10</v>
      </c>
      <c r="M67" s="30"/>
      <c r="N67" s="30"/>
      <c r="O67" s="30"/>
      <c r="P67" s="30"/>
      <c r="Q67" s="30"/>
      <c r="S67" s="137">
        <v>110</v>
      </c>
      <c r="T67" s="133">
        <f ca="1" t="shared" si="15"/>
        <v>27</v>
      </c>
      <c r="U67" s="133">
        <f ca="1" t="shared" si="16"/>
        <v>5</v>
      </c>
      <c r="V67" s="133">
        <f ca="1" t="shared" si="17"/>
        <v>5</v>
      </c>
      <c r="W67" s="133">
        <f ca="1" t="shared" si="18"/>
        <v>110</v>
      </c>
      <c r="X67" s="133">
        <f ca="1" t="shared" si="19"/>
        <v>6.1</v>
      </c>
      <c r="Y67" s="133">
        <f ca="1" t="shared" si="20"/>
        <v>306</v>
      </c>
      <c r="Z67" s="133" t="str">
        <f ca="1" t="shared" si="21"/>
        <v>银+</v>
      </c>
      <c r="AA67" s="133">
        <f ca="1" t="shared" si="22"/>
        <v>9</v>
      </c>
      <c r="AB67" s="133">
        <f ca="1" t="shared" si="23"/>
        <v>40</v>
      </c>
      <c r="AC67" s="133">
        <f ca="1" t="shared" si="24"/>
        <v>10</v>
      </c>
      <c r="AD67" s="133">
        <f ca="1" t="shared" si="25"/>
        <v>9</v>
      </c>
      <c r="AE67" s="133">
        <f ca="1" t="shared" si="26"/>
        <v>3</v>
      </c>
      <c r="AF67" s="133">
        <f ca="1" t="shared" si="27"/>
        <v>100</v>
      </c>
      <c r="AG67" s="133">
        <f ca="1" t="shared" si="28"/>
        <v>6.1</v>
      </c>
      <c r="AH67" s="133">
        <f ca="1" t="shared" si="29"/>
        <v>306</v>
      </c>
    </row>
    <row r="68" spans="2:34">
      <c r="B68" s="11">
        <v>115</v>
      </c>
      <c r="C68" s="30"/>
      <c r="D68" s="30"/>
      <c r="E68" s="30"/>
      <c r="F68" s="30"/>
      <c r="G68" s="30"/>
      <c r="H68" s="30">
        <v>307</v>
      </c>
      <c r="I68" s="30" t="s">
        <v>105</v>
      </c>
      <c r="J68" s="30"/>
      <c r="K68" s="30"/>
      <c r="L68" s="30"/>
      <c r="M68" s="30"/>
      <c r="N68" s="30"/>
      <c r="O68" s="30"/>
      <c r="P68" s="30"/>
      <c r="Q68" s="30"/>
      <c r="S68" s="137">
        <v>115</v>
      </c>
      <c r="T68" s="133">
        <f ca="1" t="shared" si="15"/>
        <v>27</v>
      </c>
      <c r="U68" s="133">
        <f ca="1" t="shared" si="16"/>
        <v>5</v>
      </c>
      <c r="V68" s="133">
        <f ca="1" t="shared" si="17"/>
        <v>5</v>
      </c>
      <c r="W68" s="133">
        <f ca="1" t="shared" si="18"/>
        <v>110</v>
      </c>
      <c r="X68" s="133">
        <f ca="1" t="shared" si="19"/>
        <v>6.1</v>
      </c>
      <c r="Y68" s="133">
        <f ca="1" t="shared" si="20"/>
        <v>307</v>
      </c>
      <c r="Z68" s="133" t="str">
        <f ca="1" t="shared" si="21"/>
        <v>金</v>
      </c>
      <c r="AA68" s="133">
        <f ca="1" t="shared" si="22"/>
        <v>9</v>
      </c>
      <c r="AB68" s="133">
        <f ca="1" t="shared" si="23"/>
        <v>40</v>
      </c>
      <c r="AC68" s="133">
        <f ca="1" t="shared" si="24"/>
        <v>10</v>
      </c>
      <c r="AD68" s="133">
        <f ca="1" t="shared" si="25"/>
        <v>9</v>
      </c>
      <c r="AE68" s="133">
        <f ca="1" t="shared" si="26"/>
        <v>3</v>
      </c>
      <c r="AF68" s="133">
        <f ca="1" t="shared" si="27"/>
        <v>100</v>
      </c>
      <c r="AG68" s="133">
        <f ca="1" t="shared" si="28"/>
        <v>6.1</v>
      </c>
      <c r="AH68" s="133">
        <f ca="1" t="shared" si="29"/>
        <v>306</v>
      </c>
    </row>
    <row r="69" spans="2:34">
      <c r="B69" s="11">
        <v>120</v>
      </c>
      <c r="C69" s="30">
        <v>28</v>
      </c>
      <c r="D69" s="30"/>
      <c r="E69" s="30"/>
      <c r="F69" s="30">
        <v>120</v>
      </c>
      <c r="G69" s="30">
        <v>7</v>
      </c>
      <c r="H69" s="30">
        <v>401</v>
      </c>
      <c r="I69" s="30"/>
      <c r="J69" s="30">
        <v>10</v>
      </c>
      <c r="K69" s="30">
        <v>50</v>
      </c>
      <c r="L69" s="30"/>
      <c r="M69" s="30"/>
      <c r="N69" s="30"/>
      <c r="O69" s="30">
        <v>110</v>
      </c>
      <c r="P69" s="30">
        <v>7</v>
      </c>
      <c r="Q69" s="30">
        <v>307</v>
      </c>
      <c r="S69" s="139">
        <v>120</v>
      </c>
      <c r="T69" s="133">
        <f ca="1" t="shared" si="15"/>
        <v>28</v>
      </c>
      <c r="U69" s="133">
        <f ca="1" t="shared" si="16"/>
        <v>5</v>
      </c>
      <c r="V69" s="133">
        <f ca="1" t="shared" si="17"/>
        <v>5</v>
      </c>
      <c r="W69" s="133">
        <f ca="1" t="shared" si="18"/>
        <v>120</v>
      </c>
      <c r="X69" s="133">
        <f ca="1" t="shared" si="19"/>
        <v>7</v>
      </c>
      <c r="Y69" s="133">
        <f ca="1" t="shared" si="20"/>
        <v>401</v>
      </c>
      <c r="Z69" s="133" t="str">
        <f ca="1" t="shared" si="21"/>
        <v>金</v>
      </c>
      <c r="AA69" s="133">
        <f ca="1" t="shared" si="22"/>
        <v>10</v>
      </c>
      <c r="AB69" s="133">
        <f ca="1" t="shared" si="23"/>
        <v>50</v>
      </c>
      <c r="AC69" s="133">
        <f ca="1" t="shared" si="24"/>
        <v>10</v>
      </c>
      <c r="AD69" s="133">
        <f ca="1" t="shared" si="25"/>
        <v>9</v>
      </c>
      <c r="AE69" s="133">
        <f ca="1" t="shared" si="26"/>
        <v>3</v>
      </c>
      <c r="AF69" s="133">
        <f ca="1" t="shared" si="27"/>
        <v>110</v>
      </c>
      <c r="AG69" s="133">
        <f ca="1" t="shared" si="28"/>
        <v>7</v>
      </c>
      <c r="AH69" s="133">
        <f ca="1" t="shared" si="29"/>
        <v>307</v>
      </c>
    </row>
    <row r="70" spans="2:34">
      <c r="B70" s="12">
        <v>150</v>
      </c>
      <c r="C70" s="30"/>
      <c r="D70" s="30"/>
      <c r="E70" s="30"/>
      <c r="F70" s="30">
        <v>130</v>
      </c>
      <c r="G70" s="30"/>
      <c r="H70" s="30">
        <v>403</v>
      </c>
      <c r="I70" s="30"/>
      <c r="J70" s="30"/>
      <c r="K70" s="30"/>
      <c r="L70" s="30">
        <v>11</v>
      </c>
      <c r="M70" s="30">
        <v>10</v>
      </c>
      <c r="N70" s="30"/>
      <c r="O70" s="30">
        <v>120</v>
      </c>
      <c r="P70" s="30"/>
      <c r="Q70" s="30">
        <v>401</v>
      </c>
      <c r="S70" s="139">
        <v>150</v>
      </c>
      <c r="T70" s="133">
        <f ca="1" t="shared" ref="T70:T78" si="30">IF(C70="",INDIRECT(ADDRESS(ROW()-1,COLUMN())),C70)</f>
        <v>28</v>
      </c>
      <c r="U70" s="133">
        <f ca="1" t="shared" ref="U70:U78" si="31">IF(D70="",INDIRECT(ADDRESS(ROW()-1,COLUMN())),D70)</f>
        <v>5</v>
      </c>
      <c r="V70" s="133">
        <f ca="1" t="shared" ref="V70:V78" si="32">IF(E70="",INDIRECT(ADDRESS(ROW()-1,COLUMN())),E70)</f>
        <v>5</v>
      </c>
      <c r="W70" s="133">
        <f ca="1" t="shared" ref="W70:W78" si="33">IF(F70="",INDIRECT(ADDRESS(ROW()-1,COLUMN())),F70)</f>
        <v>130</v>
      </c>
      <c r="X70" s="133">
        <f ca="1" t="shared" ref="X70:X78" si="34">IF(G70="",INDIRECT(ADDRESS(ROW()-1,COLUMN())),G70)</f>
        <v>7</v>
      </c>
      <c r="Y70" s="133">
        <f ca="1" t="shared" ref="Y70:Y78" si="35">IF(H70="",INDIRECT(ADDRESS(ROW()-1,COLUMN())),H70)</f>
        <v>403</v>
      </c>
      <c r="Z70" s="133" t="str">
        <f ca="1" t="shared" ref="Z70:Z78" si="36">IF(I70="",INDIRECT(ADDRESS(ROW()-1,COLUMN())),I70)</f>
        <v>金</v>
      </c>
      <c r="AA70" s="133">
        <f ca="1" t="shared" ref="AA70:AA78" si="37">IF(J70="",INDIRECT(ADDRESS(ROW()-1,COLUMN())),J70)</f>
        <v>10</v>
      </c>
      <c r="AB70" s="133">
        <f ca="1" t="shared" ref="AB70:AB78" si="38">IF(K70="",INDIRECT(ADDRESS(ROW()-1,COLUMN())),K70)</f>
        <v>50</v>
      </c>
      <c r="AC70" s="133">
        <f ca="1" t="shared" ref="AC70:AC78" si="39">IF(L70="",INDIRECT(ADDRESS(ROW()-1,COLUMN())),L70)</f>
        <v>11</v>
      </c>
      <c r="AD70" s="133">
        <f ca="1" t="shared" ref="AD70:AD78" si="40">IF(M70="",INDIRECT(ADDRESS(ROW()-1,COLUMN())),M70)</f>
        <v>10</v>
      </c>
      <c r="AE70" s="133">
        <f ca="1" t="shared" ref="AE70:AE78" si="41">IF(N70="",INDIRECT(ADDRESS(ROW()-1,COLUMN())),N70)</f>
        <v>3</v>
      </c>
      <c r="AF70" s="133">
        <f ca="1" t="shared" ref="AF70:AF78" si="42">IF(O70="",INDIRECT(ADDRESS(ROW()-1,COLUMN())),O70)</f>
        <v>120</v>
      </c>
      <c r="AG70" s="133">
        <f ca="1" t="shared" ref="AG70:AG79" si="43">IF(P70="",INDIRECT(ADDRESS(ROW()-1,COLUMN())),P70)</f>
        <v>7</v>
      </c>
      <c r="AH70" s="133">
        <f ca="1" t="shared" ref="AH70:AH79" si="44">IF(Q70="",INDIRECT(ADDRESS(ROW()-1,COLUMN())),Q70)</f>
        <v>401</v>
      </c>
    </row>
    <row r="71" spans="2:34">
      <c r="B71" s="12">
        <v>180</v>
      </c>
      <c r="C71" s="30">
        <v>29</v>
      </c>
      <c r="D71" s="30"/>
      <c r="E71" s="30"/>
      <c r="F71" s="30">
        <v>140</v>
      </c>
      <c r="G71" s="30"/>
      <c r="H71" s="30">
        <v>405</v>
      </c>
      <c r="I71" s="30"/>
      <c r="J71" s="30"/>
      <c r="K71" s="30"/>
      <c r="L71" s="30">
        <v>12</v>
      </c>
      <c r="M71" s="30"/>
      <c r="N71" s="30"/>
      <c r="O71" s="30">
        <v>130</v>
      </c>
      <c r="P71" s="30"/>
      <c r="Q71" s="30">
        <v>402</v>
      </c>
      <c r="S71" s="139">
        <v>180</v>
      </c>
      <c r="T71" s="133">
        <f ca="1" t="shared" si="30"/>
        <v>29</v>
      </c>
      <c r="U71" s="133">
        <f ca="1" t="shared" si="31"/>
        <v>5</v>
      </c>
      <c r="V71" s="133">
        <f ca="1" t="shared" si="32"/>
        <v>5</v>
      </c>
      <c r="W71" s="133">
        <f ca="1" t="shared" si="33"/>
        <v>140</v>
      </c>
      <c r="X71" s="133">
        <f ca="1" t="shared" si="34"/>
        <v>7</v>
      </c>
      <c r="Y71" s="133">
        <f ca="1" t="shared" si="35"/>
        <v>405</v>
      </c>
      <c r="Z71" s="133" t="str">
        <f ca="1" t="shared" si="36"/>
        <v>金</v>
      </c>
      <c r="AA71" s="133">
        <f ca="1" t="shared" si="37"/>
        <v>10</v>
      </c>
      <c r="AB71" s="133">
        <f ca="1" t="shared" si="38"/>
        <v>50</v>
      </c>
      <c r="AC71" s="133">
        <f ca="1" t="shared" si="39"/>
        <v>12</v>
      </c>
      <c r="AD71" s="133">
        <f ca="1" t="shared" si="40"/>
        <v>10</v>
      </c>
      <c r="AE71" s="133">
        <f ca="1" t="shared" si="41"/>
        <v>3</v>
      </c>
      <c r="AF71" s="133">
        <f ca="1" t="shared" si="42"/>
        <v>130</v>
      </c>
      <c r="AG71" s="133">
        <f ca="1" t="shared" si="43"/>
        <v>7</v>
      </c>
      <c r="AH71" s="133">
        <f ca="1" t="shared" si="44"/>
        <v>402</v>
      </c>
    </row>
    <row r="72" spans="2:34">
      <c r="B72" s="12">
        <v>210</v>
      </c>
      <c r="C72" s="30"/>
      <c r="D72" s="30"/>
      <c r="E72" s="30"/>
      <c r="F72" s="30">
        <v>150</v>
      </c>
      <c r="G72" s="30">
        <v>7.1</v>
      </c>
      <c r="H72" s="30">
        <v>406</v>
      </c>
      <c r="I72" s="30" t="s">
        <v>112</v>
      </c>
      <c r="J72" s="30"/>
      <c r="K72" s="30"/>
      <c r="L72" s="30"/>
      <c r="M72" s="30"/>
      <c r="N72" s="30"/>
      <c r="O72" s="30">
        <v>140</v>
      </c>
      <c r="P72" s="30">
        <v>7.1</v>
      </c>
      <c r="Q72" s="30">
        <v>403</v>
      </c>
      <c r="S72" s="139">
        <v>210</v>
      </c>
      <c r="T72" s="133">
        <f ca="1" t="shared" si="30"/>
        <v>29</v>
      </c>
      <c r="U72" s="133">
        <f ca="1" t="shared" si="31"/>
        <v>5</v>
      </c>
      <c r="V72" s="133">
        <f ca="1" t="shared" si="32"/>
        <v>5</v>
      </c>
      <c r="W72" s="133">
        <f ca="1" t="shared" si="33"/>
        <v>150</v>
      </c>
      <c r="X72" s="133">
        <f ca="1" t="shared" si="34"/>
        <v>7.1</v>
      </c>
      <c r="Y72" s="133">
        <f ca="1" t="shared" si="35"/>
        <v>406</v>
      </c>
      <c r="Z72" s="133" t="str">
        <f ca="1" t="shared" si="36"/>
        <v>金+</v>
      </c>
      <c r="AA72" s="133">
        <f ca="1" t="shared" si="37"/>
        <v>10</v>
      </c>
      <c r="AB72" s="133">
        <f ca="1" t="shared" si="38"/>
        <v>50</v>
      </c>
      <c r="AC72" s="133">
        <f ca="1" t="shared" si="39"/>
        <v>12</v>
      </c>
      <c r="AD72" s="133">
        <f ca="1" t="shared" si="40"/>
        <v>10</v>
      </c>
      <c r="AE72" s="133">
        <f ca="1" t="shared" si="41"/>
        <v>3</v>
      </c>
      <c r="AF72" s="133">
        <f ca="1" t="shared" si="42"/>
        <v>140</v>
      </c>
      <c r="AG72" s="133">
        <f ca="1" t="shared" si="43"/>
        <v>7.1</v>
      </c>
      <c r="AH72" s="133">
        <f ca="1" t="shared" si="44"/>
        <v>403</v>
      </c>
    </row>
    <row r="73" spans="2:34">
      <c r="B73" s="12">
        <v>240</v>
      </c>
      <c r="C73" s="30">
        <v>30</v>
      </c>
      <c r="D73" s="30"/>
      <c r="E73" s="30"/>
      <c r="F73" s="30">
        <v>160</v>
      </c>
      <c r="G73" s="30"/>
      <c r="H73" s="30">
        <v>407</v>
      </c>
      <c r="I73" s="30"/>
      <c r="J73" s="30"/>
      <c r="K73" s="30"/>
      <c r="L73" s="30">
        <v>13</v>
      </c>
      <c r="M73" s="30">
        <v>11</v>
      </c>
      <c r="N73" s="30"/>
      <c r="O73" s="30">
        <v>150</v>
      </c>
      <c r="P73" s="30"/>
      <c r="Q73" s="30">
        <v>404</v>
      </c>
      <c r="S73" s="139">
        <v>240</v>
      </c>
      <c r="T73" s="133">
        <f ca="1" t="shared" si="30"/>
        <v>30</v>
      </c>
      <c r="U73" s="133">
        <f ca="1" t="shared" si="31"/>
        <v>5</v>
      </c>
      <c r="V73" s="133">
        <f ca="1" t="shared" si="32"/>
        <v>5</v>
      </c>
      <c r="W73" s="133">
        <f ca="1" t="shared" si="33"/>
        <v>160</v>
      </c>
      <c r="X73" s="133">
        <f ca="1" t="shared" si="34"/>
        <v>7.1</v>
      </c>
      <c r="Y73" s="133">
        <f ca="1" t="shared" si="35"/>
        <v>407</v>
      </c>
      <c r="Z73" s="133" t="str">
        <f ca="1" t="shared" si="36"/>
        <v>金+</v>
      </c>
      <c r="AA73" s="133">
        <f ca="1" t="shared" si="37"/>
        <v>10</v>
      </c>
      <c r="AB73" s="133">
        <f ca="1" t="shared" si="38"/>
        <v>50</v>
      </c>
      <c r="AC73" s="133">
        <f ca="1" t="shared" si="39"/>
        <v>13</v>
      </c>
      <c r="AD73" s="133">
        <f ca="1" t="shared" si="40"/>
        <v>11</v>
      </c>
      <c r="AE73" s="133">
        <f ca="1" t="shared" si="41"/>
        <v>3</v>
      </c>
      <c r="AF73" s="133">
        <f ca="1" t="shared" si="42"/>
        <v>150</v>
      </c>
      <c r="AG73" s="133">
        <f ca="1" t="shared" si="43"/>
        <v>7.1</v>
      </c>
      <c r="AH73" s="133">
        <f ca="1" t="shared" si="44"/>
        <v>404</v>
      </c>
    </row>
    <row r="74" spans="2:34">
      <c r="B74" s="12">
        <v>270</v>
      </c>
      <c r="C74" s="30"/>
      <c r="D74" s="30"/>
      <c r="E74" s="30"/>
      <c r="F74" s="30">
        <v>170</v>
      </c>
      <c r="G74" s="30"/>
      <c r="H74" s="30">
        <v>408</v>
      </c>
      <c r="I74" s="30"/>
      <c r="J74" s="30"/>
      <c r="K74" s="30"/>
      <c r="L74" s="30"/>
      <c r="M74" s="30"/>
      <c r="N74" s="30"/>
      <c r="O74" s="30">
        <v>160</v>
      </c>
      <c r="P74" s="30"/>
      <c r="Q74" s="30">
        <v>405</v>
      </c>
      <c r="S74" s="139">
        <v>270</v>
      </c>
      <c r="T74" s="133">
        <f ca="1" t="shared" si="30"/>
        <v>30</v>
      </c>
      <c r="U74" s="133">
        <f ca="1" t="shared" si="31"/>
        <v>5</v>
      </c>
      <c r="V74" s="133">
        <f ca="1" t="shared" si="32"/>
        <v>5</v>
      </c>
      <c r="W74" s="133">
        <f ca="1" t="shared" si="33"/>
        <v>170</v>
      </c>
      <c r="X74" s="133">
        <f ca="1" t="shared" si="34"/>
        <v>7.1</v>
      </c>
      <c r="Y74" s="133">
        <f ca="1" t="shared" si="35"/>
        <v>408</v>
      </c>
      <c r="Z74" s="133" t="str">
        <f ca="1" t="shared" si="36"/>
        <v>金+</v>
      </c>
      <c r="AA74" s="133">
        <f ca="1" t="shared" si="37"/>
        <v>10</v>
      </c>
      <c r="AB74" s="133">
        <f ca="1" t="shared" si="38"/>
        <v>50</v>
      </c>
      <c r="AC74" s="133">
        <f ca="1" t="shared" si="39"/>
        <v>13</v>
      </c>
      <c r="AD74" s="133">
        <f ca="1" t="shared" si="40"/>
        <v>11</v>
      </c>
      <c r="AE74" s="133">
        <f ca="1" t="shared" si="41"/>
        <v>3</v>
      </c>
      <c r="AF74" s="133">
        <f ca="1" t="shared" si="42"/>
        <v>160</v>
      </c>
      <c r="AG74" s="133">
        <f ca="1" t="shared" si="43"/>
        <v>7.1</v>
      </c>
      <c r="AH74" s="133">
        <f ca="1" t="shared" si="44"/>
        <v>405</v>
      </c>
    </row>
    <row r="75" spans="2:34">
      <c r="B75" s="12">
        <v>300</v>
      </c>
      <c r="C75" s="30">
        <v>31</v>
      </c>
      <c r="D75" s="30"/>
      <c r="E75" s="30"/>
      <c r="F75" s="30">
        <v>180</v>
      </c>
      <c r="G75" s="30"/>
      <c r="H75" s="30">
        <v>409</v>
      </c>
      <c r="I75" s="30"/>
      <c r="J75" s="30"/>
      <c r="K75" s="30"/>
      <c r="L75" s="30">
        <v>14</v>
      </c>
      <c r="M75" s="30"/>
      <c r="N75" s="30"/>
      <c r="O75" s="30">
        <v>170</v>
      </c>
      <c r="P75" s="30"/>
      <c r="Q75" s="30">
        <v>406</v>
      </c>
      <c r="S75" s="139">
        <v>300</v>
      </c>
      <c r="T75" s="133">
        <f ca="1" t="shared" si="30"/>
        <v>31</v>
      </c>
      <c r="U75" s="133">
        <f ca="1" t="shared" si="31"/>
        <v>5</v>
      </c>
      <c r="V75" s="133">
        <f ca="1" t="shared" si="32"/>
        <v>5</v>
      </c>
      <c r="W75" s="133">
        <f ca="1" t="shared" si="33"/>
        <v>180</v>
      </c>
      <c r="X75" s="133">
        <f ca="1" t="shared" si="34"/>
        <v>7.1</v>
      </c>
      <c r="Y75" s="133">
        <f ca="1" t="shared" si="35"/>
        <v>409</v>
      </c>
      <c r="Z75" s="133" t="str">
        <f ca="1" t="shared" si="36"/>
        <v>金+</v>
      </c>
      <c r="AA75" s="133">
        <f ca="1" t="shared" si="37"/>
        <v>10</v>
      </c>
      <c r="AB75" s="133">
        <f ca="1" t="shared" si="38"/>
        <v>50</v>
      </c>
      <c r="AC75" s="133">
        <f ca="1" t="shared" si="39"/>
        <v>14</v>
      </c>
      <c r="AD75" s="133">
        <f ca="1" t="shared" si="40"/>
        <v>11</v>
      </c>
      <c r="AE75" s="133">
        <f ca="1" t="shared" si="41"/>
        <v>3</v>
      </c>
      <c r="AF75" s="133">
        <f ca="1" t="shared" si="42"/>
        <v>170</v>
      </c>
      <c r="AG75" s="133">
        <f ca="1" t="shared" si="43"/>
        <v>7.1</v>
      </c>
      <c r="AH75" s="133">
        <f ca="1" t="shared" si="44"/>
        <v>406</v>
      </c>
    </row>
    <row r="76" spans="2:34">
      <c r="B76" s="12">
        <v>330</v>
      </c>
      <c r="C76" s="30"/>
      <c r="D76" s="30"/>
      <c r="E76" s="30"/>
      <c r="F76" s="30">
        <v>190</v>
      </c>
      <c r="G76" s="30"/>
      <c r="H76" s="30"/>
      <c r="I76" s="30"/>
      <c r="J76" s="30"/>
      <c r="K76" s="30"/>
      <c r="L76" s="30"/>
      <c r="M76" s="30"/>
      <c r="N76" s="30"/>
      <c r="O76" s="30">
        <v>180</v>
      </c>
      <c r="P76" s="30"/>
      <c r="Q76" s="30">
        <v>407</v>
      </c>
      <c r="S76" s="139">
        <v>330</v>
      </c>
      <c r="T76" s="133">
        <f ca="1" t="shared" si="30"/>
        <v>31</v>
      </c>
      <c r="U76" s="133">
        <f ca="1" t="shared" si="31"/>
        <v>5</v>
      </c>
      <c r="V76" s="133">
        <f ca="1" t="shared" si="32"/>
        <v>5</v>
      </c>
      <c r="W76" s="133">
        <f ca="1" t="shared" si="33"/>
        <v>190</v>
      </c>
      <c r="X76" s="133">
        <f ca="1" t="shared" si="34"/>
        <v>7.1</v>
      </c>
      <c r="Y76" s="133">
        <f ca="1" t="shared" si="35"/>
        <v>409</v>
      </c>
      <c r="Z76" s="133" t="str">
        <f ca="1" t="shared" si="36"/>
        <v>金+</v>
      </c>
      <c r="AA76" s="133">
        <f ca="1" t="shared" si="37"/>
        <v>10</v>
      </c>
      <c r="AB76" s="133">
        <f ca="1" t="shared" si="38"/>
        <v>50</v>
      </c>
      <c r="AC76" s="133">
        <f ca="1" t="shared" si="39"/>
        <v>14</v>
      </c>
      <c r="AD76" s="133">
        <f ca="1" t="shared" si="40"/>
        <v>11</v>
      </c>
      <c r="AE76" s="133">
        <f ca="1" t="shared" si="41"/>
        <v>3</v>
      </c>
      <c r="AF76" s="133">
        <f ca="1" t="shared" si="42"/>
        <v>180</v>
      </c>
      <c r="AG76" s="133">
        <f ca="1" t="shared" si="43"/>
        <v>7.1</v>
      </c>
      <c r="AH76" s="133">
        <f ca="1" t="shared" si="44"/>
        <v>407</v>
      </c>
    </row>
    <row r="77" spans="2:34">
      <c r="B77" s="12">
        <v>360</v>
      </c>
      <c r="C77" s="30">
        <v>32</v>
      </c>
      <c r="D77" s="30">
        <v>6</v>
      </c>
      <c r="E77" s="30"/>
      <c r="F77" s="30">
        <v>200</v>
      </c>
      <c r="G77" s="30">
        <v>7.2</v>
      </c>
      <c r="H77" s="30">
        <v>410</v>
      </c>
      <c r="I77" s="30" t="s">
        <v>120</v>
      </c>
      <c r="J77" s="30"/>
      <c r="K77" s="30">
        <v>60</v>
      </c>
      <c r="L77" s="30">
        <v>15</v>
      </c>
      <c r="M77" s="30">
        <v>12</v>
      </c>
      <c r="N77" s="30"/>
      <c r="O77" s="30">
        <v>185</v>
      </c>
      <c r="P77" s="30">
        <v>7.2</v>
      </c>
      <c r="Q77" s="30">
        <v>408</v>
      </c>
      <c r="S77" s="139">
        <v>360</v>
      </c>
      <c r="T77" s="133">
        <f ca="1" t="shared" si="30"/>
        <v>32</v>
      </c>
      <c r="U77" s="133">
        <f ca="1" t="shared" si="31"/>
        <v>6</v>
      </c>
      <c r="V77" s="133">
        <f ca="1" t="shared" si="32"/>
        <v>5</v>
      </c>
      <c r="W77" s="133">
        <f ca="1" t="shared" si="33"/>
        <v>200</v>
      </c>
      <c r="X77" s="133">
        <f ca="1" t="shared" si="34"/>
        <v>7.2</v>
      </c>
      <c r="Y77" s="133">
        <f ca="1" t="shared" si="35"/>
        <v>410</v>
      </c>
      <c r="Z77" s="133" t="str">
        <f ca="1" t="shared" si="36"/>
        <v>金++</v>
      </c>
      <c r="AA77" s="133">
        <f ca="1" t="shared" si="37"/>
        <v>10</v>
      </c>
      <c r="AB77" s="133">
        <f ca="1" t="shared" si="38"/>
        <v>60</v>
      </c>
      <c r="AC77" s="133">
        <f ca="1" t="shared" si="39"/>
        <v>15</v>
      </c>
      <c r="AD77" s="133">
        <f ca="1" t="shared" si="40"/>
        <v>12</v>
      </c>
      <c r="AE77" s="133">
        <f ca="1" t="shared" si="41"/>
        <v>3</v>
      </c>
      <c r="AF77" s="133">
        <f ca="1" t="shared" si="42"/>
        <v>185</v>
      </c>
      <c r="AG77" s="133">
        <f ca="1" t="shared" si="43"/>
        <v>7.2</v>
      </c>
      <c r="AH77" s="133">
        <f ca="1" t="shared" si="44"/>
        <v>408</v>
      </c>
    </row>
    <row r="78" spans="2:34">
      <c r="B78" s="138">
        <v>390</v>
      </c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>
        <v>190</v>
      </c>
      <c r="P78" s="30"/>
      <c r="Q78" s="30">
        <v>409</v>
      </c>
      <c r="S78" s="140">
        <v>390</v>
      </c>
      <c r="T78" s="133">
        <f ca="1" t="shared" si="30"/>
        <v>32</v>
      </c>
      <c r="U78" s="133">
        <f ca="1" t="shared" si="31"/>
        <v>6</v>
      </c>
      <c r="V78" s="133">
        <f ca="1" t="shared" si="32"/>
        <v>5</v>
      </c>
      <c r="W78" s="133">
        <f ca="1" t="shared" si="33"/>
        <v>200</v>
      </c>
      <c r="X78" s="133">
        <f ca="1" t="shared" si="34"/>
        <v>7.2</v>
      </c>
      <c r="Y78" s="133">
        <f ca="1" t="shared" si="35"/>
        <v>410</v>
      </c>
      <c r="Z78" s="133" t="str">
        <f ca="1" t="shared" si="36"/>
        <v>金++</v>
      </c>
      <c r="AA78" s="133">
        <f ca="1" t="shared" si="37"/>
        <v>10</v>
      </c>
      <c r="AB78" s="133">
        <f ca="1" t="shared" si="38"/>
        <v>60</v>
      </c>
      <c r="AC78" s="133">
        <f ca="1" t="shared" si="39"/>
        <v>15</v>
      </c>
      <c r="AD78" s="133">
        <f ca="1" t="shared" si="40"/>
        <v>12</v>
      </c>
      <c r="AE78" s="133">
        <f ca="1" t="shared" si="41"/>
        <v>3</v>
      </c>
      <c r="AF78" s="133">
        <f ca="1" t="shared" si="42"/>
        <v>190</v>
      </c>
      <c r="AG78" s="133">
        <f ca="1" t="shared" si="43"/>
        <v>7.2</v>
      </c>
      <c r="AH78" s="133">
        <f ca="1" t="shared" si="44"/>
        <v>409</v>
      </c>
    </row>
    <row r="79" spans="2:34">
      <c r="B79" s="138">
        <v>430</v>
      </c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>
        <v>200</v>
      </c>
      <c r="P79" s="30"/>
      <c r="Q79" s="30">
        <v>410</v>
      </c>
      <c r="S79" s="140">
        <v>420</v>
      </c>
      <c r="T79" s="133">
        <f ca="1" t="shared" ref="T79:AE79" si="45">IF(C79="",INDIRECT(ADDRESS(ROW()-1,COLUMN())),C79)</f>
        <v>32</v>
      </c>
      <c r="U79" s="133">
        <f ca="1" t="shared" si="45"/>
        <v>6</v>
      </c>
      <c r="V79" s="133">
        <f ca="1" t="shared" si="45"/>
        <v>5</v>
      </c>
      <c r="W79" s="133">
        <f ca="1" t="shared" si="45"/>
        <v>200</v>
      </c>
      <c r="X79" s="133">
        <f ca="1" t="shared" si="45"/>
        <v>7.2</v>
      </c>
      <c r="Y79" s="133">
        <f ca="1" t="shared" si="45"/>
        <v>410</v>
      </c>
      <c r="Z79" s="133" t="str">
        <f ca="1" t="shared" si="45"/>
        <v>金++</v>
      </c>
      <c r="AA79" s="133">
        <f ca="1" t="shared" si="45"/>
        <v>10</v>
      </c>
      <c r="AB79" s="133">
        <f ca="1" t="shared" si="45"/>
        <v>60</v>
      </c>
      <c r="AC79" s="133">
        <f ca="1" t="shared" si="45"/>
        <v>15</v>
      </c>
      <c r="AD79" s="133">
        <f ca="1" t="shared" si="45"/>
        <v>12</v>
      </c>
      <c r="AE79" s="133">
        <f ca="1" t="shared" si="45"/>
        <v>3</v>
      </c>
      <c r="AF79" s="133">
        <f ca="1" t="shared" ref="AF79" si="46">IF(O79="",INDIRECT(ADDRESS(ROW()-1,COLUMN())),O79)</f>
        <v>200</v>
      </c>
      <c r="AG79" s="133">
        <f ca="1" t="shared" si="43"/>
        <v>7.2</v>
      </c>
      <c r="AH79" s="133">
        <f ca="1" t="shared" si="44"/>
        <v>410</v>
      </c>
    </row>
    <row r="82" s="25" customFormat="1" spans="1:10">
      <c r="A82" s="2" t="s">
        <v>686</v>
      </c>
      <c r="J82" s="132"/>
    </row>
    <row r="84" spans="2:12">
      <c r="B84" s="1" t="s">
        <v>382</v>
      </c>
      <c r="C84" s="1" t="s">
        <v>381</v>
      </c>
      <c r="D84" s="1" t="s">
        <v>687</v>
      </c>
      <c r="E84" s="1" t="s">
        <v>688</v>
      </c>
      <c r="F84" s="1" t="s">
        <v>557</v>
      </c>
      <c r="H84" s="133" t="s">
        <v>382</v>
      </c>
      <c r="I84" s="133" t="s">
        <v>381</v>
      </c>
      <c r="J84" s="133" t="s">
        <v>687</v>
      </c>
      <c r="K84" s="133" t="s">
        <v>688</v>
      </c>
      <c r="L84" s="133" t="s">
        <v>557</v>
      </c>
    </row>
    <row r="85" spans="2:12">
      <c r="B85" s="7">
        <v>0</v>
      </c>
      <c r="C85" s="30">
        <v>0</v>
      </c>
      <c r="D85" s="30">
        <v>0</v>
      </c>
      <c r="E85" s="30">
        <v>0</v>
      </c>
      <c r="F85" s="30">
        <v>0</v>
      </c>
      <c r="H85" s="134">
        <v>0</v>
      </c>
      <c r="I85" s="133">
        <f ca="1">IF(C85="",INDIRECT(ADDRESS(ROW()-1,COLUMN())),C85)</f>
        <v>0</v>
      </c>
      <c r="J85" s="133">
        <f ca="1" t="shared" ref="J85:L100" si="47">IF(D85="",INDIRECT(ADDRESS(ROW()-1,COLUMN())),D85)</f>
        <v>0</v>
      </c>
      <c r="K85" s="133">
        <f ca="1" t="shared" si="47"/>
        <v>0</v>
      </c>
      <c r="L85" s="133">
        <f ca="1" t="shared" si="47"/>
        <v>0</v>
      </c>
    </row>
    <row r="86" spans="2:12">
      <c r="B86" s="7">
        <v>0.1</v>
      </c>
      <c r="C86" s="30"/>
      <c r="D86" s="30"/>
      <c r="E86" s="30"/>
      <c r="F86" s="30"/>
      <c r="H86" s="134">
        <v>0.1</v>
      </c>
      <c r="I86" s="133">
        <f ca="1" t="shared" ref="I86:I149" si="48">IF(C86="",INDIRECT(ADDRESS(ROW()-1,COLUMN())),C86)</f>
        <v>0</v>
      </c>
      <c r="J86" s="133">
        <f ca="1" t="shared" si="47"/>
        <v>0</v>
      </c>
      <c r="K86" s="133">
        <f ca="1" t="shared" si="47"/>
        <v>0</v>
      </c>
      <c r="L86" s="133">
        <f ca="1" t="shared" si="47"/>
        <v>0</v>
      </c>
    </row>
    <row r="87" spans="2:12">
      <c r="B87" s="7">
        <v>0.2</v>
      </c>
      <c r="C87" s="30"/>
      <c r="D87" s="30"/>
      <c r="E87" s="30"/>
      <c r="F87" s="30"/>
      <c r="H87" s="134">
        <v>0.2</v>
      </c>
      <c r="I87" s="133">
        <f ca="1" t="shared" si="48"/>
        <v>0</v>
      </c>
      <c r="J87" s="133">
        <f ca="1" t="shared" si="47"/>
        <v>0</v>
      </c>
      <c r="K87" s="133">
        <f ca="1" t="shared" si="47"/>
        <v>0</v>
      </c>
      <c r="L87" s="133">
        <f ca="1" t="shared" si="47"/>
        <v>0</v>
      </c>
    </row>
    <row r="88" spans="2:12">
      <c r="B88" s="7">
        <v>0.3</v>
      </c>
      <c r="C88" s="30"/>
      <c r="D88" s="30"/>
      <c r="E88" s="30"/>
      <c r="F88" s="30"/>
      <c r="H88" s="134">
        <v>0.3</v>
      </c>
      <c r="I88" s="133">
        <f ca="1" t="shared" si="48"/>
        <v>0</v>
      </c>
      <c r="J88" s="133">
        <f ca="1" t="shared" si="47"/>
        <v>0</v>
      </c>
      <c r="K88" s="133">
        <f ca="1" t="shared" si="47"/>
        <v>0</v>
      </c>
      <c r="L88" s="133">
        <f ca="1" t="shared" si="47"/>
        <v>0</v>
      </c>
    </row>
    <row r="89" spans="2:12">
      <c r="B89" s="7">
        <v>0.4</v>
      </c>
      <c r="C89" s="30"/>
      <c r="D89" s="30"/>
      <c r="E89" s="30"/>
      <c r="F89" s="30"/>
      <c r="H89" s="134">
        <v>0.4</v>
      </c>
      <c r="I89" s="133">
        <f ca="1" t="shared" si="48"/>
        <v>0</v>
      </c>
      <c r="J89" s="133">
        <f ca="1" t="shared" si="47"/>
        <v>0</v>
      </c>
      <c r="K89" s="133">
        <f ca="1" t="shared" si="47"/>
        <v>0</v>
      </c>
      <c r="L89" s="133">
        <f ca="1" t="shared" si="47"/>
        <v>0</v>
      </c>
    </row>
    <row r="90" spans="2:12">
      <c r="B90" s="7">
        <v>0.5</v>
      </c>
      <c r="C90" s="30"/>
      <c r="D90" s="30"/>
      <c r="E90" s="30"/>
      <c r="F90" s="30"/>
      <c r="H90" s="134">
        <v>0.5</v>
      </c>
      <c r="I90" s="133">
        <f ca="1" t="shared" si="48"/>
        <v>0</v>
      </c>
      <c r="J90" s="133">
        <f ca="1" t="shared" si="47"/>
        <v>0</v>
      </c>
      <c r="K90" s="133">
        <f ca="1" t="shared" si="47"/>
        <v>0</v>
      </c>
      <c r="L90" s="133">
        <f ca="1" t="shared" si="47"/>
        <v>0</v>
      </c>
    </row>
    <row r="91" spans="2:12">
      <c r="B91" s="7">
        <v>0.6</v>
      </c>
      <c r="C91" s="30"/>
      <c r="D91" s="30"/>
      <c r="E91" s="30"/>
      <c r="F91" s="30"/>
      <c r="H91" s="134">
        <v>0.6</v>
      </c>
      <c r="I91" s="133">
        <f ca="1" t="shared" si="48"/>
        <v>0</v>
      </c>
      <c r="J91" s="133">
        <f ca="1" t="shared" si="47"/>
        <v>0</v>
      </c>
      <c r="K91" s="133">
        <f ca="1" t="shared" si="47"/>
        <v>0</v>
      </c>
      <c r="L91" s="133">
        <f ca="1" t="shared" si="47"/>
        <v>0</v>
      </c>
    </row>
    <row r="92" spans="2:12">
      <c r="B92" s="7">
        <v>0.7</v>
      </c>
      <c r="C92" s="30"/>
      <c r="D92" s="30"/>
      <c r="E92" s="30"/>
      <c r="F92" s="30"/>
      <c r="H92" s="134">
        <v>0.7</v>
      </c>
      <c r="I92" s="133">
        <f ca="1" t="shared" si="48"/>
        <v>0</v>
      </c>
      <c r="J92" s="133">
        <f ca="1" t="shared" si="47"/>
        <v>0</v>
      </c>
      <c r="K92" s="133">
        <f ca="1" t="shared" si="47"/>
        <v>0</v>
      </c>
      <c r="L92" s="133">
        <f ca="1" t="shared" si="47"/>
        <v>0</v>
      </c>
    </row>
    <row r="93" spans="2:12">
      <c r="B93" s="7">
        <v>0.8</v>
      </c>
      <c r="C93" s="30"/>
      <c r="D93" s="30"/>
      <c r="E93" s="30"/>
      <c r="F93" s="30"/>
      <c r="H93" s="134">
        <v>0.8</v>
      </c>
      <c r="I93" s="133">
        <f ca="1" t="shared" si="48"/>
        <v>0</v>
      </c>
      <c r="J93" s="133">
        <f ca="1" t="shared" si="47"/>
        <v>0</v>
      </c>
      <c r="K93" s="133">
        <f ca="1" t="shared" si="47"/>
        <v>0</v>
      </c>
      <c r="L93" s="133">
        <f ca="1" t="shared" si="47"/>
        <v>0</v>
      </c>
    </row>
    <row r="94" spans="2:12">
      <c r="B94" s="7">
        <v>0.9</v>
      </c>
      <c r="C94" s="30"/>
      <c r="D94" s="30"/>
      <c r="E94" s="30"/>
      <c r="F94" s="30"/>
      <c r="H94" s="134">
        <v>0.9</v>
      </c>
      <c r="I94" s="133">
        <f ca="1" t="shared" si="48"/>
        <v>0</v>
      </c>
      <c r="J94" s="133">
        <f ca="1" t="shared" si="47"/>
        <v>0</v>
      </c>
      <c r="K94" s="133">
        <f ca="1" t="shared" si="47"/>
        <v>0</v>
      </c>
      <c r="L94" s="133">
        <f ca="1" t="shared" si="47"/>
        <v>0</v>
      </c>
    </row>
    <row r="95" spans="2:12">
      <c r="B95" s="7">
        <v>1</v>
      </c>
      <c r="C95" s="30">
        <v>11</v>
      </c>
      <c r="D95" s="30">
        <v>1</v>
      </c>
      <c r="E95" s="30">
        <v>1</v>
      </c>
      <c r="F95" s="30"/>
      <c r="H95" s="134">
        <v>1</v>
      </c>
      <c r="I95" s="133">
        <f ca="1" t="shared" si="48"/>
        <v>11</v>
      </c>
      <c r="J95" s="133">
        <f ca="1" t="shared" si="47"/>
        <v>1</v>
      </c>
      <c r="K95" s="133">
        <f ca="1" t="shared" si="47"/>
        <v>1</v>
      </c>
      <c r="L95" s="133">
        <f ca="1" t="shared" si="47"/>
        <v>0</v>
      </c>
    </row>
    <row r="96" spans="2:12">
      <c r="B96" s="9">
        <v>1.5</v>
      </c>
      <c r="C96" s="30"/>
      <c r="D96" s="30"/>
      <c r="E96" s="30"/>
      <c r="F96" s="30"/>
      <c r="H96" s="135">
        <v>1.5</v>
      </c>
      <c r="I96" s="133">
        <f ca="1" t="shared" si="48"/>
        <v>11</v>
      </c>
      <c r="J96" s="133">
        <f ca="1" t="shared" si="47"/>
        <v>1</v>
      </c>
      <c r="K96" s="133">
        <f ca="1" t="shared" si="47"/>
        <v>1</v>
      </c>
      <c r="L96" s="133">
        <f ca="1" t="shared" si="47"/>
        <v>0</v>
      </c>
    </row>
    <row r="97" spans="2:12">
      <c r="B97" s="9">
        <v>2</v>
      </c>
      <c r="C97" s="30"/>
      <c r="D97" s="30"/>
      <c r="E97" s="30"/>
      <c r="F97" s="30"/>
      <c r="H97" s="135">
        <v>2</v>
      </c>
      <c r="I97" s="133">
        <f ca="1" t="shared" si="48"/>
        <v>11</v>
      </c>
      <c r="J97" s="133">
        <f ca="1" t="shared" si="47"/>
        <v>1</v>
      </c>
      <c r="K97" s="133">
        <f ca="1" t="shared" si="47"/>
        <v>1</v>
      </c>
      <c r="L97" s="133">
        <f ca="1" t="shared" si="47"/>
        <v>0</v>
      </c>
    </row>
    <row r="98" spans="2:12">
      <c r="B98" s="9">
        <v>2.5</v>
      </c>
      <c r="C98" s="30"/>
      <c r="D98" s="30"/>
      <c r="E98" s="30"/>
      <c r="F98" s="30"/>
      <c r="H98" s="135">
        <v>2.5</v>
      </c>
      <c r="I98" s="133">
        <f ca="1" t="shared" si="48"/>
        <v>11</v>
      </c>
      <c r="J98" s="133">
        <f ca="1" t="shared" si="47"/>
        <v>1</v>
      </c>
      <c r="K98" s="133">
        <f ca="1" t="shared" si="47"/>
        <v>1</v>
      </c>
      <c r="L98" s="133">
        <f ca="1" t="shared" si="47"/>
        <v>0</v>
      </c>
    </row>
    <row r="99" spans="2:12">
      <c r="B99" s="9">
        <v>3</v>
      </c>
      <c r="C99" s="30"/>
      <c r="D99" s="30"/>
      <c r="E99" s="30"/>
      <c r="F99" s="30"/>
      <c r="H99" s="135">
        <v>3</v>
      </c>
      <c r="I99" s="133">
        <f ca="1" t="shared" si="48"/>
        <v>11</v>
      </c>
      <c r="J99" s="133">
        <f ca="1" t="shared" si="47"/>
        <v>1</v>
      </c>
      <c r="K99" s="133">
        <f ca="1" t="shared" si="47"/>
        <v>1</v>
      </c>
      <c r="L99" s="133">
        <f ca="1" t="shared" si="47"/>
        <v>0</v>
      </c>
    </row>
    <row r="100" spans="2:12">
      <c r="B100" s="9">
        <v>3.5</v>
      </c>
      <c r="C100" s="30"/>
      <c r="D100" s="30"/>
      <c r="E100" s="30"/>
      <c r="F100" s="30"/>
      <c r="H100" s="135">
        <v>3.5</v>
      </c>
      <c r="I100" s="133">
        <f ca="1" t="shared" si="48"/>
        <v>11</v>
      </c>
      <c r="J100" s="133">
        <f ca="1" t="shared" si="47"/>
        <v>1</v>
      </c>
      <c r="K100" s="133">
        <f ca="1" t="shared" si="47"/>
        <v>1</v>
      </c>
      <c r="L100" s="133">
        <f ca="1" t="shared" si="47"/>
        <v>0</v>
      </c>
    </row>
    <row r="101" spans="2:12">
      <c r="B101" s="9">
        <v>4</v>
      </c>
      <c r="C101" s="30"/>
      <c r="D101" s="30"/>
      <c r="E101" s="30"/>
      <c r="F101" s="30"/>
      <c r="H101" s="135">
        <v>4</v>
      </c>
      <c r="I101" s="133">
        <f ca="1" t="shared" si="48"/>
        <v>11</v>
      </c>
      <c r="J101" s="133">
        <f ca="1" t="shared" ref="J101:J156" si="49">IF(D101="",INDIRECT(ADDRESS(ROW()-1,COLUMN())),D101)</f>
        <v>1</v>
      </c>
      <c r="K101" s="133">
        <f ca="1" t="shared" ref="K101:L156" si="50">IF(E101="",INDIRECT(ADDRESS(ROW()-1,COLUMN())),E101)</f>
        <v>1</v>
      </c>
      <c r="L101" s="133">
        <f ca="1" t="shared" si="50"/>
        <v>0</v>
      </c>
    </row>
    <row r="102" spans="2:12">
      <c r="B102" s="9">
        <v>4.5</v>
      </c>
      <c r="C102" s="30"/>
      <c r="D102" s="30"/>
      <c r="E102" s="30"/>
      <c r="F102" s="30"/>
      <c r="H102" s="135">
        <v>4.5</v>
      </c>
      <c r="I102" s="133">
        <f ca="1" t="shared" si="48"/>
        <v>11</v>
      </c>
      <c r="J102" s="133">
        <f ca="1" t="shared" si="49"/>
        <v>1</v>
      </c>
      <c r="K102" s="133">
        <f ca="1" t="shared" si="50"/>
        <v>1</v>
      </c>
      <c r="L102" s="133">
        <f ca="1" t="shared" si="50"/>
        <v>0</v>
      </c>
    </row>
    <row r="103" spans="2:12">
      <c r="B103" s="9">
        <v>5</v>
      </c>
      <c r="C103" s="30"/>
      <c r="D103" s="30"/>
      <c r="E103" s="30">
        <v>2</v>
      </c>
      <c r="F103" s="30"/>
      <c r="H103" s="135">
        <v>5</v>
      </c>
      <c r="I103" s="133">
        <f ca="1" t="shared" si="48"/>
        <v>11</v>
      </c>
      <c r="J103" s="133">
        <f ca="1" t="shared" si="49"/>
        <v>1</v>
      </c>
      <c r="K103" s="133">
        <f ca="1" t="shared" si="50"/>
        <v>2</v>
      </c>
      <c r="L103" s="133">
        <f ca="1" t="shared" si="50"/>
        <v>0</v>
      </c>
    </row>
    <row r="104" spans="2:12">
      <c r="B104" s="9">
        <v>5.5</v>
      </c>
      <c r="C104" s="30"/>
      <c r="D104" s="30"/>
      <c r="E104" s="30"/>
      <c r="F104" s="30"/>
      <c r="H104" s="135">
        <v>5.5</v>
      </c>
      <c r="I104" s="133">
        <f ca="1" t="shared" si="48"/>
        <v>11</v>
      </c>
      <c r="J104" s="133">
        <f ca="1" t="shared" si="49"/>
        <v>1</v>
      </c>
      <c r="K104" s="133">
        <f ca="1" t="shared" si="50"/>
        <v>2</v>
      </c>
      <c r="L104" s="133">
        <f ca="1" t="shared" si="50"/>
        <v>0</v>
      </c>
    </row>
    <row r="105" spans="2:12">
      <c r="B105" s="9">
        <v>6</v>
      </c>
      <c r="C105" s="30"/>
      <c r="D105" s="30">
        <v>2</v>
      </c>
      <c r="E105" s="30"/>
      <c r="F105" s="30"/>
      <c r="H105" s="135">
        <v>6</v>
      </c>
      <c r="I105" s="133">
        <f ca="1" t="shared" si="48"/>
        <v>11</v>
      </c>
      <c r="J105" s="133">
        <f ca="1" t="shared" si="49"/>
        <v>2</v>
      </c>
      <c r="K105" s="133">
        <f ca="1" t="shared" si="50"/>
        <v>2</v>
      </c>
      <c r="L105" s="133">
        <f ca="1" t="shared" si="50"/>
        <v>0</v>
      </c>
    </row>
    <row r="106" spans="2:12">
      <c r="B106" s="9">
        <v>6.5</v>
      </c>
      <c r="C106" s="30"/>
      <c r="D106" s="30"/>
      <c r="E106" s="30"/>
      <c r="F106" s="30"/>
      <c r="H106" s="135">
        <v>6.5</v>
      </c>
      <c r="I106" s="133">
        <f ca="1" t="shared" si="48"/>
        <v>11</v>
      </c>
      <c r="J106" s="133">
        <f ca="1" t="shared" si="49"/>
        <v>2</v>
      </c>
      <c r="K106" s="133">
        <f ca="1" t="shared" si="50"/>
        <v>2</v>
      </c>
      <c r="L106" s="133">
        <f ca="1" t="shared" si="50"/>
        <v>0</v>
      </c>
    </row>
    <row r="107" spans="2:12">
      <c r="B107" s="9">
        <v>7</v>
      </c>
      <c r="C107" s="30"/>
      <c r="D107" s="30"/>
      <c r="E107" s="30"/>
      <c r="F107" s="30"/>
      <c r="H107" s="135">
        <v>7</v>
      </c>
      <c r="I107" s="133">
        <f ca="1" t="shared" si="48"/>
        <v>11</v>
      </c>
      <c r="J107" s="133">
        <f ca="1" t="shared" si="49"/>
        <v>2</v>
      </c>
      <c r="K107" s="133">
        <f ca="1" t="shared" si="50"/>
        <v>2</v>
      </c>
      <c r="L107" s="133">
        <f ca="1" t="shared" si="50"/>
        <v>0</v>
      </c>
    </row>
    <row r="108" spans="2:12">
      <c r="B108" s="10">
        <v>8</v>
      </c>
      <c r="C108" s="30"/>
      <c r="D108" s="30"/>
      <c r="E108" s="30"/>
      <c r="F108" s="30"/>
      <c r="H108" s="136">
        <v>8</v>
      </c>
      <c r="I108" s="133">
        <f ca="1" t="shared" si="48"/>
        <v>11</v>
      </c>
      <c r="J108" s="133">
        <f ca="1" t="shared" si="49"/>
        <v>2</v>
      </c>
      <c r="K108" s="133">
        <f ca="1" t="shared" si="50"/>
        <v>2</v>
      </c>
      <c r="L108" s="133">
        <f ca="1" t="shared" si="50"/>
        <v>0</v>
      </c>
    </row>
    <row r="109" spans="2:12">
      <c r="B109" s="10">
        <v>9</v>
      </c>
      <c r="C109" s="30"/>
      <c r="D109" s="30"/>
      <c r="E109" s="30"/>
      <c r="F109" s="30"/>
      <c r="H109" s="136">
        <v>9</v>
      </c>
      <c r="I109" s="133">
        <f ca="1" t="shared" si="48"/>
        <v>11</v>
      </c>
      <c r="J109" s="133">
        <f ca="1" t="shared" si="49"/>
        <v>2</v>
      </c>
      <c r="K109" s="133">
        <f ca="1" t="shared" si="50"/>
        <v>2</v>
      </c>
      <c r="L109" s="133">
        <f ca="1" t="shared" si="50"/>
        <v>0</v>
      </c>
    </row>
    <row r="110" spans="2:12">
      <c r="B110" s="10">
        <v>10</v>
      </c>
      <c r="C110" s="30"/>
      <c r="D110" s="30"/>
      <c r="E110" s="30"/>
      <c r="F110" s="30"/>
      <c r="H110" s="136">
        <v>10</v>
      </c>
      <c r="I110" s="133">
        <f ca="1" t="shared" si="48"/>
        <v>11</v>
      </c>
      <c r="J110" s="133">
        <f ca="1" t="shared" si="49"/>
        <v>2</v>
      </c>
      <c r="K110" s="133">
        <f ca="1" t="shared" si="50"/>
        <v>2</v>
      </c>
      <c r="L110" s="133">
        <f ca="1" t="shared" si="50"/>
        <v>0</v>
      </c>
    </row>
    <row r="111" spans="2:12">
      <c r="B111" s="10">
        <v>11</v>
      </c>
      <c r="C111" s="30"/>
      <c r="D111" s="30"/>
      <c r="E111" s="30"/>
      <c r="F111" s="30"/>
      <c r="H111" s="136">
        <v>11</v>
      </c>
      <c r="I111" s="133">
        <f ca="1" t="shared" si="48"/>
        <v>11</v>
      </c>
      <c r="J111" s="133">
        <f ca="1" t="shared" si="49"/>
        <v>2</v>
      </c>
      <c r="K111" s="133">
        <f ca="1" t="shared" si="50"/>
        <v>2</v>
      </c>
      <c r="L111" s="133">
        <f ca="1" t="shared" si="50"/>
        <v>0</v>
      </c>
    </row>
    <row r="112" spans="2:12">
      <c r="B112" s="10">
        <v>12</v>
      </c>
      <c r="C112" s="30"/>
      <c r="D112" s="30"/>
      <c r="E112" s="30"/>
      <c r="F112" s="30"/>
      <c r="H112" s="136">
        <v>12</v>
      </c>
      <c r="I112" s="133">
        <f ca="1" t="shared" si="48"/>
        <v>11</v>
      </c>
      <c r="J112" s="133">
        <f ca="1" t="shared" si="49"/>
        <v>2</v>
      </c>
      <c r="K112" s="133">
        <f ca="1" t="shared" si="50"/>
        <v>2</v>
      </c>
      <c r="L112" s="133">
        <f ca="1" t="shared" si="50"/>
        <v>0</v>
      </c>
    </row>
    <row r="113" spans="2:12">
      <c r="B113" s="10">
        <v>13</v>
      </c>
      <c r="C113" s="30">
        <v>21</v>
      </c>
      <c r="D113" s="30">
        <v>3</v>
      </c>
      <c r="E113" s="30">
        <v>3</v>
      </c>
      <c r="F113" s="30"/>
      <c r="H113" s="136">
        <v>13</v>
      </c>
      <c r="I113" s="133">
        <f ca="1" t="shared" si="48"/>
        <v>21</v>
      </c>
      <c r="J113" s="133">
        <f ca="1" t="shared" si="49"/>
        <v>3</v>
      </c>
      <c r="K113" s="133">
        <f ca="1" t="shared" si="50"/>
        <v>3</v>
      </c>
      <c r="L113" s="133">
        <f ca="1" t="shared" si="50"/>
        <v>0</v>
      </c>
    </row>
    <row r="114" spans="2:12">
      <c r="B114" s="10">
        <v>14</v>
      </c>
      <c r="C114" s="30"/>
      <c r="D114" s="30"/>
      <c r="E114" s="30"/>
      <c r="F114" s="30">
        <v>1</v>
      </c>
      <c r="H114" s="136">
        <v>14</v>
      </c>
      <c r="I114" s="133">
        <f ca="1" t="shared" si="48"/>
        <v>21</v>
      </c>
      <c r="J114" s="133">
        <f ca="1" t="shared" si="49"/>
        <v>3</v>
      </c>
      <c r="K114" s="133">
        <f ca="1" t="shared" si="50"/>
        <v>3</v>
      </c>
      <c r="L114" s="133">
        <f ca="1" t="shared" si="50"/>
        <v>1</v>
      </c>
    </row>
    <row r="115" spans="2:12">
      <c r="B115" s="10">
        <v>15</v>
      </c>
      <c r="C115" s="30"/>
      <c r="D115" s="30"/>
      <c r="E115" s="30"/>
      <c r="F115" s="30"/>
      <c r="H115" s="136">
        <v>15</v>
      </c>
      <c r="I115" s="133">
        <f ca="1" t="shared" si="48"/>
        <v>21</v>
      </c>
      <c r="J115" s="133">
        <f ca="1" t="shared" si="49"/>
        <v>3</v>
      </c>
      <c r="K115" s="133">
        <f ca="1" t="shared" si="50"/>
        <v>3</v>
      </c>
      <c r="L115" s="133">
        <f ca="1" t="shared" si="50"/>
        <v>1</v>
      </c>
    </row>
    <row r="116" spans="2:12">
      <c r="B116" s="10">
        <v>16</v>
      </c>
      <c r="C116" s="30"/>
      <c r="D116" s="30"/>
      <c r="E116" s="30"/>
      <c r="F116" s="30"/>
      <c r="H116" s="136">
        <v>16</v>
      </c>
      <c r="I116" s="133">
        <f ca="1" t="shared" si="48"/>
        <v>21</v>
      </c>
      <c r="J116" s="133">
        <f ca="1" t="shared" si="49"/>
        <v>3</v>
      </c>
      <c r="K116" s="133">
        <f ca="1" t="shared" si="50"/>
        <v>3</v>
      </c>
      <c r="L116" s="133">
        <f ca="1" t="shared" si="50"/>
        <v>1</v>
      </c>
    </row>
    <row r="117" spans="2:12">
      <c r="B117" s="10">
        <v>17</v>
      </c>
      <c r="C117" s="30"/>
      <c r="D117" s="30"/>
      <c r="E117" s="30"/>
      <c r="F117" s="30"/>
      <c r="H117" s="136">
        <v>17</v>
      </c>
      <c r="I117" s="133">
        <f ca="1" t="shared" si="48"/>
        <v>21</v>
      </c>
      <c r="J117" s="133">
        <f ca="1" t="shared" si="49"/>
        <v>3</v>
      </c>
      <c r="K117" s="133">
        <f ca="1" t="shared" si="50"/>
        <v>3</v>
      </c>
      <c r="L117" s="133">
        <f ca="1" t="shared" si="50"/>
        <v>1</v>
      </c>
    </row>
    <row r="118" spans="2:12">
      <c r="B118" s="10">
        <v>18</v>
      </c>
      <c r="C118" s="30"/>
      <c r="D118" s="30"/>
      <c r="E118" s="30"/>
      <c r="F118" s="30"/>
      <c r="H118" s="136">
        <v>18</v>
      </c>
      <c r="I118" s="133">
        <f ca="1" t="shared" si="48"/>
        <v>21</v>
      </c>
      <c r="J118" s="133">
        <f ca="1" t="shared" si="49"/>
        <v>3</v>
      </c>
      <c r="K118" s="133">
        <f ca="1" t="shared" si="50"/>
        <v>3</v>
      </c>
      <c r="L118" s="133">
        <f ca="1" t="shared" si="50"/>
        <v>1</v>
      </c>
    </row>
    <row r="119" spans="2:12">
      <c r="B119" s="10">
        <v>19</v>
      </c>
      <c r="C119" s="30"/>
      <c r="D119" s="30"/>
      <c r="E119" s="30"/>
      <c r="F119" s="30"/>
      <c r="H119" s="136">
        <v>19</v>
      </c>
      <c r="I119" s="133">
        <f ca="1" t="shared" si="48"/>
        <v>21</v>
      </c>
      <c r="J119" s="133">
        <f ca="1" t="shared" si="49"/>
        <v>3</v>
      </c>
      <c r="K119" s="133">
        <f ca="1" t="shared" si="50"/>
        <v>3</v>
      </c>
      <c r="L119" s="133">
        <f ca="1" t="shared" si="50"/>
        <v>1</v>
      </c>
    </row>
    <row r="120" spans="2:12">
      <c r="B120" s="10">
        <v>20</v>
      </c>
      <c r="C120" s="30"/>
      <c r="D120" s="30"/>
      <c r="E120" s="30"/>
      <c r="F120" s="30"/>
      <c r="H120" s="136">
        <v>20</v>
      </c>
      <c r="I120" s="133">
        <f ca="1" t="shared" si="48"/>
        <v>21</v>
      </c>
      <c r="J120" s="133">
        <f ca="1" t="shared" si="49"/>
        <v>3</v>
      </c>
      <c r="K120" s="133">
        <f ca="1" t="shared" si="50"/>
        <v>3</v>
      </c>
      <c r="L120" s="133">
        <f ca="1" t="shared" si="50"/>
        <v>1</v>
      </c>
    </row>
    <row r="121" spans="2:12">
      <c r="B121" s="10">
        <v>21</v>
      </c>
      <c r="C121" s="30"/>
      <c r="D121" s="30"/>
      <c r="E121" s="30"/>
      <c r="F121" s="30"/>
      <c r="H121" s="136">
        <v>21</v>
      </c>
      <c r="I121" s="133">
        <f ca="1" t="shared" si="48"/>
        <v>21</v>
      </c>
      <c r="J121" s="133">
        <f ca="1" t="shared" si="49"/>
        <v>3</v>
      </c>
      <c r="K121" s="133">
        <f ca="1" t="shared" si="50"/>
        <v>3</v>
      </c>
      <c r="L121" s="133">
        <f ca="1" t="shared" si="50"/>
        <v>1</v>
      </c>
    </row>
    <row r="122" spans="2:12">
      <c r="B122" s="10">
        <v>22</v>
      </c>
      <c r="C122" s="30"/>
      <c r="D122" s="30"/>
      <c r="E122" s="30"/>
      <c r="F122" s="30"/>
      <c r="H122" s="136">
        <v>22</v>
      </c>
      <c r="I122" s="133">
        <f ca="1" t="shared" si="48"/>
        <v>21</v>
      </c>
      <c r="J122" s="133">
        <f ca="1" t="shared" si="49"/>
        <v>3</v>
      </c>
      <c r="K122" s="133">
        <f ca="1" t="shared" si="50"/>
        <v>3</v>
      </c>
      <c r="L122" s="133">
        <f ca="1" t="shared" si="50"/>
        <v>1</v>
      </c>
    </row>
    <row r="123" spans="2:12">
      <c r="B123" s="10">
        <v>23</v>
      </c>
      <c r="C123" s="30"/>
      <c r="D123" s="30"/>
      <c r="E123" s="30">
        <v>4</v>
      </c>
      <c r="F123" s="30"/>
      <c r="H123" s="136">
        <v>23</v>
      </c>
      <c r="I123" s="133">
        <f ca="1" t="shared" si="48"/>
        <v>21</v>
      </c>
      <c r="J123" s="133">
        <f ca="1" t="shared" si="49"/>
        <v>3</v>
      </c>
      <c r="K123" s="133">
        <f ca="1" t="shared" si="50"/>
        <v>4</v>
      </c>
      <c r="L123" s="133">
        <f ca="1" t="shared" si="50"/>
        <v>1</v>
      </c>
    </row>
    <row r="124" spans="2:12">
      <c r="B124" s="10">
        <v>24</v>
      </c>
      <c r="C124" s="30"/>
      <c r="D124" s="30"/>
      <c r="E124" s="30"/>
      <c r="F124" s="30"/>
      <c r="H124" s="136">
        <v>24</v>
      </c>
      <c r="I124" s="133">
        <f ca="1" t="shared" si="48"/>
        <v>21</v>
      </c>
      <c r="J124" s="133">
        <f ca="1" t="shared" si="49"/>
        <v>3</v>
      </c>
      <c r="K124" s="133">
        <f ca="1" t="shared" si="50"/>
        <v>4</v>
      </c>
      <c r="L124" s="133">
        <f ca="1" t="shared" si="50"/>
        <v>1</v>
      </c>
    </row>
    <row r="125" spans="2:12">
      <c r="B125" s="10">
        <v>25</v>
      </c>
      <c r="C125" s="30"/>
      <c r="D125" s="30"/>
      <c r="E125" s="30"/>
      <c r="F125" s="30"/>
      <c r="H125" s="136">
        <v>25</v>
      </c>
      <c r="I125" s="133">
        <f ca="1" t="shared" si="48"/>
        <v>21</v>
      </c>
      <c r="J125" s="133">
        <f ca="1" t="shared" si="49"/>
        <v>3</v>
      </c>
      <c r="K125" s="133">
        <f ca="1" t="shared" si="50"/>
        <v>4</v>
      </c>
      <c r="L125" s="133">
        <f ca="1" t="shared" si="50"/>
        <v>1</v>
      </c>
    </row>
    <row r="126" spans="2:12">
      <c r="B126" s="10">
        <v>26</v>
      </c>
      <c r="C126" s="30"/>
      <c r="D126" s="30"/>
      <c r="E126" s="30"/>
      <c r="F126" s="30"/>
      <c r="H126" s="136">
        <v>26</v>
      </c>
      <c r="I126" s="133">
        <f ca="1" t="shared" si="48"/>
        <v>21</v>
      </c>
      <c r="J126" s="133">
        <f ca="1" t="shared" si="49"/>
        <v>3</v>
      </c>
      <c r="K126" s="133">
        <f ca="1" t="shared" si="50"/>
        <v>4</v>
      </c>
      <c r="L126" s="133">
        <f ca="1" t="shared" si="50"/>
        <v>1</v>
      </c>
    </row>
    <row r="127" spans="2:12">
      <c r="B127" s="10">
        <v>27</v>
      </c>
      <c r="C127" s="30"/>
      <c r="D127" s="30"/>
      <c r="E127" s="30"/>
      <c r="F127" s="30"/>
      <c r="H127" s="136">
        <v>27</v>
      </c>
      <c r="I127" s="133">
        <f ca="1" t="shared" si="48"/>
        <v>21</v>
      </c>
      <c r="J127" s="133">
        <f ca="1" t="shared" si="49"/>
        <v>3</v>
      </c>
      <c r="K127" s="133">
        <f ca="1" t="shared" si="50"/>
        <v>4</v>
      </c>
      <c r="L127" s="133">
        <f ca="1" t="shared" si="50"/>
        <v>1</v>
      </c>
    </row>
    <row r="128" spans="2:12">
      <c r="B128" s="10">
        <v>28</v>
      </c>
      <c r="C128" s="30"/>
      <c r="D128" s="30"/>
      <c r="E128" s="30"/>
      <c r="F128" s="30"/>
      <c r="H128" s="136">
        <v>28</v>
      </c>
      <c r="I128" s="133">
        <f ca="1" t="shared" si="48"/>
        <v>21</v>
      </c>
      <c r="J128" s="133">
        <f ca="1" t="shared" si="49"/>
        <v>3</v>
      </c>
      <c r="K128" s="133">
        <f ca="1" t="shared" si="50"/>
        <v>4</v>
      </c>
      <c r="L128" s="133">
        <f ca="1" t="shared" si="50"/>
        <v>1</v>
      </c>
    </row>
    <row r="129" spans="2:12">
      <c r="B129" s="10">
        <v>29</v>
      </c>
      <c r="C129" s="30"/>
      <c r="D129" s="30"/>
      <c r="E129" s="30"/>
      <c r="F129" s="30"/>
      <c r="H129" s="136">
        <v>29</v>
      </c>
      <c r="I129" s="133">
        <f ca="1" t="shared" si="48"/>
        <v>21</v>
      </c>
      <c r="J129" s="133">
        <f ca="1" t="shared" si="49"/>
        <v>3</v>
      </c>
      <c r="K129" s="133">
        <f ca="1" t="shared" si="50"/>
        <v>4</v>
      </c>
      <c r="L129" s="133">
        <f ca="1" t="shared" si="50"/>
        <v>1</v>
      </c>
    </row>
    <row r="130" spans="2:12">
      <c r="B130" s="10">
        <v>30</v>
      </c>
      <c r="C130" s="30"/>
      <c r="D130" s="30"/>
      <c r="E130" s="30"/>
      <c r="F130" s="30"/>
      <c r="H130" s="136">
        <v>30</v>
      </c>
      <c r="I130" s="133">
        <f ca="1" t="shared" si="48"/>
        <v>21</v>
      </c>
      <c r="J130" s="133">
        <f ca="1" t="shared" si="49"/>
        <v>3</v>
      </c>
      <c r="K130" s="133">
        <f ca="1" t="shared" si="50"/>
        <v>4</v>
      </c>
      <c r="L130" s="133">
        <f ca="1" t="shared" si="50"/>
        <v>1</v>
      </c>
    </row>
    <row r="131" spans="2:12">
      <c r="B131" s="11">
        <v>35</v>
      </c>
      <c r="C131" s="30">
        <v>26</v>
      </c>
      <c r="D131" s="30">
        <v>4</v>
      </c>
      <c r="E131" s="30">
        <v>5</v>
      </c>
      <c r="F131" s="30"/>
      <c r="H131" s="137">
        <v>35</v>
      </c>
      <c r="I131" s="133">
        <f ca="1" t="shared" si="48"/>
        <v>26</v>
      </c>
      <c r="J131" s="133">
        <f ca="1" t="shared" si="49"/>
        <v>4</v>
      </c>
      <c r="K131" s="133">
        <f ca="1" t="shared" si="50"/>
        <v>5</v>
      </c>
      <c r="L131" s="133">
        <f ca="1" t="shared" si="50"/>
        <v>1</v>
      </c>
    </row>
    <row r="132" spans="2:12">
      <c r="B132" s="11">
        <v>40</v>
      </c>
      <c r="C132" s="30"/>
      <c r="D132" s="30"/>
      <c r="E132" s="30"/>
      <c r="F132" s="30"/>
      <c r="H132" s="137">
        <v>40</v>
      </c>
      <c r="I132" s="133">
        <f ca="1" t="shared" si="48"/>
        <v>26</v>
      </c>
      <c r="J132" s="133">
        <f ca="1" t="shared" si="49"/>
        <v>4</v>
      </c>
      <c r="K132" s="133">
        <f ca="1" t="shared" si="50"/>
        <v>5</v>
      </c>
      <c r="L132" s="133">
        <f ca="1" t="shared" si="50"/>
        <v>1</v>
      </c>
    </row>
    <row r="133" spans="2:12">
      <c r="B133" s="11">
        <v>45</v>
      </c>
      <c r="C133" s="30"/>
      <c r="D133" s="30">
        <v>5</v>
      </c>
      <c r="E133" s="30"/>
      <c r="F133" s="30">
        <v>2</v>
      </c>
      <c r="H133" s="137">
        <v>45</v>
      </c>
      <c r="I133" s="133">
        <f ca="1" t="shared" si="48"/>
        <v>26</v>
      </c>
      <c r="J133" s="133">
        <f ca="1" t="shared" si="49"/>
        <v>5</v>
      </c>
      <c r="K133" s="133">
        <f ca="1" t="shared" si="50"/>
        <v>5</v>
      </c>
      <c r="L133" s="133">
        <f ca="1" t="shared" si="50"/>
        <v>2</v>
      </c>
    </row>
    <row r="134" spans="2:12">
      <c r="B134" s="11">
        <v>50</v>
      </c>
      <c r="C134" s="30"/>
      <c r="D134" s="30"/>
      <c r="E134" s="30">
        <v>6</v>
      </c>
      <c r="F134" s="30"/>
      <c r="H134" s="137">
        <v>50</v>
      </c>
      <c r="I134" s="133">
        <f ca="1" t="shared" si="48"/>
        <v>26</v>
      </c>
      <c r="J134" s="133">
        <f ca="1" t="shared" si="49"/>
        <v>5</v>
      </c>
      <c r="K134" s="133">
        <f ca="1" t="shared" si="50"/>
        <v>6</v>
      </c>
      <c r="L134" s="133">
        <f ca="1" t="shared" si="50"/>
        <v>2</v>
      </c>
    </row>
    <row r="135" spans="2:12">
      <c r="B135" s="11">
        <v>55</v>
      </c>
      <c r="C135" s="30"/>
      <c r="D135" s="30">
        <v>6</v>
      </c>
      <c r="E135" s="30"/>
      <c r="F135" s="30"/>
      <c r="H135" s="137">
        <v>55</v>
      </c>
      <c r="I135" s="133">
        <f ca="1" t="shared" si="48"/>
        <v>26</v>
      </c>
      <c r="J135" s="133">
        <f ca="1" t="shared" si="49"/>
        <v>6</v>
      </c>
      <c r="K135" s="133">
        <f ca="1" t="shared" si="50"/>
        <v>6</v>
      </c>
      <c r="L135" s="133">
        <f ca="1" t="shared" si="50"/>
        <v>2</v>
      </c>
    </row>
    <row r="136" spans="2:12">
      <c r="B136" s="11">
        <v>60</v>
      </c>
      <c r="C136" s="30"/>
      <c r="D136" s="30"/>
      <c r="E136" s="30"/>
      <c r="F136" s="30"/>
      <c r="H136" s="137">
        <v>60</v>
      </c>
      <c r="I136" s="133">
        <f ca="1" t="shared" si="48"/>
        <v>26</v>
      </c>
      <c r="J136" s="133">
        <f ca="1" t="shared" si="49"/>
        <v>6</v>
      </c>
      <c r="K136" s="133">
        <f ca="1" t="shared" si="50"/>
        <v>6</v>
      </c>
      <c r="L136" s="133">
        <f ca="1" t="shared" si="50"/>
        <v>2</v>
      </c>
    </row>
    <row r="137" spans="2:12">
      <c r="B137" s="11">
        <v>65</v>
      </c>
      <c r="C137" s="30">
        <v>31</v>
      </c>
      <c r="D137" s="30">
        <v>7</v>
      </c>
      <c r="E137" s="30"/>
      <c r="F137" s="30"/>
      <c r="H137" s="137">
        <v>65</v>
      </c>
      <c r="I137" s="133">
        <f ca="1" t="shared" si="48"/>
        <v>31</v>
      </c>
      <c r="J137" s="133">
        <f ca="1" t="shared" si="49"/>
        <v>7</v>
      </c>
      <c r="K137" s="133">
        <f ca="1" t="shared" si="50"/>
        <v>6</v>
      </c>
      <c r="L137" s="133">
        <f ca="1" t="shared" si="50"/>
        <v>2</v>
      </c>
    </row>
    <row r="138" spans="2:12">
      <c r="B138" s="11">
        <v>70</v>
      </c>
      <c r="C138" s="30"/>
      <c r="D138" s="30"/>
      <c r="E138" s="30"/>
      <c r="F138" s="30"/>
      <c r="H138" s="137">
        <v>70</v>
      </c>
      <c r="I138" s="133">
        <f ca="1" t="shared" si="48"/>
        <v>31</v>
      </c>
      <c r="J138" s="133">
        <f ca="1" t="shared" si="49"/>
        <v>7</v>
      </c>
      <c r="K138" s="133">
        <f ca="1" t="shared" si="50"/>
        <v>6</v>
      </c>
      <c r="L138" s="133">
        <f ca="1" t="shared" si="50"/>
        <v>2</v>
      </c>
    </row>
    <row r="139" spans="2:12">
      <c r="B139" s="11">
        <v>75</v>
      </c>
      <c r="C139" s="30"/>
      <c r="D139" s="30">
        <v>8</v>
      </c>
      <c r="E139" s="30">
        <v>7</v>
      </c>
      <c r="F139" s="30">
        <v>3</v>
      </c>
      <c r="H139" s="137">
        <v>75</v>
      </c>
      <c r="I139" s="133">
        <f ca="1" t="shared" si="48"/>
        <v>31</v>
      </c>
      <c r="J139" s="133">
        <f ca="1" t="shared" si="49"/>
        <v>8</v>
      </c>
      <c r="K139" s="133">
        <f ca="1" t="shared" si="50"/>
        <v>7</v>
      </c>
      <c r="L139" s="133">
        <f ca="1" t="shared" si="50"/>
        <v>3</v>
      </c>
    </row>
    <row r="140" spans="2:12">
      <c r="B140" s="11">
        <v>80</v>
      </c>
      <c r="C140" s="30"/>
      <c r="D140" s="30"/>
      <c r="E140" s="30"/>
      <c r="F140" s="30"/>
      <c r="H140" s="137">
        <v>80</v>
      </c>
      <c r="I140" s="133">
        <f ca="1" t="shared" si="48"/>
        <v>31</v>
      </c>
      <c r="J140" s="133">
        <f ca="1" t="shared" si="49"/>
        <v>8</v>
      </c>
      <c r="K140" s="133">
        <f ca="1" t="shared" si="50"/>
        <v>7</v>
      </c>
      <c r="L140" s="133">
        <f ca="1" t="shared" si="50"/>
        <v>3</v>
      </c>
    </row>
    <row r="141" spans="2:12">
      <c r="B141" s="11">
        <v>85</v>
      </c>
      <c r="C141" s="30"/>
      <c r="D141" s="30">
        <v>9</v>
      </c>
      <c r="E141" s="30"/>
      <c r="F141" s="30"/>
      <c r="H141" s="137">
        <v>85</v>
      </c>
      <c r="I141" s="133">
        <f ca="1" t="shared" si="48"/>
        <v>31</v>
      </c>
      <c r="J141" s="133">
        <f ca="1" t="shared" si="49"/>
        <v>9</v>
      </c>
      <c r="K141" s="133">
        <f ca="1" t="shared" si="50"/>
        <v>7</v>
      </c>
      <c r="L141" s="133">
        <f ca="1" t="shared" si="50"/>
        <v>3</v>
      </c>
    </row>
    <row r="142" spans="2:12">
      <c r="B142" s="11">
        <v>90</v>
      </c>
      <c r="C142" s="30"/>
      <c r="D142" s="30"/>
      <c r="E142" s="30"/>
      <c r="F142" s="30"/>
      <c r="H142" s="137">
        <v>90</v>
      </c>
      <c r="I142" s="133">
        <f ca="1" t="shared" si="48"/>
        <v>31</v>
      </c>
      <c r="J142" s="133">
        <f ca="1" t="shared" si="49"/>
        <v>9</v>
      </c>
      <c r="K142" s="133">
        <f ca="1" t="shared" si="50"/>
        <v>7</v>
      </c>
      <c r="L142" s="133">
        <f ca="1" t="shared" si="50"/>
        <v>3</v>
      </c>
    </row>
    <row r="143" spans="2:12">
      <c r="B143" s="11">
        <v>95</v>
      </c>
      <c r="C143" s="30">
        <v>36</v>
      </c>
      <c r="D143" s="30">
        <v>10</v>
      </c>
      <c r="E143" s="30"/>
      <c r="F143" s="30"/>
      <c r="H143" s="137">
        <v>95</v>
      </c>
      <c r="I143" s="133">
        <f ca="1" t="shared" si="48"/>
        <v>36</v>
      </c>
      <c r="J143" s="133">
        <f ca="1" t="shared" si="49"/>
        <v>10</v>
      </c>
      <c r="K143" s="133">
        <f ca="1" t="shared" si="50"/>
        <v>7</v>
      </c>
      <c r="L143" s="133">
        <f ca="1" t="shared" si="50"/>
        <v>3</v>
      </c>
    </row>
    <row r="144" spans="2:12">
      <c r="B144" s="11">
        <v>100</v>
      </c>
      <c r="C144" s="30"/>
      <c r="D144" s="30"/>
      <c r="E144" s="30"/>
      <c r="F144" s="30"/>
      <c r="H144" s="137">
        <v>100</v>
      </c>
      <c r="I144" s="133">
        <f ca="1" t="shared" si="48"/>
        <v>36</v>
      </c>
      <c r="J144" s="133">
        <f ca="1" t="shared" si="49"/>
        <v>10</v>
      </c>
      <c r="K144" s="133">
        <f ca="1" t="shared" si="50"/>
        <v>7</v>
      </c>
      <c r="L144" s="133">
        <f ca="1" t="shared" si="50"/>
        <v>3</v>
      </c>
    </row>
    <row r="145" spans="2:12">
      <c r="B145" s="11">
        <v>105</v>
      </c>
      <c r="C145" s="30"/>
      <c r="D145" s="30">
        <v>11</v>
      </c>
      <c r="E145" s="30"/>
      <c r="F145" s="30"/>
      <c r="H145" s="137">
        <v>105</v>
      </c>
      <c r="I145" s="133">
        <f ca="1" t="shared" si="48"/>
        <v>36</v>
      </c>
      <c r="J145" s="133">
        <f ca="1" t="shared" si="49"/>
        <v>11</v>
      </c>
      <c r="K145" s="133">
        <f ca="1" t="shared" si="50"/>
        <v>7</v>
      </c>
      <c r="L145" s="133">
        <f ca="1" t="shared" si="50"/>
        <v>3</v>
      </c>
    </row>
    <row r="146" spans="2:12">
      <c r="B146" s="11">
        <v>110</v>
      </c>
      <c r="C146" s="30"/>
      <c r="D146" s="30"/>
      <c r="E146" s="30"/>
      <c r="F146" s="30"/>
      <c r="H146" s="137">
        <v>110</v>
      </c>
      <c r="I146" s="133">
        <f ca="1" t="shared" si="48"/>
        <v>36</v>
      </c>
      <c r="J146" s="133">
        <f ca="1" t="shared" si="49"/>
        <v>11</v>
      </c>
      <c r="K146" s="133">
        <f ca="1" t="shared" si="50"/>
        <v>7</v>
      </c>
      <c r="L146" s="133">
        <f ca="1" t="shared" si="50"/>
        <v>3</v>
      </c>
    </row>
    <row r="147" spans="2:12">
      <c r="B147" s="11">
        <v>115</v>
      </c>
      <c r="C147" s="30"/>
      <c r="D147" s="30">
        <v>12</v>
      </c>
      <c r="E147" s="30"/>
      <c r="F147" s="30"/>
      <c r="H147" s="137">
        <v>115</v>
      </c>
      <c r="I147" s="133">
        <f ca="1" t="shared" si="48"/>
        <v>36</v>
      </c>
      <c r="J147" s="133">
        <f ca="1" t="shared" si="49"/>
        <v>12</v>
      </c>
      <c r="K147" s="133">
        <f ca="1" t="shared" si="50"/>
        <v>7</v>
      </c>
      <c r="L147" s="133">
        <f ca="1" t="shared" si="50"/>
        <v>3</v>
      </c>
    </row>
    <row r="148" spans="2:12">
      <c r="B148" s="11">
        <v>120</v>
      </c>
      <c r="C148" s="30"/>
      <c r="D148" s="30"/>
      <c r="E148" s="30">
        <v>8</v>
      </c>
      <c r="F148" s="30">
        <v>4</v>
      </c>
      <c r="H148" s="139">
        <v>120</v>
      </c>
      <c r="I148" s="133">
        <f ca="1" t="shared" si="48"/>
        <v>36</v>
      </c>
      <c r="J148" s="133">
        <f ca="1" t="shared" si="49"/>
        <v>12</v>
      </c>
      <c r="K148" s="133">
        <f ca="1" t="shared" si="50"/>
        <v>8</v>
      </c>
      <c r="L148" s="133">
        <f ca="1" t="shared" si="50"/>
        <v>4</v>
      </c>
    </row>
    <row r="149" spans="2:12">
      <c r="B149" s="12">
        <v>150</v>
      </c>
      <c r="C149" s="30"/>
      <c r="D149" s="30">
        <v>13</v>
      </c>
      <c r="E149" s="30"/>
      <c r="F149" s="30"/>
      <c r="H149" s="139">
        <v>150</v>
      </c>
      <c r="I149" s="133">
        <f ca="1" t="shared" si="48"/>
        <v>36</v>
      </c>
      <c r="J149" s="133">
        <f ca="1" t="shared" si="49"/>
        <v>13</v>
      </c>
      <c r="K149" s="133">
        <f ca="1" t="shared" si="50"/>
        <v>8</v>
      </c>
      <c r="L149" s="133">
        <f ca="1" t="shared" si="50"/>
        <v>4</v>
      </c>
    </row>
    <row r="150" spans="2:12">
      <c r="B150" s="12">
        <v>180</v>
      </c>
      <c r="C150" s="30"/>
      <c r="D150" s="30"/>
      <c r="E150" s="30">
        <v>9</v>
      </c>
      <c r="F150" s="30">
        <v>5</v>
      </c>
      <c r="H150" s="139">
        <v>180</v>
      </c>
      <c r="I150" s="133">
        <f ca="1" t="shared" ref="I150:I156" si="51">IF(C150="",INDIRECT(ADDRESS(ROW()-1,COLUMN())),C150)</f>
        <v>36</v>
      </c>
      <c r="J150" s="133">
        <f ca="1" t="shared" si="49"/>
        <v>13</v>
      </c>
      <c r="K150" s="133">
        <f ca="1" t="shared" si="50"/>
        <v>9</v>
      </c>
      <c r="L150" s="133">
        <f ca="1" t="shared" si="50"/>
        <v>5</v>
      </c>
    </row>
    <row r="151" spans="2:12">
      <c r="B151" s="12">
        <v>210</v>
      </c>
      <c r="C151" s="30"/>
      <c r="D151" s="30"/>
      <c r="E151" s="30"/>
      <c r="F151" s="30"/>
      <c r="H151" s="139">
        <v>210</v>
      </c>
      <c r="I151" s="133">
        <f ca="1" t="shared" si="51"/>
        <v>36</v>
      </c>
      <c r="J151" s="133">
        <f ca="1" t="shared" si="49"/>
        <v>13</v>
      </c>
      <c r="K151" s="133">
        <f ca="1" t="shared" si="50"/>
        <v>9</v>
      </c>
      <c r="L151" s="133">
        <f ca="1" t="shared" si="50"/>
        <v>5</v>
      </c>
    </row>
    <row r="152" spans="2:12">
      <c r="B152" s="12">
        <v>240</v>
      </c>
      <c r="C152" s="30"/>
      <c r="D152" s="30"/>
      <c r="E152" s="30">
        <v>10</v>
      </c>
      <c r="F152" s="30"/>
      <c r="H152" s="139">
        <v>240</v>
      </c>
      <c r="I152" s="133">
        <f ca="1" t="shared" si="51"/>
        <v>36</v>
      </c>
      <c r="J152" s="133">
        <f ca="1" t="shared" si="49"/>
        <v>13</v>
      </c>
      <c r="K152" s="133">
        <f ca="1" t="shared" si="50"/>
        <v>10</v>
      </c>
      <c r="L152" s="133">
        <f ca="1" t="shared" si="50"/>
        <v>5</v>
      </c>
    </row>
    <row r="153" spans="2:12">
      <c r="B153" s="12">
        <v>270</v>
      </c>
      <c r="C153" s="30"/>
      <c r="D153" s="30"/>
      <c r="E153" s="30"/>
      <c r="F153" s="30"/>
      <c r="H153" s="139">
        <v>270</v>
      </c>
      <c r="I153" s="133">
        <f ca="1" t="shared" si="51"/>
        <v>36</v>
      </c>
      <c r="J153" s="133">
        <f ca="1" t="shared" si="49"/>
        <v>13</v>
      </c>
      <c r="K153" s="133">
        <f ca="1" t="shared" si="50"/>
        <v>10</v>
      </c>
      <c r="L153" s="133">
        <f ca="1" t="shared" si="50"/>
        <v>5</v>
      </c>
    </row>
    <row r="154" spans="2:12">
      <c r="B154" s="12">
        <v>300</v>
      </c>
      <c r="C154" s="30"/>
      <c r="D154" s="30"/>
      <c r="E154" s="30">
        <v>11</v>
      </c>
      <c r="F154" s="30"/>
      <c r="H154" s="139">
        <v>300</v>
      </c>
      <c r="I154" s="133">
        <f ca="1" t="shared" si="51"/>
        <v>36</v>
      </c>
      <c r="J154" s="133">
        <f ca="1" t="shared" si="49"/>
        <v>13</v>
      </c>
      <c r="K154" s="133">
        <f ca="1" t="shared" si="50"/>
        <v>11</v>
      </c>
      <c r="L154" s="133">
        <f ca="1" t="shared" si="50"/>
        <v>5</v>
      </c>
    </row>
    <row r="155" spans="2:12">
      <c r="B155" s="12">
        <v>330</v>
      </c>
      <c r="C155" s="30"/>
      <c r="D155" s="30"/>
      <c r="E155" s="30"/>
      <c r="F155" s="30"/>
      <c r="H155" s="139">
        <v>330</v>
      </c>
      <c r="I155" s="133">
        <f ca="1" t="shared" si="51"/>
        <v>36</v>
      </c>
      <c r="J155" s="133">
        <f ca="1" t="shared" si="49"/>
        <v>13</v>
      </c>
      <c r="K155" s="133">
        <f ca="1" t="shared" si="50"/>
        <v>11</v>
      </c>
      <c r="L155" s="133">
        <f ca="1" t="shared" si="50"/>
        <v>5</v>
      </c>
    </row>
    <row r="156" spans="2:12">
      <c r="B156" s="12">
        <v>360</v>
      </c>
      <c r="C156" s="30"/>
      <c r="D156" s="30"/>
      <c r="E156" s="30">
        <v>12</v>
      </c>
      <c r="F156" s="30"/>
      <c r="H156" s="139">
        <v>360</v>
      </c>
      <c r="I156" s="133">
        <f ca="1" t="shared" si="51"/>
        <v>36</v>
      </c>
      <c r="J156" s="133">
        <f ca="1" t="shared" si="49"/>
        <v>13</v>
      </c>
      <c r="K156" s="133">
        <f ca="1" t="shared" si="50"/>
        <v>12</v>
      </c>
      <c r="L156" s="133">
        <f ca="1" t="shared" si="50"/>
        <v>5</v>
      </c>
    </row>
    <row r="159" s="25" customFormat="1" spans="1:10">
      <c r="A159" s="2"/>
      <c r="J159" s="132"/>
    </row>
  </sheetData>
  <hyperlinks>
    <hyperlink ref="A1" location="目录及说明!A1" display="返回目录及说明"/>
  </hyperlinks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051">
    <tabColor theme="7" tint="0.599993896298105"/>
  </sheetPr>
  <dimension ref="A1:AZ5244"/>
  <sheetViews>
    <sheetView zoomScale="70" zoomScaleNormal="70" topLeftCell="A4955" workbookViewId="0">
      <selection activeCell="B4973" sqref="B4973:C4973"/>
    </sheetView>
  </sheetViews>
  <sheetFormatPr defaultColWidth="8.70967741935484" defaultRowHeight="13.1"/>
  <cols>
    <col min="1" max="1" width="10.6290322580645" style="1"/>
    <col min="2" max="2" width="10.6290322580645" style="1" customWidth="1"/>
    <col min="3" max="3" width="10.6290322580645" style="1"/>
    <col min="4" max="5" width="10.6290322580645" style="1" customWidth="1"/>
    <col min="6" max="6" width="10.6290322580645" style="1"/>
    <col min="7" max="8" width="10.6290322580645" style="1" customWidth="1"/>
    <col min="9" max="9" width="13.25" style="1" customWidth="1"/>
    <col min="10" max="10" width="10.6290322580645" style="1" customWidth="1"/>
    <col min="11" max="11" width="12.3790322580645" style="1" customWidth="1"/>
    <col min="12" max="12" width="13.25" style="1" customWidth="1"/>
    <col min="13" max="15" width="10.6290322580645" style="1" customWidth="1"/>
    <col min="16" max="16" width="10.6290322580645" style="1"/>
    <col min="17" max="17" width="10.6290322580645" style="1" customWidth="1"/>
    <col min="18" max="19" width="10.6290322580645" style="1"/>
    <col min="20" max="21" width="10.6290322580645" style="1" customWidth="1"/>
    <col min="22" max="27" width="10.6290322580645" style="1"/>
    <col min="28" max="34" width="10.6290322580645" style="1" customWidth="1"/>
    <col min="35" max="35" width="10.6290322580645" style="1"/>
    <col min="36" max="36" width="10.6290322580645" style="1" customWidth="1"/>
    <col min="37" max="37" width="10.6290322580645" style="1"/>
    <col min="38" max="38" width="10.6290322580645" style="1" customWidth="1"/>
    <col min="39" max="16384" width="10.6290322580645" style="1"/>
  </cols>
  <sheetData>
    <row r="1" spans="1:1">
      <c r="A1" s="3" t="s">
        <v>429</v>
      </c>
    </row>
    <row r="3" s="25" customFormat="1" spans="1:2">
      <c r="A3" s="2" t="s">
        <v>390</v>
      </c>
      <c r="B3" s="2"/>
    </row>
    <row r="5" s="29" customFormat="1" spans="2:17">
      <c r="B5" s="29" t="s">
        <v>498</v>
      </c>
      <c r="E5" s="29" t="s">
        <v>689</v>
      </c>
      <c r="H5" s="29" t="s">
        <v>690</v>
      </c>
      <c r="K5" s="29" t="s">
        <v>691</v>
      </c>
      <c r="N5" s="29" t="s">
        <v>692</v>
      </c>
      <c r="Q5" s="29" t="s">
        <v>693</v>
      </c>
    </row>
    <row r="6" spans="1:18">
      <c r="A6" s="39">
        <v>101</v>
      </c>
      <c r="B6" s="40" t="s">
        <v>694</v>
      </c>
      <c r="C6" s="1" t="s">
        <v>695</v>
      </c>
      <c r="D6" s="39">
        <v>102</v>
      </c>
      <c r="E6" s="40" t="s">
        <v>449</v>
      </c>
      <c r="F6" s="1" t="s">
        <v>695</v>
      </c>
      <c r="G6" s="39">
        <v>201</v>
      </c>
      <c r="H6" s="40" t="s">
        <v>545</v>
      </c>
      <c r="I6" s="1" t="s">
        <v>695</v>
      </c>
      <c r="J6" s="39">
        <v>301</v>
      </c>
      <c r="K6" s="3" t="s">
        <v>696</v>
      </c>
      <c r="L6" s="1" t="s">
        <v>695</v>
      </c>
      <c r="M6" s="39">
        <v>401</v>
      </c>
      <c r="N6" s="3" t="s">
        <v>562</v>
      </c>
      <c r="O6" s="1" t="s">
        <v>695</v>
      </c>
      <c r="P6" s="39">
        <v>501</v>
      </c>
      <c r="Q6" s="3" t="s">
        <v>697</v>
      </c>
      <c r="R6" s="1" t="s">
        <v>695</v>
      </c>
    </row>
    <row r="7" spans="1:18">
      <c r="A7" s="39">
        <v>104</v>
      </c>
      <c r="B7" s="40" t="s">
        <v>454</v>
      </c>
      <c r="C7" s="1" t="s">
        <v>695</v>
      </c>
      <c r="D7" s="39">
        <v>103</v>
      </c>
      <c r="E7" s="40" t="s">
        <v>452</v>
      </c>
      <c r="F7" s="1" t="s">
        <v>695</v>
      </c>
      <c r="G7" s="39">
        <v>202</v>
      </c>
      <c r="H7" s="40" t="s">
        <v>377</v>
      </c>
      <c r="I7" s="1" t="s">
        <v>695</v>
      </c>
      <c r="J7" s="39">
        <v>302</v>
      </c>
      <c r="K7" s="3" t="s">
        <v>564</v>
      </c>
      <c r="L7" s="1" t="s">
        <v>695</v>
      </c>
      <c r="M7" s="39">
        <v>402</v>
      </c>
      <c r="N7" s="3" t="s">
        <v>63</v>
      </c>
      <c r="O7" s="1" t="s">
        <v>695</v>
      </c>
      <c r="P7" s="39">
        <v>502</v>
      </c>
      <c r="Q7" s="3" t="s">
        <v>698</v>
      </c>
      <c r="R7" s="1" t="s">
        <v>695</v>
      </c>
    </row>
    <row r="8" spans="1:18">
      <c r="A8" s="39">
        <v>106</v>
      </c>
      <c r="B8" s="40" t="s">
        <v>699</v>
      </c>
      <c r="C8" s="1" t="s">
        <v>695</v>
      </c>
      <c r="D8" s="39">
        <v>105</v>
      </c>
      <c r="E8" s="40" t="s">
        <v>453</v>
      </c>
      <c r="F8" s="1" t="s">
        <v>695</v>
      </c>
      <c r="G8" s="39">
        <v>203</v>
      </c>
      <c r="H8" s="3" t="s">
        <v>546</v>
      </c>
      <c r="I8" s="1" t="s">
        <v>695</v>
      </c>
      <c r="J8" s="39">
        <v>303</v>
      </c>
      <c r="K8" s="3" t="s">
        <v>380</v>
      </c>
      <c r="L8" s="1" t="s">
        <v>695</v>
      </c>
      <c r="P8" s="39">
        <v>503</v>
      </c>
      <c r="Q8" s="3" t="s">
        <v>700</v>
      </c>
      <c r="R8" s="1" t="s">
        <v>695</v>
      </c>
    </row>
    <row r="9" spans="1:18">
      <c r="A9" s="39">
        <v>108</v>
      </c>
      <c r="B9" s="40" t="s">
        <v>458</v>
      </c>
      <c r="C9" s="1" t="s">
        <v>695</v>
      </c>
      <c r="D9" s="39">
        <v>107</v>
      </c>
      <c r="E9" s="40" t="s">
        <v>455</v>
      </c>
      <c r="F9" s="1" t="s">
        <v>695</v>
      </c>
      <c r="G9" s="39">
        <v>204</v>
      </c>
      <c r="H9" s="3" t="s">
        <v>547</v>
      </c>
      <c r="I9" s="1" t="s">
        <v>695</v>
      </c>
      <c r="J9" s="39">
        <v>304</v>
      </c>
      <c r="K9" s="3" t="s">
        <v>565</v>
      </c>
      <c r="L9" s="1" t="s">
        <v>695</v>
      </c>
      <c r="P9" s="39">
        <v>504</v>
      </c>
      <c r="Q9" s="3" t="s">
        <v>701</v>
      </c>
      <c r="R9" s="1" t="s">
        <v>695</v>
      </c>
    </row>
    <row r="10" spans="1:18">
      <c r="A10" s="39">
        <v>110</v>
      </c>
      <c r="B10" s="40" t="s">
        <v>483</v>
      </c>
      <c r="C10" s="1" t="s">
        <v>695</v>
      </c>
      <c r="D10" s="39">
        <v>109</v>
      </c>
      <c r="E10" s="40" t="s">
        <v>457</v>
      </c>
      <c r="F10" s="1" t="s">
        <v>695</v>
      </c>
      <c r="G10" s="39">
        <v>205</v>
      </c>
      <c r="H10" s="3" t="s">
        <v>548</v>
      </c>
      <c r="I10" s="1" t="s">
        <v>695</v>
      </c>
      <c r="J10" s="39">
        <v>305</v>
      </c>
      <c r="K10" s="3" t="s">
        <v>566</v>
      </c>
      <c r="L10" s="1" t="s">
        <v>695</v>
      </c>
      <c r="P10" s="39">
        <v>505</v>
      </c>
      <c r="Q10" s="3" t="s">
        <v>702</v>
      </c>
      <c r="R10" s="1" t="s">
        <v>695</v>
      </c>
    </row>
    <row r="11" spans="1:12">
      <c r="A11" s="39">
        <v>111</v>
      </c>
      <c r="B11" s="40" t="s">
        <v>484</v>
      </c>
      <c r="C11" s="1" t="s">
        <v>695</v>
      </c>
      <c r="D11" s="39">
        <v>112</v>
      </c>
      <c r="E11" s="40" t="s">
        <v>463</v>
      </c>
      <c r="F11" s="1" t="s">
        <v>695</v>
      </c>
      <c r="G11" s="39">
        <v>206</v>
      </c>
      <c r="H11" s="3" t="s">
        <v>549</v>
      </c>
      <c r="I11" s="1" t="s">
        <v>695</v>
      </c>
      <c r="J11" s="39">
        <v>306</v>
      </c>
      <c r="K11" s="3" t="s">
        <v>567</v>
      </c>
      <c r="L11" s="1" t="s">
        <v>695</v>
      </c>
    </row>
    <row r="12" spans="1:12">
      <c r="A12" s="39">
        <v>113</v>
      </c>
      <c r="B12" s="40" t="s">
        <v>466</v>
      </c>
      <c r="C12" s="1" t="s">
        <v>695</v>
      </c>
      <c r="D12" s="39">
        <v>114</v>
      </c>
      <c r="E12" s="40" t="s">
        <v>465</v>
      </c>
      <c r="F12" s="1" t="s">
        <v>695</v>
      </c>
      <c r="G12" s="39">
        <v>207</v>
      </c>
      <c r="H12" s="3" t="s">
        <v>703</v>
      </c>
      <c r="I12" s="1" t="s">
        <v>695</v>
      </c>
      <c r="J12" s="39">
        <v>307</v>
      </c>
      <c r="K12" s="3" t="s">
        <v>568</v>
      </c>
      <c r="L12" s="1" t="s">
        <v>695</v>
      </c>
    </row>
    <row r="13" spans="1:12">
      <c r="A13" s="39">
        <v>115</v>
      </c>
      <c r="B13" s="40" t="s">
        <v>470</v>
      </c>
      <c r="C13" s="1" t="s">
        <v>695</v>
      </c>
      <c r="D13" s="39">
        <v>116</v>
      </c>
      <c r="E13" s="40" t="s">
        <v>469</v>
      </c>
      <c r="F13" s="1" t="s">
        <v>695</v>
      </c>
      <c r="G13" s="39">
        <v>208</v>
      </c>
      <c r="H13" s="3" t="s">
        <v>551</v>
      </c>
      <c r="I13" s="1" t="s">
        <v>695</v>
      </c>
      <c r="J13" s="39">
        <v>308</v>
      </c>
      <c r="K13" s="3" t="s">
        <v>569</v>
      </c>
      <c r="L13" s="1" t="s">
        <v>695</v>
      </c>
    </row>
    <row r="14" spans="1:12">
      <c r="A14" s="39">
        <v>117</v>
      </c>
      <c r="B14" s="3" t="s">
        <v>472</v>
      </c>
      <c r="C14" s="1" t="s">
        <v>695</v>
      </c>
      <c r="D14" s="39">
        <v>118</v>
      </c>
      <c r="E14" s="3" t="s">
        <v>471</v>
      </c>
      <c r="F14" s="1" t="s">
        <v>695</v>
      </c>
      <c r="G14" s="39">
        <v>209</v>
      </c>
      <c r="H14" s="3" t="s">
        <v>552</v>
      </c>
      <c r="I14" s="1" t="s">
        <v>695</v>
      </c>
      <c r="J14" s="39">
        <v>309</v>
      </c>
      <c r="K14" s="3" t="s">
        <v>570</v>
      </c>
      <c r="L14" s="1" t="s">
        <v>695</v>
      </c>
    </row>
    <row r="15" spans="1:12">
      <c r="A15" s="39">
        <v>119</v>
      </c>
      <c r="B15" s="3" t="s">
        <v>468</v>
      </c>
      <c r="C15" s="1" t="s">
        <v>695</v>
      </c>
      <c r="D15" s="39">
        <v>120</v>
      </c>
      <c r="E15" s="3" t="s">
        <v>467</v>
      </c>
      <c r="F15" s="1" t="s">
        <v>695</v>
      </c>
      <c r="G15" s="39">
        <v>210</v>
      </c>
      <c r="H15" s="3" t="s">
        <v>553</v>
      </c>
      <c r="I15" s="1" t="s">
        <v>695</v>
      </c>
      <c r="J15" s="39">
        <v>310</v>
      </c>
      <c r="K15" s="3" t="s">
        <v>571</v>
      </c>
      <c r="L15" s="1" t="s">
        <v>695</v>
      </c>
    </row>
    <row r="16" spans="1:12">
      <c r="A16" s="39">
        <v>121</v>
      </c>
      <c r="B16" s="3" t="s">
        <v>487</v>
      </c>
      <c r="C16" s="1" t="s">
        <v>695</v>
      </c>
      <c r="D16" s="39">
        <v>122</v>
      </c>
      <c r="E16" s="3" t="s">
        <v>473</v>
      </c>
      <c r="F16" s="1" t="s">
        <v>695</v>
      </c>
      <c r="G16" s="39">
        <v>211</v>
      </c>
      <c r="H16" s="3" t="s">
        <v>554</v>
      </c>
      <c r="I16" s="1" t="s">
        <v>695</v>
      </c>
      <c r="J16" s="39">
        <v>311</v>
      </c>
      <c r="K16" s="3" t="s">
        <v>572</v>
      </c>
      <c r="L16" s="1" t="s">
        <v>695</v>
      </c>
    </row>
    <row r="17" spans="1:12">
      <c r="A17" s="39">
        <v>123</v>
      </c>
      <c r="B17" s="3" t="s">
        <v>704</v>
      </c>
      <c r="C17" s="1" t="s">
        <v>695</v>
      </c>
      <c r="G17" s="39">
        <v>212</v>
      </c>
      <c r="H17" s="3" t="s">
        <v>555</v>
      </c>
      <c r="I17" s="1" t="s">
        <v>695</v>
      </c>
      <c r="J17" s="39">
        <v>312</v>
      </c>
      <c r="K17" s="3" t="s">
        <v>705</v>
      </c>
      <c r="L17" s="1" t="s">
        <v>695</v>
      </c>
    </row>
    <row r="18" spans="1:9">
      <c r="A18" s="39">
        <v>124</v>
      </c>
      <c r="B18" s="3" t="s">
        <v>462</v>
      </c>
      <c r="C18" s="1" t="s">
        <v>695</v>
      </c>
      <c r="G18" s="39">
        <v>213</v>
      </c>
      <c r="H18" s="3" t="s">
        <v>706</v>
      </c>
      <c r="I18" s="1" t="s">
        <v>695</v>
      </c>
    </row>
    <row r="19" spans="7:9">
      <c r="G19" s="39">
        <v>214</v>
      </c>
      <c r="H19" s="3" t="s">
        <v>556</v>
      </c>
      <c r="I19" s="1" t="s">
        <v>695</v>
      </c>
    </row>
    <row r="20" spans="7:9">
      <c r="G20" s="39">
        <v>215</v>
      </c>
      <c r="H20" s="3" t="s">
        <v>557</v>
      </c>
      <c r="I20" s="1" t="s">
        <v>695</v>
      </c>
    </row>
    <row r="22" s="25" customFormat="1" spans="1:3">
      <c r="A22" s="2" t="s">
        <v>694</v>
      </c>
      <c r="B22" s="2"/>
      <c r="C22" s="41" t="s">
        <v>436</v>
      </c>
    </row>
    <row r="24" spans="2:12">
      <c r="B24" s="27" t="s">
        <v>707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</row>
    <row r="26" spans="2:6">
      <c r="B26" s="1" t="s">
        <v>708</v>
      </c>
      <c r="E26" s="1">
        <f>总规划!$D$105</f>
        <v>1800</v>
      </c>
      <c r="F26" s="1" t="str">
        <f>总规划!$C$105</f>
        <v>1M资源</v>
      </c>
    </row>
    <row r="27" spans="2:5">
      <c r="B27" s="1" t="s">
        <v>709</v>
      </c>
      <c r="E27" s="42">
        <f>总规划!$D$139</f>
        <v>0.5</v>
      </c>
    </row>
    <row r="28" spans="2:5">
      <c r="B28" s="1" t="s">
        <v>710</v>
      </c>
      <c r="E28" s="42">
        <f>总规划!$D$140</f>
        <v>0.02</v>
      </c>
    </row>
    <row r="29" spans="2:5">
      <c r="B29" s="1" t="s">
        <v>711</v>
      </c>
      <c r="E29" s="42">
        <f>总规划!$D$141</f>
        <v>0.02</v>
      </c>
    </row>
    <row r="30" spans="2:5">
      <c r="B30" s="1" t="s">
        <v>712</v>
      </c>
      <c r="E30" s="42">
        <f>总规划!$D$143</f>
        <v>0.12</v>
      </c>
    </row>
    <row r="31" spans="2:5">
      <c r="B31" s="1" t="s">
        <v>713</v>
      </c>
      <c r="E31" s="42">
        <f>总规划!$D$146</f>
        <v>0.2</v>
      </c>
    </row>
    <row r="58" spans="2:12">
      <c r="B58" s="27" t="s">
        <v>714</v>
      </c>
      <c r="C58" s="27"/>
      <c r="D58" s="27"/>
      <c r="E58" s="27"/>
      <c r="F58" s="27"/>
      <c r="G58" s="27"/>
      <c r="H58" s="27"/>
      <c r="I58" s="27"/>
      <c r="J58" s="27"/>
      <c r="K58" s="27"/>
      <c r="L58" s="27"/>
    </row>
    <row r="60" spans="2:6">
      <c r="B60" s="1" t="s">
        <v>715</v>
      </c>
      <c r="E60" s="1">
        <f>总规划!$D$106</f>
        <v>480</v>
      </c>
      <c r="F60" s="1" t="str">
        <f>总规划!$C$106</f>
        <v>1天</v>
      </c>
    </row>
    <row r="61" spans="2:5">
      <c r="B61" s="1" t="s">
        <v>716</v>
      </c>
      <c r="E61" s="42">
        <f>总规划!$E$136</f>
        <v>0.375</v>
      </c>
    </row>
    <row r="62" spans="2:5">
      <c r="B62" s="1" t="s">
        <v>717</v>
      </c>
      <c r="E62" s="42">
        <f>总规划!$E$137</f>
        <v>0.075</v>
      </c>
    </row>
    <row r="63" spans="2:5">
      <c r="B63" s="1" t="s">
        <v>718</v>
      </c>
      <c r="E63" s="42">
        <f>总规划!$E$138</f>
        <v>0.075</v>
      </c>
    </row>
    <row r="64" spans="2:5">
      <c r="B64" s="1" t="s">
        <v>719</v>
      </c>
      <c r="E64" s="42">
        <f>总规划!$E$140</f>
        <v>0.015</v>
      </c>
    </row>
    <row r="65" spans="2:5">
      <c r="B65" s="1" t="s">
        <v>720</v>
      </c>
      <c r="E65" s="42">
        <f>总规划!$E$141</f>
        <v>0.02</v>
      </c>
    </row>
    <row r="66" spans="2:5">
      <c r="B66" s="1" t="s">
        <v>721</v>
      </c>
      <c r="E66" s="42">
        <f>总规划!$E$144</f>
        <v>0.06</v>
      </c>
    </row>
    <row r="67" spans="2:5">
      <c r="B67" s="1" t="s">
        <v>722</v>
      </c>
      <c r="E67" s="42">
        <f>总规划!$E$146</f>
        <v>0.25</v>
      </c>
    </row>
    <row r="68" spans="5:5">
      <c r="E68" s="42"/>
    </row>
    <row r="69" spans="5:5">
      <c r="E69" s="42"/>
    </row>
    <row r="70" spans="5:5">
      <c r="E70" s="42"/>
    </row>
    <row r="71" spans="5:5">
      <c r="E71" s="42"/>
    </row>
    <row r="72" spans="5:5">
      <c r="E72" s="42"/>
    </row>
    <row r="73" spans="5:5">
      <c r="E73" s="42"/>
    </row>
    <row r="74" spans="5:5">
      <c r="E74" s="42"/>
    </row>
    <row r="75" spans="5:5">
      <c r="E75" s="42"/>
    </row>
    <row r="76" spans="5:5">
      <c r="E76" s="42"/>
    </row>
    <row r="77" spans="5:5">
      <c r="E77" s="42"/>
    </row>
    <row r="78" spans="5:5">
      <c r="E78" s="42"/>
    </row>
    <row r="79" spans="5:5">
      <c r="E79" s="42"/>
    </row>
    <row r="80" spans="5:5">
      <c r="E80" s="42"/>
    </row>
    <row r="81" spans="5:5">
      <c r="E81" s="42"/>
    </row>
    <row r="82" spans="5:5">
      <c r="E82" s="42"/>
    </row>
    <row r="83" spans="5:5">
      <c r="E83" s="42"/>
    </row>
    <row r="84" spans="5:5">
      <c r="E84" s="42"/>
    </row>
    <row r="85" spans="5:5">
      <c r="E85" s="42"/>
    </row>
    <row r="86" spans="5:5">
      <c r="E86" s="42"/>
    </row>
    <row r="87" spans="5:5">
      <c r="E87" s="42"/>
    </row>
    <row r="88" spans="5:5">
      <c r="E88" s="42"/>
    </row>
    <row r="89" spans="5:5">
      <c r="E89" s="42"/>
    </row>
    <row r="90" spans="5:5">
      <c r="E90" s="42"/>
    </row>
    <row r="91" spans="5:5">
      <c r="E91" s="42"/>
    </row>
    <row r="92" spans="5:5">
      <c r="E92" s="42"/>
    </row>
    <row r="93" spans="5:5">
      <c r="E93" s="42"/>
    </row>
    <row r="94" spans="2:12">
      <c r="B94" s="27" t="s">
        <v>723</v>
      </c>
      <c r="C94" s="27"/>
      <c r="D94" s="27"/>
      <c r="E94" s="27"/>
      <c r="F94" s="27"/>
      <c r="G94" s="27"/>
      <c r="H94" s="27"/>
      <c r="I94" s="27"/>
      <c r="J94" s="27"/>
      <c r="K94" s="27"/>
      <c r="L94" s="27"/>
    </row>
    <row r="96" spans="2:5">
      <c r="B96" s="1" t="s">
        <v>724</v>
      </c>
      <c r="E96" s="30">
        <v>2</v>
      </c>
    </row>
    <row r="98" spans="2:12">
      <c r="B98" s="27" t="s">
        <v>725</v>
      </c>
      <c r="C98" s="27"/>
      <c r="D98" s="27"/>
      <c r="E98" s="27"/>
      <c r="F98" s="27"/>
      <c r="G98" s="27"/>
      <c r="H98" s="27"/>
      <c r="I98" s="27"/>
      <c r="J98" s="27"/>
      <c r="K98" s="27"/>
      <c r="L98" s="27"/>
    </row>
    <row r="100" spans="3:10">
      <c r="C100" s="1" t="s">
        <v>726</v>
      </c>
      <c r="D100" s="1" t="s">
        <v>478</v>
      </c>
      <c r="G100" s="1" t="s">
        <v>727</v>
      </c>
      <c r="H100" s="1" t="s">
        <v>728</v>
      </c>
      <c r="I100" s="1" t="s">
        <v>729</v>
      </c>
      <c r="J100" s="1" t="s">
        <v>730</v>
      </c>
    </row>
    <row r="101" spans="2:10">
      <c r="B101" s="1" t="s">
        <v>449</v>
      </c>
      <c r="C101" s="43">
        <v>0.6</v>
      </c>
      <c r="D101" s="43">
        <v>0.4</v>
      </c>
      <c r="G101" s="1" t="s">
        <v>449</v>
      </c>
      <c r="H101" s="43">
        <v>1</v>
      </c>
      <c r="I101" s="43">
        <v>1.2</v>
      </c>
      <c r="J101" s="43">
        <v>0.8</v>
      </c>
    </row>
    <row r="102" spans="2:10">
      <c r="B102" s="1" t="s">
        <v>452</v>
      </c>
      <c r="C102" s="43">
        <v>0.4</v>
      </c>
      <c r="D102" s="43">
        <v>0.6</v>
      </c>
      <c r="G102" s="1" t="s">
        <v>452</v>
      </c>
      <c r="H102" s="43">
        <v>1</v>
      </c>
      <c r="I102" s="43">
        <v>0.75</v>
      </c>
      <c r="J102" s="43">
        <v>1.25</v>
      </c>
    </row>
    <row r="104" spans="2:12">
      <c r="B104" s="27" t="s">
        <v>731</v>
      </c>
      <c r="C104" s="27"/>
      <c r="D104" s="27"/>
      <c r="E104" s="27"/>
      <c r="F104" s="27"/>
      <c r="G104" s="27"/>
      <c r="H104" s="27"/>
      <c r="I104" s="27"/>
      <c r="J104" s="27"/>
      <c r="K104" s="27"/>
      <c r="L104" s="27"/>
    </row>
    <row r="106" spans="2:48">
      <c r="B106" s="1" t="s">
        <v>382</v>
      </c>
      <c r="C106" s="1" t="s">
        <v>138</v>
      </c>
      <c r="D106" s="1" t="s">
        <v>732</v>
      </c>
      <c r="E106" s="1" t="s">
        <v>733</v>
      </c>
      <c r="F106" s="15" t="s">
        <v>734</v>
      </c>
      <c r="G106" s="15" t="s">
        <v>735</v>
      </c>
      <c r="H106" s="1" t="s">
        <v>736</v>
      </c>
      <c r="I106" s="1" t="s">
        <v>737</v>
      </c>
      <c r="J106" s="1" t="s">
        <v>738</v>
      </c>
      <c r="K106" s="1" t="s">
        <v>739</v>
      </c>
      <c r="L106" s="1" t="s">
        <v>740</v>
      </c>
      <c r="M106" s="1" t="s">
        <v>741</v>
      </c>
      <c r="N106" s="15" t="s">
        <v>742</v>
      </c>
      <c r="O106" s="15" t="s">
        <v>743</v>
      </c>
      <c r="P106" s="15" t="s">
        <v>744</v>
      </c>
      <c r="Q106" s="15" t="s">
        <v>745</v>
      </c>
      <c r="R106" s="15" t="s">
        <v>746</v>
      </c>
      <c r="S106" s="15" t="s">
        <v>747</v>
      </c>
      <c r="T106" s="15" t="s">
        <v>748</v>
      </c>
      <c r="U106" s="15" t="s">
        <v>749</v>
      </c>
      <c r="V106" s="15" t="s">
        <v>750</v>
      </c>
      <c r="W106" s="1" t="s">
        <v>751</v>
      </c>
      <c r="X106" s="1" t="s">
        <v>752</v>
      </c>
      <c r="Y106" s="1" t="s">
        <v>753</v>
      </c>
      <c r="Z106" s="1" t="s">
        <v>754</v>
      </c>
      <c r="AA106" s="1" t="s">
        <v>755</v>
      </c>
      <c r="AB106" s="1" t="s">
        <v>756</v>
      </c>
      <c r="AC106" s="1" t="s">
        <v>753</v>
      </c>
      <c r="AD106" s="1" t="s">
        <v>754</v>
      </c>
      <c r="AF106" s="44" t="s">
        <v>736</v>
      </c>
      <c r="AG106" s="44" t="s">
        <v>737</v>
      </c>
      <c r="AH106" s="44" t="s">
        <v>738</v>
      </c>
      <c r="AI106" s="44" t="s">
        <v>739</v>
      </c>
      <c r="AJ106" s="44" t="s">
        <v>740</v>
      </c>
      <c r="AK106" s="44" t="s">
        <v>741</v>
      </c>
      <c r="AL106" s="45" t="s">
        <v>742</v>
      </c>
      <c r="AM106" s="45" t="s">
        <v>743</v>
      </c>
      <c r="AN106" s="45" t="s">
        <v>744</v>
      </c>
      <c r="AO106" s="45" t="s">
        <v>745</v>
      </c>
      <c r="AP106" s="45" t="s">
        <v>746</v>
      </c>
      <c r="AQ106" s="45" t="s">
        <v>747</v>
      </c>
      <c r="AR106" s="45" t="s">
        <v>748</v>
      </c>
      <c r="AS106" s="45" t="s">
        <v>749</v>
      </c>
      <c r="AT106" s="45" t="s">
        <v>750</v>
      </c>
      <c r="AU106" s="44" t="s">
        <v>757</v>
      </c>
      <c r="AV106" s="45" t="s">
        <v>758</v>
      </c>
    </row>
    <row r="107" spans="2:48">
      <c r="B107" s="7">
        <v>0</v>
      </c>
      <c r="C107" s="1">
        <f>IF(养成规划!C6="","",养成规划!C6)</f>
        <v>0</v>
      </c>
      <c r="D107" s="1">
        <f ca="1">'102_建筑'!H345</f>
        <v>0</v>
      </c>
      <c r="E107" s="1">
        <f ca="1" t="shared" ref="E107:E138" si="0">D107/$C$101*$C$102</f>
        <v>0</v>
      </c>
      <c r="F107" s="15">
        <f ca="1">'102_建筑'!K345</f>
        <v>0</v>
      </c>
      <c r="G107" s="15">
        <f ca="1" t="shared" ref="G107:G138" si="1">F107/$D$101*$D$102</f>
        <v>0</v>
      </c>
      <c r="H107" s="1">
        <f ca="1">'203_采集'!K6</f>
        <v>0</v>
      </c>
      <c r="I107" s="1">
        <f ca="1">'204_军官任务'!L6</f>
        <v>0</v>
      </c>
      <c r="J107" s="1">
        <f>'205_每日任务'!E6</f>
        <v>0</v>
      </c>
      <c r="K107" s="1">
        <f ca="1">'207_空投'!G6</f>
        <v>0</v>
      </c>
      <c r="L107" s="1">
        <f ca="1">'210_活动'!I6</f>
        <v>0</v>
      </c>
      <c r="M107" s="1">
        <f ca="1">'211_VIP宝箱'!F6</f>
        <v>0</v>
      </c>
      <c r="N107" s="15">
        <f ca="1">'102_建筑'!E421</f>
        <v>0</v>
      </c>
      <c r="O107" s="15">
        <f t="shared" ref="O107:O138" si="2">B107*$E$96*24*60</f>
        <v>0</v>
      </c>
      <c r="P107" s="15">
        <f ca="1">'201_打野'!F65</f>
        <v>0</v>
      </c>
      <c r="Q107" s="15">
        <f ca="1">'202_黑鸦营地'!F55</f>
        <v>0</v>
      </c>
      <c r="R107" s="15">
        <f ca="1">'204_军官任务'!O6</f>
        <v>0</v>
      </c>
      <c r="S107" s="15">
        <f>'205_每日任务'!H6</f>
        <v>0</v>
      </c>
      <c r="T107" s="15">
        <f ca="1">'208_黑市'!F6</f>
        <v>0</v>
      </c>
      <c r="U107" s="15">
        <f ca="1">'210_活动'!L6</f>
        <v>0</v>
      </c>
      <c r="V107" s="15">
        <f ca="1">'212_VIP商店'!F6</f>
        <v>0</v>
      </c>
      <c r="W107" s="1">
        <f ca="1" t="shared" ref="W107:W138" si="3">D107+E107</f>
        <v>0</v>
      </c>
      <c r="X107" s="1">
        <f ca="1" t="shared" ref="X107:X138" si="4">SUM(H107:M107)</f>
        <v>0</v>
      </c>
      <c r="Y107" s="30"/>
      <c r="Z107" s="30"/>
      <c r="AA107" s="1">
        <f ca="1" t="shared" ref="AA107:AA138" si="5">F107+G107</f>
        <v>0</v>
      </c>
      <c r="AB107" s="1">
        <f ca="1" t="shared" ref="AB107:AB138" si="6">SUM(N107:V107)</f>
        <v>0</v>
      </c>
      <c r="AC107" s="30"/>
      <c r="AD107" s="30"/>
      <c r="AF107" s="44">
        <v>0</v>
      </c>
      <c r="AG107" s="44">
        <v>0</v>
      </c>
      <c r="AH107" s="44">
        <v>0</v>
      </c>
      <c r="AI107" s="44">
        <v>0</v>
      </c>
      <c r="AJ107" s="44">
        <v>0</v>
      </c>
      <c r="AK107" s="44">
        <v>0</v>
      </c>
      <c r="AL107" s="45">
        <v>0</v>
      </c>
      <c r="AM107" s="45">
        <v>0</v>
      </c>
      <c r="AN107" s="45">
        <v>0</v>
      </c>
      <c r="AO107" s="45">
        <v>0</v>
      </c>
      <c r="AP107" s="45">
        <v>0</v>
      </c>
      <c r="AQ107" s="45">
        <v>0</v>
      </c>
      <c r="AR107" s="45">
        <v>0</v>
      </c>
      <c r="AS107" s="45">
        <v>0</v>
      </c>
      <c r="AT107" s="45">
        <v>0</v>
      </c>
      <c r="AU107" s="44">
        <v>0</v>
      </c>
      <c r="AV107" s="45">
        <v>0</v>
      </c>
    </row>
    <row r="108" spans="2:48">
      <c r="B108" s="7">
        <v>0.1</v>
      </c>
      <c r="C108" s="1">
        <f>IF(养成规划!C7="","",养成规划!C7)</f>
        <v>1</v>
      </c>
      <c r="D108" s="1">
        <f ca="1">'102_建筑'!H346</f>
        <v>64800</v>
      </c>
      <c r="E108" s="1">
        <f ca="1" t="shared" si="0"/>
        <v>43200</v>
      </c>
      <c r="F108" s="15">
        <f ca="1">'102_建筑'!K346</f>
        <v>55.296</v>
      </c>
      <c r="G108" s="15">
        <f ca="1" t="shared" si="1"/>
        <v>82.944</v>
      </c>
      <c r="H108" s="1">
        <f ca="1">'203_采集'!K7</f>
        <v>21178.8</v>
      </c>
      <c r="I108" s="1">
        <f ca="1">'204_军官任务'!L7</f>
        <v>0</v>
      </c>
      <c r="J108" s="1">
        <f>'205_每日任务'!E7</f>
        <v>120000</v>
      </c>
      <c r="K108" s="1">
        <f ca="1">'207_空投'!G7</f>
        <v>95999.9999999998</v>
      </c>
      <c r="L108" s="1">
        <f ca="1">'210_活动'!I7</f>
        <v>0</v>
      </c>
      <c r="M108" s="1">
        <f ca="1">'211_VIP宝箱'!F7</f>
        <v>3000</v>
      </c>
      <c r="N108" s="15">
        <f ca="1">'102_建筑'!E422</f>
        <v>144</v>
      </c>
      <c r="O108" s="15">
        <f t="shared" si="2"/>
        <v>288</v>
      </c>
      <c r="P108" s="15">
        <f ca="1">'201_打野'!F66</f>
        <v>33</v>
      </c>
      <c r="Q108" s="15">
        <f ca="1">'202_黑鸦营地'!F56</f>
        <v>0</v>
      </c>
      <c r="R108" s="15">
        <f ca="1">'204_军官任务'!O7</f>
        <v>0</v>
      </c>
      <c r="S108" s="15">
        <f>'205_每日任务'!H7</f>
        <v>46.08</v>
      </c>
      <c r="T108" s="15">
        <f ca="1">'208_黑市'!F7</f>
        <v>13.824</v>
      </c>
      <c r="U108" s="15">
        <f ca="1">'210_活动'!L7</f>
        <v>0</v>
      </c>
      <c r="V108" s="15">
        <f ca="1">'212_VIP商店'!F7</f>
        <v>0</v>
      </c>
      <c r="W108" s="1">
        <f ca="1" t="shared" si="3"/>
        <v>108000</v>
      </c>
      <c r="X108" s="1">
        <f ca="1" t="shared" si="4"/>
        <v>240178.8</v>
      </c>
      <c r="Y108" s="30"/>
      <c r="Z108" s="30"/>
      <c r="AA108" s="1">
        <f ca="1" t="shared" si="5"/>
        <v>138.24</v>
      </c>
      <c r="AB108" s="1">
        <f ca="1" t="shared" si="6"/>
        <v>524.904</v>
      </c>
      <c r="AC108" s="30"/>
      <c r="AD108" s="30"/>
      <c r="AF108" s="44">
        <f ca="1" t="shared" ref="AF108:AF139" si="7">(H108-H107)/($B108-$B107)</f>
        <v>211788</v>
      </c>
      <c r="AG108" s="44">
        <f ca="1" t="shared" ref="AG108:AG139" si="8">(I108-I107)/($B108-$B107)</f>
        <v>0</v>
      </c>
      <c r="AH108" s="44">
        <f t="shared" ref="AH108:AH139" si="9">(J108-J107)/($B108-$B107)</f>
        <v>1200000</v>
      </c>
      <c r="AI108" s="44">
        <f ca="1" t="shared" ref="AI108:AI139" si="10">(K108-K107)/($B108-$B107)</f>
        <v>959999.999999998</v>
      </c>
      <c r="AJ108" s="44">
        <f ca="1" t="shared" ref="AJ108:AJ139" si="11">(L108-L107)/($B108-$B107)</f>
        <v>0</v>
      </c>
      <c r="AK108" s="44">
        <f ca="1" t="shared" ref="AK108:AK139" si="12">(M108-M107)/($B108-$B107)</f>
        <v>30000</v>
      </c>
      <c r="AL108" s="45">
        <f ca="1" t="shared" ref="AL108:AL139" si="13">(N108-N107)/($B108-$B107)</f>
        <v>1440</v>
      </c>
      <c r="AM108" s="45">
        <f t="shared" ref="AM108:AM139" si="14">(O108-O107)/($B108-$B107)</f>
        <v>2880</v>
      </c>
      <c r="AN108" s="45">
        <f ca="1" t="shared" ref="AN108:AN139" si="15">(P108-P107)/($B108-$B107)</f>
        <v>330</v>
      </c>
      <c r="AO108" s="45">
        <f ca="1" t="shared" ref="AO108:AO139" si="16">(Q108-Q107)/($B108-$B107)</f>
        <v>0</v>
      </c>
      <c r="AP108" s="45">
        <f ca="1" t="shared" ref="AP108:AP139" si="17">(R108-R107)/($B108-$B107)</f>
        <v>0</v>
      </c>
      <c r="AQ108" s="45">
        <f t="shared" ref="AQ108:AQ139" si="18">(S108-S107)/($B108-$B107)</f>
        <v>460.8</v>
      </c>
      <c r="AR108" s="45">
        <f ca="1" t="shared" ref="AR108:AR139" si="19">(T108-T107)/($B108-$B107)</f>
        <v>138.24</v>
      </c>
      <c r="AS108" s="45">
        <f ca="1" t="shared" ref="AS108:AS139" si="20">(U108-U107)/($B108-$B107)</f>
        <v>0</v>
      </c>
      <c r="AT108" s="45">
        <f ca="1" t="shared" ref="AT108:AT139" si="21">(V108-V107)/($B108-$B107)</f>
        <v>0</v>
      </c>
      <c r="AU108" s="44">
        <f ca="1" t="shared" ref="AU108:AU139" si="22">SUM(AF108:AK108)</f>
        <v>2401788</v>
      </c>
      <c r="AV108" s="45">
        <f ca="1" t="shared" ref="AV108:AV139" si="23">SUM(AL108:AT108)</f>
        <v>5249.04</v>
      </c>
    </row>
    <row r="109" spans="2:48">
      <c r="B109" s="7">
        <v>0.2</v>
      </c>
      <c r="C109" s="1">
        <f>IF(养成规划!C8="","",养成规划!C8)</f>
        <v>2</v>
      </c>
      <c r="D109" s="1">
        <f ca="1">'102_建筑'!H347</f>
        <v>194400</v>
      </c>
      <c r="E109" s="1">
        <f ca="1" t="shared" si="0"/>
        <v>129600</v>
      </c>
      <c r="F109" s="15">
        <f ca="1">'102_建筑'!K347</f>
        <v>165.888</v>
      </c>
      <c r="G109" s="15">
        <f ca="1" t="shared" si="1"/>
        <v>248.832</v>
      </c>
      <c r="H109" s="1">
        <f ca="1">'203_采集'!K8</f>
        <v>42557.4</v>
      </c>
      <c r="I109" s="1">
        <f ca="1">'204_军官任务'!L8</f>
        <v>0</v>
      </c>
      <c r="J109" s="1">
        <f>'205_每日任务'!E8</f>
        <v>240000</v>
      </c>
      <c r="K109" s="1">
        <f ca="1">'207_空投'!G8</f>
        <v>192000</v>
      </c>
      <c r="L109" s="1">
        <f ca="1">'210_活动'!I8</f>
        <v>0</v>
      </c>
      <c r="M109" s="1">
        <f ca="1">'211_VIP宝箱'!F8</f>
        <v>6000</v>
      </c>
      <c r="N109" s="15">
        <f ca="1">'102_建筑'!E423</f>
        <v>288</v>
      </c>
      <c r="O109" s="15">
        <f t="shared" si="2"/>
        <v>576</v>
      </c>
      <c r="P109" s="15">
        <f ca="1">'201_打野'!F67</f>
        <v>66</v>
      </c>
      <c r="Q109" s="15">
        <f ca="1">'202_黑鸦营地'!F57</f>
        <v>0</v>
      </c>
      <c r="R109" s="15">
        <f ca="1">'204_军官任务'!O8</f>
        <v>0</v>
      </c>
      <c r="S109" s="15">
        <f>'205_每日任务'!H8</f>
        <v>92.16</v>
      </c>
      <c r="T109" s="15">
        <f ca="1">'208_黑市'!F8</f>
        <v>27.648</v>
      </c>
      <c r="U109" s="15">
        <f ca="1">'210_活动'!L8</f>
        <v>0</v>
      </c>
      <c r="V109" s="15">
        <f ca="1">'212_VIP商店'!F8</f>
        <v>0</v>
      </c>
      <c r="W109" s="1">
        <f ca="1" t="shared" si="3"/>
        <v>324000</v>
      </c>
      <c r="X109" s="1">
        <f ca="1" t="shared" si="4"/>
        <v>480557.4</v>
      </c>
      <c r="Y109" s="30"/>
      <c r="Z109" s="30"/>
      <c r="AA109" s="1">
        <f ca="1" t="shared" si="5"/>
        <v>414.72</v>
      </c>
      <c r="AB109" s="1">
        <f ca="1" t="shared" si="6"/>
        <v>1049.808</v>
      </c>
      <c r="AC109" s="30"/>
      <c r="AD109" s="30"/>
      <c r="AF109" s="44">
        <f ca="1" t="shared" si="7"/>
        <v>213786</v>
      </c>
      <c r="AG109" s="44">
        <f ca="1" t="shared" si="8"/>
        <v>0</v>
      </c>
      <c r="AH109" s="44">
        <f t="shared" si="9"/>
        <v>1200000</v>
      </c>
      <c r="AI109" s="44">
        <f ca="1" t="shared" si="10"/>
        <v>959999.999999998</v>
      </c>
      <c r="AJ109" s="44">
        <f ca="1" t="shared" si="11"/>
        <v>0</v>
      </c>
      <c r="AK109" s="44">
        <f ca="1" t="shared" si="12"/>
        <v>30000</v>
      </c>
      <c r="AL109" s="45">
        <f ca="1" t="shared" si="13"/>
        <v>1440</v>
      </c>
      <c r="AM109" s="45">
        <f t="shared" si="14"/>
        <v>2880</v>
      </c>
      <c r="AN109" s="45">
        <f ca="1" t="shared" si="15"/>
        <v>330</v>
      </c>
      <c r="AO109" s="45">
        <f ca="1" t="shared" si="16"/>
        <v>0</v>
      </c>
      <c r="AP109" s="45">
        <f ca="1" t="shared" si="17"/>
        <v>0</v>
      </c>
      <c r="AQ109" s="45">
        <f t="shared" si="18"/>
        <v>460.8</v>
      </c>
      <c r="AR109" s="45">
        <f ca="1" t="shared" si="19"/>
        <v>138.24</v>
      </c>
      <c r="AS109" s="45">
        <f ca="1" t="shared" si="20"/>
        <v>0</v>
      </c>
      <c r="AT109" s="45">
        <f ca="1" t="shared" si="21"/>
        <v>0</v>
      </c>
      <c r="AU109" s="44">
        <f ca="1" t="shared" si="22"/>
        <v>2403786</v>
      </c>
      <c r="AV109" s="45">
        <f ca="1" t="shared" si="23"/>
        <v>5249.04</v>
      </c>
    </row>
    <row r="110" spans="2:48">
      <c r="B110" s="7">
        <v>0.3</v>
      </c>
      <c r="C110" s="1">
        <f>IF(养成规划!C9="","",养成规划!C9)</f>
        <v>3</v>
      </c>
      <c r="D110" s="1">
        <f ca="1">'102_建筑'!H348</f>
        <v>388800</v>
      </c>
      <c r="E110" s="1">
        <f ca="1" t="shared" si="0"/>
        <v>259200</v>
      </c>
      <c r="F110" s="15">
        <f ca="1">'102_建筑'!K348</f>
        <v>331.776</v>
      </c>
      <c r="G110" s="15">
        <f ca="1" t="shared" si="1"/>
        <v>497.664</v>
      </c>
      <c r="H110" s="1">
        <f ca="1">'203_采集'!K9</f>
        <v>64135.8</v>
      </c>
      <c r="I110" s="1">
        <f ca="1">'204_军官任务'!L9</f>
        <v>0</v>
      </c>
      <c r="J110" s="1">
        <f>'205_每日任务'!E9</f>
        <v>360000</v>
      </c>
      <c r="K110" s="1">
        <f ca="1">'207_空投'!G9</f>
        <v>287999.999999999</v>
      </c>
      <c r="L110" s="1">
        <f ca="1">'210_活动'!I9</f>
        <v>0</v>
      </c>
      <c r="M110" s="1">
        <f ca="1">'211_VIP宝箱'!F9</f>
        <v>9000</v>
      </c>
      <c r="N110" s="15">
        <f ca="1">'102_建筑'!E424</f>
        <v>432</v>
      </c>
      <c r="O110" s="15">
        <f t="shared" si="2"/>
        <v>864</v>
      </c>
      <c r="P110" s="15">
        <f ca="1">'201_打野'!F68</f>
        <v>99</v>
      </c>
      <c r="Q110" s="15">
        <f ca="1">'202_黑鸦营地'!F58</f>
        <v>0</v>
      </c>
      <c r="R110" s="15">
        <f ca="1">'204_军官任务'!O9</f>
        <v>0</v>
      </c>
      <c r="S110" s="15">
        <f>'205_每日任务'!H9</f>
        <v>138.24</v>
      </c>
      <c r="T110" s="15">
        <f ca="1">'208_黑市'!F9</f>
        <v>41.472</v>
      </c>
      <c r="U110" s="15">
        <f ca="1">'210_活动'!L9</f>
        <v>0</v>
      </c>
      <c r="V110" s="15">
        <f ca="1">'212_VIP商店'!F9</f>
        <v>0</v>
      </c>
      <c r="W110" s="1">
        <f ca="1" t="shared" si="3"/>
        <v>648000</v>
      </c>
      <c r="X110" s="1">
        <f ca="1" t="shared" si="4"/>
        <v>721135.799999999</v>
      </c>
      <c r="Y110" s="30"/>
      <c r="Z110" s="30"/>
      <c r="AA110" s="1">
        <f ca="1" t="shared" si="5"/>
        <v>829.44</v>
      </c>
      <c r="AB110" s="1">
        <f ca="1" t="shared" si="6"/>
        <v>1574.712</v>
      </c>
      <c r="AC110" s="30"/>
      <c r="AD110" s="30"/>
      <c r="AF110" s="44">
        <f ca="1" t="shared" si="7"/>
        <v>215784</v>
      </c>
      <c r="AG110" s="44">
        <f ca="1" t="shared" si="8"/>
        <v>0</v>
      </c>
      <c r="AH110" s="44">
        <f t="shared" si="9"/>
        <v>1200000</v>
      </c>
      <c r="AI110" s="44">
        <f ca="1" t="shared" si="10"/>
        <v>959999.999999998</v>
      </c>
      <c r="AJ110" s="44">
        <f ca="1" t="shared" si="11"/>
        <v>0</v>
      </c>
      <c r="AK110" s="44">
        <f ca="1" t="shared" si="12"/>
        <v>30000</v>
      </c>
      <c r="AL110" s="45">
        <f ca="1" t="shared" si="13"/>
        <v>1440</v>
      </c>
      <c r="AM110" s="45">
        <f t="shared" si="14"/>
        <v>2880</v>
      </c>
      <c r="AN110" s="45">
        <f ca="1" t="shared" si="15"/>
        <v>330</v>
      </c>
      <c r="AO110" s="45">
        <f ca="1" t="shared" si="16"/>
        <v>0</v>
      </c>
      <c r="AP110" s="45">
        <f ca="1" t="shared" si="17"/>
        <v>0</v>
      </c>
      <c r="AQ110" s="45">
        <f t="shared" si="18"/>
        <v>460.8</v>
      </c>
      <c r="AR110" s="45">
        <f ca="1" t="shared" si="19"/>
        <v>138.24</v>
      </c>
      <c r="AS110" s="45">
        <f ca="1" t="shared" si="20"/>
        <v>0</v>
      </c>
      <c r="AT110" s="45">
        <f ca="1" t="shared" si="21"/>
        <v>0</v>
      </c>
      <c r="AU110" s="44">
        <f ca="1" t="shared" si="22"/>
        <v>2405784</v>
      </c>
      <c r="AV110" s="45">
        <f ca="1" t="shared" si="23"/>
        <v>5249.04</v>
      </c>
    </row>
    <row r="111" spans="2:48">
      <c r="B111" s="7">
        <v>0.4</v>
      </c>
      <c r="C111" s="1">
        <f>IF(养成规划!C10="","",养成规划!C10)</f>
        <v>4</v>
      </c>
      <c r="D111" s="1">
        <f ca="1">'102_建筑'!H349</f>
        <v>648000</v>
      </c>
      <c r="E111" s="1">
        <f ca="1" t="shared" si="0"/>
        <v>432000</v>
      </c>
      <c r="F111" s="15">
        <f ca="1">'102_建筑'!K349</f>
        <v>608.256</v>
      </c>
      <c r="G111" s="15">
        <f ca="1" t="shared" si="1"/>
        <v>912.384</v>
      </c>
      <c r="H111" s="1">
        <f ca="1">'203_采集'!K10</f>
        <v>85914</v>
      </c>
      <c r="I111" s="1">
        <f ca="1">'204_军官任务'!L10</f>
        <v>0</v>
      </c>
      <c r="J111" s="1">
        <f>'205_每日任务'!E10</f>
        <v>480000</v>
      </c>
      <c r="K111" s="1">
        <f ca="1">'207_空投'!G10</f>
        <v>431999.999999999</v>
      </c>
      <c r="L111" s="1">
        <f ca="1">'210_活动'!I10</f>
        <v>0</v>
      </c>
      <c r="M111" s="1">
        <f ca="1">'211_VIP宝箱'!F10</f>
        <v>12000</v>
      </c>
      <c r="N111" s="15">
        <f ca="1">'102_建筑'!E425</f>
        <v>576</v>
      </c>
      <c r="O111" s="15">
        <f t="shared" si="2"/>
        <v>1152</v>
      </c>
      <c r="P111" s="15">
        <f ca="1">'201_打野'!F69</f>
        <v>132</v>
      </c>
      <c r="Q111" s="15">
        <f ca="1">'202_黑鸦营地'!F59</f>
        <v>0</v>
      </c>
      <c r="R111" s="15">
        <f ca="1">'204_军官任务'!O10</f>
        <v>0</v>
      </c>
      <c r="S111" s="15">
        <f>'205_每日任务'!H10</f>
        <v>184.32</v>
      </c>
      <c r="T111" s="15">
        <f ca="1">'208_黑市'!F10</f>
        <v>55.296</v>
      </c>
      <c r="U111" s="15">
        <f ca="1">'210_活动'!L10</f>
        <v>0</v>
      </c>
      <c r="V111" s="15">
        <f ca="1">'212_VIP商店'!F10</f>
        <v>0</v>
      </c>
      <c r="W111" s="1">
        <f ca="1" t="shared" si="3"/>
        <v>1080000</v>
      </c>
      <c r="X111" s="1">
        <f ca="1" t="shared" si="4"/>
        <v>1009914</v>
      </c>
      <c r="Y111" s="30"/>
      <c r="Z111" s="30"/>
      <c r="AA111" s="1">
        <f ca="1" t="shared" si="5"/>
        <v>1520.64</v>
      </c>
      <c r="AB111" s="1">
        <f ca="1" t="shared" si="6"/>
        <v>2099.616</v>
      </c>
      <c r="AC111" s="30"/>
      <c r="AD111" s="30"/>
      <c r="AF111" s="44">
        <f ca="1" t="shared" si="7"/>
        <v>217782</v>
      </c>
      <c r="AG111" s="44">
        <f ca="1" t="shared" si="8"/>
        <v>0</v>
      </c>
      <c r="AH111" s="44">
        <f t="shared" si="9"/>
        <v>1200000</v>
      </c>
      <c r="AI111" s="44">
        <f ca="1" t="shared" si="10"/>
        <v>1440000</v>
      </c>
      <c r="AJ111" s="44">
        <f ca="1" t="shared" si="11"/>
        <v>0</v>
      </c>
      <c r="AK111" s="44">
        <f ca="1" t="shared" si="12"/>
        <v>30000</v>
      </c>
      <c r="AL111" s="45">
        <f ca="1" t="shared" si="13"/>
        <v>1440</v>
      </c>
      <c r="AM111" s="45">
        <f t="shared" si="14"/>
        <v>2880</v>
      </c>
      <c r="AN111" s="45">
        <f ca="1" t="shared" si="15"/>
        <v>330</v>
      </c>
      <c r="AO111" s="45">
        <f ca="1" t="shared" si="16"/>
        <v>0</v>
      </c>
      <c r="AP111" s="45">
        <f ca="1" t="shared" si="17"/>
        <v>0</v>
      </c>
      <c r="AQ111" s="45">
        <f t="shared" si="18"/>
        <v>460.8</v>
      </c>
      <c r="AR111" s="45">
        <f ca="1" t="shared" si="19"/>
        <v>138.24</v>
      </c>
      <c r="AS111" s="45">
        <f ca="1" t="shared" si="20"/>
        <v>0</v>
      </c>
      <c r="AT111" s="45">
        <f ca="1" t="shared" si="21"/>
        <v>0</v>
      </c>
      <c r="AU111" s="44">
        <f ca="1" t="shared" si="22"/>
        <v>2887782</v>
      </c>
      <c r="AV111" s="45">
        <f ca="1" t="shared" si="23"/>
        <v>5249.04</v>
      </c>
    </row>
    <row r="112" spans="2:48">
      <c r="B112" s="7">
        <v>0.5</v>
      </c>
      <c r="C112" s="1">
        <f>IF(养成规划!C11="","",养成规划!C11)</f>
        <v>5</v>
      </c>
      <c r="D112" s="1">
        <f ca="1">'102_建筑'!H350</f>
        <v>1080000</v>
      </c>
      <c r="E112" s="1">
        <f ca="1" t="shared" si="0"/>
        <v>720000</v>
      </c>
      <c r="F112" s="15">
        <f ca="1">'102_建筑'!K350</f>
        <v>1050.624</v>
      </c>
      <c r="G112" s="15">
        <f ca="1" t="shared" si="1"/>
        <v>1575.936</v>
      </c>
      <c r="H112" s="1">
        <f ca="1">'203_采集'!K11</f>
        <v>107892</v>
      </c>
      <c r="I112" s="1">
        <f ca="1">'204_军官任务'!L11</f>
        <v>0</v>
      </c>
      <c r="J112" s="1">
        <f>'205_每日任务'!E11</f>
        <v>600000</v>
      </c>
      <c r="K112" s="1">
        <f ca="1">'207_空投'!G11</f>
        <v>575999.999999999</v>
      </c>
      <c r="L112" s="1">
        <f ca="1">'210_活动'!I11</f>
        <v>0</v>
      </c>
      <c r="M112" s="1">
        <f ca="1">'211_VIP宝箱'!F11</f>
        <v>15000</v>
      </c>
      <c r="N112" s="15">
        <f ca="1">'102_建筑'!E426</f>
        <v>720</v>
      </c>
      <c r="O112" s="15">
        <f t="shared" si="2"/>
        <v>1440</v>
      </c>
      <c r="P112" s="15">
        <f ca="1">'201_打野'!F70</f>
        <v>165</v>
      </c>
      <c r="Q112" s="15">
        <f ca="1">'202_黑鸦营地'!F60</f>
        <v>0</v>
      </c>
      <c r="R112" s="15">
        <f ca="1">'204_军官任务'!O11</f>
        <v>0</v>
      </c>
      <c r="S112" s="15">
        <f>'205_每日任务'!H11</f>
        <v>230.4</v>
      </c>
      <c r="T112" s="15">
        <f ca="1">'208_黑市'!F11</f>
        <v>69.12</v>
      </c>
      <c r="U112" s="15">
        <f ca="1">'210_活动'!L11</f>
        <v>0</v>
      </c>
      <c r="V112" s="15">
        <f ca="1">'212_VIP商店'!F11</f>
        <v>0</v>
      </c>
      <c r="W112" s="1">
        <f ca="1" t="shared" si="3"/>
        <v>1800000</v>
      </c>
      <c r="X112" s="1">
        <f ca="1" t="shared" si="4"/>
        <v>1298892</v>
      </c>
      <c r="Y112" s="30"/>
      <c r="Z112" s="30"/>
      <c r="AA112" s="1">
        <f ca="1" t="shared" si="5"/>
        <v>2626.56</v>
      </c>
      <c r="AB112" s="1">
        <f ca="1" t="shared" si="6"/>
        <v>2624.52</v>
      </c>
      <c r="AC112" s="30"/>
      <c r="AD112" s="30"/>
      <c r="AF112" s="44">
        <f ca="1" t="shared" si="7"/>
        <v>219780</v>
      </c>
      <c r="AG112" s="44">
        <f ca="1" t="shared" si="8"/>
        <v>0</v>
      </c>
      <c r="AH112" s="44">
        <f t="shared" si="9"/>
        <v>1200000</v>
      </c>
      <c r="AI112" s="44">
        <f ca="1" t="shared" si="10"/>
        <v>1440000</v>
      </c>
      <c r="AJ112" s="44">
        <f ca="1" t="shared" si="11"/>
        <v>0</v>
      </c>
      <c r="AK112" s="44">
        <f ca="1" t="shared" si="12"/>
        <v>30000</v>
      </c>
      <c r="AL112" s="45">
        <f ca="1" t="shared" si="13"/>
        <v>1440</v>
      </c>
      <c r="AM112" s="45">
        <f t="shared" si="14"/>
        <v>2880</v>
      </c>
      <c r="AN112" s="45">
        <f ca="1" t="shared" si="15"/>
        <v>330</v>
      </c>
      <c r="AO112" s="45">
        <f ca="1" t="shared" si="16"/>
        <v>0</v>
      </c>
      <c r="AP112" s="45">
        <f ca="1" t="shared" si="17"/>
        <v>0</v>
      </c>
      <c r="AQ112" s="45">
        <f t="shared" si="18"/>
        <v>460.8</v>
      </c>
      <c r="AR112" s="45">
        <f ca="1" t="shared" si="19"/>
        <v>138.24</v>
      </c>
      <c r="AS112" s="45">
        <f ca="1" t="shared" si="20"/>
        <v>0</v>
      </c>
      <c r="AT112" s="45">
        <f ca="1" t="shared" si="21"/>
        <v>0</v>
      </c>
      <c r="AU112" s="44">
        <f ca="1" t="shared" si="22"/>
        <v>2889780</v>
      </c>
      <c r="AV112" s="45">
        <f ca="1" t="shared" si="23"/>
        <v>5249.04</v>
      </c>
    </row>
    <row r="113" spans="2:48">
      <c r="B113" s="7">
        <v>0.6</v>
      </c>
      <c r="C113" s="1">
        <f>IF(养成规划!C12="","",养成规划!C12)</f>
        <v>6</v>
      </c>
      <c r="D113" s="1">
        <f ca="1">'102_建筑'!H351</f>
        <v>1944000</v>
      </c>
      <c r="E113" s="1">
        <f ca="1" t="shared" si="0"/>
        <v>1296000</v>
      </c>
      <c r="F113" s="15">
        <f ca="1">'102_建筑'!K351</f>
        <v>1880.064</v>
      </c>
      <c r="G113" s="15">
        <f ca="1" t="shared" si="1"/>
        <v>2820.096</v>
      </c>
      <c r="H113" s="1">
        <f ca="1">'203_采集'!K12</f>
        <v>130029.84</v>
      </c>
      <c r="I113" s="1">
        <f ca="1">'204_军官任务'!L12</f>
        <v>0</v>
      </c>
      <c r="J113" s="1">
        <f>'205_每日任务'!E12</f>
        <v>720000</v>
      </c>
      <c r="K113" s="1">
        <f ca="1">'207_空投'!G12</f>
        <v>719999.999999999</v>
      </c>
      <c r="L113" s="1">
        <f ca="1">'210_活动'!I12</f>
        <v>0</v>
      </c>
      <c r="M113" s="1">
        <f ca="1">'211_VIP宝箱'!F12</f>
        <v>18000</v>
      </c>
      <c r="N113" s="15">
        <f ca="1">'102_建筑'!E427</f>
        <v>864</v>
      </c>
      <c r="O113" s="15">
        <f t="shared" si="2"/>
        <v>1728</v>
      </c>
      <c r="P113" s="15">
        <f ca="1">'201_打野'!F71</f>
        <v>198</v>
      </c>
      <c r="Q113" s="15">
        <f ca="1">'202_黑鸦营地'!F61</f>
        <v>0</v>
      </c>
      <c r="R113" s="15">
        <f ca="1">'204_军官任务'!O12</f>
        <v>0</v>
      </c>
      <c r="S113" s="15">
        <f>'205_每日任务'!H12</f>
        <v>276.48</v>
      </c>
      <c r="T113" s="15">
        <f ca="1">'208_黑市'!F12</f>
        <v>82.944</v>
      </c>
      <c r="U113" s="15">
        <f ca="1">'210_活动'!L12</f>
        <v>0</v>
      </c>
      <c r="V113" s="15">
        <f ca="1">'212_VIP商店'!F12</f>
        <v>0</v>
      </c>
      <c r="W113" s="1">
        <f ca="1" t="shared" si="3"/>
        <v>3240000</v>
      </c>
      <c r="X113" s="1">
        <f ca="1" t="shared" si="4"/>
        <v>1588029.84</v>
      </c>
      <c r="Y113" s="30"/>
      <c r="Z113" s="30"/>
      <c r="AA113" s="1">
        <f ca="1" t="shared" si="5"/>
        <v>4700.16</v>
      </c>
      <c r="AB113" s="1">
        <f ca="1" t="shared" si="6"/>
        <v>3149.424</v>
      </c>
      <c r="AC113" s="30"/>
      <c r="AD113" s="30"/>
      <c r="AF113" s="44">
        <f ca="1" t="shared" si="7"/>
        <v>221378.4</v>
      </c>
      <c r="AG113" s="44">
        <f ca="1" t="shared" si="8"/>
        <v>0</v>
      </c>
      <c r="AH113" s="44">
        <f t="shared" si="9"/>
        <v>1200000</v>
      </c>
      <c r="AI113" s="44">
        <f ca="1" t="shared" si="10"/>
        <v>1440000</v>
      </c>
      <c r="AJ113" s="44">
        <f ca="1" t="shared" si="11"/>
        <v>0</v>
      </c>
      <c r="AK113" s="44">
        <f ca="1" t="shared" si="12"/>
        <v>30000</v>
      </c>
      <c r="AL113" s="45">
        <f ca="1" t="shared" si="13"/>
        <v>1440</v>
      </c>
      <c r="AM113" s="45">
        <f t="shared" si="14"/>
        <v>2880</v>
      </c>
      <c r="AN113" s="45">
        <f ca="1" t="shared" si="15"/>
        <v>330</v>
      </c>
      <c r="AO113" s="45">
        <f ca="1" t="shared" si="16"/>
        <v>0</v>
      </c>
      <c r="AP113" s="45">
        <f ca="1" t="shared" si="17"/>
        <v>0</v>
      </c>
      <c r="AQ113" s="45">
        <f t="shared" si="18"/>
        <v>460.8</v>
      </c>
      <c r="AR113" s="45">
        <f ca="1" t="shared" si="19"/>
        <v>138.24</v>
      </c>
      <c r="AS113" s="45">
        <f ca="1" t="shared" si="20"/>
        <v>0</v>
      </c>
      <c r="AT113" s="45">
        <f ca="1" t="shared" si="21"/>
        <v>0</v>
      </c>
      <c r="AU113" s="44">
        <f ca="1" t="shared" si="22"/>
        <v>2891378.4</v>
      </c>
      <c r="AV113" s="45">
        <f ca="1" t="shared" si="23"/>
        <v>5249.04</v>
      </c>
    </row>
    <row r="114" spans="2:48">
      <c r="B114" s="7">
        <v>0.7</v>
      </c>
      <c r="C114" s="1" t="str">
        <f>IF(养成规划!C13="","",养成规划!C13)</f>
        <v/>
      </c>
      <c r="D114" s="1">
        <f ca="1">'102_建筑'!H352</f>
        <v>2592000</v>
      </c>
      <c r="E114" s="1">
        <f ca="1" t="shared" si="0"/>
        <v>1728000</v>
      </c>
      <c r="F114" s="15">
        <f ca="1">'102_建筑'!K352</f>
        <v>2709.504</v>
      </c>
      <c r="G114" s="15">
        <f ca="1" t="shared" si="1"/>
        <v>4064.256</v>
      </c>
      <c r="H114" s="1">
        <f ca="1">'203_采集'!K13</f>
        <v>152327.52</v>
      </c>
      <c r="I114" s="1">
        <f ca="1">'204_军官任务'!L13</f>
        <v>0</v>
      </c>
      <c r="J114" s="1">
        <f>'205_每日任务'!E13</f>
        <v>840000</v>
      </c>
      <c r="K114" s="1">
        <f ca="1">'207_空投'!G13</f>
        <v>863999.999999999</v>
      </c>
      <c r="L114" s="1">
        <f ca="1">'210_活动'!I13</f>
        <v>0</v>
      </c>
      <c r="M114" s="1">
        <f ca="1">'211_VIP宝箱'!F13</f>
        <v>21000</v>
      </c>
      <c r="N114" s="15">
        <f ca="1">'102_建筑'!E428</f>
        <v>1008</v>
      </c>
      <c r="O114" s="15">
        <f t="shared" si="2"/>
        <v>2016</v>
      </c>
      <c r="P114" s="15">
        <f ca="1">'201_打野'!F72</f>
        <v>231</v>
      </c>
      <c r="Q114" s="15">
        <f ca="1">'202_黑鸦营地'!F62</f>
        <v>0</v>
      </c>
      <c r="R114" s="15">
        <f ca="1">'204_军官任务'!O13</f>
        <v>0</v>
      </c>
      <c r="S114" s="15">
        <f>'205_每日任务'!H13</f>
        <v>322.56</v>
      </c>
      <c r="T114" s="15">
        <f ca="1">'208_黑市'!F13</f>
        <v>96.768</v>
      </c>
      <c r="U114" s="15">
        <f ca="1">'210_活动'!L13</f>
        <v>0</v>
      </c>
      <c r="V114" s="15">
        <f ca="1">'212_VIP商店'!F13</f>
        <v>0</v>
      </c>
      <c r="W114" s="1">
        <f ca="1" t="shared" si="3"/>
        <v>4320000</v>
      </c>
      <c r="X114" s="1">
        <f ca="1" t="shared" si="4"/>
        <v>1877327.52</v>
      </c>
      <c r="Y114" s="30"/>
      <c r="Z114" s="30"/>
      <c r="AA114" s="1">
        <f ca="1" t="shared" si="5"/>
        <v>6773.76</v>
      </c>
      <c r="AB114" s="1">
        <f ca="1" t="shared" si="6"/>
        <v>3674.328</v>
      </c>
      <c r="AC114" s="30"/>
      <c r="AD114" s="30"/>
      <c r="AF114" s="44">
        <f ca="1" t="shared" si="7"/>
        <v>222976.8</v>
      </c>
      <c r="AG114" s="44">
        <f ca="1" t="shared" si="8"/>
        <v>0</v>
      </c>
      <c r="AH114" s="44">
        <f t="shared" si="9"/>
        <v>1200000</v>
      </c>
      <c r="AI114" s="44">
        <f ca="1" t="shared" si="10"/>
        <v>1440000</v>
      </c>
      <c r="AJ114" s="44">
        <f ca="1" t="shared" si="11"/>
        <v>0</v>
      </c>
      <c r="AK114" s="44">
        <f ca="1" t="shared" si="12"/>
        <v>30000</v>
      </c>
      <c r="AL114" s="45">
        <f ca="1" t="shared" si="13"/>
        <v>1440</v>
      </c>
      <c r="AM114" s="45">
        <f t="shared" si="14"/>
        <v>2880</v>
      </c>
      <c r="AN114" s="45">
        <f ca="1" t="shared" si="15"/>
        <v>330</v>
      </c>
      <c r="AO114" s="45">
        <f ca="1" t="shared" si="16"/>
        <v>0</v>
      </c>
      <c r="AP114" s="45">
        <f ca="1" t="shared" si="17"/>
        <v>0</v>
      </c>
      <c r="AQ114" s="45">
        <f t="shared" si="18"/>
        <v>460.8</v>
      </c>
      <c r="AR114" s="45">
        <f ca="1" t="shared" si="19"/>
        <v>138.24</v>
      </c>
      <c r="AS114" s="45">
        <f ca="1" t="shared" si="20"/>
        <v>0</v>
      </c>
      <c r="AT114" s="45">
        <f ca="1" t="shared" si="21"/>
        <v>0</v>
      </c>
      <c r="AU114" s="44">
        <f ca="1" t="shared" si="22"/>
        <v>2892976.8</v>
      </c>
      <c r="AV114" s="45">
        <f ca="1" t="shared" si="23"/>
        <v>5249.04</v>
      </c>
    </row>
    <row r="115" spans="2:48">
      <c r="B115" s="7">
        <v>0.8</v>
      </c>
      <c r="C115" s="1">
        <f>IF(养成规划!C14="","",养成规划!C14)</f>
        <v>7</v>
      </c>
      <c r="D115" s="1">
        <f ca="1">'102_建筑'!H353</f>
        <v>3240000</v>
      </c>
      <c r="E115" s="1">
        <f ca="1" t="shared" si="0"/>
        <v>2160000</v>
      </c>
      <c r="F115" s="15">
        <f ca="1">'102_建筑'!K353</f>
        <v>3538.944</v>
      </c>
      <c r="G115" s="15">
        <f ca="1" t="shared" si="1"/>
        <v>5308.416</v>
      </c>
      <c r="H115" s="1">
        <f ca="1">'203_采集'!K14</f>
        <v>174785.04</v>
      </c>
      <c r="I115" s="1">
        <f ca="1">'204_军官任务'!L14</f>
        <v>0</v>
      </c>
      <c r="J115" s="1">
        <f>'205_每日任务'!E14</f>
        <v>960000</v>
      </c>
      <c r="K115" s="1">
        <f ca="1">'207_空投'!G14</f>
        <v>1008000</v>
      </c>
      <c r="L115" s="1">
        <f ca="1">'210_活动'!I14</f>
        <v>0</v>
      </c>
      <c r="M115" s="1">
        <f ca="1">'211_VIP宝箱'!F14</f>
        <v>24000</v>
      </c>
      <c r="N115" s="15">
        <f ca="1">'102_建筑'!E429</f>
        <v>1296</v>
      </c>
      <c r="O115" s="15">
        <f t="shared" si="2"/>
        <v>2304</v>
      </c>
      <c r="P115" s="15">
        <f ca="1">'201_打野'!F73</f>
        <v>264</v>
      </c>
      <c r="Q115" s="15">
        <f ca="1">'202_黑鸦营地'!F63</f>
        <v>0</v>
      </c>
      <c r="R115" s="15">
        <f ca="1">'204_军官任务'!O14</f>
        <v>0</v>
      </c>
      <c r="S115" s="15">
        <f>'205_每日任务'!H14</f>
        <v>368.64</v>
      </c>
      <c r="T115" s="15">
        <f ca="1">'208_黑市'!F14</f>
        <v>110.592</v>
      </c>
      <c r="U115" s="15">
        <f ca="1">'210_活动'!L14</f>
        <v>0</v>
      </c>
      <c r="V115" s="15">
        <f ca="1">'212_VIP商店'!F14</f>
        <v>0</v>
      </c>
      <c r="W115" s="1">
        <f ca="1" t="shared" si="3"/>
        <v>5400000</v>
      </c>
      <c r="X115" s="1">
        <f ca="1" t="shared" si="4"/>
        <v>2166785.04</v>
      </c>
      <c r="Y115" s="30"/>
      <c r="Z115" s="30"/>
      <c r="AA115" s="1">
        <f ca="1" t="shared" si="5"/>
        <v>8847.36</v>
      </c>
      <c r="AB115" s="1">
        <f ca="1" t="shared" si="6"/>
        <v>4343.232</v>
      </c>
      <c r="AC115" s="30"/>
      <c r="AD115" s="30"/>
      <c r="AF115" s="44">
        <f ca="1" t="shared" si="7"/>
        <v>224575.2</v>
      </c>
      <c r="AG115" s="44">
        <f ca="1" t="shared" si="8"/>
        <v>0</v>
      </c>
      <c r="AH115" s="44">
        <f t="shared" si="9"/>
        <v>1200000</v>
      </c>
      <c r="AI115" s="44">
        <f ca="1" t="shared" si="10"/>
        <v>1440000</v>
      </c>
      <c r="AJ115" s="44">
        <f ca="1" t="shared" si="11"/>
        <v>0</v>
      </c>
      <c r="AK115" s="44">
        <f ca="1" t="shared" si="12"/>
        <v>30000</v>
      </c>
      <c r="AL115" s="45">
        <f ca="1" t="shared" si="13"/>
        <v>2880</v>
      </c>
      <c r="AM115" s="45">
        <f t="shared" si="14"/>
        <v>2880.00000000001</v>
      </c>
      <c r="AN115" s="45">
        <f ca="1" t="shared" si="15"/>
        <v>330</v>
      </c>
      <c r="AO115" s="45">
        <f ca="1" t="shared" si="16"/>
        <v>0</v>
      </c>
      <c r="AP115" s="45">
        <f ca="1" t="shared" si="17"/>
        <v>0</v>
      </c>
      <c r="AQ115" s="45">
        <f t="shared" si="18"/>
        <v>460.8</v>
      </c>
      <c r="AR115" s="45">
        <f ca="1" t="shared" si="19"/>
        <v>138.24</v>
      </c>
      <c r="AS115" s="45">
        <f ca="1" t="shared" si="20"/>
        <v>0</v>
      </c>
      <c r="AT115" s="45">
        <f ca="1" t="shared" si="21"/>
        <v>0</v>
      </c>
      <c r="AU115" s="44">
        <f ca="1" t="shared" si="22"/>
        <v>2894575.2</v>
      </c>
      <c r="AV115" s="45">
        <f ca="1" t="shared" si="23"/>
        <v>6689.04000000001</v>
      </c>
    </row>
    <row r="116" spans="2:48">
      <c r="B116" s="7">
        <v>0.9</v>
      </c>
      <c r="C116" s="1" t="str">
        <f>IF(养成规划!C15="","",养成规划!C15)</f>
        <v/>
      </c>
      <c r="D116" s="1">
        <f ca="1">'102_建筑'!H354</f>
        <v>4104000</v>
      </c>
      <c r="E116" s="1">
        <f ca="1" t="shared" si="0"/>
        <v>2736000</v>
      </c>
      <c r="F116" s="15">
        <f ca="1">'102_建筑'!K354</f>
        <v>4644.864</v>
      </c>
      <c r="G116" s="15">
        <f ca="1" t="shared" si="1"/>
        <v>6967.296</v>
      </c>
      <c r="H116" s="1">
        <f ca="1">'203_采集'!K15</f>
        <v>197402.4</v>
      </c>
      <c r="I116" s="1">
        <f ca="1">'204_军官任务'!L15</f>
        <v>0</v>
      </c>
      <c r="J116" s="1">
        <f>'205_每日任务'!E15</f>
        <v>1080000</v>
      </c>
      <c r="K116" s="1">
        <f ca="1">'207_空投'!G15</f>
        <v>1152000</v>
      </c>
      <c r="L116" s="1">
        <f ca="1">'210_活动'!I15</f>
        <v>0</v>
      </c>
      <c r="M116" s="1">
        <f ca="1">'211_VIP宝箱'!F15</f>
        <v>27000</v>
      </c>
      <c r="N116" s="15">
        <f ca="1">'102_建筑'!E430</f>
        <v>1584</v>
      </c>
      <c r="O116" s="15">
        <f t="shared" si="2"/>
        <v>2592</v>
      </c>
      <c r="P116" s="15">
        <f ca="1">'201_打野'!F74</f>
        <v>297</v>
      </c>
      <c r="Q116" s="15">
        <f ca="1">'202_黑鸦营地'!F64</f>
        <v>0</v>
      </c>
      <c r="R116" s="15">
        <f ca="1">'204_军官任务'!O15</f>
        <v>0</v>
      </c>
      <c r="S116" s="15">
        <f>'205_每日任务'!H15</f>
        <v>414.72</v>
      </c>
      <c r="T116" s="15">
        <f ca="1">'208_黑市'!F15</f>
        <v>124.416</v>
      </c>
      <c r="U116" s="15">
        <f ca="1">'210_活动'!L15</f>
        <v>0</v>
      </c>
      <c r="V116" s="15">
        <f ca="1">'212_VIP商店'!F15</f>
        <v>0</v>
      </c>
      <c r="W116" s="1">
        <f ca="1" t="shared" si="3"/>
        <v>6840000</v>
      </c>
      <c r="X116" s="1">
        <f ca="1" t="shared" si="4"/>
        <v>2456402.4</v>
      </c>
      <c r="Y116" s="30"/>
      <c r="Z116" s="30"/>
      <c r="AA116" s="1">
        <f ca="1" t="shared" si="5"/>
        <v>11612.16</v>
      </c>
      <c r="AB116" s="1">
        <f ca="1" t="shared" si="6"/>
        <v>5012.136</v>
      </c>
      <c r="AC116" s="30"/>
      <c r="AD116" s="30"/>
      <c r="AF116" s="44">
        <f ca="1" t="shared" si="7"/>
        <v>226173.6</v>
      </c>
      <c r="AG116" s="44">
        <f ca="1" t="shared" si="8"/>
        <v>0</v>
      </c>
      <c r="AH116" s="44">
        <f t="shared" si="9"/>
        <v>1200000</v>
      </c>
      <c r="AI116" s="44">
        <f ca="1" t="shared" si="10"/>
        <v>1440000</v>
      </c>
      <c r="AJ116" s="44">
        <f ca="1" t="shared" si="11"/>
        <v>0</v>
      </c>
      <c r="AK116" s="44">
        <f ca="1" t="shared" si="12"/>
        <v>30000</v>
      </c>
      <c r="AL116" s="45">
        <f ca="1" t="shared" si="13"/>
        <v>2880</v>
      </c>
      <c r="AM116" s="45">
        <f t="shared" si="14"/>
        <v>2880</v>
      </c>
      <c r="AN116" s="45">
        <f ca="1" t="shared" si="15"/>
        <v>330</v>
      </c>
      <c r="AO116" s="45">
        <f ca="1" t="shared" si="16"/>
        <v>0</v>
      </c>
      <c r="AP116" s="45">
        <f ca="1" t="shared" si="17"/>
        <v>0</v>
      </c>
      <c r="AQ116" s="45">
        <f t="shared" si="18"/>
        <v>460.8</v>
      </c>
      <c r="AR116" s="45">
        <f ca="1" t="shared" si="19"/>
        <v>138.24</v>
      </c>
      <c r="AS116" s="45">
        <f ca="1" t="shared" si="20"/>
        <v>0</v>
      </c>
      <c r="AT116" s="45">
        <f ca="1" t="shared" si="21"/>
        <v>0</v>
      </c>
      <c r="AU116" s="44">
        <f ca="1" t="shared" si="22"/>
        <v>2896173.6</v>
      </c>
      <c r="AV116" s="45">
        <f ca="1" t="shared" si="23"/>
        <v>6689.04</v>
      </c>
    </row>
    <row r="117" spans="2:48">
      <c r="B117" s="7">
        <v>1</v>
      </c>
      <c r="C117" s="1">
        <f>IF(养成规划!C16="","",养成规划!C16)</f>
        <v>8</v>
      </c>
      <c r="D117" s="1">
        <f ca="1">'102_建筑'!H355</f>
        <v>4968000</v>
      </c>
      <c r="E117" s="1">
        <f ca="1" t="shared" si="0"/>
        <v>3312000</v>
      </c>
      <c r="F117" s="15">
        <f ca="1">'102_建筑'!K355</f>
        <v>5750.784</v>
      </c>
      <c r="G117" s="15">
        <f ca="1" t="shared" si="1"/>
        <v>8626.176</v>
      </c>
      <c r="H117" s="1">
        <f ca="1">'203_采集'!K16</f>
        <v>242956.8</v>
      </c>
      <c r="I117" s="1">
        <f ca="1">'204_军官任务'!L16</f>
        <v>0</v>
      </c>
      <c r="J117" s="1">
        <f>'205_每日任务'!E16</f>
        <v>1200000</v>
      </c>
      <c r="K117" s="1">
        <f ca="1">'207_空投'!G16</f>
        <v>1344000</v>
      </c>
      <c r="L117" s="1">
        <f ca="1">'210_活动'!I16</f>
        <v>0</v>
      </c>
      <c r="M117" s="1">
        <f ca="1">'211_VIP宝箱'!F16</f>
        <v>30000</v>
      </c>
      <c r="N117" s="15">
        <f ca="1">'102_建筑'!E431</f>
        <v>1872</v>
      </c>
      <c r="O117" s="15">
        <f t="shared" si="2"/>
        <v>2880</v>
      </c>
      <c r="P117" s="15">
        <f ca="1">'201_打野'!F75</f>
        <v>331.5</v>
      </c>
      <c r="Q117" s="15">
        <f ca="1">'202_黑鸦营地'!F65</f>
        <v>42</v>
      </c>
      <c r="R117" s="15">
        <f ca="1">'204_军官任务'!O16</f>
        <v>0</v>
      </c>
      <c r="S117" s="15">
        <f>'205_每日任务'!H16</f>
        <v>460.8</v>
      </c>
      <c r="T117" s="15">
        <f ca="1">'208_黑市'!F16</f>
        <v>138.24</v>
      </c>
      <c r="U117" s="15">
        <f ca="1">'210_活动'!L16</f>
        <v>0</v>
      </c>
      <c r="V117" s="15">
        <f ca="1">'212_VIP商店'!F16</f>
        <v>0</v>
      </c>
      <c r="W117" s="1">
        <f ca="1" t="shared" si="3"/>
        <v>8280000</v>
      </c>
      <c r="X117" s="1">
        <f ca="1" t="shared" si="4"/>
        <v>2816956.8</v>
      </c>
      <c r="Y117" s="30"/>
      <c r="Z117" s="30"/>
      <c r="AA117" s="1">
        <f ca="1" t="shared" si="5"/>
        <v>14376.96</v>
      </c>
      <c r="AB117" s="1">
        <f ca="1" t="shared" si="6"/>
        <v>5724.54</v>
      </c>
      <c r="AC117" s="30"/>
      <c r="AD117" s="30"/>
      <c r="AF117" s="44">
        <f ca="1" t="shared" si="7"/>
        <v>455544</v>
      </c>
      <c r="AG117" s="44">
        <f ca="1" t="shared" si="8"/>
        <v>0</v>
      </c>
      <c r="AH117" s="44">
        <f t="shared" si="9"/>
        <v>1200000</v>
      </c>
      <c r="AI117" s="44">
        <f ca="1" t="shared" si="10"/>
        <v>1920000</v>
      </c>
      <c r="AJ117" s="44">
        <f ca="1" t="shared" si="11"/>
        <v>0</v>
      </c>
      <c r="AK117" s="44">
        <f ca="1" t="shared" si="12"/>
        <v>30000</v>
      </c>
      <c r="AL117" s="45">
        <f ca="1" t="shared" si="13"/>
        <v>2880</v>
      </c>
      <c r="AM117" s="45">
        <f t="shared" si="14"/>
        <v>2880</v>
      </c>
      <c r="AN117" s="45">
        <f ca="1" t="shared" si="15"/>
        <v>345</v>
      </c>
      <c r="AO117" s="45">
        <f ca="1" t="shared" si="16"/>
        <v>420</v>
      </c>
      <c r="AP117" s="45">
        <f ca="1" t="shared" si="17"/>
        <v>0</v>
      </c>
      <c r="AQ117" s="45">
        <f t="shared" si="18"/>
        <v>460.8</v>
      </c>
      <c r="AR117" s="45">
        <f ca="1" t="shared" si="19"/>
        <v>138.24</v>
      </c>
      <c r="AS117" s="45">
        <f ca="1" t="shared" si="20"/>
        <v>0</v>
      </c>
      <c r="AT117" s="45">
        <f ca="1" t="shared" si="21"/>
        <v>0</v>
      </c>
      <c r="AU117" s="44">
        <f ca="1" t="shared" si="22"/>
        <v>3605544</v>
      </c>
      <c r="AV117" s="45">
        <f ca="1" t="shared" si="23"/>
        <v>7124.04</v>
      </c>
    </row>
    <row r="118" spans="2:48">
      <c r="B118" s="9">
        <v>1.5</v>
      </c>
      <c r="C118" s="1">
        <f>IF(养成规划!C17="","",养成规划!C17)</f>
        <v>9</v>
      </c>
      <c r="D118" s="1">
        <f ca="1">'102_建筑'!H356</f>
        <v>7128000</v>
      </c>
      <c r="E118" s="1">
        <f ca="1" t="shared" si="0"/>
        <v>4752000</v>
      </c>
      <c r="F118" s="15">
        <f ca="1">'102_建筑'!K356</f>
        <v>8515.584</v>
      </c>
      <c r="G118" s="15">
        <f ca="1" t="shared" si="1"/>
        <v>12773.376</v>
      </c>
      <c r="H118" s="1">
        <f ca="1">'203_采集'!K17</f>
        <v>714484.8</v>
      </c>
      <c r="I118" s="1">
        <f ca="1">'204_军官任务'!L17</f>
        <v>0</v>
      </c>
      <c r="J118" s="1">
        <f>'205_每日任务'!E17</f>
        <v>1800000</v>
      </c>
      <c r="K118" s="1">
        <f ca="1">'207_空投'!G17</f>
        <v>2304000</v>
      </c>
      <c r="L118" s="1">
        <f ca="1">'210_活动'!I17</f>
        <v>0</v>
      </c>
      <c r="M118" s="1">
        <f ca="1">'211_VIP宝箱'!F17</f>
        <v>45000</v>
      </c>
      <c r="N118" s="15">
        <f ca="1">'102_建筑'!E432</f>
        <v>3312</v>
      </c>
      <c r="O118" s="15">
        <f t="shared" si="2"/>
        <v>4320</v>
      </c>
      <c r="P118" s="15">
        <f ca="1">'201_打野'!F76</f>
        <v>504</v>
      </c>
      <c r="Q118" s="15">
        <f ca="1">'202_黑鸦营地'!F66</f>
        <v>252</v>
      </c>
      <c r="R118" s="15">
        <f ca="1">'204_军官任务'!O17</f>
        <v>0</v>
      </c>
      <c r="S118" s="15">
        <f>'205_每日任务'!H17</f>
        <v>691.2</v>
      </c>
      <c r="T118" s="15">
        <f ca="1">'208_黑市'!F17</f>
        <v>207.36</v>
      </c>
      <c r="U118" s="15">
        <f ca="1">'210_活动'!L17</f>
        <v>0</v>
      </c>
      <c r="V118" s="15">
        <f ca="1">'212_VIP商店'!F17</f>
        <v>0</v>
      </c>
      <c r="W118" s="1">
        <f ca="1" t="shared" si="3"/>
        <v>11880000</v>
      </c>
      <c r="X118" s="1">
        <f ca="1" t="shared" si="4"/>
        <v>4863484.8</v>
      </c>
      <c r="Y118" s="30"/>
      <c r="Z118" s="30"/>
      <c r="AA118" s="1">
        <f ca="1" t="shared" si="5"/>
        <v>21288.96</v>
      </c>
      <c r="AB118" s="1">
        <f ca="1" t="shared" si="6"/>
        <v>9286.56</v>
      </c>
      <c r="AC118" s="30"/>
      <c r="AD118" s="30"/>
      <c r="AF118" s="44">
        <f ca="1" t="shared" si="7"/>
        <v>943056</v>
      </c>
      <c r="AG118" s="44">
        <f ca="1" t="shared" si="8"/>
        <v>0</v>
      </c>
      <c r="AH118" s="44">
        <f t="shared" si="9"/>
        <v>1200000</v>
      </c>
      <c r="AI118" s="44">
        <f ca="1" t="shared" si="10"/>
        <v>1920000</v>
      </c>
      <c r="AJ118" s="44">
        <f ca="1" t="shared" si="11"/>
        <v>0</v>
      </c>
      <c r="AK118" s="44">
        <f ca="1" t="shared" si="12"/>
        <v>30000</v>
      </c>
      <c r="AL118" s="45">
        <f ca="1" t="shared" si="13"/>
        <v>2880</v>
      </c>
      <c r="AM118" s="45">
        <f t="shared" si="14"/>
        <v>2880</v>
      </c>
      <c r="AN118" s="45">
        <f ca="1" t="shared" si="15"/>
        <v>345</v>
      </c>
      <c r="AO118" s="45">
        <f ca="1" t="shared" si="16"/>
        <v>420</v>
      </c>
      <c r="AP118" s="45">
        <f ca="1" t="shared" si="17"/>
        <v>0</v>
      </c>
      <c r="AQ118" s="45">
        <f t="shared" si="18"/>
        <v>460.8</v>
      </c>
      <c r="AR118" s="45">
        <f ca="1" t="shared" si="19"/>
        <v>138.24</v>
      </c>
      <c r="AS118" s="45">
        <f ca="1" t="shared" si="20"/>
        <v>0</v>
      </c>
      <c r="AT118" s="45">
        <f ca="1" t="shared" si="21"/>
        <v>0</v>
      </c>
      <c r="AU118" s="44">
        <f ca="1" t="shared" si="22"/>
        <v>4093056</v>
      </c>
      <c r="AV118" s="45">
        <f ca="1" t="shared" si="23"/>
        <v>7124.04</v>
      </c>
    </row>
    <row r="119" spans="2:48">
      <c r="B119" s="9">
        <v>2</v>
      </c>
      <c r="C119" s="1">
        <f>IF(养成规划!C18="","",养成规划!C18)</f>
        <v>10</v>
      </c>
      <c r="D119" s="1">
        <f ca="1">'102_建筑'!H357</f>
        <v>10152000</v>
      </c>
      <c r="E119" s="1">
        <f ca="1" t="shared" si="0"/>
        <v>6768000</v>
      </c>
      <c r="F119" s="15">
        <f ca="1">'102_建筑'!K357</f>
        <v>11833.344</v>
      </c>
      <c r="G119" s="15">
        <f ca="1" t="shared" si="1"/>
        <v>17750.016</v>
      </c>
      <c r="H119" s="1">
        <f ca="1">'203_采集'!K18</f>
        <v>1225972.8</v>
      </c>
      <c r="I119" s="1">
        <f ca="1">'204_军官任务'!L18</f>
        <v>0</v>
      </c>
      <c r="J119" s="1">
        <f>'205_每日任务'!E18</f>
        <v>2400000</v>
      </c>
      <c r="K119" s="1">
        <f ca="1">'207_空投'!G18</f>
        <v>3264000</v>
      </c>
      <c r="L119" s="1">
        <f ca="1">'210_活动'!I18</f>
        <v>0</v>
      </c>
      <c r="M119" s="1">
        <f ca="1">'211_VIP宝箱'!F18</f>
        <v>75000</v>
      </c>
      <c r="N119" s="15">
        <f ca="1">'102_建筑'!E433</f>
        <v>4752</v>
      </c>
      <c r="O119" s="15">
        <f t="shared" si="2"/>
        <v>5760</v>
      </c>
      <c r="P119" s="15">
        <f ca="1">'201_打野'!F77</f>
        <v>684</v>
      </c>
      <c r="Q119" s="15">
        <f ca="1">'202_黑鸦营地'!F67</f>
        <v>462</v>
      </c>
      <c r="R119" s="15">
        <f ca="1">'204_军官任务'!O18</f>
        <v>0</v>
      </c>
      <c r="S119" s="15">
        <f>'205_每日任务'!H18</f>
        <v>921.6</v>
      </c>
      <c r="T119" s="15">
        <f ca="1">'208_黑市'!F18</f>
        <v>276.48</v>
      </c>
      <c r="U119" s="15">
        <f ca="1">'210_活动'!L18</f>
        <v>0</v>
      </c>
      <c r="V119" s="15">
        <f ca="1">'212_VIP商店'!F18</f>
        <v>0</v>
      </c>
      <c r="W119" s="1">
        <f ca="1" t="shared" si="3"/>
        <v>16920000</v>
      </c>
      <c r="X119" s="1">
        <f ca="1" t="shared" si="4"/>
        <v>6964972.8</v>
      </c>
      <c r="Y119" s="30"/>
      <c r="Z119" s="30"/>
      <c r="AA119" s="1">
        <f ca="1" t="shared" si="5"/>
        <v>29583.36</v>
      </c>
      <c r="AB119" s="1">
        <f ca="1" t="shared" si="6"/>
        <v>12856.08</v>
      </c>
      <c r="AC119" s="30"/>
      <c r="AD119" s="30"/>
      <c r="AF119" s="44">
        <f ca="1" t="shared" si="7"/>
        <v>1022976</v>
      </c>
      <c r="AG119" s="44">
        <f ca="1" t="shared" si="8"/>
        <v>0</v>
      </c>
      <c r="AH119" s="44">
        <f t="shared" si="9"/>
        <v>1200000</v>
      </c>
      <c r="AI119" s="44">
        <f ca="1" t="shared" si="10"/>
        <v>1920000</v>
      </c>
      <c r="AJ119" s="44">
        <f ca="1" t="shared" si="11"/>
        <v>0</v>
      </c>
      <c r="AK119" s="44">
        <f ca="1" t="shared" si="12"/>
        <v>60000</v>
      </c>
      <c r="AL119" s="45">
        <f ca="1" t="shared" si="13"/>
        <v>2880</v>
      </c>
      <c r="AM119" s="45">
        <f t="shared" si="14"/>
        <v>2880</v>
      </c>
      <c r="AN119" s="45">
        <f ca="1" t="shared" si="15"/>
        <v>360</v>
      </c>
      <c r="AO119" s="45">
        <f ca="1" t="shared" si="16"/>
        <v>420</v>
      </c>
      <c r="AP119" s="45">
        <f ca="1" t="shared" si="17"/>
        <v>0</v>
      </c>
      <c r="AQ119" s="45">
        <f t="shared" si="18"/>
        <v>460.8</v>
      </c>
      <c r="AR119" s="45">
        <f ca="1" t="shared" si="19"/>
        <v>138.24</v>
      </c>
      <c r="AS119" s="45">
        <f ca="1" t="shared" si="20"/>
        <v>0</v>
      </c>
      <c r="AT119" s="45">
        <f ca="1" t="shared" si="21"/>
        <v>0</v>
      </c>
      <c r="AU119" s="44">
        <f ca="1" t="shared" si="22"/>
        <v>4202976</v>
      </c>
      <c r="AV119" s="45">
        <f ca="1" t="shared" si="23"/>
        <v>7139.04</v>
      </c>
    </row>
    <row r="120" spans="2:48">
      <c r="B120" s="9">
        <v>2.5</v>
      </c>
      <c r="C120" s="1">
        <f>IF(养成规划!C19="","",养成规划!C19)</f>
        <v>11</v>
      </c>
      <c r="D120" s="1">
        <f ca="1">'102_建筑'!H358</f>
        <v>14040000</v>
      </c>
      <c r="E120" s="1">
        <f ca="1" t="shared" si="0"/>
        <v>9360000</v>
      </c>
      <c r="F120" s="15">
        <f ca="1">'102_建筑'!K358</f>
        <v>15704.064</v>
      </c>
      <c r="G120" s="15">
        <f ca="1" t="shared" si="1"/>
        <v>23556.096</v>
      </c>
      <c r="H120" s="1">
        <f ca="1">'203_采集'!K19</f>
        <v>1996951.05</v>
      </c>
      <c r="I120" s="1">
        <f ca="1">'204_军官任务'!L19</f>
        <v>0</v>
      </c>
      <c r="J120" s="1">
        <f>'205_每日任务'!E19</f>
        <v>3000000</v>
      </c>
      <c r="K120" s="1">
        <f ca="1">'207_空投'!G19</f>
        <v>4224000</v>
      </c>
      <c r="L120" s="1">
        <f ca="1">'210_活动'!I19</f>
        <v>0</v>
      </c>
      <c r="M120" s="1">
        <f ca="1">'211_VIP宝箱'!F19</f>
        <v>105000</v>
      </c>
      <c r="N120" s="15">
        <f ca="1">'102_建筑'!E434</f>
        <v>6192</v>
      </c>
      <c r="O120" s="15">
        <f t="shared" si="2"/>
        <v>7200</v>
      </c>
      <c r="P120" s="15">
        <f ca="1">'201_打野'!F78</f>
        <v>864</v>
      </c>
      <c r="Q120" s="15">
        <f ca="1">'202_黑鸦营地'!F68</f>
        <v>672</v>
      </c>
      <c r="R120" s="15">
        <f ca="1">'204_军官任务'!O19</f>
        <v>0</v>
      </c>
      <c r="S120" s="15">
        <f>'205_每日任务'!H19</f>
        <v>1152</v>
      </c>
      <c r="T120" s="15">
        <f ca="1">'208_黑市'!F19</f>
        <v>345.6</v>
      </c>
      <c r="U120" s="15">
        <f ca="1">'210_活动'!L19</f>
        <v>0</v>
      </c>
      <c r="V120" s="15">
        <f ca="1">'212_VIP商店'!F19</f>
        <v>0</v>
      </c>
      <c r="W120" s="1">
        <f ca="1" t="shared" si="3"/>
        <v>23400000</v>
      </c>
      <c r="X120" s="1">
        <f ca="1" t="shared" si="4"/>
        <v>9325951.05</v>
      </c>
      <c r="Y120" s="30"/>
      <c r="Z120" s="30"/>
      <c r="AA120" s="1">
        <f ca="1" t="shared" si="5"/>
        <v>39260.16</v>
      </c>
      <c r="AB120" s="1">
        <f ca="1" t="shared" si="6"/>
        <v>16425.6</v>
      </c>
      <c r="AC120" s="30"/>
      <c r="AD120" s="30"/>
      <c r="AF120" s="44">
        <f ca="1" t="shared" si="7"/>
        <v>1541956.5</v>
      </c>
      <c r="AG120" s="44">
        <f ca="1" t="shared" si="8"/>
        <v>0</v>
      </c>
      <c r="AH120" s="44">
        <f t="shared" si="9"/>
        <v>1200000</v>
      </c>
      <c r="AI120" s="44">
        <f ca="1" t="shared" si="10"/>
        <v>1920000</v>
      </c>
      <c r="AJ120" s="44">
        <f ca="1" t="shared" si="11"/>
        <v>0</v>
      </c>
      <c r="AK120" s="44">
        <f ca="1" t="shared" si="12"/>
        <v>60000</v>
      </c>
      <c r="AL120" s="45">
        <f ca="1" t="shared" si="13"/>
        <v>2880</v>
      </c>
      <c r="AM120" s="45">
        <f t="shared" si="14"/>
        <v>2880</v>
      </c>
      <c r="AN120" s="45">
        <f ca="1" t="shared" si="15"/>
        <v>360</v>
      </c>
      <c r="AO120" s="45">
        <f ca="1" t="shared" si="16"/>
        <v>420</v>
      </c>
      <c r="AP120" s="45">
        <f ca="1" t="shared" si="17"/>
        <v>0</v>
      </c>
      <c r="AQ120" s="45">
        <f t="shared" si="18"/>
        <v>460.8</v>
      </c>
      <c r="AR120" s="45">
        <f ca="1" t="shared" si="19"/>
        <v>138.24</v>
      </c>
      <c r="AS120" s="45">
        <f ca="1" t="shared" si="20"/>
        <v>0</v>
      </c>
      <c r="AT120" s="45">
        <f ca="1" t="shared" si="21"/>
        <v>0</v>
      </c>
      <c r="AU120" s="44">
        <f ca="1" t="shared" si="22"/>
        <v>4721956.5</v>
      </c>
      <c r="AV120" s="45">
        <f ca="1" t="shared" si="23"/>
        <v>7139.04</v>
      </c>
    </row>
    <row r="121" spans="2:48">
      <c r="B121" s="9">
        <v>3</v>
      </c>
      <c r="C121" s="1">
        <f>IF(养成规划!C20="","",养成规划!C20)</f>
        <v>12</v>
      </c>
      <c r="D121" s="1">
        <f ca="1">'102_建筑'!H359</f>
        <v>18360000</v>
      </c>
      <c r="E121" s="1">
        <f ca="1" t="shared" si="0"/>
        <v>12240000</v>
      </c>
      <c r="F121" s="15">
        <f ca="1">'102_建筑'!K359</f>
        <v>20127.744</v>
      </c>
      <c r="G121" s="15">
        <f ca="1" t="shared" si="1"/>
        <v>30191.616</v>
      </c>
      <c r="H121" s="1">
        <f ca="1">'203_采集'!K20</f>
        <v>2771675.55</v>
      </c>
      <c r="I121" s="1">
        <f ca="1">'204_军官任务'!L20</f>
        <v>0</v>
      </c>
      <c r="J121" s="1">
        <f>'205_每日任务'!E20</f>
        <v>3600000</v>
      </c>
      <c r="K121" s="1">
        <f ca="1">'207_空投'!G20</f>
        <v>5184000</v>
      </c>
      <c r="L121" s="1">
        <f ca="1">'210_活动'!I20</f>
        <v>0</v>
      </c>
      <c r="M121" s="1">
        <f ca="1">'211_VIP宝箱'!F20</f>
        <v>135000</v>
      </c>
      <c r="N121" s="15">
        <f ca="1">'102_建筑'!E435</f>
        <v>7632</v>
      </c>
      <c r="O121" s="15">
        <f t="shared" si="2"/>
        <v>8640</v>
      </c>
      <c r="P121" s="15">
        <f ca="1">'201_打野'!F79</f>
        <v>1126.5</v>
      </c>
      <c r="Q121" s="15">
        <f ca="1">'202_黑鸦营地'!F69</f>
        <v>882</v>
      </c>
      <c r="R121" s="15">
        <f ca="1">'204_军官任务'!O20</f>
        <v>0</v>
      </c>
      <c r="S121" s="15">
        <f>'205_每日任务'!H20</f>
        <v>1382.4</v>
      </c>
      <c r="T121" s="15">
        <f ca="1">'208_黑市'!F20</f>
        <v>414.72</v>
      </c>
      <c r="U121" s="15">
        <f ca="1">'210_活动'!L20</f>
        <v>0</v>
      </c>
      <c r="V121" s="15">
        <f ca="1">'212_VIP商店'!F20</f>
        <v>0</v>
      </c>
      <c r="W121" s="1">
        <f ca="1" t="shared" si="3"/>
        <v>30600000</v>
      </c>
      <c r="X121" s="1">
        <f ca="1" t="shared" si="4"/>
        <v>11690675.55</v>
      </c>
      <c r="Y121" s="30"/>
      <c r="Z121" s="30"/>
      <c r="AA121" s="1">
        <f ca="1" t="shared" si="5"/>
        <v>50319.36</v>
      </c>
      <c r="AB121" s="1">
        <f ca="1" t="shared" si="6"/>
        <v>20077.62</v>
      </c>
      <c r="AC121" s="30"/>
      <c r="AD121" s="30"/>
      <c r="AF121" s="44">
        <f ca="1" t="shared" si="7"/>
        <v>1549449</v>
      </c>
      <c r="AG121" s="44">
        <f ca="1" t="shared" si="8"/>
        <v>0</v>
      </c>
      <c r="AH121" s="44">
        <f t="shared" si="9"/>
        <v>1200000</v>
      </c>
      <c r="AI121" s="44">
        <f ca="1" t="shared" si="10"/>
        <v>1920000</v>
      </c>
      <c r="AJ121" s="44">
        <f ca="1" t="shared" si="11"/>
        <v>0</v>
      </c>
      <c r="AK121" s="44">
        <f ca="1" t="shared" si="12"/>
        <v>60000</v>
      </c>
      <c r="AL121" s="45">
        <f ca="1" t="shared" si="13"/>
        <v>2880</v>
      </c>
      <c r="AM121" s="45">
        <f t="shared" si="14"/>
        <v>2880</v>
      </c>
      <c r="AN121" s="45">
        <f ca="1" t="shared" si="15"/>
        <v>525</v>
      </c>
      <c r="AO121" s="45">
        <f ca="1" t="shared" si="16"/>
        <v>420</v>
      </c>
      <c r="AP121" s="45">
        <f ca="1" t="shared" si="17"/>
        <v>0</v>
      </c>
      <c r="AQ121" s="45">
        <f t="shared" si="18"/>
        <v>460.8</v>
      </c>
      <c r="AR121" s="45">
        <f ca="1" t="shared" si="19"/>
        <v>138.24</v>
      </c>
      <c r="AS121" s="45">
        <f ca="1" t="shared" si="20"/>
        <v>0</v>
      </c>
      <c r="AT121" s="45">
        <f ca="1" t="shared" si="21"/>
        <v>0</v>
      </c>
      <c r="AU121" s="44">
        <f ca="1" t="shared" si="22"/>
        <v>4729449</v>
      </c>
      <c r="AV121" s="45">
        <f ca="1" t="shared" si="23"/>
        <v>7304.04</v>
      </c>
    </row>
    <row r="122" spans="2:48">
      <c r="B122" s="9">
        <v>3.5</v>
      </c>
      <c r="C122" s="1" t="str">
        <f>IF(养成规划!C21="","",养成规划!C21)</f>
        <v/>
      </c>
      <c r="D122" s="1">
        <f ca="1">'102_建筑'!H360</f>
        <v>21600000</v>
      </c>
      <c r="E122" s="1">
        <f ca="1" t="shared" si="0"/>
        <v>14400000</v>
      </c>
      <c r="F122" s="15">
        <f ca="1">'102_建筑'!K360</f>
        <v>22892.544</v>
      </c>
      <c r="G122" s="15">
        <f ca="1" t="shared" si="1"/>
        <v>34338.816</v>
      </c>
      <c r="H122" s="1">
        <f ca="1">'203_采集'!K21</f>
        <v>3809636.55</v>
      </c>
      <c r="I122" s="1">
        <f ca="1">'204_军官任务'!L21</f>
        <v>0</v>
      </c>
      <c r="J122" s="1">
        <f>'205_每日任务'!E21</f>
        <v>4200000</v>
      </c>
      <c r="K122" s="1">
        <f ca="1">'207_空投'!G21</f>
        <v>6144000</v>
      </c>
      <c r="L122" s="1">
        <f ca="1">'210_活动'!I21</f>
        <v>0</v>
      </c>
      <c r="M122" s="1">
        <f ca="1">'211_VIP宝箱'!F21</f>
        <v>165000</v>
      </c>
      <c r="N122" s="15">
        <f ca="1">'102_建筑'!E436</f>
        <v>9072</v>
      </c>
      <c r="O122" s="15">
        <f t="shared" si="2"/>
        <v>10080</v>
      </c>
      <c r="P122" s="15">
        <f ca="1">'201_打野'!F80</f>
        <v>1389</v>
      </c>
      <c r="Q122" s="15">
        <f ca="1">'202_黑鸦营地'!F70</f>
        <v>1092</v>
      </c>
      <c r="R122" s="15">
        <f ca="1">'204_军官任务'!O21</f>
        <v>0</v>
      </c>
      <c r="S122" s="15">
        <f>'205_每日任务'!H21</f>
        <v>1612.8</v>
      </c>
      <c r="T122" s="15">
        <f ca="1">'208_黑市'!F21</f>
        <v>483.84</v>
      </c>
      <c r="U122" s="15">
        <f ca="1">'210_活动'!L21</f>
        <v>0</v>
      </c>
      <c r="V122" s="15">
        <f ca="1">'212_VIP商店'!F21</f>
        <v>0</v>
      </c>
      <c r="W122" s="1">
        <f ca="1" t="shared" si="3"/>
        <v>36000000</v>
      </c>
      <c r="X122" s="1">
        <f ca="1" t="shared" si="4"/>
        <v>14318636.55</v>
      </c>
      <c r="Y122" s="30"/>
      <c r="Z122" s="30"/>
      <c r="AA122" s="1">
        <f ca="1" t="shared" si="5"/>
        <v>57231.36</v>
      </c>
      <c r="AB122" s="1">
        <f ca="1" t="shared" si="6"/>
        <v>23729.64</v>
      </c>
      <c r="AC122" s="30"/>
      <c r="AD122" s="30"/>
      <c r="AF122" s="44">
        <f ca="1" t="shared" si="7"/>
        <v>2075922</v>
      </c>
      <c r="AG122" s="44">
        <f ca="1" t="shared" si="8"/>
        <v>0</v>
      </c>
      <c r="AH122" s="44">
        <f t="shared" si="9"/>
        <v>1200000</v>
      </c>
      <c r="AI122" s="44">
        <f ca="1" t="shared" si="10"/>
        <v>1920000</v>
      </c>
      <c r="AJ122" s="44">
        <f ca="1" t="shared" si="11"/>
        <v>0</v>
      </c>
      <c r="AK122" s="44">
        <f ca="1" t="shared" si="12"/>
        <v>60000</v>
      </c>
      <c r="AL122" s="45">
        <f ca="1" t="shared" si="13"/>
        <v>2880</v>
      </c>
      <c r="AM122" s="45">
        <f t="shared" si="14"/>
        <v>2880</v>
      </c>
      <c r="AN122" s="45">
        <f ca="1" t="shared" si="15"/>
        <v>525</v>
      </c>
      <c r="AO122" s="45">
        <f ca="1" t="shared" si="16"/>
        <v>420</v>
      </c>
      <c r="AP122" s="45">
        <f ca="1" t="shared" si="17"/>
        <v>0</v>
      </c>
      <c r="AQ122" s="45">
        <f t="shared" si="18"/>
        <v>460.8</v>
      </c>
      <c r="AR122" s="45">
        <f ca="1" t="shared" si="19"/>
        <v>138.24</v>
      </c>
      <c r="AS122" s="45">
        <f ca="1" t="shared" si="20"/>
        <v>0</v>
      </c>
      <c r="AT122" s="45">
        <f ca="1" t="shared" si="21"/>
        <v>0</v>
      </c>
      <c r="AU122" s="44">
        <f ca="1" t="shared" si="22"/>
        <v>5255922</v>
      </c>
      <c r="AV122" s="45">
        <f ca="1" t="shared" si="23"/>
        <v>7304.04</v>
      </c>
    </row>
    <row r="123" spans="2:48">
      <c r="B123" s="9">
        <v>4</v>
      </c>
      <c r="C123" s="1">
        <f>IF(养成规划!C22="","",养成规划!C22)</f>
        <v>13</v>
      </c>
      <c r="D123" s="1">
        <f ca="1">'102_建筑'!H361</f>
        <v>24840000</v>
      </c>
      <c r="E123" s="1">
        <f ca="1" t="shared" si="0"/>
        <v>16560000</v>
      </c>
      <c r="F123" s="15">
        <f ca="1">'102_建筑'!K361</f>
        <v>25657.344</v>
      </c>
      <c r="G123" s="15">
        <f ca="1" t="shared" si="1"/>
        <v>38486.016</v>
      </c>
      <c r="H123" s="1">
        <f ca="1">'203_采集'!K22</f>
        <v>5374070.55</v>
      </c>
      <c r="I123" s="1">
        <f ca="1">'204_军官任务'!L22</f>
        <v>0</v>
      </c>
      <c r="J123" s="1">
        <f>'205_每日任务'!E22</f>
        <v>4800000</v>
      </c>
      <c r="K123" s="1">
        <f ca="1">'207_空投'!G22</f>
        <v>7584000</v>
      </c>
      <c r="L123" s="1">
        <f ca="1">'210_活动'!I22</f>
        <v>0</v>
      </c>
      <c r="M123" s="1">
        <f ca="1">'211_VIP宝箱'!F22</f>
        <v>210000</v>
      </c>
      <c r="N123" s="15">
        <f ca="1">'102_建筑'!E437</f>
        <v>10512</v>
      </c>
      <c r="O123" s="15">
        <f t="shared" si="2"/>
        <v>11520</v>
      </c>
      <c r="P123" s="15">
        <f ca="1">'201_打野'!F81</f>
        <v>1659</v>
      </c>
      <c r="Q123" s="15">
        <f ca="1">'202_黑鸦营地'!F71</f>
        <v>1302</v>
      </c>
      <c r="R123" s="15">
        <f ca="1">'204_军官任务'!O22</f>
        <v>0</v>
      </c>
      <c r="S123" s="15">
        <f>'205_每日任务'!H22</f>
        <v>1843.2</v>
      </c>
      <c r="T123" s="15">
        <f ca="1">'208_黑市'!F22</f>
        <v>552.96</v>
      </c>
      <c r="U123" s="15">
        <f ca="1">'210_活动'!L22</f>
        <v>0</v>
      </c>
      <c r="V123" s="15">
        <f ca="1">'212_VIP商店'!F22</f>
        <v>0</v>
      </c>
      <c r="W123" s="1">
        <f ca="1" t="shared" si="3"/>
        <v>41400000</v>
      </c>
      <c r="X123" s="1">
        <f ca="1" t="shared" si="4"/>
        <v>17968070.55</v>
      </c>
      <c r="Y123" s="30"/>
      <c r="Z123" s="30"/>
      <c r="AA123" s="1">
        <f ca="1" t="shared" si="5"/>
        <v>64143.36</v>
      </c>
      <c r="AB123" s="1">
        <f ca="1" t="shared" si="6"/>
        <v>27389.16</v>
      </c>
      <c r="AC123" s="30"/>
      <c r="AD123" s="30"/>
      <c r="AF123" s="44">
        <f ca="1" t="shared" si="7"/>
        <v>3128868</v>
      </c>
      <c r="AG123" s="44">
        <f ca="1" t="shared" si="8"/>
        <v>0</v>
      </c>
      <c r="AH123" s="44">
        <f t="shared" si="9"/>
        <v>1200000</v>
      </c>
      <c r="AI123" s="44">
        <f ca="1" t="shared" si="10"/>
        <v>2880000</v>
      </c>
      <c r="AJ123" s="44">
        <f ca="1" t="shared" si="11"/>
        <v>0</v>
      </c>
      <c r="AK123" s="44">
        <f ca="1" t="shared" si="12"/>
        <v>90000</v>
      </c>
      <c r="AL123" s="45">
        <f ca="1" t="shared" si="13"/>
        <v>2880</v>
      </c>
      <c r="AM123" s="45">
        <f t="shared" si="14"/>
        <v>2880</v>
      </c>
      <c r="AN123" s="45">
        <f ca="1" t="shared" si="15"/>
        <v>540</v>
      </c>
      <c r="AO123" s="45">
        <f ca="1" t="shared" si="16"/>
        <v>420</v>
      </c>
      <c r="AP123" s="45">
        <f ca="1" t="shared" si="17"/>
        <v>0</v>
      </c>
      <c r="AQ123" s="45">
        <f t="shared" si="18"/>
        <v>460.8</v>
      </c>
      <c r="AR123" s="45">
        <f ca="1" t="shared" si="19"/>
        <v>138.24</v>
      </c>
      <c r="AS123" s="45">
        <f ca="1" t="shared" si="20"/>
        <v>0</v>
      </c>
      <c r="AT123" s="45">
        <f ca="1" t="shared" si="21"/>
        <v>0</v>
      </c>
      <c r="AU123" s="44">
        <f ca="1" t="shared" si="22"/>
        <v>7298868</v>
      </c>
      <c r="AV123" s="45">
        <f ca="1" t="shared" si="23"/>
        <v>7319.04</v>
      </c>
    </row>
    <row r="124" spans="2:48">
      <c r="B124" s="9">
        <v>4.5</v>
      </c>
      <c r="C124" s="1" t="str">
        <f>IF(养成规划!C23="","",养成规划!C23)</f>
        <v/>
      </c>
      <c r="D124" s="1">
        <f ca="1">'102_建筑'!H362</f>
        <v>31320000</v>
      </c>
      <c r="E124" s="1">
        <f ca="1" t="shared" si="0"/>
        <v>20880000</v>
      </c>
      <c r="F124" s="15">
        <f ca="1">'102_建筑'!K362</f>
        <v>29804.544</v>
      </c>
      <c r="G124" s="15">
        <f ca="1" t="shared" si="1"/>
        <v>44706.816</v>
      </c>
      <c r="H124" s="1">
        <f ca="1">'203_采集'!K23</f>
        <v>7338978.675</v>
      </c>
      <c r="I124" s="1">
        <f ca="1">'204_军官任务'!L23</f>
        <v>0</v>
      </c>
      <c r="J124" s="1">
        <f>'205_每日任务'!E23</f>
        <v>5400000</v>
      </c>
      <c r="K124" s="1">
        <f ca="1">'207_空投'!G23</f>
        <v>9024000</v>
      </c>
      <c r="L124" s="1">
        <f ca="1">'210_活动'!I23</f>
        <v>0</v>
      </c>
      <c r="M124" s="1">
        <f ca="1">'211_VIP宝箱'!F23</f>
        <v>255000</v>
      </c>
      <c r="N124" s="15">
        <f ca="1">'102_建筑'!E438</f>
        <v>11952</v>
      </c>
      <c r="O124" s="15">
        <f t="shared" si="2"/>
        <v>12960</v>
      </c>
      <c r="P124" s="15">
        <f ca="1">'201_打野'!F82</f>
        <v>1929</v>
      </c>
      <c r="Q124" s="15">
        <f ca="1">'202_黑鸦营地'!F72</f>
        <v>1512</v>
      </c>
      <c r="R124" s="15">
        <f ca="1">'204_军官任务'!O23</f>
        <v>0</v>
      </c>
      <c r="S124" s="15">
        <f>'205_每日任务'!H23</f>
        <v>2073.6</v>
      </c>
      <c r="T124" s="15">
        <f ca="1">'208_黑市'!F23</f>
        <v>622.08</v>
      </c>
      <c r="U124" s="15">
        <f ca="1">'210_活动'!L23</f>
        <v>0</v>
      </c>
      <c r="V124" s="15">
        <f ca="1">'212_VIP商店'!F23</f>
        <v>0</v>
      </c>
      <c r="W124" s="1">
        <f ca="1" t="shared" si="3"/>
        <v>52200000</v>
      </c>
      <c r="X124" s="1">
        <f ca="1" t="shared" si="4"/>
        <v>22017978.675</v>
      </c>
      <c r="Y124" s="30"/>
      <c r="Z124" s="30"/>
      <c r="AA124" s="1">
        <f ca="1" t="shared" si="5"/>
        <v>74511.36</v>
      </c>
      <c r="AB124" s="1">
        <f ca="1" t="shared" si="6"/>
        <v>31048.68</v>
      </c>
      <c r="AC124" s="30"/>
      <c r="AD124" s="30"/>
      <c r="AF124" s="44">
        <f ca="1" t="shared" si="7"/>
        <v>3929816.25</v>
      </c>
      <c r="AG124" s="44">
        <f ca="1" t="shared" si="8"/>
        <v>0</v>
      </c>
      <c r="AH124" s="44">
        <f t="shared" si="9"/>
        <v>1200000</v>
      </c>
      <c r="AI124" s="44">
        <f ca="1" t="shared" si="10"/>
        <v>2880000</v>
      </c>
      <c r="AJ124" s="44">
        <f ca="1" t="shared" si="11"/>
        <v>0</v>
      </c>
      <c r="AK124" s="44">
        <f ca="1" t="shared" si="12"/>
        <v>90000</v>
      </c>
      <c r="AL124" s="45">
        <f ca="1" t="shared" si="13"/>
        <v>2880</v>
      </c>
      <c r="AM124" s="45">
        <f t="shared" si="14"/>
        <v>2880</v>
      </c>
      <c r="AN124" s="45">
        <f ca="1" t="shared" si="15"/>
        <v>540</v>
      </c>
      <c r="AO124" s="45">
        <f ca="1" t="shared" si="16"/>
        <v>420</v>
      </c>
      <c r="AP124" s="45">
        <f ca="1" t="shared" si="17"/>
        <v>0</v>
      </c>
      <c r="AQ124" s="45">
        <f t="shared" si="18"/>
        <v>460.8</v>
      </c>
      <c r="AR124" s="45">
        <f ca="1" t="shared" si="19"/>
        <v>138.24</v>
      </c>
      <c r="AS124" s="45">
        <f ca="1" t="shared" si="20"/>
        <v>0</v>
      </c>
      <c r="AT124" s="45">
        <f ca="1" t="shared" si="21"/>
        <v>0</v>
      </c>
      <c r="AU124" s="44">
        <f ca="1" t="shared" si="22"/>
        <v>8099816.25</v>
      </c>
      <c r="AV124" s="45">
        <f ca="1" t="shared" si="23"/>
        <v>7319.04</v>
      </c>
    </row>
    <row r="125" spans="2:48">
      <c r="B125" s="9">
        <v>5</v>
      </c>
      <c r="C125" s="1">
        <f>IF(养成规划!C24="","",养成规划!C24)</f>
        <v>14</v>
      </c>
      <c r="D125" s="1">
        <f ca="1">'102_建筑'!H363</f>
        <v>37800000</v>
      </c>
      <c r="E125" s="1">
        <f ca="1" t="shared" si="0"/>
        <v>25200000</v>
      </c>
      <c r="F125" s="15">
        <f ca="1">'102_建筑'!K363</f>
        <v>33951.744</v>
      </c>
      <c r="G125" s="15">
        <f ca="1" t="shared" si="1"/>
        <v>50927.616</v>
      </c>
      <c r="H125" s="1">
        <f ca="1">'203_采集'!K24</f>
        <v>9313252.425</v>
      </c>
      <c r="I125" s="1">
        <f ca="1">'204_军官任务'!L24</f>
        <v>0</v>
      </c>
      <c r="J125" s="1">
        <f>'205_每日任务'!E24</f>
        <v>6000000</v>
      </c>
      <c r="K125" s="1">
        <f ca="1">'207_空投'!G24</f>
        <v>10464000</v>
      </c>
      <c r="L125" s="1">
        <f ca="1">'210_活动'!I24</f>
        <v>0</v>
      </c>
      <c r="M125" s="1">
        <f ca="1">'211_VIP宝箱'!F24</f>
        <v>300000</v>
      </c>
      <c r="N125" s="15">
        <f ca="1">'102_建筑'!E439</f>
        <v>13392</v>
      </c>
      <c r="O125" s="15">
        <f t="shared" si="2"/>
        <v>14400</v>
      </c>
      <c r="P125" s="15">
        <f ca="1">'201_打野'!F83</f>
        <v>2206.5</v>
      </c>
      <c r="Q125" s="15">
        <f ca="1">'202_黑鸦营地'!F73</f>
        <v>1722</v>
      </c>
      <c r="R125" s="15">
        <f ca="1">'204_军官任务'!O24</f>
        <v>0</v>
      </c>
      <c r="S125" s="15">
        <f>'205_每日任务'!H24</f>
        <v>2304</v>
      </c>
      <c r="T125" s="15">
        <f ca="1">'208_黑市'!F24</f>
        <v>691.2</v>
      </c>
      <c r="U125" s="15">
        <f ca="1">'210_活动'!L24</f>
        <v>0</v>
      </c>
      <c r="V125" s="15">
        <f ca="1">'212_VIP商店'!F24</f>
        <v>0</v>
      </c>
      <c r="W125" s="1">
        <f ca="1" t="shared" si="3"/>
        <v>63000000</v>
      </c>
      <c r="X125" s="1">
        <f ca="1" t="shared" si="4"/>
        <v>26077252.425</v>
      </c>
      <c r="Y125" s="30"/>
      <c r="Z125" s="30"/>
      <c r="AA125" s="1">
        <f ca="1" t="shared" si="5"/>
        <v>84879.36</v>
      </c>
      <c r="AB125" s="1">
        <f ca="1" t="shared" si="6"/>
        <v>34715.7</v>
      </c>
      <c r="AC125" s="30"/>
      <c r="AD125" s="30"/>
      <c r="AF125" s="44">
        <f ca="1" t="shared" si="7"/>
        <v>3948547.5</v>
      </c>
      <c r="AG125" s="44">
        <f ca="1" t="shared" si="8"/>
        <v>0</v>
      </c>
      <c r="AH125" s="44">
        <f t="shared" si="9"/>
        <v>1200000</v>
      </c>
      <c r="AI125" s="44">
        <f ca="1" t="shared" si="10"/>
        <v>2880000</v>
      </c>
      <c r="AJ125" s="44">
        <f ca="1" t="shared" si="11"/>
        <v>0</v>
      </c>
      <c r="AK125" s="44">
        <f ca="1" t="shared" si="12"/>
        <v>90000</v>
      </c>
      <c r="AL125" s="45">
        <f ca="1" t="shared" si="13"/>
        <v>2880</v>
      </c>
      <c r="AM125" s="45">
        <f t="shared" si="14"/>
        <v>2880</v>
      </c>
      <c r="AN125" s="45">
        <f ca="1" t="shared" si="15"/>
        <v>555</v>
      </c>
      <c r="AO125" s="45">
        <f ca="1" t="shared" si="16"/>
        <v>420</v>
      </c>
      <c r="AP125" s="45">
        <f ca="1" t="shared" si="17"/>
        <v>0</v>
      </c>
      <c r="AQ125" s="45">
        <f t="shared" si="18"/>
        <v>460.8</v>
      </c>
      <c r="AR125" s="45">
        <f ca="1" t="shared" si="19"/>
        <v>138.24</v>
      </c>
      <c r="AS125" s="45">
        <f ca="1" t="shared" si="20"/>
        <v>0</v>
      </c>
      <c r="AT125" s="45">
        <f ca="1" t="shared" si="21"/>
        <v>0</v>
      </c>
      <c r="AU125" s="44">
        <f ca="1" t="shared" si="22"/>
        <v>8118547.5</v>
      </c>
      <c r="AV125" s="45">
        <f ca="1" t="shared" si="23"/>
        <v>7334.04</v>
      </c>
    </row>
    <row r="126" spans="2:48">
      <c r="B126" s="9">
        <v>5.5</v>
      </c>
      <c r="C126" s="1" t="str">
        <f>IF(养成规划!C25="","",养成规划!C25)</f>
        <v/>
      </c>
      <c r="D126" s="1">
        <f ca="1">'102_建筑'!H364</f>
        <v>43200000</v>
      </c>
      <c r="E126" s="1">
        <f ca="1" t="shared" si="0"/>
        <v>28800000</v>
      </c>
      <c r="F126" s="15">
        <f ca="1">'102_建筑'!K364</f>
        <v>36716.544</v>
      </c>
      <c r="G126" s="15">
        <f ca="1" t="shared" si="1"/>
        <v>55074.816</v>
      </c>
      <c r="H126" s="1">
        <f ca="1">'203_采集'!K25</f>
        <v>11693619.675</v>
      </c>
      <c r="I126" s="1">
        <f ca="1">'204_军官任务'!L25</f>
        <v>0</v>
      </c>
      <c r="J126" s="1">
        <f>'205_每日任务'!E25</f>
        <v>6600000</v>
      </c>
      <c r="K126" s="1">
        <f ca="1">'207_空投'!G25</f>
        <v>11904000</v>
      </c>
      <c r="L126" s="1">
        <f ca="1">'210_活动'!I25</f>
        <v>0</v>
      </c>
      <c r="M126" s="1">
        <f ca="1">'211_VIP宝箱'!F25</f>
        <v>345000</v>
      </c>
      <c r="N126" s="15">
        <f ca="1">'102_建筑'!E440</f>
        <v>14832</v>
      </c>
      <c r="O126" s="15">
        <f t="shared" si="2"/>
        <v>15840</v>
      </c>
      <c r="P126" s="15">
        <f ca="1">'201_打野'!F84</f>
        <v>2484</v>
      </c>
      <c r="Q126" s="15">
        <f ca="1">'202_黑鸦营地'!F74</f>
        <v>1932</v>
      </c>
      <c r="R126" s="15">
        <f ca="1">'204_军官任务'!O25</f>
        <v>0</v>
      </c>
      <c r="S126" s="15">
        <f>'205_每日任务'!H25</f>
        <v>2534.4</v>
      </c>
      <c r="T126" s="15">
        <f ca="1">'208_黑市'!F25</f>
        <v>760.32</v>
      </c>
      <c r="U126" s="15">
        <f ca="1">'210_活动'!L25</f>
        <v>0</v>
      </c>
      <c r="V126" s="15">
        <f ca="1">'212_VIP商店'!F25</f>
        <v>0</v>
      </c>
      <c r="W126" s="1">
        <f ca="1" t="shared" si="3"/>
        <v>72000000</v>
      </c>
      <c r="X126" s="1">
        <f ca="1" t="shared" si="4"/>
        <v>30542619.675</v>
      </c>
      <c r="Y126" s="30"/>
      <c r="Z126" s="30"/>
      <c r="AA126" s="1">
        <f ca="1" t="shared" si="5"/>
        <v>91791.36</v>
      </c>
      <c r="AB126" s="1">
        <f ca="1" t="shared" si="6"/>
        <v>38382.72</v>
      </c>
      <c r="AC126" s="30"/>
      <c r="AD126" s="30"/>
      <c r="AF126" s="44">
        <f ca="1" t="shared" si="7"/>
        <v>4760734.5</v>
      </c>
      <c r="AG126" s="44">
        <f ca="1" t="shared" si="8"/>
        <v>0</v>
      </c>
      <c r="AH126" s="44">
        <f t="shared" si="9"/>
        <v>1200000</v>
      </c>
      <c r="AI126" s="44">
        <f ca="1" t="shared" si="10"/>
        <v>2880000</v>
      </c>
      <c r="AJ126" s="44">
        <f ca="1" t="shared" si="11"/>
        <v>0</v>
      </c>
      <c r="AK126" s="44">
        <f ca="1" t="shared" si="12"/>
        <v>90000</v>
      </c>
      <c r="AL126" s="45">
        <f ca="1" t="shared" si="13"/>
        <v>2880</v>
      </c>
      <c r="AM126" s="45">
        <f t="shared" si="14"/>
        <v>2880</v>
      </c>
      <c r="AN126" s="45">
        <f ca="1" t="shared" si="15"/>
        <v>555</v>
      </c>
      <c r="AO126" s="45">
        <f ca="1" t="shared" si="16"/>
        <v>420</v>
      </c>
      <c r="AP126" s="45">
        <f ca="1" t="shared" si="17"/>
        <v>0</v>
      </c>
      <c r="AQ126" s="45">
        <f t="shared" si="18"/>
        <v>460.8</v>
      </c>
      <c r="AR126" s="45">
        <f ca="1" t="shared" si="19"/>
        <v>138.24</v>
      </c>
      <c r="AS126" s="45">
        <f ca="1" t="shared" si="20"/>
        <v>0</v>
      </c>
      <c r="AT126" s="45">
        <f ca="1" t="shared" si="21"/>
        <v>0</v>
      </c>
      <c r="AU126" s="44">
        <f ca="1" t="shared" si="22"/>
        <v>8930734.5</v>
      </c>
      <c r="AV126" s="45">
        <f ca="1" t="shared" si="23"/>
        <v>7334.04</v>
      </c>
    </row>
    <row r="127" spans="2:48">
      <c r="B127" s="9">
        <v>6</v>
      </c>
      <c r="C127" s="1" t="str">
        <f>IF(养成规划!C26="","",养成规划!C26)</f>
        <v/>
      </c>
      <c r="D127" s="1">
        <f ca="1">'102_建筑'!H365</f>
        <v>48600000</v>
      </c>
      <c r="E127" s="1">
        <f ca="1" t="shared" si="0"/>
        <v>32400000</v>
      </c>
      <c r="F127" s="15">
        <f ca="1">'102_建筑'!K365</f>
        <v>39481.344</v>
      </c>
      <c r="G127" s="15">
        <f ca="1" t="shared" si="1"/>
        <v>59222.016</v>
      </c>
      <c r="H127" s="1">
        <f ca="1">'203_采集'!K26</f>
        <v>14085225.675</v>
      </c>
      <c r="I127" s="1">
        <f ca="1">'204_军官任务'!L26</f>
        <v>0</v>
      </c>
      <c r="J127" s="1">
        <f>'205_每日任务'!E26</f>
        <v>7200000</v>
      </c>
      <c r="K127" s="1">
        <f ca="1">'207_空投'!G26</f>
        <v>13344000</v>
      </c>
      <c r="L127" s="1">
        <f ca="1">'210_活动'!I26</f>
        <v>0</v>
      </c>
      <c r="M127" s="1">
        <f ca="1">'211_VIP宝箱'!F26</f>
        <v>405000</v>
      </c>
      <c r="N127" s="15">
        <f ca="1">'102_建筑'!E441</f>
        <v>16272</v>
      </c>
      <c r="O127" s="15">
        <f t="shared" si="2"/>
        <v>17280</v>
      </c>
      <c r="P127" s="15">
        <f ca="1">'201_打野'!F85</f>
        <v>2769</v>
      </c>
      <c r="Q127" s="15">
        <f ca="1">'202_黑鸦营地'!F75</f>
        <v>2187</v>
      </c>
      <c r="R127" s="15">
        <f ca="1">'204_军官任务'!O26</f>
        <v>0</v>
      </c>
      <c r="S127" s="15">
        <f>'205_每日任务'!H26</f>
        <v>2764.8</v>
      </c>
      <c r="T127" s="15">
        <f ca="1">'208_黑市'!F26</f>
        <v>829.44</v>
      </c>
      <c r="U127" s="15">
        <f ca="1">'210_活动'!L26</f>
        <v>0</v>
      </c>
      <c r="V127" s="15">
        <f ca="1">'212_VIP商店'!F26</f>
        <v>32.1428571428572</v>
      </c>
      <c r="W127" s="1">
        <f ca="1" t="shared" si="3"/>
        <v>81000000</v>
      </c>
      <c r="X127" s="1">
        <f ca="1" t="shared" si="4"/>
        <v>35034225.675</v>
      </c>
      <c r="Y127" s="30"/>
      <c r="Z127" s="30"/>
      <c r="AA127" s="1">
        <f ca="1" t="shared" si="5"/>
        <v>98703.36</v>
      </c>
      <c r="AB127" s="1">
        <f ca="1" t="shared" si="6"/>
        <v>42134.3828571429</v>
      </c>
      <c r="AC127" s="30"/>
      <c r="AD127" s="30"/>
      <c r="AF127" s="44">
        <f ca="1" t="shared" si="7"/>
        <v>4783212</v>
      </c>
      <c r="AG127" s="44">
        <f ca="1" t="shared" si="8"/>
        <v>0</v>
      </c>
      <c r="AH127" s="44">
        <f t="shared" si="9"/>
        <v>1200000</v>
      </c>
      <c r="AI127" s="44">
        <f ca="1" t="shared" si="10"/>
        <v>2880000</v>
      </c>
      <c r="AJ127" s="44">
        <f ca="1" t="shared" si="11"/>
        <v>0</v>
      </c>
      <c r="AK127" s="44">
        <f ca="1" t="shared" si="12"/>
        <v>120000</v>
      </c>
      <c r="AL127" s="45">
        <f ca="1" t="shared" si="13"/>
        <v>2880</v>
      </c>
      <c r="AM127" s="45">
        <f t="shared" si="14"/>
        <v>2880</v>
      </c>
      <c r="AN127" s="45">
        <f ca="1" t="shared" si="15"/>
        <v>570</v>
      </c>
      <c r="AO127" s="45">
        <f ca="1" t="shared" si="16"/>
        <v>510</v>
      </c>
      <c r="AP127" s="45">
        <f ca="1" t="shared" si="17"/>
        <v>0</v>
      </c>
      <c r="AQ127" s="45">
        <f t="shared" si="18"/>
        <v>460.8</v>
      </c>
      <c r="AR127" s="45">
        <f ca="1" t="shared" si="19"/>
        <v>138.24</v>
      </c>
      <c r="AS127" s="45">
        <f ca="1" t="shared" si="20"/>
        <v>0</v>
      </c>
      <c r="AT127" s="45">
        <f ca="1" t="shared" si="21"/>
        <v>64.2857142857143</v>
      </c>
      <c r="AU127" s="44">
        <f ca="1" t="shared" si="22"/>
        <v>8983212</v>
      </c>
      <c r="AV127" s="45">
        <f ca="1" t="shared" si="23"/>
        <v>7503.32571428571</v>
      </c>
    </row>
    <row r="128" spans="2:48">
      <c r="B128" s="9">
        <v>6.5</v>
      </c>
      <c r="C128" s="1" t="str">
        <f>IF(养成规划!C27="","",养成规划!C27)</f>
        <v/>
      </c>
      <c r="D128" s="1">
        <f ca="1">'102_建筑'!H366</f>
        <v>54000000</v>
      </c>
      <c r="E128" s="1">
        <f ca="1" t="shared" si="0"/>
        <v>36000000</v>
      </c>
      <c r="F128" s="15">
        <f ca="1">'102_建筑'!K366</f>
        <v>42246.144</v>
      </c>
      <c r="G128" s="15">
        <f ca="1" t="shared" si="1"/>
        <v>63369.216</v>
      </c>
      <c r="H128" s="1">
        <f ca="1">'203_采集'!K27</f>
        <v>16954103.925</v>
      </c>
      <c r="I128" s="1">
        <f ca="1">'204_军官任务'!L27</f>
        <v>0</v>
      </c>
      <c r="J128" s="1">
        <f>'205_每日任务'!E27</f>
        <v>7800000</v>
      </c>
      <c r="K128" s="1">
        <f ca="1">'207_空投'!G27</f>
        <v>14784000</v>
      </c>
      <c r="L128" s="1">
        <f ca="1">'210_活动'!I27</f>
        <v>0</v>
      </c>
      <c r="M128" s="1">
        <f ca="1">'211_VIP宝箱'!F27</f>
        <v>465000</v>
      </c>
      <c r="N128" s="15">
        <f ca="1">'102_建筑'!E442</f>
        <v>17712</v>
      </c>
      <c r="O128" s="15">
        <f t="shared" si="2"/>
        <v>18720</v>
      </c>
      <c r="P128" s="15">
        <f ca="1">'201_打野'!F86</f>
        <v>3054</v>
      </c>
      <c r="Q128" s="15">
        <f ca="1">'202_黑鸦营地'!F76</f>
        <v>2442</v>
      </c>
      <c r="R128" s="15">
        <f ca="1">'204_军官任务'!O27</f>
        <v>0</v>
      </c>
      <c r="S128" s="15">
        <f>'205_每日任务'!H27</f>
        <v>2995.2</v>
      </c>
      <c r="T128" s="15">
        <f ca="1">'208_黑市'!F27</f>
        <v>898.56</v>
      </c>
      <c r="U128" s="15">
        <f ca="1">'210_活动'!L27</f>
        <v>0</v>
      </c>
      <c r="V128" s="15">
        <f ca="1">'212_VIP商店'!F27</f>
        <v>64.2857142857143</v>
      </c>
      <c r="W128" s="1">
        <f ca="1" t="shared" si="3"/>
        <v>90000000</v>
      </c>
      <c r="X128" s="1">
        <f ca="1" t="shared" si="4"/>
        <v>40003103.925</v>
      </c>
      <c r="Y128" s="30"/>
      <c r="Z128" s="30"/>
      <c r="AA128" s="1">
        <f ca="1" t="shared" si="5"/>
        <v>105615.36</v>
      </c>
      <c r="AB128" s="1">
        <f ca="1" t="shared" si="6"/>
        <v>45886.0457142857</v>
      </c>
      <c r="AC128" s="30"/>
      <c r="AD128" s="30"/>
      <c r="AF128" s="44">
        <f ca="1" t="shared" si="7"/>
        <v>5737756.5</v>
      </c>
      <c r="AG128" s="44">
        <f ca="1" t="shared" si="8"/>
        <v>0</v>
      </c>
      <c r="AH128" s="44">
        <f t="shared" si="9"/>
        <v>1200000</v>
      </c>
      <c r="AI128" s="44">
        <f ca="1" t="shared" si="10"/>
        <v>2880000</v>
      </c>
      <c r="AJ128" s="44">
        <f ca="1" t="shared" si="11"/>
        <v>0</v>
      </c>
      <c r="AK128" s="44">
        <f ca="1" t="shared" si="12"/>
        <v>120000</v>
      </c>
      <c r="AL128" s="45">
        <f ca="1" t="shared" si="13"/>
        <v>2880</v>
      </c>
      <c r="AM128" s="45">
        <f t="shared" si="14"/>
        <v>2880</v>
      </c>
      <c r="AN128" s="45">
        <f ca="1" t="shared" si="15"/>
        <v>570</v>
      </c>
      <c r="AO128" s="45">
        <f ca="1" t="shared" si="16"/>
        <v>510</v>
      </c>
      <c r="AP128" s="45">
        <f ca="1" t="shared" si="17"/>
        <v>0</v>
      </c>
      <c r="AQ128" s="45">
        <f t="shared" si="18"/>
        <v>460.8</v>
      </c>
      <c r="AR128" s="45">
        <f ca="1" t="shared" si="19"/>
        <v>138.24</v>
      </c>
      <c r="AS128" s="45">
        <f ca="1" t="shared" si="20"/>
        <v>0</v>
      </c>
      <c r="AT128" s="45">
        <f ca="1" t="shared" si="21"/>
        <v>64.2857142857143</v>
      </c>
      <c r="AU128" s="44">
        <f ca="1" t="shared" si="22"/>
        <v>9937756.5</v>
      </c>
      <c r="AV128" s="45">
        <f ca="1" t="shared" si="23"/>
        <v>7503.32571428571</v>
      </c>
    </row>
    <row r="129" spans="2:48">
      <c r="B129" s="9">
        <v>7</v>
      </c>
      <c r="C129" s="1">
        <f>IF(养成规划!C28="","",养成规划!C28)</f>
        <v>15</v>
      </c>
      <c r="D129" s="1">
        <f ca="1">'102_建筑'!H367</f>
        <v>59400000</v>
      </c>
      <c r="E129" s="1">
        <f ca="1" t="shared" si="0"/>
        <v>39600000</v>
      </c>
      <c r="F129" s="15">
        <f ca="1">'102_建筑'!K367</f>
        <v>45010.944</v>
      </c>
      <c r="G129" s="15">
        <f ca="1" t="shared" si="1"/>
        <v>67516.416</v>
      </c>
      <c r="H129" s="1">
        <f ca="1">'203_采集'!K28</f>
        <v>19901653.425</v>
      </c>
      <c r="I129" s="1">
        <f ca="1">'204_军官任务'!L28</f>
        <v>216000</v>
      </c>
      <c r="J129" s="1">
        <f>'205_每日任务'!E28</f>
        <v>8400000</v>
      </c>
      <c r="K129" s="1">
        <f ca="1">'207_空投'!G28</f>
        <v>16224000</v>
      </c>
      <c r="L129" s="1">
        <f ca="1">'210_活动'!I28</f>
        <v>0</v>
      </c>
      <c r="M129" s="1">
        <f ca="1">'211_VIP宝箱'!F28</f>
        <v>525000</v>
      </c>
      <c r="N129" s="15">
        <f ca="1">'102_建筑'!E443</f>
        <v>19872</v>
      </c>
      <c r="O129" s="15">
        <f t="shared" si="2"/>
        <v>20160</v>
      </c>
      <c r="P129" s="15">
        <f ca="1">'201_打野'!F87</f>
        <v>3346.5</v>
      </c>
      <c r="Q129" s="15">
        <f ca="1">'202_黑鸦营地'!F77</f>
        <v>2697</v>
      </c>
      <c r="R129" s="15">
        <f ca="1">'204_军官任务'!O28</f>
        <v>62.208</v>
      </c>
      <c r="S129" s="15">
        <f>'205_每日任务'!H28</f>
        <v>3225.6</v>
      </c>
      <c r="T129" s="15">
        <f ca="1">'208_黑市'!F28</f>
        <v>967.68</v>
      </c>
      <c r="U129" s="15">
        <f ca="1">'210_活动'!L28</f>
        <v>0</v>
      </c>
      <c r="V129" s="15">
        <f ca="1">'212_VIP商店'!F28</f>
        <v>96.4285714285715</v>
      </c>
      <c r="W129" s="1">
        <f ca="1" t="shared" si="3"/>
        <v>99000000</v>
      </c>
      <c r="X129" s="1">
        <f ca="1" t="shared" si="4"/>
        <v>45266653.425</v>
      </c>
      <c r="Y129" s="30">
        <f>总规划!D236*1000000</f>
        <v>82831250</v>
      </c>
      <c r="Z129" s="30">
        <v>5000000</v>
      </c>
      <c r="AA129" s="1">
        <f ca="1" t="shared" si="5"/>
        <v>112527.36</v>
      </c>
      <c r="AB129" s="1">
        <f ca="1" t="shared" si="6"/>
        <v>50427.4165714286</v>
      </c>
      <c r="AC129" s="30">
        <f>总规划!E236*24*60</f>
        <v>72485.25</v>
      </c>
      <c r="AD129" s="30">
        <f ca="1">AA129-AB129-AC129</f>
        <v>-10385.3065714286</v>
      </c>
      <c r="AF129" s="44">
        <f ca="1" t="shared" si="7"/>
        <v>5895099</v>
      </c>
      <c r="AG129" s="44">
        <f ca="1" t="shared" si="8"/>
        <v>432000</v>
      </c>
      <c r="AH129" s="44">
        <f t="shared" si="9"/>
        <v>1200000</v>
      </c>
      <c r="AI129" s="44">
        <f ca="1" t="shared" si="10"/>
        <v>2880000</v>
      </c>
      <c r="AJ129" s="44">
        <f ca="1" t="shared" si="11"/>
        <v>0</v>
      </c>
      <c r="AK129" s="44">
        <f ca="1" t="shared" si="12"/>
        <v>120000</v>
      </c>
      <c r="AL129" s="45">
        <f ca="1" t="shared" si="13"/>
        <v>4320</v>
      </c>
      <c r="AM129" s="45">
        <f t="shared" si="14"/>
        <v>2880</v>
      </c>
      <c r="AN129" s="45">
        <f ca="1" t="shared" si="15"/>
        <v>585</v>
      </c>
      <c r="AO129" s="45">
        <f ca="1" t="shared" si="16"/>
        <v>510</v>
      </c>
      <c r="AP129" s="45">
        <f ca="1" t="shared" si="17"/>
        <v>124.416</v>
      </c>
      <c r="AQ129" s="45">
        <f t="shared" si="18"/>
        <v>460.8</v>
      </c>
      <c r="AR129" s="45">
        <f ca="1" t="shared" si="19"/>
        <v>138.24</v>
      </c>
      <c r="AS129" s="45">
        <f ca="1" t="shared" si="20"/>
        <v>0</v>
      </c>
      <c r="AT129" s="45">
        <f ca="1" t="shared" si="21"/>
        <v>64.2857142857143</v>
      </c>
      <c r="AU129" s="44">
        <f ca="1" t="shared" si="22"/>
        <v>10527099</v>
      </c>
      <c r="AV129" s="45">
        <f ca="1" t="shared" si="23"/>
        <v>9082.74171428571</v>
      </c>
    </row>
    <row r="130" spans="2:48">
      <c r="B130" s="10">
        <v>8</v>
      </c>
      <c r="C130" s="1" t="str">
        <f>IF(养成规划!C29="","",养成规划!C29)</f>
        <v/>
      </c>
      <c r="D130" s="1">
        <f ca="1">'102_建筑'!H368</f>
        <v>72360000</v>
      </c>
      <c r="E130" s="1">
        <f ca="1" t="shared" si="0"/>
        <v>48240000</v>
      </c>
      <c r="F130" s="15">
        <f ca="1">'102_建筑'!K368</f>
        <v>51922.944</v>
      </c>
      <c r="G130" s="15">
        <f ca="1" t="shared" si="1"/>
        <v>77884.416</v>
      </c>
      <c r="H130" s="1">
        <f ca="1">'203_采集'!K29</f>
        <v>26998549.425</v>
      </c>
      <c r="I130" s="1">
        <f ca="1">'204_军官任务'!L29</f>
        <v>648000</v>
      </c>
      <c r="J130" s="1">
        <f>'205_每日任务'!E29</f>
        <v>9600000</v>
      </c>
      <c r="K130" s="1">
        <f ca="1">'207_空投'!G29</f>
        <v>19104000</v>
      </c>
      <c r="L130" s="1">
        <f ca="1">'210_活动'!I29</f>
        <v>2400000</v>
      </c>
      <c r="M130" s="1">
        <f ca="1">'211_VIP宝箱'!F29</f>
        <v>645000</v>
      </c>
      <c r="N130" s="15">
        <f ca="1">'102_建筑'!E444</f>
        <v>24192</v>
      </c>
      <c r="O130" s="15">
        <f t="shared" si="2"/>
        <v>23040</v>
      </c>
      <c r="P130" s="15">
        <f ca="1">'201_打野'!F88</f>
        <v>3946.5</v>
      </c>
      <c r="Q130" s="15">
        <f ca="1">'202_黑鸦营地'!F78</f>
        <v>3207</v>
      </c>
      <c r="R130" s="15">
        <f ca="1">'204_军官任务'!O29</f>
        <v>186.624</v>
      </c>
      <c r="S130" s="15">
        <f>'205_每日任务'!H29</f>
        <v>3686.4</v>
      </c>
      <c r="T130" s="15">
        <f ca="1">'208_黑市'!F29</f>
        <v>1244.16</v>
      </c>
      <c r="U130" s="15">
        <f ca="1">'210_活动'!L29</f>
        <v>1152</v>
      </c>
      <c r="V130" s="15">
        <f ca="1">'212_VIP商店'!F29</f>
        <v>160.714285714286</v>
      </c>
      <c r="W130" s="1">
        <f ca="1" t="shared" si="3"/>
        <v>120600000</v>
      </c>
      <c r="X130" s="1">
        <f ca="1" t="shared" si="4"/>
        <v>59395549.425</v>
      </c>
      <c r="Y130" s="30"/>
      <c r="Z130" s="30"/>
      <c r="AA130" s="1">
        <f ca="1" t="shared" si="5"/>
        <v>129807.36</v>
      </c>
      <c r="AB130" s="1">
        <f ca="1" t="shared" si="6"/>
        <v>60815.3982857143</v>
      </c>
      <c r="AC130" s="30"/>
      <c r="AD130" s="30"/>
      <c r="AF130" s="44">
        <f ca="1" t="shared" si="7"/>
        <v>7096896</v>
      </c>
      <c r="AG130" s="44">
        <f ca="1" t="shared" si="8"/>
        <v>432000</v>
      </c>
      <c r="AH130" s="44">
        <f t="shared" si="9"/>
        <v>1200000</v>
      </c>
      <c r="AI130" s="44">
        <f ca="1" t="shared" si="10"/>
        <v>2880000</v>
      </c>
      <c r="AJ130" s="44">
        <f ca="1" t="shared" si="11"/>
        <v>2400000</v>
      </c>
      <c r="AK130" s="44">
        <f ca="1" t="shared" si="12"/>
        <v>120000</v>
      </c>
      <c r="AL130" s="45">
        <f ca="1" t="shared" si="13"/>
        <v>4320</v>
      </c>
      <c r="AM130" s="45">
        <f t="shared" si="14"/>
        <v>2880</v>
      </c>
      <c r="AN130" s="45">
        <f ca="1" t="shared" si="15"/>
        <v>600</v>
      </c>
      <c r="AO130" s="45">
        <f ca="1" t="shared" si="16"/>
        <v>510</v>
      </c>
      <c r="AP130" s="45">
        <f ca="1" t="shared" si="17"/>
        <v>124.416</v>
      </c>
      <c r="AQ130" s="45">
        <f t="shared" si="18"/>
        <v>460.8</v>
      </c>
      <c r="AR130" s="45">
        <f ca="1" t="shared" si="19"/>
        <v>276.48</v>
      </c>
      <c r="AS130" s="45">
        <f ca="1" t="shared" si="20"/>
        <v>1152</v>
      </c>
      <c r="AT130" s="45">
        <f ca="1" t="shared" si="21"/>
        <v>64.2857142857143</v>
      </c>
      <c r="AU130" s="44">
        <f ca="1" t="shared" si="22"/>
        <v>14128896</v>
      </c>
      <c r="AV130" s="45">
        <f ca="1" t="shared" si="23"/>
        <v>10387.9817142857</v>
      </c>
    </row>
    <row r="131" spans="2:48">
      <c r="B131" s="10">
        <v>9</v>
      </c>
      <c r="C131" s="1">
        <f>IF(养成规划!C30="","",养成规划!C30)</f>
        <v>16</v>
      </c>
      <c r="D131" s="1">
        <f ca="1">'102_建筑'!H369</f>
        <v>85320000</v>
      </c>
      <c r="E131" s="1">
        <f ca="1" t="shared" si="0"/>
        <v>56880000</v>
      </c>
      <c r="F131" s="15">
        <f ca="1">'102_建筑'!K369</f>
        <v>58834.944</v>
      </c>
      <c r="G131" s="15">
        <f ca="1" t="shared" si="1"/>
        <v>88252.416</v>
      </c>
      <c r="H131" s="1">
        <f ca="1">'203_采集'!K30</f>
        <v>35306233.425</v>
      </c>
      <c r="I131" s="1">
        <f ca="1">'204_军官任务'!L30</f>
        <v>1080000</v>
      </c>
      <c r="J131" s="1">
        <f>'205_每日任务'!E30</f>
        <v>10800000</v>
      </c>
      <c r="K131" s="1">
        <f ca="1">'207_空投'!G30</f>
        <v>21984000</v>
      </c>
      <c r="L131" s="1">
        <f ca="1">'210_活动'!I30</f>
        <v>4800000</v>
      </c>
      <c r="M131" s="1">
        <f ca="1">'211_VIP宝箱'!F30</f>
        <v>795000</v>
      </c>
      <c r="N131" s="15">
        <f ca="1">'102_建筑'!E445</f>
        <v>28512</v>
      </c>
      <c r="O131" s="15">
        <f t="shared" si="2"/>
        <v>25920</v>
      </c>
      <c r="P131" s="15">
        <f ca="1">'201_打野'!F89</f>
        <v>4696.5</v>
      </c>
      <c r="Q131" s="15">
        <f ca="1">'202_黑鸦营地'!F79</f>
        <v>3717</v>
      </c>
      <c r="R131" s="15">
        <f ca="1">'204_军官任务'!O30</f>
        <v>311.04</v>
      </c>
      <c r="S131" s="15">
        <f>'205_每日任务'!H30</f>
        <v>4147.2</v>
      </c>
      <c r="T131" s="15">
        <f ca="1">'208_黑市'!F30</f>
        <v>1520.64</v>
      </c>
      <c r="U131" s="15">
        <f ca="1">'210_活动'!L30</f>
        <v>2304</v>
      </c>
      <c r="V131" s="15">
        <f ca="1">'212_VIP商店'!F30</f>
        <v>225</v>
      </c>
      <c r="W131" s="1">
        <f ca="1" t="shared" si="3"/>
        <v>142200000</v>
      </c>
      <c r="X131" s="1">
        <f ca="1" t="shared" si="4"/>
        <v>74765233.425</v>
      </c>
      <c r="Y131" s="30"/>
      <c r="Z131" s="30"/>
      <c r="AA131" s="1">
        <f ca="1" t="shared" si="5"/>
        <v>147087.36</v>
      </c>
      <c r="AB131" s="1">
        <f ca="1" t="shared" si="6"/>
        <v>71353.38</v>
      </c>
      <c r="AC131" s="30"/>
      <c r="AD131" s="30"/>
      <c r="AF131" s="44">
        <f ca="1" t="shared" si="7"/>
        <v>8307684</v>
      </c>
      <c r="AG131" s="44">
        <f ca="1" t="shared" si="8"/>
        <v>432000</v>
      </c>
      <c r="AH131" s="44">
        <f t="shared" si="9"/>
        <v>1200000</v>
      </c>
      <c r="AI131" s="44">
        <f ca="1" t="shared" si="10"/>
        <v>2880000</v>
      </c>
      <c r="AJ131" s="44">
        <f ca="1" t="shared" si="11"/>
        <v>2400000</v>
      </c>
      <c r="AK131" s="44">
        <f ca="1" t="shared" si="12"/>
        <v>150000</v>
      </c>
      <c r="AL131" s="45">
        <f ca="1" t="shared" si="13"/>
        <v>4320</v>
      </c>
      <c r="AM131" s="45">
        <f t="shared" si="14"/>
        <v>2880</v>
      </c>
      <c r="AN131" s="45">
        <f ca="1" t="shared" si="15"/>
        <v>750</v>
      </c>
      <c r="AO131" s="45">
        <f ca="1" t="shared" si="16"/>
        <v>510</v>
      </c>
      <c r="AP131" s="45">
        <f ca="1" t="shared" si="17"/>
        <v>124.416</v>
      </c>
      <c r="AQ131" s="45">
        <f t="shared" si="18"/>
        <v>460.8</v>
      </c>
      <c r="AR131" s="45">
        <f ca="1" t="shared" si="19"/>
        <v>276.48</v>
      </c>
      <c r="AS131" s="45">
        <f ca="1" t="shared" si="20"/>
        <v>1152</v>
      </c>
      <c r="AT131" s="45">
        <f ca="1" t="shared" si="21"/>
        <v>64.2857142857143</v>
      </c>
      <c r="AU131" s="44">
        <f ca="1" t="shared" si="22"/>
        <v>15369684</v>
      </c>
      <c r="AV131" s="45">
        <f ca="1" t="shared" si="23"/>
        <v>10537.9817142857</v>
      </c>
    </row>
    <row r="132" spans="2:48">
      <c r="B132" s="10">
        <v>10</v>
      </c>
      <c r="C132" s="1" t="str">
        <f>IF(养成规划!C31="","",养成规划!C31)</f>
        <v/>
      </c>
      <c r="D132" s="1">
        <f ca="1">'102_建筑'!H370</f>
        <v>100440000</v>
      </c>
      <c r="E132" s="1">
        <f ca="1" t="shared" si="0"/>
        <v>66960000</v>
      </c>
      <c r="F132" s="15">
        <f ca="1">'102_建筑'!K370</f>
        <v>67129.344</v>
      </c>
      <c r="G132" s="15">
        <f ca="1" t="shared" si="1"/>
        <v>100694.016</v>
      </c>
      <c r="H132" s="1">
        <f ca="1">'203_采集'!K31</f>
        <v>44896633.425</v>
      </c>
      <c r="I132" s="1">
        <f ca="1">'204_军官任务'!L31</f>
        <v>1512000</v>
      </c>
      <c r="J132" s="1">
        <f>'205_每日任务'!E31</f>
        <v>12000000</v>
      </c>
      <c r="K132" s="1">
        <f ca="1">'207_空投'!G31</f>
        <v>24864000</v>
      </c>
      <c r="L132" s="1">
        <f ca="1">'210_活动'!I31</f>
        <v>7200000</v>
      </c>
      <c r="M132" s="1">
        <f ca="1">'211_VIP宝箱'!F31</f>
        <v>945000</v>
      </c>
      <c r="N132" s="15">
        <f ca="1">'102_建筑'!E446</f>
        <v>32832</v>
      </c>
      <c r="O132" s="15">
        <f t="shared" si="2"/>
        <v>28800</v>
      </c>
      <c r="P132" s="15">
        <f ca="1">'201_打野'!F90</f>
        <v>5461.5</v>
      </c>
      <c r="Q132" s="15">
        <f ca="1">'202_黑鸦营地'!F80</f>
        <v>4227</v>
      </c>
      <c r="R132" s="15">
        <f ca="1">'204_军官任务'!O31</f>
        <v>435.456</v>
      </c>
      <c r="S132" s="15">
        <f>'205_每日任务'!H31</f>
        <v>4608</v>
      </c>
      <c r="T132" s="15">
        <f ca="1">'208_黑市'!F31</f>
        <v>1797.12</v>
      </c>
      <c r="U132" s="15">
        <f ca="1">'210_活动'!L31</f>
        <v>3456</v>
      </c>
      <c r="V132" s="15">
        <f ca="1">'212_VIP商店'!F31</f>
        <v>289.285714285714</v>
      </c>
      <c r="W132" s="1">
        <f ca="1" t="shared" si="3"/>
        <v>167400000</v>
      </c>
      <c r="X132" s="1">
        <f ca="1" t="shared" si="4"/>
        <v>91417633.425</v>
      </c>
      <c r="Y132" s="30"/>
      <c r="Z132" s="30"/>
      <c r="AA132" s="1">
        <f ca="1" t="shared" si="5"/>
        <v>167823.36</v>
      </c>
      <c r="AB132" s="1">
        <f ca="1" t="shared" si="6"/>
        <v>81906.3617142857</v>
      </c>
      <c r="AC132" s="30"/>
      <c r="AD132" s="30"/>
      <c r="AF132" s="44">
        <f ca="1" t="shared" si="7"/>
        <v>9590400</v>
      </c>
      <c r="AG132" s="44">
        <f ca="1" t="shared" si="8"/>
        <v>432000</v>
      </c>
      <c r="AH132" s="44">
        <f t="shared" si="9"/>
        <v>1200000</v>
      </c>
      <c r="AI132" s="44">
        <f ca="1" t="shared" si="10"/>
        <v>2880000</v>
      </c>
      <c r="AJ132" s="44">
        <f ca="1" t="shared" si="11"/>
        <v>2400000</v>
      </c>
      <c r="AK132" s="44">
        <f ca="1" t="shared" si="12"/>
        <v>150000</v>
      </c>
      <c r="AL132" s="45">
        <f ca="1" t="shared" si="13"/>
        <v>4320</v>
      </c>
      <c r="AM132" s="45">
        <f t="shared" si="14"/>
        <v>2880</v>
      </c>
      <c r="AN132" s="45">
        <f ca="1" t="shared" si="15"/>
        <v>765</v>
      </c>
      <c r="AO132" s="45">
        <f ca="1" t="shared" si="16"/>
        <v>510</v>
      </c>
      <c r="AP132" s="45">
        <f ca="1" t="shared" si="17"/>
        <v>124.416</v>
      </c>
      <c r="AQ132" s="45">
        <f t="shared" si="18"/>
        <v>460.8</v>
      </c>
      <c r="AR132" s="45">
        <f ca="1" t="shared" si="19"/>
        <v>276.48</v>
      </c>
      <c r="AS132" s="45">
        <f ca="1" t="shared" si="20"/>
        <v>1152</v>
      </c>
      <c r="AT132" s="45">
        <f ca="1" t="shared" si="21"/>
        <v>64.2857142857143</v>
      </c>
      <c r="AU132" s="44">
        <f ca="1" t="shared" si="22"/>
        <v>16652400</v>
      </c>
      <c r="AV132" s="45">
        <f ca="1" t="shared" si="23"/>
        <v>10552.9817142857</v>
      </c>
    </row>
    <row r="133" spans="2:48">
      <c r="B133" s="10">
        <v>11</v>
      </c>
      <c r="C133" s="1">
        <f>IF(养成规划!C32="","",养成规划!C32)</f>
        <v>17</v>
      </c>
      <c r="D133" s="1">
        <f ca="1">'102_建筑'!H371</f>
        <v>115560000</v>
      </c>
      <c r="E133" s="1">
        <f ca="1" t="shared" si="0"/>
        <v>77040000</v>
      </c>
      <c r="F133" s="15">
        <f ca="1">'102_建筑'!K371</f>
        <v>75423.744</v>
      </c>
      <c r="G133" s="15">
        <f ca="1" t="shared" si="1"/>
        <v>113135.616</v>
      </c>
      <c r="H133" s="1">
        <f ca="1">'203_采集'!K32</f>
        <v>54517003.425</v>
      </c>
      <c r="I133" s="1">
        <f ca="1">'204_军官任务'!L32</f>
        <v>1944000</v>
      </c>
      <c r="J133" s="1">
        <f>'205_每日任务'!E32</f>
        <v>13200000</v>
      </c>
      <c r="K133" s="1">
        <f ca="1">'207_空投'!G32</f>
        <v>27744000</v>
      </c>
      <c r="L133" s="1">
        <f ca="1">'210_活动'!I32</f>
        <v>9600000</v>
      </c>
      <c r="M133" s="1">
        <f ca="1">'211_VIP宝箱'!F32</f>
        <v>1095000</v>
      </c>
      <c r="N133" s="15">
        <f ca="1">'102_建筑'!E447</f>
        <v>37152</v>
      </c>
      <c r="O133" s="15">
        <f t="shared" si="2"/>
        <v>31680</v>
      </c>
      <c r="P133" s="15">
        <f ca="1">'201_打野'!F91</f>
        <v>6226.5</v>
      </c>
      <c r="Q133" s="15">
        <f ca="1">'202_黑鸦营地'!F81</f>
        <v>4737</v>
      </c>
      <c r="R133" s="15">
        <f ca="1">'204_军官任务'!O32</f>
        <v>559.872</v>
      </c>
      <c r="S133" s="15">
        <f>'205_每日任务'!H32</f>
        <v>5068.8</v>
      </c>
      <c r="T133" s="15">
        <f ca="1">'208_黑市'!F32</f>
        <v>2073.6</v>
      </c>
      <c r="U133" s="15">
        <f ca="1">'210_活动'!L32</f>
        <v>4608</v>
      </c>
      <c r="V133" s="15">
        <f ca="1">'212_VIP商店'!F32</f>
        <v>353.571428571429</v>
      </c>
      <c r="W133" s="1">
        <f ca="1" t="shared" si="3"/>
        <v>192600000</v>
      </c>
      <c r="X133" s="1">
        <f ca="1" t="shared" si="4"/>
        <v>108100003.425</v>
      </c>
      <c r="Y133" s="30"/>
      <c r="Z133" s="30"/>
      <c r="AA133" s="1">
        <f ca="1" t="shared" si="5"/>
        <v>188559.36</v>
      </c>
      <c r="AB133" s="1">
        <f ca="1" t="shared" si="6"/>
        <v>92459.3434285714</v>
      </c>
      <c r="AC133" s="30"/>
      <c r="AD133" s="30"/>
      <c r="AF133" s="44">
        <f ca="1" t="shared" si="7"/>
        <v>9620370</v>
      </c>
      <c r="AG133" s="44">
        <f ca="1" t="shared" si="8"/>
        <v>432000</v>
      </c>
      <c r="AH133" s="44">
        <f t="shared" si="9"/>
        <v>1200000</v>
      </c>
      <c r="AI133" s="44">
        <f ca="1" t="shared" si="10"/>
        <v>2880000</v>
      </c>
      <c r="AJ133" s="44">
        <f ca="1" t="shared" si="11"/>
        <v>2400000</v>
      </c>
      <c r="AK133" s="44">
        <f ca="1" t="shared" si="12"/>
        <v>150000</v>
      </c>
      <c r="AL133" s="45">
        <f ca="1" t="shared" si="13"/>
        <v>4320</v>
      </c>
      <c r="AM133" s="45">
        <f t="shared" si="14"/>
        <v>2880</v>
      </c>
      <c r="AN133" s="45">
        <f ca="1" t="shared" si="15"/>
        <v>765</v>
      </c>
      <c r="AO133" s="45">
        <f ca="1" t="shared" si="16"/>
        <v>510</v>
      </c>
      <c r="AP133" s="45">
        <f ca="1" t="shared" si="17"/>
        <v>124.416</v>
      </c>
      <c r="AQ133" s="45">
        <f t="shared" si="18"/>
        <v>460.8</v>
      </c>
      <c r="AR133" s="45">
        <f ca="1" t="shared" si="19"/>
        <v>276.48</v>
      </c>
      <c r="AS133" s="45">
        <f ca="1" t="shared" si="20"/>
        <v>1152</v>
      </c>
      <c r="AT133" s="45">
        <f ca="1" t="shared" si="21"/>
        <v>64.2857142857143</v>
      </c>
      <c r="AU133" s="44">
        <f ca="1" t="shared" si="22"/>
        <v>16682370</v>
      </c>
      <c r="AV133" s="45">
        <f ca="1" t="shared" si="23"/>
        <v>10552.9817142857</v>
      </c>
    </row>
    <row r="134" spans="2:48">
      <c r="B134" s="10">
        <v>12</v>
      </c>
      <c r="C134" s="1" t="str">
        <f>IF(养成规划!C33="","",养成规划!C33)</f>
        <v/>
      </c>
      <c r="D134" s="1">
        <f ca="1">'102_建筑'!H372</f>
        <v>131400000</v>
      </c>
      <c r="E134" s="1">
        <f ca="1" t="shared" si="0"/>
        <v>87600000</v>
      </c>
      <c r="F134" s="15">
        <f ca="1">'102_建筑'!K372</f>
        <v>81874.944</v>
      </c>
      <c r="G134" s="15">
        <f ca="1" t="shared" si="1"/>
        <v>122812.416</v>
      </c>
      <c r="H134" s="1">
        <f ca="1">'203_采集'!K33</f>
        <v>64167343.425</v>
      </c>
      <c r="I134" s="1">
        <f ca="1">'204_军官任务'!L33</f>
        <v>2376000</v>
      </c>
      <c r="J134" s="1">
        <f>'205_每日任务'!E33</f>
        <v>14400000</v>
      </c>
      <c r="K134" s="1">
        <f ca="1">'207_空投'!G33</f>
        <v>30624000</v>
      </c>
      <c r="L134" s="1">
        <f ca="1">'210_活动'!I33</f>
        <v>12000000</v>
      </c>
      <c r="M134" s="1">
        <f ca="1">'211_VIP宝箱'!F33</f>
        <v>1245000</v>
      </c>
      <c r="N134" s="15">
        <f ca="1">'102_建筑'!E448</f>
        <v>41472</v>
      </c>
      <c r="O134" s="15">
        <f t="shared" si="2"/>
        <v>34560</v>
      </c>
      <c r="P134" s="15">
        <f ca="1">'201_打野'!F92</f>
        <v>6991.5</v>
      </c>
      <c r="Q134" s="15">
        <f ca="1">'202_黑鸦营地'!F82</f>
        <v>5247</v>
      </c>
      <c r="R134" s="15">
        <f ca="1">'204_军官任务'!O33</f>
        <v>684.288</v>
      </c>
      <c r="S134" s="15">
        <f>'205_每日任务'!H33</f>
        <v>5529.6</v>
      </c>
      <c r="T134" s="15">
        <f ca="1">'208_黑市'!F33</f>
        <v>2350.08</v>
      </c>
      <c r="U134" s="15">
        <f ca="1">'210_活动'!L33</f>
        <v>5760</v>
      </c>
      <c r="V134" s="15">
        <f ca="1">'212_VIP商店'!F33</f>
        <v>417.857142857143</v>
      </c>
      <c r="W134" s="1">
        <f ca="1" t="shared" si="3"/>
        <v>219000000</v>
      </c>
      <c r="X134" s="1">
        <f ca="1" t="shared" si="4"/>
        <v>124812343.425</v>
      </c>
      <c r="Y134" s="30"/>
      <c r="Z134" s="30"/>
      <c r="AA134" s="1">
        <f ca="1" t="shared" si="5"/>
        <v>204687.36</v>
      </c>
      <c r="AB134" s="1">
        <f ca="1" t="shared" si="6"/>
        <v>103012.325142857</v>
      </c>
      <c r="AC134" s="30"/>
      <c r="AD134" s="30"/>
      <c r="AF134" s="44">
        <f ca="1" t="shared" si="7"/>
        <v>9650340</v>
      </c>
      <c r="AG134" s="44">
        <f ca="1" t="shared" si="8"/>
        <v>432000</v>
      </c>
      <c r="AH134" s="44">
        <f t="shared" si="9"/>
        <v>1200000</v>
      </c>
      <c r="AI134" s="44">
        <f ca="1" t="shared" si="10"/>
        <v>2880000</v>
      </c>
      <c r="AJ134" s="44">
        <f ca="1" t="shared" si="11"/>
        <v>2400000</v>
      </c>
      <c r="AK134" s="44">
        <f ca="1" t="shared" si="12"/>
        <v>150000</v>
      </c>
      <c r="AL134" s="45">
        <f ca="1" t="shared" si="13"/>
        <v>4320</v>
      </c>
      <c r="AM134" s="45">
        <f t="shared" si="14"/>
        <v>2880</v>
      </c>
      <c r="AN134" s="45">
        <f ca="1" t="shared" si="15"/>
        <v>765</v>
      </c>
      <c r="AO134" s="45">
        <f ca="1" t="shared" si="16"/>
        <v>510</v>
      </c>
      <c r="AP134" s="45">
        <f ca="1" t="shared" si="17"/>
        <v>124.416</v>
      </c>
      <c r="AQ134" s="45">
        <f t="shared" si="18"/>
        <v>460.8</v>
      </c>
      <c r="AR134" s="45">
        <f ca="1" t="shared" si="19"/>
        <v>276.48</v>
      </c>
      <c r="AS134" s="45">
        <f ca="1" t="shared" si="20"/>
        <v>1152</v>
      </c>
      <c r="AT134" s="45">
        <f ca="1" t="shared" si="21"/>
        <v>64.2857142857143</v>
      </c>
      <c r="AU134" s="44">
        <f ca="1" t="shared" si="22"/>
        <v>16712340</v>
      </c>
      <c r="AV134" s="45">
        <f ca="1" t="shared" si="23"/>
        <v>10552.9817142857</v>
      </c>
    </row>
    <row r="135" spans="2:48">
      <c r="B135" s="10">
        <v>13</v>
      </c>
      <c r="C135" s="1" t="str">
        <f>IF(养成规划!C34="","",养成规划!C34)</f>
        <v/>
      </c>
      <c r="D135" s="1">
        <f ca="1">'102_建筑'!H373</f>
        <v>147240000</v>
      </c>
      <c r="E135" s="1">
        <f ca="1" t="shared" si="0"/>
        <v>98160000</v>
      </c>
      <c r="F135" s="15">
        <f ca="1">'102_建筑'!K373</f>
        <v>88326.144</v>
      </c>
      <c r="G135" s="15">
        <f ca="1" t="shared" si="1"/>
        <v>132489.216</v>
      </c>
      <c r="H135" s="1">
        <f ca="1">'203_采集'!K34</f>
        <v>73847653.425</v>
      </c>
      <c r="I135" s="1">
        <f ca="1">'204_军官任务'!L34</f>
        <v>2808000</v>
      </c>
      <c r="J135" s="1">
        <f>'205_每日任务'!E34</f>
        <v>15600000</v>
      </c>
      <c r="K135" s="1">
        <f ca="1">'207_空投'!G34</f>
        <v>33504000</v>
      </c>
      <c r="L135" s="1">
        <f ca="1">'210_活动'!I34</f>
        <v>14400000</v>
      </c>
      <c r="M135" s="1">
        <f ca="1">'211_VIP宝箱'!F34</f>
        <v>1395000</v>
      </c>
      <c r="N135" s="15">
        <f ca="1">'102_建筑'!E449</f>
        <v>45792</v>
      </c>
      <c r="O135" s="15">
        <f t="shared" si="2"/>
        <v>37440</v>
      </c>
      <c r="P135" s="15">
        <f ca="1">'201_打野'!F93</f>
        <v>7771.5</v>
      </c>
      <c r="Q135" s="15">
        <f ca="1">'202_黑鸦营地'!F83</f>
        <v>5937</v>
      </c>
      <c r="R135" s="15">
        <f ca="1">'204_军官任务'!O34</f>
        <v>808.704</v>
      </c>
      <c r="S135" s="15">
        <f>'205_每日任务'!H34</f>
        <v>5990.4</v>
      </c>
      <c r="T135" s="15">
        <f ca="1">'208_黑市'!F34</f>
        <v>2626.56</v>
      </c>
      <c r="U135" s="15">
        <f ca="1">'210_活动'!L34</f>
        <v>6912</v>
      </c>
      <c r="V135" s="15">
        <f ca="1">'212_VIP商店'!F34</f>
        <v>482.142857142857</v>
      </c>
      <c r="W135" s="1">
        <f ca="1" t="shared" si="3"/>
        <v>245400000</v>
      </c>
      <c r="X135" s="1">
        <f ca="1" t="shared" si="4"/>
        <v>141554653.425</v>
      </c>
      <c r="Y135" s="30"/>
      <c r="Z135" s="30"/>
      <c r="AA135" s="1">
        <f ca="1" t="shared" si="5"/>
        <v>220815.36</v>
      </c>
      <c r="AB135" s="1">
        <f ca="1" t="shared" si="6"/>
        <v>113760.306857143</v>
      </c>
      <c r="AC135" s="30"/>
      <c r="AD135" s="30"/>
      <c r="AF135" s="44">
        <f ca="1" t="shared" si="7"/>
        <v>9680310</v>
      </c>
      <c r="AG135" s="44">
        <f ca="1" t="shared" si="8"/>
        <v>432000</v>
      </c>
      <c r="AH135" s="44">
        <f t="shared" si="9"/>
        <v>1200000</v>
      </c>
      <c r="AI135" s="44">
        <f ca="1" t="shared" si="10"/>
        <v>2880000</v>
      </c>
      <c r="AJ135" s="44">
        <f ca="1" t="shared" si="11"/>
        <v>2400000</v>
      </c>
      <c r="AK135" s="44">
        <f ca="1" t="shared" si="12"/>
        <v>150000</v>
      </c>
      <c r="AL135" s="45">
        <f ca="1" t="shared" si="13"/>
        <v>4320</v>
      </c>
      <c r="AM135" s="45">
        <f t="shared" si="14"/>
        <v>2880</v>
      </c>
      <c r="AN135" s="45">
        <f ca="1" t="shared" si="15"/>
        <v>780</v>
      </c>
      <c r="AO135" s="45">
        <f ca="1" t="shared" si="16"/>
        <v>690</v>
      </c>
      <c r="AP135" s="45">
        <f ca="1" t="shared" si="17"/>
        <v>124.416</v>
      </c>
      <c r="AQ135" s="45">
        <f t="shared" si="18"/>
        <v>460.8</v>
      </c>
      <c r="AR135" s="45">
        <f ca="1" t="shared" si="19"/>
        <v>276.48</v>
      </c>
      <c r="AS135" s="45">
        <f ca="1" t="shared" si="20"/>
        <v>1152</v>
      </c>
      <c r="AT135" s="45">
        <f ca="1" t="shared" si="21"/>
        <v>64.2857142857143</v>
      </c>
      <c r="AU135" s="44">
        <f ca="1" t="shared" si="22"/>
        <v>16742310</v>
      </c>
      <c r="AV135" s="45">
        <f ca="1" t="shared" si="23"/>
        <v>10747.9817142857</v>
      </c>
    </row>
    <row r="136" spans="2:48">
      <c r="B136" s="10">
        <v>14</v>
      </c>
      <c r="C136" s="1">
        <f>IF(养成规划!C35="","",养成规划!C35)</f>
        <v>18</v>
      </c>
      <c r="D136" s="1">
        <f ca="1">'102_建筑'!H374</f>
        <v>163080000</v>
      </c>
      <c r="E136" s="1">
        <f ca="1" t="shared" si="0"/>
        <v>108720000</v>
      </c>
      <c r="F136" s="15">
        <f ca="1">'102_建筑'!K374</f>
        <v>94777.344</v>
      </c>
      <c r="G136" s="15">
        <f ca="1" t="shared" si="1"/>
        <v>142166.016</v>
      </c>
      <c r="H136" s="1">
        <f ca="1">'203_采集'!K35</f>
        <v>86794693.425</v>
      </c>
      <c r="I136" s="1">
        <f ca="1">'204_军官任务'!L35</f>
        <v>3240000</v>
      </c>
      <c r="J136" s="1">
        <f>'205_每日任务'!E35</f>
        <v>16800000</v>
      </c>
      <c r="K136" s="1">
        <f ca="1">'207_空投'!G35</f>
        <v>36384000</v>
      </c>
      <c r="L136" s="1">
        <f ca="1">'210_活动'!I35</f>
        <v>16800000</v>
      </c>
      <c r="M136" s="1">
        <f ca="1">'211_VIP宝箱'!F35</f>
        <v>1575000</v>
      </c>
      <c r="N136" s="15">
        <f ca="1">'102_建筑'!E450</f>
        <v>50112</v>
      </c>
      <c r="O136" s="15">
        <f t="shared" si="2"/>
        <v>40320</v>
      </c>
      <c r="P136" s="15">
        <f ca="1">'201_打野'!F94</f>
        <v>8551.5</v>
      </c>
      <c r="Q136" s="15">
        <f ca="1">'202_黑鸦营地'!F84</f>
        <v>6627</v>
      </c>
      <c r="R136" s="15">
        <f ca="1">'204_军官任务'!O35</f>
        <v>933.12</v>
      </c>
      <c r="S136" s="15">
        <f>'205_每日任务'!H35</f>
        <v>6451.2</v>
      </c>
      <c r="T136" s="15">
        <f ca="1">'208_黑市'!F35</f>
        <v>2903.04</v>
      </c>
      <c r="U136" s="15">
        <f ca="1">'210_活动'!L35</f>
        <v>8064</v>
      </c>
      <c r="V136" s="15">
        <f ca="1">'212_VIP商店'!F35</f>
        <v>546.428571428572</v>
      </c>
      <c r="W136" s="1">
        <f ca="1" t="shared" si="3"/>
        <v>271800000</v>
      </c>
      <c r="X136" s="1">
        <f ca="1" t="shared" si="4"/>
        <v>161593693.425</v>
      </c>
      <c r="Y136" s="30"/>
      <c r="Z136" s="30"/>
      <c r="AA136" s="1">
        <f ca="1" t="shared" si="5"/>
        <v>236943.36</v>
      </c>
      <c r="AB136" s="1">
        <f ca="1" t="shared" si="6"/>
        <v>124508.288571429</v>
      </c>
      <c r="AC136" s="30"/>
      <c r="AD136" s="30"/>
      <c r="AF136" s="44">
        <f ca="1" t="shared" si="7"/>
        <v>12947040</v>
      </c>
      <c r="AG136" s="44">
        <f ca="1" t="shared" si="8"/>
        <v>432000</v>
      </c>
      <c r="AH136" s="44">
        <f t="shared" si="9"/>
        <v>1200000</v>
      </c>
      <c r="AI136" s="44">
        <f ca="1" t="shared" si="10"/>
        <v>2880000</v>
      </c>
      <c r="AJ136" s="44">
        <f ca="1" t="shared" si="11"/>
        <v>2400000</v>
      </c>
      <c r="AK136" s="44">
        <f ca="1" t="shared" si="12"/>
        <v>180000</v>
      </c>
      <c r="AL136" s="45">
        <f ca="1" t="shared" si="13"/>
        <v>4320</v>
      </c>
      <c r="AM136" s="45">
        <f t="shared" si="14"/>
        <v>2880</v>
      </c>
      <c r="AN136" s="45">
        <f ca="1" t="shared" si="15"/>
        <v>780</v>
      </c>
      <c r="AO136" s="45">
        <f ca="1" t="shared" si="16"/>
        <v>690</v>
      </c>
      <c r="AP136" s="45">
        <f ca="1" t="shared" si="17"/>
        <v>124.416</v>
      </c>
      <c r="AQ136" s="45">
        <f t="shared" si="18"/>
        <v>460.8</v>
      </c>
      <c r="AR136" s="45">
        <f ca="1" t="shared" si="19"/>
        <v>276.48</v>
      </c>
      <c r="AS136" s="45">
        <f ca="1" t="shared" si="20"/>
        <v>1152</v>
      </c>
      <c r="AT136" s="45">
        <f ca="1" t="shared" si="21"/>
        <v>64.2857142857143</v>
      </c>
      <c r="AU136" s="44">
        <f ca="1" t="shared" si="22"/>
        <v>20039040</v>
      </c>
      <c r="AV136" s="45">
        <f ca="1" t="shared" si="23"/>
        <v>10747.9817142857</v>
      </c>
    </row>
    <row r="137" spans="2:48">
      <c r="B137" s="10">
        <v>15</v>
      </c>
      <c r="C137" s="1" t="str">
        <f>IF(养成规划!C36="","",养成规划!C36)</f>
        <v/>
      </c>
      <c r="D137" s="1">
        <f ca="1">'102_建筑'!H375</f>
        <v>181080000</v>
      </c>
      <c r="E137" s="1">
        <f ca="1" t="shared" si="0"/>
        <v>120720000</v>
      </c>
      <c r="F137" s="15">
        <f ca="1">'102_建筑'!K375</f>
        <v>102150.144</v>
      </c>
      <c r="G137" s="15">
        <f ca="1" t="shared" si="1"/>
        <v>153225.216</v>
      </c>
      <c r="H137" s="1">
        <f ca="1">'203_采集'!K36</f>
        <v>99781693.425</v>
      </c>
      <c r="I137" s="1">
        <f ca="1">'204_军官任务'!L36</f>
        <v>3672000</v>
      </c>
      <c r="J137" s="1">
        <f>'205_每日任务'!E36</f>
        <v>18000000</v>
      </c>
      <c r="K137" s="1">
        <f ca="1">'207_空投'!G36</f>
        <v>39264000</v>
      </c>
      <c r="L137" s="1">
        <f ca="1">'210_活动'!I36</f>
        <v>21600000</v>
      </c>
      <c r="M137" s="1">
        <f ca="1">'211_VIP宝箱'!F36</f>
        <v>1755000</v>
      </c>
      <c r="N137" s="15">
        <f ca="1">'102_建筑'!E451</f>
        <v>54432</v>
      </c>
      <c r="O137" s="15">
        <f t="shared" si="2"/>
        <v>43200</v>
      </c>
      <c r="P137" s="15">
        <f ca="1">'201_打野'!F95</f>
        <v>9331.5</v>
      </c>
      <c r="Q137" s="15">
        <f ca="1">'202_黑鸦营地'!F85</f>
        <v>7317</v>
      </c>
      <c r="R137" s="15">
        <f ca="1">'204_军官任务'!O36</f>
        <v>1057.536</v>
      </c>
      <c r="S137" s="15">
        <f>'205_每日任务'!H36</f>
        <v>6912</v>
      </c>
      <c r="T137" s="15">
        <f ca="1">'208_黑市'!F36</f>
        <v>3456</v>
      </c>
      <c r="U137" s="15">
        <f ca="1">'210_活动'!L36</f>
        <v>10368</v>
      </c>
      <c r="V137" s="15">
        <f ca="1">'212_VIP商店'!F36</f>
        <v>610.714285714286</v>
      </c>
      <c r="W137" s="1">
        <f ca="1" t="shared" si="3"/>
        <v>301800000</v>
      </c>
      <c r="X137" s="1">
        <f ca="1" t="shared" si="4"/>
        <v>184072693.425</v>
      </c>
      <c r="Y137" s="30"/>
      <c r="Z137" s="30"/>
      <c r="AA137" s="1">
        <f ca="1" t="shared" si="5"/>
        <v>255375.36</v>
      </c>
      <c r="AB137" s="1">
        <f ca="1" t="shared" si="6"/>
        <v>136684.750285714</v>
      </c>
      <c r="AC137" s="30"/>
      <c r="AD137" s="30"/>
      <c r="AF137" s="44">
        <f ca="1" t="shared" si="7"/>
        <v>12987000</v>
      </c>
      <c r="AG137" s="44">
        <f ca="1" t="shared" si="8"/>
        <v>432000</v>
      </c>
      <c r="AH137" s="44">
        <f t="shared" si="9"/>
        <v>1200000</v>
      </c>
      <c r="AI137" s="44">
        <f ca="1" t="shared" si="10"/>
        <v>2880000</v>
      </c>
      <c r="AJ137" s="44">
        <f ca="1" t="shared" si="11"/>
        <v>4800000</v>
      </c>
      <c r="AK137" s="44">
        <f ca="1" t="shared" si="12"/>
        <v>180000</v>
      </c>
      <c r="AL137" s="45">
        <f ca="1" t="shared" si="13"/>
        <v>4320</v>
      </c>
      <c r="AM137" s="45">
        <f t="shared" si="14"/>
        <v>2880</v>
      </c>
      <c r="AN137" s="45">
        <f ca="1" t="shared" si="15"/>
        <v>780</v>
      </c>
      <c r="AO137" s="45">
        <f ca="1" t="shared" si="16"/>
        <v>690</v>
      </c>
      <c r="AP137" s="45">
        <f ca="1" t="shared" si="17"/>
        <v>124.416</v>
      </c>
      <c r="AQ137" s="45">
        <f t="shared" si="18"/>
        <v>460.8</v>
      </c>
      <c r="AR137" s="45">
        <f ca="1" t="shared" si="19"/>
        <v>552.96</v>
      </c>
      <c r="AS137" s="45">
        <f ca="1" t="shared" si="20"/>
        <v>2304</v>
      </c>
      <c r="AT137" s="45">
        <f ca="1" t="shared" si="21"/>
        <v>64.2857142857143</v>
      </c>
      <c r="AU137" s="44">
        <f ca="1" t="shared" si="22"/>
        <v>22479000</v>
      </c>
      <c r="AV137" s="45">
        <f ca="1" t="shared" si="23"/>
        <v>12176.4617142857</v>
      </c>
    </row>
    <row r="138" spans="2:48">
      <c r="B138" s="10">
        <v>16</v>
      </c>
      <c r="C138" s="1" t="str">
        <f>IF(养成规划!C37="","",养成规划!C37)</f>
        <v/>
      </c>
      <c r="D138" s="1">
        <f ca="1">'102_建筑'!H376</f>
        <v>199080000</v>
      </c>
      <c r="E138" s="1">
        <f ca="1" t="shared" si="0"/>
        <v>132720000</v>
      </c>
      <c r="F138" s="15">
        <f ca="1">'102_建筑'!K376</f>
        <v>109522.944</v>
      </c>
      <c r="G138" s="15">
        <f ca="1" t="shared" si="1"/>
        <v>164284.416</v>
      </c>
      <c r="H138" s="1">
        <f ca="1">'203_采集'!K37</f>
        <v>112808653.425</v>
      </c>
      <c r="I138" s="1">
        <f ca="1">'204_军官任务'!L37</f>
        <v>4104000</v>
      </c>
      <c r="J138" s="1">
        <f>'205_每日任务'!E37</f>
        <v>19200000</v>
      </c>
      <c r="K138" s="1">
        <f ca="1">'207_空投'!G37</f>
        <v>42144000</v>
      </c>
      <c r="L138" s="1">
        <f ca="1">'210_活动'!I37</f>
        <v>26400000</v>
      </c>
      <c r="M138" s="1">
        <f ca="1">'211_VIP宝箱'!F37</f>
        <v>1935000</v>
      </c>
      <c r="N138" s="15">
        <f ca="1">'102_建筑'!E452</f>
        <v>58752</v>
      </c>
      <c r="O138" s="15">
        <f t="shared" si="2"/>
        <v>46080</v>
      </c>
      <c r="P138" s="15">
        <f ca="1">'201_打野'!F96</f>
        <v>10126.5</v>
      </c>
      <c r="Q138" s="15">
        <f ca="1">'202_黑鸦营地'!F86</f>
        <v>8007</v>
      </c>
      <c r="R138" s="15">
        <f ca="1">'204_军官任务'!O37</f>
        <v>1181.952</v>
      </c>
      <c r="S138" s="15">
        <f>'205_每日任务'!H37</f>
        <v>7372.8</v>
      </c>
      <c r="T138" s="15">
        <f ca="1">'208_黑市'!F37</f>
        <v>4008.96</v>
      </c>
      <c r="U138" s="15">
        <f ca="1">'210_活动'!L37</f>
        <v>12672</v>
      </c>
      <c r="V138" s="15">
        <f ca="1">'212_VIP商店'!F37</f>
        <v>675</v>
      </c>
      <c r="W138" s="1">
        <f ca="1" t="shared" si="3"/>
        <v>331800000</v>
      </c>
      <c r="X138" s="1">
        <f ca="1" t="shared" si="4"/>
        <v>206591653.425</v>
      </c>
      <c r="Y138" s="30"/>
      <c r="Z138" s="30"/>
      <c r="AA138" s="1">
        <f ca="1" t="shared" si="5"/>
        <v>273807.36</v>
      </c>
      <c r="AB138" s="1">
        <f ca="1" t="shared" si="6"/>
        <v>148876.212</v>
      </c>
      <c r="AC138" s="30"/>
      <c r="AD138" s="30"/>
      <c r="AF138" s="44">
        <f ca="1" t="shared" si="7"/>
        <v>13026960</v>
      </c>
      <c r="AG138" s="44">
        <f ca="1" t="shared" si="8"/>
        <v>432000</v>
      </c>
      <c r="AH138" s="44">
        <f t="shared" si="9"/>
        <v>1200000</v>
      </c>
      <c r="AI138" s="44">
        <f ca="1" t="shared" si="10"/>
        <v>2880000</v>
      </c>
      <c r="AJ138" s="44">
        <f ca="1" t="shared" si="11"/>
        <v>4800000</v>
      </c>
      <c r="AK138" s="44">
        <f ca="1" t="shared" si="12"/>
        <v>180000</v>
      </c>
      <c r="AL138" s="45">
        <f ca="1" t="shared" si="13"/>
        <v>4320</v>
      </c>
      <c r="AM138" s="45">
        <f t="shared" si="14"/>
        <v>2880</v>
      </c>
      <c r="AN138" s="45">
        <f ca="1" t="shared" si="15"/>
        <v>795</v>
      </c>
      <c r="AO138" s="45">
        <f ca="1" t="shared" si="16"/>
        <v>690</v>
      </c>
      <c r="AP138" s="45">
        <f ca="1" t="shared" si="17"/>
        <v>124.416</v>
      </c>
      <c r="AQ138" s="45">
        <f t="shared" si="18"/>
        <v>460.8</v>
      </c>
      <c r="AR138" s="45">
        <f ca="1" t="shared" si="19"/>
        <v>552.96</v>
      </c>
      <c r="AS138" s="45">
        <f ca="1" t="shared" si="20"/>
        <v>2304</v>
      </c>
      <c r="AT138" s="45">
        <f ca="1" t="shared" si="21"/>
        <v>64.2857142857143</v>
      </c>
      <c r="AU138" s="44">
        <f ca="1" t="shared" si="22"/>
        <v>22518960</v>
      </c>
      <c r="AV138" s="45">
        <f ca="1" t="shared" si="23"/>
        <v>12191.4617142857</v>
      </c>
    </row>
    <row r="139" spans="2:48">
      <c r="B139" s="10">
        <v>17</v>
      </c>
      <c r="C139" s="1">
        <f>IF(养成规划!C38="","",养成规划!C38)</f>
        <v>19</v>
      </c>
      <c r="D139" s="1">
        <f ca="1">'102_建筑'!H377</f>
        <v>217080000</v>
      </c>
      <c r="E139" s="1">
        <f ca="1" t="shared" ref="E139:E170" si="24">D139/$C$101*$C$102</f>
        <v>144720000</v>
      </c>
      <c r="F139" s="15">
        <f ca="1">'102_建筑'!K377</f>
        <v>116895.744</v>
      </c>
      <c r="G139" s="15">
        <f ca="1" t="shared" ref="G139:G170" si="25">F139/$D$101*$D$102</f>
        <v>175343.616</v>
      </c>
      <c r="H139" s="1">
        <f ca="1">'203_采集'!K38</f>
        <v>125875573.425</v>
      </c>
      <c r="I139" s="1">
        <f ca="1">'204_军官任务'!L38</f>
        <v>4536000</v>
      </c>
      <c r="J139" s="1">
        <f>'205_每日任务'!E38</f>
        <v>20400000</v>
      </c>
      <c r="K139" s="1">
        <f ca="1">'207_空投'!G38</f>
        <v>45024000</v>
      </c>
      <c r="L139" s="1">
        <f ca="1">'210_活动'!I38</f>
        <v>31200000</v>
      </c>
      <c r="M139" s="1">
        <f ca="1">'211_VIP宝箱'!F38</f>
        <v>2115000</v>
      </c>
      <c r="N139" s="15">
        <f ca="1">'102_建筑'!E453</f>
        <v>63072</v>
      </c>
      <c r="O139" s="15">
        <f t="shared" ref="O139:O170" si="26">B139*$E$96*24*60</f>
        <v>48960</v>
      </c>
      <c r="P139" s="15">
        <f ca="1">'201_打野'!F97</f>
        <v>10921.5</v>
      </c>
      <c r="Q139" s="15">
        <f ca="1">'202_黑鸦营地'!F87</f>
        <v>8697</v>
      </c>
      <c r="R139" s="15">
        <f ca="1">'204_军官任务'!O38</f>
        <v>1306.368</v>
      </c>
      <c r="S139" s="15">
        <f>'205_每日任务'!H38</f>
        <v>7833.6</v>
      </c>
      <c r="T139" s="15">
        <f ca="1">'208_黑市'!F38</f>
        <v>4561.92</v>
      </c>
      <c r="U139" s="15">
        <f ca="1">'210_活动'!L38</f>
        <v>14976</v>
      </c>
      <c r="V139" s="15">
        <f ca="1">'212_VIP商店'!F38</f>
        <v>739.285714285715</v>
      </c>
      <c r="W139" s="1">
        <f ca="1" t="shared" ref="W139:W170" si="27">D139+E139</f>
        <v>361800000</v>
      </c>
      <c r="X139" s="1">
        <f ca="1" t="shared" ref="X139:X170" si="28">SUM(H139:M139)</f>
        <v>229150573.425</v>
      </c>
      <c r="Y139" s="30"/>
      <c r="Z139" s="30"/>
      <c r="AA139" s="1">
        <f ca="1" t="shared" ref="AA139:AA170" si="29">F139+G139</f>
        <v>292239.36</v>
      </c>
      <c r="AB139" s="1">
        <f ca="1" t="shared" ref="AB139:AB170" si="30">SUM(N139:V139)</f>
        <v>161067.673714286</v>
      </c>
      <c r="AC139" s="30"/>
      <c r="AD139" s="30"/>
      <c r="AF139" s="44">
        <f ca="1" t="shared" si="7"/>
        <v>13066920</v>
      </c>
      <c r="AG139" s="44">
        <f ca="1" t="shared" si="8"/>
        <v>432000</v>
      </c>
      <c r="AH139" s="44">
        <f t="shared" si="9"/>
        <v>1200000</v>
      </c>
      <c r="AI139" s="44">
        <f ca="1" t="shared" si="10"/>
        <v>2880000</v>
      </c>
      <c r="AJ139" s="44">
        <f ca="1" t="shared" si="11"/>
        <v>4800000</v>
      </c>
      <c r="AK139" s="44">
        <f ca="1" t="shared" si="12"/>
        <v>180000</v>
      </c>
      <c r="AL139" s="45">
        <f ca="1" t="shared" si="13"/>
        <v>4320</v>
      </c>
      <c r="AM139" s="45">
        <f t="shared" si="14"/>
        <v>2880</v>
      </c>
      <c r="AN139" s="45">
        <f ca="1" t="shared" si="15"/>
        <v>795</v>
      </c>
      <c r="AO139" s="45">
        <f ca="1" t="shared" si="16"/>
        <v>690</v>
      </c>
      <c r="AP139" s="45">
        <f ca="1" t="shared" si="17"/>
        <v>124.416</v>
      </c>
      <c r="AQ139" s="45">
        <f t="shared" si="18"/>
        <v>460.8</v>
      </c>
      <c r="AR139" s="45">
        <f ca="1" t="shared" si="19"/>
        <v>552.96</v>
      </c>
      <c r="AS139" s="45">
        <f ca="1" t="shared" si="20"/>
        <v>2304</v>
      </c>
      <c r="AT139" s="45">
        <f ca="1" t="shared" si="21"/>
        <v>64.2857142857143</v>
      </c>
      <c r="AU139" s="44">
        <f ca="1" t="shared" si="22"/>
        <v>22558920</v>
      </c>
      <c r="AV139" s="45">
        <f ca="1" t="shared" si="23"/>
        <v>12191.4617142857</v>
      </c>
    </row>
    <row r="140" spans="2:48">
      <c r="B140" s="10">
        <v>18</v>
      </c>
      <c r="C140" s="1" t="str">
        <f>IF(养成规划!C39="","",养成规划!C39)</f>
        <v/>
      </c>
      <c r="D140" s="1">
        <f ca="1">'102_建筑'!H378</f>
        <v>237240000</v>
      </c>
      <c r="E140" s="1">
        <f ca="1" t="shared" si="24"/>
        <v>158160000</v>
      </c>
      <c r="F140" s="15">
        <f ca="1">'102_建筑'!K378</f>
        <v>125190.144</v>
      </c>
      <c r="G140" s="15">
        <f ca="1" t="shared" si="25"/>
        <v>187785.216</v>
      </c>
      <c r="H140" s="1">
        <f ca="1">'203_采集'!K39</f>
        <v>138982453.425</v>
      </c>
      <c r="I140" s="1">
        <f ca="1">'204_军官任务'!L39</f>
        <v>4968000</v>
      </c>
      <c r="J140" s="1">
        <f>'205_每日任务'!E39</f>
        <v>21600000</v>
      </c>
      <c r="K140" s="1">
        <f ca="1">'207_空投'!G39</f>
        <v>47904000</v>
      </c>
      <c r="L140" s="1">
        <f ca="1">'210_活动'!I39</f>
        <v>36000000</v>
      </c>
      <c r="M140" s="1">
        <f ca="1">'211_VIP宝箱'!F39</f>
        <v>2295000</v>
      </c>
      <c r="N140" s="15">
        <f ca="1">'102_建筑'!E454</f>
        <v>67392</v>
      </c>
      <c r="O140" s="15">
        <f t="shared" si="26"/>
        <v>51840</v>
      </c>
      <c r="P140" s="15">
        <f ca="1">'201_打野'!F98</f>
        <v>11716.5</v>
      </c>
      <c r="Q140" s="15">
        <f ca="1">'202_黑鸦营地'!F88</f>
        <v>9387</v>
      </c>
      <c r="R140" s="15">
        <f ca="1">'204_军官任务'!O39</f>
        <v>1430.784</v>
      </c>
      <c r="S140" s="15">
        <f>'205_每日任务'!H39</f>
        <v>8294.4</v>
      </c>
      <c r="T140" s="15">
        <f ca="1">'208_黑市'!F39</f>
        <v>5114.88</v>
      </c>
      <c r="U140" s="15">
        <f ca="1">'210_活动'!L39</f>
        <v>17280</v>
      </c>
      <c r="V140" s="15">
        <f ca="1">'212_VIP商店'!F39</f>
        <v>803.571428571429</v>
      </c>
      <c r="W140" s="1">
        <f ca="1" t="shared" si="27"/>
        <v>395400000</v>
      </c>
      <c r="X140" s="1">
        <f ca="1" t="shared" si="28"/>
        <v>251749453.425</v>
      </c>
      <c r="Y140" s="30"/>
      <c r="Z140" s="30"/>
      <c r="AA140" s="1">
        <f ca="1" t="shared" si="29"/>
        <v>312975.36</v>
      </c>
      <c r="AB140" s="1">
        <f ca="1" t="shared" si="30"/>
        <v>173259.135428571</v>
      </c>
      <c r="AC140" s="30"/>
      <c r="AD140" s="30"/>
      <c r="AF140" s="44">
        <f ca="1" t="shared" ref="AF140:AF171" si="31">(H140-H139)/($B140-$B139)</f>
        <v>13106880</v>
      </c>
      <c r="AG140" s="44">
        <f ca="1" t="shared" ref="AG140:AG171" si="32">(I140-I139)/($B140-$B139)</f>
        <v>432000</v>
      </c>
      <c r="AH140" s="44">
        <f t="shared" ref="AH140:AH171" si="33">(J140-J139)/($B140-$B139)</f>
        <v>1200000</v>
      </c>
      <c r="AI140" s="44">
        <f ca="1" t="shared" ref="AI140:AI171" si="34">(K140-K139)/($B140-$B139)</f>
        <v>2880000</v>
      </c>
      <c r="AJ140" s="44">
        <f ca="1" t="shared" ref="AJ140:AJ171" si="35">(L140-L139)/($B140-$B139)</f>
        <v>4800000</v>
      </c>
      <c r="AK140" s="44">
        <f ca="1" t="shared" ref="AK140:AK171" si="36">(M140-M139)/($B140-$B139)</f>
        <v>180000</v>
      </c>
      <c r="AL140" s="45">
        <f ca="1" t="shared" ref="AL140:AL171" si="37">(N140-N139)/($B140-$B139)</f>
        <v>4320</v>
      </c>
      <c r="AM140" s="45">
        <f t="shared" ref="AM140:AM171" si="38">(O140-O139)/($B140-$B139)</f>
        <v>2880</v>
      </c>
      <c r="AN140" s="45">
        <f ca="1" t="shared" ref="AN140:AN171" si="39">(P140-P139)/($B140-$B139)</f>
        <v>795</v>
      </c>
      <c r="AO140" s="45">
        <f ca="1" t="shared" ref="AO140:AO171" si="40">(Q140-Q139)/($B140-$B139)</f>
        <v>690</v>
      </c>
      <c r="AP140" s="45">
        <f ca="1" t="shared" ref="AP140:AP171" si="41">(R140-R139)/($B140-$B139)</f>
        <v>124.416</v>
      </c>
      <c r="AQ140" s="45">
        <f t="shared" ref="AQ140:AQ171" si="42">(S140-S139)/($B140-$B139)</f>
        <v>460.799999999999</v>
      </c>
      <c r="AR140" s="45">
        <f ca="1" t="shared" ref="AR140:AR171" si="43">(T140-T139)/($B140-$B139)</f>
        <v>552.96</v>
      </c>
      <c r="AS140" s="45">
        <f ca="1" t="shared" ref="AS140:AS171" si="44">(U140-U139)/($B140-$B139)</f>
        <v>2304</v>
      </c>
      <c r="AT140" s="45">
        <f ca="1" t="shared" ref="AT140:AT171" si="45">(V140-V139)/($B140-$B139)</f>
        <v>64.2857142857143</v>
      </c>
      <c r="AU140" s="44">
        <f ca="1" t="shared" ref="AU140:AU171" si="46">SUM(AF140:AK140)</f>
        <v>22598880</v>
      </c>
      <c r="AV140" s="45">
        <f ca="1" t="shared" ref="AV140:AV171" si="47">SUM(AL140:AT140)</f>
        <v>12191.4617142857</v>
      </c>
    </row>
    <row r="141" spans="2:48">
      <c r="B141" s="10">
        <v>19</v>
      </c>
      <c r="C141" s="1" t="str">
        <f>IF(养成规划!C40="","",养成规划!C40)</f>
        <v/>
      </c>
      <c r="D141" s="1">
        <f ca="1">'102_建筑'!H379</f>
        <v>257400000</v>
      </c>
      <c r="E141" s="1">
        <f ca="1" t="shared" si="24"/>
        <v>171600000</v>
      </c>
      <c r="F141" s="15">
        <f ca="1">'102_建筑'!K379</f>
        <v>133484.544</v>
      </c>
      <c r="G141" s="15">
        <f ca="1" t="shared" si="25"/>
        <v>200226.816</v>
      </c>
      <c r="H141" s="1">
        <f ca="1">'203_采集'!K40</f>
        <v>152129293.425</v>
      </c>
      <c r="I141" s="1">
        <f ca="1">'204_军官任务'!L40</f>
        <v>5400000</v>
      </c>
      <c r="J141" s="1">
        <f>'205_每日任务'!E40</f>
        <v>22800000</v>
      </c>
      <c r="K141" s="1">
        <f ca="1">'207_空投'!G40</f>
        <v>50784000</v>
      </c>
      <c r="L141" s="1">
        <f ca="1">'210_活动'!I40</f>
        <v>40800000</v>
      </c>
      <c r="M141" s="1">
        <f ca="1">'211_VIP宝箱'!F40</f>
        <v>2475000</v>
      </c>
      <c r="N141" s="15">
        <f ca="1">'102_建筑'!E455</f>
        <v>71712</v>
      </c>
      <c r="O141" s="15">
        <f t="shared" si="26"/>
        <v>54720</v>
      </c>
      <c r="P141" s="15">
        <f ca="1">'201_打野'!F99</f>
        <v>12526.5</v>
      </c>
      <c r="Q141" s="15">
        <f ca="1">'202_黑鸦营地'!F89</f>
        <v>10077</v>
      </c>
      <c r="R141" s="15">
        <f ca="1">'204_军官任务'!O40</f>
        <v>1555.2</v>
      </c>
      <c r="S141" s="15">
        <f>'205_每日任务'!H40</f>
        <v>8755.2</v>
      </c>
      <c r="T141" s="15">
        <f ca="1">'208_黑市'!F40</f>
        <v>5667.84</v>
      </c>
      <c r="U141" s="15">
        <f ca="1">'210_活动'!L40</f>
        <v>19584</v>
      </c>
      <c r="V141" s="15">
        <f ca="1">'212_VIP商店'!F40</f>
        <v>867.857142857143</v>
      </c>
      <c r="W141" s="1">
        <f ca="1" t="shared" si="27"/>
        <v>429000000</v>
      </c>
      <c r="X141" s="1">
        <f ca="1" t="shared" si="28"/>
        <v>274388293.425</v>
      </c>
      <c r="Y141" s="30"/>
      <c r="Z141" s="30"/>
      <c r="AA141" s="1">
        <f ca="1" t="shared" si="29"/>
        <v>333711.36</v>
      </c>
      <c r="AB141" s="1">
        <f ca="1" t="shared" si="30"/>
        <v>185465.597142857</v>
      </c>
      <c r="AC141" s="30"/>
      <c r="AD141" s="30"/>
      <c r="AF141" s="44">
        <f ca="1" t="shared" si="31"/>
        <v>13146840</v>
      </c>
      <c r="AG141" s="44">
        <f ca="1" t="shared" si="32"/>
        <v>432000</v>
      </c>
      <c r="AH141" s="44">
        <f t="shared" si="33"/>
        <v>1200000</v>
      </c>
      <c r="AI141" s="44">
        <f ca="1" t="shared" si="34"/>
        <v>2880000</v>
      </c>
      <c r="AJ141" s="44">
        <f ca="1" t="shared" si="35"/>
        <v>4800000</v>
      </c>
      <c r="AK141" s="44">
        <f ca="1" t="shared" si="36"/>
        <v>180000</v>
      </c>
      <c r="AL141" s="45">
        <f ca="1" t="shared" si="37"/>
        <v>4320</v>
      </c>
      <c r="AM141" s="45">
        <f t="shared" si="38"/>
        <v>2880</v>
      </c>
      <c r="AN141" s="45">
        <f ca="1" t="shared" si="39"/>
        <v>810</v>
      </c>
      <c r="AO141" s="45">
        <f ca="1" t="shared" si="40"/>
        <v>690</v>
      </c>
      <c r="AP141" s="45">
        <f ca="1" t="shared" si="41"/>
        <v>124.416</v>
      </c>
      <c r="AQ141" s="45">
        <f t="shared" si="42"/>
        <v>460.799999999999</v>
      </c>
      <c r="AR141" s="45">
        <f ca="1" t="shared" si="43"/>
        <v>552.96</v>
      </c>
      <c r="AS141" s="45">
        <f ca="1" t="shared" si="44"/>
        <v>2304</v>
      </c>
      <c r="AT141" s="45">
        <f ca="1" t="shared" si="45"/>
        <v>64.2857142857143</v>
      </c>
      <c r="AU141" s="44">
        <f ca="1" t="shared" si="46"/>
        <v>22638840</v>
      </c>
      <c r="AV141" s="45">
        <f ca="1" t="shared" si="47"/>
        <v>12206.4617142857</v>
      </c>
    </row>
    <row r="142" spans="2:48">
      <c r="B142" s="10">
        <v>20</v>
      </c>
      <c r="C142" s="1">
        <f>IF(养成规划!C41="","",养成规划!C41)</f>
        <v>20</v>
      </c>
      <c r="D142" s="1">
        <f ca="1">'102_建筑'!H380</f>
        <v>277560000</v>
      </c>
      <c r="E142" s="1">
        <f ca="1" t="shared" si="24"/>
        <v>185040000</v>
      </c>
      <c r="F142" s="15">
        <f ca="1">'102_建筑'!K380</f>
        <v>141778.944</v>
      </c>
      <c r="G142" s="15">
        <f ca="1" t="shared" si="25"/>
        <v>212668.416</v>
      </c>
      <c r="H142" s="1">
        <f ca="1">'203_采集'!K41</f>
        <v>165316093.425</v>
      </c>
      <c r="I142" s="1">
        <f ca="1">'204_军官任务'!L41</f>
        <v>5832000</v>
      </c>
      <c r="J142" s="1">
        <f>'205_每日任务'!E41</f>
        <v>24000000</v>
      </c>
      <c r="K142" s="1">
        <f ca="1">'207_空投'!G41</f>
        <v>55584000</v>
      </c>
      <c r="L142" s="1">
        <f ca="1">'210_活动'!I41</f>
        <v>45600000</v>
      </c>
      <c r="M142" s="1">
        <f ca="1">'211_VIP宝箱'!F41</f>
        <v>2685000</v>
      </c>
      <c r="N142" s="15">
        <f ca="1">'102_建筑'!E456</f>
        <v>77472</v>
      </c>
      <c r="O142" s="15">
        <f t="shared" si="26"/>
        <v>57600</v>
      </c>
      <c r="P142" s="15">
        <f ca="1">'201_打野'!F100</f>
        <v>13336.5</v>
      </c>
      <c r="Q142" s="15">
        <f ca="1">'202_黑鸦营地'!F90</f>
        <v>10767</v>
      </c>
      <c r="R142" s="15">
        <f ca="1">'204_军官任务'!O41</f>
        <v>1679.616</v>
      </c>
      <c r="S142" s="15">
        <f>'205_每日任务'!H41</f>
        <v>9216</v>
      </c>
      <c r="T142" s="15">
        <f ca="1">'208_黑市'!F41</f>
        <v>6220.8</v>
      </c>
      <c r="U142" s="15">
        <f ca="1">'210_活动'!L41</f>
        <v>21888</v>
      </c>
      <c r="V142" s="15">
        <f ca="1">'212_VIP商店'!F41</f>
        <v>932.142857142858</v>
      </c>
      <c r="W142" s="1">
        <f ca="1" t="shared" si="27"/>
        <v>462600000</v>
      </c>
      <c r="X142" s="1">
        <f ca="1" t="shared" si="28"/>
        <v>299017093.425</v>
      </c>
      <c r="Y142" s="30"/>
      <c r="Z142" s="30"/>
      <c r="AA142" s="1">
        <f ca="1" t="shared" si="29"/>
        <v>354447.36</v>
      </c>
      <c r="AB142" s="1">
        <f ca="1" t="shared" si="30"/>
        <v>199112.058857143</v>
      </c>
      <c r="AC142" s="30"/>
      <c r="AD142" s="30"/>
      <c r="AF142" s="44">
        <f ca="1" t="shared" si="31"/>
        <v>13186800</v>
      </c>
      <c r="AG142" s="44">
        <f ca="1" t="shared" si="32"/>
        <v>432000</v>
      </c>
      <c r="AH142" s="44">
        <f t="shared" si="33"/>
        <v>1200000</v>
      </c>
      <c r="AI142" s="44">
        <f ca="1" t="shared" si="34"/>
        <v>4800000</v>
      </c>
      <c r="AJ142" s="44">
        <f ca="1" t="shared" si="35"/>
        <v>4800000</v>
      </c>
      <c r="AK142" s="44">
        <f ca="1" t="shared" si="36"/>
        <v>210000</v>
      </c>
      <c r="AL142" s="45">
        <f ca="1" t="shared" si="37"/>
        <v>5760</v>
      </c>
      <c r="AM142" s="45">
        <f t="shared" si="38"/>
        <v>2880</v>
      </c>
      <c r="AN142" s="45">
        <f ca="1" t="shared" si="39"/>
        <v>810</v>
      </c>
      <c r="AO142" s="45">
        <f ca="1" t="shared" si="40"/>
        <v>690</v>
      </c>
      <c r="AP142" s="45">
        <f ca="1" t="shared" si="41"/>
        <v>124.416</v>
      </c>
      <c r="AQ142" s="45">
        <f t="shared" si="42"/>
        <v>460.799999999999</v>
      </c>
      <c r="AR142" s="45">
        <f ca="1" t="shared" si="43"/>
        <v>552.96</v>
      </c>
      <c r="AS142" s="45">
        <f ca="1" t="shared" si="44"/>
        <v>2304</v>
      </c>
      <c r="AT142" s="45">
        <f ca="1" t="shared" si="45"/>
        <v>64.2857142857143</v>
      </c>
      <c r="AU142" s="44">
        <f ca="1" t="shared" si="46"/>
        <v>24628800</v>
      </c>
      <c r="AV142" s="45">
        <f ca="1" t="shared" si="47"/>
        <v>13646.4617142857</v>
      </c>
    </row>
    <row r="143" spans="2:48">
      <c r="B143" s="10">
        <v>21</v>
      </c>
      <c r="C143" s="1" t="str">
        <f>IF(养成规划!C42="","",养成规划!C42)</f>
        <v/>
      </c>
      <c r="D143" s="1">
        <f ca="1">'102_建筑'!H381</f>
        <v>299880000</v>
      </c>
      <c r="E143" s="1">
        <f ca="1" t="shared" si="24"/>
        <v>199920000</v>
      </c>
      <c r="F143" s="15">
        <f ca="1">'102_建筑'!K381</f>
        <v>150994.944</v>
      </c>
      <c r="G143" s="15">
        <f ca="1" t="shared" si="25"/>
        <v>226492.416</v>
      </c>
      <c r="H143" s="1">
        <f ca="1">'203_采集'!K42</f>
        <v>178902493.425</v>
      </c>
      <c r="I143" s="1">
        <f ca="1">'204_军官任务'!L42</f>
        <v>6264000</v>
      </c>
      <c r="J143" s="1">
        <f>'205_每日任务'!E42</f>
        <v>25200000</v>
      </c>
      <c r="K143" s="1">
        <f ca="1">'207_空投'!G42</f>
        <v>60384000</v>
      </c>
      <c r="L143" s="1">
        <f ca="1">'210_活动'!I42</f>
        <v>50400000</v>
      </c>
      <c r="M143" s="1">
        <f ca="1">'211_VIP宝箱'!F42</f>
        <v>2895000</v>
      </c>
      <c r="N143" s="15">
        <f ca="1">'102_建筑'!E457</f>
        <v>83232</v>
      </c>
      <c r="O143" s="15">
        <f t="shared" si="26"/>
        <v>60480</v>
      </c>
      <c r="P143" s="15">
        <f ca="1">'201_打野'!F101</f>
        <v>14146.5</v>
      </c>
      <c r="Q143" s="15">
        <f ca="1">'202_黑鸦营地'!F91</f>
        <v>11457</v>
      </c>
      <c r="R143" s="15">
        <f ca="1">'204_军官任务'!O42</f>
        <v>1804.032</v>
      </c>
      <c r="S143" s="15">
        <f>'205_每日任务'!H42</f>
        <v>9676.8</v>
      </c>
      <c r="T143" s="15">
        <f ca="1">'208_黑市'!F42</f>
        <v>6773.76</v>
      </c>
      <c r="U143" s="15">
        <f ca="1">'210_活动'!L42</f>
        <v>24192</v>
      </c>
      <c r="V143" s="15">
        <f ca="1">'212_VIP商店'!F42</f>
        <v>996.428571428572</v>
      </c>
      <c r="W143" s="1">
        <f ca="1" t="shared" si="27"/>
        <v>499800000</v>
      </c>
      <c r="X143" s="1">
        <f ca="1" t="shared" si="28"/>
        <v>324045493.425</v>
      </c>
      <c r="Y143" s="30"/>
      <c r="Z143" s="30"/>
      <c r="AA143" s="1">
        <f ca="1" t="shared" si="29"/>
        <v>377487.36</v>
      </c>
      <c r="AB143" s="1">
        <f ca="1" t="shared" si="30"/>
        <v>212758.520571429</v>
      </c>
      <c r="AC143" s="30"/>
      <c r="AD143" s="30"/>
      <c r="AF143" s="44">
        <f ca="1" t="shared" si="31"/>
        <v>13586400</v>
      </c>
      <c r="AG143" s="44">
        <f ca="1" t="shared" si="32"/>
        <v>432000</v>
      </c>
      <c r="AH143" s="44">
        <f t="shared" si="33"/>
        <v>1200000</v>
      </c>
      <c r="AI143" s="44">
        <f ca="1" t="shared" si="34"/>
        <v>4800000</v>
      </c>
      <c r="AJ143" s="44">
        <f ca="1" t="shared" si="35"/>
        <v>4800000</v>
      </c>
      <c r="AK143" s="44">
        <f ca="1" t="shared" si="36"/>
        <v>210000</v>
      </c>
      <c r="AL143" s="45">
        <f ca="1" t="shared" si="37"/>
        <v>5760</v>
      </c>
      <c r="AM143" s="45">
        <f t="shared" si="38"/>
        <v>2880</v>
      </c>
      <c r="AN143" s="45">
        <f ca="1" t="shared" si="39"/>
        <v>810</v>
      </c>
      <c r="AO143" s="45">
        <f ca="1" t="shared" si="40"/>
        <v>690</v>
      </c>
      <c r="AP143" s="45">
        <f ca="1" t="shared" si="41"/>
        <v>124.416</v>
      </c>
      <c r="AQ143" s="45">
        <f t="shared" si="42"/>
        <v>460.799999999999</v>
      </c>
      <c r="AR143" s="45">
        <f ca="1" t="shared" si="43"/>
        <v>552.96</v>
      </c>
      <c r="AS143" s="45">
        <f ca="1" t="shared" si="44"/>
        <v>2304</v>
      </c>
      <c r="AT143" s="45">
        <f ca="1" t="shared" si="45"/>
        <v>64.2857142857143</v>
      </c>
      <c r="AU143" s="44">
        <f ca="1" t="shared" si="46"/>
        <v>25028400</v>
      </c>
      <c r="AV143" s="45">
        <f ca="1" t="shared" si="47"/>
        <v>13646.4617142857</v>
      </c>
    </row>
    <row r="144" spans="2:48">
      <c r="B144" s="10">
        <v>22</v>
      </c>
      <c r="C144" s="1" t="str">
        <f>IF(养成规划!C43="","",养成规划!C43)</f>
        <v/>
      </c>
      <c r="D144" s="1">
        <f ca="1">'102_建筑'!H382</f>
        <v>322200000</v>
      </c>
      <c r="E144" s="1">
        <f ca="1" t="shared" si="24"/>
        <v>214800000</v>
      </c>
      <c r="F144" s="15">
        <f ca="1">'102_建筑'!K382</f>
        <v>160210.944</v>
      </c>
      <c r="G144" s="15">
        <f ca="1" t="shared" si="25"/>
        <v>240316.416</v>
      </c>
      <c r="H144" s="1">
        <f ca="1">'203_采集'!K43</f>
        <v>192888493.425</v>
      </c>
      <c r="I144" s="1">
        <f ca="1">'204_军官任务'!L43</f>
        <v>6696000</v>
      </c>
      <c r="J144" s="1">
        <f>'205_每日任务'!E43</f>
        <v>26400000</v>
      </c>
      <c r="K144" s="1">
        <f ca="1">'207_空投'!G43</f>
        <v>65184000</v>
      </c>
      <c r="L144" s="1">
        <f ca="1">'210_活动'!I43</f>
        <v>55200000</v>
      </c>
      <c r="M144" s="1">
        <f ca="1">'211_VIP宝箱'!F43</f>
        <v>3105000</v>
      </c>
      <c r="N144" s="15">
        <f ca="1">'102_建筑'!E458</f>
        <v>88992</v>
      </c>
      <c r="O144" s="15">
        <f t="shared" si="26"/>
        <v>63360</v>
      </c>
      <c r="P144" s="15">
        <f ca="1">'201_打野'!F102</f>
        <v>15046.5</v>
      </c>
      <c r="Q144" s="15">
        <f ca="1">'202_黑鸦营地'!F92</f>
        <v>12147</v>
      </c>
      <c r="R144" s="15">
        <f ca="1">'204_军官任务'!O43</f>
        <v>1928.448</v>
      </c>
      <c r="S144" s="15">
        <f>'205_每日任务'!H43</f>
        <v>10137.6</v>
      </c>
      <c r="T144" s="15">
        <f ca="1">'208_黑市'!F43</f>
        <v>7326.72</v>
      </c>
      <c r="U144" s="15">
        <f ca="1">'210_活动'!L43</f>
        <v>26496</v>
      </c>
      <c r="V144" s="15">
        <f ca="1">'212_VIP商店'!F43</f>
        <v>1060.71428571429</v>
      </c>
      <c r="W144" s="1">
        <f ca="1" t="shared" si="27"/>
        <v>537000000</v>
      </c>
      <c r="X144" s="1">
        <f ca="1" t="shared" si="28"/>
        <v>349473493.425</v>
      </c>
      <c r="Y144" s="30"/>
      <c r="Z144" s="30"/>
      <c r="AA144" s="1">
        <f ca="1" t="shared" si="29"/>
        <v>400527.36</v>
      </c>
      <c r="AB144" s="1">
        <f ca="1" t="shared" si="30"/>
        <v>226494.982285714</v>
      </c>
      <c r="AC144" s="30"/>
      <c r="AD144" s="30"/>
      <c r="AF144" s="44">
        <f ca="1" t="shared" si="31"/>
        <v>13986000</v>
      </c>
      <c r="AG144" s="44">
        <f ca="1" t="shared" si="32"/>
        <v>432000</v>
      </c>
      <c r="AH144" s="44">
        <f t="shared" si="33"/>
        <v>1200000</v>
      </c>
      <c r="AI144" s="44">
        <f ca="1" t="shared" si="34"/>
        <v>4800000</v>
      </c>
      <c r="AJ144" s="44">
        <f ca="1" t="shared" si="35"/>
        <v>4800000</v>
      </c>
      <c r="AK144" s="44">
        <f ca="1" t="shared" si="36"/>
        <v>210000</v>
      </c>
      <c r="AL144" s="45">
        <f ca="1" t="shared" si="37"/>
        <v>5760</v>
      </c>
      <c r="AM144" s="45">
        <f t="shared" si="38"/>
        <v>2880</v>
      </c>
      <c r="AN144" s="45">
        <f ca="1" t="shared" si="39"/>
        <v>900</v>
      </c>
      <c r="AO144" s="45">
        <f ca="1" t="shared" si="40"/>
        <v>690</v>
      </c>
      <c r="AP144" s="45">
        <f ca="1" t="shared" si="41"/>
        <v>124.416</v>
      </c>
      <c r="AQ144" s="45">
        <f t="shared" si="42"/>
        <v>460.799999999999</v>
      </c>
      <c r="AR144" s="45">
        <f ca="1" t="shared" si="43"/>
        <v>552.96</v>
      </c>
      <c r="AS144" s="45">
        <f ca="1" t="shared" si="44"/>
        <v>2304</v>
      </c>
      <c r="AT144" s="45">
        <f ca="1" t="shared" si="45"/>
        <v>64.2857142857142</v>
      </c>
      <c r="AU144" s="44">
        <f ca="1" t="shared" si="46"/>
        <v>25428000</v>
      </c>
      <c r="AV144" s="45">
        <f ca="1" t="shared" si="47"/>
        <v>13736.4617142857</v>
      </c>
    </row>
    <row r="145" spans="2:48">
      <c r="B145" s="10">
        <v>23</v>
      </c>
      <c r="C145" s="1">
        <f>IF(养成规划!C44="","",养成规划!C44)</f>
        <v>21</v>
      </c>
      <c r="D145" s="1">
        <f ca="1">'102_建筑'!H383</f>
        <v>344520000</v>
      </c>
      <c r="E145" s="1">
        <f ca="1" t="shared" si="24"/>
        <v>229680000</v>
      </c>
      <c r="F145" s="15">
        <f ca="1">'102_建筑'!K383</f>
        <v>169426.944</v>
      </c>
      <c r="G145" s="15">
        <f ca="1" t="shared" si="25"/>
        <v>254140.416</v>
      </c>
      <c r="H145" s="1">
        <f ca="1">'203_采集'!K44</f>
        <v>207274093.425</v>
      </c>
      <c r="I145" s="1">
        <f ca="1">'204_军官任务'!L44</f>
        <v>7128000</v>
      </c>
      <c r="J145" s="1">
        <f>'205_每日任务'!E44</f>
        <v>27600000</v>
      </c>
      <c r="K145" s="1">
        <f ca="1">'207_空投'!G44</f>
        <v>69984000</v>
      </c>
      <c r="L145" s="1">
        <f ca="1">'210_活动'!I44</f>
        <v>60000000</v>
      </c>
      <c r="M145" s="1">
        <f ca="1">'211_VIP宝箱'!F44</f>
        <v>3315000</v>
      </c>
      <c r="N145" s="15">
        <f ca="1">'102_建筑'!E459</f>
        <v>94752</v>
      </c>
      <c r="O145" s="15">
        <f t="shared" si="26"/>
        <v>66240</v>
      </c>
      <c r="P145" s="15">
        <f ca="1">'201_打野'!F103</f>
        <v>15946.5</v>
      </c>
      <c r="Q145" s="15">
        <f ca="1">'202_黑鸦营地'!F93</f>
        <v>12837</v>
      </c>
      <c r="R145" s="15">
        <f ca="1">'204_军官任务'!O44</f>
        <v>2052.864</v>
      </c>
      <c r="S145" s="15">
        <f>'205_每日任务'!H44</f>
        <v>10598.4</v>
      </c>
      <c r="T145" s="15">
        <f ca="1">'208_黑市'!F44</f>
        <v>7879.68</v>
      </c>
      <c r="U145" s="15">
        <f ca="1">'210_活动'!L44</f>
        <v>28800</v>
      </c>
      <c r="V145" s="15">
        <f ca="1">'212_VIP商店'!F44</f>
        <v>1125</v>
      </c>
      <c r="W145" s="1">
        <f ca="1" t="shared" si="27"/>
        <v>574200000</v>
      </c>
      <c r="X145" s="1">
        <f ca="1" t="shared" si="28"/>
        <v>375301093.425</v>
      </c>
      <c r="Y145" s="30"/>
      <c r="Z145" s="30"/>
      <c r="AA145" s="1">
        <f ca="1" t="shared" si="29"/>
        <v>423567.36</v>
      </c>
      <c r="AB145" s="1">
        <f ca="1" t="shared" si="30"/>
        <v>240231.444</v>
      </c>
      <c r="AC145" s="30"/>
      <c r="AD145" s="30"/>
      <c r="AF145" s="44">
        <f ca="1" t="shared" si="31"/>
        <v>14385600</v>
      </c>
      <c r="AG145" s="44">
        <f ca="1" t="shared" si="32"/>
        <v>432000</v>
      </c>
      <c r="AH145" s="44">
        <f t="shared" si="33"/>
        <v>1200000</v>
      </c>
      <c r="AI145" s="44">
        <f ca="1" t="shared" si="34"/>
        <v>4800000</v>
      </c>
      <c r="AJ145" s="44">
        <f ca="1" t="shared" si="35"/>
        <v>4800000</v>
      </c>
      <c r="AK145" s="44">
        <f ca="1" t="shared" si="36"/>
        <v>210000</v>
      </c>
      <c r="AL145" s="45">
        <f ca="1" t="shared" si="37"/>
        <v>5760</v>
      </c>
      <c r="AM145" s="45">
        <f t="shared" si="38"/>
        <v>2880</v>
      </c>
      <c r="AN145" s="45">
        <f ca="1" t="shared" si="39"/>
        <v>900</v>
      </c>
      <c r="AO145" s="45">
        <f ca="1" t="shared" si="40"/>
        <v>690</v>
      </c>
      <c r="AP145" s="45">
        <f ca="1" t="shared" si="41"/>
        <v>124.416</v>
      </c>
      <c r="AQ145" s="45">
        <f t="shared" si="42"/>
        <v>460.799999999999</v>
      </c>
      <c r="AR145" s="45">
        <f ca="1" t="shared" si="43"/>
        <v>552.96</v>
      </c>
      <c r="AS145" s="45">
        <f ca="1" t="shared" si="44"/>
        <v>2304</v>
      </c>
      <c r="AT145" s="45">
        <f ca="1" t="shared" si="45"/>
        <v>64.2857142857142</v>
      </c>
      <c r="AU145" s="44">
        <f ca="1" t="shared" si="46"/>
        <v>25827600</v>
      </c>
      <c r="AV145" s="45">
        <f ca="1" t="shared" si="47"/>
        <v>13736.4617142857</v>
      </c>
    </row>
    <row r="146" spans="2:48">
      <c r="B146" s="10">
        <v>24</v>
      </c>
      <c r="C146" s="1" t="str">
        <f>IF(养成规划!C45="","",养成规划!C45)</f>
        <v/>
      </c>
      <c r="D146" s="1">
        <f ca="1">'102_建筑'!H384</f>
        <v>368280000</v>
      </c>
      <c r="E146" s="1">
        <f ca="1" t="shared" si="24"/>
        <v>245520000</v>
      </c>
      <c r="F146" s="15">
        <f ca="1">'102_建筑'!K384</f>
        <v>179564.544</v>
      </c>
      <c r="G146" s="15">
        <f ca="1" t="shared" si="25"/>
        <v>269346.816</v>
      </c>
      <c r="H146" s="1">
        <f ca="1">'203_采集'!K45</f>
        <v>222059293.425</v>
      </c>
      <c r="I146" s="1">
        <f ca="1">'204_军官任务'!L45</f>
        <v>7560000</v>
      </c>
      <c r="J146" s="1">
        <f>'205_每日任务'!E45</f>
        <v>28800000</v>
      </c>
      <c r="K146" s="1">
        <f ca="1">'207_空投'!G45</f>
        <v>74784000</v>
      </c>
      <c r="L146" s="1">
        <f ca="1">'210_活动'!I45</f>
        <v>64800000</v>
      </c>
      <c r="M146" s="1">
        <f ca="1">'211_VIP宝箱'!F45</f>
        <v>3525000</v>
      </c>
      <c r="N146" s="15">
        <f ca="1">'102_建筑'!E460</f>
        <v>100512</v>
      </c>
      <c r="O146" s="15">
        <f t="shared" si="26"/>
        <v>69120</v>
      </c>
      <c r="P146" s="15">
        <f ca="1">'201_打野'!F104</f>
        <v>16846.5</v>
      </c>
      <c r="Q146" s="15">
        <f ca="1">'202_黑鸦营地'!F94</f>
        <v>13527</v>
      </c>
      <c r="R146" s="15">
        <f ca="1">'204_军官任务'!O45</f>
        <v>2177.28</v>
      </c>
      <c r="S146" s="15">
        <f>'205_每日任务'!H45</f>
        <v>11059.2</v>
      </c>
      <c r="T146" s="15">
        <f ca="1">'208_黑市'!F45</f>
        <v>8432.64</v>
      </c>
      <c r="U146" s="15">
        <f ca="1">'210_活动'!L45</f>
        <v>31104</v>
      </c>
      <c r="V146" s="15">
        <f ca="1">'212_VIP商店'!F45</f>
        <v>1189.28571428571</v>
      </c>
      <c r="W146" s="1">
        <f ca="1" t="shared" si="27"/>
        <v>613800000</v>
      </c>
      <c r="X146" s="1">
        <f ca="1" t="shared" si="28"/>
        <v>401528293.425</v>
      </c>
      <c r="Y146" s="30"/>
      <c r="Z146" s="30"/>
      <c r="AA146" s="1">
        <f ca="1" t="shared" si="29"/>
        <v>448911.36</v>
      </c>
      <c r="AB146" s="1">
        <f ca="1" t="shared" si="30"/>
        <v>253967.905714286</v>
      </c>
      <c r="AC146" s="30"/>
      <c r="AD146" s="30"/>
      <c r="AF146" s="44">
        <f ca="1" t="shared" si="31"/>
        <v>14785200</v>
      </c>
      <c r="AG146" s="44">
        <f ca="1" t="shared" si="32"/>
        <v>432000</v>
      </c>
      <c r="AH146" s="44">
        <f t="shared" si="33"/>
        <v>1200000</v>
      </c>
      <c r="AI146" s="44">
        <f ca="1" t="shared" si="34"/>
        <v>4800000</v>
      </c>
      <c r="AJ146" s="44">
        <f ca="1" t="shared" si="35"/>
        <v>4800000</v>
      </c>
      <c r="AK146" s="44">
        <f ca="1" t="shared" si="36"/>
        <v>210000</v>
      </c>
      <c r="AL146" s="45">
        <f ca="1" t="shared" si="37"/>
        <v>5760</v>
      </c>
      <c r="AM146" s="45">
        <f t="shared" si="38"/>
        <v>2880</v>
      </c>
      <c r="AN146" s="45">
        <f ca="1" t="shared" si="39"/>
        <v>900</v>
      </c>
      <c r="AO146" s="45">
        <f ca="1" t="shared" si="40"/>
        <v>690</v>
      </c>
      <c r="AP146" s="45">
        <f ca="1" t="shared" si="41"/>
        <v>124.416</v>
      </c>
      <c r="AQ146" s="45">
        <f t="shared" si="42"/>
        <v>460.799999999999</v>
      </c>
      <c r="AR146" s="45">
        <f ca="1" t="shared" si="43"/>
        <v>552.959999999999</v>
      </c>
      <c r="AS146" s="45">
        <f ca="1" t="shared" si="44"/>
        <v>2304</v>
      </c>
      <c r="AT146" s="45">
        <f ca="1" t="shared" si="45"/>
        <v>64.2857142857142</v>
      </c>
      <c r="AU146" s="44">
        <f ca="1" t="shared" si="46"/>
        <v>26227200</v>
      </c>
      <c r="AV146" s="45">
        <f ca="1" t="shared" si="47"/>
        <v>13736.4617142857</v>
      </c>
    </row>
    <row r="147" spans="2:48">
      <c r="B147" s="10">
        <v>25</v>
      </c>
      <c r="C147" s="1" t="str">
        <f>IF(养成规划!C46="","",养成规划!C46)</f>
        <v/>
      </c>
      <c r="D147" s="1">
        <f ca="1">'102_建筑'!H385</f>
        <v>392040000</v>
      </c>
      <c r="E147" s="1">
        <f ca="1" t="shared" si="24"/>
        <v>261360000</v>
      </c>
      <c r="F147" s="15">
        <f ca="1">'102_建筑'!K385</f>
        <v>189702.144</v>
      </c>
      <c r="G147" s="15">
        <f ca="1" t="shared" si="25"/>
        <v>284553.216</v>
      </c>
      <c r="H147" s="1">
        <f ca="1">'203_采集'!K46</f>
        <v>236939636.282143</v>
      </c>
      <c r="I147" s="1">
        <f ca="1">'204_军官任务'!L46</f>
        <v>7992000</v>
      </c>
      <c r="J147" s="1">
        <f>'205_每日任务'!E46</f>
        <v>30000000</v>
      </c>
      <c r="K147" s="1">
        <f ca="1">'207_空投'!G46</f>
        <v>79584000</v>
      </c>
      <c r="L147" s="1">
        <f ca="1">'210_活动'!I46</f>
        <v>69600000</v>
      </c>
      <c r="M147" s="1">
        <f ca="1">'211_VIP宝箱'!F46</f>
        <v>3735000</v>
      </c>
      <c r="N147" s="15">
        <f ca="1">'102_建筑'!E461</f>
        <v>106272</v>
      </c>
      <c r="O147" s="15">
        <f t="shared" si="26"/>
        <v>72000</v>
      </c>
      <c r="P147" s="15">
        <f ca="1">'201_打野'!F105</f>
        <v>17896.5</v>
      </c>
      <c r="Q147" s="15">
        <f ca="1">'202_黑鸦营地'!F95</f>
        <v>14217</v>
      </c>
      <c r="R147" s="15">
        <f ca="1">'204_军官任务'!O46</f>
        <v>2301.696</v>
      </c>
      <c r="S147" s="15">
        <f>'205_每日任务'!H46</f>
        <v>11520</v>
      </c>
      <c r="T147" s="15">
        <f ca="1">'208_黑市'!F46</f>
        <v>8985.6</v>
      </c>
      <c r="U147" s="15">
        <f ca="1">'210_活动'!L46</f>
        <v>33408</v>
      </c>
      <c r="V147" s="15">
        <f ca="1">'212_VIP商店'!F46</f>
        <v>1253.57142857143</v>
      </c>
      <c r="W147" s="1">
        <f ca="1" t="shared" si="27"/>
        <v>653400000</v>
      </c>
      <c r="X147" s="1">
        <f ca="1" t="shared" si="28"/>
        <v>427850636.282143</v>
      </c>
      <c r="Y147" s="30"/>
      <c r="Z147" s="30"/>
      <c r="AA147" s="1">
        <f ca="1" t="shared" si="29"/>
        <v>474255.36</v>
      </c>
      <c r="AB147" s="1">
        <f ca="1" t="shared" si="30"/>
        <v>267854.367428571</v>
      </c>
      <c r="AC147" s="30"/>
      <c r="AD147" s="30"/>
      <c r="AF147" s="44">
        <f ca="1" t="shared" si="31"/>
        <v>14880342.8571428</v>
      </c>
      <c r="AG147" s="44">
        <f ca="1" t="shared" si="32"/>
        <v>432000</v>
      </c>
      <c r="AH147" s="44">
        <f t="shared" si="33"/>
        <v>1200000</v>
      </c>
      <c r="AI147" s="44">
        <f ca="1" t="shared" si="34"/>
        <v>4800000</v>
      </c>
      <c r="AJ147" s="44">
        <f ca="1" t="shared" si="35"/>
        <v>4800000</v>
      </c>
      <c r="AK147" s="44">
        <f ca="1" t="shared" si="36"/>
        <v>210000</v>
      </c>
      <c r="AL147" s="45">
        <f ca="1" t="shared" si="37"/>
        <v>5760</v>
      </c>
      <c r="AM147" s="45">
        <f t="shared" si="38"/>
        <v>2880</v>
      </c>
      <c r="AN147" s="45">
        <f ca="1" t="shared" si="39"/>
        <v>1050</v>
      </c>
      <c r="AO147" s="45">
        <f ca="1" t="shared" si="40"/>
        <v>690</v>
      </c>
      <c r="AP147" s="45">
        <f ca="1" t="shared" si="41"/>
        <v>124.416</v>
      </c>
      <c r="AQ147" s="45">
        <f t="shared" si="42"/>
        <v>460.799999999999</v>
      </c>
      <c r="AR147" s="45">
        <f ca="1" t="shared" si="43"/>
        <v>552.959999999999</v>
      </c>
      <c r="AS147" s="45">
        <f ca="1" t="shared" si="44"/>
        <v>2304</v>
      </c>
      <c r="AT147" s="45">
        <f ca="1" t="shared" si="45"/>
        <v>64.2857142857142</v>
      </c>
      <c r="AU147" s="44">
        <f ca="1" t="shared" si="46"/>
        <v>26322342.8571428</v>
      </c>
      <c r="AV147" s="45">
        <f ca="1" t="shared" si="47"/>
        <v>13886.4617142857</v>
      </c>
    </row>
    <row r="148" spans="2:48">
      <c r="B148" s="10">
        <v>26</v>
      </c>
      <c r="C148" s="1">
        <f>IF(养成规划!C47="","",养成规划!C47)</f>
        <v>22</v>
      </c>
      <c r="D148" s="1">
        <f ca="1">'102_建筑'!H386</f>
        <v>415800000</v>
      </c>
      <c r="E148" s="1">
        <f ca="1" t="shared" si="24"/>
        <v>277200000</v>
      </c>
      <c r="F148" s="15">
        <f ca="1">'102_建筑'!K386</f>
        <v>199839.744</v>
      </c>
      <c r="G148" s="15">
        <f ca="1" t="shared" si="25"/>
        <v>299759.616</v>
      </c>
      <c r="H148" s="1">
        <f ca="1">'203_采集'!K47</f>
        <v>251915121.996428</v>
      </c>
      <c r="I148" s="1">
        <f ca="1">'204_军官任务'!L47</f>
        <v>8424000</v>
      </c>
      <c r="J148" s="1">
        <f>'205_每日任务'!E47</f>
        <v>31200000</v>
      </c>
      <c r="K148" s="1">
        <f ca="1">'207_空投'!G47</f>
        <v>84384000</v>
      </c>
      <c r="L148" s="1">
        <f ca="1">'210_活动'!I47</f>
        <v>74400000</v>
      </c>
      <c r="M148" s="1">
        <f ca="1">'211_VIP宝箱'!F47</f>
        <v>3945000</v>
      </c>
      <c r="N148" s="15">
        <f ca="1">'102_建筑'!E462</f>
        <v>112032</v>
      </c>
      <c r="O148" s="15">
        <f t="shared" si="26"/>
        <v>74880</v>
      </c>
      <c r="P148" s="15">
        <f ca="1">'201_打野'!F106</f>
        <v>18946.5</v>
      </c>
      <c r="Q148" s="15">
        <f ca="1">'202_黑鸦营地'!F96</f>
        <v>14907</v>
      </c>
      <c r="R148" s="15">
        <f ca="1">'204_军官任务'!O47</f>
        <v>2426.112</v>
      </c>
      <c r="S148" s="15">
        <f>'205_每日任务'!H47</f>
        <v>11980.8</v>
      </c>
      <c r="T148" s="15">
        <f ca="1">'208_黑市'!F47</f>
        <v>9538.56</v>
      </c>
      <c r="U148" s="15">
        <f ca="1">'210_活动'!L47</f>
        <v>35712</v>
      </c>
      <c r="V148" s="15">
        <f ca="1">'212_VIP商店'!F47</f>
        <v>1317.85714285714</v>
      </c>
      <c r="W148" s="1">
        <f ca="1" t="shared" si="27"/>
        <v>693000000</v>
      </c>
      <c r="X148" s="1">
        <f ca="1" t="shared" si="28"/>
        <v>454268121.996428</v>
      </c>
      <c r="Y148" s="30"/>
      <c r="Z148" s="30"/>
      <c r="AA148" s="1">
        <f ca="1" t="shared" si="29"/>
        <v>499599.36</v>
      </c>
      <c r="AB148" s="1">
        <f ca="1" t="shared" si="30"/>
        <v>281740.829142857</v>
      </c>
      <c r="AC148" s="30"/>
      <c r="AD148" s="30"/>
      <c r="AF148" s="44">
        <f ca="1" t="shared" si="31"/>
        <v>14975485.7142857</v>
      </c>
      <c r="AG148" s="44">
        <f ca="1" t="shared" si="32"/>
        <v>432000</v>
      </c>
      <c r="AH148" s="44">
        <f t="shared" si="33"/>
        <v>1200000</v>
      </c>
      <c r="AI148" s="44">
        <f ca="1" t="shared" si="34"/>
        <v>4800000</v>
      </c>
      <c r="AJ148" s="44">
        <f ca="1" t="shared" si="35"/>
        <v>4800000</v>
      </c>
      <c r="AK148" s="44">
        <f ca="1" t="shared" si="36"/>
        <v>210000</v>
      </c>
      <c r="AL148" s="45">
        <f ca="1" t="shared" si="37"/>
        <v>5760</v>
      </c>
      <c r="AM148" s="45">
        <f t="shared" si="38"/>
        <v>2880</v>
      </c>
      <c r="AN148" s="45">
        <f ca="1" t="shared" si="39"/>
        <v>1050</v>
      </c>
      <c r="AO148" s="45">
        <f ca="1" t="shared" si="40"/>
        <v>690</v>
      </c>
      <c r="AP148" s="45">
        <f ca="1" t="shared" si="41"/>
        <v>124.416</v>
      </c>
      <c r="AQ148" s="45">
        <f t="shared" si="42"/>
        <v>460.799999999999</v>
      </c>
      <c r="AR148" s="45">
        <f ca="1" t="shared" si="43"/>
        <v>552.959999999999</v>
      </c>
      <c r="AS148" s="45">
        <f ca="1" t="shared" si="44"/>
        <v>2304</v>
      </c>
      <c r="AT148" s="45">
        <f ca="1" t="shared" si="45"/>
        <v>64.2857142857142</v>
      </c>
      <c r="AU148" s="44">
        <f ca="1" t="shared" si="46"/>
        <v>26417485.7142857</v>
      </c>
      <c r="AV148" s="45">
        <f ca="1" t="shared" si="47"/>
        <v>13886.4617142857</v>
      </c>
    </row>
    <row r="149" spans="2:48">
      <c r="B149" s="10">
        <v>27</v>
      </c>
      <c r="C149" s="1" t="str">
        <f>IF(养成规划!C48="","",养成规划!C48)</f>
        <v/>
      </c>
      <c r="D149" s="1">
        <f ca="1">'102_建筑'!H387</f>
        <v>440100000</v>
      </c>
      <c r="E149" s="1">
        <f ca="1" t="shared" si="24"/>
        <v>293400000</v>
      </c>
      <c r="F149" s="15">
        <f ca="1">'102_建筑'!K387</f>
        <v>208134.144</v>
      </c>
      <c r="G149" s="15">
        <f ca="1" t="shared" si="25"/>
        <v>312201.216</v>
      </c>
      <c r="H149" s="1">
        <f ca="1">'203_采集'!K48</f>
        <v>266985750.567857</v>
      </c>
      <c r="I149" s="1">
        <f ca="1">'204_军官任务'!L48</f>
        <v>8856000</v>
      </c>
      <c r="J149" s="1">
        <f>'205_每日任务'!E48</f>
        <v>32400000</v>
      </c>
      <c r="K149" s="1">
        <f ca="1">'207_空投'!G48</f>
        <v>89184000</v>
      </c>
      <c r="L149" s="1">
        <f ca="1">'210_活动'!I48</f>
        <v>79200000</v>
      </c>
      <c r="M149" s="1">
        <f ca="1">'211_VIP宝箱'!F48</f>
        <v>4155000</v>
      </c>
      <c r="N149" s="15">
        <f ca="1">'102_建筑'!E463</f>
        <v>117792</v>
      </c>
      <c r="O149" s="15">
        <f t="shared" si="26"/>
        <v>77760</v>
      </c>
      <c r="P149" s="15">
        <f ca="1">'201_打野'!F107</f>
        <v>19996.5</v>
      </c>
      <c r="Q149" s="15">
        <f ca="1">'202_黑鸦营地'!F97</f>
        <v>15597</v>
      </c>
      <c r="R149" s="15">
        <f ca="1">'204_军官任务'!O48</f>
        <v>2550.528</v>
      </c>
      <c r="S149" s="15">
        <f>'205_每日任务'!H48</f>
        <v>12441.6</v>
      </c>
      <c r="T149" s="15">
        <f ca="1">'208_黑市'!F48</f>
        <v>10091.52</v>
      </c>
      <c r="U149" s="15">
        <f ca="1">'210_活动'!L48</f>
        <v>38016</v>
      </c>
      <c r="V149" s="15">
        <f ca="1">'212_VIP商店'!F48</f>
        <v>1382.14285714286</v>
      </c>
      <c r="W149" s="1">
        <f ca="1" t="shared" si="27"/>
        <v>733500000</v>
      </c>
      <c r="X149" s="1">
        <f ca="1" t="shared" si="28"/>
        <v>480780750.567857</v>
      </c>
      <c r="Y149" s="30"/>
      <c r="Z149" s="30"/>
      <c r="AA149" s="1">
        <f ca="1" t="shared" si="29"/>
        <v>520335.36</v>
      </c>
      <c r="AB149" s="1">
        <f ca="1" t="shared" si="30"/>
        <v>295627.290857143</v>
      </c>
      <c r="AC149" s="30"/>
      <c r="AD149" s="30"/>
      <c r="AF149" s="44">
        <f ca="1" t="shared" si="31"/>
        <v>15070628.5714286</v>
      </c>
      <c r="AG149" s="44">
        <f ca="1" t="shared" si="32"/>
        <v>432000</v>
      </c>
      <c r="AH149" s="44">
        <f t="shared" si="33"/>
        <v>1200000</v>
      </c>
      <c r="AI149" s="44">
        <f ca="1" t="shared" si="34"/>
        <v>4800000</v>
      </c>
      <c r="AJ149" s="44">
        <f ca="1" t="shared" si="35"/>
        <v>4800000</v>
      </c>
      <c r="AK149" s="44">
        <f ca="1" t="shared" si="36"/>
        <v>210000</v>
      </c>
      <c r="AL149" s="45">
        <f ca="1" t="shared" si="37"/>
        <v>5760</v>
      </c>
      <c r="AM149" s="45">
        <f t="shared" si="38"/>
        <v>2880</v>
      </c>
      <c r="AN149" s="45">
        <f ca="1" t="shared" si="39"/>
        <v>1050</v>
      </c>
      <c r="AO149" s="45">
        <f ca="1" t="shared" si="40"/>
        <v>690</v>
      </c>
      <c r="AP149" s="45">
        <f ca="1" t="shared" si="41"/>
        <v>124.416</v>
      </c>
      <c r="AQ149" s="45">
        <f t="shared" si="42"/>
        <v>460.799999999999</v>
      </c>
      <c r="AR149" s="45">
        <f ca="1" t="shared" si="43"/>
        <v>552.959999999999</v>
      </c>
      <c r="AS149" s="45">
        <f ca="1" t="shared" si="44"/>
        <v>2304</v>
      </c>
      <c r="AT149" s="45">
        <f ca="1" t="shared" si="45"/>
        <v>64.2857142857142</v>
      </c>
      <c r="AU149" s="44">
        <f ca="1" t="shared" si="46"/>
        <v>26512628.5714286</v>
      </c>
      <c r="AV149" s="45">
        <f ca="1" t="shared" si="47"/>
        <v>13886.4617142857</v>
      </c>
    </row>
    <row r="150" spans="2:48">
      <c r="B150" s="10">
        <v>28</v>
      </c>
      <c r="C150" s="1" t="str">
        <f>IF(养成规划!C49="","",养成规划!C49)</f>
        <v/>
      </c>
      <c r="D150" s="1">
        <f ca="1">'102_建筑'!H388</f>
        <v>464400000</v>
      </c>
      <c r="E150" s="1">
        <f ca="1" t="shared" si="24"/>
        <v>309600000</v>
      </c>
      <c r="F150" s="15">
        <f ca="1">'102_建筑'!K388</f>
        <v>216428.544</v>
      </c>
      <c r="G150" s="15">
        <f ca="1" t="shared" si="25"/>
        <v>324642.816</v>
      </c>
      <c r="H150" s="1">
        <f ca="1">'203_采集'!K49</f>
        <v>285942964.853571</v>
      </c>
      <c r="I150" s="1">
        <f ca="1">'204_军官任务'!L49</f>
        <v>9576000</v>
      </c>
      <c r="J150" s="1">
        <f>'205_每日任务'!E49</f>
        <v>33600000</v>
      </c>
      <c r="K150" s="1">
        <f ca="1">'207_空投'!G49</f>
        <v>93984000</v>
      </c>
      <c r="L150" s="1">
        <f ca="1">'210_活动'!I49</f>
        <v>84000000</v>
      </c>
      <c r="M150" s="1">
        <f ca="1">'211_VIP宝箱'!F49</f>
        <v>4365000</v>
      </c>
      <c r="N150" s="15">
        <f ca="1">'102_建筑'!E464</f>
        <v>123552</v>
      </c>
      <c r="O150" s="15">
        <f t="shared" si="26"/>
        <v>80640</v>
      </c>
      <c r="P150" s="15">
        <f ca="1">'201_打野'!F108</f>
        <v>21046.5</v>
      </c>
      <c r="Q150" s="15">
        <f ca="1">'202_黑鸦营地'!F98</f>
        <v>16287</v>
      </c>
      <c r="R150" s="15">
        <f ca="1">'204_军官任务'!O49</f>
        <v>2757.888</v>
      </c>
      <c r="S150" s="15">
        <f>'205_每日任务'!H49</f>
        <v>12902.4</v>
      </c>
      <c r="T150" s="15">
        <f ca="1">'208_黑市'!F49</f>
        <v>10644.48</v>
      </c>
      <c r="U150" s="15">
        <f ca="1">'210_活动'!L49</f>
        <v>40320</v>
      </c>
      <c r="V150" s="15">
        <f ca="1">'212_VIP商店'!F49</f>
        <v>1446.42857142857</v>
      </c>
      <c r="W150" s="1">
        <f ca="1" t="shared" si="27"/>
        <v>774000000</v>
      </c>
      <c r="X150" s="1">
        <f ca="1" t="shared" si="28"/>
        <v>511467964.853571</v>
      </c>
      <c r="Y150" s="30"/>
      <c r="Z150" s="30"/>
      <c r="AA150" s="1">
        <f ca="1" t="shared" si="29"/>
        <v>541071.36</v>
      </c>
      <c r="AB150" s="1">
        <f ca="1" t="shared" si="30"/>
        <v>309596.696571429</v>
      </c>
      <c r="AC150" s="30"/>
      <c r="AD150" s="30"/>
      <c r="AF150" s="44">
        <f ca="1" t="shared" si="31"/>
        <v>18957214.2857143</v>
      </c>
      <c r="AG150" s="44">
        <f ca="1" t="shared" si="32"/>
        <v>720000</v>
      </c>
      <c r="AH150" s="44">
        <f t="shared" si="33"/>
        <v>1200000</v>
      </c>
      <c r="AI150" s="44">
        <f ca="1" t="shared" si="34"/>
        <v>4800000</v>
      </c>
      <c r="AJ150" s="44">
        <f ca="1" t="shared" si="35"/>
        <v>4800000</v>
      </c>
      <c r="AK150" s="44">
        <f ca="1" t="shared" si="36"/>
        <v>210000</v>
      </c>
      <c r="AL150" s="45">
        <f ca="1" t="shared" si="37"/>
        <v>5760</v>
      </c>
      <c r="AM150" s="45">
        <f t="shared" si="38"/>
        <v>2880</v>
      </c>
      <c r="AN150" s="45">
        <f ca="1" t="shared" si="39"/>
        <v>1050</v>
      </c>
      <c r="AO150" s="45">
        <f ca="1" t="shared" si="40"/>
        <v>690</v>
      </c>
      <c r="AP150" s="45">
        <f ca="1" t="shared" si="41"/>
        <v>207.36</v>
      </c>
      <c r="AQ150" s="45">
        <f t="shared" si="42"/>
        <v>460.799999999999</v>
      </c>
      <c r="AR150" s="45">
        <f ca="1" t="shared" si="43"/>
        <v>552.959999999999</v>
      </c>
      <c r="AS150" s="45">
        <f ca="1" t="shared" si="44"/>
        <v>2304</v>
      </c>
      <c r="AT150" s="45">
        <f ca="1" t="shared" si="45"/>
        <v>64.2857142857142</v>
      </c>
      <c r="AU150" s="44">
        <f ca="1" t="shared" si="46"/>
        <v>30687214.2857143</v>
      </c>
      <c r="AV150" s="45">
        <f ca="1" t="shared" si="47"/>
        <v>13969.4057142857</v>
      </c>
    </row>
    <row r="151" spans="2:48">
      <c r="B151" s="10">
        <v>29</v>
      </c>
      <c r="C151" s="1" t="str">
        <f>IF(养成规划!C50="","",养成规划!C50)</f>
        <v/>
      </c>
      <c r="D151" s="1">
        <f ca="1">'102_建筑'!H389</f>
        <v>488700000</v>
      </c>
      <c r="E151" s="1">
        <f ca="1" t="shared" si="24"/>
        <v>325800000</v>
      </c>
      <c r="F151" s="15">
        <f ca="1">'102_建筑'!K389</f>
        <v>224722.944</v>
      </c>
      <c r="G151" s="15">
        <f ca="1" t="shared" si="25"/>
        <v>337084.416</v>
      </c>
      <c r="H151" s="1">
        <f ca="1">'203_采集'!K50</f>
        <v>305019107.710714</v>
      </c>
      <c r="I151" s="1">
        <f ca="1">'204_军官任务'!L50</f>
        <v>10296000</v>
      </c>
      <c r="J151" s="1">
        <f>'205_每日任务'!E50</f>
        <v>34800000</v>
      </c>
      <c r="K151" s="1">
        <f ca="1">'207_空投'!G50</f>
        <v>98784000</v>
      </c>
      <c r="L151" s="1">
        <f ca="1">'210_活动'!I50</f>
        <v>88800000</v>
      </c>
      <c r="M151" s="1">
        <f ca="1">'211_VIP宝箱'!F50</f>
        <v>4575000</v>
      </c>
      <c r="N151" s="15">
        <f ca="1">'102_建筑'!E465</f>
        <v>129312</v>
      </c>
      <c r="O151" s="15">
        <f t="shared" si="26"/>
        <v>83520</v>
      </c>
      <c r="P151" s="15">
        <f ca="1">'201_打野'!F109</f>
        <v>22096.5</v>
      </c>
      <c r="Q151" s="15">
        <f ca="1">'202_黑鸦营地'!F99</f>
        <v>16977</v>
      </c>
      <c r="R151" s="15">
        <f ca="1">'204_军官任务'!O50</f>
        <v>2965.248</v>
      </c>
      <c r="S151" s="15">
        <f>'205_每日任务'!H50</f>
        <v>13363.2</v>
      </c>
      <c r="T151" s="15">
        <f ca="1">'208_黑市'!F50</f>
        <v>11197.44</v>
      </c>
      <c r="U151" s="15">
        <f ca="1">'210_活动'!L50</f>
        <v>42624</v>
      </c>
      <c r="V151" s="15">
        <f ca="1">'212_VIP商店'!F50</f>
        <v>1510.71428571429</v>
      </c>
      <c r="W151" s="1">
        <f ca="1" t="shared" si="27"/>
        <v>814500000</v>
      </c>
      <c r="X151" s="1">
        <f ca="1" t="shared" si="28"/>
        <v>542274107.710714</v>
      </c>
      <c r="Y151" s="30"/>
      <c r="Z151" s="30"/>
      <c r="AA151" s="1">
        <f ca="1" t="shared" si="29"/>
        <v>561807.36</v>
      </c>
      <c r="AB151" s="1">
        <f ca="1" t="shared" si="30"/>
        <v>323566.102285714</v>
      </c>
      <c r="AC151" s="30"/>
      <c r="AD151" s="30"/>
      <c r="AF151" s="44">
        <f ca="1" t="shared" si="31"/>
        <v>19076142.8571429</v>
      </c>
      <c r="AG151" s="44">
        <f ca="1" t="shared" si="32"/>
        <v>720000</v>
      </c>
      <c r="AH151" s="44">
        <f t="shared" si="33"/>
        <v>1200000</v>
      </c>
      <c r="AI151" s="44">
        <f ca="1" t="shared" si="34"/>
        <v>4800000</v>
      </c>
      <c r="AJ151" s="44">
        <f ca="1" t="shared" si="35"/>
        <v>4800000</v>
      </c>
      <c r="AK151" s="44">
        <f ca="1" t="shared" si="36"/>
        <v>210000</v>
      </c>
      <c r="AL151" s="45">
        <f ca="1" t="shared" si="37"/>
        <v>5760</v>
      </c>
      <c r="AM151" s="45">
        <f t="shared" si="38"/>
        <v>2880</v>
      </c>
      <c r="AN151" s="45">
        <f ca="1" t="shared" si="39"/>
        <v>1050</v>
      </c>
      <c r="AO151" s="45">
        <f ca="1" t="shared" si="40"/>
        <v>690</v>
      </c>
      <c r="AP151" s="45">
        <f ca="1" t="shared" si="41"/>
        <v>207.36</v>
      </c>
      <c r="AQ151" s="45">
        <f t="shared" si="42"/>
        <v>460.799999999999</v>
      </c>
      <c r="AR151" s="45">
        <f ca="1" t="shared" si="43"/>
        <v>552.959999999999</v>
      </c>
      <c r="AS151" s="45">
        <f ca="1" t="shared" si="44"/>
        <v>2304</v>
      </c>
      <c r="AT151" s="45">
        <f ca="1" t="shared" si="45"/>
        <v>64.2857142857142</v>
      </c>
      <c r="AU151" s="44">
        <f ca="1" t="shared" si="46"/>
        <v>30806142.8571429</v>
      </c>
      <c r="AV151" s="45">
        <f ca="1" t="shared" si="47"/>
        <v>13969.4057142857</v>
      </c>
    </row>
    <row r="152" spans="2:48">
      <c r="B152" s="10">
        <v>30</v>
      </c>
      <c r="C152" s="1">
        <f>IF(养成规划!C51="","",养成规划!C51)</f>
        <v>23</v>
      </c>
      <c r="D152" s="1">
        <f ca="1">'102_建筑'!H390</f>
        <v>513000000</v>
      </c>
      <c r="E152" s="1">
        <f ca="1" t="shared" si="24"/>
        <v>342000000</v>
      </c>
      <c r="F152" s="15">
        <f ca="1">'102_建筑'!K390</f>
        <v>233017.344</v>
      </c>
      <c r="G152" s="15">
        <f ca="1" t="shared" si="25"/>
        <v>349526.016</v>
      </c>
      <c r="H152" s="1">
        <f ca="1">'203_采集'!K51</f>
        <v>324214179.139286</v>
      </c>
      <c r="I152" s="1">
        <f ca="1">'204_军官任务'!L51</f>
        <v>11016000</v>
      </c>
      <c r="J152" s="1">
        <f>'205_每日任务'!E51</f>
        <v>36000000</v>
      </c>
      <c r="K152" s="1">
        <f ca="1">'207_空投'!G51</f>
        <v>103584000</v>
      </c>
      <c r="L152" s="1">
        <f ca="1">'210_活动'!I51</f>
        <v>93600000</v>
      </c>
      <c r="M152" s="1">
        <f ca="1">'211_VIP宝箱'!F51</f>
        <v>4815000</v>
      </c>
      <c r="N152" s="15">
        <f ca="1">'102_建筑'!E466</f>
        <v>135072</v>
      </c>
      <c r="O152" s="15">
        <f t="shared" si="26"/>
        <v>86400</v>
      </c>
      <c r="P152" s="15">
        <f ca="1">'201_打野'!F110</f>
        <v>23146.5</v>
      </c>
      <c r="Q152" s="15">
        <f ca="1">'202_黑鸦营地'!F100</f>
        <v>17667</v>
      </c>
      <c r="R152" s="15">
        <f ca="1">'204_军官任务'!O51</f>
        <v>3172.608</v>
      </c>
      <c r="S152" s="15">
        <f>'205_每日任务'!H51</f>
        <v>13824</v>
      </c>
      <c r="T152" s="15">
        <f ca="1">'208_黑市'!F51</f>
        <v>11750.4</v>
      </c>
      <c r="U152" s="15">
        <f ca="1">'210_活动'!L51</f>
        <v>44928</v>
      </c>
      <c r="V152" s="15">
        <f ca="1">'212_VIP商店'!F51</f>
        <v>1575</v>
      </c>
      <c r="W152" s="1">
        <f ca="1" t="shared" si="27"/>
        <v>855000000</v>
      </c>
      <c r="X152" s="1">
        <f ca="1" t="shared" si="28"/>
        <v>573229179.139286</v>
      </c>
      <c r="Y152" s="30"/>
      <c r="Z152" s="30"/>
      <c r="AA152" s="1">
        <f ca="1" t="shared" si="29"/>
        <v>582543.36</v>
      </c>
      <c r="AB152" s="1">
        <f ca="1" t="shared" si="30"/>
        <v>337535.508</v>
      </c>
      <c r="AC152" s="30"/>
      <c r="AD152" s="30"/>
      <c r="AF152" s="44">
        <f ca="1" t="shared" si="31"/>
        <v>19195071.4285714</v>
      </c>
      <c r="AG152" s="44">
        <f ca="1" t="shared" si="32"/>
        <v>720000</v>
      </c>
      <c r="AH152" s="44">
        <f t="shared" si="33"/>
        <v>1200000</v>
      </c>
      <c r="AI152" s="44">
        <f ca="1" t="shared" si="34"/>
        <v>4800000</v>
      </c>
      <c r="AJ152" s="44">
        <f ca="1" t="shared" si="35"/>
        <v>4800000</v>
      </c>
      <c r="AK152" s="44">
        <f ca="1" t="shared" si="36"/>
        <v>240000</v>
      </c>
      <c r="AL152" s="45">
        <f ca="1" t="shared" si="37"/>
        <v>5760</v>
      </c>
      <c r="AM152" s="45">
        <f t="shared" si="38"/>
        <v>2880</v>
      </c>
      <c r="AN152" s="45">
        <f ca="1" t="shared" si="39"/>
        <v>1050</v>
      </c>
      <c r="AO152" s="45">
        <f ca="1" t="shared" si="40"/>
        <v>690</v>
      </c>
      <c r="AP152" s="45">
        <f ca="1" t="shared" si="41"/>
        <v>207.36</v>
      </c>
      <c r="AQ152" s="45">
        <f t="shared" si="42"/>
        <v>460.799999999999</v>
      </c>
      <c r="AR152" s="45">
        <f ca="1" t="shared" si="43"/>
        <v>552.959999999999</v>
      </c>
      <c r="AS152" s="45">
        <f ca="1" t="shared" si="44"/>
        <v>2304</v>
      </c>
      <c r="AT152" s="45">
        <f ca="1" t="shared" si="45"/>
        <v>64.2857142857142</v>
      </c>
      <c r="AU152" s="44">
        <f ca="1" t="shared" si="46"/>
        <v>30955071.4285714</v>
      </c>
      <c r="AV152" s="45">
        <f ca="1" t="shared" si="47"/>
        <v>13969.4057142857</v>
      </c>
    </row>
    <row r="153" spans="2:48">
      <c r="B153" s="11">
        <v>35</v>
      </c>
      <c r="C153" s="1" t="str">
        <f>IF(养成规划!C52="","",养成规划!C52)</f>
        <v/>
      </c>
      <c r="D153" s="1">
        <f ca="1">'102_建筑'!H391</f>
        <v>631800000</v>
      </c>
      <c r="E153" s="1">
        <f ca="1" t="shared" si="24"/>
        <v>421200000</v>
      </c>
      <c r="F153" s="15">
        <f ca="1">'102_建筑'!K391</f>
        <v>260665.344</v>
      </c>
      <c r="G153" s="15">
        <f ca="1" t="shared" si="25"/>
        <v>390998.016</v>
      </c>
      <c r="H153" s="1">
        <f ca="1">'203_采集'!K52</f>
        <v>423162750.567857</v>
      </c>
      <c r="I153" s="1">
        <f ca="1">'204_军官任务'!L52</f>
        <v>14616000</v>
      </c>
      <c r="J153" s="1">
        <f>'205_每日任务'!E52</f>
        <v>42000000</v>
      </c>
      <c r="K153" s="1">
        <f ca="1">'207_空投'!G52</f>
        <v>127584000</v>
      </c>
      <c r="L153" s="1">
        <f ca="1">'210_活动'!I52</f>
        <v>129600000</v>
      </c>
      <c r="M153" s="1">
        <f ca="1">'211_VIP宝箱'!F52</f>
        <v>6015000</v>
      </c>
      <c r="N153" s="15">
        <f ca="1">'102_建筑'!E467</f>
        <v>163872</v>
      </c>
      <c r="O153" s="15">
        <f t="shared" si="26"/>
        <v>100800</v>
      </c>
      <c r="P153" s="15">
        <f ca="1">'201_打野'!F111</f>
        <v>31396.5</v>
      </c>
      <c r="Q153" s="15">
        <f ca="1">'202_黑鸦营地'!F101</f>
        <v>21942</v>
      </c>
      <c r="R153" s="15">
        <f ca="1">'204_军官任务'!O52</f>
        <v>4209.408</v>
      </c>
      <c r="S153" s="15">
        <f>'205_每日任务'!H52</f>
        <v>16128</v>
      </c>
      <c r="T153" s="15">
        <f ca="1">'208_黑市'!F52</f>
        <v>15897.6</v>
      </c>
      <c r="U153" s="15">
        <f ca="1">'210_活动'!L52</f>
        <v>62208</v>
      </c>
      <c r="V153" s="15">
        <f ca="1">'212_VIP商店'!F52</f>
        <v>1896.42857142857</v>
      </c>
      <c r="W153" s="1">
        <f ca="1" t="shared" si="27"/>
        <v>1053000000</v>
      </c>
      <c r="X153" s="1">
        <f ca="1" t="shared" si="28"/>
        <v>742977750.567857</v>
      </c>
      <c r="Y153" s="30"/>
      <c r="Z153" s="30"/>
      <c r="AA153" s="1">
        <f ca="1" t="shared" si="29"/>
        <v>651663.36</v>
      </c>
      <c r="AB153" s="1">
        <f ca="1" t="shared" si="30"/>
        <v>418349.936571429</v>
      </c>
      <c r="AC153" s="30"/>
      <c r="AD153" s="30"/>
      <c r="AF153" s="44">
        <f ca="1" t="shared" si="31"/>
        <v>19789714.2857143</v>
      </c>
      <c r="AG153" s="44">
        <f ca="1" t="shared" si="32"/>
        <v>720000</v>
      </c>
      <c r="AH153" s="44">
        <f t="shared" si="33"/>
        <v>1200000</v>
      </c>
      <c r="AI153" s="44">
        <f ca="1" t="shared" si="34"/>
        <v>4800000</v>
      </c>
      <c r="AJ153" s="44">
        <f ca="1" t="shared" si="35"/>
        <v>7200000</v>
      </c>
      <c r="AK153" s="44">
        <f ca="1" t="shared" si="36"/>
        <v>240000</v>
      </c>
      <c r="AL153" s="45">
        <f ca="1" t="shared" si="37"/>
        <v>5760</v>
      </c>
      <c r="AM153" s="45">
        <f t="shared" si="38"/>
        <v>2880</v>
      </c>
      <c r="AN153" s="45">
        <f ca="1" t="shared" si="39"/>
        <v>1650</v>
      </c>
      <c r="AO153" s="45">
        <f ca="1" t="shared" si="40"/>
        <v>855</v>
      </c>
      <c r="AP153" s="45">
        <f ca="1" t="shared" si="41"/>
        <v>207.36</v>
      </c>
      <c r="AQ153" s="45">
        <f t="shared" si="42"/>
        <v>460.8</v>
      </c>
      <c r="AR153" s="45">
        <f ca="1" t="shared" si="43"/>
        <v>829.44</v>
      </c>
      <c r="AS153" s="45">
        <f ca="1" t="shared" si="44"/>
        <v>3456</v>
      </c>
      <c r="AT153" s="45">
        <f ca="1" t="shared" si="45"/>
        <v>64.2857142857143</v>
      </c>
      <c r="AU153" s="44">
        <f ca="1" t="shared" si="46"/>
        <v>33949714.2857143</v>
      </c>
      <c r="AV153" s="45">
        <f ca="1" t="shared" si="47"/>
        <v>16162.8857142857</v>
      </c>
    </row>
    <row r="154" spans="2:48">
      <c r="B154" s="11">
        <v>40</v>
      </c>
      <c r="C154" s="1">
        <f>IF(养成规划!C53="","",养成规划!C53)</f>
        <v>24</v>
      </c>
      <c r="D154" s="1">
        <f ca="1">'102_建筑'!H392</f>
        <v>750600000</v>
      </c>
      <c r="E154" s="1">
        <f ca="1" t="shared" si="24"/>
        <v>500400000</v>
      </c>
      <c r="F154" s="15">
        <f ca="1">'102_建筑'!K392</f>
        <v>288313.344</v>
      </c>
      <c r="G154" s="15">
        <f ca="1" t="shared" si="25"/>
        <v>432470.016</v>
      </c>
      <c r="H154" s="1">
        <f ca="1">'203_采集'!K53</f>
        <v>525084536.282143</v>
      </c>
      <c r="I154" s="1">
        <f ca="1">'204_军官任务'!L53</f>
        <v>18216000</v>
      </c>
      <c r="J154" s="1">
        <f>'205_每日任务'!E53</f>
        <v>48000000</v>
      </c>
      <c r="K154" s="1">
        <f ca="1">'207_空投'!G53</f>
        <v>151584000</v>
      </c>
      <c r="L154" s="1">
        <f ca="1">'210_活动'!I53</f>
        <v>165600000</v>
      </c>
      <c r="M154" s="1">
        <f ca="1">'211_VIP宝箱'!F53</f>
        <v>7215000</v>
      </c>
      <c r="N154" s="15">
        <f ca="1">'102_建筑'!E468</f>
        <v>192672</v>
      </c>
      <c r="O154" s="15">
        <f t="shared" si="26"/>
        <v>115200</v>
      </c>
      <c r="P154" s="15">
        <f ca="1">'201_打野'!F112</f>
        <v>39721.5</v>
      </c>
      <c r="Q154" s="15">
        <f ca="1">'202_黑鸦营地'!F102</f>
        <v>26217</v>
      </c>
      <c r="R154" s="15">
        <f ca="1">'204_军官任务'!O53</f>
        <v>5246.208</v>
      </c>
      <c r="S154" s="15">
        <f>'205_每日任务'!H53</f>
        <v>18432</v>
      </c>
      <c r="T154" s="15">
        <f ca="1">'208_黑市'!F53</f>
        <v>20044.8</v>
      </c>
      <c r="U154" s="15">
        <f ca="1">'210_活动'!L53</f>
        <v>79488</v>
      </c>
      <c r="V154" s="15">
        <f ca="1">'212_VIP商店'!F53</f>
        <v>2217.85714285714</v>
      </c>
      <c r="W154" s="1">
        <f ca="1" t="shared" si="27"/>
        <v>1251000000</v>
      </c>
      <c r="X154" s="1">
        <f ca="1" t="shared" si="28"/>
        <v>915699536.282143</v>
      </c>
      <c r="Y154" s="30"/>
      <c r="Z154" s="30"/>
      <c r="AA154" s="1">
        <f ca="1" t="shared" si="29"/>
        <v>720783.36</v>
      </c>
      <c r="AB154" s="1">
        <f ca="1" t="shared" si="30"/>
        <v>499239.365142857</v>
      </c>
      <c r="AC154" s="30"/>
      <c r="AD154" s="30"/>
      <c r="AF154" s="44">
        <f ca="1" t="shared" si="31"/>
        <v>20384357.1428571</v>
      </c>
      <c r="AG154" s="44">
        <f ca="1" t="shared" si="32"/>
        <v>720000</v>
      </c>
      <c r="AH154" s="44">
        <f t="shared" si="33"/>
        <v>1200000</v>
      </c>
      <c r="AI154" s="44">
        <f ca="1" t="shared" si="34"/>
        <v>4800000</v>
      </c>
      <c r="AJ154" s="44">
        <f ca="1" t="shared" si="35"/>
        <v>7200000</v>
      </c>
      <c r="AK154" s="44">
        <f ca="1" t="shared" si="36"/>
        <v>240000</v>
      </c>
      <c r="AL154" s="45">
        <f ca="1" t="shared" si="37"/>
        <v>5760</v>
      </c>
      <c r="AM154" s="45">
        <f t="shared" si="38"/>
        <v>2880</v>
      </c>
      <c r="AN154" s="45">
        <f ca="1" t="shared" si="39"/>
        <v>1665</v>
      </c>
      <c r="AO154" s="45">
        <f ca="1" t="shared" si="40"/>
        <v>855</v>
      </c>
      <c r="AP154" s="45">
        <f ca="1" t="shared" si="41"/>
        <v>207.36</v>
      </c>
      <c r="AQ154" s="45">
        <f t="shared" si="42"/>
        <v>460.8</v>
      </c>
      <c r="AR154" s="45">
        <f ca="1" t="shared" si="43"/>
        <v>829.44</v>
      </c>
      <c r="AS154" s="45">
        <f ca="1" t="shared" si="44"/>
        <v>3456</v>
      </c>
      <c r="AT154" s="45">
        <f ca="1" t="shared" si="45"/>
        <v>64.2857142857143</v>
      </c>
      <c r="AU154" s="44">
        <f ca="1" t="shared" si="46"/>
        <v>34544357.1428571</v>
      </c>
      <c r="AV154" s="45">
        <f ca="1" t="shared" si="47"/>
        <v>16177.8857142857</v>
      </c>
    </row>
    <row r="155" spans="2:48">
      <c r="B155" s="11">
        <v>45</v>
      </c>
      <c r="C155" s="1" t="str">
        <f>IF(养成规划!C54="","",养成规划!C54)</f>
        <v/>
      </c>
      <c r="D155" s="1">
        <f ca="1">'102_建筑'!H393</f>
        <v>901800000</v>
      </c>
      <c r="E155" s="1">
        <f ca="1" t="shared" si="24"/>
        <v>601200000</v>
      </c>
      <c r="F155" s="15">
        <f ca="1">'102_建筑'!K393</f>
        <v>329785.344</v>
      </c>
      <c r="G155" s="15">
        <f ca="1" t="shared" si="25"/>
        <v>494678.016</v>
      </c>
      <c r="H155" s="1">
        <f ca="1">'203_采集'!K54</f>
        <v>629979536.282143</v>
      </c>
      <c r="I155" s="1">
        <f ca="1">'204_军官任务'!L54</f>
        <v>21816000</v>
      </c>
      <c r="J155" s="1">
        <f>'205_每日任务'!E54</f>
        <v>54000000</v>
      </c>
      <c r="K155" s="1">
        <f ca="1">'207_空投'!G54</f>
        <v>175584000</v>
      </c>
      <c r="L155" s="1">
        <f ca="1">'210_活动'!I54</f>
        <v>201600000</v>
      </c>
      <c r="M155" s="1">
        <f ca="1">'211_VIP宝箱'!F54</f>
        <v>8415000</v>
      </c>
      <c r="N155" s="15">
        <f ca="1">'102_建筑'!E469</f>
        <v>221472</v>
      </c>
      <c r="O155" s="15">
        <f t="shared" si="26"/>
        <v>129600</v>
      </c>
      <c r="P155" s="15">
        <f ca="1">'201_打野'!F113</f>
        <v>48121.5</v>
      </c>
      <c r="Q155" s="15">
        <f ca="1">'202_黑鸦营地'!F103</f>
        <v>31392</v>
      </c>
      <c r="R155" s="15">
        <f ca="1">'204_军官任务'!O54</f>
        <v>6283.008</v>
      </c>
      <c r="S155" s="15">
        <f>'205_每日任务'!H54</f>
        <v>20736</v>
      </c>
      <c r="T155" s="15">
        <f ca="1">'208_黑市'!F54</f>
        <v>24192</v>
      </c>
      <c r="U155" s="15">
        <f ca="1">'210_活动'!L54</f>
        <v>96768</v>
      </c>
      <c r="V155" s="15">
        <f ca="1">'212_VIP商店'!F54</f>
        <v>2539.28571428571</v>
      </c>
      <c r="W155" s="1">
        <f ca="1" t="shared" si="27"/>
        <v>1503000000</v>
      </c>
      <c r="X155" s="1">
        <f ca="1" t="shared" si="28"/>
        <v>1091394536.28214</v>
      </c>
      <c r="Y155" s="30"/>
      <c r="Z155" s="30"/>
      <c r="AA155" s="1">
        <f ca="1" t="shared" si="29"/>
        <v>824463.36</v>
      </c>
      <c r="AB155" s="1">
        <f ca="1" t="shared" si="30"/>
        <v>581103.793714286</v>
      </c>
      <c r="AC155" s="30"/>
      <c r="AD155" s="30"/>
      <c r="AF155" s="44">
        <f ca="1" t="shared" si="31"/>
        <v>20979000</v>
      </c>
      <c r="AG155" s="44">
        <f ca="1" t="shared" si="32"/>
        <v>720000</v>
      </c>
      <c r="AH155" s="44">
        <f t="shared" si="33"/>
        <v>1200000</v>
      </c>
      <c r="AI155" s="44">
        <f ca="1" t="shared" si="34"/>
        <v>4800000</v>
      </c>
      <c r="AJ155" s="44">
        <f ca="1" t="shared" si="35"/>
        <v>7200000</v>
      </c>
      <c r="AK155" s="44">
        <f ca="1" t="shared" si="36"/>
        <v>240000</v>
      </c>
      <c r="AL155" s="45">
        <f ca="1" t="shared" si="37"/>
        <v>5760</v>
      </c>
      <c r="AM155" s="45">
        <f t="shared" si="38"/>
        <v>2880</v>
      </c>
      <c r="AN155" s="45">
        <f ca="1" t="shared" si="39"/>
        <v>1680</v>
      </c>
      <c r="AO155" s="45">
        <f ca="1" t="shared" si="40"/>
        <v>1035</v>
      </c>
      <c r="AP155" s="45">
        <f ca="1" t="shared" si="41"/>
        <v>207.36</v>
      </c>
      <c r="AQ155" s="45">
        <f t="shared" si="42"/>
        <v>460.8</v>
      </c>
      <c r="AR155" s="45">
        <f ca="1" t="shared" si="43"/>
        <v>829.44</v>
      </c>
      <c r="AS155" s="45">
        <f ca="1" t="shared" si="44"/>
        <v>3456</v>
      </c>
      <c r="AT155" s="45">
        <f ca="1" t="shared" si="45"/>
        <v>64.2857142857143</v>
      </c>
      <c r="AU155" s="44">
        <f ca="1" t="shared" si="46"/>
        <v>35139000</v>
      </c>
      <c r="AV155" s="45">
        <f ca="1" t="shared" si="47"/>
        <v>16372.8857142857</v>
      </c>
    </row>
    <row r="156" spans="2:48">
      <c r="B156" s="11">
        <v>50</v>
      </c>
      <c r="C156" s="1">
        <f>IF(养成规划!C55="","",养成规划!C55)</f>
        <v>25</v>
      </c>
      <c r="D156" s="1">
        <f ca="1">'102_建筑'!H394</f>
        <v>1053000000</v>
      </c>
      <c r="E156" s="1">
        <f ca="1" t="shared" si="24"/>
        <v>702000000</v>
      </c>
      <c r="F156" s="15">
        <f ca="1">'102_建筑'!K394</f>
        <v>371257.344</v>
      </c>
      <c r="G156" s="15">
        <f ca="1" t="shared" si="25"/>
        <v>556886.016</v>
      </c>
      <c r="H156" s="1">
        <f ca="1">'203_采集'!K55</f>
        <v>737372036.282143</v>
      </c>
      <c r="I156" s="1">
        <f ca="1">'204_军官任务'!L55</f>
        <v>25416000</v>
      </c>
      <c r="J156" s="1">
        <f>'205_每日任务'!E55</f>
        <v>60000000</v>
      </c>
      <c r="K156" s="1">
        <f ca="1">'207_空投'!G55</f>
        <v>199584000</v>
      </c>
      <c r="L156" s="1">
        <f ca="1">'210_活动'!I55</f>
        <v>237600000</v>
      </c>
      <c r="M156" s="1">
        <f ca="1">'211_VIP宝箱'!F55</f>
        <v>9615000</v>
      </c>
      <c r="N156" s="15">
        <f ca="1">'102_建筑'!E470</f>
        <v>250272</v>
      </c>
      <c r="O156" s="15">
        <f t="shared" si="26"/>
        <v>144000</v>
      </c>
      <c r="P156" s="15">
        <f ca="1">'201_打野'!F114</f>
        <v>56596.5</v>
      </c>
      <c r="Q156" s="15">
        <f ca="1">'202_黑鸦营地'!F104</f>
        <v>36567</v>
      </c>
      <c r="R156" s="15">
        <f ca="1">'204_军官任务'!O55</f>
        <v>7319.808</v>
      </c>
      <c r="S156" s="15">
        <f>'205_每日任务'!H55</f>
        <v>23040</v>
      </c>
      <c r="T156" s="15">
        <f ca="1">'208_黑市'!F55</f>
        <v>28339.2</v>
      </c>
      <c r="U156" s="15">
        <f ca="1">'210_活动'!L55</f>
        <v>114048</v>
      </c>
      <c r="V156" s="15">
        <f ca="1">'212_VIP商店'!F55</f>
        <v>2860.71428571429</v>
      </c>
      <c r="W156" s="1">
        <f ca="1" t="shared" si="27"/>
        <v>1755000000</v>
      </c>
      <c r="X156" s="1">
        <f ca="1" t="shared" si="28"/>
        <v>1269587036.28214</v>
      </c>
      <c r="Y156" s="30"/>
      <c r="Z156" s="30"/>
      <c r="AA156" s="1">
        <f ca="1" t="shared" si="29"/>
        <v>928143.36</v>
      </c>
      <c r="AB156" s="1">
        <f ca="1" t="shared" si="30"/>
        <v>663043.222285714</v>
      </c>
      <c r="AC156" s="30"/>
      <c r="AD156" s="30"/>
      <c r="AF156" s="44">
        <f ca="1" t="shared" si="31"/>
        <v>21478500</v>
      </c>
      <c r="AG156" s="44">
        <f ca="1" t="shared" si="32"/>
        <v>720000</v>
      </c>
      <c r="AH156" s="44">
        <f t="shared" si="33"/>
        <v>1200000</v>
      </c>
      <c r="AI156" s="44">
        <f ca="1" t="shared" si="34"/>
        <v>4800000</v>
      </c>
      <c r="AJ156" s="44">
        <f ca="1" t="shared" si="35"/>
        <v>7200000</v>
      </c>
      <c r="AK156" s="44">
        <f ca="1" t="shared" si="36"/>
        <v>240000</v>
      </c>
      <c r="AL156" s="45">
        <f ca="1" t="shared" si="37"/>
        <v>5760</v>
      </c>
      <c r="AM156" s="45">
        <f t="shared" si="38"/>
        <v>2880</v>
      </c>
      <c r="AN156" s="45">
        <f ca="1" t="shared" si="39"/>
        <v>1695</v>
      </c>
      <c r="AO156" s="45">
        <f ca="1" t="shared" si="40"/>
        <v>1035</v>
      </c>
      <c r="AP156" s="45">
        <f ca="1" t="shared" si="41"/>
        <v>207.36</v>
      </c>
      <c r="AQ156" s="45">
        <f t="shared" si="42"/>
        <v>460.8</v>
      </c>
      <c r="AR156" s="45">
        <f ca="1" t="shared" si="43"/>
        <v>829.44</v>
      </c>
      <c r="AS156" s="45">
        <f ca="1" t="shared" si="44"/>
        <v>3456</v>
      </c>
      <c r="AT156" s="45">
        <f ca="1" t="shared" si="45"/>
        <v>64.2857142857143</v>
      </c>
      <c r="AU156" s="44">
        <f ca="1" t="shared" si="46"/>
        <v>35638500</v>
      </c>
      <c r="AV156" s="45">
        <f ca="1" t="shared" si="47"/>
        <v>16387.8857142857</v>
      </c>
    </row>
    <row r="157" spans="2:48">
      <c r="B157" s="11">
        <v>55</v>
      </c>
      <c r="C157" s="1" t="str">
        <f>IF(养成规划!C56="","",养成规划!C56)</f>
        <v/>
      </c>
      <c r="D157" s="1">
        <f ca="1">'102_建筑'!H395</f>
        <v>1225800000</v>
      </c>
      <c r="E157" s="1">
        <f ca="1" t="shared" si="24"/>
        <v>817200000</v>
      </c>
      <c r="F157" s="15">
        <f ca="1">'102_建筑'!K395</f>
        <v>426553.344</v>
      </c>
      <c r="G157" s="15">
        <f ca="1" t="shared" si="25"/>
        <v>639830.016</v>
      </c>
      <c r="H157" s="1">
        <f ca="1">'203_采集'!K56</f>
        <v>847262036.282143</v>
      </c>
      <c r="I157" s="1">
        <f ca="1">'204_军官任务'!L56</f>
        <v>29016000</v>
      </c>
      <c r="J157" s="1">
        <f>'205_每日任务'!E56</f>
        <v>66000000</v>
      </c>
      <c r="K157" s="1">
        <f ca="1">'207_空投'!G56</f>
        <v>223584000</v>
      </c>
      <c r="L157" s="1">
        <f ca="1">'210_活动'!I56</f>
        <v>273600000</v>
      </c>
      <c r="M157" s="1">
        <f ca="1">'211_VIP宝箱'!F56</f>
        <v>10815000</v>
      </c>
      <c r="N157" s="15">
        <f ca="1">'102_建筑'!E471</f>
        <v>279072</v>
      </c>
      <c r="O157" s="15">
        <f t="shared" si="26"/>
        <v>158400</v>
      </c>
      <c r="P157" s="15">
        <f ca="1">'201_打野'!F115</f>
        <v>65146.5</v>
      </c>
      <c r="Q157" s="15">
        <f ca="1">'202_黑鸦营地'!F105</f>
        <v>42117</v>
      </c>
      <c r="R157" s="15">
        <f ca="1">'204_军官任务'!O56</f>
        <v>8356.608</v>
      </c>
      <c r="S157" s="15">
        <f>'205_每日任务'!H56</f>
        <v>25344</v>
      </c>
      <c r="T157" s="15">
        <f ca="1">'208_黑市'!F56</f>
        <v>32486.4</v>
      </c>
      <c r="U157" s="15">
        <f ca="1">'210_活动'!L56</f>
        <v>131328</v>
      </c>
      <c r="V157" s="15">
        <f ca="1">'212_VIP商店'!F56</f>
        <v>3182.14285714286</v>
      </c>
      <c r="W157" s="1">
        <f ca="1" t="shared" si="27"/>
        <v>2043000000</v>
      </c>
      <c r="X157" s="1">
        <f ca="1" t="shared" si="28"/>
        <v>1450277036.28214</v>
      </c>
      <c r="Y157" s="30"/>
      <c r="Z157" s="30"/>
      <c r="AA157" s="1">
        <f ca="1" t="shared" si="29"/>
        <v>1066383.36</v>
      </c>
      <c r="AB157" s="1">
        <f ca="1" t="shared" si="30"/>
        <v>745432.650857143</v>
      </c>
      <c r="AC157" s="30"/>
      <c r="AD157" s="30"/>
      <c r="AF157" s="44">
        <f ca="1" t="shared" si="31"/>
        <v>21978000</v>
      </c>
      <c r="AG157" s="44">
        <f ca="1" t="shared" si="32"/>
        <v>720000</v>
      </c>
      <c r="AH157" s="44">
        <f t="shared" si="33"/>
        <v>1200000</v>
      </c>
      <c r="AI157" s="44">
        <f ca="1" t="shared" si="34"/>
        <v>4800000</v>
      </c>
      <c r="AJ157" s="44">
        <f ca="1" t="shared" si="35"/>
        <v>7200000</v>
      </c>
      <c r="AK157" s="44">
        <f ca="1" t="shared" si="36"/>
        <v>240000</v>
      </c>
      <c r="AL157" s="45">
        <f ca="1" t="shared" si="37"/>
        <v>5760</v>
      </c>
      <c r="AM157" s="45">
        <f t="shared" si="38"/>
        <v>2880</v>
      </c>
      <c r="AN157" s="45">
        <f ca="1" t="shared" si="39"/>
        <v>1710</v>
      </c>
      <c r="AO157" s="45">
        <f ca="1" t="shared" si="40"/>
        <v>1110</v>
      </c>
      <c r="AP157" s="45">
        <f ca="1" t="shared" si="41"/>
        <v>207.36</v>
      </c>
      <c r="AQ157" s="45">
        <f t="shared" si="42"/>
        <v>460.8</v>
      </c>
      <c r="AR157" s="45">
        <f ca="1" t="shared" si="43"/>
        <v>829.44</v>
      </c>
      <c r="AS157" s="45">
        <f ca="1" t="shared" si="44"/>
        <v>3456</v>
      </c>
      <c r="AT157" s="45">
        <f ca="1" t="shared" si="45"/>
        <v>64.2857142857143</v>
      </c>
      <c r="AU157" s="44">
        <f ca="1" t="shared" si="46"/>
        <v>36138000</v>
      </c>
      <c r="AV157" s="45">
        <f ca="1" t="shared" si="47"/>
        <v>16477.8857142857</v>
      </c>
    </row>
    <row r="158" spans="2:48">
      <c r="B158" s="11">
        <v>60</v>
      </c>
      <c r="C158" s="1">
        <f>IF(养成规划!C57="","",养成规划!C57)</f>
        <v>26</v>
      </c>
      <c r="D158" s="1">
        <f ca="1">'102_建筑'!H396</f>
        <v>1398600000</v>
      </c>
      <c r="E158" s="1">
        <f ca="1" t="shared" si="24"/>
        <v>932400000</v>
      </c>
      <c r="F158" s="15">
        <f ca="1">'102_建筑'!K396</f>
        <v>481849.344</v>
      </c>
      <c r="G158" s="15">
        <f ca="1" t="shared" si="25"/>
        <v>722774.016</v>
      </c>
      <c r="H158" s="1">
        <f ca="1">'203_采集'!K57</f>
        <v>959649536.282143</v>
      </c>
      <c r="I158" s="1">
        <f ca="1">'204_军官任务'!L57</f>
        <v>32616000</v>
      </c>
      <c r="J158" s="1">
        <f>'205_每日任务'!E57</f>
        <v>72000000</v>
      </c>
      <c r="K158" s="1">
        <f ca="1">'207_空投'!G57</f>
        <v>247584000</v>
      </c>
      <c r="L158" s="1">
        <f ca="1">'210_活动'!I57</f>
        <v>309600000</v>
      </c>
      <c r="M158" s="1">
        <f ca="1">'211_VIP宝箱'!F57</f>
        <v>12165000</v>
      </c>
      <c r="N158" s="15">
        <f ca="1">'102_建筑'!E472</f>
        <v>307872</v>
      </c>
      <c r="O158" s="15">
        <f t="shared" si="26"/>
        <v>172800</v>
      </c>
      <c r="P158" s="15">
        <f ca="1">'201_打野'!F116</f>
        <v>73696.5</v>
      </c>
      <c r="Q158" s="15">
        <f ca="1">'202_黑鸦营地'!F106</f>
        <v>47667</v>
      </c>
      <c r="R158" s="15">
        <f ca="1">'204_军官任务'!O57</f>
        <v>9393.408</v>
      </c>
      <c r="S158" s="15">
        <f>'205_每日任务'!H57</f>
        <v>27648</v>
      </c>
      <c r="T158" s="15">
        <f ca="1">'208_黑市'!F57</f>
        <v>36633.6</v>
      </c>
      <c r="U158" s="15">
        <f ca="1">'210_活动'!L57</f>
        <v>148608</v>
      </c>
      <c r="V158" s="15">
        <f ca="1">'212_VIP商店'!F57</f>
        <v>3503.57142857143</v>
      </c>
      <c r="W158" s="1">
        <f ca="1" t="shared" si="27"/>
        <v>2331000000</v>
      </c>
      <c r="X158" s="1">
        <f ca="1" t="shared" si="28"/>
        <v>1633614536.28214</v>
      </c>
      <c r="Y158" s="30"/>
      <c r="Z158" s="30"/>
      <c r="AA158" s="1">
        <f ca="1" t="shared" si="29"/>
        <v>1204623.36</v>
      </c>
      <c r="AB158" s="1">
        <f ca="1" t="shared" si="30"/>
        <v>827822.079428572</v>
      </c>
      <c r="AC158" s="30"/>
      <c r="AD158" s="30"/>
      <c r="AF158" s="44">
        <f ca="1" t="shared" si="31"/>
        <v>22477500</v>
      </c>
      <c r="AG158" s="44">
        <f ca="1" t="shared" si="32"/>
        <v>720000</v>
      </c>
      <c r="AH158" s="44">
        <f t="shared" si="33"/>
        <v>1200000</v>
      </c>
      <c r="AI158" s="44">
        <f ca="1" t="shared" si="34"/>
        <v>4800000</v>
      </c>
      <c r="AJ158" s="44">
        <f ca="1" t="shared" si="35"/>
        <v>7200000</v>
      </c>
      <c r="AK158" s="44">
        <f ca="1" t="shared" si="36"/>
        <v>270000</v>
      </c>
      <c r="AL158" s="45">
        <f ca="1" t="shared" si="37"/>
        <v>5760</v>
      </c>
      <c r="AM158" s="45">
        <f t="shared" si="38"/>
        <v>2880</v>
      </c>
      <c r="AN158" s="45">
        <f ca="1" t="shared" si="39"/>
        <v>1710</v>
      </c>
      <c r="AO158" s="45">
        <f ca="1" t="shared" si="40"/>
        <v>1110</v>
      </c>
      <c r="AP158" s="45">
        <f ca="1" t="shared" si="41"/>
        <v>207.36</v>
      </c>
      <c r="AQ158" s="45">
        <f t="shared" si="42"/>
        <v>460.8</v>
      </c>
      <c r="AR158" s="45">
        <f ca="1" t="shared" si="43"/>
        <v>829.44</v>
      </c>
      <c r="AS158" s="45">
        <f ca="1" t="shared" si="44"/>
        <v>3456</v>
      </c>
      <c r="AT158" s="45">
        <f ca="1" t="shared" si="45"/>
        <v>64.2857142857143</v>
      </c>
      <c r="AU158" s="44">
        <f ca="1" t="shared" si="46"/>
        <v>36667500</v>
      </c>
      <c r="AV158" s="45">
        <f ca="1" t="shared" si="47"/>
        <v>16477.8857142857</v>
      </c>
    </row>
    <row r="159" spans="2:48">
      <c r="B159" s="11">
        <v>65</v>
      </c>
      <c r="C159" s="1" t="str">
        <f>IF(养成规划!C58="","",养成规划!C58)</f>
        <v/>
      </c>
      <c r="D159" s="1">
        <f ca="1">'102_建筑'!H397</f>
        <v>1542600000</v>
      </c>
      <c r="E159" s="1">
        <f ca="1" t="shared" si="24"/>
        <v>1028400000</v>
      </c>
      <c r="F159" s="15">
        <f ca="1">'102_建筑'!K397</f>
        <v>518713.344</v>
      </c>
      <c r="G159" s="15">
        <f ca="1" t="shared" si="25"/>
        <v>778070.016</v>
      </c>
      <c r="H159" s="1">
        <f ca="1">'203_采集'!K58</f>
        <v>1072453286.28214</v>
      </c>
      <c r="I159" s="1">
        <f ca="1">'204_军官任务'!L58</f>
        <v>36216000</v>
      </c>
      <c r="J159" s="1">
        <f>'205_每日任务'!E58</f>
        <v>78000000</v>
      </c>
      <c r="K159" s="1">
        <f ca="1">'207_空投'!G58</f>
        <v>271584000</v>
      </c>
      <c r="L159" s="1">
        <f ca="1">'210_活动'!I58</f>
        <v>357600000</v>
      </c>
      <c r="M159" s="1">
        <f ca="1">'211_VIP宝箱'!F58</f>
        <v>13515000</v>
      </c>
      <c r="N159" s="15">
        <f ca="1">'102_建筑'!E473</f>
        <v>336672</v>
      </c>
      <c r="O159" s="15">
        <f t="shared" si="26"/>
        <v>187200</v>
      </c>
      <c r="P159" s="15">
        <f ca="1">'201_打野'!F117</f>
        <v>82696.5</v>
      </c>
      <c r="Q159" s="15">
        <f ca="1">'202_黑鸦营地'!F107</f>
        <v>53667</v>
      </c>
      <c r="R159" s="15">
        <f ca="1">'204_军官任务'!O58</f>
        <v>10430.208</v>
      </c>
      <c r="S159" s="15">
        <f>'205_每日任务'!H58</f>
        <v>29952</v>
      </c>
      <c r="T159" s="15">
        <f ca="1">'208_黑市'!F58</f>
        <v>42163.2</v>
      </c>
      <c r="U159" s="15">
        <f ca="1">'210_活动'!L58</f>
        <v>171648</v>
      </c>
      <c r="V159" s="15">
        <f ca="1">'212_VIP商店'!F58</f>
        <v>3825</v>
      </c>
      <c r="W159" s="1">
        <f ca="1" t="shared" si="27"/>
        <v>2571000000</v>
      </c>
      <c r="X159" s="1">
        <f ca="1" t="shared" si="28"/>
        <v>1829368286.28214</v>
      </c>
      <c r="Y159" s="30"/>
      <c r="Z159" s="30"/>
      <c r="AA159" s="1">
        <f ca="1" t="shared" si="29"/>
        <v>1296783.36</v>
      </c>
      <c r="AB159" s="1">
        <f ca="1" t="shared" si="30"/>
        <v>918253.908</v>
      </c>
      <c r="AC159" s="30"/>
      <c r="AD159" s="30"/>
      <c r="AF159" s="44">
        <f ca="1" t="shared" si="31"/>
        <v>22560750</v>
      </c>
      <c r="AG159" s="44">
        <f ca="1" t="shared" si="32"/>
        <v>720000</v>
      </c>
      <c r="AH159" s="44">
        <f t="shared" si="33"/>
        <v>1200000</v>
      </c>
      <c r="AI159" s="44">
        <f ca="1" t="shared" si="34"/>
        <v>4800000</v>
      </c>
      <c r="AJ159" s="44">
        <f ca="1" t="shared" si="35"/>
        <v>9600000</v>
      </c>
      <c r="AK159" s="44">
        <f ca="1" t="shared" si="36"/>
        <v>270000</v>
      </c>
      <c r="AL159" s="45">
        <f ca="1" t="shared" si="37"/>
        <v>5760</v>
      </c>
      <c r="AM159" s="45">
        <f t="shared" si="38"/>
        <v>2880</v>
      </c>
      <c r="AN159" s="45">
        <f ca="1" t="shared" si="39"/>
        <v>1800</v>
      </c>
      <c r="AO159" s="45">
        <f ca="1" t="shared" si="40"/>
        <v>1200</v>
      </c>
      <c r="AP159" s="45">
        <f ca="1" t="shared" si="41"/>
        <v>207.36</v>
      </c>
      <c r="AQ159" s="45">
        <f t="shared" si="42"/>
        <v>460.8</v>
      </c>
      <c r="AR159" s="45">
        <f ca="1" t="shared" si="43"/>
        <v>1105.92</v>
      </c>
      <c r="AS159" s="45">
        <f ca="1" t="shared" si="44"/>
        <v>4608</v>
      </c>
      <c r="AT159" s="45">
        <f ca="1" t="shared" si="45"/>
        <v>64.2857142857143</v>
      </c>
      <c r="AU159" s="44">
        <f ca="1" t="shared" si="46"/>
        <v>39150750</v>
      </c>
      <c r="AV159" s="45">
        <f ca="1" t="shared" si="47"/>
        <v>18086.3657142857</v>
      </c>
    </row>
    <row r="160" spans="2:48">
      <c r="B160" s="11">
        <v>70</v>
      </c>
      <c r="C160" s="1" t="str">
        <f>IF(养成规划!C59="","",养成规划!C59)</f>
        <v/>
      </c>
      <c r="D160" s="1">
        <f ca="1">'102_建筑'!H398</f>
        <v>1686600000</v>
      </c>
      <c r="E160" s="1">
        <f ca="1" t="shared" si="24"/>
        <v>1124400000</v>
      </c>
      <c r="F160" s="15">
        <f ca="1">'102_建筑'!K398</f>
        <v>555577.344</v>
      </c>
      <c r="G160" s="15">
        <f ca="1" t="shared" si="25"/>
        <v>833366.016</v>
      </c>
      <c r="H160" s="1">
        <f ca="1">'203_采集'!K59</f>
        <v>1185673286.28214</v>
      </c>
      <c r="I160" s="1">
        <f ca="1">'204_军官任务'!L59</f>
        <v>39816000</v>
      </c>
      <c r="J160" s="1">
        <f>'205_每日任务'!E59</f>
        <v>84000000</v>
      </c>
      <c r="K160" s="1">
        <f ca="1">'207_空投'!G59</f>
        <v>295584000</v>
      </c>
      <c r="L160" s="1">
        <f ca="1">'210_活动'!I59</f>
        <v>405600000</v>
      </c>
      <c r="M160" s="1">
        <f ca="1">'211_VIP宝箱'!F59</f>
        <v>14865000</v>
      </c>
      <c r="N160" s="15">
        <f ca="1">'102_建筑'!E474</f>
        <v>365472</v>
      </c>
      <c r="O160" s="15">
        <f t="shared" si="26"/>
        <v>201600</v>
      </c>
      <c r="P160" s="15">
        <f ca="1">'201_打野'!F118</f>
        <v>91771.5</v>
      </c>
      <c r="Q160" s="15">
        <f ca="1">'202_黑鸦营地'!F108</f>
        <v>59667</v>
      </c>
      <c r="R160" s="15">
        <f ca="1">'204_军官任务'!O59</f>
        <v>11467.008</v>
      </c>
      <c r="S160" s="15">
        <f>'205_每日任务'!H59</f>
        <v>32256</v>
      </c>
      <c r="T160" s="15">
        <f ca="1">'208_黑市'!F59</f>
        <v>47692.8</v>
      </c>
      <c r="U160" s="15">
        <f ca="1">'210_活动'!L59</f>
        <v>194688</v>
      </c>
      <c r="V160" s="15">
        <f ca="1">'212_VIP商店'!F59</f>
        <v>4146.42857142857</v>
      </c>
      <c r="W160" s="1">
        <f ca="1" t="shared" si="27"/>
        <v>2811000000</v>
      </c>
      <c r="X160" s="1">
        <f ca="1" t="shared" si="28"/>
        <v>2025538286.28214</v>
      </c>
      <c r="Y160" s="30"/>
      <c r="Z160" s="30"/>
      <c r="AA160" s="1">
        <f ca="1" t="shared" si="29"/>
        <v>1388943.36</v>
      </c>
      <c r="AB160" s="1">
        <f ca="1" t="shared" si="30"/>
        <v>1008760.73657143</v>
      </c>
      <c r="AC160" s="30"/>
      <c r="AD160" s="30"/>
      <c r="AF160" s="44">
        <f ca="1" t="shared" si="31"/>
        <v>22644000</v>
      </c>
      <c r="AG160" s="44">
        <f ca="1" t="shared" si="32"/>
        <v>720000</v>
      </c>
      <c r="AH160" s="44">
        <f t="shared" si="33"/>
        <v>1200000</v>
      </c>
      <c r="AI160" s="44">
        <f ca="1" t="shared" si="34"/>
        <v>4800000</v>
      </c>
      <c r="AJ160" s="44">
        <f ca="1" t="shared" si="35"/>
        <v>9600000</v>
      </c>
      <c r="AK160" s="44">
        <f ca="1" t="shared" si="36"/>
        <v>270000</v>
      </c>
      <c r="AL160" s="45">
        <f ca="1" t="shared" si="37"/>
        <v>5760</v>
      </c>
      <c r="AM160" s="45">
        <f t="shared" si="38"/>
        <v>2880</v>
      </c>
      <c r="AN160" s="45">
        <f ca="1" t="shared" si="39"/>
        <v>1815</v>
      </c>
      <c r="AO160" s="45">
        <f ca="1" t="shared" si="40"/>
        <v>1200</v>
      </c>
      <c r="AP160" s="45">
        <f ca="1" t="shared" si="41"/>
        <v>207.36</v>
      </c>
      <c r="AQ160" s="45">
        <f t="shared" si="42"/>
        <v>460.8</v>
      </c>
      <c r="AR160" s="45">
        <f ca="1" t="shared" si="43"/>
        <v>1105.92</v>
      </c>
      <c r="AS160" s="45">
        <f ca="1" t="shared" si="44"/>
        <v>4608</v>
      </c>
      <c r="AT160" s="45">
        <f ca="1" t="shared" si="45"/>
        <v>64.2857142857143</v>
      </c>
      <c r="AU160" s="44">
        <f ca="1" t="shared" si="46"/>
        <v>39234000</v>
      </c>
      <c r="AV160" s="45">
        <f ca="1" t="shared" si="47"/>
        <v>18101.3657142857</v>
      </c>
    </row>
    <row r="161" spans="2:48">
      <c r="B161" s="11">
        <v>75</v>
      </c>
      <c r="C161" s="1" t="str">
        <f>IF(养成规划!C60="","",养成规划!C60)</f>
        <v/>
      </c>
      <c r="D161" s="1">
        <f ca="1">'102_建筑'!H399</f>
        <v>1830600000</v>
      </c>
      <c r="E161" s="1">
        <f ca="1" t="shared" si="24"/>
        <v>1220400000</v>
      </c>
      <c r="F161" s="15">
        <f ca="1">'102_建筑'!K399</f>
        <v>592441.344</v>
      </c>
      <c r="G161" s="15">
        <f ca="1" t="shared" si="25"/>
        <v>888662.016</v>
      </c>
      <c r="H161" s="1">
        <f ca="1">'203_采集'!K60</f>
        <v>1299309536.28214</v>
      </c>
      <c r="I161" s="1">
        <f ca="1">'204_军官任务'!L60</f>
        <v>43416000</v>
      </c>
      <c r="J161" s="1">
        <f>'205_每日任务'!E60</f>
        <v>90000000</v>
      </c>
      <c r="K161" s="1">
        <f ca="1">'207_空投'!G60</f>
        <v>319584000</v>
      </c>
      <c r="L161" s="1">
        <f ca="1">'210_活动'!I60</f>
        <v>453600000</v>
      </c>
      <c r="M161" s="1">
        <f ca="1">'211_VIP宝箱'!F60</f>
        <v>16215000</v>
      </c>
      <c r="N161" s="15">
        <f ca="1">'102_建筑'!E475</f>
        <v>394272</v>
      </c>
      <c r="O161" s="15">
        <f t="shared" si="26"/>
        <v>216000</v>
      </c>
      <c r="P161" s="15">
        <f ca="1">'201_打野'!F119</f>
        <v>100921.5</v>
      </c>
      <c r="Q161" s="15">
        <f ca="1">'202_黑鸦营地'!F109</f>
        <v>66117</v>
      </c>
      <c r="R161" s="15">
        <f ca="1">'204_军官任务'!O60</f>
        <v>12503.808</v>
      </c>
      <c r="S161" s="15">
        <f>'205_每日任务'!H60</f>
        <v>34560</v>
      </c>
      <c r="T161" s="15">
        <f ca="1">'208_黑市'!F60</f>
        <v>53222.4</v>
      </c>
      <c r="U161" s="15">
        <f ca="1">'210_活动'!L60</f>
        <v>217728</v>
      </c>
      <c r="V161" s="15">
        <f ca="1">'212_VIP商店'!F60</f>
        <v>4467.85714285714</v>
      </c>
      <c r="W161" s="1">
        <f ca="1" t="shared" si="27"/>
        <v>3051000000</v>
      </c>
      <c r="X161" s="1">
        <f ca="1" t="shared" si="28"/>
        <v>2222124536.28214</v>
      </c>
      <c r="Y161" s="30"/>
      <c r="Z161" s="30"/>
      <c r="AA161" s="1">
        <f ca="1" t="shared" si="29"/>
        <v>1481103.36</v>
      </c>
      <c r="AB161" s="1">
        <f ca="1" t="shared" si="30"/>
        <v>1099792.56514286</v>
      </c>
      <c r="AC161" s="30"/>
      <c r="AD161" s="30"/>
      <c r="AF161" s="44">
        <f ca="1" t="shared" si="31"/>
        <v>22727250</v>
      </c>
      <c r="AG161" s="44">
        <f ca="1" t="shared" si="32"/>
        <v>720000</v>
      </c>
      <c r="AH161" s="44">
        <f t="shared" si="33"/>
        <v>1200000</v>
      </c>
      <c r="AI161" s="44">
        <f ca="1" t="shared" si="34"/>
        <v>4800000</v>
      </c>
      <c r="AJ161" s="44">
        <f ca="1" t="shared" si="35"/>
        <v>9600000</v>
      </c>
      <c r="AK161" s="44">
        <f ca="1" t="shared" si="36"/>
        <v>270000</v>
      </c>
      <c r="AL161" s="45">
        <f ca="1" t="shared" si="37"/>
        <v>5760</v>
      </c>
      <c r="AM161" s="45">
        <f t="shared" si="38"/>
        <v>2880</v>
      </c>
      <c r="AN161" s="45">
        <f ca="1" t="shared" si="39"/>
        <v>1830</v>
      </c>
      <c r="AO161" s="45">
        <f ca="1" t="shared" si="40"/>
        <v>1290</v>
      </c>
      <c r="AP161" s="45">
        <f ca="1" t="shared" si="41"/>
        <v>207.36</v>
      </c>
      <c r="AQ161" s="45">
        <f t="shared" si="42"/>
        <v>460.8</v>
      </c>
      <c r="AR161" s="45">
        <f ca="1" t="shared" si="43"/>
        <v>1105.92</v>
      </c>
      <c r="AS161" s="45">
        <f ca="1" t="shared" si="44"/>
        <v>4608</v>
      </c>
      <c r="AT161" s="45">
        <f ca="1" t="shared" si="45"/>
        <v>64.2857142857143</v>
      </c>
      <c r="AU161" s="44">
        <f ca="1" t="shared" si="46"/>
        <v>39317250</v>
      </c>
      <c r="AV161" s="45">
        <f ca="1" t="shared" si="47"/>
        <v>18206.3657142857</v>
      </c>
    </row>
    <row r="162" spans="2:48">
      <c r="B162" s="11">
        <v>80</v>
      </c>
      <c r="C162" s="1" t="str">
        <f>IF(养成规划!C61="","",养成规划!C61)</f>
        <v/>
      </c>
      <c r="D162" s="1">
        <f ca="1">'102_建筑'!H400</f>
        <v>1974600000</v>
      </c>
      <c r="E162" s="1">
        <f ca="1" t="shared" si="24"/>
        <v>1316400000</v>
      </c>
      <c r="F162" s="15">
        <f ca="1">'102_建筑'!K400</f>
        <v>629305.344</v>
      </c>
      <c r="G162" s="15">
        <f ca="1" t="shared" si="25"/>
        <v>943958.016</v>
      </c>
      <c r="H162" s="1">
        <f ca="1">'203_采集'!K61</f>
        <v>1413362036.28214</v>
      </c>
      <c r="I162" s="1">
        <f ca="1">'204_军官任务'!L61</f>
        <v>47016000</v>
      </c>
      <c r="J162" s="1">
        <f>'205_每日任务'!E61</f>
        <v>96000000</v>
      </c>
      <c r="K162" s="1">
        <f ca="1">'207_空投'!G61</f>
        <v>343584000</v>
      </c>
      <c r="L162" s="1">
        <f ca="1">'210_活动'!I61</f>
        <v>501600000</v>
      </c>
      <c r="M162" s="1">
        <f ca="1">'211_VIP宝箱'!F61</f>
        <v>17565000</v>
      </c>
      <c r="N162" s="15">
        <f ca="1">'102_建筑'!E476</f>
        <v>423072</v>
      </c>
      <c r="O162" s="15">
        <f t="shared" si="26"/>
        <v>230400</v>
      </c>
      <c r="P162" s="15">
        <f ca="1">'201_打野'!F120</f>
        <v>110371.5</v>
      </c>
      <c r="Q162" s="15">
        <f ca="1">'202_黑鸦营地'!F110</f>
        <v>72567</v>
      </c>
      <c r="R162" s="15">
        <f ca="1">'204_军官任务'!O61</f>
        <v>13540.608</v>
      </c>
      <c r="S162" s="15">
        <f>'205_每日任务'!H61</f>
        <v>36864</v>
      </c>
      <c r="T162" s="15">
        <f ca="1">'208_黑市'!F61</f>
        <v>58752</v>
      </c>
      <c r="U162" s="15">
        <f ca="1">'210_活动'!L61</f>
        <v>240768</v>
      </c>
      <c r="V162" s="15">
        <f ca="1">'212_VIP商店'!F61</f>
        <v>4789.28571428572</v>
      </c>
      <c r="W162" s="1">
        <f ca="1" t="shared" si="27"/>
        <v>3291000000</v>
      </c>
      <c r="X162" s="1">
        <f ca="1" t="shared" si="28"/>
        <v>2419127036.28214</v>
      </c>
      <c r="Y162" s="30"/>
      <c r="Z162" s="30"/>
      <c r="AA162" s="1">
        <f ca="1" t="shared" si="29"/>
        <v>1573263.36</v>
      </c>
      <c r="AB162" s="1">
        <f ca="1" t="shared" si="30"/>
        <v>1191124.39371429</v>
      </c>
      <c r="AC162" s="30"/>
      <c r="AD162" s="30"/>
      <c r="AF162" s="44">
        <f ca="1" t="shared" si="31"/>
        <v>22810500</v>
      </c>
      <c r="AG162" s="44">
        <f ca="1" t="shared" si="32"/>
        <v>720000</v>
      </c>
      <c r="AH162" s="44">
        <f t="shared" si="33"/>
        <v>1200000</v>
      </c>
      <c r="AI162" s="44">
        <f ca="1" t="shared" si="34"/>
        <v>4800000</v>
      </c>
      <c r="AJ162" s="44">
        <f ca="1" t="shared" si="35"/>
        <v>9600000</v>
      </c>
      <c r="AK162" s="44">
        <f ca="1" t="shared" si="36"/>
        <v>270000</v>
      </c>
      <c r="AL162" s="45">
        <f ca="1" t="shared" si="37"/>
        <v>5760</v>
      </c>
      <c r="AM162" s="45">
        <f t="shared" si="38"/>
        <v>2880</v>
      </c>
      <c r="AN162" s="45">
        <f ca="1" t="shared" si="39"/>
        <v>1890</v>
      </c>
      <c r="AO162" s="45">
        <f ca="1" t="shared" si="40"/>
        <v>1290</v>
      </c>
      <c r="AP162" s="45">
        <f ca="1" t="shared" si="41"/>
        <v>207.36</v>
      </c>
      <c r="AQ162" s="45">
        <f t="shared" si="42"/>
        <v>460.8</v>
      </c>
      <c r="AR162" s="45">
        <f ca="1" t="shared" si="43"/>
        <v>1105.92</v>
      </c>
      <c r="AS162" s="45">
        <f ca="1" t="shared" si="44"/>
        <v>4608</v>
      </c>
      <c r="AT162" s="45">
        <f ca="1" t="shared" si="45"/>
        <v>64.2857142857143</v>
      </c>
      <c r="AU162" s="44">
        <f ca="1" t="shared" si="46"/>
        <v>39400500</v>
      </c>
      <c r="AV162" s="45">
        <f ca="1" t="shared" si="47"/>
        <v>18266.3657142857</v>
      </c>
    </row>
    <row r="163" spans="2:48">
      <c r="B163" s="11">
        <v>85</v>
      </c>
      <c r="C163" s="1" t="str">
        <f>IF(养成规划!C62="","",养成规划!C62)</f>
        <v/>
      </c>
      <c r="D163" s="1">
        <f ca="1">'102_建筑'!H401</f>
        <v>2118600000</v>
      </c>
      <c r="E163" s="1">
        <f ca="1" t="shared" si="24"/>
        <v>1412400000</v>
      </c>
      <c r="F163" s="15">
        <f ca="1">'102_建筑'!K401</f>
        <v>666169.344</v>
      </c>
      <c r="G163" s="15">
        <f ca="1" t="shared" si="25"/>
        <v>999254.016</v>
      </c>
      <c r="H163" s="1">
        <f ca="1">'203_采集'!K62</f>
        <v>1527830786.28214</v>
      </c>
      <c r="I163" s="1">
        <f ca="1">'204_军官任务'!L62</f>
        <v>50616000</v>
      </c>
      <c r="J163" s="1">
        <f>'205_每日任务'!E62</f>
        <v>102000000</v>
      </c>
      <c r="K163" s="1">
        <f ca="1">'207_空投'!G62</f>
        <v>367584000</v>
      </c>
      <c r="L163" s="1">
        <f ca="1">'210_活动'!I62</f>
        <v>549600000</v>
      </c>
      <c r="M163" s="1">
        <f ca="1">'211_VIP宝箱'!F62</f>
        <v>18915000</v>
      </c>
      <c r="N163" s="15">
        <f ca="1">'102_建筑'!E477</f>
        <v>451872</v>
      </c>
      <c r="O163" s="15">
        <f t="shared" si="26"/>
        <v>244800</v>
      </c>
      <c r="P163" s="15">
        <f ca="1">'201_打野'!F121</f>
        <v>120046.5</v>
      </c>
      <c r="Q163" s="15">
        <f ca="1">'202_黑鸦营地'!F111</f>
        <v>79467</v>
      </c>
      <c r="R163" s="15">
        <f ca="1">'204_军官任务'!O62</f>
        <v>14577.408</v>
      </c>
      <c r="S163" s="15">
        <f>'205_每日任务'!H62</f>
        <v>39168</v>
      </c>
      <c r="T163" s="15">
        <f ca="1">'208_黑市'!F62</f>
        <v>64281.6</v>
      </c>
      <c r="U163" s="15">
        <f ca="1">'210_活动'!L62</f>
        <v>263808</v>
      </c>
      <c r="V163" s="15">
        <f ca="1">'212_VIP商店'!F62</f>
        <v>5110.71428571429</v>
      </c>
      <c r="W163" s="1">
        <f ca="1" t="shared" si="27"/>
        <v>3531000000</v>
      </c>
      <c r="X163" s="1">
        <f ca="1" t="shared" si="28"/>
        <v>2616545786.28214</v>
      </c>
      <c r="Y163" s="30"/>
      <c r="Z163" s="30"/>
      <c r="AA163" s="1">
        <f ca="1" t="shared" si="29"/>
        <v>1665423.36</v>
      </c>
      <c r="AB163" s="1">
        <f ca="1" t="shared" si="30"/>
        <v>1283131.22228571</v>
      </c>
      <c r="AC163" s="30"/>
      <c r="AD163" s="30"/>
      <c r="AF163" s="44">
        <f ca="1" t="shared" si="31"/>
        <v>22893750</v>
      </c>
      <c r="AG163" s="44">
        <f ca="1" t="shared" si="32"/>
        <v>720000</v>
      </c>
      <c r="AH163" s="44">
        <f t="shared" si="33"/>
        <v>1200000</v>
      </c>
      <c r="AI163" s="44">
        <f ca="1" t="shared" si="34"/>
        <v>4800000</v>
      </c>
      <c r="AJ163" s="44">
        <f ca="1" t="shared" si="35"/>
        <v>9600000</v>
      </c>
      <c r="AK163" s="44">
        <f ca="1" t="shared" si="36"/>
        <v>270000</v>
      </c>
      <c r="AL163" s="45">
        <f ca="1" t="shared" si="37"/>
        <v>5760</v>
      </c>
      <c r="AM163" s="45">
        <f t="shared" si="38"/>
        <v>2880</v>
      </c>
      <c r="AN163" s="45">
        <f ca="1" t="shared" si="39"/>
        <v>1935</v>
      </c>
      <c r="AO163" s="45">
        <f ca="1" t="shared" si="40"/>
        <v>1380</v>
      </c>
      <c r="AP163" s="45">
        <f ca="1" t="shared" si="41"/>
        <v>207.36</v>
      </c>
      <c r="AQ163" s="45">
        <f t="shared" si="42"/>
        <v>460.8</v>
      </c>
      <c r="AR163" s="45">
        <f ca="1" t="shared" si="43"/>
        <v>1105.92</v>
      </c>
      <c r="AS163" s="45">
        <f ca="1" t="shared" si="44"/>
        <v>4608</v>
      </c>
      <c r="AT163" s="45">
        <f ca="1" t="shared" si="45"/>
        <v>64.2857142857143</v>
      </c>
      <c r="AU163" s="44">
        <f ca="1" t="shared" si="46"/>
        <v>39483750</v>
      </c>
      <c r="AV163" s="45">
        <f ca="1" t="shared" si="47"/>
        <v>18401.3657142857</v>
      </c>
    </row>
    <row r="164" spans="2:48">
      <c r="B164" s="11">
        <v>90</v>
      </c>
      <c r="C164" s="1">
        <f>IF(养成规划!C63="","",养成规划!C63)</f>
        <v>27</v>
      </c>
      <c r="D164" s="1">
        <f ca="1">'102_建筑'!H402</f>
        <v>2262600000</v>
      </c>
      <c r="E164" s="1">
        <f ca="1" t="shared" si="24"/>
        <v>1508400000</v>
      </c>
      <c r="F164" s="15">
        <f ca="1">'102_建筑'!K402</f>
        <v>703033.344</v>
      </c>
      <c r="G164" s="15">
        <f ca="1" t="shared" si="25"/>
        <v>1054550.016</v>
      </c>
      <c r="H164" s="1">
        <f ca="1">'203_采集'!K63</f>
        <v>1642715786.28214</v>
      </c>
      <c r="I164" s="1">
        <f ca="1">'204_军官任务'!L63</f>
        <v>54216000</v>
      </c>
      <c r="J164" s="1">
        <f>'205_每日任务'!E63</f>
        <v>108000000</v>
      </c>
      <c r="K164" s="1">
        <f ca="1">'207_空投'!G63</f>
        <v>403584000</v>
      </c>
      <c r="L164" s="1">
        <f ca="1">'210_活动'!I63</f>
        <v>597600000</v>
      </c>
      <c r="M164" s="1">
        <f ca="1">'211_VIP宝箱'!F63</f>
        <v>20415000</v>
      </c>
      <c r="N164" s="15">
        <f ca="1">'102_建筑'!E478</f>
        <v>480672</v>
      </c>
      <c r="O164" s="15">
        <f t="shared" si="26"/>
        <v>259200</v>
      </c>
      <c r="P164" s="15">
        <f ca="1">'201_打野'!F122</f>
        <v>129721.5</v>
      </c>
      <c r="Q164" s="15">
        <f ca="1">'202_黑鸦营地'!F112</f>
        <v>86367</v>
      </c>
      <c r="R164" s="15">
        <f ca="1">'204_军官任务'!O63</f>
        <v>15614.208</v>
      </c>
      <c r="S164" s="15">
        <f>'205_每日任务'!H63</f>
        <v>41472</v>
      </c>
      <c r="T164" s="15">
        <f ca="1">'208_黑市'!F63</f>
        <v>69811.2</v>
      </c>
      <c r="U164" s="15">
        <f ca="1">'210_活动'!L63</f>
        <v>286848</v>
      </c>
      <c r="V164" s="15">
        <f ca="1">'212_VIP商店'!F63</f>
        <v>5432.14285714286</v>
      </c>
      <c r="W164" s="1">
        <f ca="1" t="shared" si="27"/>
        <v>3771000000</v>
      </c>
      <c r="X164" s="1">
        <f ca="1" t="shared" si="28"/>
        <v>2826530786.28214</v>
      </c>
      <c r="Y164" s="30"/>
      <c r="Z164" s="30"/>
      <c r="AA164" s="1">
        <f ca="1" t="shared" si="29"/>
        <v>1757583.36</v>
      </c>
      <c r="AB164" s="1">
        <f ca="1" t="shared" si="30"/>
        <v>1375138.05085714</v>
      </c>
      <c r="AC164" s="30"/>
      <c r="AD164" s="30"/>
      <c r="AF164" s="44">
        <f ca="1" t="shared" si="31"/>
        <v>22977000</v>
      </c>
      <c r="AG164" s="44">
        <f ca="1" t="shared" si="32"/>
        <v>720000</v>
      </c>
      <c r="AH164" s="44">
        <f t="shared" si="33"/>
        <v>1200000</v>
      </c>
      <c r="AI164" s="44">
        <f ca="1" t="shared" si="34"/>
        <v>7200000</v>
      </c>
      <c r="AJ164" s="44">
        <f ca="1" t="shared" si="35"/>
        <v>9600000</v>
      </c>
      <c r="AK164" s="44">
        <f ca="1" t="shared" si="36"/>
        <v>300000</v>
      </c>
      <c r="AL164" s="45">
        <f ca="1" t="shared" si="37"/>
        <v>5760</v>
      </c>
      <c r="AM164" s="45">
        <f t="shared" si="38"/>
        <v>2880</v>
      </c>
      <c r="AN164" s="45">
        <f ca="1" t="shared" si="39"/>
        <v>1935</v>
      </c>
      <c r="AO164" s="45">
        <f ca="1" t="shared" si="40"/>
        <v>1380</v>
      </c>
      <c r="AP164" s="45">
        <f ca="1" t="shared" si="41"/>
        <v>207.36</v>
      </c>
      <c r="AQ164" s="45">
        <f t="shared" si="42"/>
        <v>460.8</v>
      </c>
      <c r="AR164" s="45">
        <f ca="1" t="shared" si="43"/>
        <v>1105.92</v>
      </c>
      <c r="AS164" s="45">
        <f ca="1" t="shared" si="44"/>
        <v>4608</v>
      </c>
      <c r="AT164" s="45">
        <f ca="1" t="shared" si="45"/>
        <v>64.2857142857143</v>
      </c>
      <c r="AU164" s="44">
        <f ca="1" t="shared" si="46"/>
        <v>41997000</v>
      </c>
      <c r="AV164" s="45">
        <f ca="1" t="shared" si="47"/>
        <v>18401.3657142857</v>
      </c>
    </row>
    <row r="165" spans="2:48">
      <c r="B165" s="11">
        <v>95</v>
      </c>
      <c r="C165" s="1" t="str">
        <f>IF(养成规划!C64="","",养成规划!C64)</f>
        <v/>
      </c>
      <c r="D165" s="1">
        <f ca="1">'102_建筑'!H403</f>
        <v>2442600000</v>
      </c>
      <c r="E165" s="1">
        <f ca="1" t="shared" si="24"/>
        <v>1628400000</v>
      </c>
      <c r="F165" s="15">
        <f ca="1">'102_建筑'!K403</f>
        <v>758329.344</v>
      </c>
      <c r="G165" s="15">
        <f ca="1" t="shared" si="25"/>
        <v>1137494.016</v>
      </c>
      <c r="H165" s="1">
        <f ca="1">'203_采集'!K64</f>
        <v>1759682036.28214</v>
      </c>
      <c r="I165" s="1">
        <f ca="1">'204_军官任务'!L64</f>
        <v>60216000</v>
      </c>
      <c r="J165" s="1">
        <f>'205_每日任务'!E64</f>
        <v>114000000</v>
      </c>
      <c r="K165" s="1">
        <f ca="1">'207_空投'!G64</f>
        <v>439584000</v>
      </c>
      <c r="L165" s="1">
        <f ca="1">'210_活动'!I64</f>
        <v>645600000</v>
      </c>
      <c r="M165" s="1">
        <f ca="1">'211_VIP宝箱'!F64</f>
        <v>21915000</v>
      </c>
      <c r="N165" s="15">
        <f ca="1">'102_建筑'!E479</f>
        <v>509472</v>
      </c>
      <c r="O165" s="15">
        <f t="shared" si="26"/>
        <v>273600</v>
      </c>
      <c r="P165" s="15">
        <f ca="1">'201_打野'!F123</f>
        <v>139396.5</v>
      </c>
      <c r="Q165" s="15">
        <f ca="1">'202_黑鸦营地'!F113</f>
        <v>93267</v>
      </c>
      <c r="R165" s="15">
        <f ca="1">'204_军官任务'!O64</f>
        <v>17342.208</v>
      </c>
      <c r="S165" s="15">
        <f>'205_每日任务'!H64</f>
        <v>43776</v>
      </c>
      <c r="T165" s="15">
        <f ca="1">'208_黑市'!F64</f>
        <v>75340.8</v>
      </c>
      <c r="U165" s="15">
        <f ca="1">'210_活动'!L64</f>
        <v>309888</v>
      </c>
      <c r="V165" s="15">
        <f ca="1">'212_VIP商店'!F64</f>
        <v>5753.57142857143</v>
      </c>
      <c r="W165" s="1">
        <f ca="1" t="shared" si="27"/>
        <v>4071000000</v>
      </c>
      <c r="X165" s="1">
        <f ca="1" t="shared" si="28"/>
        <v>3040997036.28214</v>
      </c>
      <c r="Y165" s="30"/>
      <c r="Z165" s="30"/>
      <c r="AA165" s="1">
        <f ca="1" t="shared" si="29"/>
        <v>1895823.36</v>
      </c>
      <c r="AB165" s="1">
        <f ca="1" t="shared" si="30"/>
        <v>1467836.07942857</v>
      </c>
      <c r="AC165" s="30"/>
      <c r="AD165" s="30"/>
      <c r="AF165" s="44">
        <f ca="1" t="shared" si="31"/>
        <v>23393250</v>
      </c>
      <c r="AG165" s="44">
        <f ca="1" t="shared" si="32"/>
        <v>1200000</v>
      </c>
      <c r="AH165" s="44">
        <f t="shared" si="33"/>
        <v>1200000</v>
      </c>
      <c r="AI165" s="44">
        <f ca="1" t="shared" si="34"/>
        <v>7200000</v>
      </c>
      <c r="AJ165" s="44">
        <f ca="1" t="shared" si="35"/>
        <v>9600000</v>
      </c>
      <c r="AK165" s="44">
        <f ca="1" t="shared" si="36"/>
        <v>300000</v>
      </c>
      <c r="AL165" s="45">
        <f ca="1" t="shared" si="37"/>
        <v>5760</v>
      </c>
      <c r="AM165" s="45">
        <f t="shared" si="38"/>
        <v>2880</v>
      </c>
      <c r="AN165" s="45">
        <f ca="1" t="shared" si="39"/>
        <v>1935</v>
      </c>
      <c r="AO165" s="45">
        <f ca="1" t="shared" si="40"/>
        <v>1380</v>
      </c>
      <c r="AP165" s="45">
        <f ca="1" t="shared" si="41"/>
        <v>345.6</v>
      </c>
      <c r="AQ165" s="45">
        <f t="shared" si="42"/>
        <v>460.8</v>
      </c>
      <c r="AR165" s="45">
        <f ca="1" t="shared" si="43"/>
        <v>1105.92</v>
      </c>
      <c r="AS165" s="45">
        <f ca="1" t="shared" si="44"/>
        <v>4608</v>
      </c>
      <c r="AT165" s="45">
        <f ca="1" t="shared" si="45"/>
        <v>64.2857142857143</v>
      </c>
      <c r="AU165" s="44">
        <f ca="1" t="shared" si="46"/>
        <v>42893250</v>
      </c>
      <c r="AV165" s="45">
        <f ca="1" t="shared" si="47"/>
        <v>18539.6057142857</v>
      </c>
    </row>
    <row r="166" spans="2:48">
      <c r="B166" s="11">
        <v>100</v>
      </c>
      <c r="C166" s="1" t="str">
        <f>IF(养成规划!C65="","",养成规划!C65)</f>
        <v/>
      </c>
      <c r="D166" s="1">
        <f ca="1">'102_建筑'!H404</f>
        <v>2622600000</v>
      </c>
      <c r="E166" s="1">
        <f ca="1" t="shared" si="24"/>
        <v>1748400000</v>
      </c>
      <c r="F166" s="15">
        <f ca="1">'102_建筑'!K404</f>
        <v>813625.344</v>
      </c>
      <c r="G166" s="15">
        <f ca="1" t="shared" si="25"/>
        <v>1220438.016</v>
      </c>
      <c r="H166" s="1">
        <f ca="1">'203_采集'!K65</f>
        <v>1878729536.28214</v>
      </c>
      <c r="I166" s="1">
        <f ca="1">'204_军官任务'!L65</f>
        <v>66216000</v>
      </c>
      <c r="J166" s="1">
        <f>'205_每日任务'!E65</f>
        <v>120000000</v>
      </c>
      <c r="K166" s="1">
        <f ca="1">'207_空投'!G65</f>
        <v>475584000</v>
      </c>
      <c r="L166" s="1">
        <f ca="1">'210_活动'!I65</f>
        <v>693600000</v>
      </c>
      <c r="M166" s="1">
        <f ca="1">'211_VIP宝箱'!F65</f>
        <v>23415000</v>
      </c>
      <c r="N166" s="15">
        <f ca="1">'102_建筑'!E480</f>
        <v>538272</v>
      </c>
      <c r="O166" s="15">
        <f t="shared" si="26"/>
        <v>288000</v>
      </c>
      <c r="P166" s="15">
        <f ca="1">'201_打野'!F124</f>
        <v>149071.5</v>
      </c>
      <c r="Q166" s="15">
        <f ca="1">'202_黑鸦营地'!F114</f>
        <v>100167</v>
      </c>
      <c r="R166" s="15">
        <f ca="1">'204_军官任务'!O65</f>
        <v>19070.208</v>
      </c>
      <c r="S166" s="15">
        <f>'205_每日任务'!H65</f>
        <v>46080</v>
      </c>
      <c r="T166" s="15">
        <f ca="1">'208_黑市'!F65</f>
        <v>80870.4</v>
      </c>
      <c r="U166" s="15">
        <f ca="1">'210_活动'!L65</f>
        <v>332928</v>
      </c>
      <c r="V166" s="15">
        <f ca="1">'212_VIP商店'!F65</f>
        <v>6075</v>
      </c>
      <c r="W166" s="1">
        <f ca="1" t="shared" si="27"/>
        <v>4371000000</v>
      </c>
      <c r="X166" s="1">
        <f ca="1" t="shared" si="28"/>
        <v>3257544536.28214</v>
      </c>
      <c r="Y166" s="30"/>
      <c r="Z166" s="30"/>
      <c r="AA166" s="1">
        <f ca="1" t="shared" si="29"/>
        <v>2034063.36</v>
      </c>
      <c r="AB166" s="1">
        <f ca="1" t="shared" si="30"/>
        <v>1560534.108</v>
      </c>
      <c r="AC166" s="30"/>
      <c r="AD166" s="30"/>
      <c r="AF166" s="44">
        <f ca="1" t="shared" si="31"/>
        <v>23809500</v>
      </c>
      <c r="AG166" s="44">
        <f ca="1" t="shared" si="32"/>
        <v>1200000</v>
      </c>
      <c r="AH166" s="44">
        <f t="shared" si="33"/>
        <v>1200000</v>
      </c>
      <c r="AI166" s="44">
        <f ca="1" t="shared" si="34"/>
        <v>7200000</v>
      </c>
      <c r="AJ166" s="44">
        <f ca="1" t="shared" si="35"/>
        <v>9600000</v>
      </c>
      <c r="AK166" s="44">
        <f ca="1" t="shared" si="36"/>
        <v>300000</v>
      </c>
      <c r="AL166" s="45">
        <f ca="1" t="shared" si="37"/>
        <v>5760</v>
      </c>
      <c r="AM166" s="45">
        <f t="shared" si="38"/>
        <v>2880</v>
      </c>
      <c r="AN166" s="45">
        <f ca="1" t="shared" si="39"/>
        <v>1935</v>
      </c>
      <c r="AO166" s="45">
        <f ca="1" t="shared" si="40"/>
        <v>1380</v>
      </c>
      <c r="AP166" s="45">
        <f ca="1" t="shared" si="41"/>
        <v>345.6</v>
      </c>
      <c r="AQ166" s="45">
        <f t="shared" si="42"/>
        <v>460.8</v>
      </c>
      <c r="AR166" s="45">
        <f ca="1" t="shared" si="43"/>
        <v>1105.92</v>
      </c>
      <c r="AS166" s="45">
        <f ca="1" t="shared" si="44"/>
        <v>4608</v>
      </c>
      <c r="AT166" s="45">
        <f ca="1" t="shared" si="45"/>
        <v>64.2857142857143</v>
      </c>
      <c r="AU166" s="44">
        <f ca="1" t="shared" si="46"/>
        <v>43309500</v>
      </c>
      <c r="AV166" s="45">
        <f ca="1" t="shared" si="47"/>
        <v>18539.6057142857</v>
      </c>
    </row>
    <row r="167" spans="2:48">
      <c r="B167" s="11">
        <v>105</v>
      </c>
      <c r="C167" s="1" t="str">
        <f>IF(养成规划!C66="","",养成规划!C66)</f>
        <v/>
      </c>
      <c r="D167" s="1">
        <f ca="1">'102_建筑'!H405</f>
        <v>2802600000</v>
      </c>
      <c r="E167" s="1">
        <f ca="1" t="shared" si="24"/>
        <v>1868400000</v>
      </c>
      <c r="F167" s="15">
        <f ca="1">'102_建筑'!K405</f>
        <v>868921.344</v>
      </c>
      <c r="G167" s="15">
        <f ca="1" t="shared" si="25"/>
        <v>1303382.016</v>
      </c>
      <c r="H167" s="1">
        <f ca="1">'203_采集'!K66</f>
        <v>1999858286.28214</v>
      </c>
      <c r="I167" s="1">
        <f ca="1">'204_军官任务'!L66</f>
        <v>72216000</v>
      </c>
      <c r="J167" s="1">
        <f>'205_每日任务'!E66</f>
        <v>126000000</v>
      </c>
      <c r="K167" s="1">
        <f ca="1">'207_空投'!G66</f>
        <v>511584000</v>
      </c>
      <c r="L167" s="1">
        <f ca="1">'210_活动'!I66</f>
        <v>741600000</v>
      </c>
      <c r="M167" s="1">
        <f ca="1">'211_VIP宝箱'!F66</f>
        <v>24915000</v>
      </c>
      <c r="N167" s="15">
        <f ca="1">'102_建筑'!E481</f>
        <v>567072</v>
      </c>
      <c r="O167" s="15">
        <f t="shared" si="26"/>
        <v>302400</v>
      </c>
      <c r="P167" s="15">
        <f ca="1">'201_打野'!F125</f>
        <v>158746.5</v>
      </c>
      <c r="Q167" s="15">
        <f ca="1">'202_黑鸦营地'!F115</f>
        <v>107067</v>
      </c>
      <c r="R167" s="15">
        <f ca="1">'204_军官任务'!O66</f>
        <v>20798.208</v>
      </c>
      <c r="S167" s="15">
        <f>'205_每日任务'!H66</f>
        <v>48384</v>
      </c>
      <c r="T167" s="15">
        <f ca="1">'208_黑市'!F66</f>
        <v>86400</v>
      </c>
      <c r="U167" s="15">
        <f ca="1">'210_活动'!L66</f>
        <v>355968</v>
      </c>
      <c r="V167" s="15">
        <f ca="1">'212_VIP商店'!F66</f>
        <v>6396.42857142857</v>
      </c>
      <c r="W167" s="1">
        <f ca="1" t="shared" si="27"/>
        <v>4671000000</v>
      </c>
      <c r="X167" s="1">
        <f ca="1" t="shared" si="28"/>
        <v>3476173286.28214</v>
      </c>
      <c r="Y167" s="30"/>
      <c r="Z167" s="30"/>
      <c r="AA167" s="1">
        <f ca="1" t="shared" si="29"/>
        <v>2172303.36</v>
      </c>
      <c r="AB167" s="1">
        <f ca="1" t="shared" si="30"/>
        <v>1653232.13657143</v>
      </c>
      <c r="AC167" s="30"/>
      <c r="AD167" s="30"/>
      <c r="AF167" s="44">
        <f ca="1" t="shared" si="31"/>
        <v>24225750</v>
      </c>
      <c r="AG167" s="44">
        <f ca="1" t="shared" si="32"/>
        <v>1200000</v>
      </c>
      <c r="AH167" s="44">
        <f t="shared" si="33"/>
        <v>1200000</v>
      </c>
      <c r="AI167" s="44">
        <f ca="1" t="shared" si="34"/>
        <v>7200000</v>
      </c>
      <c r="AJ167" s="44">
        <f ca="1" t="shared" si="35"/>
        <v>9600000</v>
      </c>
      <c r="AK167" s="44">
        <f ca="1" t="shared" si="36"/>
        <v>300000</v>
      </c>
      <c r="AL167" s="45">
        <f ca="1" t="shared" si="37"/>
        <v>5760</v>
      </c>
      <c r="AM167" s="45">
        <f t="shared" si="38"/>
        <v>2880</v>
      </c>
      <c r="AN167" s="45">
        <f ca="1" t="shared" si="39"/>
        <v>1935</v>
      </c>
      <c r="AO167" s="45">
        <f ca="1" t="shared" si="40"/>
        <v>1380</v>
      </c>
      <c r="AP167" s="45">
        <f ca="1" t="shared" si="41"/>
        <v>345.6</v>
      </c>
      <c r="AQ167" s="45">
        <f t="shared" si="42"/>
        <v>460.8</v>
      </c>
      <c r="AR167" s="45">
        <f ca="1" t="shared" si="43"/>
        <v>1105.92</v>
      </c>
      <c r="AS167" s="45">
        <f ca="1" t="shared" si="44"/>
        <v>4608</v>
      </c>
      <c r="AT167" s="45">
        <f ca="1" t="shared" si="45"/>
        <v>64.2857142857143</v>
      </c>
      <c r="AU167" s="44">
        <f ca="1" t="shared" si="46"/>
        <v>43725750</v>
      </c>
      <c r="AV167" s="45">
        <f ca="1" t="shared" si="47"/>
        <v>18539.6057142857</v>
      </c>
    </row>
    <row r="168" spans="2:48">
      <c r="B168" s="11">
        <v>110</v>
      </c>
      <c r="C168" s="1" t="str">
        <f>IF(养成规划!C67="","",养成规划!C67)</f>
        <v/>
      </c>
      <c r="D168" s="1">
        <f ca="1">'102_建筑'!H406</f>
        <v>2982600000</v>
      </c>
      <c r="E168" s="1">
        <f ca="1" t="shared" si="24"/>
        <v>1988400000</v>
      </c>
      <c r="F168" s="15">
        <f ca="1">'102_建筑'!K406</f>
        <v>924217.344</v>
      </c>
      <c r="G168" s="15">
        <f ca="1" t="shared" si="25"/>
        <v>1386326.016</v>
      </c>
      <c r="H168" s="1">
        <f ca="1">'203_采集'!K67</f>
        <v>2123068286.28214</v>
      </c>
      <c r="I168" s="1">
        <f ca="1">'204_军官任务'!L67</f>
        <v>78216000</v>
      </c>
      <c r="J168" s="1">
        <f>'205_每日任务'!E67</f>
        <v>132000000</v>
      </c>
      <c r="K168" s="1">
        <f ca="1">'207_空投'!G67</f>
        <v>547584000</v>
      </c>
      <c r="L168" s="1">
        <f ca="1">'210_活动'!I67</f>
        <v>789600000</v>
      </c>
      <c r="M168" s="1">
        <f ca="1">'211_VIP宝箱'!F67</f>
        <v>26415000</v>
      </c>
      <c r="N168" s="15">
        <f ca="1">'102_建筑'!E482</f>
        <v>595872</v>
      </c>
      <c r="O168" s="15">
        <f t="shared" si="26"/>
        <v>316800</v>
      </c>
      <c r="P168" s="15">
        <f ca="1">'201_打野'!F126</f>
        <v>168421.5</v>
      </c>
      <c r="Q168" s="15">
        <f ca="1">'202_黑鸦营地'!F116</f>
        <v>113967</v>
      </c>
      <c r="R168" s="15">
        <f ca="1">'204_军官任务'!O67</f>
        <v>22526.208</v>
      </c>
      <c r="S168" s="15">
        <f>'205_每日任务'!H67</f>
        <v>50688</v>
      </c>
      <c r="T168" s="15">
        <f ca="1">'208_黑市'!F67</f>
        <v>91929.6</v>
      </c>
      <c r="U168" s="15">
        <f ca="1">'210_活动'!L67</f>
        <v>379008</v>
      </c>
      <c r="V168" s="15">
        <f ca="1">'212_VIP商店'!F67</f>
        <v>6717.85714285714</v>
      </c>
      <c r="W168" s="1">
        <f ca="1" t="shared" si="27"/>
        <v>4971000000</v>
      </c>
      <c r="X168" s="1">
        <f ca="1" t="shared" si="28"/>
        <v>3696883286.28214</v>
      </c>
      <c r="Y168" s="30"/>
      <c r="Z168" s="30"/>
      <c r="AA168" s="1">
        <f ca="1" t="shared" si="29"/>
        <v>2310543.36</v>
      </c>
      <c r="AB168" s="1">
        <f ca="1" t="shared" si="30"/>
        <v>1745930.16514286</v>
      </c>
      <c r="AC168" s="30"/>
      <c r="AD168" s="30"/>
      <c r="AF168" s="44">
        <f ca="1" t="shared" si="31"/>
        <v>24642000</v>
      </c>
      <c r="AG168" s="44">
        <f ca="1" t="shared" si="32"/>
        <v>1200000</v>
      </c>
      <c r="AH168" s="44">
        <f t="shared" si="33"/>
        <v>1200000</v>
      </c>
      <c r="AI168" s="44">
        <f ca="1" t="shared" si="34"/>
        <v>7200000</v>
      </c>
      <c r="AJ168" s="44">
        <f ca="1" t="shared" si="35"/>
        <v>9600000</v>
      </c>
      <c r="AK168" s="44">
        <f ca="1" t="shared" si="36"/>
        <v>300000</v>
      </c>
      <c r="AL168" s="45">
        <f ca="1" t="shared" si="37"/>
        <v>5760</v>
      </c>
      <c r="AM168" s="45">
        <f t="shared" si="38"/>
        <v>2880</v>
      </c>
      <c r="AN168" s="45">
        <f ca="1" t="shared" si="39"/>
        <v>1935</v>
      </c>
      <c r="AO168" s="45">
        <f ca="1" t="shared" si="40"/>
        <v>1380</v>
      </c>
      <c r="AP168" s="45">
        <f ca="1" t="shared" si="41"/>
        <v>345.6</v>
      </c>
      <c r="AQ168" s="45">
        <f t="shared" si="42"/>
        <v>460.8</v>
      </c>
      <c r="AR168" s="45">
        <f ca="1" t="shared" si="43"/>
        <v>1105.92</v>
      </c>
      <c r="AS168" s="45">
        <f ca="1" t="shared" si="44"/>
        <v>4608</v>
      </c>
      <c r="AT168" s="45">
        <f ca="1" t="shared" si="45"/>
        <v>64.2857142857143</v>
      </c>
      <c r="AU168" s="44">
        <f ca="1" t="shared" si="46"/>
        <v>44142000</v>
      </c>
      <c r="AV168" s="45">
        <f ca="1" t="shared" si="47"/>
        <v>18539.6057142857</v>
      </c>
    </row>
    <row r="169" spans="2:48">
      <c r="B169" s="11">
        <v>115</v>
      </c>
      <c r="C169" s="1" t="str">
        <f>IF(养成规划!C68="","",养成规划!C68)</f>
        <v/>
      </c>
      <c r="D169" s="1">
        <f ca="1">'102_建筑'!H407</f>
        <v>3162600000</v>
      </c>
      <c r="E169" s="1">
        <f ca="1" t="shared" si="24"/>
        <v>2108400000</v>
      </c>
      <c r="F169" s="15">
        <f ca="1">'102_建筑'!K407</f>
        <v>979513.344</v>
      </c>
      <c r="G169" s="15">
        <f ca="1" t="shared" si="25"/>
        <v>1469270.016</v>
      </c>
      <c r="H169" s="1">
        <f ca="1">'203_采集'!K68</f>
        <v>2248359536.28214</v>
      </c>
      <c r="I169" s="1">
        <f ca="1">'204_军官任务'!L68</f>
        <v>84216000</v>
      </c>
      <c r="J169" s="1">
        <f>'205_每日任务'!E68</f>
        <v>138000000</v>
      </c>
      <c r="K169" s="1">
        <f ca="1">'207_空投'!G68</f>
        <v>583584000</v>
      </c>
      <c r="L169" s="1">
        <f ca="1">'210_活动'!I68</f>
        <v>837600000</v>
      </c>
      <c r="M169" s="1">
        <f ca="1">'211_VIP宝箱'!F68</f>
        <v>27915000</v>
      </c>
      <c r="N169" s="15">
        <f ca="1">'102_建筑'!E483</f>
        <v>624672</v>
      </c>
      <c r="O169" s="15">
        <f t="shared" si="26"/>
        <v>331200</v>
      </c>
      <c r="P169" s="15">
        <f ca="1">'201_打野'!F127</f>
        <v>178096.5</v>
      </c>
      <c r="Q169" s="15">
        <f ca="1">'202_黑鸦营地'!F117</f>
        <v>120867</v>
      </c>
      <c r="R169" s="15">
        <f ca="1">'204_军官任务'!O68</f>
        <v>24254.208</v>
      </c>
      <c r="S169" s="15">
        <f>'205_每日任务'!H68</f>
        <v>52992</v>
      </c>
      <c r="T169" s="15">
        <f ca="1">'208_黑市'!F68</f>
        <v>97459.2</v>
      </c>
      <c r="U169" s="15">
        <f ca="1">'210_活动'!L68</f>
        <v>402048</v>
      </c>
      <c r="V169" s="15">
        <f ca="1">'212_VIP商店'!F68</f>
        <v>7039.28571428572</v>
      </c>
      <c r="W169" s="1">
        <f ca="1" t="shared" si="27"/>
        <v>5271000000</v>
      </c>
      <c r="X169" s="1">
        <f ca="1" t="shared" si="28"/>
        <v>3919674536.28214</v>
      </c>
      <c r="Y169" s="30"/>
      <c r="Z169" s="30"/>
      <c r="AA169" s="1">
        <f ca="1" t="shared" si="29"/>
        <v>2448783.36</v>
      </c>
      <c r="AB169" s="1">
        <f ca="1" t="shared" si="30"/>
        <v>1838628.19371429</v>
      </c>
      <c r="AC169" s="30"/>
      <c r="AD169" s="30"/>
      <c r="AF169" s="44">
        <f ca="1" t="shared" si="31"/>
        <v>25058250</v>
      </c>
      <c r="AG169" s="44">
        <f ca="1" t="shared" si="32"/>
        <v>1200000</v>
      </c>
      <c r="AH169" s="44">
        <f t="shared" si="33"/>
        <v>1200000</v>
      </c>
      <c r="AI169" s="44">
        <f ca="1" t="shared" si="34"/>
        <v>7200000</v>
      </c>
      <c r="AJ169" s="44">
        <f ca="1" t="shared" si="35"/>
        <v>9600000</v>
      </c>
      <c r="AK169" s="44">
        <f ca="1" t="shared" si="36"/>
        <v>300000</v>
      </c>
      <c r="AL169" s="45">
        <f ca="1" t="shared" si="37"/>
        <v>5760</v>
      </c>
      <c r="AM169" s="45">
        <f t="shared" si="38"/>
        <v>2880</v>
      </c>
      <c r="AN169" s="45">
        <f ca="1" t="shared" si="39"/>
        <v>1935</v>
      </c>
      <c r="AO169" s="45">
        <f ca="1" t="shared" si="40"/>
        <v>1380</v>
      </c>
      <c r="AP169" s="45">
        <f ca="1" t="shared" si="41"/>
        <v>345.6</v>
      </c>
      <c r="AQ169" s="45">
        <f t="shared" si="42"/>
        <v>460.8</v>
      </c>
      <c r="AR169" s="45">
        <f ca="1" t="shared" si="43"/>
        <v>1105.92</v>
      </c>
      <c r="AS169" s="45">
        <f ca="1" t="shared" si="44"/>
        <v>4608</v>
      </c>
      <c r="AT169" s="45">
        <f ca="1" t="shared" si="45"/>
        <v>64.2857142857143</v>
      </c>
      <c r="AU169" s="44">
        <f ca="1" t="shared" si="46"/>
        <v>44558250</v>
      </c>
      <c r="AV169" s="45">
        <f ca="1" t="shared" si="47"/>
        <v>18539.6057142857</v>
      </c>
    </row>
    <row r="170" spans="2:48">
      <c r="B170" s="11">
        <v>120</v>
      </c>
      <c r="C170" s="1">
        <f>IF(养成规划!C69="","",养成规划!C69)</f>
        <v>28</v>
      </c>
      <c r="D170" s="1">
        <f ca="1">'102_建筑'!H408</f>
        <v>3342600000</v>
      </c>
      <c r="E170" s="1">
        <f ca="1" t="shared" si="24"/>
        <v>2228400000</v>
      </c>
      <c r="F170" s="15">
        <f ca="1">'102_建筑'!K408</f>
        <v>1034809.344</v>
      </c>
      <c r="G170" s="15">
        <f ca="1" t="shared" si="25"/>
        <v>1552214.016</v>
      </c>
      <c r="H170" s="1">
        <f ca="1">'203_采集'!K69</f>
        <v>2375732036.28214</v>
      </c>
      <c r="I170" s="1">
        <f ca="1">'204_军官任务'!L69</f>
        <v>90216000</v>
      </c>
      <c r="J170" s="1">
        <f>'205_每日任务'!E69</f>
        <v>144000000</v>
      </c>
      <c r="K170" s="1">
        <f ca="1">'207_空投'!G69</f>
        <v>619584000</v>
      </c>
      <c r="L170" s="1">
        <f ca="1">'210_活动'!I69</f>
        <v>885600000</v>
      </c>
      <c r="M170" s="1">
        <f ca="1">'211_VIP宝箱'!F69</f>
        <v>29415000</v>
      </c>
      <c r="N170" s="15">
        <f ca="1">'102_建筑'!E484</f>
        <v>653472</v>
      </c>
      <c r="O170" s="15">
        <f t="shared" si="26"/>
        <v>345600</v>
      </c>
      <c r="P170" s="15">
        <f ca="1">'201_打野'!F128</f>
        <v>191221.5</v>
      </c>
      <c r="Q170" s="15">
        <f ca="1">'202_黑鸦营地'!F118</f>
        <v>127767</v>
      </c>
      <c r="R170" s="15">
        <f ca="1">'204_军官任务'!O69</f>
        <v>25982.208</v>
      </c>
      <c r="S170" s="15">
        <f>'205_每日任务'!H69</f>
        <v>55296</v>
      </c>
      <c r="T170" s="15">
        <f ca="1">'208_黑市'!F69</f>
        <v>102988.8</v>
      </c>
      <c r="U170" s="15">
        <f ca="1">'210_活动'!L69</f>
        <v>425088</v>
      </c>
      <c r="V170" s="15">
        <f ca="1">'212_VIP商店'!F69</f>
        <v>7360.71428571429</v>
      </c>
      <c r="W170" s="1">
        <f ca="1" t="shared" si="27"/>
        <v>5571000000</v>
      </c>
      <c r="X170" s="1">
        <f ca="1" t="shared" si="28"/>
        <v>4144547036.28214</v>
      </c>
      <c r="Y170" s="30"/>
      <c r="Z170" s="30"/>
      <c r="AA170" s="1">
        <f ca="1" t="shared" si="29"/>
        <v>2587023.36</v>
      </c>
      <c r="AB170" s="1">
        <f ca="1" t="shared" si="30"/>
        <v>1934776.22228571</v>
      </c>
      <c r="AC170" s="30"/>
      <c r="AD170" s="30"/>
      <c r="AF170" s="44">
        <f ca="1" t="shared" si="31"/>
        <v>25474500</v>
      </c>
      <c r="AG170" s="44">
        <f ca="1" t="shared" si="32"/>
        <v>1200000</v>
      </c>
      <c r="AH170" s="44">
        <f t="shared" si="33"/>
        <v>1200000</v>
      </c>
      <c r="AI170" s="44">
        <f ca="1" t="shared" si="34"/>
        <v>7200000</v>
      </c>
      <c r="AJ170" s="44">
        <f ca="1" t="shared" si="35"/>
        <v>9600000</v>
      </c>
      <c r="AK170" s="44">
        <f ca="1" t="shared" si="36"/>
        <v>300000</v>
      </c>
      <c r="AL170" s="45">
        <f ca="1" t="shared" si="37"/>
        <v>5760</v>
      </c>
      <c r="AM170" s="45">
        <f t="shared" si="38"/>
        <v>2880</v>
      </c>
      <c r="AN170" s="45">
        <f ca="1" t="shared" si="39"/>
        <v>2625</v>
      </c>
      <c r="AO170" s="45">
        <f ca="1" t="shared" si="40"/>
        <v>1380</v>
      </c>
      <c r="AP170" s="45">
        <f ca="1" t="shared" si="41"/>
        <v>345.6</v>
      </c>
      <c r="AQ170" s="45">
        <f t="shared" si="42"/>
        <v>460.8</v>
      </c>
      <c r="AR170" s="45">
        <f ca="1" t="shared" si="43"/>
        <v>1105.92</v>
      </c>
      <c r="AS170" s="45">
        <f ca="1" t="shared" si="44"/>
        <v>4608</v>
      </c>
      <c r="AT170" s="45">
        <f ca="1" t="shared" si="45"/>
        <v>64.2857142857143</v>
      </c>
      <c r="AU170" s="44">
        <f ca="1" t="shared" si="46"/>
        <v>44974500</v>
      </c>
      <c r="AV170" s="45">
        <f ca="1" t="shared" si="47"/>
        <v>19229.6057142857</v>
      </c>
    </row>
    <row r="171" spans="2:48">
      <c r="B171" s="12">
        <v>150</v>
      </c>
      <c r="C171" s="1" t="str">
        <f>IF(养成规划!C70="","",养成规划!C70)</f>
        <v/>
      </c>
      <c r="D171" s="1">
        <f ca="1">'102_建筑'!H409</f>
        <v>4368600000</v>
      </c>
      <c r="E171" s="1">
        <f ca="1" t="shared" ref="E171:E178" si="48">D171/$C$101*$C$102</f>
        <v>2912400000</v>
      </c>
      <c r="F171" s="15">
        <f ca="1">'102_建筑'!K409</f>
        <v>1297465.344</v>
      </c>
      <c r="G171" s="15">
        <f ca="1" t="shared" ref="G171:G178" si="49">F171/$D$101*$D$102</f>
        <v>1946198.016</v>
      </c>
      <c r="H171" s="1">
        <f ca="1">'203_采集'!K70</f>
        <v>3214892036.28214</v>
      </c>
      <c r="I171" s="1">
        <f ca="1">'204_军官任务'!L70</f>
        <v>126216000</v>
      </c>
      <c r="J171" s="1">
        <f>'205_每日任务'!E70</f>
        <v>180000000</v>
      </c>
      <c r="K171" s="1">
        <f ca="1">'207_空投'!G70</f>
        <v>835584000</v>
      </c>
      <c r="L171" s="1">
        <f ca="1">'210_活动'!I70</f>
        <v>1245600000</v>
      </c>
      <c r="M171" s="1">
        <f ca="1">'211_VIP宝箱'!F70</f>
        <v>39315000</v>
      </c>
      <c r="N171" s="15">
        <f ca="1">'102_建筑'!E485</f>
        <v>826272</v>
      </c>
      <c r="O171" s="15">
        <f t="shared" ref="O171:O178" si="50">B171*$E$96*24*60</f>
        <v>432000</v>
      </c>
      <c r="P171" s="15">
        <f ca="1">'201_打野'!F129</f>
        <v>292471.5</v>
      </c>
      <c r="Q171" s="15">
        <f ca="1">'202_黑鸦营地'!F119</f>
        <v>179517</v>
      </c>
      <c r="R171" s="15">
        <f ca="1">'204_军官任务'!O70</f>
        <v>36350.208</v>
      </c>
      <c r="S171" s="15">
        <f>'205_每日任务'!H70</f>
        <v>69120</v>
      </c>
      <c r="T171" s="15">
        <f ca="1">'208_黑市'!F70</f>
        <v>144460.8</v>
      </c>
      <c r="U171" s="15">
        <f ca="1">'210_活动'!L70</f>
        <v>597888</v>
      </c>
      <c r="V171" s="15">
        <f ca="1">'212_VIP商店'!F70</f>
        <v>9289.28571428572</v>
      </c>
      <c r="W171" s="1">
        <f ca="1" t="shared" ref="W171:W178" si="51">D171+E171</f>
        <v>7281000000</v>
      </c>
      <c r="X171" s="1">
        <f ca="1" t="shared" ref="X171:X178" si="52">SUM(H171:M171)</f>
        <v>5641607036.28214</v>
      </c>
      <c r="Y171" s="30"/>
      <c r="Z171" s="30"/>
      <c r="AA171" s="1">
        <f ca="1" t="shared" ref="AA171:AA178" si="53">F171+G171</f>
        <v>3243663.36</v>
      </c>
      <c r="AB171" s="1">
        <f ca="1" t="shared" ref="AB171:AB178" si="54">SUM(N171:V171)</f>
        <v>2587368.79371429</v>
      </c>
      <c r="AC171" s="30"/>
      <c r="AD171" s="30"/>
      <c r="AF171" s="44">
        <f ca="1" t="shared" si="31"/>
        <v>27972000</v>
      </c>
      <c r="AG171" s="44">
        <f ca="1" t="shared" si="32"/>
        <v>1200000</v>
      </c>
      <c r="AH171" s="44">
        <f t="shared" si="33"/>
        <v>1200000</v>
      </c>
      <c r="AI171" s="44">
        <f ca="1" t="shared" si="34"/>
        <v>7200000</v>
      </c>
      <c r="AJ171" s="44">
        <f ca="1" t="shared" si="35"/>
        <v>12000000</v>
      </c>
      <c r="AK171" s="44">
        <f ca="1" t="shared" si="36"/>
        <v>330000</v>
      </c>
      <c r="AL171" s="45">
        <f ca="1" t="shared" si="37"/>
        <v>5760</v>
      </c>
      <c r="AM171" s="45">
        <f t="shared" si="38"/>
        <v>2880</v>
      </c>
      <c r="AN171" s="45">
        <f ca="1" t="shared" si="39"/>
        <v>3375</v>
      </c>
      <c r="AO171" s="45">
        <f ca="1" t="shared" si="40"/>
        <v>1725</v>
      </c>
      <c r="AP171" s="45">
        <f ca="1" t="shared" si="41"/>
        <v>345.6</v>
      </c>
      <c r="AQ171" s="45">
        <f t="shared" si="42"/>
        <v>460.8</v>
      </c>
      <c r="AR171" s="45">
        <f ca="1" t="shared" si="43"/>
        <v>1382.4</v>
      </c>
      <c r="AS171" s="45">
        <f ca="1" t="shared" si="44"/>
        <v>5760</v>
      </c>
      <c r="AT171" s="45">
        <f ca="1" t="shared" si="45"/>
        <v>64.2857142857143</v>
      </c>
      <c r="AU171" s="44">
        <f ca="1" t="shared" si="46"/>
        <v>49902000</v>
      </c>
      <c r="AV171" s="45">
        <f ca="1" t="shared" si="47"/>
        <v>21753.0857142857</v>
      </c>
    </row>
    <row r="172" spans="2:48">
      <c r="B172" s="12">
        <v>180</v>
      </c>
      <c r="C172" s="1">
        <f>IF(养成规划!C71="","",养成规划!C71)</f>
        <v>29</v>
      </c>
      <c r="D172" s="1">
        <f ca="1">'102_建筑'!H410</f>
        <v>5394600000</v>
      </c>
      <c r="E172" s="1">
        <f ca="1" t="shared" si="48"/>
        <v>3596400000</v>
      </c>
      <c r="F172" s="15">
        <f ca="1">'102_建筑'!K410</f>
        <v>1560121.344</v>
      </c>
      <c r="G172" s="15">
        <f ca="1" t="shared" si="49"/>
        <v>2340182.016</v>
      </c>
      <c r="H172" s="1">
        <f ca="1">'203_采集'!K71</f>
        <v>4056192750.56786</v>
      </c>
      <c r="I172" s="1">
        <f ca="1">'204_军官任务'!L71</f>
        <v>162216000</v>
      </c>
      <c r="J172" s="1">
        <f>'205_每日任务'!E71</f>
        <v>216000000</v>
      </c>
      <c r="K172" s="1">
        <f ca="1">'207_空投'!G71</f>
        <v>1051584000</v>
      </c>
      <c r="L172" s="1">
        <f ca="1">'210_活动'!I71</f>
        <v>1605600000</v>
      </c>
      <c r="M172" s="1">
        <f ca="1">'211_VIP宝箱'!F71</f>
        <v>49215000</v>
      </c>
      <c r="N172" s="15">
        <f ca="1">'102_建筑'!E486</f>
        <v>999072</v>
      </c>
      <c r="O172" s="15">
        <f t="shared" si="50"/>
        <v>518400</v>
      </c>
      <c r="P172" s="15">
        <f ca="1">'201_打野'!F130</f>
        <v>395521.5</v>
      </c>
      <c r="Q172" s="15">
        <f ca="1">'202_黑鸦营地'!F120</f>
        <v>231267</v>
      </c>
      <c r="R172" s="15">
        <f ca="1">'204_军官任务'!O71</f>
        <v>46718.208</v>
      </c>
      <c r="S172" s="15">
        <f>'205_每日任务'!H71</f>
        <v>82944</v>
      </c>
      <c r="T172" s="15">
        <f ca="1">'208_黑市'!F71</f>
        <v>185932.8</v>
      </c>
      <c r="U172" s="15">
        <f ca="1">'210_活动'!L71</f>
        <v>770688</v>
      </c>
      <c r="V172" s="15">
        <f ca="1">'212_VIP商店'!F71</f>
        <v>11217.8571428571</v>
      </c>
      <c r="W172" s="1">
        <f ca="1" t="shared" si="51"/>
        <v>8991000000</v>
      </c>
      <c r="X172" s="1">
        <f ca="1" t="shared" si="52"/>
        <v>7140807750.56786</v>
      </c>
      <c r="Y172" s="30"/>
      <c r="Z172" s="30"/>
      <c r="AA172" s="1">
        <f ca="1" t="shared" si="53"/>
        <v>3900303.36</v>
      </c>
      <c r="AB172" s="1">
        <f ca="1" t="shared" si="54"/>
        <v>3241761.36514286</v>
      </c>
      <c r="AC172" s="30"/>
      <c r="AD172" s="30"/>
      <c r="AF172" s="44">
        <f ca="1" t="shared" ref="AF172:AF178" si="55">(H172-H171)/($B172-$B171)</f>
        <v>28043357.1428572</v>
      </c>
      <c r="AG172" s="44">
        <f ca="1" t="shared" ref="AG172:AG178" si="56">(I172-I171)/($B172-$B171)</f>
        <v>1200000</v>
      </c>
      <c r="AH172" s="44">
        <f t="shared" ref="AH172:AH178" si="57">(J172-J171)/($B172-$B171)</f>
        <v>1200000</v>
      </c>
      <c r="AI172" s="44">
        <f ca="1" t="shared" ref="AI172:AI178" si="58">(K172-K171)/($B172-$B171)</f>
        <v>7200000</v>
      </c>
      <c r="AJ172" s="44">
        <f ca="1" t="shared" ref="AJ172:AJ178" si="59">(L172-L171)/($B172-$B171)</f>
        <v>12000000</v>
      </c>
      <c r="AK172" s="44">
        <f ca="1" t="shared" ref="AK172:AK178" si="60">(M172-M171)/($B172-$B171)</f>
        <v>330000</v>
      </c>
      <c r="AL172" s="45">
        <f ca="1" t="shared" ref="AL172:AL178" si="61">(N172-N171)/($B172-$B171)</f>
        <v>5760</v>
      </c>
      <c r="AM172" s="45">
        <f t="shared" ref="AM172:AM178" si="62">(O172-O171)/($B172-$B171)</f>
        <v>2880</v>
      </c>
      <c r="AN172" s="45">
        <f ca="1" t="shared" ref="AN172:AN178" si="63">(P172-P171)/($B172-$B171)</f>
        <v>3435</v>
      </c>
      <c r="AO172" s="45">
        <f ca="1" t="shared" ref="AO172:AO178" si="64">(Q172-Q171)/($B172-$B171)</f>
        <v>1725</v>
      </c>
      <c r="AP172" s="45">
        <f ca="1" t="shared" ref="AP172:AP178" si="65">(R172-R171)/($B172-$B171)</f>
        <v>345.6</v>
      </c>
      <c r="AQ172" s="45">
        <f t="shared" ref="AQ172:AQ178" si="66">(S172-S171)/($B172-$B171)</f>
        <v>460.8</v>
      </c>
      <c r="AR172" s="45">
        <f ca="1" t="shared" ref="AR172:AR178" si="67">(T172-T171)/($B172-$B171)</f>
        <v>1382.4</v>
      </c>
      <c r="AS172" s="45">
        <f ca="1" t="shared" ref="AS172:AS178" si="68">(U172-U171)/($B172-$B171)</f>
        <v>5760</v>
      </c>
      <c r="AT172" s="45">
        <f ca="1" t="shared" ref="AT172:AT178" si="69">(V172-V171)/($B172-$B171)</f>
        <v>64.2857142857143</v>
      </c>
      <c r="AU172" s="44">
        <f ca="1" t="shared" ref="AU172:AU178" si="70">SUM(AF172:AK172)</f>
        <v>49973357.1428572</v>
      </c>
      <c r="AV172" s="45">
        <f ca="1" t="shared" ref="AV172:AV178" si="71">SUM(AL172:AT172)</f>
        <v>21813.0857142857</v>
      </c>
    </row>
    <row r="173" spans="2:48">
      <c r="B173" s="12">
        <v>210</v>
      </c>
      <c r="C173" s="1" t="str">
        <f>IF(养成规划!C72="","",养成规划!C72)</f>
        <v/>
      </c>
      <c r="D173" s="1">
        <f ca="1">'102_建筑'!H411</f>
        <v>6431400000</v>
      </c>
      <c r="E173" s="1">
        <f ca="1" t="shared" si="48"/>
        <v>4287600000</v>
      </c>
      <c r="F173" s="15">
        <f ca="1">'102_建筑'!K411</f>
        <v>1828306.944</v>
      </c>
      <c r="G173" s="15">
        <f ca="1" t="shared" si="49"/>
        <v>2742460.416</v>
      </c>
      <c r="H173" s="1">
        <f ca="1">'203_采集'!K72</f>
        <v>4899634179.13929</v>
      </c>
      <c r="I173" s="1">
        <f ca="1">'204_军官任务'!L72</f>
        <v>198216000</v>
      </c>
      <c r="J173" s="1">
        <f>'205_每日任务'!E72</f>
        <v>252000000</v>
      </c>
      <c r="K173" s="1">
        <f ca="1">'207_空投'!G72</f>
        <v>1267584000</v>
      </c>
      <c r="L173" s="1">
        <f ca="1">'210_活动'!I72</f>
        <v>1965600000</v>
      </c>
      <c r="M173" s="1">
        <f ca="1">'211_VIP宝箱'!F72</f>
        <v>59115000</v>
      </c>
      <c r="N173" s="15">
        <f ca="1">'102_建筑'!E487</f>
        <v>1171872</v>
      </c>
      <c r="O173" s="15">
        <f t="shared" si="50"/>
        <v>604800</v>
      </c>
      <c r="P173" s="15">
        <f ca="1">'201_打野'!F131</f>
        <v>498571.5</v>
      </c>
      <c r="Q173" s="15">
        <f ca="1">'202_黑鸦营地'!F121</f>
        <v>283017</v>
      </c>
      <c r="R173" s="15">
        <f ca="1">'204_军官任务'!O72</f>
        <v>57086.208</v>
      </c>
      <c r="S173" s="15">
        <f>'205_每日任务'!H72</f>
        <v>96768</v>
      </c>
      <c r="T173" s="15">
        <f ca="1">'208_黑市'!F72</f>
        <v>227404.8</v>
      </c>
      <c r="U173" s="15">
        <f ca="1">'210_活动'!L72</f>
        <v>943488</v>
      </c>
      <c r="V173" s="15">
        <f ca="1">'212_VIP商店'!F72</f>
        <v>13146.4285714286</v>
      </c>
      <c r="W173" s="1">
        <f ca="1" t="shared" si="51"/>
        <v>10719000000</v>
      </c>
      <c r="X173" s="1">
        <f ca="1" t="shared" si="52"/>
        <v>8642149179.13929</v>
      </c>
      <c r="Y173" s="30"/>
      <c r="Z173" s="30"/>
      <c r="AA173" s="1">
        <f ca="1" t="shared" si="53"/>
        <v>4570767.36</v>
      </c>
      <c r="AB173" s="1">
        <f ca="1" t="shared" si="54"/>
        <v>3896153.93657143</v>
      </c>
      <c r="AC173" s="30"/>
      <c r="AD173" s="30"/>
      <c r="AF173" s="44">
        <f ca="1" t="shared" si="55"/>
        <v>28114714.2857142</v>
      </c>
      <c r="AG173" s="44">
        <f ca="1" t="shared" si="56"/>
        <v>1200000</v>
      </c>
      <c r="AH173" s="44">
        <f t="shared" si="57"/>
        <v>1200000</v>
      </c>
      <c r="AI173" s="44">
        <f ca="1" t="shared" si="58"/>
        <v>7200000</v>
      </c>
      <c r="AJ173" s="44">
        <f ca="1" t="shared" si="59"/>
        <v>12000000</v>
      </c>
      <c r="AK173" s="44">
        <f ca="1" t="shared" si="60"/>
        <v>330000</v>
      </c>
      <c r="AL173" s="45">
        <f ca="1" t="shared" si="61"/>
        <v>5760</v>
      </c>
      <c r="AM173" s="45">
        <f t="shared" si="62"/>
        <v>2880</v>
      </c>
      <c r="AN173" s="45">
        <f ca="1" t="shared" si="63"/>
        <v>3435</v>
      </c>
      <c r="AO173" s="45">
        <f ca="1" t="shared" si="64"/>
        <v>1725</v>
      </c>
      <c r="AP173" s="45">
        <f ca="1" t="shared" si="65"/>
        <v>345.6</v>
      </c>
      <c r="AQ173" s="45">
        <f t="shared" si="66"/>
        <v>460.8</v>
      </c>
      <c r="AR173" s="45">
        <f ca="1" t="shared" si="67"/>
        <v>1382.4</v>
      </c>
      <c r="AS173" s="45">
        <f ca="1" t="shared" si="68"/>
        <v>5760</v>
      </c>
      <c r="AT173" s="45">
        <f ca="1" t="shared" si="69"/>
        <v>64.2857142857143</v>
      </c>
      <c r="AU173" s="44">
        <f ca="1" t="shared" si="70"/>
        <v>50044714.2857142</v>
      </c>
      <c r="AV173" s="45">
        <f ca="1" t="shared" si="71"/>
        <v>21813.0857142857</v>
      </c>
    </row>
    <row r="174" spans="2:48">
      <c r="B174" s="12">
        <v>240</v>
      </c>
      <c r="C174" s="1">
        <f>IF(养成规划!C73="","",养成规划!C73)</f>
        <v>30</v>
      </c>
      <c r="D174" s="1">
        <f ca="1">'102_建筑'!H412</f>
        <v>7468200000</v>
      </c>
      <c r="E174" s="1">
        <f ca="1" t="shared" si="48"/>
        <v>4978800000</v>
      </c>
      <c r="F174" s="15">
        <f ca="1">'102_建筑'!K412</f>
        <v>2096492.544</v>
      </c>
      <c r="G174" s="15">
        <f ca="1" t="shared" si="49"/>
        <v>3144738.816</v>
      </c>
      <c r="H174" s="1">
        <f ca="1">'203_采集'!K73</f>
        <v>5745216321.99643</v>
      </c>
      <c r="I174" s="1">
        <f ca="1">'204_军官任务'!L73</f>
        <v>234216000</v>
      </c>
      <c r="J174" s="1">
        <f>'205_每日任务'!E73</f>
        <v>288000000</v>
      </c>
      <c r="K174" s="1">
        <f ca="1">'207_空投'!G73</f>
        <v>1483584000</v>
      </c>
      <c r="L174" s="1">
        <f ca="1">'210_活动'!I73</f>
        <v>2325600000</v>
      </c>
      <c r="M174" s="1">
        <f ca="1">'211_VIP宝箱'!F73</f>
        <v>69915000</v>
      </c>
      <c r="N174" s="15">
        <f ca="1">'102_建筑'!E488</f>
        <v>1344672</v>
      </c>
      <c r="O174" s="15">
        <f t="shared" si="50"/>
        <v>691200</v>
      </c>
      <c r="P174" s="15">
        <f ca="1">'201_打野'!F132</f>
        <v>601621.5</v>
      </c>
      <c r="Q174" s="15">
        <f ca="1">'202_黑鸦营地'!F122</f>
        <v>334767</v>
      </c>
      <c r="R174" s="15">
        <f ca="1">'204_军官任务'!O73</f>
        <v>67454.208</v>
      </c>
      <c r="S174" s="15">
        <f>'205_每日任务'!H73</f>
        <v>110592</v>
      </c>
      <c r="T174" s="15">
        <f ca="1">'208_黑市'!F73</f>
        <v>268876.8</v>
      </c>
      <c r="U174" s="15">
        <f ca="1">'210_活动'!L73</f>
        <v>1116288</v>
      </c>
      <c r="V174" s="15">
        <f ca="1">'212_VIP商店'!F73</f>
        <v>15075</v>
      </c>
      <c r="W174" s="1">
        <f ca="1" t="shared" si="51"/>
        <v>12447000000</v>
      </c>
      <c r="X174" s="1">
        <f ca="1" t="shared" si="52"/>
        <v>10146531321.9964</v>
      </c>
      <c r="Y174" s="30"/>
      <c r="Z174" s="30"/>
      <c r="AA174" s="1">
        <f ca="1" t="shared" si="53"/>
        <v>5241231.36</v>
      </c>
      <c r="AB174" s="1">
        <f ca="1" t="shared" si="54"/>
        <v>4550546.508</v>
      </c>
      <c r="AC174" s="30"/>
      <c r="AD174" s="30"/>
      <c r="AF174" s="44">
        <f ca="1" t="shared" si="55"/>
        <v>28186071.4285714</v>
      </c>
      <c r="AG174" s="44">
        <f ca="1" t="shared" si="56"/>
        <v>1200000</v>
      </c>
      <c r="AH174" s="44">
        <f t="shared" si="57"/>
        <v>1200000</v>
      </c>
      <c r="AI174" s="44">
        <f ca="1" t="shared" si="58"/>
        <v>7200000</v>
      </c>
      <c r="AJ174" s="44">
        <f ca="1" t="shared" si="59"/>
        <v>12000000</v>
      </c>
      <c r="AK174" s="44">
        <f ca="1" t="shared" si="60"/>
        <v>360000</v>
      </c>
      <c r="AL174" s="45">
        <f ca="1" t="shared" si="61"/>
        <v>5760</v>
      </c>
      <c r="AM174" s="45">
        <f t="shared" si="62"/>
        <v>2880</v>
      </c>
      <c r="AN174" s="45">
        <f ca="1" t="shared" si="63"/>
        <v>3435</v>
      </c>
      <c r="AO174" s="45">
        <f ca="1" t="shared" si="64"/>
        <v>1725</v>
      </c>
      <c r="AP174" s="45">
        <f ca="1" t="shared" si="65"/>
        <v>345.6</v>
      </c>
      <c r="AQ174" s="45">
        <f t="shared" si="66"/>
        <v>460.8</v>
      </c>
      <c r="AR174" s="45">
        <f ca="1" t="shared" si="67"/>
        <v>1382.4</v>
      </c>
      <c r="AS174" s="45">
        <f ca="1" t="shared" si="68"/>
        <v>5760</v>
      </c>
      <c r="AT174" s="45">
        <f ca="1" t="shared" si="69"/>
        <v>64.2857142857143</v>
      </c>
      <c r="AU174" s="44">
        <f ca="1" t="shared" si="70"/>
        <v>50146071.4285714</v>
      </c>
      <c r="AV174" s="45">
        <f ca="1" t="shared" si="71"/>
        <v>21813.0857142857</v>
      </c>
    </row>
    <row r="175" spans="2:48">
      <c r="B175" s="12">
        <v>270</v>
      </c>
      <c r="C175" s="1" t="str">
        <f>IF(养成规划!C74="","",养成规划!C74)</f>
        <v/>
      </c>
      <c r="D175" s="1">
        <f ca="1">'102_建筑'!H413</f>
        <v>8526600000</v>
      </c>
      <c r="E175" s="1">
        <f ca="1" t="shared" si="48"/>
        <v>5684400000</v>
      </c>
      <c r="F175" s="15">
        <f ca="1">'102_建筑'!K413</f>
        <v>2370207.744</v>
      </c>
      <c r="G175" s="15">
        <f ca="1" t="shared" si="49"/>
        <v>3555311.616</v>
      </c>
      <c r="H175" s="1">
        <f ca="1">'203_采集'!K74</f>
        <v>6592939179.13929</v>
      </c>
      <c r="I175" s="1">
        <f ca="1">'204_军官任务'!L74</f>
        <v>270216000</v>
      </c>
      <c r="J175" s="1">
        <f>'205_每日任务'!E74</f>
        <v>324000000</v>
      </c>
      <c r="K175" s="1">
        <f ca="1">'207_空投'!G74</f>
        <v>1699584000</v>
      </c>
      <c r="L175" s="1">
        <f ca="1">'210_活动'!I74</f>
        <v>2685600000</v>
      </c>
      <c r="M175" s="1">
        <f ca="1">'211_VIP宝箱'!F74</f>
        <v>80715000</v>
      </c>
      <c r="N175" s="15">
        <f ca="1">'102_建筑'!E489</f>
        <v>1517472</v>
      </c>
      <c r="O175" s="15">
        <f t="shared" si="50"/>
        <v>777600</v>
      </c>
      <c r="P175" s="15">
        <f ca="1">'201_打野'!F133</f>
        <v>704671.5</v>
      </c>
      <c r="Q175" s="15">
        <f ca="1">'202_黑鸦营地'!F123</f>
        <v>386517</v>
      </c>
      <c r="R175" s="15">
        <f ca="1">'204_军官任务'!O74</f>
        <v>77822.208</v>
      </c>
      <c r="S175" s="15">
        <f>'205_每日任务'!H74</f>
        <v>124416</v>
      </c>
      <c r="T175" s="15">
        <f ca="1">'208_黑市'!F74</f>
        <v>310348.8</v>
      </c>
      <c r="U175" s="15">
        <f ca="1">'210_活动'!L74</f>
        <v>1289088</v>
      </c>
      <c r="V175" s="15">
        <f ca="1">'212_VIP商店'!F74</f>
        <v>17003.5714285714</v>
      </c>
      <c r="W175" s="1">
        <f ca="1" t="shared" si="51"/>
        <v>14211000000</v>
      </c>
      <c r="X175" s="1">
        <f ca="1" t="shared" si="52"/>
        <v>11653054179.1393</v>
      </c>
      <c r="Y175" s="30"/>
      <c r="Z175" s="30"/>
      <c r="AA175" s="1">
        <f ca="1" t="shared" si="53"/>
        <v>5925519.36</v>
      </c>
      <c r="AB175" s="1">
        <f ca="1" t="shared" si="54"/>
        <v>5204939.07942857</v>
      </c>
      <c r="AC175" s="30"/>
      <c r="AD175" s="30"/>
      <c r="AF175" s="44">
        <f ca="1" t="shared" si="55"/>
        <v>28257428.5714286</v>
      </c>
      <c r="AG175" s="44">
        <f ca="1" t="shared" si="56"/>
        <v>1200000</v>
      </c>
      <c r="AH175" s="44">
        <f t="shared" si="57"/>
        <v>1200000</v>
      </c>
      <c r="AI175" s="44">
        <f ca="1" t="shared" si="58"/>
        <v>7200000</v>
      </c>
      <c r="AJ175" s="44">
        <f ca="1" t="shared" si="59"/>
        <v>12000000</v>
      </c>
      <c r="AK175" s="44">
        <f ca="1" t="shared" si="60"/>
        <v>360000</v>
      </c>
      <c r="AL175" s="45">
        <f ca="1" t="shared" si="61"/>
        <v>5760</v>
      </c>
      <c r="AM175" s="45">
        <f t="shared" si="62"/>
        <v>2880</v>
      </c>
      <c r="AN175" s="45">
        <f ca="1" t="shared" si="63"/>
        <v>3435</v>
      </c>
      <c r="AO175" s="45">
        <f ca="1" t="shared" si="64"/>
        <v>1725</v>
      </c>
      <c r="AP175" s="45">
        <f ca="1" t="shared" si="65"/>
        <v>345.6</v>
      </c>
      <c r="AQ175" s="45">
        <f t="shared" si="66"/>
        <v>460.8</v>
      </c>
      <c r="AR175" s="45">
        <f ca="1" t="shared" si="67"/>
        <v>1382.4</v>
      </c>
      <c r="AS175" s="45">
        <f ca="1" t="shared" si="68"/>
        <v>5760</v>
      </c>
      <c r="AT175" s="45">
        <f ca="1" t="shared" si="69"/>
        <v>64.2857142857143</v>
      </c>
      <c r="AU175" s="44">
        <f ca="1" t="shared" si="70"/>
        <v>50217428.5714286</v>
      </c>
      <c r="AV175" s="45">
        <f ca="1" t="shared" si="71"/>
        <v>21813.0857142857</v>
      </c>
    </row>
    <row r="176" spans="2:48">
      <c r="B176" s="12">
        <v>300</v>
      </c>
      <c r="C176" s="1">
        <f>IF(养成规划!C75="","",养成规划!C75)</f>
        <v>31</v>
      </c>
      <c r="D176" s="1">
        <f ca="1">'102_建筑'!H414</f>
        <v>9585000000</v>
      </c>
      <c r="E176" s="1">
        <f ca="1" t="shared" si="48"/>
        <v>6390000000</v>
      </c>
      <c r="F176" s="15">
        <f ca="1">'102_建筑'!K414</f>
        <v>2643922.944</v>
      </c>
      <c r="G176" s="15">
        <f ca="1" t="shared" si="49"/>
        <v>3965884.416</v>
      </c>
      <c r="H176" s="1">
        <f ca="1">'203_采集'!K75</f>
        <v>7442802750.56786</v>
      </c>
      <c r="I176" s="1">
        <f ca="1">'204_军官任务'!L75</f>
        <v>306216000</v>
      </c>
      <c r="J176" s="1">
        <f>'205_每日任务'!E75</f>
        <v>360000000</v>
      </c>
      <c r="K176" s="1">
        <f ca="1">'207_空投'!G75</f>
        <v>1915584000</v>
      </c>
      <c r="L176" s="1">
        <f ca="1">'210_活动'!I75</f>
        <v>3045600000</v>
      </c>
      <c r="M176" s="1">
        <f ca="1">'211_VIP宝箱'!F75</f>
        <v>91515000</v>
      </c>
      <c r="N176" s="15">
        <f ca="1">'102_建筑'!E490</f>
        <v>1690272</v>
      </c>
      <c r="O176" s="15">
        <f t="shared" si="50"/>
        <v>864000</v>
      </c>
      <c r="P176" s="15">
        <f ca="1">'201_打野'!F134</f>
        <v>807721.5</v>
      </c>
      <c r="Q176" s="15">
        <f ca="1">'202_黑鸦营地'!F124</f>
        <v>438267</v>
      </c>
      <c r="R176" s="15">
        <f ca="1">'204_军官任务'!O75</f>
        <v>88190.208</v>
      </c>
      <c r="S176" s="15">
        <f>'205_每日任务'!H75</f>
        <v>138240</v>
      </c>
      <c r="T176" s="15">
        <f ca="1">'208_黑市'!F75</f>
        <v>351820.8</v>
      </c>
      <c r="U176" s="15">
        <f ca="1">'210_活动'!L75</f>
        <v>1461888</v>
      </c>
      <c r="V176" s="15">
        <f ca="1">'212_VIP商店'!F75</f>
        <v>18932.1428571429</v>
      </c>
      <c r="W176" s="1">
        <f ca="1" t="shared" si="51"/>
        <v>15975000000</v>
      </c>
      <c r="X176" s="1">
        <f ca="1" t="shared" si="52"/>
        <v>13161717750.5679</v>
      </c>
      <c r="Y176" s="30"/>
      <c r="Z176" s="30"/>
      <c r="AA176" s="1">
        <f ca="1" t="shared" si="53"/>
        <v>6609807.36</v>
      </c>
      <c r="AB176" s="1">
        <f ca="1" t="shared" si="54"/>
        <v>5859331.65085714</v>
      </c>
      <c r="AC176" s="30"/>
      <c r="AD176" s="30"/>
      <c r="AF176" s="44">
        <f ca="1" t="shared" si="55"/>
        <v>28328785.7142858</v>
      </c>
      <c r="AG176" s="44">
        <f ca="1" t="shared" si="56"/>
        <v>1200000</v>
      </c>
      <c r="AH176" s="44">
        <f t="shared" si="57"/>
        <v>1200000</v>
      </c>
      <c r="AI176" s="44">
        <f ca="1" t="shared" si="58"/>
        <v>7200000</v>
      </c>
      <c r="AJ176" s="44">
        <f ca="1" t="shared" si="59"/>
        <v>12000000</v>
      </c>
      <c r="AK176" s="44">
        <f ca="1" t="shared" si="60"/>
        <v>360000</v>
      </c>
      <c r="AL176" s="45">
        <f ca="1" t="shared" si="61"/>
        <v>5760</v>
      </c>
      <c r="AM176" s="45">
        <f t="shared" si="62"/>
        <v>2880</v>
      </c>
      <c r="AN176" s="45">
        <f ca="1" t="shared" si="63"/>
        <v>3435</v>
      </c>
      <c r="AO176" s="45">
        <f ca="1" t="shared" si="64"/>
        <v>1725</v>
      </c>
      <c r="AP176" s="45">
        <f ca="1" t="shared" si="65"/>
        <v>345.6</v>
      </c>
      <c r="AQ176" s="45">
        <f t="shared" si="66"/>
        <v>460.8</v>
      </c>
      <c r="AR176" s="45">
        <f ca="1" t="shared" si="67"/>
        <v>1382.4</v>
      </c>
      <c r="AS176" s="45">
        <f ca="1" t="shared" si="68"/>
        <v>5760</v>
      </c>
      <c r="AT176" s="45">
        <f ca="1" t="shared" si="69"/>
        <v>64.2857142857142</v>
      </c>
      <c r="AU176" s="44">
        <f ca="1" t="shared" si="70"/>
        <v>50288785.7142858</v>
      </c>
      <c r="AV176" s="45">
        <f ca="1" t="shared" si="71"/>
        <v>21813.0857142857</v>
      </c>
    </row>
    <row r="177" spans="2:48">
      <c r="B177" s="12">
        <v>330</v>
      </c>
      <c r="C177" s="1" t="str">
        <f>IF(养成规划!C76="","",养成规划!C76)</f>
        <v/>
      </c>
      <c r="D177" s="1">
        <f ca="1">'102_建筑'!H415</f>
        <v>10665000000</v>
      </c>
      <c r="E177" s="1">
        <f ca="1" t="shared" si="48"/>
        <v>7110000000</v>
      </c>
      <c r="F177" s="15">
        <f ca="1">'102_建筑'!K415</f>
        <v>2920402.944</v>
      </c>
      <c r="G177" s="15">
        <f ca="1" t="shared" si="49"/>
        <v>4380604.416</v>
      </c>
      <c r="H177" s="1">
        <f ca="1">'203_采集'!K76</f>
        <v>8294807036.28214</v>
      </c>
      <c r="I177" s="1">
        <f ca="1">'204_军官任务'!L76</f>
        <v>342216000</v>
      </c>
      <c r="J177" s="1">
        <f>'205_每日任务'!E76</f>
        <v>396000000</v>
      </c>
      <c r="K177" s="1">
        <f ca="1">'207_空投'!G76</f>
        <v>2131584000</v>
      </c>
      <c r="L177" s="1">
        <f ca="1">'210_活动'!I76</f>
        <v>3405600000</v>
      </c>
      <c r="M177" s="1">
        <f ca="1">'211_VIP宝箱'!F76</f>
        <v>102315000</v>
      </c>
      <c r="N177" s="15">
        <f ca="1">'102_建筑'!E491</f>
        <v>1863072</v>
      </c>
      <c r="O177" s="15">
        <f t="shared" si="50"/>
        <v>950400</v>
      </c>
      <c r="P177" s="15">
        <f ca="1">'201_打野'!F135</f>
        <v>910771.5</v>
      </c>
      <c r="Q177" s="15">
        <f ca="1">'202_黑鸦营地'!F125</f>
        <v>490017</v>
      </c>
      <c r="R177" s="15">
        <f ca="1">'204_军官任务'!O76</f>
        <v>98558.208</v>
      </c>
      <c r="S177" s="15">
        <f>'205_每日任务'!H76</f>
        <v>152064</v>
      </c>
      <c r="T177" s="15">
        <f ca="1">'208_黑市'!F76</f>
        <v>393292.8</v>
      </c>
      <c r="U177" s="15">
        <f ca="1">'210_活动'!L76</f>
        <v>1634688</v>
      </c>
      <c r="V177" s="15">
        <f ca="1">'212_VIP商店'!F76</f>
        <v>20860.7142857143</v>
      </c>
      <c r="W177" s="1">
        <f ca="1" t="shared" si="51"/>
        <v>17775000000</v>
      </c>
      <c r="X177" s="1">
        <f ca="1" t="shared" si="52"/>
        <v>14672522036.2821</v>
      </c>
      <c r="Y177" s="30"/>
      <c r="Z177" s="30"/>
      <c r="AA177" s="1">
        <f ca="1" t="shared" si="53"/>
        <v>7301007.36</v>
      </c>
      <c r="AB177" s="1">
        <f ca="1" t="shared" si="54"/>
        <v>6513724.22228571</v>
      </c>
      <c r="AC177" s="30"/>
      <c r="AD177" s="30"/>
      <c r="AF177" s="44">
        <f ca="1" t="shared" si="55"/>
        <v>28400142.8571428</v>
      </c>
      <c r="AG177" s="44">
        <f ca="1" t="shared" si="56"/>
        <v>1200000</v>
      </c>
      <c r="AH177" s="44">
        <f t="shared" si="57"/>
        <v>1200000</v>
      </c>
      <c r="AI177" s="44">
        <f ca="1" t="shared" si="58"/>
        <v>7200000</v>
      </c>
      <c r="AJ177" s="44">
        <f ca="1" t="shared" si="59"/>
        <v>12000000</v>
      </c>
      <c r="AK177" s="44">
        <f ca="1" t="shared" si="60"/>
        <v>360000</v>
      </c>
      <c r="AL177" s="45">
        <f ca="1" t="shared" si="61"/>
        <v>5760</v>
      </c>
      <c r="AM177" s="45">
        <f t="shared" si="62"/>
        <v>2880</v>
      </c>
      <c r="AN177" s="45">
        <f ca="1" t="shared" si="63"/>
        <v>3435</v>
      </c>
      <c r="AO177" s="45">
        <f ca="1" t="shared" si="64"/>
        <v>1725</v>
      </c>
      <c r="AP177" s="45">
        <f ca="1" t="shared" si="65"/>
        <v>345.6</v>
      </c>
      <c r="AQ177" s="45">
        <f t="shared" si="66"/>
        <v>460.8</v>
      </c>
      <c r="AR177" s="45">
        <f ca="1" t="shared" si="67"/>
        <v>1382.4</v>
      </c>
      <c r="AS177" s="45">
        <f ca="1" t="shared" si="68"/>
        <v>5760</v>
      </c>
      <c r="AT177" s="45">
        <f ca="1" t="shared" si="69"/>
        <v>64.2857142857142</v>
      </c>
      <c r="AU177" s="44">
        <f ca="1" t="shared" si="70"/>
        <v>50360142.8571428</v>
      </c>
      <c r="AV177" s="45">
        <f ca="1" t="shared" si="71"/>
        <v>21813.0857142857</v>
      </c>
    </row>
    <row r="178" spans="2:48">
      <c r="B178" s="12">
        <v>360</v>
      </c>
      <c r="C178" s="1">
        <f>IF(养成规划!C77="","",养成规划!C77)</f>
        <v>32</v>
      </c>
      <c r="D178" s="1">
        <f ca="1">'102_建筑'!H416</f>
        <v>11745000000</v>
      </c>
      <c r="E178" s="1">
        <f ca="1" t="shared" si="48"/>
        <v>7830000000</v>
      </c>
      <c r="F178" s="15">
        <f ca="1">'102_建筑'!K416</f>
        <v>3196882.944</v>
      </c>
      <c r="G178" s="15">
        <f ca="1" t="shared" si="49"/>
        <v>4795324.416</v>
      </c>
      <c r="H178" s="1">
        <f ca="1">'203_采集'!K77</f>
        <v>9148952036.28214</v>
      </c>
      <c r="I178" s="1">
        <f ca="1">'204_军官任务'!L77</f>
        <v>378216000</v>
      </c>
      <c r="J178" s="1">
        <f>'205_每日任务'!E77</f>
        <v>432000000</v>
      </c>
      <c r="K178" s="1">
        <f ca="1">'207_空投'!G77</f>
        <v>2347584000</v>
      </c>
      <c r="L178" s="1">
        <f ca="1">'210_活动'!I77</f>
        <v>3765600000</v>
      </c>
      <c r="M178" s="1">
        <f ca="1">'211_VIP宝箱'!F77</f>
        <v>114015000</v>
      </c>
      <c r="N178" s="15">
        <f ca="1">'102_建筑'!E492</f>
        <v>2035872</v>
      </c>
      <c r="O178" s="15">
        <f t="shared" si="50"/>
        <v>1036800</v>
      </c>
      <c r="P178" s="15">
        <f ca="1">'201_打野'!F136</f>
        <v>1013821.5</v>
      </c>
      <c r="Q178" s="15">
        <f ca="1">'202_黑鸦营地'!F126</f>
        <v>541767</v>
      </c>
      <c r="R178" s="15">
        <f ca="1">'204_军官任务'!O77</f>
        <v>108926.208</v>
      </c>
      <c r="S178" s="15">
        <f>'205_每日任务'!H77</f>
        <v>165888</v>
      </c>
      <c r="T178" s="15">
        <f ca="1">'208_黑市'!F77</f>
        <v>434764.8</v>
      </c>
      <c r="U178" s="15">
        <f ca="1">'210_活动'!L77</f>
        <v>1807488</v>
      </c>
      <c r="V178" s="15">
        <f ca="1">'212_VIP商店'!F77</f>
        <v>22789.2857142857</v>
      </c>
      <c r="W178" s="1">
        <f ca="1" t="shared" si="51"/>
        <v>19575000000</v>
      </c>
      <c r="X178" s="1">
        <f ca="1" t="shared" si="52"/>
        <v>16186367036.2821</v>
      </c>
      <c r="Y178" s="30"/>
      <c r="Z178" s="30"/>
      <c r="AA178" s="1">
        <f ca="1" t="shared" si="53"/>
        <v>7992207.36</v>
      </c>
      <c r="AB178" s="1">
        <f ca="1" t="shared" si="54"/>
        <v>7168116.79371428</v>
      </c>
      <c r="AC178" s="30"/>
      <c r="AD178" s="30"/>
      <c r="AF178" s="44">
        <f ca="1" t="shared" si="55"/>
        <v>28471500</v>
      </c>
      <c r="AG178" s="44">
        <f ca="1" t="shared" si="56"/>
        <v>1200000</v>
      </c>
      <c r="AH178" s="44">
        <f t="shared" si="57"/>
        <v>1200000</v>
      </c>
      <c r="AI178" s="44">
        <f ca="1" t="shared" si="58"/>
        <v>7200000</v>
      </c>
      <c r="AJ178" s="44">
        <f ca="1" t="shared" si="59"/>
        <v>12000000</v>
      </c>
      <c r="AK178" s="44">
        <f ca="1" t="shared" si="60"/>
        <v>390000</v>
      </c>
      <c r="AL178" s="45">
        <f ca="1" t="shared" si="61"/>
        <v>5760</v>
      </c>
      <c r="AM178" s="45">
        <f t="shared" si="62"/>
        <v>2880</v>
      </c>
      <c r="AN178" s="45">
        <f ca="1" t="shared" si="63"/>
        <v>3435</v>
      </c>
      <c r="AO178" s="45">
        <f ca="1" t="shared" si="64"/>
        <v>1725</v>
      </c>
      <c r="AP178" s="45">
        <f ca="1" t="shared" si="65"/>
        <v>345.6</v>
      </c>
      <c r="AQ178" s="45">
        <f t="shared" si="66"/>
        <v>460.8</v>
      </c>
      <c r="AR178" s="45">
        <f ca="1" t="shared" si="67"/>
        <v>1382.4</v>
      </c>
      <c r="AS178" s="45">
        <f ca="1" t="shared" si="68"/>
        <v>5760</v>
      </c>
      <c r="AT178" s="45">
        <f ca="1" t="shared" si="69"/>
        <v>64.2857142857142</v>
      </c>
      <c r="AU178" s="44">
        <f ca="1" t="shared" si="70"/>
        <v>50461500</v>
      </c>
      <c r="AV178" s="45">
        <f ca="1" t="shared" si="71"/>
        <v>21813.0857142857</v>
      </c>
    </row>
    <row r="180" spans="2:12">
      <c r="B180" s="27" t="s">
        <v>759</v>
      </c>
      <c r="C180" s="27"/>
      <c r="D180" s="27"/>
      <c r="E180" s="27"/>
      <c r="F180" s="27"/>
      <c r="G180" s="27"/>
      <c r="H180" s="27"/>
      <c r="I180" s="27"/>
      <c r="J180" s="27"/>
      <c r="K180" s="27"/>
      <c r="L180" s="27"/>
    </row>
    <row r="182" spans="2:10">
      <c r="B182" s="1" t="s">
        <v>760</v>
      </c>
      <c r="C182" s="32"/>
      <c r="D182" s="32" t="s">
        <v>450</v>
      </c>
      <c r="E182" s="30">
        <v>500</v>
      </c>
      <c r="F182" s="1" t="s">
        <v>761</v>
      </c>
      <c r="I182" s="32"/>
      <c r="J182" s="32"/>
    </row>
    <row r="183" spans="2:10">
      <c r="B183" s="1" t="s">
        <v>762</v>
      </c>
      <c r="C183" s="32"/>
      <c r="D183" s="32" t="s">
        <v>450</v>
      </c>
      <c r="E183" s="30">
        <v>2500</v>
      </c>
      <c r="F183" s="1" t="s">
        <v>761</v>
      </c>
      <c r="I183" s="32"/>
      <c r="J183" s="32"/>
    </row>
    <row r="185" spans="2:12">
      <c r="B185" s="27" t="s">
        <v>763</v>
      </c>
      <c r="C185" s="27"/>
      <c r="D185" s="27"/>
      <c r="E185" s="27"/>
      <c r="F185" s="27"/>
      <c r="G185" s="27"/>
      <c r="H185" s="27"/>
      <c r="I185" s="27"/>
      <c r="J185" s="27"/>
      <c r="K185" s="27"/>
      <c r="L185" s="27"/>
    </row>
    <row r="187" spans="3:8">
      <c r="C187" s="1" t="s">
        <v>764</v>
      </c>
      <c r="D187" s="1" t="s">
        <v>765</v>
      </c>
      <c r="E187" s="1" t="s">
        <v>29</v>
      </c>
      <c r="F187" s="1" t="s">
        <v>31</v>
      </c>
      <c r="G187" s="1" t="s">
        <v>766</v>
      </c>
      <c r="H187" s="4" t="s">
        <v>767</v>
      </c>
    </row>
    <row r="188" spans="2:8">
      <c r="B188" s="1" t="s">
        <v>371</v>
      </c>
      <c r="C188" s="30">
        <v>1</v>
      </c>
      <c r="D188" s="46">
        <f>总规划!$G$106/60/24*C188</f>
        <v>0.00108506944444444</v>
      </c>
      <c r="E188" s="8">
        <f>总规划!$E$261/24/60*C188</f>
        <v>1.30208333333333</v>
      </c>
      <c r="F188" s="1">
        <f>总规划!$F$261/24/60*C188</f>
        <v>3</v>
      </c>
      <c r="G188" s="43">
        <v>1.1</v>
      </c>
      <c r="H188" s="4">
        <f t="shared" ref="H188:H193" si="72">C188*60*G188</f>
        <v>66</v>
      </c>
    </row>
    <row r="189" spans="2:8">
      <c r="B189" s="1" t="s">
        <v>372</v>
      </c>
      <c r="C189" s="30">
        <v>4</v>
      </c>
      <c r="D189" s="46">
        <f>总规划!$G$106/60/24*C189</f>
        <v>0.00434027777777778</v>
      </c>
      <c r="E189" s="8">
        <f>总规划!$E$261/24/60*C189</f>
        <v>5.20833333333333</v>
      </c>
      <c r="F189" s="1">
        <f>总规划!$F$261/24/60*C189</f>
        <v>12</v>
      </c>
      <c r="G189" s="43">
        <v>1.1</v>
      </c>
      <c r="H189" s="4">
        <f t="shared" si="72"/>
        <v>264</v>
      </c>
    </row>
    <row r="190" spans="2:8">
      <c r="B190" s="1" t="s">
        <v>373</v>
      </c>
      <c r="C190" s="30">
        <v>20</v>
      </c>
      <c r="D190" s="46">
        <f>总规划!$G$106/60/24*C190</f>
        <v>0.0217013888888889</v>
      </c>
      <c r="E190" s="8">
        <f>总规划!$E$261/24/60*C190</f>
        <v>26.0416666666667</v>
      </c>
      <c r="F190" s="1">
        <f>总规划!$F$261/24/60*C190</f>
        <v>60</v>
      </c>
      <c r="G190" s="43">
        <v>1.1</v>
      </c>
      <c r="H190" s="4">
        <f t="shared" si="72"/>
        <v>1320</v>
      </c>
    </row>
    <row r="191" spans="2:8">
      <c r="B191" s="1" t="s">
        <v>374</v>
      </c>
      <c r="C191" s="30">
        <v>35</v>
      </c>
      <c r="D191" s="46">
        <f>总规划!$G$106/60/24*C191</f>
        <v>0.0379774305555556</v>
      </c>
      <c r="E191" s="8">
        <f>总规划!$E$261/24/60*C191</f>
        <v>45.5729166666667</v>
      </c>
      <c r="F191" s="1">
        <f>总规划!$F$261/24/60*C191</f>
        <v>105</v>
      </c>
      <c r="G191" s="43">
        <v>1.09</v>
      </c>
      <c r="H191" s="4">
        <f t="shared" si="72"/>
        <v>2289</v>
      </c>
    </row>
    <row r="192" spans="2:8">
      <c r="B192" s="1" t="s">
        <v>375</v>
      </c>
      <c r="C192" s="30">
        <v>50</v>
      </c>
      <c r="D192" s="46">
        <f>总规划!$G$106/60/24*C192</f>
        <v>0.0542534722222222</v>
      </c>
      <c r="E192" s="8">
        <f>总规划!$E$261/24/60*C192</f>
        <v>65.1041666666667</v>
      </c>
      <c r="F192" s="1">
        <f>总规划!$F$261/24/60*C192</f>
        <v>150</v>
      </c>
      <c r="G192" s="43">
        <v>1.09</v>
      </c>
      <c r="H192" s="4">
        <f t="shared" si="72"/>
        <v>3270</v>
      </c>
    </row>
    <row r="193" spans="2:8">
      <c r="B193" s="1" t="s">
        <v>376</v>
      </c>
      <c r="C193" s="30">
        <v>110</v>
      </c>
      <c r="D193" s="46">
        <f>总规划!$G$106/60/24*C193</f>
        <v>0.119357638888889</v>
      </c>
      <c r="E193" s="8">
        <f>总规划!$E$261/24/60*C193</f>
        <v>143.229166666667</v>
      </c>
      <c r="F193" s="1">
        <f>总规划!$F$261/24/60*C193</f>
        <v>330</v>
      </c>
      <c r="G193" s="43">
        <v>1.09</v>
      </c>
      <c r="H193" s="4">
        <f t="shared" si="72"/>
        <v>7194</v>
      </c>
    </row>
    <row r="195" spans="2:12">
      <c r="B195" s="27" t="s">
        <v>768</v>
      </c>
      <c r="C195" s="27"/>
      <c r="D195" s="27"/>
      <c r="E195" s="27"/>
      <c r="F195" s="27"/>
      <c r="G195" s="27"/>
      <c r="H195" s="27"/>
      <c r="I195" s="27"/>
      <c r="J195" s="27"/>
      <c r="K195" s="27"/>
      <c r="L195" s="27"/>
    </row>
    <row r="197" spans="2:17">
      <c r="B197" s="1" t="s">
        <v>382</v>
      </c>
      <c r="C197" s="1" t="s">
        <v>769</v>
      </c>
      <c r="D197" s="1" t="s">
        <v>770</v>
      </c>
      <c r="E197" s="1" t="s">
        <v>771</v>
      </c>
      <c r="F197" s="1" t="s">
        <v>772</v>
      </c>
      <c r="G197" s="5" t="s">
        <v>773</v>
      </c>
      <c r="H197" s="1" t="s">
        <v>774</v>
      </c>
      <c r="I197" s="1" t="s">
        <v>775</v>
      </c>
      <c r="J197" s="1" t="s">
        <v>776</v>
      </c>
      <c r="K197" s="1" t="s">
        <v>777</v>
      </c>
      <c r="L197" s="1" t="s">
        <v>778</v>
      </c>
      <c r="M197" s="5" t="s">
        <v>779</v>
      </c>
      <c r="N197" s="1" t="s">
        <v>780</v>
      </c>
      <c r="O197" s="1" t="s">
        <v>781</v>
      </c>
      <c r="P197" s="1" t="s">
        <v>782</v>
      </c>
      <c r="Q197" s="5" t="s">
        <v>783</v>
      </c>
    </row>
    <row r="198" spans="2:17">
      <c r="B198" s="7">
        <v>0</v>
      </c>
      <c r="C198" s="13">
        <f ca="1" t="shared" ref="C198:C229" si="73">O476</f>
        <v>0</v>
      </c>
      <c r="D198" s="43">
        <v>0</v>
      </c>
      <c r="E198" s="13">
        <f>R5057</f>
        <v>0</v>
      </c>
      <c r="F198" s="13">
        <f ca="1" t="shared" ref="F198:F229" si="74">L2031</f>
        <v>0</v>
      </c>
      <c r="G198" s="47">
        <f ca="1" t="shared" ref="G198:G229" si="75">SUM(C198:E198)</f>
        <v>0</v>
      </c>
      <c r="H198" s="13">
        <f ca="1" t="shared" ref="H198:H229" si="76">P476</f>
        <v>0</v>
      </c>
      <c r="I198" s="48">
        <f ca="1" t="shared" ref="I198:I229" si="77">O374</f>
        <v>0</v>
      </c>
      <c r="J198" s="49">
        <v>0</v>
      </c>
      <c r="K198" s="48">
        <f>Q5057</f>
        <v>0</v>
      </c>
      <c r="L198" s="48">
        <f ca="1" t="shared" ref="L198:L229" si="78">M2031</f>
        <v>0</v>
      </c>
      <c r="M198" s="47">
        <f ca="1" t="shared" ref="M198:M229" si="79">SUM(H198:K198)</f>
        <v>0</v>
      </c>
      <c r="N198" s="13">
        <f ca="1" t="shared" ref="N198:N229" si="80">N476</f>
        <v>0</v>
      </c>
      <c r="O198" s="13">
        <f>S5057</f>
        <v>0</v>
      </c>
      <c r="P198" s="13">
        <f ca="1" t="shared" ref="P198:P229" si="81">I2031</f>
        <v>0.05</v>
      </c>
      <c r="Q198" s="50">
        <f ca="1" t="shared" ref="Q198:Q229" si="82">SUM(N198:P198)</f>
        <v>0.05</v>
      </c>
    </row>
    <row r="199" spans="2:17">
      <c r="B199" s="7">
        <v>0.1</v>
      </c>
      <c r="C199" s="13">
        <f ca="1" t="shared" si="73"/>
        <v>0</v>
      </c>
      <c r="D199" s="43">
        <v>0</v>
      </c>
      <c r="E199" s="13">
        <f t="shared" ref="E199:E262" si="83">R5058</f>
        <v>0</v>
      </c>
      <c r="F199" s="13">
        <f ca="1" t="shared" si="74"/>
        <v>0</v>
      </c>
      <c r="G199" s="47">
        <f ca="1" t="shared" si="75"/>
        <v>0</v>
      </c>
      <c r="H199" s="13">
        <f ca="1" t="shared" si="76"/>
        <v>0</v>
      </c>
      <c r="I199" s="48">
        <f ca="1" t="shared" si="77"/>
        <v>0</v>
      </c>
      <c r="J199" s="49">
        <v>0</v>
      </c>
      <c r="K199" s="48">
        <f t="shared" ref="K199:K262" si="84">Q5058</f>
        <v>0</v>
      </c>
      <c r="L199" s="48">
        <f ca="1" t="shared" si="78"/>
        <v>0</v>
      </c>
      <c r="M199" s="47">
        <f ca="1" t="shared" si="79"/>
        <v>0</v>
      </c>
      <c r="N199" s="13">
        <f ca="1" t="shared" si="80"/>
        <v>0</v>
      </c>
      <c r="O199" s="13">
        <f t="shared" ref="O199:O262" si="85">S5058</f>
        <v>0</v>
      </c>
      <c r="P199" s="13">
        <f ca="1" t="shared" si="81"/>
        <v>0.05</v>
      </c>
      <c r="Q199" s="50">
        <f ca="1" t="shared" si="82"/>
        <v>0.05</v>
      </c>
    </row>
    <row r="200" spans="2:17">
      <c r="B200" s="7">
        <v>0.2</v>
      </c>
      <c r="C200" s="13">
        <f ca="1" t="shared" si="73"/>
        <v>0</v>
      </c>
      <c r="D200" s="43">
        <v>0</v>
      </c>
      <c r="E200" s="13">
        <f t="shared" si="83"/>
        <v>0</v>
      </c>
      <c r="F200" s="13">
        <f ca="1" t="shared" si="74"/>
        <v>0</v>
      </c>
      <c r="G200" s="47">
        <f ca="1" t="shared" si="75"/>
        <v>0</v>
      </c>
      <c r="H200" s="13">
        <f ca="1" t="shared" si="76"/>
        <v>0</v>
      </c>
      <c r="I200" s="48">
        <f ca="1" t="shared" si="77"/>
        <v>0.005</v>
      </c>
      <c r="J200" s="49">
        <v>0</v>
      </c>
      <c r="K200" s="48">
        <f t="shared" si="84"/>
        <v>0</v>
      </c>
      <c r="L200" s="48">
        <f ca="1" t="shared" si="78"/>
        <v>0</v>
      </c>
      <c r="M200" s="47">
        <f ca="1" t="shared" si="79"/>
        <v>0.005</v>
      </c>
      <c r="N200" s="13">
        <f ca="1" t="shared" si="80"/>
        <v>0</v>
      </c>
      <c r="O200" s="13">
        <f t="shared" si="85"/>
        <v>0</v>
      </c>
      <c r="P200" s="13">
        <f ca="1" t="shared" si="81"/>
        <v>0.05</v>
      </c>
      <c r="Q200" s="50">
        <f ca="1" t="shared" si="82"/>
        <v>0.05</v>
      </c>
    </row>
    <row r="201" spans="2:17">
      <c r="B201" s="7">
        <v>0.3</v>
      </c>
      <c r="C201" s="13">
        <f ca="1" t="shared" si="73"/>
        <v>0</v>
      </c>
      <c r="D201" s="43">
        <v>0</v>
      </c>
      <c r="E201" s="13">
        <f t="shared" si="83"/>
        <v>0</v>
      </c>
      <c r="F201" s="13">
        <f ca="1" t="shared" si="74"/>
        <v>0</v>
      </c>
      <c r="G201" s="47">
        <f ca="1" t="shared" si="75"/>
        <v>0</v>
      </c>
      <c r="H201" s="13">
        <f ca="1" t="shared" si="76"/>
        <v>0</v>
      </c>
      <c r="I201" s="48">
        <f ca="1" t="shared" si="77"/>
        <v>0.01</v>
      </c>
      <c r="J201" s="49">
        <v>0</v>
      </c>
      <c r="K201" s="48">
        <f t="shared" si="84"/>
        <v>0</v>
      </c>
      <c r="L201" s="48">
        <f ca="1" t="shared" si="78"/>
        <v>0</v>
      </c>
      <c r="M201" s="47">
        <f ca="1" t="shared" si="79"/>
        <v>0.01</v>
      </c>
      <c r="N201" s="13">
        <f ca="1" t="shared" si="80"/>
        <v>0</v>
      </c>
      <c r="O201" s="13">
        <f t="shared" si="85"/>
        <v>0</v>
      </c>
      <c r="P201" s="13">
        <f ca="1" t="shared" si="81"/>
        <v>0.05</v>
      </c>
      <c r="Q201" s="50">
        <f ca="1" t="shared" si="82"/>
        <v>0.05</v>
      </c>
    </row>
    <row r="202" spans="2:17">
      <c r="B202" s="7">
        <v>0.4</v>
      </c>
      <c r="C202" s="13">
        <f ca="1" t="shared" si="73"/>
        <v>0</v>
      </c>
      <c r="D202" s="43">
        <v>0</v>
      </c>
      <c r="E202" s="13">
        <f t="shared" si="83"/>
        <v>0</v>
      </c>
      <c r="F202" s="13">
        <f ca="1" t="shared" si="74"/>
        <v>0</v>
      </c>
      <c r="G202" s="47">
        <f ca="1" t="shared" si="75"/>
        <v>0</v>
      </c>
      <c r="H202" s="13">
        <f ca="1" t="shared" si="76"/>
        <v>0</v>
      </c>
      <c r="I202" s="48">
        <f ca="1" t="shared" si="77"/>
        <v>0.015</v>
      </c>
      <c r="J202" s="49">
        <v>0</v>
      </c>
      <c r="K202" s="48">
        <f t="shared" si="84"/>
        <v>0</v>
      </c>
      <c r="L202" s="48">
        <f ca="1" t="shared" si="78"/>
        <v>0</v>
      </c>
      <c r="M202" s="47">
        <f ca="1" t="shared" si="79"/>
        <v>0.015</v>
      </c>
      <c r="N202" s="13">
        <f ca="1" t="shared" si="80"/>
        <v>0</v>
      </c>
      <c r="O202" s="13">
        <f t="shared" si="85"/>
        <v>0</v>
      </c>
      <c r="P202" s="13">
        <f ca="1" t="shared" si="81"/>
        <v>0.05</v>
      </c>
      <c r="Q202" s="50">
        <f ca="1" t="shared" si="82"/>
        <v>0.05</v>
      </c>
    </row>
    <row r="203" spans="2:17">
      <c r="B203" s="7">
        <v>0.5</v>
      </c>
      <c r="C203" s="13">
        <f ca="1" t="shared" si="73"/>
        <v>0</v>
      </c>
      <c r="D203" s="43">
        <v>0</v>
      </c>
      <c r="E203" s="13">
        <f t="shared" si="83"/>
        <v>0</v>
      </c>
      <c r="F203" s="13">
        <f ca="1" t="shared" si="74"/>
        <v>0</v>
      </c>
      <c r="G203" s="47">
        <f ca="1" t="shared" si="75"/>
        <v>0</v>
      </c>
      <c r="H203" s="13">
        <f ca="1" t="shared" si="76"/>
        <v>0.05</v>
      </c>
      <c r="I203" s="48">
        <f ca="1" t="shared" si="77"/>
        <v>0.02</v>
      </c>
      <c r="J203" s="49">
        <v>0</v>
      </c>
      <c r="K203" s="48">
        <f t="shared" si="84"/>
        <v>0</v>
      </c>
      <c r="L203" s="48">
        <f ca="1" t="shared" si="78"/>
        <v>0</v>
      </c>
      <c r="M203" s="47">
        <f ca="1" t="shared" si="79"/>
        <v>0.07</v>
      </c>
      <c r="N203" s="13">
        <f ca="1" t="shared" si="80"/>
        <v>0.05</v>
      </c>
      <c r="O203" s="13">
        <f t="shared" si="85"/>
        <v>0</v>
      </c>
      <c r="P203" s="13">
        <f ca="1" t="shared" si="81"/>
        <v>0.05</v>
      </c>
      <c r="Q203" s="50">
        <f ca="1" t="shared" si="82"/>
        <v>0.1</v>
      </c>
    </row>
    <row r="204" spans="2:17">
      <c r="B204" s="7">
        <v>0.6</v>
      </c>
      <c r="C204" s="13">
        <f ca="1" t="shared" si="73"/>
        <v>0</v>
      </c>
      <c r="D204" s="43">
        <v>0</v>
      </c>
      <c r="E204" s="13">
        <f t="shared" si="83"/>
        <v>0</v>
      </c>
      <c r="F204" s="13">
        <f ca="1" t="shared" si="74"/>
        <v>0</v>
      </c>
      <c r="G204" s="47">
        <f ca="1" t="shared" si="75"/>
        <v>0</v>
      </c>
      <c r="H204" s="13">
        <f ca="1" t="shared" si="76"/>
        <v>0.05</v>
      </c>
      <c r="I204" s="48">
        <f ca="1" t="shared" si="77"/>
        <v>0.025</v>
      </c>
      <c r="J204" s="49">
        <v>0</v>
      </c>
      <c r="K204" s="48">
        <f t="shared" si="84"/>
        <v>0</v>
      </c>
      <c r="L204" s="48">
        <f ca="1" t="shared" si="78"/>
        <v>0</v>
      </c>
      <c r="M204" s="47">
        <f ca="1" t="shared" si="79"/>
        <v>0.075</v>
      </c>
      <c r="N204" s="13">
        <f ca="1" t="shared" si="80"/>
        <v>0.05</v>
      </c>
      <c r="O204" s="13">
        <f t="shared" si="85"/>
        <v>0</v>
      </c>
      <c r="P204" s="13">
        <f ca="1" t="shared" si="81"/>
        <v>0.05</v>
      </c>
      <c r="Q204" s="50">
        <f ca="1" t="shared" si="82"/>
        <v>0.1</v>
      </c>
    </row>
    <row r="205" spans="2:17">
      <c r="B205" s="7">
        <v>0.7</v>
      </c>
      <c r="C205" s="13">
        <f ca="1" t="shared" si="73"/>
        <v>0</v>
      </c>
      <c r="D205" s="43">
        <v>0</v>
      </c>
      <c r="E205" s="13">
        <f t="shared" si="83"/>
        <v>0</v>
      </c>
      <c r="F205" s="13">
        <f ca="1" t="shared" si="74"/>
        <v>0</v>
      </c>
      <c r="G205" s="47">
        <f ca="1" t="shared" si="75"/>
        <v>0</v>
      </c>
      <c r="H205" s="13">
        <f ca="1" t="shared" si="76"/>
        <v>0.05</v>
      </c>
      <c r="I205" s="48">
        <f ca="1" t="shared" si="77"/>
        <v>0.025</v>
      </c>
      <c r="J205" s="49">
        <v>0</v>
      </c>
      <c r="K205" s="48">
        <f t="shared" si="84"/>
        <v>0</v>
      </c>
      <c r="L205" s="48">
        <f ca="1" t="shared" si="78"/>
        <v>0</v>
      </c>
      <c r="M205" s="47">
        <f ca="1" t="shared" si="79"/>
        <v>0.075</v>
      </c>
      <c r="N205" s="13">
        <f ca="1" t="shared" si="80"/>
        <v>0.05</v>
      </c>
      <c r="O205" s="13">
        <f t="shared" si="85"/>
        <v>0</v>
      </c>
      <c r="P205" s="13">
        <f ca="1" t="shared" si="81"/>
        <v>0.05</v>
      </c>
      <c r="Q205" s="50">
        <f ca="1" t="shared" si="82"/>
        <v>0.1</v>
      </c>
    </row>
    <row r="206" spans="2:17">
      <c r="B206" s="7">
        <v>0.8</v>
      </c>
      <c r="C206" s="13">
        <f ca="1" t="shared" si="73"/>
        <v>0</v>
      </c>
      <c r="D206" s="43">
        <v>0</v>
      </c>
      <c r="E206" s="13">
        <f t="shared" si="83"/>
        <v>0</v>
      </c>
      <c r="F206" s="13">
        <f ca="1" t="shared" si="74"/>
        <v>0</v>
      </c>
      <c r="G206" s="47">
        <f ca="1" t="shared" si="75"/>
        <v>0</v>
      </c>
      <c r="H206" s="13">
        <f ca="1" t="shared" si="76"/>
        <v>0.05</v>
      </c>
      <c r="I206" s="48">
        <f ca="1" t="shared" si="77"/>
        <v>0.03</v>
      </c>
      <c r="J206" s="49">
        <v>0</v>
      </c>
      <c r="K206" s="48">
        <f t="shared" si="84"/>
        <v>0</v>
      </c>
      <c r="L206" s="48">
        <f ca="1" t="shared" si="78"/>
        <v>0</v>
      </c>
      <c r="M206" s="47">
        <f ca="1" t="shared" si="79"/>
        <v>0.08</v>
      </c>
      <c r="N206" s="13">
        <f ca="1" t="shared" si="80"/>
        <v>0.05</v>
      </c>
      <c r="O206" s="13">
        <f t="shared" si="85"/>
        <v>0</v>
      </c>
      <c r="P206" s="13">
        <f ca="1" t="shared" si="81"/>
        <v>0.05</v>
      </c>
      <c r="Q206" s="50">
        <f ca="1" t="shared" si="82"/>
        <v>0.1</v>
      </c>
    </row>
    <row r="207" spans="2:17">
      <c r="B207" s="7">
        <v>0.9</v>
      </c>
      <c r="C207" s="13">
        <f ca="1" t="shared" si="73"/>
        <v>0</v>
      </c>
      <c r="D207" s="43">
        <v>0</v>
      </c>
      <c r="E207" s="13">
        <f t="shared" si="83"/>
        <v>0</v>
      </c>
      <c r="F207" s="13">
        <f ca="1" t="shared" si="74"/>
        <v>0</v>
      </c>
      <c r="G207" s="47">
        <f ca="1" t="shared" si="75"/>
        <v>0</v>
      </c>
      <c r="H207" s="13">
        <f ca="1" t="shared" si="76"/>
        <v>0.05</v>
      </c>
      <c r="I207" s="48">
        <f ca="1" t="shared" si="77"/>
        <v>0.03</v>
      </c>
      <c r="J207" s="49">
        <v>0</v>
      </c>
      <c r="K207" s="48">
        <f t="shared" si="84"/>
        <v>0</v>
      </c>
      <c r="L207" s="48">
        <f ca="1" t="shared" si="78"/>
        <v>0</v>
      </c>
      <c r="M207" s="47">
        <f ca="1" t="shared" si="79"/>
        <v>0.08</v>
      </c>
      <c r="N207" s="13">
        <f ca="1" t="shared" si="80"/>
        <v>0.05</v>
      </c>
      <c r="O207" s="13">
        <f t="shared" si="85"/>
        <v>0</v>
      </c>
      <c r="P207" s="13">
        <f ca="1" t="shared" si="81"/>
        <v>0.05</v>
      </c>
      <c r="Q207" s="50">
        <f ca="1" t="shared" si="82"/>
        <v>0.1</v>
      </c>
    </row>
    <row r="208" spans="2:17">
      <c r="B208" s="7">
        <v>1</v>
      </c>
      <c r="C208" s="13">
        <f ca="1" t="shared" si="73"/>
        <v>0</v>
      </c>
      <c r="D208" s="43">
        <v>0</v>
      </c>
      <c r="E208" s="13">
        <f t="shared" si="83"/>
        <v>0</v>
      </c>
      <c r="F208" s="13">
        <f ca="1" t="shared" si="74"/>
        <v>0</v>
      </c>
      <c r="G208" s="47">
        <f ca="1" t="shared" si="75"/>
        <v>0</v>
      </c>
      <c r="H208" s="13">
        <f ca="1" t="shared" si="76"/>
        <v>0.05</v>
      </c>
      <c r="I208" s="48">
        <f ca="1" t="shared" si="77"/>
        <v>0.035</v>
      </c>
      <c r="J208" s="49">
        <v>0</v>
      </c>
      <c r="K208" s="48">
        <f t="shared" si="84"/>
        <v>0</v>
      </c>
      <c r="L208" s="48">
        <f ca="1" t="shared" si="78"/>
        <v>0</v>
      </c>
      <c r="M208" s="47">
        <f ca="1" t="shared" si="79"/>
        <v>0.085</v>
      </c>
      <c r="N208" s="13">
        <f ca="1" t="shared" si="80"/>
        <v>0.05</v>
      </c>
      <c r="O208" s="13">
        <f t="shared" si="85"/>
        <v>0</v>
      </c>
      <c r="P208" s="13">
        <f ca="1" t="shared" si="81"/>
        <v>0.05</v>
      </c>
      <c r="Q208" s="50">
        <f ca="1" t="shared" si="82"/>
        <v>0.1</v>
      </c>
    </row>
    <row r="209" spans="2:17">
      <c r="B209" s="9">
        <v>1.5</v>
      </c>
      <c r="C209" s="13">
        <f ca="1" t="shared" si="73"/>
        <v>0</v>
      </c>
      <c r="D209" s="43">
        <v>0</v>
      </c>
      <c r="E209" s="13">
        <f t="shared" si="83"/>
        <v>0</v>
      </c>
      <c r="F209" s="13">
        <f ca="1" t="shared" si="74"/>
        <v>0</v>
      </c>
      <c r="G209" s="47">
        <f ca="1" t="shared" si="75"/>
        <v>0</v>
      </c>
      <c r="H209" s="13">
        <f ca="1" t="shared" si="76"/>
        <v>0.05</v>
      </c>
      <c r="I209" s="48">
        <f ca="1" t="shared" si="77"/>
        <v>0.04</v>
      </c>
      <c r="J209" s="49">
        <v>0</v>
      </c>
      <c r="K209" s="48">
        <f t="shared" si="84"/>
        <v>0</v>
      </c>
      <c r="L209" s="48">
        <f ca="1" t="shared" si="78"/>
        <v>0</v>
      </c>
      <c r="M209" s="47">
        <f ca="1" t="shared" si="79"/>
        <v>0.09</v>
      </c>
      <c r="N209" s="13">
        <f ca="1" t="shared" si="80"/>
        <v>0.13</v>
      </c>
      <c r="O209" s="13">
        <f t="shared" si="85"/>
        <v>0</v>
      </c>
      <c r="P209" s="13">
        <f ca="1" t="shared" si="81"/>
        <v>0.05</v>
      </c>
      <c r="Q209" s="50">
        <f ca="1" t="shared" si="82"/>
        <v>0.18</v>
      </c>
    </row>
    <row r="210" spans="2:17">
      <c r="B210" s="9">
        <v>2</v>
      </c>
      <c r="C210" s="13">
        <f ca="1" t="shared" si="73"/>
        <v>0</v>
      </c>
      <c r="D210" s="43">
        <v>0</v>
      </c>
      <c r="E210" s="13">
        <f t="shared" si="83"/>
        <v>0</v>
      </c>
      <c r="F210" s="13">
        <f ca="1" t="shared" si="74"/>
        <v>0</v>
      </c>
      <c r="G210" s="47">
        <f ca="1" t="shared" si="75"/>
        <v>0</v>
      </c>
      <c r="H210" s="13">
        <f ca="1" t="shared" si="76"/>
        <v>0.05</v>
      </c>
      <c r="I210" s="48">
        <f ca="1" t="shared" si="77"/>
        <v>0.045</v>
      </c>
      <c r="J210" s="49">
        <v>0</v>
      </c>
      <c r="K210" s="48">
        <f t="shared" si="84"/>
        <v>0</v>
      </c>
      <c r="L210" s="48">
        <f ca="1" t="shared" si="78"/>
        <v>0</v>
      </c>
      <c r="M210" s="47">
        <f ca="1" t="shared" si="79"/>
        <v>0.095</v>
      </c>
      <c r="N210" s="13">
        <f ca="1" t="shared" si="80"/>
        <v>0.23</v>
      </c>
      <c r="O210" s="13">
        <f t="shared" si="85"/>
        <v>0</v>
      </c>
      <c r="P210" s="13">
        <f ca="1" t="shared" si="81"/>
        <v>0.05</v>
      </c>
      <c r="Q210" s="50">
        <f ca="1" t="shared" si="82"/>
        <v>0.28</v>
      </c>
    </row>
    <row r="211" spans="2:17">
      <c r="B211" s="9">
        <v>2.5</v>
      </c>
      <c r="C211" s="13">
        <f ca="1" t="shared" si="73"/>
        <v>0</v>
      </c>
      <c r="D211" s="43">
        <v>0</v>
      </c>
      <c r="E211" s="13">
        <f t="shared" si="83"/>
        <v>0</v>
      </c>
      <c r="F211" s="13">
        <f ca="1" t="shared" si="74"/>
        <v>0</v>
      </c>
      <c r="G211" s="47">
        <f ca="1" t="shared" si="75"/>
        <v>0</v>
      </c>
      <c r="H211" s="13">
        <f ca="1" t="shared" si="76"/>
        <v>0.05</v>
      </c>
      <c r="I211" s="48">
        <f ca="1" t="shared" si="77"/>
        <v>0.05</v>
      </c>
      <c r="J211" s="49">
        <v>0</v>
      </c>
      <c r="K211" s="48">
        <f t="shared" si="84"/>
        <v>0</v>
      </c>
      <c r="L211" s="48">
        <f ca="1" t="shared" si="78"/>
        <v>0</v>
      </c>
      <c r="M211" s="47">
        <f ca="1" t="shared" si="79"/>
        <v>0.1</v>
      </c>
      <c r="N211" s="13">
        <f ca="1" t="shared" si="80"/>
        <v>0.23</v>
      </c>
      <c r="O211" s="13">
        <f t="shared" si="85"/>
        <v>0</v>
      </c>
      <c r="P211" s="13">
        <f ca="1" t="shared" si="81"/>
        <v>0.05</v>
      </c>
      <c r="Q211" s="50">
        <f ca="1" t="shared" si="82"/>
        <v>0.28</v>
      </c>
    </row>
    <row r="212" spans="2:17">
      <c r="B212" s="9">
        <v>3</v>
      </c>
      <c r="C212" s="13">
        <f ca="1" t="shared" si="73"/>
        <v>0.1</v>
      </c>
      <c r="D212" s="43">
        <v>0</v>
      </c>
      <c r="E212" s="13">
        <f t="shared" si="83"/>
        <v>0</v>
      </c>
      <c r="F212" s="13">
        <f ca="1" t="shared" si="74"/>
        <v>0</v>
      </c>
      <c r="G212" s="47">
        <f ca="1" t="shared" si="75"/>
        <v>0.1</v>
      </c>
      <c r="H212" s="13">
        <f ca="1" t="shared" si="76"/>
        <v>0.05</v>
      </c>
      <c r="I212" s="48">
        <f ca="1" t="shared" si="77"/>
        <v>0.055</v>
      </c>
      <c r="J212" s="49">
        <v>0</v>
      </c>
      <c r="K212" s="48">
        <f t="shared" si="84"/>
        <v>0</v>
      </c>
      <c r="L212" s="48">
        <f ca="1" t="shared" si="78"/>
        <v>0</v>
      </c>
      <c r="M212" s="47">
        <f ca="1" t="shared" si="79"/>
        <v>0.105</v>
      </c>
      <c r="N212" s="13">
        <f ca="1" t="shared" si="80"/>
        <v>0.23</v>
      </c>
      <c r="O212" s="13">
        <f t="shared" si="85"/>
        <v>0</v>
      </c>
      <c r="P212" s="13">
        <f ca="1" t="shared" si="81"/>
        <v>0.05</v>
      </c>
      <c r="Q212" s="50">
        <f ca="1" t="shared" si="82"/>
        <v>0.28</v>
      </c>
    </row>
    <row r="213" spans="2:17">
      <c r="B213" s="9">
        <v>3.5</v>
      </c>
      <c r="C213" s="13">
        <f ca="1" t="shared" si="73"/>
        <v>0.1</v>
      </c>
      <c r="D213" s="43">
        <v>0</v>
      </c>
      <c r="E213" s="13">
        <f t="shared" si="83"/>
        <v>0</v>
      </c>
      <c r="F213" s="13">
        <f ca="1" t="shared" si="74"/>
        <v>0</v>
      </c>
      <c r="G213" s="47">
        <f ca="1" t="shared" si="75"/>
        <v>0.1</v>
      </c>
      <c r="H213" s="13">
        <f ca="1" t="shared" si="76"/>
        <v>0.05</v>
      </c>
      <c r="I213" s="48">
        <f ca="1" t="shared" si="77"/>
        <v>0.055</v>
      </c>
      <c r="J213" s="49">
        <v>0</v>
      </c>
      <c r="K213" s="48">
        <f t="shared" si="84"/>
        <v>0</v>
      </c>
      <c r="L213" s="48">
        <f ca="1" t="shared" si="78"/>
        <v>0</v>
      </c>
      <c r="M213" s="47">
        <f ca="1" t="shared" si="79"/>
        <v>0.105</v>
      </c>
      <c r="N213" s="13">
        <f ca="1" t="shared" si="80"/>
        <v>0.23</v>
      </c>
      <c r="O213" s="13">
        <f t="shared" si="85"/>
        <v>0</v>
      </c>
      <c r="P213" s="13">
        <f ca="1" t="shared" si="81"/>
        <v>0.05</v>
      </c>
      <c r="Q213" s="50">
        <f ca="1" t="shared" si="82"/>
        <v>0.28</v>
      </c>
    </row>
    <row r="214" spans="2:17">
      <c r="B214" s="9">
        <v>4</v>
      </c>
      <c r="C214" s="13">
        <f ca="1" t="shared" si="73"/>
        <v>0.1</v>
      </c>
      <c r="D214" s="43">
        <v>0</v>
      </c>
      <c r="E214" s="13">
        <f t="shared" si="83"/>
        <v>0</v>
      </c>
      <c r="F214" s="13">
        <f ca="1" t="shared" si="74"/>
        <v>0</v>
      </c>
      <c r="G214" s="47">
        <f ca="1" t="shared" si="75"/>
        <v>0.1</v>
      </c>
      <c r="H214" s="13">
        <f ca="1" t="shared" si="76"/>
        <v>0.05</v>
      </c>
      <c r="I214" s="48">
        <f ca="1" t="shared" si="77"/>
        <v>0.06</v>
      </c>
      <c r="J214" s="49">
        <v>0</v>
      </c>
      <c r="K214" s="48">
        <f t="shared" si="84"/>
        <v>0</v>
      </c>
      <c r="L214" s="48">
        <f ca="1" t="shared" si="78"/>
        <v>0</v>
      </c>
      <c r="M214" s="47">
        <f ca="1" t="shared" si="79"/>
        <v>0.11</v>
      </c>
      <c r="N214" s="13">
        <f ca="1" t="shared" si="80"/>
        <v>0.23</v>
      </c>
      <c r="O214" s="13">
        <f t="shared" si="85"/>
        <v>0</v>
      </c>
      <c r="P214" s="13">
        <f ca="1" t="shared" si="81"/>
        <v>0.05</v>
      </c>
      <c r="Q214" s="50">
        <f ca="1" t="shared" si="82"/>
        <v>0.28</v>
      </c>
    </row>
    <row r="215" spans="2:17">
      <c r="B215" s="9">
        <v>4.5</v>
      </c>
      <c r="C215" s="13">
        <f ca="1" t="shared" si="73"/>
        <v>0.1</v>
      </c>
      <c r="D215" s="43">
        <v>0</v>
      </c>
      <c r="E215" s="13">
        <f t="shared" si="83"/>
        <v>0</v>
      </c>
      <c r="F215" s="13">
        <f ca="1" t="shared" si="74"/>
        <v>0</v>
      </c>
      <c r="G215" s="47">
        <f ca="1" t="shared" si="75"/>
        <v>0.1</v>
      </c>
      <c r="H215" s="13">
        <f ca="1" t="shared" si="76"/>
        <v>0.05</v>
      </c>
      <c r="I215" s="48">
        <f ca="1" t="shared" si="77"/>
        <v>0.06</v>
      </c>
      <c r="J215" s="49">
        <v>0</v>
      </c>
      <c r="K215" s="48">
        <f t="shared" si="84"/>
        <v>0</v>
      </c>
      <c r="L215" s="48">
        <f ca="1" t="shared" si="78"/>
        <v>0</v>
      </c>
      <c r="M215" s="47">
        <f ca="1" t="shared" si="79"/>
        <v>0.11</v>
      </c>
      <c r="N215" s="13">
        <f ca="1" t="shared" si="80"/>
        <v>0.23</v>
      </c>
      <c r="O215" s="13">
        <f t="shared" si="85"/>
        <v>0</v>
      </c>
      <c r="P215" s="13">
        <f ca="1" t="shared" si="81"/>
        <v>0.05</v>
      </c>
      <c r="Q215" s="50">
        <f ca="1" t="shared" si="82"/>
        <v>0.28</v>
      </c>
    </row>
    <row r="216" spans="2:17">
      <c r="B216" s="9">
        <v>5</v>
      </c>
      <c r="C216" s="13">
        <f ca="1" t="shared" si="73"/>
        <v>0.1</v>
      </c>
      <c r="D216" s="43">
        <v>0</v>
      </c>
      <c r="E216" s="13">
        <f t="shared" si="83"/>
        <v>0</v>
      </c>
      <c r="F216" s="13">
        <f ca="1" t="shared" si="74"/>
        <v>0</v>
      </c>
      <c r="G216" s="47">
        <f ca="1" t="shared" si="75"/>
        <v>0.1</v>
      </c>
      <c r="H216" s="13">
        <f ca="1" t="shared" si="76"/>
        <v>0.05</v>
      </c>
      <c r="I216" s="48">
        <f ca="1" t="shared" si="77"/>
        <v>0.065</v>
      </c>
      <c r="J216" s="49">
        <v>0</v>
      </c>
      <c r="K216" s="48">
        <f t="shared" si="84"/>
        <v>0</v>
      </c>
      <c r="L216" s="48">
        <f ca="1" t="shared" si="78"/>
        <v>0</v>
      </c>
      <c r="M216" s="47">
        <f ca="1" t="shared" si="79"/>
        <v>0.115</v>
      </c>
      <c r="N216" s="13">
        <f ca="1" t="shared" si="80"/>
        <v>0.23</v>
      </c>
      <c r="O216" s="13">
        <f t="shared" si="85"/>
        <v>0</v>
      </c>
      <c r="P216" s="13">
        <f ca="1" t="shared" si="81"/>
        <v>0.05</v>
      </c>
      <c r="Q216" s="50">
        <f ca="1" t="shared" si="82"/>
        <v>0.28</v>
      </c>
    </row>
    <row r="217" spans="2:17">
      <c r="B217" s="9">
        <v>5.5</v>
      </c>
      <c r="C217" s="13">
        <f ca="1" t="shared" si="73"/>
        <v>0.1</v>
      </c>
      <c r="D217" s="43">
        <v>0</v>
      </c>
      <c r="E217" s="13">
        <f t="shared" si="83"/>
        <v>0</v>
      </c>
      <c r="F217" s="13">
        <f ca="1" t="shared" si="74"/>
        <v>0</v>
      </c>
      <c r="G217" s="47">
        <f ca="1" t="shared" si="75"/>
        <v>0.1</v>
      </c>
      <c r="H217" s="13">
        <f ca="1" t="shared" si="76"/>
        <v>0.05</v>
      </c>
      <c r="I217" s="48">
        <f ca="1" t="shared" si="77"/>
        <v>0.065</v>
      </c>
      <c r="J217" s="49">
        <v>0</v>
      </c>
      <c r="K217" s="48">
        <f t="shared" si="84"/>
        <v>0</v>
      </c>
      <c r="L217" s="48">
        <f ca="1" t="shared" si="78"/>
        <v>0</v>
      </c>
      <c r="M217" s="47">
        <f ca="1" t="shared" si="79"/>
        <v>0.115</v>
      </c>
      <c r="N217" s="13">
        <f ca="1" t="shared" si="80"/>
        <v>0.23</v>
      </c>
      <c r="O217" s="13">
        <f t="shared" si="85"/>
        <v>0</v>
      </c>
      <c r="P217" s="13">
        <f ca="1" t="shared" si="81"/>
        <v>0.05</v>
      </c>
      <c r="Q217" s="50">
        <f ca="1" t="shared" si="82"/>
        <v>0.28</v>
      </c>
    </row>
    <row r="218" spans="2:17">
      <c r="B218" s="9">
        <v>6</v>
      </c>
      <c r="C218" s="13">
        <f ca="1" t="shared" si="73"/>
        <v>0.1</v>
      </c>
      <c r="D218" s="43">
        <v>0</v>
      </c>
      <c r="E218" s="13">
        <f t="shared" si="83"/>
        <v>0</v>
      </c>
      <c r="F218" s="13">
        <f ca="1" t="shared" si="74"/>
        <v>0.02</v>
      </c>
      <c r="G218" s="47">
        <f ca="1" t="shared" si="75"/>
        <v>0.1</v>
      </c>
      <c r="H218" s="13">
        <f ca="1" t="shared" si="76"/>
        <v>0.05</v>
      </c>
      <c r="I218" s="48">
        <f ca="1" t="shared" si="77"/>
        <v>0.065</v>
      </c>
      <c r="J218" s="49">
        <v>0</v>
      </c>
      <c r="K218" s="48">
        <f t="shared" si="84"/>
        <v>0</v>
      </c>
      <c r="L218" s="48">
        <f ca="1" t="shared" si="78"/>
        <v>0</v>
      </c>
      <c r="M218" s="47">
        <f ca="1" t="shared" si="79"/>
        <v>0.115</v>
      </c>
      <c r="N218" s="13">
        <f ca="1" t="shared" si="80"/>
        <v>0.23</v>
      </c>
      <c r="O218" s="13">
        <f t="shared" si="85"/>
        <v>0</v>
      </c>
      <c r="P218" s="13">
        <f ca="1" t="shared" si="81"/>
        <v>0.1</v>
      </c>
      <c r="Q218" s="50">
        <f ca="1" t="shared" si="82"/>
        <v>0.33</v>
      </c>
    </row>
    <row r="219" spans="2:17">
      <c r="B219" s="9">
        <v>6.5</v>
      </c>
      <c r="C219" s="13">
        <f ca="1" t="shared" si="73"/>
        <v>0.1</v>
      </c>
      <c r="D219" s="43">
        <v>0</v>
      </c>
      <c r="E219" s="13">
        <f t="shared" si="83"/>
        <v>0</v>
      </c>
      <c r="F219" s="13">
        <f ca="1" t="shared" si="74"/>
        <v>0.02</v>
      </c>
      <c r="G219" s="47">
        <f ca="1" t="shared" si="75"/>
        <v>0.1</v>
      </c>
      <c r="H219" s="13">
        <f ca="1" t="shared" si="76"/>
        <v>0.05</v>
      </c>
      <c r="I219" s="48">
        <f ca="1" t="shared" si="77"/>
        <v>0.065</v>
      </c>
      <c r="J219" s="49">
        <v>0</v>
      </c>
      <c r="K219" s="48">
        <f t="shared" si="84"/>
        <v>0</v>
      </c>
      <c r="L219" s="48">
        <f ca="1" t="shared" si="78"/>
        <v>0</v>
      </c>
      <c r="M219" s="47">
        <f ca="1" t="shared" si="79"/>
        <v>0.115</v>
      </c>
      <c r="N219" s="13">
        <f ca="1" t="shared" si="80"/>
        <v>0.23</v>
      </c>
      <c r="O219" s="13">
        <f t="shared" si="85"/>
        <v>0</v>
      </c>
      <c r="P219" s="13">
        <f ca="1" t="shared" si="81"/>
        <v>0.1</v>
      </c>
      <c r="Q219" s="50">
        <f ca="1" t="shared" si="82"/>
        <v>0.33</v>
      </c>
    </row>
    <row r="220" spans="2:17">
      <c r="B220" s="9">
        <v>7</v>
      </c>
      <c r="C220" s="13">
        <f ca="1" t="shared" si="73"/>
        <v>0.1</v>
      </c>
      <c r="D220" s="43">
        <v>0</v>
      </c>
      <c r="E220" s="13">
        <f t="shared" si="83"/>
        <v>0</v>
      </c>
      <c r="F220" s="13">
        <f ca="1" t="shared" si="74"/>
        <v>0.02</v>
      </c>
      <c r="G220" s="47">
        <f ca="1" t="shared" si="75"/>
        <v>0.1</v>
      </c>
      <c r="H220" s="13">
        <f ca="1" t="shared" si="76"/>
        <v>0.05</v>
      </c>
      <c r="I220" s="48">
        <f ca="1" t="shared" si="77"/>
        <v>0.07</v>
      </c>
      <c r="J220" s="49">
        <v>0</v>
      </c>
      <c r="K220" s="48">
        <f t="shared" si="84"/>
        <v>0</v>
      </c>
      <c r="L220" s="48">
        <f ca="1" t="shared" si="78"/>
        <v>0</v>
      </c>
      <c r="M220" s="47">
        <f ca="1" t="shared" si="79"/>
        <v>0.12</v>
      </c>
      <c r="N220" s="13">
        <f ca="1" t="shared" si="80"/>
        <v>0.23</v>
      </c>
      <c r="O220" s="13">
        <f t="shared" si="85"/>
        <v>0</v>
      </c>
      <c r="P220" s="13">
        <f ca="1" t="shared" si="81"/>
        <v>0.1</v>
      </c>
      <c r="Q220" s="50">
        <f ca="1" t="shared" si="82"/>
        <v>0.33</v>
      </c>
    </row>
    <row r="221" spans="2:17">
      <c r="B221" s="10">
        <v>8</v>
      </c>
      <c r="C221" s="13">
        <f ca="1" t="shared" si="73"/>
        <v>0.1</v>
      </c>
      <c r="D221" s="43">
        <v>0</v>
      </c>
      <c r="E221" s="13">
        <f t="shared" si="83"/>
        <v>0</v>
      </c>
      <c r="F221" s="13">
        <f ca="1" t="shared" si="74"/>
        <v>0.02</v>
      </c>
      <c r="G221" s="47">
        <f ca="1" t="shared" si="75"/>
        <v>0.1</v>
      </c>
      <c r="H221" s="13">
        <f ca="1" t="shared" si="76"/>
        <v>0.05</v>
      </c>
      <c r="I221" s="48">
        <f ca="1" t="shared" si="77"/>
        <v>0.07</v>
      </c>
      <c r="J221" s="49">
        <v>0</v>
      </c>
      <c r="K221" s="48">
        <f t="shared" si="84"/>
        <v>0</v>
      </c>
      <c r="L221" s="48">
        <f ca="1" t="shared" si="78"/>
        <v>0</v>
      </c>
      <c r="M221" s="47">
        <f ca="1" t="shared" si="79"/>
        <v>0.12</v>
      </c>
      <c r="N221" s="13">
        <f ca="1" t="shared" si="80"/>
        <v>0.38</v>
      </c>
      <c r="O221" s="13">
        <f t="shared" si="85"/>
        <v>0</v>
      </c>
      <c r="P221" s="13">
        <f ca="1" t="shared" si="81"/>
        <v>0.1</v>
      </c>
      <c r="Q221" s="50">
        <f ca="1" t="shared" si="82"/>
        <v>0.48</v>
      </c>
    </row>
    <row r="222" spans="2:17">
      <c r="B222" s="10">
        <v>9</v>
      </c>
      <c r="C222" s="13">
        <f ca="1" t="shared" si="73"/>
        <v>0.1</v>
      </c>
      <c r="D222" s="43">
        <v>0</v>
      </c>
      <c r="E222" s="13">
        <f t="shared" si="83"/>
        <v>0</v>
      </c>
      <c r="F222" s="13">
        <f ca="1" t="shared" si="74"/>
        <v>0.02</v>
      </c>
      <c r="G222" s="47">
        <f ca="1" t="shared" si="75"/>
        <v>0.1</v>
      </c>
      <c r="H222" s="13">
        <f ca="1" t="shared" si="76"/>
        <v>0.05</v>
      </c>
      <c r="I222" s="48">
        <f ca="1" t="shared" si="77"/>
        <v>0.075</v>
      </c>
      <c r="J222" s="49">
        <v>0</v>
      </c>
      <c r="K222" s="48">
        <f t="shared" si="84"/>
        <v>0</v>
      </c>
      <c r="L222" s="48">
        <f ca="1" t="shared" si="78"/>
        <v>0</v>
      </c>
      <c r="M222" s="47">
        <f ca="1" t="shared" si="79"/>
        <v>0.125</v>
      </c>
      <c r="N222" s="13">
        <f ca="1" t="shared" si="80"/>
        <v>0.38</v>
      </c>
      <c r="O222" s="13">
        <f t="shared" si="85"/>
        <v>0</v>
      </c>
      <c r="P222" s="13">
        <f ca="1" t="shared" si="81"/>
        <v>0.1</v>
      </c>
      <c r="Q222" s="50">
        <f ca="1" t="shared" si="82"/>
        <v>0.48</v>
      </c>
    </row>
    <row r="223" spans="2:17">
      <c r="B223" s="10">
        <v>10</v>
      </c>
      <c r="C223" s="13">
        <f ca="1" t="shared" si="73"/>
        <v>0.1</v>
      </c>
      <c r="D223" s="43">
        <v>0</v>
      </c>
      <c r="E223" s="13">
        <f t="shared" si="83"/>
        <v>0</v>
      </c>
      <c r="F223" s="13">
        <f ca="1" t="shared" si="74"/>
        <v>0.02</v>
      </c>
      <c r="G223" s="47">
        <f ca="1" t="shared" si="75"/>
        <v>0.1</v>
      </c>
      <c r="H223" s="13">
        <f ca="1" t="shared" si="76"/>
        <v>0.05</v>
      </c>
      <c r="I223" s="48">
        <f ca="1" t="shared" si="77"/>
        <v>0.075</v>
      </c>
      <c r="J223" s="49">
        <v>0</v>
      </c>
      <c r="K223" s="48">
        <f t="shared" si="84"/>
        <v>0</v>
      </c>
      <c r="L223" s="48">
        <f ca="1" t="shared" si="78"/>
        <v>0</v>
      </c>
      <c r="M223" s="47">
        <f ca="1" t="shared" si="79"/>
        <v>0.125</v>
      </c>
      <c r="N223" s="13">
        <f ca="1" t="shared" si="80"/>
        <v>0.5</v>
      </c>
      <c r="O223" s="13">
        <f t="shared" si="85"/>
        <v>0</v>
      </c>
      <c r="P223" s="13">
        <f ca="1" t="shared" si="81"/>
        <v>0.1</v>
      </c>
      <c r="Q223" s="50">
        <f ca="1" t="shared" si="82"/>
        <v>0.6</v>
      </c>
    </row>
    <row r="224" spans="2:17">
      <c r="B224" s="10">
        <v>11</v>
      </c>
      <c r="C224" s="13">
        <f ca="1" t="shared" si="73"/>
        <v>0.1</v>
      </c>
      <c r="D224" s="43">
        <v>0</v>
      </c>
      <c r="E224" s="13">
        <f t="shared" si="83"/>
        <v>0</v>
      </c>
      <c r="F224" s="13">
        <f ca="1" t="shared" si="74"/>
        <v>0.02</v>
      </c>
      <c r="G224" s="47">
        <f ca="1" t="shared" si="75"/>
        <v>0.1</v>
      </c>
      <c r="H224" s="13">
        <f ca="1" t="shared" si="76"/>
        <v>0.05</v>
      </c>
      <c r="I224" s="48">
        <f ca="1" t="shared" si="77"/>
        <v>0.08</v>
      </c>
      <c r="J224" s="49">
        <v>0</v>
      </c>
      <c r="K224" s="48">
        <f t="shared" si="84"/>
        <v>0</v>
      </c>
      <c r="L224" s="48">
        <f ca="1" t="shared" si="78"/>
        <v>0</v>
      </c>
      <c r="M224" s="47">
        <f ca="1" t="shared" si="79"/>
        <v>0.13</v>
      </c>
      <c r="N224" s="13">
        <f ca="1" t="shared" si="80"/>
        <v>0.5</v>
      </c>
      <c r="O224" s="13">
        <f t="shared" si="85"/>
        <v>0</v>
      </c>
      <c r="P224" s="13">
        <f ca="1" t="shared" si="81"/>
        <v>0.1</v>
      </c>
      <c r="Q224" s="50">
        <f ca="1" t="shared" si="82"/>
        <v>0.6</v>
      </c>
    </row>
    <row r="225" spans="2:17">
      <c r="B225" s="10">
        <v>12</v>
      </c>
      <c r="C225" s="13">
        <f ca="1" t="shared" si="73"/>
        <v>0.1</v>
      </c>
      <c r="D225" s="43">
        <v>0</v>
      </c>
      <c r="E225" s="13">
        <f t="shared" si="83"/>
        <v>0</v>
      </c>
      <c r="F225" s="13">
        <f ca="1" t="shared" si="74"/>
        <v>0.02</v>
      </c>
      <c r="G225" s="47">
        <f ca="1" t="shared" si="75"/>
        <v>0.1</v>
      </c>
      <c r="H225" s="13">
        <f ca="1" t="shared" si="76"/>
        <v>0.05</v>
      </c>
      <c r="I225" s="48">
        <f ca="1" t="shared" si="77"/>
        <v>0.08</v>
      </c>
      <c r="J225" s="49">
        <v>0</v>
      </c>
      <c r="K225" s="48">
        <f t="shared" si="84"/>
        <v>0</v>
      </c>
      <c r="L225" s="48">
        <f ca="1" t="shared" si="78"/>
        <v>0</v>
      </c>
      <c r="M225" s="47">
        <f ca="1" t="shared" si="79"/>
        <v>0.13</v>
      </c>
      <c r="N225" s="13">
        <f ca="1" t="shared" si="80"/>
        <v>0.5</v>
      </c>
      <c r="O225" s="13">
        <f t="shared" si="85"/>
        <v>0</v>
      </c>
      <c r="P225" s="13">
        <f ca="1" t="shared" si="81"/>
        <v>0.1</v>
      </c>
      <c r="Q225" s="50">
        <f ca="1" t="shared" si="82"/>
        <v>0.6</v>
      </c>
    </row>
    <row r="226" spans="2:17">
      <c r="B226" s="10">
        <v>13</v>
      </c>
      <c r="C226" s="13">
        <f ca="1" t="shared" si="73"/>
        <v>0.1</v>
      </c>
      <c r="D226" s="43">
        <v>0</v>
      </c>
      <c r="E226" s="13">
        <f t="shared" si="83"/>
        <v>0</v>
      </c>
      <c r="F226" s="13">
        <f ca="1" t="shared" si="74"/>
        <v>0.02</v>
      </c>
      <c r="G226" s="47">
        <f ca="1" t="shared" si="75"/>
        <v>0.1</v>
      </c>
      <c r="H226" s="13">
        <f ca="1" t="shared" si="76"/>
        <v>0.05</v>
      </c>
      <c r="I226" s="48">
        <f ca="1" t="shared" si="77"/>
        <v>0.08</v>
      </c>
      <c r="J226" s="49">
        <v>0</v>
      </c>
      <c r="K226" s="48">
        <f t="shared" si="84"/>
        <v>0</v>
      </c>
      <c r="L226" s="48">
        <f ca="1" t="shared" si="78"/>
        <v>0</v>
      </c>
      <c r="M226" s="47">
        <f ca="1" t="shared" si="79"/>
        <v>0.13</v>
      </c>
      <c r="N226" s="13">
        <f ca="1" t="shared" si="80"/>
        <v>0.5</v>
      </c>
      <c r="O226" s="13">
        <f t="shared" si="85"/>
        <v>0</v>
      </c>
      <c r="P226" s="13">
        <f ca="1" t="shared" si="81"/>
        <v>0.1</v>
      </c>
      <c r="Q226" s="50">
        <f ca="1" t="shared" si="82"/>
        <v>0.6</v>
      </c>
    </row>
    <row r="227" spans="2:17">
      <c r="B227" s="10">
        <v>14</v>
      </c>
      <c r="C227" s="13">
        <f ca="1" t="shared" si="73"/>
        <v>0.1</v>
      </c>
      <c r="D227" s="43">
        <v>0</v>
      </c>
      <c r="E227" s="13">
        <f t="shared" si="83"/>
        <v>0</v>
      </c>
      <c r="F227" s="13">
        <f ca="1" t="shared" si="74"/>
        <v>0.04</v>
      </c>
      <c r="G227" s="47">
        <f ca="1" t="shared" si="75"/>
        <v>0.1</v>
      </c>
      <c r="H227" s="13">
        <f ca="1" t="shared" si="76"/>
        <v>0.05</v>
      </c>
      <c r="I227" s="48">
        <f ca="1" t="shared" si="77"/>
        <v>0.085</v>
      </c>
      <c r="J227" s="49">
        <v>0</v>
      </c>
      <c r="K227" s="48">
        <f t="shared" si="84"/>
        <v>0</v>
      </c>
      <c r="L227" s="48">
        <f ca="1" t="shared" si="78"/>
        <v>0.05</v>
      </c>
      <c r="M227" s="47">
        <f ca="1" t="shared" si="79"/>
        <v>0.135</v>
      </c>
      <c r="N227" s="13">
        <f ca="1" t="shared" si="80"/>
        <v>0.5</v>
      </c>
      <c r="O227" s="13">
        <f t="shared" si="85"/>
        <v>0</v>
      </c>
      <c r="P227" s="13">
        <f ca="1" t="shared" si="81"/>
        <v>0.1</v>
      </c>
      <c r="Q227" s="50">
        <f ca="1" t="shared" si="82"/>
        <v>0.6</v>
      </c>
    </row>
    <row r="228" spans="2:17">
      <c r="B228" s="10">
        <v>15</v>
      </c>
      <c r="C228" s="13">
        <f ca="1" t="shared" si="73"/>
        <v>0.1</v>
      </c>
      <c r="D228" s="43">
        <v>0</v>
      </c>
      <c r="E228" s="13">
        <f t="shared" si="83"/>
        <v>0</v>
      </c>
      <c r="F228" s="13">
        <f ca="1" t="shared" si="74"/>
        <v>0.04</v>
      </c>
      <c r="G228" s="47">
        <f ca="1" t="shared" si="75"/>
        <v>0.1</v>
      </c>
      <c r="H228" s="13">
        <f ca="1" t="shared" si="76"/>
        <v>0.05</v>
      </c>
      <c r="I228" s="48">
        <f ca="1" t="shared" si="77"/>
        <v>0.085</v>
      </c>
      <c r="J228" s="49">
        <v>0</v>
      </c>
      <c r="K228" s="48">
        <f t="shared" si="84"/>
        <v>0</v>
      </c>
      <c r="L228" s="48">
        <f ca="1" t="shared" si="78"/>
        <v>0.05</v>
      </c>
      <c r="M228" s="47">
        <f ca="1" t="shared" si="79"/>
        <v>0.135</v>
      </c>
      <c r="N228" s="13">
        <f ca="1" t="shared" si="80"/>
        <v>0.5</v>
      </c>
      <c r="O228" s="13">
        <f t="shared" si="85"/>
        <v>0</v>
      </c>
      <c r="P228" s="13">
        <f ca="1" t="shared" si="81"/>
        <v>0.1</v>
      </c>
      <c r="Q228" s="50">
        <f ca="1" t="shared" si="82"/>
        <v>0.6</v>
      </c>
    </row>
    <row r="229" spans="2:17">
      <c r="B229" s="10">
        <v>16</v>
      </c>
      <c r="C229" s="13">
        <f ca="1" t="shared" si="73"/>
        <v>0.1</v>
      </c>
      <c r="D229" s="43">
        <v>0</v>
      </c>
      <c r="E229" s="13">
        <f t="shared" si="83"/>
        <v>0</v>
      </c>
      <c r="F229" s="13">
        <f ca="1" t="shared" si="74"/>
        <v>0.04</v>
      </c>
      <c r="G229" s="47">
        <f ca="1" t="shared" si="75"/>
        <v>0.1</v>
      </c>
      <c r="H229" s="13">
        <f ca="1" t="shared" si="76"/>
        <v>0.05</v>
      </c>
      <c r="I229" s="48">
        <f ca="1" t="shared" si="77"/>
        <v>0.085</v>
      </c>
      <c r="J229" s="49">
        <v>0</v>
      </c>
      <c r="K229" s="48">
        <f t="shared" si="84"/>
        <v>0</v>
      </c>
      <c r="L229" s="48">
        <f ca="1" t="shared" si="78"/>
        <v>0.05</v>
      </c>
      <c r="M229" s="47">
        <f ca="1" t="shared" si="79"/>
        <v>0.135</v>
      </c>
      <c r="N229" s="13">
        <f ca="1" t="shared" si="80"/>
        <v>0.5</v>
      </c>
      <c r="O229" s="13">
        <f t="shared" si="85"/>
        <v>0</v>
      </c>
      <c r="P229" s="13">
        <f ca="1" t="shared" si="81"/>
        <v>0.1</v>
      </c>
      <c r="Q229" s="50">
        <f ca="1" t="shared" si="82"/>
        <v>0.6</v>
      </c>
    </row>
    <row r="230" spans="2:17">
      <c r="B230" s="10">
        <v>17</v>
      </c>
      <c r="C230" s="13">
        <f ca="1" t="shared" ref="C230:C261" si="86">O508</f>
        <v>0.1</v>
      </c>
      <c r="D230" s="43">
        <v>0</v>
      </c>
      <c r="E230" s="13">
        <f t="shared" si="83"/>
        <v>0</v>
      </c>
      <c r="F230" s="13">
        <f ca="1" t="shared" ref="F230:F261" si="87">L2063</f>
        <v>0.04</v>
      </c>
      <c r="G230" s="47">
        <f ca="1" t="shared" ref="G230:G261" si="88">SUM(C230:E230)</f>
        <v>0.1</v>
      </c>
      <c r="H230" s="13">
        <f ca="1" t="shared" ref="H230:H261" si="89">P508</f>
        <v>0.05</v>
      </c>
      <c r="I230" s="48">
        <f ca="1" t="shared" ref="I230:I261" si="90">O406</f>
        <v>0.09</v>
      </c>
      <c r="J230" s="49">
        <v>0</v>
      </c>
      <c r="K230" s="48">
        <f t="shared" si="84"/>
        <v>0</v>
      </c>
      <c r="L230" s="48">
        <f ca="1" t="shared" ref="L230:L261" si="91">M2063</f>
        <v>0.05</v>
      </c>
      <c r="M230" s="47">
        <f ca="1" t="shared" ref="M230:M261" si="92">SUM(H230:K230)</f>
        <v>0.14</v>
      </c>
      <c r="N230" s="13">
        <f ca="1" t="shared" ref="N230:N261" si="93">N508</f>
        <v>0.5</v>
      </c>
      <c r="O230" s="13">
        <f t="shared" si="85"/>
        <v>0</v>
      </c>
      <c r="P230" s="13">
        <f ca="1" t="shared" ref="P230:P261" si="94">I2063</f>
        <v>0.1</v>
      </c>
      <c r="Q230" s="50">
        <f ca="1" t="shared" ref="Q230:Q261" si="95">SUM(N230:P230)</f>
        <v>0.6</v>
      </c>
    </row>
    <row r="231" spans="2:17">
      <c r="B231" s="10">
        <v>18</v>
      </c>
      <c r="C231" s="13">
        <f ca="1" t="shared" si="86"/>
        <v>0.1</v>
      </c>
      <c r="D231" s="43">
        <v>0</v>
      </c>
      <c r="E231" s="13">
        <f t="shared" si="83"/>
        <v>0</v>
      </c>
      <c r="F231" s="13">
        <f ca="1" t="shared" si="87"/>
        <v>0.04</v>
      </c>
      <c r="G231" s="47">
        <f ca="1" t="shared" si="88"/>
        <v>0.1</v>
      </c>
      <c r="H231" s="13">
        <f ca="1" t="shared" si="89"/>
        <v>0.05</v>
      </c>
      <c r="I231" s="48">
        <f ca="1" t="shared" si="90"/>
        <v>0.09</v>
      </c>
      <c r="J231" s="49">
        <v>0</v>
      </c>
      <c r="K231" s="48">
        <f t="shared" si="84"/>
        <v>0</v>
      </c>
      <c r="L231" s="48">
        <f ca="1" t="shared" si="91"/>
        <v>0.05</v>
      </c>
      <c r="M231" s="47">
        <f ca="1" t="shared" si="92"/>
        <v>0.14</v>
      </c>
      <c r="N231" s="13">
        <f ca="1" t="shared" si="93"/>
        <v>0.5</v>
      </c>
      <c r="O231" s="13">
        <f t="shared" si="85"/>
        <v>0</v>
      </c>
      <c r="P231" s="13">
        <f ca="1" t="shared" si="94"/>
        <v>0.1</v>
      </c>
      <c r="Q231" s="50">
        <f ca="1" t="shared" si="95"/>
        <v>0.6</v>
      </c>
    </row>
    <row r="232" spans="2:17">
      <c r="B232" s="10">
        <v>19</v>
      </c>
      <c r="C232" s="13">
        <f ca="1" t="shared" si="86"/>
        <v>0.1</v>
      </c>
      <c r="D232" s="43">
        <v>0</v>
      </c>
      <c r="E232" s="13">
        <f t="shared" si="83"/>
        <v>0</v>
      </c>
      <c r="F232" s="13">
        <f ca="1" t="shared" si="87"/>
        <v>0.04</v>
      </c>
      <c r="G232" s="47">
        <f ca="1" t="shared" si="88"/>
        <v>0.1</v>
      </c>
      <c r="H232" s="13">
        <f ca="1" t="shared" si="89"/>
        <v>0.05</v>
      </c>
      <c r="I232" s="48">
        <f ca="1" t="shared" si="90"/>
        <v>0.09</v>
      </c>
      <c r="J232" s="49">
        <v>0</v>
      </c>
      <c r="K232" s="48">
        <f t="shared" si="84"/>
        <v>0</v>
      </c>
      <c r="L232" s="48">
        <f ca="1" t="shared" si="91"/>
        <v>0.05</v>
      </c>
      <c r="M232" s="47">
        <f ca="1" t="shared" si="92"/>
        <v>0.14</v>
      </c>
      <c r="N232" s="13">
        <f ca="1" t="shared" si="93"/>
        <v>0.5</v>
      </c>
      <c r="O232" s="13">
        <f t="shared" si="85"/>
        <v>0</v>
      </c>
      <c r="P232" s="13">
        <f ca="1" t="shared" si="94"/>
        <v>0.1</v>
      </c>
      <c r="Q232" s="50">
        <f ca="1" t="shared" si="95"/>
        <v>0.6</v>
      </c>
    </row>
    <row r="233" spans="2:17">
      <c r="B233" s="10">
        <v>20</v>
      </c>
      <c r="C233" s="13">
        <f ca="1" t="shared" si="86"/>
        <v>0.25</v>
      </c>
      <c r="D233" s="43">
        <v>0</v>
      </c>
      <c r="E233" s="13">
        <f t="shared" si="83"/>
        <v>0.1</v>
      </c>
      <c r="F233" s="13">
        <f ca="1" t="shared" si="87"/>
        <v>0.04</v>
      </c>
      <c r="G233" s="47">
        <f ca="1" t="shared" si="88"/>
        <v>0.35</v>
      </c>
      <c r="H233" s="13">
        <f ca="1" t="shared" si="89"/>
        <v>0.2</v>
      </c>
      <c r="I233" s="48">
        <f ca="1" t="shared" si="90"/>
        <v>0.1</v>
      </c>
      <c r="J233" s="49">
        <v>0</v>
      </c>
      <c r="K233" s="48">
        <f t="shared" si="84"/>
        <v>0.1</v>
      </c>
      <c r="L233" s="48">
        <f ca="1" t="shared" si="91"/>
        <v>0.05</v>
      </c>
      <c r="M233" s="47">
        <f ca="1" t="shared" si="92"/>
        <v>0.4</v>
      </c>
      <c r="N233" s="13">
        <f ca="1" t="shared" si="93"/>
        <v>0.5</v>
      </c>
      <c r="O233" s="13">
        <f t="shared" si="85"/>
        <v>0</v>
      </c>
      <c r="P233" s="13">
        <f ca="1" t="shared" si="94"/>
        <v>0.15</v>
      </c>
      <c r="Q233" s="50">
        <f ca="1" t="shared" si="95"/>
        <v>0.65</v>
      </c>
    </row>
    <row r="234" spans="2:17">
      <c r="B234" s="10">
        <v>21</v>
      </c>
      <c r="C234" s="13">
        <f ca="1" t="shared" si="86"/>
        <v>0.25</v>
      </c>
      <c r="D234" s="43">
        <v>0</v>
      </c>
      <c r="E234" s="13">
        <f t="shared" si="83"/>
        <v>0.1</v>
      </c>
      <c r="F234" s="13">
        <f ca="1" t="shared" si="87"/>
        <v>0.04</v>
      </c>
      <c r="G234" s="47">
        <f ca="1" t="shared" si="88"/>
        <v>0.35</v>
      </c>
      <c r="H234" s="13">
        <f ca="1" t="shared" si="89"/>
        <v>0.2</v>
      </c>
      <c r="I234" s="48">
        <f ca="1" t="shared" si="90"/>
        <v>0.1</v>
      </c>
      <c r="J234" s="49">
        <v>0</v>
      </c>
      <c r="K234" s="48">
        <f t="shared" si="84"/>
        <v>0.1</v>
      </c>
      <c r="L234" s="48">
        <f ca="1" t="shared" si="91"/>
        <v>0.05</v>
      </c>
      <c r="M234" s="47">
        <f ca="1" t="shared" si="92"/>
        <v>0.4</v>
      </c>
      <c r="N234" s="13">
        <f ca="1" t="shared" si="93"/>
        <v>0.5</v>
      </c>
      <c r="O234" s="13">
        <f t="shared" si="85"/>
        <v>0</v>
      </c>
      <c r="P234" s="13">
        <f ca="1" t="shared" si="94"/>
        <v>0.15</v>
      </c>
      <c r="Q234" s="50">
        <f ca="1" t="shared" si="95"/>
        <v>0.65</v>
      </c>
    </row>
    <row r="235" spans="2:17">
      <c r="B235" s="10">
        <v>22</v>
      </c>
      <c r="C235" s="13">
        <f ca="1" t="shared" si="86"/>
        <v>0.25</v>
      </c>
      <c r="D235" s="43">
        <v>0</v>
      </c>
      <c r="E235" s="13">
        <f t="shared" si="83"/>
        <v>0.1</v>
      </c>
      <c r="F235" s="13">
        <f ca="1" t="shared" si="87"/>
        <v>0.04</v>
      </c>
      <c r="G235" s="47">
        <f ca="1" t="shared" si="88"/>
        <v>0.35</v>
      </c>
      <c r="H235" s="13">
        <f ca="1" t="shared" si="89"/>
        <v>0.2</v>
      </c>
      <c r="I235" s="48">
        <f ca="1" t="shared" si="90"/>
        <v>0.1</v>
      </c>
      <c r="J235" s="49">
        <v>0</v>
      </c>
      <c r="K235" s="48">
        <f t="shared" si="84"/>
        <v>0.1</v>
      </c>
      <c r="L235" s="48">
        <f ca="1" t="shared" si="91"/>
        <v>0.05</v>
      </c>
      <c r="M235" s="47">
        <f ca="1" t="shared" si="92"/>
        <v>0.4</v>
      </c>
      <c r="N235" s="13">
        <f ca="1" t="shared" si="93"/>
        <v>0.5</v>
      </c>
      <c r="O235" s="13">
        <f t="shared" si="85"/>
        <v>0</v>
      </c>
      <c r="P235" s="13">
        <f ca="1" t="shared" si="94"/>
        <v>0.15</v>
      </c>
      <c r="Q235" s="50">
        <f ca="1" t="shared" si="95"/>
        <v>0.65</v>
      </c>
    </row>
    <row r="236" spans="2:17">
      <c r="B236" s="10">
        <v>23</v>
      </c>
      <c r="C236" s="13">
        <f ca="1" t="shared" si="86"/>
        <v>0.25</v>
      </c>
      <c r="D236" s="43">
        <v>0</v>
      </c>
      <c r="E236" s="13">
        <f t="shared" si="83"/>
        <v>0.1</v>
      </c>
      <c r="F236" s="13">
        <f ca="1" t="shared" si="87"/>
        <v>0.04</v>
      </c>
      <c r="G236" s="47">
        <f ca="1" t="shared" si="88"/>
        <v>0.35</v>
      </c>
      <c r="H236" s="13">
        <f ca="1" t="shared" si="89"/>
        <v>0.2</v>
      </c>
      <c r="I236" s="48">
        <f ca="1" t="shared" si="90"/>
        <v>0.11</v>
      </c>
      <c r="J236" s="49">
        <v>0</v>
      </c>
      <c r="K236" s="48">
        <f t="shared" si="84"/>
        <v>0.1</v>
      </c>
      <c r="L236" s="48">
        <f ca="1" t="shared" si="91"/>
        <v>0.05</v>
      </c>
      <c r="M236" s="47">
        <f ca="1" t="shared" si="92"/>
        <v>0.41</v>
      </c>
      <c r="N236" s="13">
        <f ca="1" t="shared" si="93"/>
        <v>0.5</v>
      </c>
      <c r="O236" s="13">
        <f t="shared" si="85"/>
        <v>0</v>
      </c>
      <c r="P236" s="13">
        <f ca="1" t="shared" si="94"/>
        <v>0.15</v>
      </c>
      <c r="Q236" s="50">
        <f ca="1" t="shared" si="95"/>
        <v>0.65</v>
      </c>
    </row>
    <row r="237" spans="2:17">
      <c r="B237" s="10">
        <v>24</v>
      </c>
      <c r="C237" s="13">
        <f ca="1" t="shared" si="86"/>
        <v>0.25</v>
      </c>
      <c r="D237" s="43">
        <v>0</v>
      </c>
      <c r="E237" s="13">
        <f t="shared" si="83"/>
        <v>0.1</v>
      </c>
      <c r="F237" s="13">
        <f ca="1" t="shared" si="87"/>
        <v>0.04</v>
      </c>
      <c r="G237" s="47">
        <f ca="1" t="shared" si="88"/>
        <v>0.35</v>
      </c>
      <c r="H237" s="13">
        <f ca="1" t="shared" si="89"/>
        <v>0.2</v>
      </c>
      <c r="I237" s="48">
        <f ca="1" t="shared" si="90"/>
        <v>0.11</v>
      </c>
      <c r="J237" s="49">
        <v>0</v>
      </c>
      <c r="K237" s="48">
        <f t="shared" si="84"/>
        <v>0.1</v>
      </c>
      <c r="L237" s="48">
        <f ca="1" t="shared" si="91"/>
        <v>0.05</v>
      </c>
      <c r="M237" s="47">
        <f ca="1" t="shared" si="92"/>
        <v>0.41</v>
      </c>
      <c r="N237" s="13">
        <f ca="1" t="shared" si="93"/>
        <v>0.7</v>
      </c>
      <c r="O237" s="13">
        <f t="shared" si="85"/>
        <v>0</v>
      </c>
      <c r="P237" s="13">
        <f ca="1" t="shared" si="94"/>
        <v>0.15</v>
      </c>
      <c r="Q237" s="50">
        <f ca="1" t="shared" si="95"/>
        <v>0.85</v>
      </c>
    </row>
    <row r="238" spans="2:17">
      <c r="B238" s="10">
        <v>25</v>
      </c>
      <c r="C238" s="13">
        <f ca="1" t="shared" si="86"/>
        <v>0.25</v>
      </c>
      <c r="D238" s="43">
        <v>0</v>
      </c>
      <c r="E238" s="13">
        <f t="shared" si="83"/>
        <v>0.1</v>
      </c>
      <c r="F238" s="13">
        <f ca="1" t="shared" si="87"/>
        <v>0.04</v>
      </c>
      <c r="G238" s="47">
        <f ca="1" t="shared" si="88"/>
        <v>0.35</v>
      </c>
      <c r="H238" s="13">
        <f ca="1" t="shared" si="89"/>
        <v>0.2</v>
      </c>
      <c r="I238" s="48">
        <f ca="1" t="shared" si="90"/>
        <v>0.11</v>
      </c>
      <c r="J238" s="49">
        <v>0</v>
      </c>
      <c r="K238" s="48">
        <f t="shared" si="84"/>
        <v>0.1</v>
      </c>
      <c r="L238" s="48">
        <f ca="1" t="shared" si="91"/>
        <v>0.05</v>
      </c>
      <c r="M238" s="47">
        <f ca="1" t="shared" si="92"/>
        <v>0.41</v>
      </c>
      <c r="N238" s="13">
        <f ca="1" t="shared" si="93"/>
        <v>0.7</v>
      </c>
      <c r="O238" s="13">
        <f t="shared" si="85"/>
        <v>0</v>
      </c>
      <c r="P238" s="13">
        <f ca="1" t="shared" si="94"/>
        <v>0.15</v>
      </c>
      <c r="Q238" s="50">
        <f ca="1" t="shared" si="95"/>
        <v>0.85</v>
      </c>
    </row>
    <row r="239" spans="2:17">
      <c r="B239" s="10">
        <v>26</v>
      </c>
      <c r="C239" s="13">
        <f ca="1" t="shared" si="86"/>
        <v>0.25</v>
      </c>
      <c r="D239" s="43">
        <v>0</v>
      </c>
      <c r="E239" s="13">
        <f t="shared" si="83"/>
        <v>0.1</v>
      </c>
      <c r="F239" s="13">
        <f ca="1" t="shared" si="87"/>
        <v>0.04</v>
      </c>
      <c r="G239" s="47">
        <f ca="1" t="shared" si="88"/>
        <v>0.35</v>
      </c>
      <c r="H239" s="13">
        <f ca="1" t="shared" si="89"/>
        <v>0.2</v>
      </c>
      <c r="I239" s="48">
        <f ca="1" t="shared" si="90"/>
        <v>0.12</v>
      </c>
      <c r="J239" s="49">
        <v>0</v>
      </c>
      <c r="K239" s="48">
        <f t="shared" si="84"/>
        <v>0.1</v>
      </c>
      <c r="L239" s="48">
        <f ca="1" t="shared" si="91"/>
        <v>0.05</v>
      </c>
      <c r="M239" s="47">
        <f ca="1" t="shared" si="92"/>
        <v>0.42</v>
      </c>
      <c r="N239" s="13">
        <f ca="1" t="shared" si="93"/>
        <v>0.7</v>
      </c>
      <c r="O239" s="13">
        <f t="shared" si="85"/>
        <v>0</v>
      </c>
      <c r="P239" s="13">
        <f ca="1" t="shared" si="94"/>
        <v>0.15</v>
      </c>
      <c r="Q239" s="50">
        <f ca="1" t="shared" si="95"/>
        <v>0.85</v>
      </c>
    </row>
    <row r="240" spans="2:17">
      <c r="B240" s="10">
        <v>27</v>
      </c>
      <c r="C240" s="13">
        <f ca="1" t="shared" si="86"/>
        <v>0.25</v>
      </c>
      <c r="D240" s="43">
        <v>0</v>
      </c>
      <c r="E240" s="13">
        <f t="shared" si="83"/>
        <v>0.1</v>
      </c>
      <c r="F240" s="13">
        <f ca="1" t="shared" si="87"/>
        <v>0.04</v>
      </c>
      <c r="G240" s="47">
        <f ca="1" t="shared" si="88"/>
        <v>0.35</v>
      </c>
      <c r="H240" s="13">
        <f ca="1" t="shared" si="89"/>
        <v>0.2</v>
      </c>
      <c r="I240" s="48">
        <f ca="1" t="shared" si="90"/>
        <v>0.12</v>
      </c>
      <c r="J240" s="49">
        <v>0</v>
      </c>
      <c r="K240" s="48">
        <f t="shared" si="84"/>
        <v>0.1</v>
      </c>
      <c r="L240" s="48">
        <f ca="1" t="shared" si="91"/>
        <v>0.05</v>
      </c>
      <c r="M240" s="47">
        <f ca="1" t="shared" si="92"/>
        <v>0.42</v>
      </c>
      <c r="N240" s="13">
        <f ca="1" t="shared" si="93"/>
        <v>0.7</v>
      </c>
      <c r="O240" s="13">
        <f t="shared" si="85"/>
        <v>0</v>
      </c>
      <c r="P240" s="13">
        <f ca="1" t="shared" si="94"/>
        <v>0.15</v>
      </c>
      <c r="Q240" s="50">
        <f ca="1" t="shared" si="95"/>
        <v>0.85</v>
      </c>
    </row>
    <row r="241" spans="2:17">
      <c r="B241" s="10">
        <v>28</v>
      </c>
      <c r="C241" s="13">
        <f ca="1" t="shared" si="86"/>
        <v>0.25</v>
      </c>
      <c r="D241" s="43">
        <v>0</v>
      </c>
      <c r="E241" s="13">
        <f t="shared" si="83"/>
        <v>0.1</v>
      </c>
      <c r="F241" s="13">
        <f ca="1" t="shared" si="87"/>
        <v>0.04</v>
      </c>
      <c r="G241" s="47">
        <f ca="1" t="shared" si="88"/>
        <v>0.35</v>
      </c>
      <c r="H241" s="13">
        <f ca="1" t="shared" si="89"/>
        <v>0.2</v>
      </c>
      <c r="I241" s="48">
        <f ca="1" t="shared" si="90"/>
        <v>0.12</v>
      </c>
      <c r="J241" s="49">
        <v>0</v>
      </c>
      <c r="K241" s="48">
        <f t="shared" si="84"/>
        <v>0.1</v>
      </c>
      <c r="L241" s="48">
        <f ca="1" t="shared" si="91"/>
        <v>0.05</v>
      </c>
      <c r="M241" s="47">
        <f ca="1" t="shared" si="92"/>
        <v>0.42</v>
      </c>
      <c r="N241" s="13">
        <f ca="1" t="shared" si="93"/>
        <v>0.7</v>
      </c>
      <c r="O241" s="13">
        <f t="shared" si="85"/>
        <v>0</v>
      </c>
      <c r="P241" s="13">
        <f ca="1" t="shared" si="94"/>
        <v>0.15</v>
      </c>
      <c r="Q241" s="50">
        <f ca="1" t="shared" si="95"/>
        <v>0.85</v>
      </c>
    </row>
    <row r="242" spans="2:17">
      <c r="B242" s="10">
        <v>29</v>
      </c>
      <c r="C242" s="13">
        <f ca="1" t="shared" si="86"/>
        <v>0.25</v>
      </c>
      <c r="D242" s="43">
        <v>0</v>
      </c>
      <c r="E242" s="13">
        <f t="shared" si="83"/>
        <v>0.1</v>
      </c>
      <c r="F242" s="13">
        <f ca="1" t="shared" si="87"/>
        <v>0.04</v>
      </c>
      <c r="G242" s="47">
        <f ca="1" t="shared" si="88"/>
        <v>0.35</v>
      </c>
      <c r="H242" s="13">
        <f ca="1" t="shared" si="89"/>
        <v>0.2</v>
      </c>
      <c r="I242" s="48">
        <f ca="1" t="shared" si="90"/>
        <v>0.12</v>
      </c>
      <c r="J242" s="49">
        <v>0</v>
      </c>
      <c r="K242" s="48">
        <f t="shared" si="84"/>
        <v>0.1</v>
      </c>
      <c r="L242" s="48">
        <f ca="1" t="shared" si="91"/>
        <v>0.05</v>
      </c>
      <c r="M242" s="47">
        <f ca="1" t="shared" si="92"/>
        <v>0.42</v>
      </c>
      <c r="N242" s="13">
        <f ca="1" t="shared" si="93"/>
        <v>0.7</v>
      </c>
      <c r="O242" s="13">
        <f t="shared" si="85"/>
        <v>0</v>
      </c>
      <c r="P242" s="13">
        <f ca="1" t="shared" si="94"/>
        <v>0.15</v>
      </c>
      <c r="Q242" s="50">
        <f ca="1" t="shared" si="95"/>
        <v>0.85</v>
      </c>
    </row>
    <row r="243" spans="2:17">
      <c r="B243" s="10">
        <v>30</v>
      </c>
      <c r="C243" s="13">
        <f ca="1" t="shared" si="86"/>
        <v>0.25</v>
      </c>
      <c r="D243" s="43">
        <v>0.05</v>
      </c>
      <c r="E243" s="13">
        <f t="shared" si="83"/>
        <v>0.1</v>
      </c>
      <c r="F243" s="13">
        <f ca="1" t="shared" si="87"/>
        <v>0.06</v>
      </c>
      <c r="G243" s="47">
        <f ca="1" t="shared" si="88"/>
        <v>0.4</v>
      </c>
      <c r="H243" s="13">
        <f ca="1" t="shared" si="89"/>
        <v>0.2</v>
      </c>
      <c r="I243" s="48">
        <f ca="1" t="shared" si="90"/>
        <v>0.13</v>
      </c>
      <c r="J243" s="49">
        <v>0.05</v>
      </c>
      <c r="K243" s="48">
        <f t="shared" si="84"/>
        <v>0.1</v>
      </c>
      <c r="L243" s="48">
        <f ca="1" t="shared" si="91"/>
        <v>0.07</v>
      </c>
      <c r="M243" s="47">
        <f ca="1" t="shared" si="92"/>
        <v>0.48</v>
      </c>
      <c r="N243" s="13">
        <f ca="1" t="shared" si="93"/>
        <v>0.7</v>
      </c>
      <c r="O243" s="13">
        <f t="shared" si="85"/>
        <v>0</v>
      </c>
      <c r="P243" s="13">
        <f ca="1" t="shared" si="94"/>
        <v>0.15</v>
      </c>
      <c r="Q243" s="50">
        <f ca="1" t="shared" si="95"/>
        <v>0.85</v>
      </c>
    </row>
    <row r="244" spans="2:17">
      <c r="B244" s="11">
        <v>35</v>
      </c>
      <c r="C244" s="13">
        <f ca="1" t="shared" si="86"/>
        <v>0.25</v>
      </c>
      <c r="D244" s="43">
        <v>0.05</v>
      </c>
      <c r="E244" s="13">
        <f t="shared" si="83"/>
        <v>0.1</v>
      </c>
      <c r="F244" s="13">
        <f ca="1" t="shared" si="87"/>
        <v>0.06</v>
      </c>
      <c r="G244" s="47">
        <f ca="1" t="shared" si="88"/>
        <v>0.4</v>
      </c>
      <c r="H244" s="13">
        <f ca="1" t="shared" si="89"/>
        <v>0.2</v>
      </c>
      <c r="I244" s="48">
        <f ca="1" t="shared" si="90"/>
        <v>0.13</v>
      </c>
      <c r="J244" s="49">
        <v>0.05</v>
      </c>
      <c r="K244" s="48">
        <f t="shared" si="84"/>
        <v>0.1</v>
      </c>
      <c r="L244" s="48">
        <f ca="1" t="shared" si="91"/>
        <v>0.07</v>
      </c>
      <c r="M244" s="47">
        <f ca="1" t="shared" si="92"/>
        <v>0.48</v>
      </c>
      <c r="N244" s="13">
        <f ca="1" t="shared" si="93"/>
        <v>0.7</v>
      </c>
      <c r="O244" s="13">
        <f t="shared" si="85"/>
        <v>0</v>
      </c>
      <c r="P244" s="13">
        <f ca="1" t="shared" si="94"/>
        <v>0.15</v>
      </c>
      <c r="Q244" s="50">
        <f ca="1" t="shared" si="95"/>
        <v>0.85</v>
      </c>
    </row>
    <row r="245" spans="2:17">
      <c r="B245" s="11">
        <v>40</v>
      </c>
      <c r="C245" s="13">
        <f ca="1" t="shared" si="86"/>
        <v>0.25</v>
      </c>
      <c r="D245" s="43">
        <v>0.05</v>
      </c>
      <c r="E245" s="13">
        <f t="shared" si="83"/>
        <v>0.1</v>
      </c>
      <c r="F245" s="13">
        <f ca="1" t="shared" si="87"/>
        <v>0.06</v>
      </c>
      <c r="G245" s="47">
        <f ca="1" t="shared" si="88"/>
        <v>0.4</v>
      </c>
      <c r="H245" s="13">
        <f ca="1" t="shared" si="89"/>
        <v>0.2</v>
      </c>
      <c r="I245" s="48">
        <f ca="1" t="shared" si="90"/>
        <v>0.14</v>
      </c>
      <c r="J245" s="49">
        <v>0.05</v>
      </c>
      <c r="K245" s="48">
        <f t="shared" si="84"/>
        <v>0.1</v>
      </c>
      <c r="L245" s="48">
        <f ca="1" t="shared" si="91"/>
        <v>0.07</v>
      </c>
      <c r="M245" s="47">
        <f ca="1" t="shared" si="92"/>
        <v>0.49</v>
      </c>
      <c r="N245" s="13">
        <f ca="1" t="shared" si="93"/>
        <v>0.7</v>
      </c>
      <c r="O245" s="13">
        <f t="shared" si="85"/>
        <v>0</v>
      </c>
      <c r="P245" s="13">
        <f ca="1" t="shared" si="94"/>
        <v>0.15</v>
      </c>
      <c r="Q245" s="50">
        <f ca="1" t="shared" si="95"/>
        <v>0.85</v>
      </c>
    </row>
    <row r="246" spans="2:17">
      <c r="B246" s="11">
        <v>45</v>
      </c>
      <c r="C246" s="13">
        <f ca="1" t="shared" si="86"/>
        <v>0.25</v>
      </c>
      <c r="D246" s="43">
        <v>0.05</v>
      </c>
      <c r="E246" s="13">
        <f t="shared" si="83"/>
        <v>0.1</v>
      </c>
      <c r="F246" s="13">
        <f ca="1" t="shared" si="87"/>
        <v>0.06</v>
      </c>
      <c r="G246" s="47">
        <f ca="1" t="shared" si="88"/>
        <v>0.4</v>
      </c>
      <c r="H246" s="13">
        <f ca="1" t="shared" si="89"/>
        <v>0.2</v>
      </c>
      <c r="I246" s="48">
        <f ca="1" t="shared" si="90"/>
        <v>0.14</v>
      </c>
      <c r="J246" s="49">
        <v>0.05</v>
      </c>
      <c r="K246" s="48">
        <f t="shared" si="84"/>
        <v>0.1</v>
      </c>
      <c r="L246" s="48">
        <f ca="1" t="shared" si="91"/>
        <v>0.07</v>
      </c>
      <c r="M246" s="47">
        <f ca="1" t="shared" si="92"/>
        <v>0.49</v>
      </c>
      <c r="N246" s="13">
        <f ca="1" t="shared" si="93"/>
        <v>0.95</v>
      </c>
      <c r="O246" s="13">
        <f t="shared" si="85"/>
        <v>0</v>
      </c>
      <c r="P246" s="13">
        <f ca="1" t="shared" si="94"/>
        <v>0.15</v>
      </c>
      <c r="Q246" s="50">
        <f ca="1" t="shared" si="95"/>
        <v>1.1</v>
      </c>
    </row>
    <row r="247" spans="2:17">
      <c r="B247" s="11">
        <v>50</v>
      </c>
      <c r="C247" s="13">
        <f ca="1" t="shared" si="86"/>
        <v>0.25</v>
      </c>
      <c r="D247" s="43">
        <v>0.05</v>
      </c>
      <c r="E247" s="13">
        <f t="shared" si="83"/>
        <v>0.1</v>
      </c>
      <c r="F247" s="13">
        <f ca="1" t="shared" si="87"/>
        <v>0.06</v>
      </c>
      <c r="G247" s="47">
        <f ca="1" t="shared" si="88"/>
        <v>0.4</v>
      </c>
      <c r="H247" s="13">
        <f ca="1" t="shared" si="89"/>
        <v>0.2</v>
      </c>
      <c r="I247" s="48">
        <f ca="1" t="shared" si="90"/>
        <v>0.15</v>
      </c>
      <c r="J247" s="49">
        <v>0.05</v>
      </c>
      <c r="K247" s="48">
        <f t="shared" si="84"/>
        <v>0.1</v>
      </c>
      <c r="L247" s="48">
        <f ca="1" t="shared" si="91"/>
        <v>0.07</v>
      </c>
      <c r="M247" s="47">
        <f ca="1" t="shared" si="92"/>
        <v>0.5</v>
      </c>
      <c r="N247" s="13">
        <f ca="1" t="shared" si="93"/>
        <v>0.95</v>
      </c>
      <c r="O247" s="13">
        <f t="shared" si="85"/>
        <v>0</v>
      </c>
      <c r="P247" s="13">
        <f ca="1" t="shared" si="94"/>
        <v>0.15</v>
      </c>
      <c r="Q247" s="50">
        <f ca="1" t="shared" si="95"/>
        <v>1.1</v>
      </c>
    </row>
    <row r="248" spans="2:17">
      <c r="B248" s="11">
        <v>55</v>
      </c>
      <c r="C248" s="13">
        <f ca="1" t="shared" si="86"/>
        <v>0.25</v>
      </c>
      <c r="D248" s="43">
        <v>0.05</v>
      </c>
      <c r="E248" s="13">
        <f t="shared" si="83"/>
        <v>0.1</v>
      </c>
      <c r="F248" s="13">
        <f ca="1" t="shared" si="87"/>
        <v>0.06</v>
      </c>
      <c r="G248" s="47">
        <f ca="1" t="shared" si="88"/>
        <v>0.4</v>
      </c>
      <c r="H248" s="13">
        <f ca="1" t="shared" si="89"/>
        <v>0.2</v>
      </c>
      <c r="I248" s="48">
        <f ca="1" t="shared" si="90"/>
        <v>0.15</v>
      </c>
      <c r="J248" s="49">
        <v>0.05</v>
      </c>
      <c r="K248" s="48">
        <f t="shared" si="84"/>
        <v>0.1</v>
      </c>
      <c r="L248" s="48">
        <f ca="1" t="shared" si="91"/>
        <v>0.07</v>
      </c>
      <c r="M248" s="47">
        <f ca="1" t="shared" si="92"/>
        <v>0.5</v>
      </c>
      <c r="N248" s="13">
        <f ca="1" t="shared" si="93"/>
        <v>0.95</v>
      </c>
      <c r="O248" s="13">
        <f t="shared" si="85"/>
        <v>0</v>
      </c>
      <c r="P248" s="13">
        <f ca="1" t="shared" si="94"/>
        <v>0.15</v>
      </c>
      <c r="Q248" s="50">
        <f ca="1" t="shared" si="95"/>
        <v>1.1</v>
      </c>
    </row>
    <row r="249" spans="2:17">
      <c r="B249" s="11">
        <v>60</v>
      </c>
      <c r="C249" s="13">
        <f ca="1" t="shared" si="86"/>
        <v>0.25</v>
      </c>
      <c r="D249" s="43">
        <v>0.05</v>
      </c>
      <c r="E249" s="13">
        <f t="shared" si="83"/>
        <v>0.1</v>
      </c>
      <c r="F249" s="13">
        <f ca="1" t="shared" si="87"/>
        <v>0.06</v>
      </c>
      <c r="G249" s="47">
        <f ca="1" t="shared" si="88"/>
        <v>0.4</v>
      </c>
      <c r="H249" s="13">
        <f ca="1" t="shared" si="89"/>
        <v>0.2</v>
      </c>
      <c r="I249" s="48">
        <f ca="1" t="shared" si="90"/>
        <v>0.16</v>
      </c>
      <c r="J249" s="49">
        <v>0.05</v>
      </c>
      <c r="K249" s="48">
        <f t="shared" si="84"/>
        <v>0.1</v>
      </c>
      <c r="L249" s="48">
        <f ca="1" t="shared" si="91"/>
        <v>0.07</v>
      </c>
      <c r="M249" s="47">
        <f ca="1" t="shared" si="92"/>
        <v>0.51</v>
      </c>
      <c r="N249" s="13">
        <f ca="1" t="shared" si="93"/>
        <v>0.95</v>
      </c>
      <c r="O249" s="13">
        <f t="shared" si="85"/>
        <v>0.15</v>
      </c>
      <c r="P249" s="13">
        <f ca="1" t="shared" si="94"/>
        <v>0.15</v>
      </c>
      <c r="Q249" s="50">
        <f ca="1" t="shared" si="95"/>
        <v>1.25</v>
      </c>
    </row>
    <row r="250" spans="2:17">
      <c r="B250" s="11">
        <v>65</v>
      </c>
      <c r="C250" s="13">
        <f ca="1" t="shared" si="86"/>
        <v>0.25</v>
      </c>
      <c r="D250" s="43">
        <v>0.05</v>
      </c>
      <c r="E250" s="13">
        <f t="shared" si="83"/>
        <v>0.1</v>
      </c>
      <c r="F250" s="13">
        <f ca="1" t="shared" si="87"/>
        <v>0.06</v>
      </c>
      <c r="G250" s="47">
        <f ca="1" t="shared" si="88"/>
        <v>0.4</v>
      </c>
      <c r="H250" s="13">
        <f ca="1" t="shared" si="89"/>
        <v>0.2</v>
      </c>
      <c r="I250" s="48">
        <f ca="1" t="shared" si="90"/>
        <v>0.16</v>
      </c>
      <c r="J250" s="49">
        <v>0.05</v>
      </c>
      <c r="K250" s="48">
        <f t="shared" si="84"/>
        <v>0.1</v>
      </c>
      <c r="L250" s="48">
        <f ca="1" t="shared" si="91"/>
        <v>0.07</v>
      </c>
      <c r="M250" s="47">
        <f ca="1" t="shared" si="92"/>
        <v>0.51</v>
      </c>
      <c r="N250" s="13">
        <f ca="1" t="shared" si="93"/>
        <v>0.95</v>
      </c>
      <c r="O250" s="13">
        <f t="shared" si="85"/>
        <v>0.15</v>
      </c>
      <c r="P250" s="13">
        <f ca="1" t="shared" si="94"/>
        <v>0.15</v>
      </c>
      <c r="Q250" s="50">
        <f ca="1" t="shared" si="95"/>
        <v>1.25</v>
      </c>
    </row>
    <row r="251" spans="2:17">
      <c r="B251" s="11">
        <v>70</v>
      </c>
      <c r="C251" s="13">
        <f ca="1" t="shared" si="86"/>
        <v>0.25</v>
      </c>
      <c r="D251" s="43">
        <v>0.05</v>
      </c>
      <c r="E251" s="13">
        <f t="shared" si="83"/>
        <v>0.1</v>
      </c>
      <c r="F251" s="13">
        <f ca="1" t="shared" si="87"/>
        <v>0.06</v>
      </c>
      <c r="G251" s="47">
        <f ca="1" t="shared" si="88"/>
        <v>0.4</v>
      </c>
      <c r="H251" s="13">
        <f ca="1" t="shared" si="89"/>
        <v>0.2</v>
      </c>
      <c r="I251" s="48">
        <f ca="1" t="shared" si="90"/>
        <v>0.16</v>
      </c>
      <c r="J251" s="49">
        <v>0.05</v>
      </c>
      <c r="K251" s="48">
        <f t="shared" si="84"/>
        <v>0.1</v>
      </c>
      <c r="L251" s="48">
        <f ca="1" t="shared" si="91"/>
        <v>0.07</v>
      </c>
      <c r="M251" s="47">
        <f ca="1" t="shared" si="92"/>
        <v>0.51</v>
      </c>
      <c r="N251" s="13">
        <f ca="1" t="shared" si="93"/>
        <v>0.95</v>
      </c>
      <c r="O251" s="13">
        <f t="shared" si="85"/>
        <v>0.15</v>
      </c>
      <c r="P251" s="13">
        <f ca="1" t="shared" si="94"/>
        <v>0.15</v>
      </c>
      <c r="Q251" s="50">
        <f ca="1" t="shared" si="95"/>
        <v>1.25</v>
      </c>
    </row>
    <row r="252" spans="2:17">
      <c r="B252" s="11">
        <v>75</v>
      </c>
      <c r="C252" s="13">
        <f ca="1" t="shared" si="86"/>
        <v>0.25</v>
      </c>
      <c r="D252" s="43">
        <v>0.05</v>
      </c>
      <c r="E252" s="13">
        <f t="shared" si="83"/>
        <v>0.1</v>
      </c>
      <c r="F252" s="13">
        <f ca="1" t="shared" si="87"/>
        <v>0.06</v>
      </c>
      <c r="G252" s="47">
        <f ca="1" t="shared" si="88"/>
        <v>0.4</v>
      </c>
      <c r="H252" s="13">
        <f ca="1" t="shared" si="89"/>
        <v>0.2</v>
      </c>
      <c r="I252" s="48">
        <f ca="1" t="shared" si="90"/>
        <v>0.16</v>
      </c>
      <c r="J252" s="49">
        <v>0.05</v>
      </c>
      <c r="K252" s="48">
        <f t="shared" si="84"/>
        <v>0.1</v>
      </c>
      <c r="L252" s="48">
        <f ca="1" t="shared" si="91"/>
        <v>0.07</v>
      </c>
      <c r="M252" s="47">
        <f ca="1" t="shared" si="92"/>
        <v>0.51</v>
      </c>
      <c r="N252" s="13">
        <f ca="1" t="shared" si="93"/>
        <v>0.95</v>
      </c>
      <c r="O252" s="13">
        <f t="shared" si="85"/>
        <v>0.15</v>
      </c>
      <c r="P252" s="13">
        <f ca="1" t="shared" si="94"/>
        <v>0.15</v>
      </c>
      <c r="Q252" s="50">
        <f ca="1" t="shared" si="95"/>
        <v>1.25</v>
      </c>
    </row>
    <row r="253" spans="2:17">
      <c r="B253" s="11">
        <v>80</v>
      </c>
      <c r="C253" s="13">
        <f ca="1" t="shared" si="86"/>
        <v>0.25</v>
      </c>
      <c r="D253" s="43">
        <v>0.05</v>
      </c>
      <c r="E253" s="13">
        <f t="shared" si="83"/>
        <v>0.1</v>
      </c>
      <c r="F253" s="13">
        <f ca="1" t="shared" si="87"/>
        <v>0.06</v>
      </c>
      <c r="G253" s="47">
        <f ca="1" t="shared" si="88"/>
        <v>0.4</v>
      </c>
      <c r="H253" s="13">
        <f ca="1" t="shared" si="89"/>
        <v>0.2</v>
      </c>
      <c r="I253" s="48">
        <f ca="1" t="shared" si="90"/>
        <v>0.16</v>
      </c>
      <c r="J253" s="49">
        <v>0.05</v>
      </c>
      <c r="K253" s="48">
        <f t="shared" si="84"/>
        <v>0.1</v>
      </c>
      <c r="L253" s="48">
        <f ca="1" t="shared" si="91"/>
        <v>0.07</v>
      </c>
      <c r="M253" s="47">
        <f ca="1" t="shared" si="92"/>
        <v>0.51</v>
      </c>
      <c r="N253" s="13">
        <f ca="1" t="shared" si="93"/>
        <v>0.95</v>
      </c>
      <c r="O253" s="13">
        <f t="shared" si="85"/>
        <v>0.15</v>
      </c>
      <c r="P253" s="13">
        <f ca="1" t="shared" si="94"/>
        <v>0.15</v>
      </c>
      <c r="Q253" s="50">
        <f ca="1" t="shared" si="95"/>
        <v>1.25</v>
      </c>
    </row>
    <row r="254" spans="2:17">
      <c r="B254" s="11">
        <v>85</v>
      </c>
      <c r="C254" s="13">
        <f ca="1" t="shared" si="86"/>
        <v>0.25</v>
      </c>
      <c r="D254" s="43">
        <v>0.05</v>
      </c>
      <c r="E254" s="13">
        <f t="shared" si="83"/>
        <v>0.1</v>
      </c>
      <c r="F254" s="13">
        <f ca="1" t="shared" si="87"/>
        <v>0.06</v>
      </c>
      <c r="G254" s="47">
        <f ca="1" t="shared" si="88"/>
        <v>0.4</v>
      </c>
      <c r="H254" s="13">
        <f ca="1" t="shared" si="89"/>
        <v>0.2</v>
      </c>
      <c r="I254" s="48">
        <f ca="1" t="shared" si="90"/>
        <v>0.16</v>
      </c>
      <c r="J254" s="49">
        <v>0.05</v>
      </c>
      <c r="K254" s="48">
        <f t="shared" si="84"/>
        <v>0.1</v>
      </c>
      <c r="L254" s="48">
        <f ca="1" t="shared" si="91"/>
        <v>0.07</v>
      </c>
      <c r="M254" s="47">
        <f ca="1" t="shared" si="92"/>
        <v>0.51</v>
      </c>
      <c r="N254" s="13">
        <f ca="1" t="shared" si="93"/>
        <v>0.95</v>
      </c>
      <c r="O254" s="13">
        <f t="shared" si="85"/>
        <v>0.15</v>
      </c>
      <c r="P254" s="13">
        <f ca="1" t="shared" si="94"/>
        <v>0.15</v>
      </c>
      <c r="Q254" s="50">
        <f ca="1" t="shared" si="95"/>
        <v>1.25</v>
      </c>
    </row>
    <row r="255" spans="2:17">
      <c r="B255" s="11">
        <v>90</v>
      </c>
      <c r="C255" s="13">
        <f ca="1" t="shared" si="86"/>
        <v>0.25</v>
      </c>
      <c r="D255" s="43">
        <v>0.05</v>
      </c>
      <c r="E255" s="13">
        <f t="shared" si="83"/>
        <v>0.25</v>
      </c>
      <c r="F255" s="13">
        <f ca="1" t="shared" si="87"/>
        <v>0.08</v>
      </c>
      <c r="G255" s="47">
        <f ca="1" t="shared" si="88"/>
        <v>0.55</v>
      </c>
      <c r="H255" s="13">
        <f ca="1" t="shared" si="89"/>
        <v>0.2</v>
      </c>
      <c r="I255" s="48">
        <f ca="1" t="shared" si="90"/>
        <v>0.175</v>
      </c>
      <c r="J255" s="49">
        <v>0.05</v>
      </c>
      <c r="K255" s="48">
        <f t="shared" si="84"/>
        <v>0.25</v>
      </c>
      <c r="L255" s="48">
        <f ca="1" t="shared" si="91"/>
        <v>0.07</v>
      </c>
      <c r="M255" s="47">
        <f ca="1" t="shared" si="92"/>
        <v>0.675</v>
      </c>
      <c r="N255" s="13">
        <f ca="1" t="shared" si="93"/>
        <v>0.95</v>
      </c>
      <c r="O255" s="13">
        <f t="shared" si="85"/>
        <v>0.15</v>
      </c>
      <c r="P255" s="13">
        <f ca="1" t="shared" si="94"/>
        <v>0.2</v>
      </c>
      <c r="Q255" s="50">
        <f ca="1" t="shared" si="95"/>
        <v>1.3</v>
      </c>
    </row>
    <row r="256" spans="2:17">
      <c r="B256" s="11">
        <v>95</v>
      </c>
      <c r="C256" s="13">
        <f ca="1" t="shared" si="86"/>
        <v>0.25</v>
      </c>
      <c r="D256" s="43">
        <v>0.05</v>
      </c>
      <c r="E256" s="13">
        <f t="shared" si="83"/>
        <v>0.25</v>
      </c>
      <c r="F256" s="13">
        <f ca="1" t="shared" si="87"/>
        <v>0.08</v>
      </c>
      <c r="G256" s="47">
        <f ca="1" t="shared" si="88"/>
        <v>0.55</v>
      </c>
      <c r="H256" s="13">
        <f ca="1" t="shared" si="89"/>
        <v>0.2</v>
      </c>
      <c r="I256" s="48">
        <f ca="1" t="shared" si="90"/>
        <v>0.175</v>
      </c>
      <c r="J256" s="49">
        <v>0.05</v>
      </c>
      <c r="K256" s="48">
        <f t="shared" si="84"/>
        <v>0.25</v>
      </c>
      <c r="L256" s="48">
        <f ca="1" t="shared" si="91"/>
        <v>0.07</v>
      </c>
      <c r="M256" s="47">
        <f ca="1" t="shared" si="92"/>
        <v>0.675</v>
      </c>
      <c r="N256" s="13">
        <f ca="1" t="shared" si="93"/>
        <v>0.95</v>
      </c>
      <c r="O256" s="13">
        <f t="shared" si="85"/>
        <v>0.15</v>
      </c>
      <c r="P256" s="13">
        <f ca="1" t="shared" si="94"/>
        <v>0.2</v>
      </c>
      <c r="Q256" s="50">
        <f ca="1" t="shared" si="95"/>
        <v>1.3</v>
      </c>
    </row>
    <row r="257" spans="2:17">
      <c r="B257" s="11">
        <v>100</v>
      </c>
      <c r="C257" s="13">
        <f ca="1" t="shared" si="86"/>
        <v>0.25</v>
      </c>
      <c r="D257" s="43">
        <v>0.05</v>
      </c>
      <c r="E257" s="13">
        <f t="shared" si="83"/>
        <v>0.25</v>
      </c>
      <c r="F257" s="13">
        <f ca="1" t="shared" si="87"/>
        <v>0.08</v>
      </c>
      <c r="G257" s="47">
        <f ca="1" t="shared" si="88"/>
        <v>0.55</v>
      </c>
      <c r="H257" s="13">
        <f ca="1" t="shared" si="89"/>
        <v>0.2</v>
      </c>
      <c r="I257" s="48">
        <f ca="1" t="shared" si="90"/>
        <v>0.175</v>
      </c>
      <c r="J257" s="49">
        <v>0.05</v>
      </c>
      <c r="K257" s="48">
        <f t="shared" si="84"/>
        <v>0.25</v>
      </c>
      <c r="L257" s="48">
        <f ca="1" t="shared" si="91"/>
        <v>0.07</v>
      </c>
      <c r="M257" s="47">
        <f ca="1" t="shared" si="92"/>
        <v>0.675</v>
      </c>
      <c r="N257" s="13">
        <f ca="1" t="shared" si="93"/>
        <v>0.95</v>
      </c>
      <c r="O257" s="13">
        <f t="shared" si="85"/>
        <v>0.15</v>
      </c>
      <c r="P257" s="13">
        <f ca="1" t="shared" si="94"/>
        <v>0.2</v>
      </c>
      <c r="Q257" s="50">
        <f ca="1" t="shared" si="95"/>
        <v>1.3</v>
      </c>
    </row>
    <row r="258" spans="2:17">
      <c r="B258" s="11">
        <v>105</v>
      </c>
      <c r="C258" s="13">
        <f ca="1" t="shared" si="86"/>
        <v>0.25</v>
      </c>
      <c r="D258" s="43">
        <v>0.05</v>
      </c>
      <c r="E258" s="13">
        <f t="shared" si="83"/>
        <v>0.25</v>
      </c>
      <c r="F258" s="13">
        <f ca="1" t="shared" si="87"/>
        <v>0.08</v>
      </c>
      <c r="G258" s="47">
        <f ca="1" t="shared" si="88"/>
        <v>0.55</v>
      </c>
      <c r="H258" s="13">
        <f ca="1" t="shared" si="89"/>
        <v>0.2</v>
      </c>
      <c r="I258" s="48">
        <f ca="1" t="shared" si="90"/>
        <v>0.175</v>
      </c>
      <c r="J258" s="49">
        <v>0.05</v>
      </c>
      <c r="K258" s="48">
        <f t="shared" si="84"/>
        <v>0.25</v>
      </c>
      <c r="L258" s="48">
        <f ca="1" t="shared" si="91"/>
        <v>0.07</v>
      </c>
      <c r="M258" s="47">
        <f ca="1" t="shared" si="92"/>
        <v>0.675</v>
      </c>
      <c r="N258" s="13">
        <f ca="1" t="shared" si="93"/>
        <v>0.95</v>
      </c>
      <c r="O258" s="13">
        <f t="shared" si="85"/>
        <v>0.15</v>
      </c>
      <c r="P258" s="13">
        <f ca="1" t="shared" si="94"/>
        <v>0.2</v>
      </c>
      <c r="Q258" s="50">
        <f ca="1" t="shared" si="95"/>
        <v>1.3</v>
      </c>
    </row>
    <row r="259" spans="2:17">
      <c r="B259" s="11">
        <v>110</v>
      </c>
      <c r="C259" s="13">
        <f ca="1" t="shared" si="86"/>
        <v>0.5</v>
      </c>
      <c r="D259" s="43">
        <v>0.05</v>
      </c>
      <c r="E259" s="13">
        <f t="shared" si="83"/>
        <v>0.25</v>
      </c>
      <c r="F259" s="13">
        <f ca="1" t="shared" si="87"/>
        <v>0.08</v>
      </c>
      <c r="G259" s="47">
        <f ca="1" t="shared" si="88"/>
        <v>0.8</v>
      </c>
      <c r="H259" s="13">
        <f ca="1" t="shared" si="89"/>
        <v>0.45</v>
      </c>
      <c r="I259" s="48">
        <f ca="1" t="shared" si="90"/>
        <v>0.175</v>
      </c>
      <c r="J259" s="49">
        <v>0.05</v>
      </c>
      <c r="K259" s="48">
        <f t="shared" si="84"/>
        <v>0.25</v>
      </c>
      <c r="L259" s="48">
        <f ca="1" t="shared" si="91"/>
        <v>0.07</v>
      </c>
      <c r="M259" s="47">
        <f ca="1" t="shared" si="92"/>
        <v>0.925</v>
      </c>
      <c r="N259" s="13">
        <f ca="1" t="shared" si="93"/>
        <v>0.95</v>
      </c>
      <c r="O259" s="13">
        <f t="shared" si="85"/>
        <v>0.15</v>
      </c>
      <c r="P259" s="13">
        <f ca="1" t="shared" si="94"/>
        <v>0.2</v>
      </c>
      <c r="Q259" s="50">
        <f ca="1" t="shared" si="95"/>
        <v>1.3</v>
      </c>
    </row>
    <row r="260" spans="2:17">
      <c r="B260" s="11">
        <v>115</v>
      </c>
      <c r="C260" s="13">
        <f ca="1" t="shared" si="86"/>
        <v>0.5</v>
      </c>
      <c r="D260" s="43">
        <v>0.05</v>
      </c>
      <c r="E260" s="13">
        <f t="shared" si="83"/>
        <v>0.25</v>
      </c>
      <c r="F260" s="13">
        <f ca="1" t="shared" si="87"/>
        <v>0.08</v>
      </c>
      <c r="G260" s="47">
        <f ca="1" t="shared" si="88"/>
        <v>0.8</v>
      </c>
      <c r="H260" s="13">
        <f ca="1" t="shared" si="89"/>
        <v>0.45</v>
      </c>
      <c r="I260" s="48">
        <f ca="1" t="shared" si="90"/>
        <v>0.175</v>
      </c>
      <c r="J260" s="49">
        <v>0.05</v>
      </c>
      <c r="K260" s="48">
        <f t="shared" si="84"/>
        <v>0.25</v>
      </c>
      <c r="L260" s="48">
        <f ca="1" t="shared" si="91"/>
        <v>0.07</v>
      </c>
      <c r="M260" s="47">
        <f ca="1" t="shared" si="92"/>
        <v>0.925</v>
      </c>
      <c r="N260" s="13">
        <f ca="1" t="shared" si="93"/>
        <v>0.95</v>
      </c>
      <c r="O260" s="13">
        <f t="shared" si="85"/>
        <v>0.15</v>
      </c>
      <c r="P260" s="13">
        <f ca="1" t="shared" si="94"/>
        <v>0.2</v>
      </c>
      <c r="Q260" s="50">
        <f ca="1" t="shared" si="95"/>
        <v>1.3</v>
      </c>
    </row>
    <row r="261" spans="2:17">
      <c r="B261" s="11">
        <v>120</v>
      </c>
      <c r="C261" s="13">
        <f ca="1" t="shared" si="86"/>
        <v>0.5</v>
      </c>
      <c r="D261" s="43">
        <v>0.05</v>
      </c>
      <c r="E261" s="13">
        <f t="shared" si="83"/>
        <v>0.25</v>
      </c>
      <c r="F261" s="13">
        <f ca="1" t="shared" si="87"/>
        <v>0.08</v>
      </c>
      <c r="G261" s="47">
        <f ca="1" t="shared" si="88"/>
        <v>0.8</v>
      </c>
      <c r="H261" s="13">
        <f ca="1" t="shared" si="89"/>
        <v>0.45</v>
      </c>
      <c r="I261" s="48">
        <f ca="1" t="shared" si="90"/>
        <v>0.19</v>
      </c>
      <c r="J261" s="49">
        <v>0.05</v>
      </c>
      <c r="K261" s="48">
        <f t="shared" si="84"/>
        <v>0.25</v>
      </c>
      <c r="L261" s="48">
        <f ca="1" t="shared" si="91"/>
        <v>0.07</v>
      </c>
      <c r="M261" s="47">
        <f ca="1" t="shared" si="92"/>
        <v>0.94</v>
      </c>
      <c r="N261" s="13">
        <f ca="1" t="shared" si="93"/>
        <v>0.95</v>
      </c>
      <c r="O261" s="13">
        <f t="shared" si="85"/>
        <v>0.15</v>
      </c>
      <c r="P261" s="13">
        <f ca="1" t="shared" si="94"/>
        <v>0.2</v>
      </c>
      <c r="Q261" s="50">
        <f ca="1" t="shared" si="95"/>
        <v>1.3</v>
      </c>
    </row>
    <row r="262" spans="2:17">
      <c r="B262" s="12">
        <v>150</v>
      </c>
      <c r="C262" s="13">
        <f ca="1" t="shared" ref="C262:C269" si="96">O540</f>
        <v>0.5</v>
      </c>
      <c r="D262" s="43">
        <v>0.1</v>
      </c>
      <c r="E262" s="13">
        <f t="shared" si="83"/>
        <v>0.25</v>
      </c>
      <c r="F262" s="13">
        <f ca="1" t="shared" ref="F262:F269" si="97">L2095</f>
        <v>0.08</v>
      </c>
      <c r="G262" s="47">
        <f ca="1" t="shared" ref="G262:G269" si="98">SUM(C262:E262)</f>
        <v>0.85</v>
      </c>
      <c r="H262" s="13">
        <f ca="1" t="shared" ref="H262:H269" si="99">P540</f>
        <v>0.45</v>
      </c>
      <c r="I262" s="48">
        <f ca="1" t="shared" ref="I262:I269" si="100">O438</f>
        <v>0.19</v>
      </c>
      <c r="J262" s="49">
        <v>0.1</v>
      </c>
      <c r="K262" s="48">
        <f t="shared" si="84"/>
        <v>0.25</v>
      </c>
      <c r="L262" s="48">
        <f ca="1" t="shared" ref="L262:L269" si="101">M2095</f>
        <v>0.1</v>
      </c>
      <c r="M262" s="47">
        <f ca="1" t="shared" ref="M262:M269" si="102">SUM(H262:K262)</f>
        <v>0.99</v>
      </c>
      <c r="N262" s="13">
        <f ca="1" t="shared" ref="N262:N269" si="103">N540</f>
        <v>1.25</v>
      </c>
      <c r="O262" s="13">
        <f t="shared" si="85"/>
        <v>0.35</v>
      </c>
      <c r="P262" s="13">
        <f ca="1" t="shared" ref="P262:P269" si="104">I2095</f>
        <v>0.2</v>
      </c>
      <c r="Q262" s="50">
        <f ca="1" t="shared" ref="Q262:Q269" si="105">SUM(N262:P262)</f>
        <v>1.8</v>
      </c>
    </row>
    <row r="263" spans="2:17">
      <c r="B263" s="12">
        <v>180</v>
      </c>
      <c r="C263" s="13">
        <f ca="1" t="shared" si="96"/>
        <v>0.5</v>
      </c>
      <c r="D263" s="43">
        <v>0.1</v>
      </c>
      <c r="E263" s="13">
        <f t="shared" ref="E263:E269" si="106">R5122</f>
        <v>0.25</v>
      </c>
      <c r="F263" s="13">
        <f ca="1" t="shared" si="97"/>
        <v>0.08</v>
      </c>
      <c r="G263" s="47">
        <f ca="1" t="shared" si="98"/>
        <v>0.85</v>
      </c>
      <c r="H263" s="13">
        <f ca="1" t="shared" si="99"/>
        <v>0.45</v>
      </c>
      <c r="I263" s="48">
        <f ca="1" t="shared" si="100"/>
        <v>0.205</v>
      </c>
      <c r="J263" s="49">
        <v>0.1</v>
      </c>
      <c r="K263" s="48">
        <f t="shared" ref="K263:K269" si="107">Q5122</f>
        <v>0.25</v>
      </c>
      <c r="L263" s="48">
        <f ca="1" t="shared" si="101"/>
        <v>0.1</v>
      </c>
      <c r="M263" s="47">
        <f ca="1" t="shared" si="102"/>
        <v>1.005</v>
      </c>
      <c r="N263" s="13">
        <f ca="1" t="shared" si="103"/>
        <v>1.25</v>
      </c>
      <c r="O263" s="13">
        <f t="shared" ref="O263:O269" si="108">S5122</f>
        <v>0.35</v>
      </c>
      <c r="P263" s="13">
        <f ca="1" t="shared" si="104"/>
        <v>0.2</v>
      </c>
      <c r="Q263" s="50">
        <f ca="1" t="shared" si="105"/>
        <v>1.8</v>
      </c>
    </row>
    <row r="264" spans="2:17">
      <c r="B264" s="12">
        <v>210</v>
      </c>
      <c r="C264" s="13">
        <f ca="1" t="shared" si="96"/>
        <v>0.5</v>
      </c>
      <c r="D264" s="43">
        <v>0.1</v>
      </c>
      <c r="E264" s="13">
        <f t="shared" si="106"/>
        <v>0.25</v>
      </c>
      <c r="F264" s="13">
        <f ca="1" t="shared" si="97"/>
        <v>0.08</v>
      </c>
      <c r="G264" s="47">
        <f ca="1" t="shared" si="98"/>
        <v>0.85</v>
      </c>
      <c r="H264" s="13">
        <f ca="1" t="shared" si="99"/>
        <v>0.45</v>
      </c>
      <c r="I264" s="48">
        <f ca="1" t="shared" si="100"/>
        <v>0.205</v>
      </c>
      <c r="J264" s="49">
        <v>0.1</v>
      </c>
      <c r="K264" s="48">
        <f t="shared" si="107"/>
        <v>0.25</v>
      </c>
      <c r="L264" s="48">
        <f ca="1" t="shared" si="101"/>
        <v>0.1</v>
      </c>
      <c r="M264" s="47">
        <f ca="1" t="shared" si="102"/>
        <v>1.005</v>
      </c>
      <c r="N264" s="13">
        <f ca="1" t="shared" si="103"/>
        <v>1.25</v>
      </c>
      <c r="O264" s="13">
        <f t="shared" si="108"/>
        <v>0.35</v>
      </c>
      <c r="P264" s="13">
        <f ca="1" t="shared" si="104"/>
        <v>0.2</v>
      </c>
      <c r="Q264" s="50">
        <f ca="1" t="shared" si="105"/>
        <v>1.8</v>
      </c>
    </row>
    <row r="265" spans="2:17">
      <c r="B265" s="12">
        <v>240</v>
      </c>
      <c r="C265" s="13">
        <f ca="1" t="shared" si="96"/>
        <v>0.5</v>
      </c>
      <c r="D265" s="43">
        <v>0.1</v>
      </c>
      <c r="E265" s="13">
        <f t="shared" si="106"/>
        <v>0.25</v>
      </c>
      <c r="F265" s="13">
        <f ca="1" t="shared" si="97"/>
        <v>0.1</v>
      </c>
      <c r="G265" s="47">
        <f ca="1" t="shared" si="98"/>
        <v>0.85</v>
      </c>
      <c r="H265" s="13">
        <f ca="1" t="shared" si="99"/>
        <v>0.45</v>
      </c>
      <c r="I265" s="48">
        <f ca="1" t="shared" si="100"/>
        <v>0.22</v>
      </c>
      <c r="J265" s="49">
        <v>0.1</v>
      </c>
      <c r="K265" s="48">
        <f t="shared" si="107"/>
        <v>0.25</v>
      </c>
      <c r="L265" s="48">
        <f ca="1" t="shared" si="101"/>
        <v>0.1</v>
      </c>
      <c r="M265" s="47">
        <f ca="1" t="shared" si="102"/>
        <v>1.02</v>
      </c>
      <c r="N265" s="13">
        <f ca="1" t="shared" si="103"/>
        <v>1.25</v>
      </c>
      <c r="O265" s="13">
        <f t="shared" si="108"/>
        <v>0.35</v>
      </c>
      <c r="P265" s="13">
        <f ca="1" t="shared" si="104"/>
        <v>0.2</v>
      </c>
      <c r="Q265" s="50">
        <f ca="1" t="shared" si="105"/>
        <v>1.8</v>
      </c>
    </row>
    <row r="266" spans="2:17">
      <c r="B266" s="12">
        <v>270</v>
      </c>
      <c r="C266" s="13">
        <f ca="1" t="shared" si="96"/>
        <v>0.5</v>
      </c>
      <c r="D266" s="43">
        <v>0.1</v>
      </c>
      <c r="E266" s="13">
        <f t="shared" si="106"/>
        <v>0.25</v>
      </c>
      <c r="F266" s="13">
        <f ca="1" t="shared" si="97"/>
        <v>0.1</v>
      </c>
      <c r="G266" s="47">
        <f ca="1" t="shared" si="98"/>
        <v>0.85</v>
      </c>
      <c r="H266" s="13">
        <f ca="1" t="shared" si="99"/>
        <v>0.45</v>
      </c>
      <c r="I266" s="48">
        <f ca="1" t="shared" si="100"/>
        <v>0.22</v>
      </c>
      <c r="J266" s="49">
        <v>0.1</v>
      </c>
      <c r="K266" s="48">
        <f t="shared" si="107"/>
        <v>0.25</v>
      </c>
      <c r="L266" s="48">
        <f ca="1" t="shared" si="101"/>
        <v>0.1</v>
      </c>
      <c r="M266" s="47">
        <f ca="1" t="shared" si="102"/>
        <v>1.02</v>
      </c>
      <c r="N266" s="13">
        <f ca="1" t="shared" si="103"/>
        <v>1.25</v>
      </c>
      <c r="O266" s="13">
        <f t="shared" si="108"/>
        <v>0.35</v>
      </c>
      <c r="P266" s="13">
        <f ca="1" t="shared" si="104"/>
        <v>0.2</v>
      </c>
      <c r="Q266" s="50">
        <f ca="1" t="shared" si="105"/>
        <v>1.8</v>
      </c>
    </row>
    <row r="267" spans="2:17">
      <c r="B267" s="12">
        <v>300</v>
      </c>
      <c r="C267" s="13">
        <f ca="1" t="shared" si="96"/>
        <v>0.5</v>
      </c>
      <c r="D267" s="43">
        <v>0.1</v>
      </c>
      <c r="E267" s="13">
        <f t="shared" si="106"/>
        <v>0.25</v>
      </c>
      <c r="F267" s="13">
        <f ca="1" t="shared" si="97"/>
        <v>0.1</v>
      </c>
      <c r="G267" s="47">
        <f ca="1" t="shared" si="98"/>
        <v>0.85</v>
      </c>
      <c r="H267" s="13">
        <f ca="1" t="shared" si="99"/>
        <v>0.45</v>
      </c>
      <c r="I267" s="48">
        <f ca="1" t="shared" si="100"/>
        <v>0.25</v>
      </c>
      <c r="J267" s="49">
        <v>0.1</v>
      </c>
      <c r="K267" s="48">
        <f t="shared" si="107"/>
        <v>0.25</v>
      </c>
      <c r="L267" s="48">
        <f ca="1" t="shared" si="101"/>
        <v>0.1</v>
      </c>
      <c r="M267" s="47">
        <f ca="1" t="shared" si="102"/>
        <v>1.05</v>
      </c>
      <c r="N267" s="13">
        <f ca="1" t="shared" si="103"/>
        <v>1.25</v>
      </c>
      <c r="O267" s="13">
        <f t="shared" si="108"/>
        <v>0.35</v>
      </c>
      <c r="P267" s="13">
        <f ca="1" t="shared" si="104"/>
        <v>0.2</v>
      </c>
      <c r="Q267" s="50">
        <f ca="1" t="shared" si="105"/>
        <v>1.8</v>
      </c>
    </row>
    <row r="268" spans="2:17">
      <c r="B268" s="12">
        <v>330</v>
      </c>
      <c r="C268" s="13">
        <f ca="1" t="shared" si="96"/>
        <v>0.5</v>
      </c>
      <c r="D268" s="43">
        <v>0.1</v>
      </c>
      <c r="E268" s="13">
        <f t="shared" si="106"/>
        <v>0.25</v>
      </c>
      <c r="F268" s="13">
        <f ca="1" t="shared" si="97"/>
        <v>0.1</v>
      </c>
      <c r="G268" s="47">
        <f ca="1" t="shared" si="98"/>
        <v>0.85</v>
      </c>
      <c r="H268" s="13">
        <f ca="1" t="shared" si="99"/>
        <v>0.45</v>
      </c>
      <c r="I268" s="48">
        <f ca="1" t="shared" si="100"/>
        <v>0.25</v>
      </c>
      <c r="J268" s="49">
        <v>0.1</v>
      </c>
      <c r="K268" s="48">
        <f t="shared" si="107"/>
        <v>0.25</v>
      </c>
      <c r="L268" s="48">
        <f ca="1" t="shared" si="101"/>
        <v>0.1</v>
      </c>
      <c r="M268" s="47">
        <f ca="1" t="shared" si="102"/>
        <v>1.05</v>
      </c>
      <c r="N268" s="13">
        <f ca="1" t="shared" si="103"/>
        <v>1.25</v>
      </c>
      <c r="O268" s="13">
        <f t="shared" si="108"/>
        <v>0.35</v>
      </c>
      <c r="P268" s="13">
        <f ca="1" t="shared" si="104"/>
        <v>0.2</v>
      </c>
      <c r="Q268" s="50">
        <f ca="1" t="shared" si="105"/>
        <v>1.8</v>
      </c>
    </row>
    <row r="269" spans="2:17">
      <c r="B269" s="12">
        <v>360</v>
      </c>
      <c r="C269" s="13">
        <f ca="1" t="shared" si="96"/>
        <v>0.5</v>
      </c>
      <c r="D269" s="43">
        <v>0.15</v>
      </c>
      <c r="E269" s="13">
        <f t="shared" si="106"/>
        <v>0.25</v>
      </c>
      <c r="F269" s="13">
        <f ca="1" t="shared" si="97"/>
        <v>0.1</v>
      </c>
      <c r="G269" s="47">
        <f ca="1" t="shared" si="98"/>
        <v>0.9</v>
      </c>
      <c r="H269" s="13">
        <f ca="1" t="shared" si="99"/>
        <v>0.45</v>
      </c>
      <c r="I269" s="48">
        <f ca="1" t="shared" si="100"/>
        <v>0.3</v>
      </c>
      <c r="J269" s="49">
        <v>0.15</v>
      </c>
      <c r="K269" s="48">
        <f t="shared" si="107"/>
        <v>0.25</v>
      </c>
      <c r="L269" s="48">
        <f ca="1" t="shared" si="101"/>
        <v>0.1</v>
      </c>
      <c r="M269" s="47">
        <f ca="1" t="shared" si="102"/>
        <v>1.15</v>
      </c>
      <c r="N269" s="13">
        <f ca="1" t="shared" si="103"/>
        <v>1.25</v>
      </c>
      <c r="O269" s="13">
        <f t="shared" si="108"/>
        <v>0.35</v>
      </c>
      <c r="P269" s="13">
        <f ca="1" t="shared" si="104"/>
        <v>0.25</v>
      </c>
      <c r="Q269" s="50">
        <f ca="1" t="shared" si="105"/>
        <v>1.85</v>
      </c>
    </row>
    <row r="272" s="25" customFormat="1" spans="1:5">
      <c r="A272" s="2" t="s">
        <v>449</v>
      </c>
      <c r="B272" s="2"/>
      <c r="C272" s="41" t="s">
        <v>436</v>
      </c>
      <c r="E272" s="26" t="s">
        <v>784</v>
      </c>
    </row>
    <row r="274" spans="2:12">
      <c r="B274" s="27" t="s">
        <v>785</v>
      </c>
      <c r="C274" s="27"/>
      <c r="D274" s="27"/>
      <c r="E274" s="27"/>
      <c r="F274" s="27"/>
      <c r="G274" s="27"/>
      <c r="H274" s="27"/>
      <c r="I274" s="27"/>
      <c r="J274" s="27"/>
      <c r="K274" s="27"/>
      <c r="L274" s="27"/>
    </row>
    <row r="276" spans="2:5">
      <c r="B276" s="1" t="s">
        <v>786</v>
      </c>
      <c r="E276" s="30">
        <v>60</v>
      </c>
    </row>
    <row r="278" spans="2:6">
      <c r="B278" s="1" t="s">
        <v>715</v>
      </c>
      <c r="E278" s="1">
        <f>总规划!$D$106</f>
        <v>480</v>
      </c>
      <c r="F278" s="1" t="str">
        <f>总规划!$C$106</f>
        <v>1天</v>
      </c>
    </row>
    <row r="279" spans="2:5">
      <c r="B279" s="1" t="s">
        <v>787</v>
      </c>
      <c r="E279" s="13">
        <f>$D$101</f>
        <v>0.4</v>
      </c>
    </row>
    <row r="280" spans="2:5">
      <c r="B280" s="1" t="s">
        <v>788</v>
      </c>
      <c r="E280" s="5">
        <f>E278/30*E276*E279</f>
        <v>384</v>
      </c>
    </row>
    <row r="282" spans="2:6">
      <c r="B282" s="1" t="s">
        <v>708</v>
      </c>
      <c r="E282" s="1">
        <f>总规划!$D$105</f>
        <v>1800</v>
      </c>
      <c r="F282" s="1" t="str">
        <f>总规划!$C$105</f>
        <v>1M资源</v>
      </c>
    </row>
    <row r="283" spans="2:5">
      <c r="B283" s="1" t="s">
        <v>789</v>
      </c>
      <c r="E283" s="13">
        <f>$C$101</f>
        <v>0.6</v>
      </c>
    </row>
    <row r="284" spans="2:5">
      <c r="B284" s="1" t="s">
        <v>790</v>
      </c>
      <c r="E284" s="5">
        <f>E282/30*E276*E283</f>
        <v>2160</v>
      </c>
    </row>
    <row r="286" spans="2:12">
      <c r="B286" s="27" t="s">
        <v>791</v>
      </c>
      <c r="C286" s="27"/>
      <c r="D286" s="27"/>
      <c r="E286" s="27"/>
      <c r="F286" s="27"/>
      <c r="G286" s="27"/>
      <c r="H286" s="27"/>
      <c r="I286" s="27"/>
      <c r="J286" s="27"/>
      <c r="K286" s="27"/>
      <c r="L286" s="27"/>
    </row>
    <row r="288" spans="2:7">
      <c r="B288" s="1" t="s">
        <v>449</v>
      </c>
      <c r="C288" s="1" t="s">
        <v>142</v>
      </c>
      <c r="D288" s="1" t="s">
        <v>792</v>
      </c>
      <c r="E288" s="1" t="s">
        <v>180</v>
      </c>
      <c r="F288" s="1" t="s">
        <v>173</v>
      </c>
      <c r="G288" s="1" t="s">
        <v>793</v>
      </c>
    </row>
    <row r="289" spans="2:7">
      <c r="B289" s="1" t="s">
        <v>794</v>
      </c>
      <c r="C289" s="30">
        <v>3</v>
      </c>
      <c r="D289" s="30">
        <v>2</v>
      </c>
      <c r="E289" s="30">
        <v>1</v>
      </c>
      <c r="F289" s="30">
        <v>1</v>
      </c>
      <c r="G289" s="30">
        <v>1</v>
      </c>
    </row>
    <row r="290" spans="2:7">
      <c r="B290" s="1" t="s">
        <v>795</v>
      </c>
      <c r="C290" s="30">
        <v>1</v>
      </c>
      <c r="D290" s="30">
        <v>5</v>
      </c>
      <c r="E290" s="30">
        <v>1</v>
      </c>
      <c r="F290" s="30">
        <v>1</v>
      </c>
      <c r="G290" s="30">
        <v>1</v>
      </c>
    </row>
    <row r="291" spans="2:8">
      <c r="B291" s="1" t="s">
        <v>796</v>
      </c>
      <c r="C291" s="1">
        <f t="shared" ref="C291:G291" si="109">C289*C290</f>
        <v>3</v>
      </c>
      <c r="D291" s="1">
        <f t="shared" si="109"/>
        <v>10</v>
      </c>
      <c r="E291" s="1">
        <f t="shared" si="109"/>
        <v>1</v>
      </c>
      <c r="F291" s="1">
        <f t="shared" si="109"/>
        <v>1</v>
      </c>
      <c r="G291" s="1">
        <f t="shared" si="109"/>
        <v>1</v>
      </c>
      <c r="H291" s="1">
        <f>SUM(C291:G291)</f>
        <v>16</v>
      </c>
    </row>
    <row r="293" spans="2:8">
      <c r="B293" s="1" t="s">
        <v>797</v>
      </c>
      <c r="C293" s="1" t="s">
        <v>371</v>
      </c>
      <c r="D293" s="1" t="s">
        <v>372</v>
      </c>
      <c r="E293" s="1" t="s">
        <v>373</v>
      </c>
      <c r="F293" s="1" t="s">
        <v>374</v>
      </c>
      <c r="G293" s="1" t="s">
        <v>375</v>
      </c>
      <c r="H293" s="1" t="s">
        <v>376</v>
      </c>
    </row>
    <row r="294" spans="2:8">
      <c r="B294" s="1" t="s">
        <v>798</v>
      </c>
      <c r="C294" s="1">
        <f t="array" ref="C294:H294">TRANSPOSE(C188:C193)</f>
        <v>1</v>
      </c>
      <c r="D294" s="1">
        <v>4</v>
      </c>
      <c r="E294" s="1">
        <v>20</v>
      </c>
      <c r="F294" s="1">
        <v>35</v>
      </c>
      <c r="G294" s="1">
        <v>50</v>
      </c>
      <c r="H294" s="1">
        <v>110</v>
      </c>
    </row>
    <row r="295" spans="2:8">
      <c r="B295" s="1" t="s">
        <v>799</v>
      </c>
      <c r="C295" s="30">
        <v>1</v>
      </c>
      <c r="D295" s="30">
        <v>3.5</v>
      </c>
      <c r="E295" s="30">
        <v>15</v>
      </c>
      <c r="F295" s="30">
        <v>20</v>
      </c>
      <c r="G295" s="30">
        <v>25</v>
      </c>
      <c r="H295" s="30">
        <v>50</v>
      </c>
    </row>
    <row r="296" spans="2:8">
      <c r="B296" s="1" t="s">
        <v>800</v>
      </c>
      <c r="C296" s="30" t="s">
        <v>143</v>
      </c>
      <c r="D296" s="30" t="s">
        <v>147</v>
      </c>
      <c r="E296" s="30" t="s">
        <v>154</v>
      </c>
      <c r="F296" s="30" t="s">
        <v>801</v>
      </c>
      <c r="G296" s="30" t="s">
        <v>802</v>
      </c>
      <c r="H296" s="30" t="s">
        <v>803</v>
      </c>
    </row>
    <row r="298" spans="2:12">
      <c r="B298" s="27" t="s">
        <v>804</v>
      </c>
      <c r="C298" s="27"/>
      <c r="D298" s="27"/>
      <c r="E298" s="27"/>
      <c r="F298" s="27"/>
      <c r="G298" s="27"/>
      <c r="H298" s="27"/>
      <c r="I298" s="27"/>
      <c r="J298" s="27"/>
      <c r="K298" s="27"/>
      <c r="L298" s="27"/>
    </row>
    <row r="300" spans="2:24">
      <c r="B300" s="1" t="s">
        <v>138</v>
      </c>
      <c r="C300" s="1" t="s">
        <v>805</v>
      </c>
      <c r="D300" s="1" t="s">
        <v>806</v>
      </c>
      <c r="E300" s="1" t="s">
        <v>807</v>
      </c>
      <c r="F300" s="1" t="s">
        <v>808</v>
      </c>
      <c r="G300" s="1" t="s">
        <v>809</v>
      </c>
      <c r="H300" s="1" t="s">
        <v>810</v>
      </c>
      <c r="I300" s="1" t="s">
        <v>809</v>
      </c>
      <c r="J300" s="15" t="s">
        <v>811</v>
      </c>
      <c r="K300" s="15" t="s">
        <v>812</v>
      </c>
      <c r="L300" s="15" t="s">
        <v>813</v>
      </c>
      <c r="M300" s="15" t="s">
        <v>814</v>
      </c>
      <c r="N300" s="15" t="s">
        <v>815</v>
      </c>
      <c r="O300" s="15" t="s">
        <v>816</v>
      </c>
      <c r="P300" s="15" t="s">
        <v>811</v>
      </c>
      <c r="Q300" s="15" t="s">
        <v>812</v>
      </c>
      <c r="R300" s="15" t="s">
        <v>817</v>
      </c>
      <c r="S300" s="15" t="s">
        <v>818</v>
      </c>
      <c r="T300" s="15" t="s">
        <v>815</v>
      </c>
      <c r="U300" s="15" t="s">
        <v>819</v>
      </c>
      <c r="V300" s="1" t="s">
        <v>382</v>
      </c>
      <c r="W300" s="1" t="s">
        <v>773</v>
      </c>
      <c r="X300" s="15" t="s">
        <v>820</v>
      </c>
    </row>
    <row r="301" spans="2:24">
      <c r="B301" s="1">
        <v>0</v>
      </c>
      <c r="C301" s="1" t="str">
        <f ca="1" t="shared" ref="C301:C333" si="110">IFERROR(OFFSET($B$107,MATCH(B301-1,$C$107:$C$178,0)-1,0),"")</f>
        <v/>
      </c>
      <c r="D301" s="1">
        <f ca="1" t="shared" ref="D301:D333" si="111">IFERROR(OFFSET($B$107,MATCH(B301,$C$107:$C$178,0)-1,0),"")</f>
        <v>0</v>
      </c>
      <c r="E301" s="1" t="str">
        <f ca="1" t="shared" ref="E301:E333" si="112">IFERROR(D301-C301,"")</f>
        <v/>
      </c>
      <c r="J301" s="30">
        <v>0</v>
      </c>
      <c r="K301" s="30">
        <v>0</v>
      </c>
      <c r="L301" s="30"/>
      <c r="M301" s="30"/>
      <c r="N301" s="30">
        <v>0</v>
      </c>
      <c r="O301" s="52">
        <v>0</v>
      </c>
      <c r="P301" s="15">
        <f ca="1" t="shared" ref="P301:P333" si="113">IF(J301="",INDIRECT(ADDRESS(ROW()-1,COLUMN())),J301)</f>
        <v>0</v>
      </c>
      <c r="Q301" s="15">
        <f ca="1" t="shared" ref="Q301:Q333" si="114">IF(K301="",INDIRECT(ADDRESS(ROW()-1,COLUMN())),K301)</f>
        <v>0</v>
      </c>
      <c r="R301" s="15">
        <f t="shared" ref="R301:U301" si="115">L301</f>
        <v>0</v>
      </c>
      <c r="S301" s="53">
        <f t="shared" si="115"/>
        <v>0</v>
      </c>
      <c r="T301" s="15">
        <f ca="1" t="shared" ref="T301:T333" si="116">IF(N301="",INDIRECT(ADDRESS(ROW()-1,COLUMN())),N301)</f>
        <v>0</v>
      </c>
      <c r="U301" s="54">
        <f t="shared" si="115"/>
        <v>0</v>
      </c>
      <c r="V301" s="1">
        <f ca="1" t="shared" ref="V301:V333" si="117">IF(D301="",INDIRECT(ADDRESS(ROW()-1,COLUMN())),D301)</f>
        <v>0</v>
      </c>
      <c r="W301" s="55">
        <f ca="1" t="shared" ref="W301:W333" si="118">OFFSET($G$198,MATCH(V301,$B$198:$B$269,0)-1,0)</f>
        <v>0</v>
      </c>
      <c r="X301" s="15">
        <f>'102_建筑'!O6</f>
        <v>0</v>
      </c>
    </row>
    <row r="302" spans="2:24">
      <c r="B302" s="1">
        <v>1</v>
      </c>
      <c r="C302" s="1">
        <f ca="1" t="shared" si="110"/>
        <v>0</v>
      </c>
      <c r="D302" s="1">
        <f ca="1" t="shared" si="111"/>
        <v>0.1</v>
      </c>
      <c r="E302" s="1">
        <f ca="1" t="shared" si="112"/>
        <v>0.1</v>
      </c>
      <c r="F302" s="51">
        <v>3e-5</v>
      </c>
      <c r="H302" s="51">
        <v>0.0001</v>
      </c>
      <c r="J302" s="30">
        <v>1</v>
      </c>
      <c r="K302" s="30">
        <v>9</v>
      </c>
      <c r="L302" s="30">
        <v>50</v>
      </c>
      <c r="M302" s="30"/>
      <c r="N302" s="30">
        <v>2</v>
      </c>
      <c r="O302" s="52">
        <v>0</v>
      </c>
      <c r="P302" s="15">
        <f ca="1" t="shared" si="113"/>
        <v>1</v>
      </c>
      <c r="Q302" s="15">
        <f ca="1" t="shared" si="114"/>
        <v>9</v>
      </c>
      <c r="R302" s="15">
        <f>R301+L302</f>
        <v>50</v>
      </c>
      <c r="S302" s="53">
        <f>S301+M302</f>
        <v>0</v>
      </c>
      <c r="T302" s="15">
        <f ca="1" t="shared" si="116"/>
        <v>2</v>
      </c>
      <c r="U302" s="54">
        <f>O302</f>
        <v>0</v>
      </c>
      <c r="V302" s="1">
        <f ca="1" t="shared" si="117"/>
        <v>0.1</v>
      </c>
      <c r="W302" s="55">
        <f ca="1" t="shared" si="118"/>
        <v>0</v>
      </c>
      <c r="X302" s="15">
        <f>'102_建筑'!O7</f>
        <v>163.5</v>
      </c>
    </row>
    <row r="303" spans="2:24">
      <c r="B303" s="1">
        <v>2</v>
      </c>
      <c r="C303" s="1">
        <f ca="1" t="shared" si="110"/>
        <v>0.1</v>
      </c>
      <c r="D303" s="1">
        <f ca="1" t="shared" si="111"/>
        <v>0.2</v>
      </c>
      <c r="E303" s="1">
        <f ca="1" t="shared" si="112"/>
        <v>0.1</v>
      </c>
      <c r="F303" s="51">
        <v>6e-5</v>
      </c>
      <c r="G303" s="48">
        <f t="shared" ref="G303:G333" si="119">F303/F302</f>
        <v>2</v>
      </c>
      <c r="H303" s="51">
        <v>0.0002</v>
      </c>
      <c r="I303" s="48">
        <f t="shared" ref="I303:I333" si="120">H303/H302</f>
        <v>2</v>
      </c>
      <c r="J303" s="30"/>
      <c r="K303" s="30">
        <v>12</v>
      </c>
      <c r="L303" s="30"/>
      <c r="M303" s="30"/>
      <c r="N303" s="30"/>
      <c r="O303" s="52">
        <v>0.005</v>
      </c>
      <c r="P303" s="15">
        <f ca="1" t="shared" si="113"/>
        <v>1</v>
      </c>
      <c r="Q303" s="15">
        <f ca="1" t="shared" si="114"/>
        <v>12</v>
      </c>
      <c r="R303" s="15">
        <f t="shared" ref="R303:R333" si="121">R302+L303</f>
        <v>50</v>
      </c>
      <c r="S303" s="53">
        <f t="shared" ref="S303:S333" si="122">S302+M303</f>
        <v>0</v>
      </c>
      <c r="T303" s="15">
        <f ca="1" t="shared" si="116"/>
        <v>2</v>
      </c>
      <c r="U303" s="54">
        <f t="shared" ref="U303:U333" si="123">U302+O303</f>
        <v>0.005</v>
      </c>
      <c r="V303" s="1">
        <f ca="1" t="shared" si="117"/>
        <v>0.2</v>
      </c>
      <c r="W303" s="55">
        <f ca="1" t="shared" si="118"/>
        <v>0</v>
      </c>
      <c r="X303" s="15">
        <f>'102_建筑'!O8</f>
        <v>490.5</v>
      </c>
    </row>
    <row r="304" spans="2:24">
      <c r="B304" s="1">
        <v>3</v>
      </c>
      <c r="C304" s="1">
        <f ca="1" t="shared" si="110"/>
        <v>0.2</v>
      </c>
      <c r="D304" s="1">
        <f ca="1" t="shared" si="111"/>
        <v>0.3</v>
      </c>
      <c r="E304" s="1">
        <f ca="1" t="shared" si="112"/>
        <v>0.1</v>
      </c>
      <c r="F304" s="51">
        <v>9e-5</v>
      </c>
      <c r="G304" s="48">
        <f t="shared" si="119"/>
        <v>1.5</v>
      </c>
      <c r="H304" s="51">
        <v>0.0003</v>
      </c>
      <c r="I304" s="48">
        <f t="shared" si="120"/>
        <v>1.5</v>
      </c>
      <c r="J304" s="30"/>
      <c r="K304" s="30">
        <v>15</v>
      </c>
      <c r="L304" s="30"/>
      <c r="M304" s="43">
        <v>1</v>
      </c>
      <c r="N304" s="30"/>
      <c r="O304" s="52">
        <v>0.005</v>
      </c>
      <c r="P304" s="15">
        <f ca="1" t="shared" si="113"/>
        <v>1</v>
      </c>
      <c r="Q304" s="15">
        <f ca="1" t="shared" si="114"/>
        <v>15</v>
      </c>
      <c r="R304" s="15">
        <f t="shared" si="121"/>
        <v>50</v>
      </c>
      <c r="S304" s="53">
        <f t="shared" si="122"/>
        <v>1</v>
      </c>
      <c r="T304" s="15">
        <f ca="1" t="shared" si="116"/>
        <v>2</v>
      </c>
      <c r="U304" s="54">
        <f t="shared" si="123"/>
        <v>0.01</v>
      </c>
      <c r="V304" s="1">
        <f ca="1" t="shared" si="117"/>
        <v>0.3</v>
      </c>
      <c r="W304" s="55">
        <f ca="1" t="shared" si="118"/>
        <v>0</v>
      </c>
      <c r="X304" s="15">
        <f>'102_建筑'!O9</f>
        <v>981</v>
      </c>
    </row>
    <row r="305" spans="2:24">
      <c r="B305" s="1">
        <v>4</v>
      </c>
      <c r="C305" s="1">
        <f ca="1" t="shared" si="110"/>
        <v>0.3</v>
      </c>
      <c r="D305" s="1">
        <f ca="1" t="shared" si="111"/>
        <v>0.4</v>
      </c>
      <c r="E305" s="1">
        <f ca="1" t="shared" si="112"/>
        <v>0.1</v>
      </c>
      <c r="F305" s="51">
        <v>0.00012</v>
      </c>
      <c r="G305" s="48">
        <f t="shared" si="119"/>
        <v>1.33333333333333</v>
      </c>
      <c r="H305" s="51">
        <v>0.0005</v>
      </c>
      <c r="I305" s="48">
        <f t="shared" si="120"/>
        <v>1.66666666666667</v>
      </c>
      <c r="J305" s="30"/>
      <c r="K305" s="30">
        <v>18</v>
      </c>
      <c r="L305" s="30"/>
      <c r="M305" s="30"/>
      <c r="N305" s="30">
        <v>3</v>
      </c>
      <c r="O305" s="52">
        <v>0.005</v>
      </c>
      <c r="P305" s="15">
        <f ca="1" t="shared" si="113"/>
        <v>1</v>
      </c>
      <c r="Q305" s="15">
        <f ca="1" t="shared" si="114"/>
        <v>18</v>
      </c>
      <c r="R305" s="15">
        <f t="shared" si="121"/>
        <v>50</v>
      </c>
      <c r="S305" s="53">
        <f t="shared" si="122"/>
        <v>1</v>
      </c>
      <c r="T305" s="15">
        <f ca="1" t="shared" si="116"/>
        <v>3</v>
      </c>
      <c r="U305" s="54">
        <f t="shared" si="123"/>
        <v>0.015</v>
      </c>
      <c r="V305" s="1">
        <f ca="1" t="shared" si="117"/>
        <v>0.4</v>
      </c>
      <c r="W305" s="55">
        <f ca="1" t="shared" si="118"/>
        <v>0</v>
      </c>
      <c r="X305" s="15">
        <f>'102_建筑'!O10</f>
        <v>1785</v>
      </c>
    </row>
    <row r="306" spans="2:24">
      <c r="B306" s="1">
        <v>5</v>
      </c>
      <c r="C306" s="1">
        <f ca="1" t="shared" si="110"/>
        <v>0.4</v>
      </c>
      <c r="D306" s="1">
        <f ca="1" t="shared" si="111"/>
        <v>0.5</v>
      </c>
      <c r="E306" s="1">
        <f ca="1" t="shared" si="112"/>
        <v>0.1</v>
      </c>
      <c r="F306" s="51">
        <v>0.0002</v>
      </c>
      <c r="G306" s="48">
        <f t="shared" si="119"/>
        <v>1.66666666666667</v>
      </c>
      <c r="H306" s="51">
        <v>0.0008</v>
      </c>
      <c r="I306" s="48">
        <f t="shared" si="120"/>
        <v>1.6</v>
      </c>
      <c r="J306" s="30"/>
      <c r="K306" s="30">
        <v>21</v>
      </c>
      <c r="L306" s="30">
        <v>20</v>
      </c>
      <c r="M306" s="30"/>
      <c r="N306" s="30"/>
      <c r="O306" s="52">
        <v>0.005</v>
      </c>
      <c r="P306" s="15">
        <f ca="1" t="shared" si="113"/>
        <v>1</v>
      </c>
      <c r="Q306" s="15">
        <f ca="1" t="shared" si="114"/>
        <v>21</v>
      </c>
      <c r="R306" s="15">
        <f t="shared" si="121"/>
        <v>70</v>
      </c>
      <c r="S306" s="53">
        <f t="shared" si="122"/>
        <v>1</v>
      </c>
      <c r="T306" s="15">
        <f ca="1" t="shared" si="116"/>
        <v>3</v>
      </c>
      <c r="U306" s="54">
        <f t="shared" si="123"/>
        <v>0.02</v>
      </c>
      <c r="V306" s="1">
        <f ca="1" t="shared" si="117"/>
        <v>0.5</v>
      </c>
      <c r="W306" s="55">
        <f ca="1" t="shared" si="118"/>
        <v>0</v>
      </c>
      <c r="X306" s="15">
        <f>'102_建筑'!O11</f>
        <v>3075</v>
      </c>
    </row>
    <row r="307" spans="2:24">
      <c r="B307" s="1">
        <v>6</v>
      </c>
      <c r="C307" s="1">
        <f ca="1" t="shared" si="110"/>
        <v>0.5</v>
      </c>
      <c r="D307" s="1">
        <f ca="1" t="shared" si="111"/>
        <v>0.6</v>
      </c>
      <c r="E307" s="1">
        <f ca="1" t="shared" si="112"/>
        <v>0.1</v>
      </c>
      <c r="F307" s="51">
        <v>0.0004</v>
      </c>
      <c r="G307" s="48">
        <f t="shared" si="119"/>
        <v>2</v>
      </c>
      <c r="H307" s="51">
        <v>0.0015</v>
      </c>
      <c r="I307" s="48">
        <f t="shared" si="120"/>
        <v>1.875</v>
      </c>
      <c r="J307" s="30"/>
      <c r="K307" s="30">
        <v>24</v>
      </c>
      <c r="L307" s="30"/>
      <c r="M307" s="30"/>
      <c r="N307" s="30"/>
      <c r="O307" s="52">
        <v>0.005</v>
      </c>
      <c r="P307" s="15">
        <f ca="1" t="shared" si="113"/>
        <v>1</v>
      </c>
      <c r="Q307" s="15">
        <f ca="1" t="shared" si="114"/>
        <v>24</v>
      </c>
      <c r="R307" s="15">
        <f t="shared" si="121"/>
        <v>70</v>
      </c>
      <c r="S307" s="53">
        <f t="shared" si="122"/>
        <v>1</v>
      </c>
      <c r="T307" s="15">
        <f ca="1" t="shared" si="116"/>
        <v>3</v>
      </c>
      <c r="U307" s="54">
        <f t="shared" si="123"/>
        <v>0.025</v>
      </c>
      <c r="V307" s="1">
        <f ca="1" t="shared" si="117"/>
        <v>0.6</v>
      </c>
      <c r="W307" s="55">
        <f ca="1" t="shared" si="118"/>
        <v>0</v>
      </c>
      <c r="X307" s="15">
        <f>'102_建筑'!O12</f>
        <v>5505</v>
      </c>
    </row>
    <row r="308" spans="2:24">
      <c r="B308" s="1">
        <v>7</v>
      </c>
      <c r="C308" s="1">
        <f ca="1" t="shared" si="110"/>
        <v>0.6</v>
      </c>
      <c r="D308" s="1">
        <f ca="1" t="shared" si="111"/>
        <v>0.8</v>
      </c>
      <c r="E308" s="1">
        <f ca="1" t="shared" si="112"/>
        <v>0.2</v>
      </c>
      <c r="F308" s="51">
        <v>0.0006</v>
      </c>
      <c r="G308" s="48">
        <f t="shared" si="119"/>
        <v>1.5</v>
      </c>
      <c r="H308" s="51">
        <v>0.003</v>
      </c>
      <c r="I308" s="48">
        <f t="shared" si="120"/>
        <v>2</v>
      </c>
      <c r="J308" s="30">
        <v>2</v>
      </c>
      <c r="K308" s="30">
        <v>27</v>
      </c>
      <c r="L308" s="30"/>
      <c r="M308" s="43">
        <v>0.02</v>
      </c>
      <c r="N308" s="30"/>
      <c r="O308" s="52">
        <v>0.005</v>
      </c>
      <c r="P308" s="15">
        <f ca="1" t="shared" si="113"/>
        <v>2</v>
      </c>
      <c r="Q308" s="15">
        <f ca="1" t="shared" si="114"/>
        <v>27</v>
      </c>
      <c r="R308" s="15">
        <f t="shared" si="121"/>
        <v>70</v>
      </c>
      <c r="S308" s="53">
        <f t="shared" si="122"/>
        <v>1.02</v>
      </c>
      <c r="T308" s="15">
        <f ca="1" t="shared" si="116"/>
        <v>3</v>
      </c>
      <c r="U308" s="54">
        <f t="shared" si="123"/>
        <v>0.03</v>
      </c>
      <c r="V308" s="1">
        <f ca="1" t="shared" si="117"/>
        <v>0.8</v>
      </c>
      <c r="W308" s="55">
        <f ca="1" t="shared" si="118"/>
        <v>0</v>
      </c>
      <c r="X308" s="15">
        <f>'102_建筑'!O13</f>
        <v>10275</v>
      </c>
    </row>
    <row r="309" spans="2:24">
      <c r="B309" s="1">
        <v>8</v>
      </c>
      <c r="C309" s="1">
        <f ca="1" t="shared" si="110"/>
        <v>0.8</v>
      </c>
      <c r="D309" s="1">
        <f ca="1" t="shared" si="111"/>
        <v>1</v>
      </c>
      <c r="E309" s="1">
        <f ca="1" t="shared" si="112"/>
        <v>0.2</v>
      </c>
      <c r="F309" s="51">
        <v>0.0008</v>
      </c>
      <c r="G309" s="48">
        <f t="shared" si="119"/>
        <v>1.33333333333333</v>
      </c>
      <c r="H309" s="51">
        <v>0.004</v>
      </c>
      <c r="I309" s="48">
        <f t="shared" si="120"/>
        <v>1.33333333333333</v>
      </c>
      <c r="J309" s="30"/>
      <c r="K309" s="30">
        <v>30</v>
      </c>
      <c r="L309" s="30"/>
      <c r="M309" s="30"/>
      <c r="N309" s="30">
        <v>4</v>
      </c>
      <c r="O309" s="52">
        <v>0.005</v>
      </c>
      <c r="P309" s="15">
        <f ca="1" t="shared" si="113"/>
        <v>2</v>
      </c>
      <c r="Q309" s="15">
        <f ca="1" t="shared" si="114"/>
        <v>30</v>
      </c>
      <c r="R309" s="15">
        <f t="shared" si="121"/>
        <v>70</v>
      </c>
      <c r="S309" s="53">
        <f t="shared" si="122"/>
        <v>1.02</v>
      </c>
      <c r="T309" s="15">
        <f ca="1" t="shared" si="116"/>
        <v>4</v>
      </c>
      <c r="U309" s="54">
        <f t="shared" si="123"/>
        <v>0.035</v>
      </c>
      <c r="V309" s="1">
        <f ca="1" t="shared" si="117"/>
        <v>1</v>
      </c>
      <c r="W309" s="55">
        <f ca="1" t="shared" si="118"/>
        <v>0</v>
      </c>
      <c r="X309" s="15">
        <f>'102_建筑'!O14</f>
        <v>16635</v>
      </c>
    </row>
    <row r="310" spans="2:24">
      <c r="B310" s="1">
        <v>9</v>
      </c>
      <c r="C310" s="1">
        <f ca="1" t="shared" si="110"/>
        <v>1</v>
      </c>
      <c r="D310" s="1">
        <f ca="1" t="shared" si="111"/>
        <v>1.5</v>
      </c>
      <c r="E310" s="1">
        <f ca="1" t="shared" si="112"/>
        <v>0.5</v>
      </c>
      <c r="F310" s="51">
        <v>0.001</v>
      </c>
      <c r="G310" s="48">
        <f t="shared" si="119"/>
        <v>1.25</v>
      </c>
      <c r="H310" s="51">
        <v>0.005</v>
      </c>
      <c r="I310" s="48">
        <f t="shared" si="120"/>
        <v>1.25</v>
      </c>
      <c r="J310" s="30"/>
      <c r="K310" s="30">
        <v>33</v>
      </c>
      <c r="L310" s="30">
        <v>20</v>
      </c>
      <c r="M310" s="30"/>
      <c r="N310" s="30"/>
      <c r="O310" s="52">
        <v>0.005</v>
      </c>
      <c r="P310" s="15">
        <f ca="1" t="shared" si="113"/>
        <v>2</v>
      </c>
      <c r="Q310" s="15">
        <f ca="1" t="shared" si="114"/>
        <v>33</v>
      </c>
      <c r="R310" s="15">
        <f t="shared" si="121"/>
        <v>90</v>
      </c>
      <c r="S310" s="53">
        <f t="shared" si="122"/>
        <v>1.02</v>
      </c>
      <c r="T310" s="15">
        <f ca="1" t="shared" si="116"/>
        <v>4</v>
      </c>
      <c r="U310" s="54">
        <f t="shared" si="123"/>
        <v>0.04</v>
      </c>
      <c r="V310" s="1">
        <f ca="1" t="shared" si="117"/>
        <v>1.5</v>
      </c>
      <c r="W310" s="55">
        <f ca="1" t="shared" si="118"/>
        <v>0</v>
      </c>
      <c r="X310" s="15">
        <f>'102_建筑'!O15</f>
        <v>24585</v>
      </c>
    </row>
    <row r="311" spans="2:24">
      <c r="B311" s="1">
        <v>10</v>
      </c>
      <c r="C311" s="1">
        <f ca="1" t="shared" si="110"/>
        <v>1.5</v>
      </c>
      <c r="D311" s="1">
        <f ca="1" t="shared" si="111"/>
        <v>2</v>
      </c>
      <c r="E311" s="1">
        <f ca="1" t="shared" si="112"/>
        <v>0.5</v>
      </c>
      <c r="F311" s="51">
        <v>0.0014</v>
      </c>
      <c r="G311" s="48">
        <f t="shared" si="119"/>
        <v>1.4</v>
      </c>
      <c r="H311" s="51">
        <v>0.006</v>
      </c>
      <c r="I311" s="48">
        <f t="shared" si="120"/>
        <v>1.2</v>
      </c>
      <c r="J311" s="30"/>
      <c r="K311" s="30">
        <v>36</v>
      </c>
      <c r="L311" s="30"/>
      <c r="M311" s="30"/>
      <c r="N311" s="30"/>
      <c r="O311" s="52">
        <v>0.005</v>
      </c>
      <c r="P311" s="15">
        <f ca="1" t="shared" si="113"/>
        <v>2</v>
      </c>
      <c r="Q311" s="15">
        <f ca="1" t="shared" si="114"/>
        <v>36</v>
      </c>
      <c r="R311" s="15">
        <f t="shared" si="121"/>
        <v>90</v>
      </c>
      <c r="S311" s="53">
        <f t="shared" si="122"/>
        <v>1.02</v>
      </c>
      <c r="T311" s="15">
        <f ca="1" t="shared" si="116"/>
        <v>4</v>
      </c>
      <c r="U311" s="54">
        <f t="shared" si="123"/>
        <v>0.045</v>
      </c>
      <c r="V311" s="1">
        <f ca="1" t="shared" si="117"/>
        <v>2</v>
      </c>
      <c r="W311" s="55">
        <f ca="1" t="shared" si="118"/>
        <v>0</v>
      </c>
      <c r="X311" s="15">
        <f>'102_建筑'!O16</f>
        <v>34215</v>
      </c>
    </row>
    <row r="312" spans="2:24">
      <c r="B312" s="1">
        <v>11</v>
      </c>
      <c r="C312" s="1">
        <f ca="1" t="shared" si="110"/>
        <v>2</v>
      </c>
      <c r="D312" s="1">
        <f ca="1" t="shared" si="111"/>
        <v>2.5</v>
      </c>
      <c r="E312" s="1">
        <f ca="1" t="shared" si="112"/>
        <v>0.5</v>
      </c>
      <c r="F312" s="51">
        <v>0.0018</v>
      </c>
      <c r="G312" s="48">
        <f t="shared" si="119"/>
        <v>1.28571428571429</v>
      </c>
      <c r="H312" s="51">
        <v>0.007</v>
      </c>
      <c r="I312" s="48">
        <f t="shared" si="120"/>
        <v>1.16666666666667</v>
      </c>
      <c r="J312" s="30"/>
      <c r="K312" s="30">
        <v>39</v>
      </c>
      <c r="L312" s="30"/>
      <c r="M312" s="43">
        <v>0.02</v>
      </c>
      <c r="N312" s="30"/>
      <c r="O312" s="52">
        <v>0.005</v>
      </c>
      <c r="P312" s="15">
        <f ca="1" t="shared" si="113"/>
        <v>2</v>
      </c>
      <c r="Q312" s="15">
        <f ca="1" t="shared" si="114"/>
        <v>39</v>
      </c>
      <c r="R312" s="15">
        <f t="shared" si="121"/>
        <v>90</v>
      </c>
      <c r="S312" s="53">
        <f t="shared" si="122"/>
        <v>1.04</v>
      </c>
      <c r="T312" s="15">
        <f ca="1" t="shared" si="116"/>
        <v>4</v>
      </c>
      <c r="U312" s="54">
        <f t="shared" si="123"/>
        <v>0.05</v>
      </c>
      <c r="V312" s="1">
        <f ca="1" t="shared" si="117"/>
        <v>2.5</v>
      </c>
      <c r="W312" s="55">
        <f ca="1" t="shared" si="118"/>
        <v>0</v>
      </c>
      <c r="X312" s="15">
        <f>'102_建筑'!O17</f>
        <v>45525</v>
      </c>
    </row>
    <row r="313" spans="2:24">
      <c r="B313" s="1">
        <v>12</v>
      </c>
      <c r="C313" s="1">
        <f ca="1" t="shared" si="110"/>
        <v>2.5</v>
      </c>
      <c r="D313" s="1">
        <f ca="1" t="shared" si="111"/>
        <v>3</v>
      </c>
      <c r="E313" s="1">
        <f ca="1" t="shared" si="112"/>
        <v>0.5</v>
      </c>
      <c r="F313" s="51">
        <v>0.002</v>
      </c>
      <c r="G313" s="48">
        <f t="shared" si="119"/>
        <v>1.11111111111111</v>
      </c>
      <c r="H313" s="51">
        <v>0.008</v>
      </c>
      <c r="I313" s="48">
        <f t="shared" si="120"/>
        <v>1.14285714285714</v>
      </c>
      <c r="J313" s="30"/>
      <c r="K313" s="30">
        <v>42</v>
      </c>
      <c r="L313" s="30"/>
      <c r="M313" s="30"/>
      <c r="N313" s="30"/>
      <c r="O313" s="52">
        <v>0.005</v>
      </c>
      <c r="P313" s="15">
        <f ca="1" t="shared" si="113"/>
        <v>2</v>
      </c>
      <c r="Q313" s="15">
        <f ca="1" t="shared" si="114"/>
        <v>42</v>
      </c>
      <c r="R313" s="15">
        <f t="shared" si="121"/>
        <v>90</v>
      </c>
      <c r="S313" s="53">
        <f t="shared" si="122"/>
        <v>1.04</v>
      </c>
      <c r="T313" s="15">
        <f ca="1" t="shared" si="116"/>
        <v>4</v>
      </c>
      <c r="U313" s="54">
        <f t="shared" si="123"/>
        <v>0.055</v>
      </c>
      <c r="V313" s="1">
        <f ca="1" t="shared" si="117"/>
        <v>3</v>
      </c>
      <c r="W313" s="55">
        <f ca="1" t="shared" si="118"/>
        <v>0.1</v>
      </c>
      <c r="X313" s="15">
        <f>'102_建筑'!O18</f>
        <v>58425</v>
      </c>
    </row>
    <row r="314" spans="2:24">
      <c r="B314" s="1">
        <v>13</v>
      </c>
      <c r="C314" s="1">
        <f ca="1" t="shared" si="110"/>
        <v>3</v>
      </c>
      <c r="D314" s="1">
        <f ca="1" t="shared" si="111"/>
        <v>4</v>
      </c>
      <c r="E314" s="1">
        <f ca="1" t="shared" si="112"/>
        <v>1</v>
      </c>
      <c r="F314" s="51">
        <v>0.003</v>
      </c>
      <c r="G314" s="48">
        <f t="shared" si="119"/>
        <v>1.5</v>
      </c>
      <c r="H314" s="51">
        <v>0.01</v>
      </c>
      <c r="I314" s="48">
        <f t="shared" si="120"/>
        <v>1.25</v>
      </c>
      <c r="J314" s="30"/>
      <c r="K314" s="30">
        <v>45</v>
      </c>
      <c r="L314" s="30"/>
      <c r="M314" s="30"/>
      <c r="N314" s="30">
        <v>6</v>
      </c>
      <c r="O314" s="52">
        <v>0.005</v>
      </c>
      <c r="P314" s="15">
        <f ca="1" t="shared" si="113"/>
        <v>2</v>
      </c>
      <c r="Q314" s="15">
        <f ca="1" t="shared" si="114"/>
        <v>45</v>
      </c>
      <c r="R314" s="15">
        <f t="shared" si="121"/>
        <v>90</v>
      </c>
      <c r="S314" s="53">
        <f t="shared" si="122"/>
        <v>1.04</v>
      </c>
      <c r="T314" s="15">
        <f ca="1" t="shared" si="116"/>
        <v>6</v>
      </c>
      <c r="U314" s="54">
        <f t="shared" si="123"/>
        <v>0.06</v>
      </c>
      <c r="V314" s="1">
        <f ca="1" t="shared" si="117"/>
        <v>4</v>
      </c>
      <c r="W314" s="55">
        <f ca="1" t="shared" si="118"/>
        <v>0.1</v>
      </c>
      <c r="X314" s="15">
        <f>'102_建筑'!O19</f>
        <v>74775</v>
      </c>
    </row>
    <row r="315" spans="2:24">
      <c r="B315" s="1">
        <v>14</v>
      </c>
      <c r="C315" s="1">
        <f ca="1" t="shared" si="110"/>
        <v>4</v>
      </c>
      <c r="D315" s="1">
        <f ca="1" t="shared" si="111"/>
        <v>5</v>
      </c>
      <c r="E315" s="1">
        <f ca="1" t="shared" si="112"/>
        <v>1</v>
      </c>
      <c r="F315" s="51">
        <v>0.006</v>
      </c>
      <c r="G315" s="48">
        <f t="shared" si="119"/>
        <v>2</v>
      </c>
      <c r="H315" s="51">
        <v>0.015</v>
      </c>
      <c r="I315" s="48">
        <f t="shared" si="120"/>
        <v>1.5</v>
      </c>
      <c r="J315" s="30"/>
      <c r="K315" s="30">
        <v>48</v>
      </c>
      <c r="L315" s="30">
        <v>30</v>
      </c>
      <c r="M315" s="30"/>
      <c r="N315" s="30"/>
      <c r="O315" s="52">
        <v>0.005</v>
      </c>
      <c r="P315" s="15">
        <f ca="1" t="shared" si="113"/>
        <v>2</v>
      </c>
      <c r="Q315" s="15">
        <f ca="1" t="shared" si="114"/>
        <v>48</v>
      </c>
      <c r="R315" s="15">
        <f t="shared" si="121"/>
        <v>120</v>
      </c>
      <c r="S315" s="53">
        <f t="shared" si="122"/>
        <v>1.04</v>
      </c>
      <c r="T315" s="15">
        <f ca="1" t="shared" si="116"/>
        <v>6</v>
      </c>
      <c r="U315" s="54">
        <f t="shared" si="123"/>
        <v>0.065</v>
      </c>
      <c r="V315" s="1">
        <f ca="1" t="shared" si="117"/>
        <v>5</v>
      </c>
      <c r="W315" s="55">
        <f ca="1" t="shared" si="118"/>
        <v>0.1</v>
      </c>
      <c r="X315" s="15">
        <f>'102_建筑'!O20</f>
        <v>99975</v>
      </c>
    </row>
    <row r="316" spans="2:24">
      <c r="B316" s="1">
        <v>15</v>
      </c>
      <c r="C316" s="1">
        <f ca="1" t="shared" si="110"/>
        <v>5</v>
      </c>
      <c r="D316" s="1">
        <f ca="1" t="shared" si="111"/>
        <v>7</v>
      </c>
      <c r="E316" s="1">
        <f ca="1" t="shared" si="112"/>
        <v>2</v>
      </c>
      <c r="F316" s="51">
        <v>0.01</v>
      </c>
      <c r="G316" s="48">
        <f t="shared" si="119"/>
        <v>1.66666666666667</v>
      </c>
      <c r="H316" s="51">
        <v>0.02</v>
      </c>
      <c r="I316" s="48">
        <f t="shared" si="120"/>
        <v>1.33333333333333</v>
      </c>
      <c r="J316" s="30">
        <v>3</v>
      </c>
      <c r="K316" s="30">
        <v>51</v>
      </c>
      <c r="L316" s="30"/>
      <c r="M316" s="30"/>
      <c r="N316" s="30"/>
      <c r="O316" s="52">
        <v>0.005</v>
      </c>
      <c r="P316" s="15">
        <f ca="1" t="shared" si="113"/>
        <v>3</v>
      </c>
      <c r="Q316" s="15">
        <f ca="1" t="shared" si="114"/>
        <v>51</v>
      </c>
      <c r="R316" s="15">
        <f t="shared" si="121"/>
        <v>120</v>
      </c>
      <c r="S316" s="53">
        <f t="shared" si="122"/>
        <v>1.04</v>
      </c>
      <c r="T316" s="15">
        <f ca="1" t="shared" si="116"/>
        <v>6</v>
      </c>
      <c r="U316" s="54">
        <f t="shared" si="123"/>
        <v>0.07</v>
      </c>
      <c r="V316" s="1">
        <f ca="1" t="shared" si="117"/>
        <v>7</v>
      </c>
      <c r="W316" s="55">
        <f ca="1" t="shared" si="118"/>
        <v>0.1</v>
      </c>
      <c r="X316" s="15">
        <f>'102_建筑'!O21</f>
        <v>134475</v>
      </c>
    </row>
    <row r="317" spans="2:24">
      <c r="B317" s="1">
        <v>16</v>
      </c>
      <c r="C317" s="1">
        <f ca="1" t="shared" si="110"/>
        <v>7</v>
      </c>
      <c r="D317" s="1">
        <f ca="1" t="shared" si="111"/>
        <v>9</v>
      </c>
      <c r="E317" s="1">
        <f ca="1" t="shared" si="112"/>
        <v>2</v>
      </c>
      <c r="F317" s="51">
        <v>0.012</v>
      </c>
      <c r="G317" s="48">
        <f t="shared" si="119"/>
        <v>1.2</v>
      </c>
      <c r="H317" s="51">
        <v>0.025</v>
      </c>
      <c r="I317" s="48">
        <f t="shared" si="120"/>
        <v>1.25</v>
      </c>
      <c r="J317" s="30"/>
      <c r="K317" s="30">
        <v>54</v>
      </c>
      <c r="L317" s="30"/>
      <c r="M317" s="43">
        <v>0.02</v>
      </c>
      <c r="N317" s="30"/>
      <c r="O317" s="52">
        <v>0.005</v>
      </c>
      <c r="P317" s="15">
        <f ca="1" t="shared" si="113"/>
        <v>3</v>
      </c>
      <c r="Q317" s="15">
        <f ca="1" t="shared" si="114"/>
        <v>54</v>
      </c>
      <c r="R317" s="15">
        <f t="shared" si="121"/>
        <v>120</v>
      </c>
      <c r="S317" s="53">
        <f t="shared" si="122"/>
        <v>1.06</v>
      </c>
      <c r="T317" s="15">
        <f ca="1" t="shared" si="116"/>
        <v>6</v>
      </c>
      <c r="U317" s="54">
        <f t="shared" si="123"/>
        <v>0.075</v>
      </c>
      <c r="V317" s="1">
        <f ca="1" t="shared" si="117"/>
        <v>9</v>
      </c>
      <c r="W317" s="55">
        <f ca="1" t="shared" si="118"/>
        <v>0.1</v>
      </c>
      <c r="X317" s="15">
        <f>'102_建筑'!O22</f>
        <v>177375</v>
      </c>
    </row>
    <row r="318" spans="2:24">
      <c r="B318" s="1">
        <v>17</v>
      </c>
      <c r="C318" s="1">
        <f ca="1" t="shared" si="110"/>
        <v>9</v>
      </c>
      <c r="D318" s="1">
        <f ca="1" t="shared" si="111"/>
        <v>11</v>
      </c>
      <c r="E318" s="1">
        <f ca="1" t="shared" si="112"/>
        <v>2</v>
      </c>
      <c r="F318" s="51">
        <v>0.014</v>
      </c>
      <c r="G318" s="48">
        <f t="shared" si="119"/>
        <v>1.16666666666667</v>
      </c>
      <c r="H318" s="51">
        <v>0.03</v>
      </c>
      <c r="I318" s="48">
        <f t="shared" si="120"/>
        <v>1.2</v>
      </c>
      <c r="J318" s="30"/>
      <c r="K318" s="30">
        <v>57</v>
      </c>
      <c r="L318" s="30"/>
      <c r="M318" s="30"/>
      <c r="N318" s="30"/>
      <c r="O318" s="52">
        <v>0.005</v>
      </c>
      <c r="P318" s="15">
        <f ca="1" t="shared" si="113"/>
        <v>3</v>
      </c>
      <c r="Q318" s="15">
        <f ca="1" t="shared" si="114"/>
        <v>57</v>
      </c>
      <c r="R318" s="15">
        <f t="shared" si="121"/>
        <v>120</v>
      </c>
      <c r="S318" s="53">
        <f t="shared" si="122"/>
        <v>1.06</v>
      </c>
      <c r="T318" s="15">
        <f ca="1" t="shared" si="116"/>
        <v>6</v>
      </c>
      <c r="U318" s="54">
        <f t="shared" si="123"/>
        <v>0.08</v>
      </c>
      <c r="V318" s="1">
        <f ca="1" t="shared" si="117"/>
        <v>11</v>
      </c>
      <c r="W318" s="55">
        <f ca="1" t="shared" si="118"/>
        <v>0.1</v>
      </c>
      <c r="X318" s="15">
        <f>'102_建筑'!O23</f>
        <v>228675</v>
      </c>
    </row>
    <row r="319" spans="2:24">
      <c r="B319" s="1">
        <v>18</v>
      </c>
      <c r="C319" s="1">
        <f ca="1" t="shared" si="110"/>
        <v>11</v>
      </c>
      <c r="D319" s="1">
        <f ca="1" t="shared" si="111"/>
        <v>14</v>
      </c>
      <c r="E319" s="1">
        <f ca="1" t="shared" si="112"/>
        <v>3</v>
      </c>
      <c r="F319" s="51">
        <v>0.022</v>
      </c>
      <c r="G319" s="48">
        <f t="shared" si="119"/>
        <v>1.57142857142857</v>
      </c>
      <c r="H319" s="51">
        <v>0.035</v>
      </c>
      <c r="I319" s="48">
        <f t="shared" si="120"/>
        <v>1.16666666666667</v>
      </c>
      <c r="J319" s="30"/>
      <c r="K319" s="30">
        <v>60</v>
      </c>
      <c r="L319" s="30">
        <v>30</v>
      </c>
      <c r="M319" s="30"/>
      <c r="N319" s="30"/>
      <c r="O319" s="52">
        <v>0.005</v>
      </c>
      <c r="P319" s="15">
        <f ca="1" t="shared" si="113"/>
        <v>3</v>
      </c>
      <c r="Q319" s="15">
        <f ca="1" t="shared" si="114"/>
        <v>60</v>
      </c>
      <c r="R319" s="15">
        <f t="shared" si="121"/>
        <v>150</v>
      </c>
      <c r="S319" s="53">
        <f t="shared" si="122"/>
        <v>1.06</v>
      </c>
      <c r="T319" s="15">
        <f ca="1" t="shared" si="116"/>
        <v>6</v>
      </c>
      <c r="U319" s="54">
        <f t="shared" si="123"/>
        <v>0.085</v>
      </c>
      <c r="V319" s="1">
        <f ca="1" t="shared" si="117"/>
        <v>14</v>
      </c>
      <c r="W319" s="55">
        <f ca="1" t="shared" si="118"/>
        <v>0.1</v>
      </c>
      <c r="X319" s="15">
        <f>'102_建筑'!O24</f>
        <v>291075</v>
      </c>
    </row>
    <row r="320" spans="2:24">
      <c r="B320" s="1">
        <v>19</v>
      </c>
      <c r="C320" s="1">
        <f ca="1" t="shared" si="110"/>
        <v>14</v>
      </c>
      <c r="D320" s="1">
        <f ca="1" t="shared" si="111"/>
        <v>17</v>
      </c>
      <c r="E320" s="1">
        <f ca="1" t="shared" si="112"/>
        <v>3</v>
      </c>
      <c r="F320" s="51">
        <v>0.025</v>
      </c>
      <c r="G320" s="48">
        <f t="shared" si="119"/>
        <v>1.13636363636364</v>
      </c>
      <c r="H320" s="51">
        <v>0.04</v>
      </c>
      <c r="I320" s="48">
        <f t="shared" si="120"/>
        <v>1.14285714285714</v>
      </c>
      <c r="J320" s="30"/>
      <c r="K320" s="30">
        <v>63</v>
      </c>
      <c r="L320" s="30"/>
      <c r="M320" s="30"/>
      <c r="N320" s="30"/>
      <c r="O320" s="52">
        <v>0.005</v>
      </c>
      <c r="P320" s="15">
        <f ca="1" t="shared" si="113"/>
        <v>3</v>
      </c>
      <c r="Q320" s="15">
        <f ca="1" t="shared" si="114"/>
        <v>63</v>
      </c>
      <c r="R320" s="15">
        <f t="shared" si="121"/>
        <v>150</v>
      </c>
      <c r="S320" s="53">
        <f t="shared" si="122"/>
        <v>1.06</v>
      </c>
      <c r="T320" s="15">
        <f ca="1" t="shared" si="116"/>
        <v>6</v>
      </c>
      <c r="U320" s="54">
        <f t="shared" si="123"/>
        <v>0.09</v>
      </c>
      <c r="V320" s="1">
        <f ca="1" t="shared" si="117"/>
        <v>17</v>
      </c>
      <c r="W320" s="55">
        <f ca="1" t="shared" si="118"/>
        <v>0.1</v>
      </c>
      <c r="X320" s="15">
        <f>'102_建筑'!O25</f>
        <v>362325</v>
      </c>
    </row>
    <row r="321" spans="2:24">
      <c r="B321" s="1">
        <v>20</v>
      </c>
      <c r="C321" s="1">
        <f ca="1" t="shared" si="110"/>
        <v>17</v>
      </c>
      <c r="D321" s="1">
        <f ca="1" t="shared" si="111"/>
        <v>20</v>
      </c>
      <c r="E321" s="1">
        <f ca="1" t="shared" si="112"/>
        <v>3</v>
      </c>
      <c r="F321" s="51">
        <v>0.028</v>
      </c>
      <c r="G321" s="48">
        <f t="shared" si="119"/>
        <v>1.12</v>
      </c>
      <c r="H321" s="51">
        <v>0.045</v>
      </c>
      <c r="I321" s="48">
        <f t="shared" si="120"/>
        <v>1.125</v>
      </c>
      <c r="J321" s="30">
        <v>4</v>
      </c>
      <c r="K321" s="30">
        <v>66</v>
      </c>
      <c r="L321" s="30"/>
      <c r="M321" s="30"/>
      <c r="N321" s="30">
        <v>10</v>
      </c>
      <c r="O321" s="52">
        <v>0.01</v>
      </c>
      <c r="P321" s="15">
        <f ca="1" t="shared" si="113"/>
        <v>4</v>
      </c>
      <c r="Q321" s="15">
        <f ca="1" t="shared" si="114"/>
        <v>66</v>
      </c>
      <c r="R321" s="15">
        <f t="shared" si="121"/>
        <v>150</v>
      </c>
      <c r="S321" s="53">
        <f t="shared" si="122"/>
        <v>1.06</v>
      </c>
      <c r="T321" s="15">
        <f ca="1" t="shared" si="116"/>
        <v>10</v>
      </c>
      <c r="U321" s="54">
        <f t="shared" si="123"/>
        <v>0.1</v>
      </c>
      <c r="V321" s="1">
        <f ca="1" t="shared" si="117"/>
        <v>20</v>
      </c>
      <c r="W321" s="55">
        <f ca="1" t="shared" si="118"/>
        <v>0.35</v>
      </c>
      <c r="X321" s="15">
        <f>'102_建筑'!O26</f>
        <v>442425</v>
      </c>
    </row>
    <row r="322" spans="2:24">
      <c r="B322" s="1">
        <v>21</v>
      </c>
      <c r="C322" s="1">
        <f ca="1" t="shared" si="110"/>
        <v>20</v>
      </c>
      <c r="D322" s="1">
        <f ca="1" t="shared" si="111"/>
        <v>23</v>
      </c>
      <c r="E322" s="1">
        <f ca="1" t="shared" si="112"/>
        <v>3</v>
      </c>
      <c r="F322" s="51">
        <v>0.031</v>
      </c>
      <c r="G322" s="48">
        <f t="shared" si="119"/>
        <v>1.10714285714286</v>
      </c>
      <c r="H322" s="51">
        <v>0.05</v>
      </c>
      <c r="I322" s="48">
        <f t="shared" si="120"/>
        <v>1.11111111111111</v>
      </c>
      <c r="J322" s="30"/>
      <c r="K322" s="30">
        <v>69</v>
      </c>
      <c r="L322" s="30"/>
      <c r="M322" s="43">
        <v>0.02</v>
      </c>
      <c r="N322" s="30"/>
      <c r="O322" s="52">
        <v>0.01</v>
      </c>
      <c r="P322" s="15">
        <f ca="1" t="shared" si="113"/>
        <v>4</v>
      </c>
      <c r="Q322" s="15">
        <f ca="1" t="shared" si="114"/>
        <v>69</v>
      </c>
      <c r="R322" s="15">
        <f t="shared" si="121"/>
        <v>150</v>
      </c>
      <c r="S322" s="53">
        <f t="shared" si="122"/>
        <v>1.08</v>
      </c>
      <c r="T322" s="15">
        <f ca="1" t="shared" si="116"/>
        <v>10</v>
      </c>
      <c r="U322" s="54">
        <f t="shared" si="123"/>
        <v>0.11</v>
      </c>
      <c r="V322" s="1">
        <f ca="1" t="shared" si="117"/>
        <v>23</v>
      </c>
      <c r="W322" s="55">
        <f ca="1" t="shared" si="118"/>
        <v>0.35</v>
      </c>
      <c r="X322" s="15">
        <f>'102_建筑'!O27</f>
        <v>531375</v>
      </c>
    </row>
    <row r="323" spans="2:24">
      <c r="B323" s="1">
        <v>22</v>
      </c>
      <c r="C323" s="1">
        <f ca="1" t="shared" si="110"/>
        <v>23</v>
      </c>
      <c r="D323" s="1">
        <f ca="1" t="shared" si="111"/>
        <v>26</v>
      </c>
      <c r="E323" s="1">
        <f ca="1" t="shared" si="112"/>
        <v>3</v>
      </c>
      <c r="F323" s="51">
        <v>0.033</v>
      </c>
      <c r="G323" s="48">
        <f t="shared" si="119"/>
        <v>1.06451612903226</v>
      </c>
      <c r="H323" s="51">
        <v>0.055</v>
      </c>
      <c r="I323" s="48">
        <f t="shared" si="120"/>
        <v>1.1</v>
      </c>
      <c r="J323" s="30"/>
      <c r="K323" s="30">
        <v>72</v>
      </c>
      <c r="L323" s="30"/>
      <c r="M323" s="30"/>
      <c r="N323" s="30"/>
      <c r="O323" s="52">
        <v>0.01</v>
      </c>
      <c r="P323" s="15">
        <f ca="1" t="shared" si="113"/>
        <v>4</v>
      </c>
      <c r="Q323" s="15">
        <f ca="1" t="shared" si="114"/>
        <v>72</v>
      </c>
      <c r="R323" s="15">
        <f t="shared" si="121"/>
        <v>150</v>
      </c>
      <c r="S323" s="53">
        <f t="shared" si="122"/>
        <v>1.08</v>
      </c>
      <c r="T323" s="15">
        <f ca="1" t="shared" si="116"/>
        <v>10</v>
      </c>
      <c r="U323" s="54">
        <f t="shared" si="123"/>
        <v>0.12</v>
      </c>
      <c r="V323" s="1">
        <f ca="1" t="shared" si="117"/>
        <v>26</v>
      </c>
      <c r="W323" s="55">
        <f ca="1" t="shared" si="118"/>
        <v>0.35</v>
      </c>
      <c r="X323" s="15">
        <f>'102_建筑'!O28</f>
        <v>628725</v>
      </c>
    </row>
    <row r="324" spans="2:24">
      <c r="B324" s="1">
        <v>23</v>
      </c>
      <c r="C324" s="1">
        <f ca="1" t="shared" si="110"/>
        <v>26</v>
      </c>
      <c r="D324" s="1">
        <f ca="1" t="shared" si="111"/>
        <v>30</v>
      </c>
      <c r="E324" s="1">
        <f ca="1" t="shared" si="112"/>
        <v>4</v>
      </c>
      <c r="F324" s="51">
        <v>0.045</v>
      </c>
      <c r="G324" s="48">
        <f t="shared" si="119"/>
        <v>1.36363636363636</v>
      </c>
      <c r="H324" s="51">
        <v>0.06</v>
      </c>
      <c r="I324" s="48">
        <f t="shared" si="120"/>
        <v>1.09090909090909</v>
      </c>
      <c r="J324" s="30"/>
      <c r="K324" s="30">
        <v>75</v>
      </c>
      <c r="L324" s="30">
        <v>30</v>
      </c>
      <c r="M324" s="30"/>
      <c r="N324" s="30"/>
      <c r="O324" s="52">
        <v>0.01</v>
      </c>
      <c r="P324" s="15">
        <f ca="1" t="shared" si="113"/>
        <v>4</v>
      </c>
      <c r="Q324" s="15">
        <f ca="1" t="shared" si="114"/>
        <v>75</v>
      </c>
      <c r="R324" s="15">
        <f t="shared" si="121"/>
        <v>180</v>
      </c>
      <c r="S324" s="53">
        <f t="shared" si="122"/>
        <v>1.08</v>
      </c>
      <c r="T324" s="15">
        <f ca="1" t="shared" si="116"/>
        <v>10</v>
      </c>
      <c r="U324" s="54">
        <f t="shared" si="123"/>
        <v>0.13</v>
      </c>
      <c r="V324" s="1">
        <f ca="1" t="shared" si="117"/>
        <v>30</v>
      </c>
      <c r="W324" s="55">
        <f ca="1" t="shared" si="118"/>
        <v>0.4</v>
      </c>
      <c r="X324" s="15">
        <f>'102_建筑'!O29</f>
        <v>738975</v>
      </c>
    </row>
    <row r="325" spans="2:24">
      <c r="B325" s="1">
        <v>24</v>
      </c>
      <c r="C325" s="1">
        <f ca="1" t="shared" si="110"/>
        <v>30</v>
      </c>
      <c r="D325" s="1">
        <f ca="1" t="shared" si="111"/>
        <v>40</v>
      </c>
      <c r="E325" s="1">
        <f ca="1" t="shared" si="112"/>
        <v>10</v>
      </c>
      <c r="F325" s="51">
        <v>0.11</v>
      </c>
      <c r="G325" s="48">
        <f t="shared" si="119"/>
        <v>2.44444444444444</v>
      </c>
      <c r="H325" s="51">
        <v>0.1</v>
      </c>
      <c r="I325" s="48">
        <f t="shared" si="120"/>
        <v>1.66666666666667</v>
      </c>
      <c r="J325" s="30"/>
      <c r="K325" s="30">
        <v>78</v>
      </c>
      <c r="L325" s="30"/>
      <c r="M325" s="30"/>
      <c r="N325" s="30"/>
      <c r="O325" s="52">
        <v>0.01</v>
      </c>
      <c r="P325" s="15">
        <f ca="1" t="shared" si="113"/>
        <v>4</v>
      </c>
      <c r="Q325" s="15">
        <f ca="1" t="shared" si="114"/>
        <v>78</v>
      </c>
      <c r="R325" s="15">
        <f t="shared" si="121"/>
        <v>180</v>
      </c>
      <c r="S325" s="53">
        <f t="shared" si="122"/>
        <v>1.08</v>
      </c>
      <c r="T325" s="15">
        <f ca="1" t="shared" si="116"/>
        <v>10</v>
      </c>
      <c r="U325" s="54">
        <f t="shared" si="123"/>
        <v>0.14</v>
      </c>
      <c r="V325" s="1">
        <f ca="1" t="shared" si="117"/>
        <v>40</v>
      </c>
      <c r="W325" s="55">
        <f ca="1" t="shared" si="118"/>
        <v>0.4</v>
      </c>
      <c r="X325" s="15">
        <f>'102_建筑'!O30</f>
        <v>938475</v>
      </c>
    </row>
    <row r="326" spans="2:24">
      <c r="B326" s="1">
        <v>25</v>
      </c>
      <c r="C326" s="1">
        <f ca="1" t="shared" si="110"/>
        <v>40</v>
      </c>
      <c r="D326" s="1">
        <f ca="1" t="shared" si="111"/>
        <v>50</v>
      </c>
      <c r="E326" s="1">
        <f ca="1" t="shared" si="112"/>
        <v>10</v>
      </c>
      <c r="F326" s="51">
        <v>0.14</v>
      </c>
      <c r="G326" s="48">
        <f t="shared" si="119"/>
        <v>1.27272727272727</v>
      </c>
      <c r="H326" s="51">
        <v>0.15</v>
      </c>
      <c r="I326" s="48">
        <f t="shared" si="120"/>
        <v>1.5</v>
      </c>
      <c r="J326" s="30"/>
      <c r="K326" s="30">
        <v>81</v>
      </c>
      <c r="L326" s="30"/>
      <c r="M326" s="43">
        <v>0.02</v>
      </c>
      <c r="N326" s="30"/>
      <c r="O326" s="52">
        <v>0.01</v>
      </c>
      <c r="P326" s="15">
        <f ca="1" t="shared" si="113"/>
        <v>4</v>
      </c>
      <c r="Q326" s="15">
        <f ca="1" t="shared" si="114"/>
        <v>81</v>
      </c>
      <c r="R326" s="15">
        <f t="shared" si="121"/>
        <v>180</v>
      </c>
      <c r="S326" s="53">
        <f t="shared" si="122"/>
        <v>1.1</v>
      </c>
      <c r="T326" s="15">
        <f ca="1" t="shared" si="116"/>
        <v>10</v>
      </c>
      <c r="U326" s="54">
        <f t="shared" si="123"/>
        <v>0.15</v>
      </c>
      <c r="V326" s="1">
        <f ca="1" t="shared" si="117"/>
        <v>50</v>
      </c>
      <c r="W326" s="55">
        <f ca="1" t="shared" si="118"/>
        <v>0.4</v>
      </c>
      <c r="X326" s="15">
        <f>'102_建筑'!O31</f>
        <v>1226475</v>
      </c>
    </row>
    <row r="327" spans="2:24">
      <c r="B327" s="1">
        <v>26</v>
      </c>
      <c r="C327" s="1">
        <f ca="1" t="shared" si="110"/>
        <v>50</v>
      </c>
      <c r="D327" s="1">
        <f ca="1" t="shared" si="111"/>
        <v>60</v>
      </c>
      <c r="E327" s="1">
        <f ca="1" t="shared" si="112"/>
        <v>10</v>
      </c>
      <c r="F327" s="51">
        <v>0.16</v>
      </c>
      <c r="G327" s="48">
        <f t="shared" si="119"/>
        <v>1.14285714285714</v>
      </c>
      <c r="H327" s="51">
        <v>0.2</v>
      </c>
      <c r="I327" s="48">
        <f t="shared" si="120"/>
        <v>1.33333333333333</v>
      </c>
      <c r="J327" s="30"/>
      <c r="K327" s="30">
        <v>84</v>
      </c>
      <c r="L327" s="30"/>
      <c r="M327" s="30"/>
      <c r="N327" s="30"/>
      <c r="O327" s="52">
        <v>0.01</v>
      </c>
      <c r="P327" s="15">
        <f ca="1" t="shared" si="113"/>
        <v>4</v>
      </c>
      <c r="Q327" s="15">
        <f ca="1" t="shared" si="114"/>
        <v>84</v>
      </c>
      <c r="R327" s="15">
        <f t="shared" si="121"/>
        <v>180</v>
      </c>
      <c r="S327" s="53">
        <f t="shared" si="122"/>
        <v>1.1</v>
      </c>
      <c r="T327" s="15">
        <f ca="1" t="shared" si="116"/>
        <v>10</v>
      </c>
      <c r="U327" s="54">
        <f t="shared" si="123"/>
        <v>0.16</v>
      </c>
      <c r="V327" s="1">
        <f ca="1" t="shared" si="117"/>
        <v>60</v>
      </c>
      <c r="W327" s="55">
        <f ca="1" t="shared" si="118"/>
        <v>0.4</v>
      </c>
      <c r="X327" s="15">
        <f>'102_建筑'!O32</f>
        <v>1598475</v>
      </c>
    </row>
    <row r="328" spans="2:24">
      <c r="B328" s="1">
        <v>27</v>
      </c>
      <c r="C328" s="1">
        <f ca="1" t="shared" si="110"/>
        <v>60</v>
      </c>
      <c r="D328" s="1">
        <f ca="1" t="shared" si="111"/>
        <v>90</v>
      </c>
      <c r="E328" s="1">
        <f ca="1" t="shared" si="112"/>
        <v>30</v>
      </c>
      <c r="F328" s="51">
        <v>0.4</v>
      </c>
      <c r="G328" s="48">
        <f t="shared" si="119"/>
        <v>2.5</v>
      </c>
      <c r="H328" s="51">
        <v>0.4</v>
      </c>
      <c r="I328" s="48">
        <f t="shared" si="120"/>
        <v>2</v>
      </c>
      <c r="J328" s="30"/>
      <c r="K328" s="30">
        <v>87</v>
      </c>
      <c r="L328" s="30"/>
      <c r="M328" s="30"/>
      <c r="N328" s="30">
        <v>15</v>
      </c>
      <c r="O328" s="52">
        <v>0.015</v>
      </c>
      <c r="P328" s="15">
        <f ca="1" t="shared" si="113"/>
        <v>4</v>
      </c>
      <c r="Q328" s="15">
        <f ca="1" t="shared" si="114"/>
        <v>87</v>
      </c>
      <c r="R328" s="15">
        <f t="shared" si="121"/>
        <v>180</v>
      </c>
      <c r="S328" s="53">
        <f t="shared" si="122"/>
        <v>1.1</v>
      </c>
      <c r="T328" s="15">
        <f ca="1" t="shared" si="116"/>
        <v>15</v>
      </c>
      <c r="U328" s="54">
        <f t="shared" si="123"/>
        <v>0.175</v>
      </c>
      <c r="V328" s="1">
        <f ca="1" t="shared" si="117"/>
        <v>90</v>
      </c>
      <c r="W328" s="55">
        <f ca="1" t="shared" si="118"/>
        <v>0.55</v>
      </c>
      <c r="X328" s="15">
        <f>'102_建筑'!O33</f>
        <v>2378475</v>
      </c>
    </row>
    <row r="329" spans="2:24">
      <c r="B329" s="1">
        <v>28</v>
      </c>
      <c r="C329" s="1">
        <f ca="1" t="shared" si="110"/>
        <v>90</v>
      </c>
      <c r="D329" s="1">
        <f ca="1" t="shared" si="111"/>
        <v>120</v>
      </c>
      <c r="E329" s="1">
        <f ca="1" t="shared" si="112"/>
        <v>30</v>
      </c>
      <c r="F329" s="51">
        <v>0.5</v>
      </c>
      <c r="G329" s="48">
        <f t="shared" si="119"/>
        <v>1.25</v>
      </c>
      <c r="H329" s="51">
        <v>0.6</v>
      </c>
      <c r="I329" s="48">
        <f t="shared" si="120"/>
        <v>1.5</v>
      </c>
      <c r="J329" s="30"/>
      <c r="K329" s="30">
        <v>90</v>
      </c>
      <c r="L329" s="30">
        <v>30</v>
      </c>
      <c r="M329" s="30"/>
      <c r="N329" s="30"/>
      <c r="O329" s="52">
        <v>0.015</v>
      </c>
      <c r="P329" s="15">
        <f ca="1" t="shared" si="113"/>
        <v>4</v>
      </c>
      <c r="Q329" s="15">
        <f ca="1" t="shared" si="114"/>
        <v>90</v>
      </c>
      <c r="R329" s="15">
        <f t="shared" si="121"/>
        <v>210</v>
      </c>
      <c r="S329" s="53">
        <f t="shared" si="122"/>
        <v>1.1</v>
      </c>
      <c r="T329" s="15">
        <f ca="1" t="shared" si="116"/>
        <v>15</v>
      </c>
      <c r="U329" s="54">
        <f t="shared" si="123"/>
        <v>0.19</v>
      </c>
      <c r="V329" s="1">
        <f ca="1" t="shared" si="117"/>
        <v>120</v>
      </c>
      <c r="W329" s="55">
        <f ca="1" t="shared" si="118"/>
        <v>0.8</v>
      </c>
      <c r="X329" s="15">
        <f>'102_建筑'!O34</f>
        <v>3503475</v>
      </c>
    </row>
    <row r="330" spans="2:24">
      <c r="B330" s="1">
        <v>29</v>
      </c>
      <c r="C330" s="1">
        <f ca="1" t="shared" si="110"/>
        <v>120</v>
      </c>
      <c r="D330" s="1">
        <f ca="1" t="shared" si="111"/>
        <v>180</v>
      </c>
      <c r="E330" s="1">
        <f ca="1" t="shared" si="112"/>
        <v>60</v>
      </c>
      <c r="F330" s="56">
        <v>0.95</v>
      </c>
      <c r="G330" s="48">
        <f t="shared" si="119"/>
        <v>1.9</v>
      </c>
      <c r="H330" s="56">
        <v>0.95</v>
      </c>
      <c r="I330" s="48">
        <f t="shared" si="120"/>
        <v>1.58333333333333</v>
      </c>
      <c r="J330" s="30"/>
      <c r="K330" s="30">
        <v>93</v>
      </c>
      <c r="L330" s="30"/>
      <c r="M330" s="30"/>
      <c r="N330" s="30"/>
      <c r="O330" s="52">
        <v>0.015</v>
      </c>
      <c r="P330" s="15">
        <f ca="1" t="shared" si="113"/>
        <v>4</v>
      </c>
      <c r="Q330" s="15">
        <f ca="1" t="shared" si="114"/>
        <v>93</v>
      </c>
      <c r="R330" s="15">
        <f t="shared" si="121"/>
        <v>210</v>
      </c>
      <c r="S330" s="53">
        <f t="shared" si="122"/>
        <v>1.1</v>
      </c>
      <c r="T330" s="15">
        <f ca="1" t="shared" si="116"/>
        <v>15</v>
      </c>
      <c r="U330" s="54">
        <f t="shared" si="123"/>
        <v>0.205</v>
      </c>
      <c r="V330" s="1">
        <f ca="1" t="shared" si="117"/>
        <v>180</v>
      </c>
      <c r="W330" s="55">
        <f ca="1" t="shared" si="118"/>
        <v>0.85</v>
      </c>
      <c r="X330" s="15">
        <f>'102_建筑'!O35</f>
        <v>5355975</v>
      </c>
    </row>
    <row r="331" spans="2:24">
      <c r="B331" s="1">
        <v>30</v>
      </c>
      <c r="C331" s="1">
        <f ca="1" t="shared" si="110"/>
        <v>180</v>
      </c>
      <c r="D331" s="1">
        <f ca="1" t="shared" si="111"/>
        <v>240</v>
      </c>
      <c r="E331" s="1">
        <f ca="1" t="shared" si="112"/>
        <v>60</v>
      </c>
      <c r="F331" s="56">
        <v>0.96</v>
      </c>
      <c r="G331" s="48">
        <f t="shared" si="119"/>
        <v>1.01052631578947</v>
      </c>
      <c r="H331" s="56">
        <v>0.97</v>
      </c>
      <c r="I331" s="48">
        <f t="shared" si="120"/>
        <v>1.02105263157895</v>
      </c>
      <c r="J331" s="30"/>
      <c r="K331" s="30">
        <v>96</v>
      </c>
      <c r="L331" s="30"/>
      <c r="M331" s="43">
        <v>0.02</v>
      </c>
      <c r="N331" s="30"/>
      <c r="O331" s="52">
        <v>0.015</v>
      </c>
      <c r="P331" s="15">
        <f ca="1" t="shared" si="113"/>
        <v>4</v>
      </c>
      <c r="Q331" s="15">
        <f ca="1" t="shared" si="114"/>
        <v>96</v>
      </c>
      <c r="R331" s="15">
        <f t="shared" si="121"/>
        <v>210</v>
      </c>
      <c r="S331" s="53">
        <f t="shared" si="122"/>
        <v>1.12</v>
      </c>
      <c r="T331" s="15">
        <f ca="1" t="shared" si="116"/>
        <v>15</v>
      </c>
      <c r="U331" s="54">
        <f t="shared" si="123"/>
        <v>0.22</v>
      </c>
      <c r="V331" s="1">
        <f ca="1" t="shared" si="117"/>
        <v>240</v>
      </c>
      <c r="W331" s="55">
        <f ca="1" t="shared" si="118"/>
        <v>0.85</v>
      </c>
      <c r="X331" s="15">
        <f>'102_建筑'!O36</f>
        <v>7242975</v>
      </c>
    </row>
    <row r="332" spans="2:24">
      <c r="B332" s="1">
        <v>31</v>
      </c>
      <c r="C332" s="1">
        <f ca="1" t="shared" si="110"/>
        <v>240</v>
      </c>
      <c r="D332" s="1">
        <f ca="1" t="shared" si="111"/>
        <v>300</v>
      </c>
      <c r="E332" s="1">
        <f ca="1" t="shared" si="112"/>
        <v>60</v>
      </c>
      <c r="F332" s="56">
        <v>0.98</v>
      </c>
      <c r="G332" s="48">
        <f t="shared" si="119"/>
        <v>1.02083333333333</v>
      </c>
      <c r="H332" s="56">
        <v>0.99</v>
      </c>
      <c r="I332" s="48">
        <f t="shared" si="120"/>
        <v>1.02061855670103</v>
      </c>
      <c r="J332" s="30"/>
      <c r="K332" s="30">
        <v>99</v>
      </c>
      <c r="L332" s="30"/>
      <c r="M332" s="30"/>
      <c r="N332" s="30"/>
      <c r="O332" s="52">
        <v>0.03</v>
      </c>
      <c r="P332" s="15">
        <f ca="1" t="shared" si="113"/>
        <v>4</v>
      </c>
      <c r="Q332" s="15">
        <f ca="1" t="shared" si="114"/>
        <v>99</v>
      </c>
      <c r="R332" s="15">
        <f t="shared" si="121"/>
        <v>210</v>
      </c>
      <c r="S332" s="53">
        <f t="shared" si="122"/>
        <v>1.12</v>
      </c>
      <c r="T332" s="15">
        <f ca="1" t="shared" si="116"/>
        <v>15</v>
      </c>
      <c r="U332" s="54">
        <f t="shared" si="123"/>
        <v>0.25</v>
      </c>
      <c r="V332" s="1">
        <f ca="1" t="shared" si="117"/>
        <v>300</v>
      </c>
      <c r="W332" s="55">
        <f ca="1" t="shared" si="118"/>
        <v>0.85</v>
      </c>
      <c r="X332" s="15">
        <f>'102_建筑'!O37</f>
        <v>9168975</v>
      </c>
    </row>
    <row r="333" spans="2:24">
      <c r="B333" s="1">
        <v>32</v>
      </c>
      <c r="C333" s="1">
        <f ca="1" t="shared" si="110"/>
        <v>300</v>
      </c>
      <c r="D333" s="1">
        <f ca="1" t="shared" si="111"/>
        <v>360</v>
      </c>
      <c r="E333" s="1">
        <f ca="1" t="shared" si="112"/>
        <v>60</v>
      </c>
      <c r="F333" s="56">
        <v>1</v>
      </c>
      <c r="G333" s="48">
        <f t="shared" si="119"/>
        <v>1.02040816326531</v>
      </c>
      <c r="H333" s="56">
        <v>1</v>
      </c>
      <c r="I333" s="48">
        <f t="shared" si="120"/>
        <v>1.01010101010101</v>
      </c>
      <c r="J333" s="30"/>
      <c r="K333" s="30">
        <v>102</v>
      </c>
      <c r="L333" s="30">
        <v>30</v>
      </c>
      <c r="M333" s="30"/>
      <c r="N333" s="30"/>
      <c r="O333" s="52">
        <v>0.05</v>
      </c>
      <c r="P333" s="15">
        <f ca="1" t="shared" si="113"/>
        <v>4</v>
      </c>
      <c r="Q333" s="15">
        <f ca="1" t="shared" si="114"/>
        <v>102</v>
      </c>
      <c r="R333" s="15">
        <f t="shared" si="121"/>
        <v>240</v>
      </c>
      <c r="S333" s="53">
        <f t="shared" si="122"/>
        <v>1.12</v>
      </c>
      <c r="T333" s="15">
        <f ca="1" t="shared" si="116"/>
        <v>15</v>
      </c>
      <c r="U333" s="54">
        <f t="shared" si="123"/>
        <v>0.3</v>
      </c>
      <c r="V333" s="1">
        <f ca="1" t="shared" si="117"/>
        <v>360</v>
      </c>
      <c r="W333" s="55">
        <f ca="1" t="shared" si="118"/>
        <v>0.9</v>
      </c>
      <c r="X333" s="15">
        <f>'102_建筑'!O38</f>
        <v>11118975</v>
      </c>
    </row>
    <row r="335" spans="2:12">
      <c r="B335" s="27" t="s">
        <v>821</v>
      </c>
      <c r="C335" s="27"/>
      <c r="D335" s="27"/>
      <c r="E335" s="27"/>
      <c r="F335" s="27"/>
      <c r="G335" s="27"/>
      <c r="H335" s="27"/>
      <c r="I335" s="27"/>
      <c r="J335" s="27"/>
      <c r="K335" s="27"/>
      <c r="L335" s="27"/>
    </row>
    <row r="337" spans="2:23">
      <c r="B337" s="1" t="s">
        <v>138</v>
      </c>
      <c r="C337" s="1" t="s">
        <v>822</v>
      </c>
      <c r="D337" s="1" t="s">
        <v>823</v>
      </c>
      <c r="E337" s="1" t="s">
        <v>824</v>
      </c>
      <c r="F337" s="1" t="s">
        <v>825</v>
      </c>
      <c r="G337" s="1" t="s">
        <v>826</v>
      </c>
      <c r="H337" s="1" t="s">
        <v>827</v>
      </c>
      <c r="I337" s="1" t="s">
        <v>828</v>
      </c>
      <c r="J337" s="1" t="s">
        <v>829</v>
      </c>
      <c r="K337" s="1" t="s">
        <v>830</v>
      </c>
      <c r="L337" s="1" t="s">
        <v>831</v>
      </c>
      <c r="M337" s="1" t="s">
        <v>832</v>
      </c>
      <c r="N337" s="1" t="s">
        <v>833</v>
      </c>
      <c r="O337" s="1" t="s">
        <v>834</v>
      </c>
      <c r="P337" s="1" t="s">
        <v>835</v>
      </c>
      <c r="Q337" s="1" t="s">
        <v>836</v>
      </c>
      <c r="R337" s="1" t="s">
        <v>837</v>
      </c>
      <c r="S337" s="1" t="s">
        <v>838</v>
      </c>
      <c r="T337" s="1" t="s">
        <v>839</v>
      </c>
      <c r="U337" s="1" t="s">
        <v>840</v>
      </c>
      <c r="V337" s="1" t="s">
        <v>841</v>
      </c>
      <c r="W337" s="1" t="s">
        <v>842</v>
      </c>
    </row>
    <row r="338" spans="2:23">
      <c r="B338" s="1">
        <v>1</v>
      </c>
      <c r="C338" s="30" t="s">
        <v>371</v>
      </c>
      <c r="D338" s="30"/>
      <c r="E338" s="30"/>
      <c r="F338" s="30"/>
      <c r="G338" s="57">
        <f ca="1" t="shared" ref="G338:G369" si="124">IFERROR(OFFSET($C$295,0,MATCH(C338,$C$293:$H$293,0)-1),0)</f>
        <v>1</v>
      </c>
      <c r="H338" s="57">
        <f ca="1" t="shared" ref="H338:H369" si="125">IFERROR(OFFSET($C$295,0,MATCH(D338,$C$293:$H$293,0)-1),0)</f>
        <v>0</v>
      </c>
      <c r="I338" s="57">
        <f ca="1" t="shared" ref="I338:I369" si="126">IFERROR(OFFSET($C$295,0,MATCH(E338,$C$293:$H$293,0)-1),0)</f>
        <v>0</v>
      </c>
      <c r="J338" s="57">
        <f ca="1" t="shared" ref="J338:J369" si="127">IFERROR(OFFSET($C$295,0,MATCH(F338,$C$293:$H$293,0)-1),0)</f>
        <v>0</v>
      </c>
      <c r="K338" s="42">
        <f ca="1" t="shared" ref="K338:K369" si="128">IFERROR(G338/SUM($G338:$J338),0)</f>
        <v>1</v>
      </c>
      <c r="L338" s="42">
        <f ca="1" t="shared" ref="L338:L369" si="129">IFERROR(H338/SUM($G338:$J338),0)</f>
        <v>0</v>
      </c>
      <c r="M338" s="42">
        <f ca="1" t="shared" ref="M338:M369" si="130">IFERROR(I338/SUM($G338:$J338),0)</f>
        <v>0</v>
      </c>
      <c r="N338" s="42">
        <f ca="1" t="shared" ref="N338:N369" si="131">IFERROR(J338/SUM($G338:$J338),0)</f>
        <v>0</v>
      </c>
      <c r="O338" s="1">
        <f ca="1" t="shared" ref="O338:O369" si="132">IFERROR(OFFSET($C$294,0,MATCH(C338,$C$293:$H$293,0)-1),0)</f>
        <v>1</v>
      </c>
      <c r="P338" s="1">
        <f ca="1" t="shared" ref="P338:P369" si="133">IFERROR(OFFSET($C$294,0,MATCH(D338,$C$293:$H$293,0)-1),0)</f>
        <v>0</v>
      </c>
      <c r="Q338" s="1">
        <f ca="1" t="shared" ref="Q338:Q369" si="134">IFERROR(OFFSET($C$294,0,MATCH(E338,$C$293:$H$293,0)-1),0)</f>
        <v>0</v>
      </c>
      <c r="R338" s="1">
        <f ca="1" t="shared" ref="R338:R369" si="135">IFERROR(OFFSET($C$294,0,MATCH(F338,$C$293:$H$293,0)-1),0)</f>
        <v>0</v>
      </c>
      <c r="S338" s="1" t="str">
        <f ca="1" t="shared" ref="S338:S369" si="136">IFERROR(OFFSET($C$296,0,MATCH(C338,$C$293:$H$293,0)-1),"")</f>
        <v>board</v>
      </c>
      <c r="T338" s="1" t="str">
        <f ca="1" t="shared" ref="T338:T369" si="137">IFERROR(OFFSET($C$296,0,MATCH(D338,$C$293:$H$293,0)-1),"")</f>
        <v/>
      </c>
      <c r="U338" s="1" t="str">
        <f ca="1" t="shared" ref="U338:U369" si="138">IFERROR(OFFSET($C$296,0,MATCH(E338,$C$293:$H$293,0)-1),"")</f>
        <v/>
      </c>
      <c r="V338" s="1" t="str">
        <f ca="1" t="shared" ref="V338:V369" si="139">IFERROR(OFFSET($C$296,0,MATCH(F338,$C$293:$H$293,0)-1),"")</f>
        <v/>
      </c>
      <c r="W338" s="1" t="str">
        <f ca="1" t="shared" ref="W338:W369" si="140">IF(T338="",S338,IF(U338="",CONCATENATE(S338,";",T338),IF(V338="",CONCATENATE(S338,";",T338,";",U338),CONCATENATE(S338,";",T338,";",U338,";",V338))))</f>
        <v>board</v>
      </c>
    </row>
    <row r="339" spans="2:23">
      <c r="B339" s="1">
        <v>2</v>
      </c>
      <c r="C339" s="30" t="s">
        <v>371</v>
      </c>
      <c r="D339" s="30"/>
      <c r="E339" s="30"/>
      <c r="F339" s="30"/>
      <c r="G339" s="57">
        <f ca="1" t="shared" si="124"/>
        <v>1</v>
      </c>
      <c r="H339" s="57">
        <f ca="1" t="shared" si="125"/>
        <v>0</v>
      </c>
      <c r="I339" s="57">
        <f ca="1" t="shared" si="126"/>
        <v>0</v>
      </c>
      <c r="J339" s="57">
        <f ca="1" t="shared" si="127"/>
        <v>0</v>
      </c>
      <c r="K339" s="42">
        <f ca="1" t="shared" si="128"/>
        <v>1</v>
      </c>
      <c r="L339" s="42">
        <f ca="1" t="shared" si="129"/>
        <v>0</v>
      </c>
      <c r="M339" s="42">
        <f ca="1" t="shared" si="130"/>
        <v>0</v>
      </c>
      <c r="N339" s="42">
        <f ca="1" t="shared" si="131"/>
        <v>0</v>
      </c>
      <c r="O339" s="1">
        <f ca="1" t="shared" si="132"/>
        <v>1</v>
      </c>
      <c r="P339" s="1">
        <f ca="1" t="shared" si="133"/>
        <v>0</v>
      </c>
      <c r="Q339" s="1">
        <f ca="1" t="shared" si="134"/>
        <v>0</v>
      </c>
      <c r="R339" s="1">
        <f ca="1" t="shared" si="135"/>
        <v>0</v>
      </c>
      <c r="S339" s="1" t="str">
        <f ca="1" t="shared" si="136"/>
        <v>board</v>
      </c>
      <c r="T339" s="1" t="str">
        <f ca="1" t="shared" si="137"/>
        <v/>
      </c>
      <c r="U339" s="1" t="str">
        <f ca="1" t="shared" si="138"/>
        <v/>
      </c>
      <c r="V339" s="1" t="str">
        <f ca="1" t="shared" si="139"/>
        <v/>
      </c>
      <c r="W339" s="1" t="str">
        <f ca="1" t="shared" si="140"/>
        <v>board</v>
      </c>
    </row>
    <row r="340" spans="2:23">
      <c r="B340" s="1">
        <v>3</v>
      </c>
      <c r="C340" s="30" t="s">
        <v>371</v>
      </c>
      <c r="D340" s="30" t="s">
        <v>372</v>
      </c>
      <c r="E340" s="30"/>
      <c r="F340" s="30"/>
      <c r="G340" s="57">
        <f ca="1" t="shared" si="124"/>
        <v>1</v>
      </c>
      <c r="H340" s="57">
        <f ca="1" t="shared" si="125"/>
        <v>3.5</v>
      </c>
      <c r="I340" s="57">
        <f ca="1" t="shared" si="126"/>
        <v>0</v>
      </c>
      <c r="J340" s="57">
        <f ca="1" t="shared" si="127"/>
        <v>0</v>
      </c>
      <c r="K340" s="42">
        <f ca="1" t="shared" si="128"/>
        <v>0.222222222222222</v>
      </c>
      <c r="L340" s="42">
        <f ca="1" t="shared" si="129"/>
        <v>0.777777777777778</v>
      </c>
      <c r="M340" s="42">
        <f ca="1" t="shared" si="130"/>
        <v>0</v>
      </c>
      <c r="N340" s="42">
        <f ca="1" t="shared" si="131"/>
        <v>0</v>
      </c>
      <c r="O340" s="1">
        <f ca="1" t="shared" si="132"/>
        <v>1</v>
      </c>
      <c r="P340" s="1">
        <f ca="1" t="shared" si="133"/>
        <v>4</v>
      </c>
      <c r="Q340" s="1">
        <f ca="1" t="shared" si="134"/>
        <v>0</v>
      </c>
      <c r="R340" s="1">
        <f ca="1" t="shared" si="135"/>
        <v>0</v>
      </c>
      <c r="S340" s="1" t="str">
        <f ca="1" t="shared" si="136"/>
        <v>board</v>
      </c>
      <c r="T340" s="1" t="str">
        <f ca="1" t="shared" si="137"/>
        <v>brick</v>
      </c>
      <c r="U340" s="1" t="str">
        <f ca="1" t="shared" si="138"/>
        <v/>
      </c>
      <c r="V340" s="1" t="str">
        <f ca="1" t="shared" si="139"/>
        <v/>
      </c>
      <c r="W340" s="1" t="str">
        <f ca="1" t="shared" si="140"/>
        <v>board;brick</v>
      </c>
    </row>
    <row r="341" spans="2:23">
      <c r="B341" s="1">
        <v>4</v>
      </c>
      <c r="C341" s="30" t="s">
        <v>371</v>
      </c>
      <c r="D341" s="30" t="s">
        <v>372</v>
      </c>
      <c r="E341" s="30"/>
      <c r="F341" s="30"/>
      <c r="G341" s="57">
        <f ca="1" t="shared" si="124"/>
        <v>1</v>
      </c>
      <c r="H341" s="57">
        <f ca="1" t="shared" si="125"/>
        <v>3.5</v>
      </c>
      <c r="I341" s="57">
        <f ca="1" t="shared" si="126"/>
        <v>0</v>
      </c>
      <c r="J341" s="57">
        <f ca="1" t="shared" si="127"/>
        <v>0</v>
      </c>
      <c r="K341" s="42">
        <f ca="1" t="shared" si="128"/>
        <v>0.222222222222222</v>
      </c>
      <c r="L341" s="42">
        <f ca="1" t="shared" si="129"/>
        <v>0.777777777777778</v>
      </c>
      <c r="M341" s="42">
        <f ca="1" t="shared" si="130"/>
        <v>0</v>
      </c>
      <c r="N341" s="42">
        <f ca="1" t="shared" si="131"/>
        <v>0</v>
      </c>
      <c r="O341" s="1">
        <f ca="1" t="shared" si="132"/>
        <v>1</v>
      </c>
      <c r="P341" s="1">
        <f ca="1" t="shared" si="133"/>
        <v>4</v>
      </c>
      <c r="Q341" s="1">
        <f ca="1" t="shared" si="134"/>
        <v>0</v>
      </c>
      <c r="R341" s="1">
        <f ca="1" t="shared" si="135"/>
        <v>0</v>
      </c>
      <c r="S341" s="1" t="str">
        <f ca="1" t="shared" si="136"/>
        <v>board</v>
      </c>
      <c r="T341" s="1" t="str">
        <f ca="1" t="shared" si="137"/>
        <v>brick</v>
      </c>
      <c r="U341" s="1" t="str">
        <f ca="1" t="shared" si="138"/>
        <v/>
      </c>
      <c r="V341" s="1" t="str">
        <f ca="1" t="shared" si="139"/>
        <v/>
      </c>
      <c r="W341" s="1" t="str">
        <f ca="1" t="shared" si="140"/>
        <v>board;brick</v>
      </c>
    </row>
    <row r="342" spans="2:23">
      <c r="B342" s="1">
        <v>5</v>
      </c>
      <c r="C342" s="30" t="s">
        <v>371</v>
      </c>
      <c r="D342" s="30" t="s">
        <v>372</v>
      </c>
      <c r="E342" s="30"/>
      <c r="F342" s="30"/>
      <c r="G342" s="57">
        <f ca="1" t="shared" si="124"/>
        <v>1</v>
      </c>
      <c r="H342" s="57">
        <f ca="1" t="shared" si="125"/>
        <v>3.5</v>
      </c>
      <c r="I342" s="57">
        <f ca="1" t="shared" si="126"/>
        <v>0</v>
      </c>
      <c r="J342" s="57">
        <f ca="1" t="shared" si="127"/>
        <v>0</v>
      </c>
      <c r="K342" s="42">
        <f ca="1" t="shared" si="128"/>
        <v>0.222222222222222</v>
      </c>
      <c r="L342" s="42">
        <f ca="1" t="shared" si="129"/>
        <v>0.777777777777778</v>
      </c>
      <c r="M342" s="42">
        <f ca="1" t="shared" si="130"/>
        <v>0</v>
      </c>
      <c r="N342" s="42">
        <f ca="1" t="shared" si="131"/>
        <v>0</v>
      </c>
      <c r="O342" s="1">
        <f ca="1" t="shared" si="132"/>
        <v>1</v>
      </c>
      <c r="P342" s="1">
        <f ca="1" t="shared" si="133"/>
        <v>4</v>
      </c>
      <c r="Q342" s="1">
        <f ca="1" t="shared" si="134"/>
        <v>0</v>
      </c>
      <c r="R342" s="1">
        <f ca="1" t="shared" si="135"/>
        <v>0</v>
      </c>
      <c r="S342" s="1" t="str">
        <f ca="1" t="shared" si="136"/>
        <v>board</v>
      </c>
      <c r="T342" s="1" t="str">
        <f ca="1" t="shared" si="137"/>
        <v>brick</v>
      </c>
      <c r="U342" s="1" t="str">
        <f ca="1" t="shared" si="138"/>
        <v/>
      </c>
      <c r="V342" s="1" t="str">
        <f ca="1" t="shared" si="139"/>
        <v/>
      </c>
      <c r="W342" s="1" t="str">
        <f ca="1" t="shared" si="140"/>
        <v>board;brick</v>
      </c>
    </row>
    <row r="343" spans="2:23">
      <c r="B343" s="1">
        <v>6</v>
      </c>
      <c r="C343" s="30" t="s">
        <v>371</v>
      </c>
      <c r="D343" s="30" t="s">
        <v>372</v>
      </c>
      <c r="E343" s="30"/>
      <c r="F343" s="30"/>
      <c r="G343" s="57">
        <f ca="1" t="shared" si="124"/>
        <v>1</v>
      </c>
      <c r="H343" s="57">
        <f ca="1" t="shared" si="125"/>
        <v>3.5</v>
      </c>
      <c r="I343" s="57">
        <f ca="1" t="shared" si="126"/>
        <v>0</v>
      </c>
      <c r="J343" s="57">
        <f ca="1" t="shared" si="127"/>
        <v>0</v>
      </c>
      <c r="K343" s="42">
        <f ca="1" t="shared" si="128"/>
        <v>0.222222222222222</v>
      </c>
      <c r="L343" s="42">
        <f ca="1" t="shared" si="129"/>
        <v>0.777777777777778</v>
      </c>
      <c r="M343" s="42">
        <f ca="1" t="shared" si="130"/>
        <v>0</v>
      </c>
      <c r="N343" s="42">
        <f ca="1" t="shared" si="131"/>
        <v>0</v>
      </c>
      <c r="O343" s="1">
        <f ca="1" t="shared" si="132"/>
        <v>1</v>
      </c>
      <c r="P343" s="1">
        <f ca="1" t="shared" si="133"/>
        <v>4</v>
      </c>
      <c r="Q343" s="1">
        <f ca="1" t="shared" si="134"/>
        <v>0</v>
      </c>
      <c r="R343" s="1">
        <f ca="1" t="shared" si="135"/>
        <v>0</v>
      </c>
      <c r="S343" s="1" t="str">
        <f ca="1" t="shared" si="136"/>
        <v>board</v>
      </c>
      <c r="T343" s="1" t="str">
        <f ca="1" t="shared" si="137"/>
        <v>brick</v>
      </c>
      <c r="U343" s="1" t="str">
        <f ca="1" t="shared" si="138"/>
        <v/>
      </c>
      <c r="V343" s="1" t="str">
        <f ca="1" t="shared" si="139"/>
        <v/>
      </c>
      <c r="W343" s="1" t="str">
        <f ca="1" t="shared" si="140"/>
        <v>board;brick</v>
      </c>
    </row>
    <row r="344" spans="2:23">
      <c r="B344" s="1">
        <v>7</v>
      </c>
      <c r="C344" s="30" t="s">
        <v>371</v>
      </c>
      <c r="D344" s="30" t="s">
        <v>372</v>
      </c>
      <c r="E344" s="30" t="s">
        <v>373</v>
      </c>
      <c r="F344" s="30"/>
      <c r="G344" s="57">
        <f ca="1" t="shared" si="124"/>
        <v>1</v>
      </c>
      <c r="H344" s="57">
        <f ca="1" t="shared" si="125"/>
        <v>3.5</v>
      </c>
      <c r="I344" s="57">
        <f ca="1" t="shared" si="126"/>
        <v>15</v>
      </c>
      <c r="J344" s="57">
        <f ca="1" t="shared" si="127"/>
        <v>0</v>
      </c>
      <c r="K344" s="42">
        <f ca="1" t="shared" si="128"/>
        <v>0.0512820512820513</v>
      </c>
      <c r="L344" s="42">
        <f ca="1" t="shared" si="129"/>
        <v>0.179487179487179</v>
      </c>
      <c r="M344" s="42">
        <f ca="1" t="shared" si="130"/>
        <v>0.769230769230769</v>
      </c>
      <c r="N344" s="42">
        <f ca="1" t="shared" si="131"/>
        <v>0</v>
      </c>
      <c r="O344" s="1">
        <f ca="1" t="shared" si="132"/>
        <v>1</v>
      </c>
      <c r="P344" s="1">
        <f ca="1" t="shared" si="133"/>
        <v>4</v>
      </c>
      <c r="Q344" s="1">
        <f ca="1" t="shared" si="134"/>
        <v>20</v>
      </c>
      <c r="R344" s="1">
        <f ca="1" t="shared" si="135"/>
        <v>0</v>
      </c>
      <c r="S344" s="1" t="str">
        <f ca="1" t="shared" si="136"/>
        <v>board</v>
      </c>
      <c r="T344" s="1" t="str">
        <f ca="1" t="shared" si="137"/>
        <v>brick</v>
      </c>
      <c r="U344" s="1" t="str">
        <f ca="1" t="shared" si="138"/>
        <v>cement</v>
      </c>
      <c r="V344" s="1" t="str">
        <f ca="1" t="shared" si="139"/>
        <v/>
      </c>
      <c r="W344" s="1" t="str">
        <f ca="1" t="shared" si="140"/>
        <v>board;brick;cement</v>
      </c>
    </row>
    <row r="345" spans="2:23">
      <c r="B345" s="1">
        <v>8</v>
      </c>
      <c r="C345" s="30" t="s">
        <v>371</v>
      </c>
      <c r="D345" s="30" t="s">
        <v>372</v>
      </c>
      <c r="E345" s="30" t="s">
        <v>373</v>
      </c>
      <c r="F345" s="30"/>
      <c r="G345" s="57">
        <f ca="1" t="shared" si="124"/>
        <v>1</v>
      </c>
      <c r="H345" s="57">
        <f ca="1" t="shared" si="125"/>
        <v>3.5</v>
      </c>
      <c r="I345" s="57">
        <f ca="1" t="shared" si="126"/>
        <v>15</v>
      </c>
      <c r="J345" s="57">
        <f ca="1" t="shared" si="127"/>
        <v>0</v>
      </c>
      <c r="K345" s="42">
        <f ca="1" t="shared" si="128"/>
        <v>0.0512820512820513</v>
      </c>
      <c r="L345" s="42">
        <f ca="1" t="shared" si="129"/>
        <v>0.179487179487179</v>
      </c>
      <c r="M345" s="42">
        <f ca="1" t="shared" si="130"/>
        <v>0.769230769230769</v>
      </c>
      <c r="N345" s="42">
        <f ca="1" t="shared" si="131"/>
        <v>0</v>
      </c>
      <c r="O345" s="1">
        <f ca="1" t="shared" si="132"/>
        <v>1</v>
      </c>
      <c r="P345" s="1">
        <f ca="1" t="shared" si="133"/>
        <v>4</v>
      </c>
      <c r="Q345" s="1">
        <f ca="1" t="shared" si="134"/>
        <v>20</v>
      </c>
      <c r="R345" s="1">
        <f ca="1" t="shared" si="135"/>
        <v>0</v>
      </c>
      <c r="S345" s="1" t="str">
        <f ca="1" t="shared" si="136"/>
        <v>board</v>
      </c>
      <c r="T345" s="1" t="str">
        <f ca="1" t="shared" si="137"/>
        <v>brick</v>
      </c>
      <c r="U345" s="1" t="str">
        <f ca="1" t="shared" si="138"/>
        <v>cement</v>
      </c>
      <c r="V345" s="1" t="str">
        <f ca="1" t="shared" si="139"/>
        <v/>
      </c>
      <c r="W345" s="1" t="str">
        <f ca="1" t="shared" si="140"/>
        <v>board;brick;cement</v>
      </c>
    </row>
    <row r="346" spans="2:23">
      <c r="B346" s="1">
        <v>9</v>
      </c>
      <c r="C346" s="30" t="s">
        <v>371</v>
      </c>
      <c r="D346" s="30" t="s">
        <v>372</v>
      </c>
      <c r="E346" s="30" t="s">
        <v>373</v>
      </c>
      <c r="F346" s="30"/>
      <c r="G346" s="57">
        <f ca="1" t="shared" si="124"/>
        <v>1</v>
      </c>
      <c r="H346" s="57">
        <f ca="1" t="shared" si="125"/>
        <v>3.5</v>
      </c>
      <c r="I346" s="57">
        <f ca="1" t="shared" si="126"/>
        <v>15</v>
      </c>
      <c r="J346" s="57">
        <f ca="1" t="shared" si="127"/>
        <v>0</v>
      </c>
      <c r="K346" s="42">
        <f ca="1" t="shared" si="128"/>
        <v>0.0512820512820513</v>
      </c>
      <c r="L346" s="42">
        <f ca="1" t="shared" si="129"/>
        <v>0.179487179487179</v>
      </c>
      <c r="M346" s="42">
        <f ca="1" t="shared" si="130"/>
        <v>0.769230769230769</v>
      </c>
      <c r="N346" s="42">
        <f ca="1" t="shared" si="131"/>
        <v>0</v>
      </c>
      <c r="O346" s="1">
        <f ca="1" t="shared" si="132"/>
        <v>1</v>
      </c>
      <c r="P346" s="1">
        <f ca="1" t="shared" si="133"/>
        <v>4</v>
      </c>
      <c r="Q346" s="1">
        <f ca="1" t="shared" si="134"/>
        <v>20</v>
      </c>
      <c r="R346" s="1">
        <f ca="1" t="shared" si="135"/>
        <v>0</v>
      </c>
      <c r="S346" s="1" t="str">
        <f ca="1" t="shared" si="136"/>
        <v>board</v>
      </c>
      <c r="T346" s="1" t="str">
        <f ca="1" t="shared" si="137"/>
        <v>brick</v>
      </c>
      <c r="U346" s="1" t="str">
        <f ca="1" t="shared" si="138"/>
        <v>cement</v>
      </c>
      <c r="V346" s="1" t="str">
        <f ca="1" t="shared" si="139"/>
        <v/>
      </c>
      <c r="W346" s="1" t="str">
        <f ca="1" t="shared" si="140"/>
        <v>board;brick;cement</v>
      </c>
    </row>
    <row r="347" spans="2:23">
      <c r="B347" s="1">
        <v>10</v>
      </c>
      <c r="C347" s="30" t="s">
        <v>371</v>
      </c>
      <c r="D347" s="30" t="s">
        <v>372</v>
      </c>
      <c r="E347" s="30" t="s">
        <v>373</v>
      </c>
      <c r="F347" s="30"/>
      <c r="G347" s="57">
        <f ca="1" t="shared" si="124"/>
        <v>1</v>
      </c>
      <c r="H347" s="57">
        <f ca="1" t="shared" si="125"/>
        <v>3.5</v>
      </c>
      <c r="I347" s="57">
        <f ca="1" t="shared" si="126"/>
        <v>15</v>
      </c>
      <c r="J347" s="57">
        <f ca="1" t="shared" si="127"/>
        <v>0</v>
      </c>
      <c r="K347" s="42">
        <f ca="1" t="shared" si="128"/>
        <v>0.0512820512820513</v>
      </c>
      <c r="L347" s="42">
        <f ca="1" t="shared" si="129"/>
        <v>0.179487179487179</v>
      </c>
      <c r="M347" s="42">
        <f ca="1" t="shared" si="130"/>
        <v>0.769230769230769</v>
      </c>
      <c r="N347" s="42">
        <f ca="1" t="shared" si="131"/>
        <v>0</v>
      </c>
      <c r="O347" s="1">
        <f ca="1" t="shared" si="132"/>
        <v>1</v>
      </c>
      <c r="P347" s="1">
        <f ca="1" t="shared" si="133"/>
        <v>4</v>
      </c>
      <c r="Q347" s="1">
        <f ca="1" t="shared" si="134"/>
        <v>20</v>
      </c>
      <c r="R347" s="1">
        <f ca="1" t="shared" si="135"/>
        <v>0</v>
      </c>
      <c r="S347" s="1" t="str">
        <f ca="1" t="shared" si="136"/>
        <v>board</v>
      </c>
      <c r="T347" s="1" t="str">
        <f ca="1" t="shared" si="137"/>
        <v>brick</v>
      </c>
      <c r="U347" s="1" t="str">
        <f ca="1" t="shared" si="138"/>
        <v>cement</v>
      </c>
      <c r="V347" s="1" t="str">
        <f ca="1" t="shared" si="139"/>
        <v/>
      </c>
      <c r="W347" s="1" t="str">
        <f ca="1" t="shared" si="140"/>
        <v>board;brick;cement</v>
      </c>
    </row>
    <row r="348" spans="2:23">
      <c r="B348" s="1">
        <v>11</v>
      </c>
      <c r="C348" s="30" t="s">
        <v>371</v>
      </c>
      <c r="D348" s="30" t="s">
        <v>372</v>
      </c>
      <c r="E348" s="30" t="s">
        <v>373</v>
      </c>
      <c r="F348" s="30"/>
      <c r="G348" s="57">
        <f ca="1" t="shared" si="124"/>
        <v>1</v>
      </c>
      <c r="H348" s="57">
        <f ca="1" t="shared" si="125"/>
        <v>3.5</v>
      </c>
      <c r="I348" s="57">
        <f ca="1" t="shared" si="126"/>
        <v>15</v>
      </c>
      <c r="J348" s="57">
        <f ca="1" t="shared" si="127"/>
        <v>0</v>
      </c>
      <c r="K348" s="42">
        <f ca="1" t="shared" si="128"/>
        <v>0.0512820512820513</v>
      </c>
      <c r="L348" s="42">
        <f ca="1" t="shared" si="129"/>
        <v>0.179487179487179</v>
      </c>
      <c r="M348" s="42">
        <f ca="1" t="shared" si="130"/>
        <v>0.769230769230769</v>
      </c>
      <c r="N348" s="42">
        <f ca="1" t="shared" si="131"/>
        <v>0</v>
      </c>
      <c r="O348" s="1">
        <f ca="1" t="shared" si="132"/>
        <v>1</v>
      </c>
      <c r="P348" s="1">
        <f ca="1" t="shared" si="133"/>
        <v>4</v>
      </c>
      <c r="Q348" s="1">
        <f ca="1" t="shared" si="134"/>
        <v>20</v>
      </c>
      <c r="R348" s="1">
        <f ca="1" t="shared" si="135"/>
        <v>0</v>
      </c>
      <c r="S348" s="1" t="str">
        <f ca="1" t="shared" si="136"/>
        <v>board</v>
      </c>
      <c r="T348" s="1" t="str">
        <f ca="1" t="shared" si="137"/>
        <v>brick</v>
      </c>
      <c r="U348" s="1" t="str">
        <f ca="1" t="shared" si="138"/>
        <v>cement</v>
      </c>
      <c r="V348" s="1" t="str">
        <f ca="1" t="shared" si="139"/>
        <v/>
      </c>
      <c r="W348" s="1" t="str">
        <f ca="1" t="shared" si="140"/>
        <v>board;brick;cement</v>
      </c>
    </row>
    <row r="349" spans="2:23">
      <c r="B349" s="1">
        <v>12</v>
      </c>
      <c r="C349" s="30" t="s">
        <v>371</v>
      </c>
      <c r="D349" s="30" t="s">
        <v>372</v>
      </c>
      <c r="E349" s="30" t="s">
        <v>373</v>
      </c>
      <c r="F349" s="30"/>
      <c r="G349" s="57">
        <f ca="1" t="shared" si="124"/>
        <v>1</v>
      </c>
      <c r="H349" s="57">
        <f ca="1" t="shared" si="125"/>
        <v>3.5</v>
      </c>
      <c r="I349" s="57">
        <f ca="1" t="shared" si="126"/>
        <v>15</v>
      </c>
      <c r="J349" s="57">
        <f ca="1" t="shared" si="127"/>
        <v>0</v>
      </c>
      <c r="K349" s="42">
        <f ca="1" t="shared" si="128"/>
        <v>0.0512820512820513</v>
      </c>
      <c r="L349" s="42">
        <f ca="1" t="shared" si="129"/>
        <v>0.179487179487179</v>
      </c>
      <c r="M349" s="42">
        <f ca="1" t="shared" si="130"/>
        <v>0.769230769230769</v>
      </c>
      <c r="N349" s="42">
        <f ca="1" t="shared" si="131"/>
        <v>0</v>
      </c>
      <c r="O349" s="1">
        <f ca="1" t="shared" si="132"/>
        <v>1</v>
      </c>
      <c r="P349" s="1">
        <f ca="1" t="shared" si="133"/>
        <v>4</v>
      </c>
      <c r="Q349" s="1">
        <f ca="1" t="shared" si="134"/>
        <v>20</v>
      </c>
      <c r="R349" s="1">
        <f ca="1" t="shared" si="135"/>
        <v>0</v>
      </c>
      <c r="S349" s="1" t="str">
        <f ca="1" t="shared" si="136"/>
        <v>board</v>
      </c>
      <c r="T349" s="1" t="str">
        <f ca="1" t="shared" si="137"/>
        <v>brick</v>
      </c>
      <c r="U349" s="1" t="str">
        <f ca="1" t="shared" si="138"/>
        <v>cement</v>
      </c>
      <c r="V349" s="1" t="str">
        <f ca="1" t="shared" si="139"/>
        <v/>
      </c>
      <c r="W349" s="1" t="str">
        <f ca="1" t="shared" si="140"/>
        <v>board;brick;cement</v>
      </c>
    </row>
    <row r="350" spans="2:23">
      <c r="B350" s="1">
        <v>13</v>
      </c>
      <c r="C350" s="30" t="s">
        <v>371</v>
      </c>
      <c r="D350" s="30" t="s">
        <v>372</v>
      </c>
      <c r="E350" s="30" t="s">
        <v>373</v>
      </c>
      <c r="F350" s="30"/>
      <c r="G350" s="57">
        <f ca="1" t="shared" si="124"/>
        <v>1</v>
      </c>
      <c r="H350" s="57">
        <f ca="1" t="shared" si="125"/>
        <v>3.5</v>
      </c>
      <c r="I350" s="57">
        <f ca="1" t="shared" si="126"/>
        <v>15</v>
      </c>
      <c r="J350" s="57">
        <f ca="1" t="shared" si="127"/>
        <v>0</v>
      </c>
      <c r="K350" s="42">
        <f ca="1" t="shared" si="128"/>
        <v>0.0512820512820513</v>
      </c>
      <c r="L350" s="42">
        <f ca="1" t="shared" si="129"/>
        <v>0.179487179487179</v>
      </c>
      <c r="M350" s="42">
        <f ca="1" t="shared" si="130"/>
        <v>0.769230769230769</v>
      </c>
      <c r="N350" s="42">
        <f ca="1" t="shared" si="131"/>
        <v>0</v>
      </c>
      <c r="O350" s="1">
        <f ca="1" t="shared" si="132"/>
        <v>1</v>
      </c>
      <c r="P350" s="1">
        <f ca="1" t="shared" si="133"/>
        <v>4</v>
      </c>
      <c r="Q350" s="1">
        <f ca="1" t="shared" si="134"/>
        <v>20</v>
      </c>
      <c r="R350" s="1">
        <f ca="1" t="shared" si="135"/>
        <v>0</v>
      </c>
      <c r="S350" s="1" t="str">
        <f ca="1" t="shared" si="136"/>
        <v>board</v>
      </c>
      <c r="T350" s="1" t="str">
        <f ca="1" t="shared" si="137"/>
        <v>brick</v>
      </c>
      <c r="U350" s="1" t="str">
        <f ca="1" t="shared" si="138"/>
        <v>cement</v>
      </c>
      <c r="V350" s="1" t="str">
        <f ca="1" t="shared" si="139"/>
        <v/>
      </c>
      <c r="W350" s="1" t="str">
        <f ca="1" t="shared" si="140"/>
        <v>board;brick;cement</v>
      </c>
    </row>
    <row r="351" spans="2:23">
      <c r="B351" s="1">
        <v>14</v>
      </c>
      <c r="C351" s="30" t="s">
        <v>371</v>
      </c>
      <c r="D351" s="30" t="s">
        <v>373</v>
      </c>
      <c r="E351" s="30" t="s">
        <v>374</v>
      </c>
      <c r="F351" s="30"/>
      <c r="G351" s="57">
        <f ca="1" t="shared" si="124"/>
        <v>1</v>
      </c>
      <c r="H351" s="57">
        <f ca="1" t="shared" si="125"/>
        <v>15</v>
      </c>
      <c r="I351" s="57">
        <f ca="1" t="shared" si="126"/>
        <v>20</v>
      </c>
      <c r="J351" s="57">
        <f ca="1" t="shared" si="127"/>
        <v>0</v>
      </c>
      <c r="K351" s="42">
        <f ca="1" t="shared" si="128"/>
        <v>0.0277777777777778</v>
      </c>
      <c r="L351" s="42">
        <f ca="1" t="shared" si="129"/>
        <v>0.416666666666667</v>
      </c>
      <c r="M351" s="42">
        <f ca="1" t="shared" si="130"/>
        <v>0.555555555555556</v>
      </c>
      <c r="N351" s="42">
        <f ca="1" t="shared" si="131"/>
        <v>0</v>
      </c>
      <c r="O351" s="1">
        <f ca="1" t="shared" si="132"/>
        <v>1</v>
      </c>
      <c r="P351" s="1">
        <f ca="1" t="shared" si="133"/>
        <v>20</v>
      </c>
      <c r="Q351" s="1">
        <f ca="1" t="shared" si="134"/>
        <v>35</v>
      </c>
      <c r="R351" s="1">
        <f ca="1" t="shared" si="135"/>
        <v>0</v>
      </c>
      <c r="S351" s="1" t="str">
        <f ca="1" t="shared" si="136"/>
        <v>board</v>
      </c>
      <c r="T351" s="1" t="str">
        <f ca="1" t="shared" si="137"/>
        <v>cement</v>
      </c>
      <c r="U351" s="1" t="str">
        <f ca="1" t="shared" si="138"/>
        <v>steel</v>
      </c>
      <c r="V351" s="1" t="str">
        <f ca="1" t="shared" si="139"/>
        <v/>
      </c>
      <c r="W351" s="1" t="str">
        <f ca="1" t="shared" si="140"/>
        <v>board;cement;steel</v>
      </c>
    </row>
    <row r="352" spans="2:23">
      <c r="B352" s="1">
        <v>15</v>
      </c>
      <c r="C352" s="30" t="s">
        <v>372</v>
      </c>
      <c r="D352" s="30" t="s">
        <v>373</v>
      </c>
      <c r="E352" s="30" t="s">
        <v>374</v>
      </c>
      <c r="F352" s="30"/>
      <c r="G352" s="57">
        <f ca="1" t="shared" si="124"/>
        <v>3.5</v>
      </c>
      <c r="H352" s="57">
        <f ca="1" t="shared" si="125"/>
        <v>15</v>
      </c>
      <c r="I352" s="57">
        <f ca="1" t="shared" si="126"/>
        <v>20</v>
      </c>
      <c r="J352" s="57">
        <f ca="1" t="shared" si="127"/>
        <v>0</v>
      </c>
      <c r="K352" s="42">
        <f ca="1" t="shared" si="128"/>
        <v>0.0909090909090909</v>
      </c>
      <c r="L352" s="42">
        <f ca="1" t="shared" si="129"/>
        <v>0.38961038961039</v>
      </c>
      <c r="M352" s="42">
        <f ca="1" t="shared" si="130"/>
        <v>0.519480519480519</v>
      </c>
      <c r="N352" s="42">
        <f ca="1" t="shared" si="131"/>
        <v>0</v>
      </c>
      <c r="O352" s="1">
        <f ca="1" t="shared" si="132"/>
        <v>4</v>
      </c>
      <c r="P352" s="1">
        <f ca="1" t="shared" si="133"/>
        <v>20</v>
      </c>
      <c r="Q352" s="1">
        <f ca="1" t="shared" si="134"/>
        <v>35</v>
      </c>
      <c r="R352" s="1">
        <f ca="1" t="shared" si="135"/>
        <v>0</v>
      </c>
      <c r="S352" s="1" t="str">
        <f ca="1" t="shared" si="136"/>
        <v>brick</v>
      </c>
      <c r="T352" s="1" t="str">
        <f ca="1" t="shared" si="137"/>
        <v>cement</v>
      </c>
      <c r="U352" s="1" t="str">
        <f ca="1" t="shared" si="138"/>
        <v>steel</v>
      </c>
      <c r="V352" s="1" t="str">
        <f ca="1" t="shared" si="139"/>
        <v/>
      </c>
      <c r="W352" s="1" t="str">
        <f ca="1" t="shared" si="140"/>
        <v>brick;cement;steel</v>
      </c>
    </row>
    <row r="353" spans="2:23">
      <c r="B353" s="1">
        <v>16</v>
      </c>
      <c r="C353" s="30" t="s">
        <v>371</v>
      </c>
      <c r="D353" s="30" t="s">
        <v>372</v>
      </c>
      <c r="E353" s="30" t="s">
        <v>374</v>
      </c>
      <c r="F353" s="30"/>
      <c r="G353" s="57">
        <f ca="1" t="shared" si="124"/>
        <v>1</v>
      </c>
      <c r="H353" s="57">
        <f ca="1" t="shared" si="125"/>
        <v>3.5</v>
      </c>
      <c r="I353" s="57">
        <f ca="1" t="shared" si="126"/>
        <v>20</v>
      </c>
      <c r="J353" s="57">
        <f ca="1" t="shared" si="127"/>
        <v>0</v>
      </c>
      <c r="K353" s="42">
        <f ca="1" t="shared" si="128"/>
        <v>0.0408163265306122</v>
      </c>
      <c r="L353" s="42">
        <f ca="1" t="shared" si="129"/>
        <v>0.142857142857143</v>
      </c>
      <c r="M353" s="42">
        <f ca="1" t="shared" si="130"/>
        <v>0.816326530612245</v>
      </c>
      <c r="N353" s="42">
        <f ca="1" t="shared" si="131"/>
        <v>0</v>
      </c>
      <c r="O353" s="1">
        <f ca="1" t="shared" si="132"/>
        <v>1</v>
      </c>
      <c r="P353" s="1">
        <f ca="1" t="shared" si="133"/>
        <v>4</v>
      </c>
      <c r="Q353" s="1">
        <f ca="1" t="shared" si="134"/>
        <v>35</v>
      </c>
      <c r="R353" s="1">
        <f ca="1" t="shared" si="135"/>
        <v>0</v>
      </c>
      <c r="S353" s="1" t="str">
        <f ca="1" t="shared" si="136"/>
        <v>board</v>
      </c>
      <c r="T353" s="1" t="str">
        <f ca="1" t="shared" si="137"/>
        <v>brick</v>
      </c>
      <c r="U353" s="1" t="str">
        <f ca="1" t="shared" si="138"/>
        <v>steel</v>
      </c>
      <c r="V353" s="1" t="str">
        <f ca="1" t="shared" si="139"/>
        <v/>
      </c>
      <c r="W353" s="1" t="str">
        <f ca="1" t="shared" si="140"/>
        <v>board;brick;steel</v>
      </c>
    </row>
    <row r="354" spans="2:23">
      <c r="B354" s="1">
        <v>17</v>
      </c>
      <c r="C354" s="30" t="s">
        <v>372</v>
      </c>
      <c r="D354" s="30" t="s">
        <v>373</v>
      </c>
      <c r="E354" s="30" t="s">
        <v>374</v>
      </c>
      <c r="F354" s="30"/>
      <c r="G354" s="57">
        <f ca="1" t="shared" si="124"/>
        <v>3.5</v>
      </c>
      <c r="H354" s="57">
        <f ca="1" t="shared" si="125"/>
        <v>15</v>
      </c>
      <c r="I354" s="57">
        <f ca="1" t="shared" si="126"/>
        <v>20</v>
      </c>
      <c r="J354" s="57">
        <f ca="1" t="shared" si="127"/>
        <v>0</v>
      </c>
      <c r="K354" s="42">
        <f ca="1" t="shared" si="128"/>
        <v>0.0909090909090909</v>
      </c>
      <c r="L354" s="42">
        <f ca="1" t="shared" si="129"/>
        <v>0.38961038961039</v>
      </c>
      <c r="M354" s="42">
        <f ca="1" t="shared" si="130"/>
        <v>0.519480519480519</v>
      </c>
      <c r="N354" s="42">
        <f ca="1" t="shared" si="131"/>
        <v>0</v>
      </c>
      <c r="O354" s="1">
        <f ca="1" t="shared" si="132"/>
        <v>4</v>
      </c>
      <c r="P354" s="1">
        <f ca="1" t="shared" si="133"/>
        <v>20</v>
      </c>
      <c r="Q354" s="1">
        <f ca="1" t="shared" si="134"/>
        <v>35</v>
      </c>
      <c r="R354" s="1">
        <f ca="1" t="shared" si="135"/>
        <v>0</v>
      </c>
      <c r="S354" s="1" t="str">
        <f ca="1" t="shared" si="136"/>
        <v>brick</v>
      </c>
      <c r="T354" s="1" t="str">
        <f ca="1" t="shared" si="137"/>
        <v>cement</v>
      </c>
      <c r="U354" s="1" t="str">
        <f ca="1" t="shared" si="138"/>
        <v>steel</v>
      </c>
      <c r="V354" s="1" t="str">
        <f ca="1" t="shared" si="139"/>
        <v/>
      </c>
      <c r="W354" s="1" t="str">
        <f ca="1" t="shared" si="140"/>
        <v>brick;cement;steel</v>
      </c>
    </row>
    <row r="355" spans="2:23">
      <c r="B355" s="1">
        <v>18</v>
      </c>
      <c r="C355" s="30" t="s">
        <v>371</v>
      </c>
      <c r="D355" s="30" t="s">
        <v>373</v>
      </c>
      <c r="E355" s="30" t="s">
        <v>374</v>
      </c>
      <c r="F355" s="30"/>
      <c r="G355" s="57">
        <f ca="1" t="shared" si="124"/>
        <v>1</v>
      </c>
      <c r="H355" s="57">
        <f ca="1" t="shared" si="125"/>
        <v>15</v>
      </c>
      <c r="I355" s="57">
        <f ca="1" t="shared" si="126"/>
        <v>20</v>
      </c>
      <c r="J355" s="57">
        <f ca="1" t="shared" si="127"/>
        <v>0</v>
      </c>
      <c r="K355" s="42">
        <f ca="1" t="shared" si="128"/>
        <v>0.0277777777777778</v>
      </c>
      <c r="L355" s="42">
        <f ca="1" t="shared" si="129"/>
        <v>0.416666666666667</v>
      </c>
      <c r="M355" s="42">
        <f ca="1" t="shared" si="130"/>
        <v>0.555555555555556</v>
      </c>
      <c r="N355" s="42">
        <f ca="1" t="shared" si="131"/>
        <v>0</v>
      </c>
      <c r="O355" s="1">
        <f ca="1" t="shared" si="132"/>
        <v>1</v>
      </c>
      <c r="P355" s="1">
        <f ca="1" t="shared" si="133"/>
        <v>20</v>
      </c>
      <c r="Q355" s="1">
        <f ca="1" t="shared" si="134"/>
        <v>35</v>
      </c>
      <c r="R355" s="1">
        <f ca="1" t="shared" si="135"/>
        <v>0</v>
      </c>
      <c r="S355" s="1" t="str">
        <f ca="1" t="shared" si="136"/>
        <v>board</v>
      </c>
      <c r="T355" s="1" t="str">
        <f ca="1" t="shared" si="137"/>
        <v>cement</v>
      </c>
      <c r="U355" s="1" t="str">
        <f ca="1" t="shared" si="138"/>
        <v>steel</v>
      </c>
      <c r="V355" s="1" t="str">
        <f ca="1" t="shared" si="139"/>
        <v/>
      </c>
      <c r="W355" s="1" t="str">
        <f ca="1" t="shared" si="140"/>
        <v>board;cement;steel</v>
      </c>
    </row>
    <row r="356" spans="2:23">
      <c r="B356" s="1">
        <v>19</v>
      </c>
      <c r="C356" s="30" t="s">
        <v>372</v>
      </c>
      <c r="D356" s="30" t="s">
        <v>373</v>
      </c>
      <c r="E356" s="30" t="s">
        <v>374</v>
      </c>
      <c r="F356" s="30"/>
      <c r="G356" s="57">
        <f ca="1" t="shared" si="124"/>
        <v>3.5</v>
      </c>
      <c r="H356" s="57">
        <f ca="1" t="shared" si="125"/>
        <v>15</v>
      </c>
      <c r="I356" s="57">
        <f ca="1" t="shared" si="126"/>
        <v>20</v>
      </c>
      <c r="J356" s="57">
        <f ca="1" t="shared" si="127"/>
        <v>0</v>
      </c>
      <c r="K356" s="42">
        <f ca="1" t="shared" si="128"/>
        <v>0.0909090909090909</v>
      </c>
      <c r="L356" s="42">
        <f ca="1" t="shared" si="129"/>
        <v>0.38961038961039</v>
      </c>
      <c r="M356" s="42">
        <f ca="1" t="shared" si="130"/>
        <v>0.519480519480519</v>
      </c>
      <c r="N356" s="42">
        <f ca="1" t="shared" si="131"/>
        <v>0</v>
      </c>
      <c r="O356" s="1">
        <f ca="1" t="shared" si="132"/>
        <v>4</v>
      </c>
      <c r="P356" s="1">
        <f ca="1" t="shared" si="133"/>
        <v>20</v>
      </c>
      <c r="Q356" s="1">
        <f ca="1" t="shared" si="134"/>
        <v>35</v>
      </c>
      <c r="R356" s="1">
        <f ca="1" t="shared" si="135"/>
        <v>0</v>
      </c>
      <c r="S356" s="1" t="str">
        <f ca="1" t="shared" si="136"/>
        <v>brick</v>
      </c>
      <c r="T356" s="1" t="str">
        <f ca="1" t="shared" si="137"/>
        <v>cement</v>
      </c>
      <c r="U356" s="1" t="str">
        <f ca="1" t="shared" si="138"/>
        <v>steel</v>
      </c>
      <c r="V356" s="1" t="str">
        <f ca="1" t="shared" si="139"/>
        <v/>
      </c>
      <c r="W356" s="1" t="str">
        <f ca="1" t="shared" si="140"/>
        <v>brick;cement;steel</v>
      </c>
    </row>
    <row r="357" spans="2:23">
      <c r="B357" s="1">
        <v>20</v>
      </c>
      <c r="C357" s="30" t="s">
        <v>371</v>
      </c>
      <c r="D357" s="30" t="s">
        <v>372</v>
      </c>
      <c r="E357" s="30" t="s">
        <v>373</v>
      </c>
      <c r="F357" s="30" t="s">
        <v>374</v>
      </c>
      <c r="G357" s="57">
        <f ca="1" t="shared" si="124"/>
        <v>1</v>
      </c>
      <c r="H357" s="57">
        <f ca="1" t="shared" si="125"/>
        <v>3.5</v>
      </c>
      <c r="I357" s="57">
        <f ca="1" t="shared" si="126"/>
        <v>15</v>
      </c>
      <c r="J357" s="57">
        <f ca="1" t="shared" si="127"/>
        <v>20</v>
      </c>
      <c r="K357" s="42">
        <f ca="1" t="shared" si="128"/>
        <v>0.0253164556962025</v>
      </c>
      <c r="L357" s="42">
        <f ca="1" t="shared" si="129"/>
        <v>0.0886075949367089</v>
      </c>
      <c r="M357" s="42">
        <f ca="1" t="shared" si="130"/>
        <v>0.379746835443038</v>
      </c>
      <c r="N357" s="42">
        <f ca="1" t="shared" si="131"/>
        <v>0.506329113924051</v>
      </c>
      <c r="O357" s="1">
        <f ca="1" t="shared" si="132"/>
        <v>1</v>
      </c>
      <c r="P357" s="1">
        <f ca="1" t="shared" si="133"/>
        <v>4</v>
      </c>
      <c r="Q357" s="1">
        <f ca="1" t="shared" si="134"/>
        <v>20</v>
      </c>
      <c r="R357" s="1">
        <f ca="1" t="shared" si="135"/>
        <v>35</v>
      </c>
      <c r="S357" s="1" t="str">
        <f ca="1" t="shared" si="136"/>
        <v>board</v>
      </c>
      <c r="T357" s="1" t="str">
        <f ca="1" t="shared" si="137"/>
        <v>brick</v>
      </c>
      <c r="U357" s="1" t="str">
        <f ca="1" t="shared" si="138"/>
        <v>cement</v>
      </c>
      <c r="V357" s="1" t="str">
        <f ca="1" t="shared" si="139"/>
        <v>steel</v>
      </c>
      <c r="W357" s="1" t="str">
        <f ca="1" t="shared" si="140"/>
        <v>board;brick;cement;steel</v>
      </c>
    </row>
    <row r="358" spans="2:23">
      <c r="B358" s="1">
        <v>21</v>
      </c>
      <c r="C358" s="30" t="s">
        <v>372</v>
      </c>
      <c r="D358" s="30" t="s">
        <v>373</v>
      </c>
      <c r="E358" s="30" t="s">
        <v>374</v>
      </c>
      <c r="F358" s="30" t="s">
        <v>375</v>
      </c>
      <c r="G358" s="57">
        <f ca="1" t="shared" si="124"/>
        <v>3.5</v>
      </c>
      <c r="H358" s="57">
        <f ca="1" t="shared" si="125"/>
        <v>15</v>
      </c>
      <c r="I358" s="57">
        <f ca="1" t="shared" si="126"/>
        <v>20</v>
      </c>
      <c r="J358" s="57">
        <f ca="1" t="shared" si="127"/>
        <v>25</v>
      </c>
      <c r="K358" s="42">
        <f ca="1" t="shared" si="128"/>
        <v>0.0551181102362205</v>
      </c>
      <c r="L358" s="42">
        <f ca="1" t="shared" si="129"/>
        <v>0.236220472440945</v>
      </c>
      <c r="M358" s="42">
        <f ca="1" t="shared" si="130"/>
        <v>0.31496062992126</v>
      </c>
      <c r="N358" s="42">
        <f ca="1" t="shared" si="131"/>
        <v>0.393700787401575</v>
      </c>
      <c r="O358" s="1">
        <f ca="1" t="shared" si="132"/>
        <v>4</v>
      </c>
      <c r="P358" s="1">
        <f ca="1" t="shared" si="133"/>
        <v>20</v>
      </c>
      <c r="Q358" s="1">
        <f ca="1" t="shared" si="134"/>
        <v>35</v>
      </c>
      <c r="R358" s="1">
        <f ca="1" t="shared" si="135"/>
        <v>50</v>
      </c>
      <c r="S358" s="1" t="str">
        <f ca="1" t="shared" si="136"/>
        <v>brick</v>
      </c>
      <c r="T358" s="1" t="str">
        <f ca="1" t="shared" si="137"/>
        <v>cement</v>
      </c>
      <c r="U358" s="1" t="str">
        <f ca="1" t="shared" si="138"/>
        <v>steel</v>
      </c>
      <c r="V358" s="1" t="str">
        <f ca="1" t="shared" si="139"/>
        <v>pitch</v>
      </c>
      <c r="W358" s="1" t="str">
        <f ca="1" t="shared" si="140"/>
        <v>brick;cement;steel;pitch</v>
      </c>
    </row>
    <row r="359" spans="2:23">
      <c r="B359" s="1">
        <v>22</v>
      </c>
      <c r="C359" s="30" t="s">
        <v>371</v>
      </c>
      <c r="D359" s="30" t="s">
        <v>372</v>
      </c>
      <c r="E359" s="30" t="s">
        <v>374</v>
      </c>
      <c r="F359" s="30" t="s">
        <v>375</v>
      </c>
      <c r="G359" s="57">
        <f ca="1" t="shared" si="124"/>
        <v>1</v>
      </c>
      <c r="H359" s="57">
        <f ca="1" t="shared" si="125"/>
        <v>3.5</v>
      </c>
      <c r="I359" s="57">
        <f ca="1" t="shared" si="126"/>
        <v>20</v>
      </c>
      <c r="J359" s="57">
        <f ca="1" t="shared" si="127"/>
        <v>25</v>
      </c>
      <c r="K359" s="42">
        <f ca="1" t="shared" si="128"/>
        <v>0.0202020202020202</v>
      </c>
      <c r="L359" s="42">
        <f ca="1" t="shared" si="129"/>
        <v>0.0707070707070707</v>
      </c>
      <c r="M359" s="42">
        <f ca="1" t="shared" si="130"/>
        <v>0.404040404040404</v>
      </c>
      <c r="N359" s="42">
        <f ca="1" t="shared" si="131"/>
        <v>0.505050505050505</v>
      </c>
      <c r="O359" s="1">
        <f ca="1" t="shared" si="132"/>
        <v>1</v>
      </c>
      <c r="P359" s="1">
        <f ca="1" t="shared" si="133"/>
        <v>4</v>
      </c>
      <c r="Q359" s="1">
        <f ca="1" t="shared" si="134"/>
        <v>35</v>
      </c>
      <c r="R359" s="1">
        <f ca="1" t="shared" si="135"/>
        <v>50</v>
      </c>
      <c r="S359" s="1" t="str">
        <f ca="1" t="shared" si="136"/>
        <v>board</v>
      </c>
      <c r="T359" s="1" t="str">
        <f ca="1" t="shared" si="137"/>
        <v>brick</v>
      </c>
      <c r="U359" s="1" t="str">
        <f ca="1" t="shared" si="138"/>
        <v>steel</v>
      </c>
      <c r="V359" s="1" t="str">
        <f ca="1" t="shared" si="139"/>
        <v>pitch</v>
      </c>
      <c r="W359" s="1" t="str">
        <f ca="1" t="shared" si="140"/>
        <v>board;brick;steel;pitch</v>
      </c>
    </row>
    <row r="360" spans="2:23">
      <c r="B360" s="1">
        <v>23</v>
      </c>
      <c r="C360" s="30" t="s">
        <v>372</v>
      </c>
      <c r="D360" s="30" t="s">
        <v>373</v>
      </c>
      <c r="E360" s="30" t="s">
        <v>374</v>
      </c>
      <c r="F360" s="30" t="s">
        <v>375</v>
      </c>
      <c r="G360" s="57">
        <f ca="1" t="shared" si="124"/>
        <v>3.5</v>
      </c>
      <c r="H360" s="57">
        <f ca="1" t="shared" si="125"/>
        <v>15</v>
      </c>
      <c r="I360" s="57">
        <f ca="1" t="shared" si="126"/>
        <v>20</v>
      </c>
      <c r="J360" s="57">
        <f ca="1" t="shared" si="127"/>
        <v>25</v>
      </c>
      <c r="K360" s="42">
        <f ca="1" t="shared" si="128"/>
        <v>0.0551181102362205</v>
      </c>
      <c r="L360" s="42">
        <f ca="1" t="shared" si="129"/>
        <v>0.236220472440945</v>
      </c>
      <c r="M360" s="42">
        <f ca="1" t="shared" si="130"/>
        <v>0.31496062992126</v>
      </c>
      <c r="N360" s="42">
        <f ca="1" t="shared" si="131"/>
        <v>0.393700787401575</v>
      </c>
      <c r="O360" s="1">
        <f ca="1" t="shared" si="132"/>
        <v>4</v>
      </c>
      <c r="P360" s="1">
        <f ca="1" t="shared" si="133"/>
        <v>20</v>
      </c>
      <c r="Q360" s="1">
        <f ca="1" t="shared" si="134"/>
        <v>35</v>
      </c>
      <c r="R360" s="1">
        <f ca="1" t="shared" si="135"/>
        <v>50</v>
      </c>
      <c r="S360" s="1" t="str">
        <f ca="1" t="shared" si="136"/>
        <v>brick</v>
      </c>
      <c r="T360" s="1" t="str">
        <f ca="1" t="shared" si="137"/>
        <v>cement</v>
      </c>
      <c r="U360" s="1" t="str">
        <f ca="1" t="shared" si="138"/>
        <v>steel</v>
      </c>
      <c r="V360" s="1" t="str">
        <f ca="1" t="shared" si="139"/>
        <v>pitch</v>
      </c>
      <c r="W360" s="1" t="str">
        <f ca="1" t="shared" si="140"/>
        <v>brick;cement;steel;pitch</v>
      </c>
    </row>
    <row r="361" spans="2:23">
      <c r="B361" s="1">
        <v>24</v>
      </c>
      <c r="C361" s="30" t="s">
        <v>371</v>
      </c>
      <c r="D361" s="30" t="s">
        <v>373</v>
      </c>
      <c r="E361" s="30" t="s">
        <v>374</v>
      </c>
      <c r="F361" s="30" t="s">
        <v>375</v>
      </c>
      <c r="G361" s="57">
        <f ca="1" t="shared" si="124"/>
        <v>1</v>
      </c>
      <c r="H361" s="57">
        <f ca="1" t="shared" si="125"/>
        <v>15</v>
      </c>
      <c r="I361" s="57">
        <f ca="1" t="shared" si="126"/>
        <v>20</v>
      </c>
      <c r="J361" s="57">
        <f ca="1" t="shared" si="127"/>
        <v>25</v>
      </c>
      <c r="K361" s="42">
        <f ca="1" t="shared" si="128"/>
        <v>0.0163934426229508</v>
      </c>
      <c r="L361" s="42">
        <f ca="1" t="shared" si="129"/>
        <v>0.245901639344262</v>
      </c>
      <c r="M361" s="42">
        <f ca="1" t="shared" si="130"/>
        <v>0.327868852459016</v>
      </c>
      <c r="N361" s="42">
        <f ca="1" t="shared" si="131"/>
        <v>0.409836065573771</v>
      </c>
      <c r="O361" s="1">
        <f ca="1" t="shared" si="132"/>
        <v>1</v>
      </c>
      <c r="P361" s="1">
        <f ca="1" t="shared" si="133"/>
        <v>20</v>
      </c>
      <c r="Q361" s="1">
        <f ca="1" t="shared" si="134"/>
        <v>35</v>
      </c>
      <c r="R361" s="1">
        <f ca="1" t="shared" si="135"/>
        <v>50</v>
      </c>
      <c r="S361" s="1" t="str">
        <f ca="1" t="shared" si="136"/>
        <v>board</v>
      </c>
      <c r="T361" s="1" t="str">
        <f ca="1" t="shared" si="137"/>
        <v>cement</v>
      </c>
      <c r="U361" s="1" t="str">
        <f ca="1" t="shared" si="138"/>
        <v>steel</v>
      </c>
      <c r="V361" s="1" t="str">
        <f ca="1" t="shared" si="139"/>
        <v>pitch</v>
      </c>
      <c r="W361" s="1" t="str">
        <f ca="1" t="shared" si="140"/>
        <v>board;cement;steel;pitch</v>
      </c>
    </row>
    <row r="362" spans="2:23">
      <c r="B362" s="1">
        <v>25</v>
      </c>
      <c r="C362" s="30" t="s">
        <v>372</v>
      </c>
      <c r="D362" s="30" t="s">
        <v>373</v>
      </c>
      <c r="E362" s="30" t="s">
        <v>374</v>
      </c>
      <c r="F362" s="30" t="s">
        <v>375</v>
      </c>
      <c r="G362" s="57">
        <f ca="1" t="shared" si="124"/>
        <v>3.5</v>
      </c>
      <c r="H362" s="57">
        <f ca="1" t="shared" si="125"/>
        <v>15</v>
      </c>
      <c r="I362" s="57">
        <f ca="1" t="shared" si="126"/>
        <v>20</v>
      </c>
      <c r="J362" s="57">
        <f ca="1" t="shared" si="127"/>
        <v>25</v>
      </c>
      <c r="K362" s="42">
        <f ca="1" t="shared" si="128"/>
        <v>0.0551181102362205</v>
      </c>
      <c r="L362" s="42">
        <f ca="1" t="shared" si="129"/>
        <v>0.236220472440945</v>
      </c>
      <c r="M362" s="42">
        <f ca="1" t="shared" si="130"/>
        <v>0.31496062992126</v>
      </c>
      <c r="N362" s="42">
        <f ca="1" t="shared" si="131"/>
        <v>0.393700787401575</v>
      </c>
      <c r="O362" s="1">
        <f ca="1" t="shared" si="132"/>
        <v>4</v>
      </c>
      <c r="P362" s="1">
        <f ca="1" t="shared" si="133"/>
        <v>20</v>
      </c>
      <c r="Q362" s="1">
        <f ca="1" t="shared" si="134"/>
        <v>35</v>
      </c>
      <c r="R362" s="1">
        <f ca="1" t="shared" si="135"/>
        <v>50</v>
      </c>
      <c r="S362" s="1" t="str">
        <f ca="1" t="shared" si="136"/>
        <v>brick</v>
      </c>
      <c r="T362" s="1" t="str">
        <f ca="1" t="shared" si="137"/>
        <v>cement</v>
      </c>
      <c r="U362" s="1" t="str">
        <f ca="1" t="shared" si="138"/>
        <v>steel</v>
      </c>
      <c r="V362" s="1" t="str">
        <f ca="1" t="shared" si="139"/>
        <v>pitch</v>
      </c>
      <c r="W362" s="1" t="str">
        <f ca="1" t="shared" si="140"/>
        <v>brick;cement;steel;pitch</v>
      </c>
    </row>
    <row r="363" spans="2:23">
      <c r="B363" s="1">
        <v>26</v>
      </c>
      <c r="C363" s="30" t="s">
        <v>371</v>
      </c>
      <c r="D363" s="30" t="s">
        <v>373</v>
      </c>
      <c r="E363" s="30" t="s">
        <v>374</v>
      </c>
      <c r="F363" s="30" t="s">
        <v>375</v>
      </c>
      <c r="G363" s="57">
        <f ca="1" t="shared" si="124"/>
        <v>1</v>
      </c>
      <c r="H363" s="57">
        <f ca="1" t="shared" si="125"/>
        <v>15</v>
      </c>
      <c r="I363" s="57">
        <f ca="1" t="shared" si="126"/>
        <v>20</v>
      </c>
      <c r="J363" s="57">
        <f ca="1" t="shared" si="127"/>
        <v>25</v>
      </c>
      <c r="K363" s="42">
        <f ca="1" t="shared" si="128"/>
        <v>0.0163934426229508</v>
      </c>
      <c r="L363" s="42">
        <f ca="1" t="shared" si="129"/>
        <v>0.245901639344262</v>
      </c>
      <c r="M363" s="42">
        <f ca="1" t="shared" si="130"/>
        <v>0.327868852459016</v>
      </c>
      <c r="N363" s="42">
        <f ca="1" t="shared" si="131"/>
        <v>0.409836065573771</v>
      </c>
      <c r="O363" s="1">
        <f ca="1" t="shared" si="132"/>
        <v>1</v>
      </c>
      <c r="P363" s="1">
        <f ca="1" t="shared" si="133"/>
        <v>20</v>
      </c>
      <c r="Q363" s="1">
        <f ca="1" t="shared" si="134"/>
        <v>35</v>
      </c>
      <c r="R363" s="1">
        <f ca="1" t="shared" si="135"/>
        <v>50</v>
      </c>
      <c r="S363" s="1" t="str">
        <f ca="1" t="shared" si="136"/>
        <v>board</v>
      </c>
      <c r="T363" s="1" t="str">
        <f ca="1" t="shared" si="137"/>
        <v>cement</v>
      </c>
      <c r="U363" s="1" t="str">
        <f ca="1" t="shared" si="138"/>
        <v>steel</v>
      </c>
      <c r="V363" s="1" t="str">
        <f ca="1" t="shared" si="139"/>
        <v>pitch</v>
      </c>
      <c r="W363" s="1" t="str">
        <f ca="1" t="shared" si="140"/>
        <v>board;cement;steel;pitch</v>
      </c>
    </row>
    <row r="364" spans="2:23">
      <c r="B364" s="1">
        <v>27</v>
      </c>
      <c r="C364" s="30" t="s">
        <v>372</v>
      </c>
      <c r="D364" s="30" t="s">
        <v>373</v>
      </c>
      <c r="E364" s="30" t="s">
        <v>374</v>
      </c>
      <c r="F364" s="30" t="s">
        <v>375</v>
      </c>
      <c r="G364" s="57">
        <f ca="1" t="shared" si="124"/>
        <v>3.5</v>
      </c>
      <c r="H364" s="57">
        <f ca="1" t="shared" si="125"/>
        <v>15</v>
      </c>
      <c r="I364" s="57">
        <f ca="1" t="shared" si="126"/>
        <v>20</v>
      </c>
      <c r="J364" s="57">
        <f ca="1" t="shared" si="127"/>
        <v>25</v>
      </c>
      <c r="K364" s="42">
        <f ca="1" t="shared" si="128"/>
        <v>0.0551181102362205</v>
      </c>
      <c r="L364" s="42">
        <f ca="1" t="shared" si="129"/>
        <v>0.236220472440945</v>
      </c>
      <c r="M364" s="42">
        <f ca="1" t="shared" si="130"/>
        <v>0.31496062992126</v>
      </c>
      <c r="N364" s="42">
        <f ca="1" t="shared" si="131"/>
        <v>0.393700787401575</v>
      </c>
      <c r="O364" s="1">
        <f ca="1" t="shared" si="132"/>
        <v>4</v>
      </c>
      <c r="P364" s="1">
        <f ca="1" t="shared" si="133"/>
        <v>20</v>
      </c>
      <c r="Q364" s="1">
        <f ca="1" t="shared" si="134"/>
        <v>35</v>
      </c>
      <c r="R364" s="1">
        <f ca="1" t="shared" si="135"/>
        <v>50</v>
      </c>
      <c r="S364" s="1" t="str">
        <f ca="1" t="shared" si="136"/>
        <v>brick</v>
      </c>
      <c r="T364" s="1" t="str">
        <f ca="1" t="shared" si="137"/>
        <v>cement</v>
      </c>
      <c r="U364" s="1" t="str">
        <f ca="1" t="shared" si="138"/>
        <v>steel</v>
      </c>
      <c r="V364" s="1" t="str">
        <f ca="1" t="shared" si="139"/>
        <v>pitch</v>
      </c>
      <c r="W364" s="1" t="str">
        <f ca="1" t="shared" si="140"/>
        <v>brick;cement;steel;pitch</v>
      </c>
    </row>
    <row r="365" spans="2:23">
      <c r="B365" s="1">
        <v>28</v>
      </c>
      <c r="C365" s="30" t="s">
        <v>373</v>
      </c>
      <c r="D365" s="30" t="s">
        <v>374</v>
      </c>
      <c r="E365" s="30" t="s">
        <v>375</v>
      </c>
      <c r="F365" s="30" t="s">
        <v>376</v>
      </c>
      <c r="G365" s="57">
        <f ca="1" t="shared" si="124"/>
        <v>15</v>
      </c>
      <c r="H365" s="57">
        <f ca="1" t="shared" si="125"/>
        <v>20</v>
      </c>
      <c r="I365" s="57">
        <f ca="1" t="shared" si="126"/>
        <v>25</v>
      </c>
      <c r="J365" s="57">
        <f ca="1" t="shared" si="127"/>
        <v>50</v>
      </c>
      <c r="K365" s="42">
        <f ca="1" t="shared" si="128"/>
        <v>0.136363636363636</v>
      </c>
      <c r="L365" s="42">
        <f ca="1" t="shared" si="129"/>
        <v>0.181818181818182</v>
      </c>
      <c r="M365" s="42">
        <f ca="1" t="shared" si="130"/>
        <v>0.227272727272727</v>
      </c>
      <c r="N365" s="42">
        <f ca="1" t="shared" si="131"/>
        <v>0.454545454545455</v>
      </c>
      <c r="O365" s="1">
        <f ca="1" t="shared" si="132"/>
        <v>20</v>
      </c>
      <c r="P365" s="1">
        <f ca="1" t="shared" si="133"/>
        <v>35</v>
      </c>
      <c r="Q365" s="1">
        <f ca="1" t="shared" si="134"/>
        <v>50</v>
      </c>
      <c r="R365" s="1">
        <f ca="1" t="shared" si="135"/>
        <v>110</v>
      </c>
      <c r="S365" s="1" t="str">
        <f ca="1" t="shared" si="136"/>
        <v>cement</v>
      </c>
      <c r="T365" s="1" t="str">
        <f ca="1" t="shared" si="137"/>
        <v>steel</v>
      </c>
      <c r="U365" s="1" t="str">
        <f ca="1" t="shared" si="138"/>
        <v>pitch</v>
      </c>
      <c r="V365" s="1" t="str">
        <f ca="1" t="shared" si="139"/>
        <v>concrete</v>
      </c>
      <c r="W365" s="1" t="str">
        <f ca="1" t="shared" si="140"/>
        <v>cement;steel;pitch;concrete</v>
      </c>
    </row>
    <row r="366" spans="2:23">
      <c r="B366" s="1">
        <v>29</v>
      </c>
      <c r="C366" s="30" t="s">
        <v>372</v>
      </c>
      <c r="D366" s="30" t="s">
        <v>373</v>
      </c>
      <c r="E366" s="30" t="s">
        <v>374</v>
      </c>
      <c r="F366" s="30" t="s">
        <v>376</v>
      </c>
      <c r="G366" s="57">
        <f ca="1" t="shared" si="124"/>
        <v>3.5</v>
      </c>
      <c r="H366" s="57">
        <f ca="1" t="shared" si="125"/>
        <v>15</v>
      </c>
      <c r="I366" s="57">
        <f ca="1" t="shared" si="126"/>
        <v>20</v>
      </c>
      <c r="J366" s="57">
        <f ca="1" t="shared" si="127"/>
        <v>50</v>
      </c>
      <c r="K366" s="42">
        <f ca="1" t="shared" si="128"/>
        <v>0.0395480225988701</v>
      </c>
      <c r="L366" s="42">
        <f ca="1" t="shared" si="129"/>
        <v>0.169491525423729</v>
      </c>
      <c r="M366" s="42">
        <f ca="1" t="shared" si="130"/>
        <v>0.225988700564972</v>
      </c>
      <c r="N366" s="42">
        <f ca="1" t="shared" si="131"/>
        <v>0.564971751412429</v>
      </c>
      <c r="O366" s="1">
        <f ca="1" t="shared" si="132"/>
        <v>4</v>
      </c>
      <c r="P366" s="1">
        <f ca="1" t="shared" si="133"/>
        <v>20</v>
      </c>
      <c r="Q366" s="1">
        <f ca="1" t="shared" si="134"/>
        <v>35</v>
      </c>
      <c r="R366" s="1">
        <f ca="1" t="shared" si="135"/>
        <v>110</v>
      </c>
      <c r="S366" s="1" t="str">
        <f ca="1" t="shared" si="136"/>
        <v>brick</v>
      </c>
      <c r="T366" s="1" t="str">
        <f ca="1" t="shared" si="137"/>
        <v>cement</v>
      </c>
      <c r="U366" s="1" t="str">
        <f ca="1" t="shared" si="138"/>
        <v>steel</v>
      </c>
      <c r="V366" s="1" t="str">
        <f ca="1" t="shared" si="139"/>
        <v>concrete</v>
      </c>
      <c r="W366" s="1" t="str">
        <f ca="1" t="shared" si="140"/>
        <v>brick;cement;steel;concrete</v>
      </c>
    </row>
    <row r="367" spans="2:23">
      <c r="B367" s="1">
        <v>30</v>
      </c>
      <c r="C367" s="30" t="s">
        <v>371</v>
      </c>
      <c r="D367" s="30" t="s">
        <v>373</v>
      </c>
      <c r="E367" s="30" t="s">
        <v>375</v>
      </c>
      <c r="F367" s="30" t="s">
        <v>376</v>
      </c>
      <c r="G367" s="57">
        <f ca="1" t="shared" si="124"/>
        <v>1</v>
      </c>
      <c r="H367" s="57">
        <f ca="1" t="shared" si="125"/>
        <v>15</v>
      </c>
      <c r="I367" s="57">
        <f ca="1" t="shared" si="126"/>
        <v>25</v>
      </c>
      <c r="J367" s="57">
        <f ca="1" t="shared" si="127"/>
        <v>50</v>
      </c>
      <c r="K367" s="42">
        <f ca="1" t="shared" si="128"/>
        <v>0.010989010989011</v>
      </c>
      <c r="L367" s="42">
        <f ca="1" t="shared" si="129"/>
        <v>0.164835164835165</v>
      </c>
      <c r="M367" s="42">
        <f ca="1" t="shared" si="130"/>
        <v>0.274725274725275</v>
      </c>
      <c r="N367" s="42">
        <f ca="1" t="shared" si="131"/>
        <v>0.549450549450549</v>
      </c>
      <c r="O367" s="1">
        <f ca="1" t="shared" si="132"/>
        <v>1</v>
      </c>
      <c r="P367" s="1">
        <f ca="1" t="shared" si="133"/>
        <v>20</v>
      </c>
      <c r="Q367" s="1">
        <f ca="1" t="shared" si="134"/>
        <v>50</v>
      </c>
      <c r="R367" s="1">
        <f ca="1" t="shared" si="135"/>
        <v>110</v>
      </c>
      <c r="S367" s="1" t="str">
        <f ca="1" t="shared" si="136"/>
        <v>board</v>
      </c>
      <c r="T367" s="1" t="str">
        <f ca="1" t="shared" si="137"/>
        <v>cement</v>
      </c>
      <c r="U367" s="1" t="str">
        <f ca="1" t="shared" si="138"/>
        <v>pitch</v>
      </c>
      <c r="V367" s="1" t="str">
        <f ca="1" t="shared" si="139"/>
        <v>concrete</v>
      </c>
      <c r="W367" s="1" t="str">
        <f ca="1" t="shared" si="140"/>
        <v>board;cement;pitch;concrete</v>
      </c>
    </row>
    <row r="368" spans="2:23">
      <c r="B368" s="1">
        <v>31</v>
      </c>
      <c r="C368" s="30" t="s">
        <v>372</v>
      </c>
      <c r="D368" s="30" t="s">
        <v>374</v>
      </c>
      <c r="E368" s="30" t="s">
        <v>375</v>
      </c>
      <c r="F368" s="30" t="s">
        <v>376</v>
      </c>
      <c r="G368" s="57">
        <f ca="1" t="shared" si="124"/>
        <v>3.5</v>
      </c>
      <c r="H368" s="57">
        <f ca="1" t="shared" si="125"/>
        <v>20</v>
      </c>
      <c r="I368" s="57">
        <f ca="1" t="shared" si="126"/>
        <v>25</v>
      </c>
      <c r="J368" s="57">
        <f ca="1" t="shared" si="127"/>
        <v>50</v>
      </c>
      <c r="K368" s="42">
        <f ca="1" t="shared" si="128"/>
        <v>0.0355329949238579</v>
      </c>
      <c r="L368" s="42">
        <f ca="1" t="shared" si="129"/>
        <v>0.203045685279188</v>
      </c>
      <c r="M368" s="42">
        <f ca="1" t="shared" si="130"/>
        <v>0.253807106598985</v>
      </c>
      <c r="N368" s="42">
        <f ca="1" t="shared" si="131"/>
        <v>0.50761421319797</v>
      </c>
      <c r="O368" s="1">
        <f ca="1" t="shared" si="132"/>
        <v>4</v>
      </c>
      <c r="P368" s="1">
        <f ca="1" t="shared" si="133"/>
        <v>35</v>
      </c>
      <c r="Q368" s="1">
        <f ca="1" t="shared" si="134"/>
        <v>50</v>
      </c>
      <c r="R368" s="1">
        <f ca="1" t="shared" si="135"/>
        <v>110</v>
      </c>
      <c r="S368" s="1" t="str">
        <f ca="1" t="shared" si="136"/>
        <v>brick</v>
      </c>
      <c r="T368" s="1" t="str">
        <f ca="1" t="shared" si="137"/>
        <v>steel</v>
      </c>
      <c r="U368" s="1" t="str">
        <f ca="1" t="shared" si="138"/>
        <v>pitch</v>
      </c>
      <c r="V368" s="1" t="str">
        <f ca="1" t="shared" si="139"/>
        <v>concrete</v>
      </c>
      <c r="W368" s="1" t="str">
        <f ca="1" t="shared" si="140"/>
        <v>brick;steel;pitch;concrete</v>
      </c>
    </row>
    <row r="369" spans="2:23">
      <c r="B369" s="1">
        <v>32</v>
      </c>
      <c r="C369" s="30" t="s">
        <v>373</v>
      </c>
      <c r="D369" s="30" t="s">
        <v>374</v>
      </c>
      <c r="E369" s="30" t="s">
        <v>375</v>
      </c>
      <c r="F369" s="30" t="s">
        <v>376</v>
      </c>
      <c r="G369" s="57">
        <f ca="1" t="shared" si="124"/>
        <v>15</v>
      </c>
      <c r="H369" s="57">
        <f ca="1" t="shared" si="125"/>
        <v>20</v>
      </c>
      <c r="I369" s="57">
        <f ca="1" t="shared" si="126"/>
        <v>25</v>
      </c>
      <c r="J369" s="57">
        <f ca="1" t="shared" si="127"/>
        <v>50</v>
      </c>
      <c r="K369" s="42">
        <f ca="1" t="shared" si="128"/>
        <v>0.136363636363636</v>
      </c>
      <c r="L369" s="42">
        <f ca="1" t="shared" si="129"/>
        <v>0.181818181818182</v>
      </c>
      <c r="M369" s="42">
        <f ca="1" t="shared" si="130"/>
        <v>0.227272727272727</v>
      </c>
      <c r="N369" s="42">
        <f ca="1" t="shared" si="131"/>
        <v>0.454545454545455</v>
      </c>
      <c r="O369" s="1">
        <f ca="1" t="shared" si="132"/>
        <v>20</v>
      </c>
      <c r="P369" s="1">
        <f ca="1" t="shared" si="133"/>
        <v>35</v>
      </c>
      <c r="Q369" s="1">
        <f ca="1" t="shared" si="134"/>
        <v>50</v>
      </c>
      <c r="R369" s="1">
        <f ca="1" t="shared" si="135"/>
        <v>110</v>
      </c>
      <c r="S369" s="1" t="str">
        <f ca="1" t="shared" si="136"/>
        <v>cement</v>
      </c>
      <c r="T369" s="1" t="str">
        <f ca="1" t="shared" si="137"/>
        <v>steel</v>
      </c>
      <c r="U369" s="1" t="str">
        <f ca="1" t="shared" si="138"/>
        <v>pitch</v>
      </c>
      <c r="V369" s="1" t="str">
        <f ca="1" t="shared" si="139"/>
        <v>concrete</v>
      </c>
      <c r="W369" s="1" t="str">
        <f ca="1" t="shared" si="140"/>
        <v>cement;steel;pitch;concrete</v>
      </c>
    </row>
    <row r="371" spans="2:12">
      <c r="B371" s="27" t="s">
        <v>843</v>
      </c>
      <c r="C371" s="27"/>
      <c r="D371" s="27"/>
      <c r="E371" s="27"/>
      <c r="F371" s="27"/>
      <c r="G371" s="27"/>
      <c r="H371" s="27"/>
      <c r="I371" s="27"/>
      <c r="J371" s="27"/>
      <c r="K371" s="27"/>
      <c r="L371" s="27"/>
    </row>
    <row r="373" spans="2:15">
      <c r="B373" s="1" t="s">
        <v>382</v>
      </c>
      <c r="C373" s="1" t="s">
        <v>138</v>
      </c>
      <c r="D373" s="1" t="s">
        <v>811</v>
      </c>
      <c r="E373" s="1" t="s">
        <v>812</v>
      </c>
      <c r="F373" s="1" t="s">
        <v>817</v>
      </c>
      <c r="G373" s="1" t="s">
        <v>818</v>
      </c>
      <c r="H373" s="1" t="s">
        <v>775</v>
      </c>
      <c r="J373" s="15" t="s">
        <v>138</v>
      </c>
      <c r="K373" s="15" t="s">
        <v>811</v>
      </c>
      <c r="L373" s="15" t="s">
        <v>812</v>
      </c>
      <c r="M373" s="15" t="s">
        <v>817</v>
      </c>
      <c r="N373" s="15" t="s">
        <v>818</v>
      </c>
      <c r="O373" s="15" t="s">
        <v>775</v>
      </c>
    </row>
    <row r="374" spans="2:15">
      <c r="B374" s="7">
        <v>0</v>
      </c>
      <c r="C374" s="1">
        <f t="shared" ref="C374:C405" si="141">C107</f>
        <v>0</v>
      </c>
      <c r="D374" s="1">
        <f ca="1" t="shared" ref="D374:D405" si="142">IFERROR(OFFSET($P$301,MATCH(C374,$B$301:$B$333,0)-1,0),"")</f>
        <v>0</v>
      </c>
      <c r="E374" s="1">
        <f ca="1" t="shared" ref="E374:E405" si="143">IFERROR(OFFSET($Q$301,MATCH(C374,$B$301:$B$333,0)-1,0),"")</f>
        <v>0</v>
      </c>
      <c r="F374" s="1">
        <f ca="1" t="shared" ref="F374:F405" si="144">IFERROR(OFFSET($R$301,MATCH(C374,$B$301:$B$333,0)-1,0),"")</f>
        <v>0</v>
      </c>
      <c r="G374" s="14">
        <f ca="1" t="shared" ref="G374:G405" si="145">IFERROR(OFFSET($S$301,MATCH(C374,$B$301:$B$333,0)-1,0),"")</f>
        <v>0</v>
      </c>
      <c r="H374" s="58">
        <f ca="1" t="shared" ref="H374:H405" si="146">IFERROR(OFFSET($U$301,MATCH(C374,$B$301:$B$333,0)-1,0),"")</f>
        <v>0</v>
      </c>
      <c r="J374" s="15">
        <f ca="1" t="shared" ref="J374:J405" si="147">IF(C374="",INDIRECT(ADDRESS(ROW()-1,COLUMN())),C374)</f>
        <v>0</v>
      </c>
      <c r="K374" s="15">
        <f ca="1" t="shared" ref="K374:K405" si="148">IF(D374="",INDIRECT(ADDRESS(ROW()-1,COLUMN())),D374)</f>
        <v>0</v>
      </c>
      <c r="L374" s="15">
        <f ca="1" t="shared" ref="L374:L405" si="149">IF(E374="",INDIRECT(ADDRESS(ROW()-1,COLUMN())),E374)</f>
        <v>0</v>
      </c>
      <c r="M374" s="15">
        <f ca="1" t="shared" ref="M374:M405" si="150">IF(F374="",INDIRECT(ADDRESS(ROW()-1,COLUMN())),F374)</f>
        <v>0</v>
      </c>
      <c r="N374" s="53">
        <f ca="1" t="shared" ref="N374:N405" si="151">IF(G374="",INDIRECT(ADDRESS(ROW()-1,COLUMN())),G374)</f>
        <v>0</v>
      </c>
      <c r="O374" s="59">
        <f ca="1" t="shared" ref="O374:O405" si="152">IF(H374="",INDIRECT(ADDRESS(ROW()-1,COLUMN())),H374)</f>
        <v>0</v>
      </c>
    </row>
    <row r="375" spans="2:15">
      <c r="B375" s="7">
        <v>0.1</v>
      </c>
      <c r="C375" s="1">
        <f t="shared" si="141"/>
        <v>1</v>
      </c>
      <c r="D375" s="1">
        <f ca="1" t="shared" si="142"/>
        <v>1</v>
      </c>
      <c r="E375" s="1">
        <f ca="1" t="shared" si="143"/>
        <v>9</v>
      </c>
      <c r="F375" s="1">
        <f ca="1" t="shared" si="144"/>
        <v>50</v>
      </c>
      <c r="G375" s="14">
        <f ca="1" t="shared" si="145"/>
        <v>0</v>
      </c>
      <c r="H375" s="58">
        <f ca="1" t="shared" si="146"/>
        <v>0</v>
      </c>
      <c r="J375" s="15">
        <f ca="1" t="shared" si="147"/>
        <v>1</v>
      </c>
      <c r="K375" s="15">
        <f ca="1" t="shared" si="148"/>
        <v>1</v>
      </c>
      <c r="L375" s="15">
        <f ca="1" t="shared" si="149"/>
        <v>9</v>
      </c>
      <c r="M375" s="15">
        <f ca="1" t="shared" si="150"/>
        <v>50</v>
      </c>
      <c r="N375" s="53">
        <f ca="1" t="shared" si="151"/>
        <v>0</v>
      </c>
      <c r="O375" s="59">
        <f ca="1" t="shared" si="152"/>
        <v>0</v>
      </c>
    </row>
    <row r="376" spans="2:15">
      <c r="B376" s="7">
        <v>0.2</v>
      </c>
      <c r="C376" s="1">
        <f t="shared" si="141"/>
        <v>2</v>
      </c>
      <c r="D376" s="1">
        <f ca="1" t="shared" si="142"/>
        <v>1</v>
      </c>
      <c r="E376" s="1">
        <f ca="1" t="shared" si="143"/>
        <v>12</v>
      </c>
      <c r="F376" s="1">
        <f ca="1" t="shared" si="144"/>
        <v>50</v>
      </c>
      <c r="G376" s="14">
        <f ca="1" t="shared" si="145"/>
        <v>0</v>
      </c>
      <c r="H376" s="58">
        <f ca="1" t="shared" si="146"/>
        <v>0.005</v>
      </c>
      <c r="J376" s="15">
        <f ca="1" t="shared" si="147"/>
        <v>2</v>
      </c>
      <c r="K376" s="15">
        <f ca="1" t="shared" si="148"/>
        <v>1</v>
      </c>
      <c r="L376" s="15">
        <f ca="1" t="shared" si="149"/>
        <v>12</v>
      </c>
      <c r="M376" s="15">
        <f ca="1" t="shared" si="150"/>
        <v>50</v>
      </c>
      <c r="N376" s="53">
        <f ca="1" t="shared" si="151"/>
        <v>0</v>
      </c>
      <c r="O376" s="59">
        <f ca="1" t="shared" si="152"/>
        <v>0.005</v>
      </c>
    </row>
    <row r="377" spans="2:15">
      <c r="B377" s="7">
        <v>0.3</v>
      </c>
      <c r="C377" s="1">
        <f t="shared" si="141"/>
        <v>3</v>
      </c>
      <c r="D377" s="1">
        <f ca="1" t="shared" si="142"/>
        <v>1</v>
      </c>
      <c r="E377" s="1">
        <f ca="1" t="shared" si="143"/>
        <v>15</v>
      </c>
      <c r="F377" s="1">
        <f ca="1" t="shared" si="144"/>
        <v>50</v>
      </c>
      <c r="G377" s="14">
        <f ca="1" t="shared" si="145"/>
        <v>1</v>
      </c>
      <c r="H377" s="58">
        <f ca="1" t="shared" si="146"/>
        <v>0.01</v>
      </c>
      <c r="J377" s="15">
        <f ca="1" t="shared" si="147"/>
        <v>3</v>
      </c>
      <c r="K377" s="15">
        <f ca="1" t="shared" si="148"/>
        <v>1</v>
      </c>
      <c r="L377" s="15">
        <f ca="1" t="shared" si="149"/>
        <v>15</v>
      </c>
      <c r="M377" s="15">
        <f ca="1" t="shared" si="150"/>
        <v>50</v>
      </c>
      <c r="N377" s="53">
        <f ca="1" t="shared" si="151"/>
        <v>1</v>
      </c>
      <c r="O377" s="59">
        <f ca="1" t="shared" si="152"/>
        <v>0.01</v>
      </c>
    </row>
    <row r="378" spans="2:15">
      <c r="B378" s="7">
        <v>0.4</v>
      </c>
      <c r="C378" s="1">
        <f t="shared" si="141"/>
        <v>4</v>
      </c>
      <c r="D378" s="1">
        <f ca="1" t="shared" si="142"/>
        <v>1</v>
      </c>
      <c r="E378" s="1">
        <f ca="1" t="shared" si="143"/>
        <v>18</v>
      </c>
      <c r="F378" s="1">
        <f ca="1" t="shared" si="144"/>
        <v>50</v>
      </c>
      <c r="G378" s="14">
        <f ca="1" t="shared" si="145"/>
        <v>1</v>
      </c>
      <c r="H378" s="58">
        <f ca="1" t="shared" si="146"/>
        <v>0.015</v>
      </c>
      <c r="J378" s="15">
        <f ca="1" t="shared" si="147"/>
        <v>4</v>
      </c>
      <c r="K378" s="15">
        <f ca="1" t="shared" si="148"/>
        <v>1</v>
      </c>
      <c r="L378" s="15">
        <f ca="1" t="shared" si="149"/>
        <v>18</v>
      </c>
      <c r="M378" s="15">
        <f ca="1" t="shared" si="150"/>
        <v>50</v>
      </c>
      <c r="N378" s="53">
        <f ca="1" t="shared" si="151"/>
        <v>1</v>
      </c>
      <c r="O378" s="59">
        <f ca="1" t="shared" si="152"/>
        <v>0.015</v>
      </c>
    </row>
    <row r="379" spans="2:15">
      <c r="B379" s="7">
        <v>0.5</v>
      </c>
      <c r="C379" s="1">
        <f t="shared" si="141"/>
        <v>5</v>
      </c>
      <c r="D379" s="1">
        <f ca="1" t="shared" si="142"/>
        <v>1</v>
      </c>
      <c r="E379" s="1">
        <f ca="1" t="shared" si="143"/>
        <v>21</v>
      </c>
      <c r="F379" s="1">
        <f ca="1" t="shared" si="144"/>
        <v>70</v>
      </c>
      <c r="G379" s="14">
        <f ca="1" t="shared" si="145"/>
        <v>1</v>
      </c>
      <c r="H379" s="58">
        <f ca="1" t="shared" si="146"/>
        <v>0.02</v>
      </c>
      <c r="J379" s="15">
        <f ca="1" t="shared" si="147"/>
        <v>5</v>
      </c>
      <c r="K379" s="15">
        <f ca="1" t="shared" si="148"/>
        <v>1</v>
      </c>
      <c r="L379" s="15">
        <f ca="1" t="shared" si="149"/>
        <v>21</v>
      </c>
      <c r="M379" s="15">
        <f ca="1" t="shared" si="150"/>
        <v>70</v>
      </c>
      <c r="N379" s="53">
        <f ca="1" t="shared" si="151"/>
        <v>1</v>
      </c>
      <c r="O379" s="59">
        <f ca="1" t="shared" si="152"/>
        <v>0.02</v>
      </c>
    </row>
    <row r="380" spans="2:15">
      <c r="B380" s="7">
        <v>0.6</v>
      </c>
      <c r="C380" s="1">
        <f t="shared" si="141"/>
        <v>6</v>
      </c>
      <c r="D380" s="1">
        <f ca="1" t="shared" si="142"/>
        <v>1</v>
      </c>
      <c r="E380" s="1">
        <f ca="1" t="shared" si="143"/>
        <v>24</v>
      </c>
      <c r="F380" s="1">
        <f ca="1" t="shared" si="144"/>
        <v>70</v>
      </c>
      <c r="G380" s="14">
        <f ca="1" t="shared" si="145"/>
        <v>1</v>
      </c>
      <c r="H380" s="58">
        <f ca="1" t="shared" si="146"/>
        <v>0.025</v>
      </c>
      <c r="J380" s="15">
        <f ca="1" t="shared" si="147"/>
        <v>6</v>
      </c>
      <c r="K380" s="15">
        <f ca="1" t="shared" si="148"/>
        <v>1</v>
      </c>
      <c r="L380" s="15">
        <f ca="1" t="shared" si="149"/>
        <v>24</v>
      </c>
      <c r="M380" s="15">
        <f ca="1" t="shared" si="150"/>
        <v>70</v>
      </c>
      <c r="N380" s="53">
        <f ca="1" t="shared" si="151"/>
        <v>1</v>
      </c>
      <c r="O380" s="59">
        <f ca="1" t="shared" si="152"/>
        <v>0.025</v>
      </c>
    </row>
    <row r="381" spans="2:15">
      <c r="B381" s="7">
        <v>0.7</v>
      </c>
      <c r="C381" s="1" t="str">
        <f t="shared" si="141"/>
        <v/>
      </c>
      <c r="D381" s="1" t="str">
        <f ca="1" t="shared" si="142"/>
        <v/>
      </c>
      <c r="E381" s="1" t="str">
        <f ca="1" t="shared" si="143"/>
        <v/>
      </c>
      <c r="F381" s="1" t="str">
        <f ca="1" t="shared" si="144"/>
        <v/>
      </c>
      <c r="G381" s="14" t="str">
        <f ca="1" t="shared" si="145"/>
        <v/>
      </c>
      <c r="H381" s="58" t="str">
        <f ca="1" t="shared" si="146"/>
        <v/>
      </c>
      <c r="J381" s="15">
        <f ca="1" t="shared" si="147"/>
        <v>6</v>
      </c>
      <c r="K381" s="15">
        <f ca="1" t="shared" si="148"/>
        <v>1</v>
      </c>
      <c r="L381" s="15">
        <f ca="1" t="shared" si="149"/>
        <v>24</v>
      </c>
      <c r="M381" s="15">
        <f ca="1" t="shared" si="150"/>
        <v>70</v>
      </c>
      <c r="N381" s="53">
        <f ca="1" t="shared" si="151"/>
        <v>1</v>
      </c>
      <c r="O381" s="59">
        <f ca="1" t="shared" si="152"/>
        <v>0.025</v>
      </c>
    </row>
    <row r="382" spans="2:15">
      <c r="B382" s="7">
        <v>0.8</v>
      </c>
      <c r="C382" s="1">
        <f t="shared" si="141"/>
        <v>7</v>
      </c>
      <c r="D382" s="1">
        <f ca="1" t="shared" si="142"/>
        <v>2</v>
      </c>
      <c r="E382" s="1">
        <f ca="1" t="shared" si="143"/>
        <v>27</v>
      </c>
      <c r="F382" s="1">
        <f ca="1" t="shared" si="144"/>
        <v>70</v>
      </c>
      <c r="G382" s="14">
        <f ca="1" t="shared" si="145"/>
        <v>1.02</v>
      </c>
      <c r="H382" s="58">
        <f ca="1" t="shared" si="146"/>
        <v>0.03</v>
      </c>
      <c r="J382" s="15">
        <f ca="1" t="shared" si="147"/>
        <v>7</v>
      </c>
      <c r="K382" s="15">
        <f ca="1" t="shared" si="148"/>
        <v>2</v>
      </c>
      <c r="L382" s="15">
        <f ca="1" t="shared" si="149"/>
        <v>27</v>
      </c>
      <c r="M382" s="15">
        <f ca="1" t="shared" si="150"/>
        <v>70</v>
      </c>
      <c r="N382" s="53">
        <f ca="1" t="shared" si="151"/>
        <v>1.02</v>
      </c>
      <c r="O382" s="59">
        <f ca="1" t="shared" si="152"/>
        <v>0.03</v>
      </c>
    </row>
    <row r="383" spans="2:15">
      <c r="B383" s="7">
        <v>0.9</v>
      </c>
      <c r="C383" s="1" t="str">
        <f t="shared" si="141"/>
        <v/>
      </c>
      <c r="D383" s="1" t="str">
        <f ca="1" t="shared" si="142"/>
        <v/>
      </c>
      <c r="E383" s="1" t="str">
        <f ca="1" t="shared" si="143"/>
        <v/>
      </c>
      <c r="F383" s="1" t="str">
        <f ca="1" t="shared" si="144"/>
        <v/>
      </c>
      <c r="G383" s="14" t="str">
        <f ca="1" t="shared" si="145"/>
        <v/>
      </c>
      <c r="H383" s="58" t="str">
        <f ca="1" t="shared" si="146"/>
        <v/>
      </c>
      <c r="J383" s="15">
        <f ca="1" t="shared" si="147"/>
        <v>7</v>
      </c>
      <c r="K383" s="15">
        <f ca="1" t="shared" si="148"/>
        <v>2</v>
      </c>
      <c r="L383" s="15">
        <f ca="1" t="shared" si="149"/>
        <v>27</v>
      </c>
      <c r="M383" s="15">
        <f ca="1" t="shared" si="150"/>
        <v>70</v>
      </c>
      <c r="N383" s="53">
        <f ca="1" t="shared" si="151"/>
        <v>1.02</v>
      </c>
      <c r="O383" s="59">
        <f ca="1" t="shared" si="152"/>
        <v>0.03</v>
      </c>
    </row>
    <row r="384" spans="2:15">
      <c r="B384" s="7">
        <v>1</v>
      </c>
      <c r="C384" s="1">
        <f t="shared" si="141"/>
        <v>8</v>
      </c>
      <c r="D384" s="1">
        <f ca="1" t="shared" si="142"/>
        <v>2</v>
      </c>
      <c r="E384" s="1">
        <f ca="1" t="shared" si="143"/>
        <v>30</v>
      </c>
      <c r="F384" s="1">
        <f ca="1" t="shared" si="144"/>
        <v>70</v>
      </c>
      <c r="G384" s="14">
        <f ca="1" t="shared" si="145"/>
        <v>1.02</v>
      </c>
      <c r="H384" s="58">
        <f ca="1" t="shared" si="146"/>
        <v>0.035</v>
      </c>
      <c r="J384" s="15">
        <f ca="1" t="shared" si="147"/>
        <v>8</v>
      </c>
      <c r="K384" s="15">
        <f ca="1" t="shared" si="148"/>
        <v>2</v>
      </c>
      <c r="L384" s="15">
        <f ca="1" t="shared" si="149"/>
        <v>30</v>
      </c>
      <c r="M384" s="15">
        <f ca="1" t="shared" si="150"/>
        <v>70</v>
      </c>
      <c r="N384" s="53">
        <f ca="1" t="shared" si="151"/>
        <v>1.02</v>
      </c>
      <c r="O384" s="59">
        <f ca="1" t="shared" si="152"/>
        <v>0.035</v>
      </c>
    </row>
    <row r="385" spans="2:15">
      <c r="B385" s="9">
        <v>1.5</v>
      </c>
      <c r="C385" s="1">
        <f t="shared" si="141"/>
        <v>9</v>
      </c>
      <c r="D385" s="1">
        <f ca="1" t="shared" si="142"/>
        <v>2</v>
      </c>
      <c r="E385" s="1">
        <f ca="1" t="shared" si="143"/>
        <v>33</v>
      </c>
      <c r="F385" s="1">
        <f ca="1" t="shared" si="144"/>
        <v>90</v>
      </c>
      <c r="G385" s="14">
        <f ca="1" t="shared" si="145"/>
        <v>1.02</v>
      </c>
      <c r="H385" s="58">
        <f ca="1" t="shared" si="146"/>
        <v>0.04</v>
      </c>
      <c r="J385" s="15">
        <f ca="1" t="shared" si="147"/>
        <v>9</v>
      </c>
      <c r="K385" s="15">
        <f ca="1" t="shared" si="148"/>
        <v>2</v>
      </c>
      <c r="L385" s="15">
        <f ca="1" t="shared" si="149"/>
        <v>33</v>
      </c>
      <c r="M385" s="15">
        <f ca="1" t="shared" si="150"/>
        <v>90</v>
      </c>
      <c r="N385" s="53">
        <f ca="1" t="shared" si="151"/>
        <v>1.02</v>
      </c>
      <c r="O385" s="59">
        <f ca="1" t="shared" si="152"/>
        <v>0.04</v>
      </c>
    </row>
    <row r="386" spans="2:15">
      <c r="B386" s="9">
        <v>2</v>
      </c>
      <c r="C386" s="1">
        <f t="shared" si="141"/>
        <v>10</v>
      </c>
      <c r="D386" s="1">
        <f ca="1" t="shared" si="142"/>
        <v>2</v>
      </c>
      <c r="E386" s="1">
        <f ca="1" t="shared" si="143"/>
        <v>36</v>
      </c>
      <c r="F386" s="1">
        <f ca="1" t="shared" si="144"/>
        <v>90</v>
      </c>
      <c r="G386" s="14">
        <f ca="1" t="shared" si="145"/>
        <v>1.02</v>
      </c>
      <c r="H386" s="58">
        <f ca="1" t="shared" si="146"/>
        <v>0.045</v>
      </c>
      <c r="J386" s="15">
        <f ca="1" t="shared" si="147"/>
        <v>10</v>
      </c>
      <c r="K386" s="15">
        <f ca="1" t="shared" si="148"/>
        <v>2</v>
      </c>
      <c r="L386" s="15">
        <f ca="1" t="shared" si="149"/>
        <v>36</v>
      </c>
      <c r="M386" s="15">
        <f ca="1" t="shared" si="150"/>
        <v>90</v>
      </c>
      <c r="N386" s="53">
        <f ca="1" t="shared" si="151"/>
        <v>1.02</v>
      </c>
      <c r="O386" s="59">
        <f ca="1" t="shared" si="152"/>
        <v>0.045</v>
      </c>
    </row>
    <row r="387" spans="2:15">
      <c r="B387" s="9">
        <v>2.5</v>
      </c>
      <c r="C387" s="1">
        <f t="shared" si="141"/>
        <v>11</v>
      </c>
      <c r="D387" s="1">
        <f ca="1" t="shared" si="142"/>
        <v>2</v>
      </c>
      <c r="E387" s="1">
        <f ca="1" t="shared" si="143"/>
        <v>39</v>
      </c>
      <c r="F387" s="1">
        <f ca="1" t="shared" si="144"/>
        <v>90</v>
      </c>
      <c r="G387" s="14">
        <f ca="1" t="shared" si="145"/>
        <v>1.04</v>
      </c>
      <c r="H387" s="58">
        <f ca="1" t="shared" si="146"/>
        <v>0.05</v>
      </c>
      <c r="J387" s="15">
        <f ca="1" t="shared" si="147"/>
        <v>11</v>
      </c>
      <c r="K387" s="15">
        <f ca="1" t="shared" si="148"/>
        <v>2</v>
      </c>
      <c r="L387" s="15">
        <f ca="1" t="shared" si="149"/>
        <v>39</v>
      </c>
      <c r="M387" s="15">
        <f ca="1" t="shared" si="150"/>
        <v>90</v>
      </c>
      <c r="N387" s="53">
        <f ca="1" t="shared" si="151"/>
        <v>1.04</v>
      </c>
      <c r="O387" s="59">
        <f ca="1" t="shared" si="152"/>
        <v>0.05</v>
      </c>
    </row>
    <row r="388" spans="2:15">
      <c r="B388" s="9">
        <v>3</v>
      </c>
      <c r="C388" s="1">
        <f t="shared" si="141"/>
        <v>12</v>
      </c>
      <c r="D388" s="1">
        <f ca="1" t="shared" si="142"/>
        <v>2</v>
      </c>
      <c r="E388" s="1">
        <f ca="1" t="shared" si="143"/>
        <v>42</v>
      </c>
      <c r="F388" s="1">
        <f ca="1" t="shared" si="144"/>
        <v>90</v>
      </c>
      <c r="G388" s="14">
        <f ca="1" t="shared" si="145"/>
        <v>1.04</v>
      </c>
      <c r="H388" s="58">
        <f ca="1" t="shared" si="146"/>
        <v>0.055</v>
      </c>
      <c r="J388" s="15">
        <f ca="1" t="shared" si="147"/>
        <v>12</v>
      </c>
      <c r="K388" s="15">
        <f ca="1" t="shared" si="148"/>
        <v>2</v>
      </c>
      <c r="L388" s="15">
        <f ca="1" t="shared" si="149"/>
        <v>42</v>
      </c>
      <c r="M388" s="15">
        <f ca="1" t="shared" si="150"/>
        <v>90</v>
      </c>
      <c r="N388" s="53">
        <f ca="1" t="shared" si="151"/>
        <v>1.04</v>
      </c>
      <c r="O388" s="59">
        <f ca="1" t="shared" si="152"/>
        <v>0.055</v>
      </c>
    </row>
    <row r="389" spans="2:15">
      <c r="B389" s="9">
        <v>3.5</v>
      </c>
      <c r="C389" s="1" t="str">
        <f t="shared" si="141"/>
        <v/>
      </c>
      <c r="D389" s="1" t="str">
        <f ca="1" t="shared" si="142"/>
        <v/>
      </c>
      <c r="E389" s="1" t="str">
        <f ca="1" t="shared" si="143"/>
        <v/>
      </c>
      <c r="F389" s="1" t="str">
        <f ca="1" t="shared" si="144"/>
        <v/>
      </c>
      <c r="G389" s="14" t="str">
        <f ca="1" t="shared" si="145"/>
        <v/>
      </c>
      <c r="H389" s="58" t="str">
        <f ca="1" t="shared" si="146"/>
        <v/>
      </c>
      <c r="J389" s="15">
        <f ca="1" t="shared" si="147"/>
        <v>12</v>
      </c>
      <c r="K389" s="15">
        <f ca="1" t="shared" si="148"/>
        <v>2</v>
      </c>
      <c r="L389" s="15">
        <f ca="1" t="shared" si="149"/>
        <v>42</v>
      </c>
      <c r="M389" s="15">
        <f ca="1" t="shared" si="150"/>
        <v>90</v>
      </c>
      <c r="N389" s="53">
        <f ca="1" t="shared" si="151"/>
        <v>1.04</v>
      </c>
      <c r="O389" s="59">
        <f ca="1" t="shared" si="152"/>
        <v>0.055</v>
      </c>
    </row>
    <row r="390" spans="2:15">
      <c r="B390" s="9">
        <v>4</v>
      </c>
      <c r="C390" s="1">
        <f t="shared" si="141"/>
        <v>13</v>
      </c>
      <c r="D390" s="1">
        <f ca="1" t="shared" si="142"/>
        <v>2</v>
      </c>
      <c r="E390" s="1">
        <f ca="1" t="shared" si="143"/>
        <v>45</v>
      </c>
      <c r="F390" s="1">
        <f ca="1" t="shared" si="144"/>
        <v>90</v>
      </c>
      <c r="G390" s="14">
        <f ca="1" t="shared" si="145"/>
        <v>1.04</v>
      </c>
      <c r="H390" s="58">
        <f ca="1" t="shared" si="146"/>
        <v>0.06</v>
      </c>
      <c r="J390" s="15">
        <f ca="1" t="shared" si="147"/>
        <v>13</v>
      </c>
      <c r="K390" s="15">
        <f ca="1" t="shared" si="148"/>
        <v>2</v>
      </c>
      <c r="L390" s="15">
        <f ca="1" t="shared" si="149"/>
        <v>45</v>
      </c>
      <c r="M390" s="15">
        <f ca="1" t="shared" si="150"/>
        <v>90</v>
      </c>
      <c r="N390" s="53">
        <f ca="1" t="shared" si="151"/>
        <v>1.04</v>
      </c>
      <c r="O390" s="59">
        <f ca="1" t="shared" si="152"/>
        <v>0.06</v>
      </c>
    </row>
    <row r="391" spans="2:15">
      <c r="B391" s="9">
        <v>4.5</v>
      </c>
      <c r="C391" s="1" t="str">
        <f t="shared" si="141"/>
        <v/>
      </c>
      <c r="D391" s="1" t="str">
        <f ca="1" t="shared" si="142"/>
        <v/>
      </c>
      <c r="E391" s="1" t="str">
        <f ca="1" t="shared" si="143"/>
        <v/>
      </c>
      <c r="F391" s="1" t="str">
        <f ca="1" t="shared" si="144"/>
        <v/>
      </c>
      <c r="G391" s="14" t="str">
        <f ca="1" t="shared" si="145"/>
        <v/>
      </c>
      <c r="H391" s="58" t="str">
        <f ca="1" t="shared" si="146"/>
        <v/>
      </c>
      <c r="J391" s="15">
        <f ca="1" t="shared" si="147"/>
        <v>13</v>
      </c>
      <c r="K391" s="15">
        <f ca="1" t="shared" si="148"/>
        <v>2</v>
      </c>
      <c r="L391" s="15">
        <f ca="1" t="shared" si="149"/>
        <v>45</v>
      </c>
      <c r="M391" s="15">
        <f ca="1" t="shared" si="150"/>
        <v>90</v>
      </c>
      <c r="N391" s="53">
        <f ca="1" t="shared" si="151"/>
        <v>1.04</v>
      </c>
      <c r="O391" s="59">
        <f ca="1" t="shared" si="152"/>
        <v>0.06</v>
      </c>
    </row>
    <row r="392" spans="2:15">
      <c r="B392" s="9">
        <v>5</v>
      </c>
      <c r="C392" s="1">
        <f t="shared" si="141"/>
        <v>14</v>
      </c>
      <c r="D392" s="1">
        <f ca="1" t="shared" si="142"/>
        <v>2</v>
      </c>
      <c r="E392" s="1">
        <f ca="1" t="shared" si="143"/>
        <v>48</v>
      </c>
      <c r="F392" s="1">
        <f ca="1" t="shared" si="144"/>
        <v>120</v>
      </c>
      <c r="G392" s="14">
        <f ca="1" t="shared" si="145"/>
        <v>1.04</v>
      </c>
      <c r="H392" s="58">
        <f ca="1" t="shared" si="146"/>
        <v>0.065</v>
      </c>
      <c r="J392" s="15">
        <f ca="1" t="shared" si="147"/>
        <v>14</v>
      </c>
      <c r="K392" s="15">
        <f ca="1" t="shared" si="148"/>
        <v>2</v>
      </c>
      <c r="L392" s="15">
        <f ca="1" t="shared" si="149"/>
        <v>48</v>
      </c>
      <c r="M392" s="15">
        <f ca="1" t="shared" si="150"/>
        <v>120</v>
      </c>
      <c r="N392" s="53">
        <f ca="1" t="shared" si="151"/>
        <v>1.04</v>
      </c>
      <c r="O392" s="59">
        <f ca="1" t="shared" si="152"/>
        <v>0.065</v>
      </c>
    </row>
    <row r="393" spans="2:15">
      <c r="B393" s="9">
        <v>5.5</v>
      </c>
      <c r="C393" s="1" t="str">
        <f t="shared" si="141"/>
        <v/>
      </c>
      <c r="D393" s="1" t="str">
        <f ca="1" t="shared" si="142"/>
        <v/>
      </c>
      <c r="E393" s="1" t="str">
        <f ca="1" t="shared" si="143"/>
        <v/>
      </c>
      <c r="F393" s="1" t="str">
        <f ca="1" t="shared" si="144"/>
        <v/>
      </c>
      <c r="G393" s="14" t="str">
        <f ca="1" t="shared" si="145"/>
        <v/>
      </c>
      <c r="H393" s="58" t="str">
        <f ca="1" t="shared" si="146"/>
        <v/>
      </c>
      <c r="J393" s="15">
        <f ca="1" t="shared" si="147"/>
        <v>14</v>
      </c>
      <c r="K393" s="15">
        <f ca="1" t="shared" si="148"/>
        <v>2</v>
      </c>
      <c r="L393" s="15">
        <f ca="1" t="shared" si="149"/>
        <v>48</v>
      </c>
      <c r="M393" s="15">
        <f ca="1" t="shared" si="150"/>
        <v>120</v>
      </c>
      <c r="N393" s="53">
        <f ca="1" t="shared" si="151"/>
        <v>1.04</v>
      </c>
      <c r="O393" s="59">
        <f ca="1" t="shared" si="152"/>
        <v>0.065</v>
      </c>
    </row>
    <row r="394" spans="2:15">
      <c r="B394" s="9">
        <v>6</v>
      </c>
      <c r="C394" s="1" t="str">
        <f t="shared" si="141"/>
        <v/>
      </c>
      <c r="D394" s="1" t="str">
        <f ca="1" t="shared" si="142"/>
        <v/>
      </c>
      <c r="E394" s="1" t="str">
        <f ca="1" t="shared" si="143"/>
        <v/>
      </c>
      <c r="F394" s="1" t="str">
        <f ca="1" t="shared" si="144"/>
        <v/>
      </c>
      <c r="G394" s="14" t="str">
        <f ca="1" t="shared" si="145"/>
        <v/>
      </c>
      <c r="H394" s="58" t="str">
        <f ca="1" t="shared" si="146"/>
        <v/>
      </c>
      <c r="J394" s="15">
        <f ca="1" t="shared" si="147"/>
        <v>14</v>
      </c>
      <c r="K394" s="15">
        <f ca="1" t="shared" si="148"/>
        <v>2</v>
      </c>
      <c r="L394" s="15">
        <f ca="1" t="shared" si="149"/>
        <v>48</v>
      </c>
      <c r="M394" s="15">
        <f ca="1" t="shared" si="150"/>
        <v>120</v>
      </c>
      <c r="N394" s="53">
        <f ca="1" t="shared" si="151"/>
        <v>1.04</v>
      </c>
      <c r="O394" s="59">
        <f ca="1" t="shared" si="152"/>
        <v>0.065</v>
      </c>
    </row>
    <row r="395" spans="2:15">
      <c r="B395" s="9">
        <v>6.5</v>
      </c>
      <c r="C395" s="1" t="str">
        <f t="shared" si="141"/>
        <v/>
      </c>
      <c r="D395" s="1" t="str">
        <f ca="1" t="shared" si="142"/>
        <v/>
      </c>
      <c r="E395" s="1" t="str">
        <f ca="1" t="shared" si="143"/>
        <v/>
      </c>
      <c r="F395" s="1" t="str">
        <f ca="1" t="shared" si="144"/>
        <v/>
      </c>
      <c r="G395" s="14" t="str">
        <f ca="1" t="shared" si="145"/>
        <v/>
      </c>
      <c r="H395" s="58" t="str">
        <f ca="1" t="shared" si="146"/>
        <v/>
      </c>
      <c r="J395" s="15">
        <f ca="1" t="shared" si="147"/>
        <v>14</v>
      </c>
      <c r="K395" s="15">
        <f ca="1" t="shared" si="148"/>
        <v>2</v>
      </c>
      <c r="L395" s="15">
        <f ca="1" t="shared" si="149"/>
        <v>48</v>
      </c>
      <c r="M395" s="15">
        <f ca="1" t="shared" si="150"/>
        <v>120</v>
      </c>
      <c r="N395" s="53">
        <f ca="1" t="shared" si="151"/>
        <v>1.04</v>
      </c>
      <c r="O395" s="59">
        <f ca="1" t="shared" si="152"/>
        <v>0.065</v>
      </c>
    </row>
    <row r="396" spans="2:15">
      <c r="B396" s="9">
        <v>7</v>
      </c>
      <c r="C396" s="1">
        <f t="shared" si="141"/>
        <v>15</v>
      </c>
      <c r="D396" s="1">
        <f ca="1" t="shared" si="142"/>
        <v>3</v>
      </c>
      <c r="E396" s="1">
        <f ca="1" t="shared" si="143"/>
        <v>51</v>
      </c>
      <c r="F396" s="1">
        <f ca="1" t="shared" si="144"/>
        <v>120</v>
      </c>
      <c r="G396" s="14">
        <f ca="1" t="shared" si="145"/>
        <v>1.04</v>
      </c>
      <c r="H396" s="58">
        <f ca="1" t="shared" si="146"/>
        <v>0.07</v>
      </c>
      <c r="J396" s="15">
        <f ca="1" t="shared" si="147"/>
        <v>15</v>
      </c>
      <c r="K396" s="15">
        <f ca="1" t="shared" si="148"/>
        <v>3</v>
      </c>
      <c r="L396" s="15">
        <f ca="1" t="shared" si="149"/>
        <v>51</v>
      </c>
      <c r="M396" s="15">
        <f ca="1" t="shared" si="150"/>
        <v>120</v>
      </c>
      <c r="N396" s="53">
        <f ca="1" t="shared" si="151"/>
        <v>1.04</v>
      </c>
      <c r="O396" s="59">
        <f ca="1" t="shared" si="152"/>
        <v>0.07</v>
      </c>
    </row>
    <row r="397" spans="2:15">
      <c r="B397" s="10">
        <v>8</v>
      </c>
      <c r="C397" s="1" t="str">
        <f t="shared" si="141"/>
        <v/>
      </c>
      <c r="D397" s="1" t="str">
        <f ca="1" t="shared" si="142"/>
        <v/>
      </c>
      <c r="E397" s="1" t="str">
        <f ca="1" t="shared" si="143"/>
        <v/>
      </c>
      <c r="F397" s="1" t="str">
        <f ca="1" t="shared" si="144"/>
        <v/>
      </c>
      <c r="G397" s="14" t="str">
        <f ca="1" t="shared" si="145"/>
        <v/>
      </c>
      <c r="H397" s="58" t="str">
        <f ca="1" t="shared" si="146"/>
        <v/>
      </c>
      <c r="J397" s="15">
        <f ca="1" t="shared" si="147"/>
        <v>15</v>
      </c>
      <c r="K397" s="15">
        <f ca="1" t="shared" si="148"/>
        <v>3</v>
      </c>
      <c r="L397" s="15">
        <f ca="1" t="shared" si="149"/>
        <v>51</v>
      </c>
      <c r="M397" s="15">
        <f ca="1" t="shared" si="150"/>
        <v>120</v>
      </c>
      <c r="N397" s="53">
        <f ca="1" t="shared" si="151"/>
        <v>1.04</v>
      </c>
      <c r="O397" s="59">
        <f ca="1" t="shared" si="152"/>
        <v>0.07</v>
      </c>
    </row>
    <row r="398" spans="2:15">
      <c r="B398" s="10">
        <v>9</v>
      </c>
      <c r="C398" s="1">
        <f t="shared" si="141"/>
        <v>16</v>
      </c>
      <c r="D398" s="1">
        <f ca="1" t="shared" si="142"/>
        <v>3</v>
      </c>
      <c r="E398" s="1">
        <f ca="1" t="shared" si="143"/>
        <v>54</v>
      </c>
      <c r="F398" s="1">
        <f ca="1" t="shared" si="144"/>
        <v>120</v>
      </c>
      <c r="G398" s="14">
        <f ca="1" t="shared" si="145"/>
        <v>1.06</v>
      </c>
      <c r="H398" s="58">
        <f ca="1" t="shared" si="146"/>
        <v>0.075</v>
      </c>
      <c r="J398" s="15">
        <f ca="1" t="shared" si="147"/>
        <v>16</v>
      </c>
      <c r="K398" s="15">
        <f ca="1" t="shared" si="148"/>
        <v>3</v>
      </c>
      <c r="L398" s="15">
        <f ca="1" t="shared" si="149"/>
        <v>54</v>
      </c>
      <c r="M398" s="15">
        <f ca="1" t="shared" si="150"/>
        <v>120</v>
      </c>
      <c r="N398" s="53">
        <f ca="1" t="shared" si="151"/>
        <v>1.06</v>
      </c>
      <c r="O398" s="59">
        <f ca="1" t="shared" si="152"/>
        <v>0.075</v>
      </c>
    </row>
    <row r="399" spans="2:15">
      <c r="B399" s="10">
        <v>10</v>
      </c>
      <c r="C399" s="1" t="str">
        <f t="shared" si="141"/>
        <v/>
      </c>
      <c r="D399" s="1" t="str">
        <f ca="1" t="shared" si="142"/>
        <v/>
      </c>
      <c r="E399" s="1" t="str">
        <f ca="1" t="shared" si="143"/>
        <v/>
      </c>
      <c r="F399" s="1" t="str">
        <f ca="1" t="shared" si="144"/>
        <v/>
      </c>
      <c r="G399" s="14" t="str">
        <f ca="1" t="shared" si="145"/>
        <v/>
      </c>
      <c r="H399" s="58" t="str">
        <f ca="1" t="shared" si="146"/>
        <v/>
      </c>
      <c r="J399" s="15">
        <f ca="1" t="shared" si="147"/>
        <v>16</v>
      </c>
      <c r="K399" s="15">
        <f ca="1" t="shared" si="148"/>
        <v>3</v>
      </c>
      <c r="L399" s="15">
        <f ca="1" t="shared" si="149"/>
        <v>54</v>
      </c>
      <c r="M399" s="15">
        <f ca="1" t="shared" si="150"/>
        <v>120</v>
      </c>
      <c r="N399" s="53">
        <f ca="1" t="shared" si="151"/>
        <v>1.06</v>
      </c>
      <c r="O399" s="59">
        <f ca="1" t="shared" si="152"/>
        <v>0.075</v>
      </c>
    </row>
    <row r="400" spans="2:15">
      <c r="B400" s="10">
        <v>11</v>
      </c>
      <c r="C400" s="1">
        <f t="shared" si="141"/>
        <v>17</v>
      </c>
      <c r="D400" s="1">
        <f ca="1" t="shared" si="142"/>
        <v>3</v>
      </c>
      <c r="E400" s="1">
        <f ca="1" t="shared" si="143"/>
        <v>57</v>
      </c>
      <c r="F400" s="1">
        <f ca="1" t="shared" si="144"/>
        <v>120</v>
      </c>
      <c r="G400" s="14">
        <f ca="1" t="shared" si="145"/>
        <v>1.06</v>
      </c>
      <c r="H400" s="58">
        <f ca="1" t="shared" si="146"/>
        <v>0.08</v>
      </c>
      <c r="J400" s="15">
        <f ca="1" t="shared" si="147"/>
        <v>17</v>
      </c>
      <c r="K400" s="15">
        <f ca="1" t="shared" si="148"/>
        <v>3</v>
      </c>
      <c r="L400" s="15">
        <f ca="1" t="shared" si="149"/>
        <v>57</v>
      </c>
      <c r="M400" s="15">
        <f ca="1" t="shared" si="150"/>
        <v>120</v>
      </c>
      <c r="N400" s="53">
        <f ca="1" t="shared" si="151"/>
        <v>1.06</v>
      </c>
      <c r="O400" s="59">
        <f ca="1" t="shared" si="152"/>
        <v>0.08</v>
      </c>
    </row>
    <row r="401" spans="2:15">
      <c r="B401" s="10">
        <v>12</v>
      </c>
      <c r="C401" s="1" t="str">
        <f t="shared" si="141"/>
        <v/>
      </c>
      <c r="D401" s="1" t="str">
        <f ca="1" t="shared" si="142"/>
        <v/>
      </c>
      <c r="E401" s="1" t="str">
        <f ca="1" t="shared" si="143"/>
        <v/>
      </c>
      <c r="F401" s="1" t="str">
        <f ca="1" t="shared" si="144"/>
        <v/>
      </c>
      <c r="G401" s="14" t="str">
        <f ca="1" t="shared" si="145"/>
        <v/>
      </c>
      <c r="H401" s="58" t="str">
        <f ca="1" t="shared" si="146"/>
        <v/>
      </c>
      <c r="J401" s="15">
        <f ca="1" t="shared" si="147"/>
        <v>17</v>
      </c>
      <c r="K401" s="15">
        <f ca="1" t="shared" si="148"/>
        <v>3</v>
      </c>
      <c r="L401" s="15">
        <f ca="1" t="shared" si="149"/>
        <v>57</v>
      </c>
      <c r="M401" s="15">
        <f ca="1" t="shared" si="150"/>
        <v>120</v>
      </c>
      <c r="N401" s="53">
        <f ca="1" t="shared" si="151"/>
        <v>1.06</v>
      </c>
      <c r="O401" s="59">
        <f ca="1" t="shared" si="152"/>
        <v>0.08</v>
      </c>
    </row>
    <row r="402" spans="2:15">
      <c r="B402" s="10">
        <v>13</v>
      </c>
      <c r="C402" s="1" t="str">
        <f t="shared" si="141"/>
        <v/>
      </c>
      <c r="D402" s="1" t="str">
        <f ca="1" t="shared" si="142"/>
        <v/>
      </c>
      <c r="E402" s="1" t="str">
        <f ca="1" t="shared" si="143"/>
        <v/>
      </c>
      <c r="F402" s="1" t="str">
        <f ca="1" t="shared" si="144"/>
        <v/>
      </c>
      <c r="G402" s="14" t="str">
        <f ca="1" t="shared" si="145"/>
        <v/>
      </c>
      <c r="H402" s="58" t="str">
        <f ca="1" t="shared" si="146"/>
        <v/>
      </c>
      <c r="J402" s="15">
        <f ca="1" t="shared" si="147"/>
        <v>17</v>
      </c>
      <c r="K402" s="15">
        <f ca="1" t="shared" si="148"/>
        <v>3</v>
      </c>
      <c r="L402" s="15">
        <f ca="1" t="shared" si="149"/>
        <v>57</v>
      </c>
      <c r="M402" s="15">
        <f ca="1" t="shared" si="150"/>
        <v>120</v>
      </c>
      <c r="N402" s="53">
        <f ca="1" t="shared" si="151"/>
        <v>1.06</v>
      </c>
      <c r="O402" s="59">
        <f ca="1" t="shared" si="152"/>
        <v>0.08</v>
      </c>
    </row>
    <row r="403" spans="2:15">
      <c r="B403" s="10">
        <v>14</v>
      </c>
      <c r="C403" s="1">
        <f t="shared" si="141"/>
        <v>18</v>
      </c>
      <c r="D403" s="1">
        <f ca="1" t="shared" si="142"/>
        <v>3</v>
      </c>
      <c r="E403" s="1">
        <f ca="1" t="shared" si="143"/>
        <v>60</v>
      </c>
      <c r="F403" s="1">
        <f ca="1" t="shared" si="144"/>
        <v>150</v>
      </c>
      <c r="G403" s="14">
        <f ca="1" t="shared" si="145"/>
        <v>1.06</v>
      </c>
      <c r="H403" s="58">
        <f ca="1" t="shared" si="146"/>
        <v>0.085</v>
      </c>
      <c r="J403" s="15">
        <f ca="1" t="shared" si="147"/>
        <v>18</v>
      </c>
      <c r="K403" s="15">
        <f ca="1" t="shared" si="148"/>
        <v>3</v>
      </c>
      <c r="L403" s="15">
        <f ca="1" t="shared" si="149"/>
        <v>60</v>
      </c>
      <c r="M403" s="15">
        <f ca="1" t="shared" si="150"/>
        <v>150</v>
      </c>
      <c r="N403" s="53">
        <f ca="1" t="shared" si="151"/>
        <v>1.06</v>
      </c>
      <c r="O403" s="59">
        <f ca="1" t="shared" si="152"/>
        <v>0.085</v>
      </c>
    </row>
    <row r="404" spans="2:15">
      <c r="B404" s="10">
        <v>15</v>
      </c>
      <c r="C404" s="1" t="str">
        <f t="shared" si="141"/>
        <v/>
      </c>
      <c r="D404" s="1" t="str">
        <f ca="1" t="shared" si="142"/>
        <v/>
      </c>
      <c r="E404" s="1" t="str">
        <f ca="1" t="shared" si="143"/>
        <v/>
      </c>
      <c r="F404" s="1" t="str">
        <f ca="1" t="shared" si="144"/>
        <v/>
      </c>
      <c r="G404" s="14" t="str">
        <f ca="1" t="shared" si="145"/>
        <v/>
      </c>
      <c r="H404" s="58" t="str">
        <f ca="1" t="shared" si="146"/>
        <v/>
      </c>
      <c r="J404" s="15">
        <f ca="1" t="shared" si="147"/>
        <v>18</v>
      </c>
      <c r="K404" s="15">
        <f ca="1" t="shared" si="148"/>
        <v>3</v>
      </c>
      <c r="L404" s="15">
        <f ca="1" t="shared" si="149"/>
        <v>60</v>
      </c>
      <c r="M404" s="15">
        <f ca="1" t="shared" si="150"/>
        <v>150</v>
      </c>
      <c r="N404" s="53">
        <f ca="1" t="shared" si="151"/>
        <v>1.06</v>
      </c>
      <c r="O404" s="59">
        <f ca="1" t="shared" si="152"/>
        <v>0.085</v>
      </c>
    </row>
    <row r="405" spans="2:15">
      <c r="B405" s="10">
        <v>16</v>
      </c>
      <c r="C405" s="1" t="str">
        <f t="shared" si="141"/>
        <v/>
      </c>
      <c r="D405" s="1" t="str">
        <f ca="1" t="shared" si="142"/>
        <v/>
      </c>
      <c r="E405" s="1" t="str">
        <f ca="1" t="shared" si="143"/>
        <v/>
      </c>
      <c r="F405" s="1" t="str">
        <f ca="1" t="shared" si="144"/>
        <v/>
      </c>
      <c r="G405" s="14" t="str">
        <f ca="1" t="shared" si="145"/>
        <v/>
      </c>
      <c r="H405" s="58" t="str">
        <f ca="1" t="shared" si="146"/>
        <v/>
      </c>
      <c r="J405" s="15">
        <f ca="1" t="shared" si="147"/>
        <v>18</v>
      </c>
      <c r="K405" s="15">
        <f ca="1" t="shared" si="148"/>
        <v>3</v>
      </c>
      <c r="L405" s="15">
        <f ca="1" t="shared" si="149"/>
        <v>60</v>
      </c>
      <c r="M405" s="15">
        <f ca="1" t="shared" si="150"/>
        <v>150</v>
      </c>
      <c r="N405" s="53">
        <f ca="1" t="shared" si="151"/>
        <v>1.06</v>
      </c>
      <c r="O405" s="59">
        <f ca="1" t="shared" si="152"/>
        <v>0.085</v>
      </c>
    </row>
    <row r="406" spans="2:15">
      <c r="B406" s="10">
        <v>17</v>
      </c>
      <c r="C406" s="1">
        <f t="shared" ref="C406:C437" si="153">C139</f>
        <v>19</v>
      </c>
      <c r="D406" s="1">
        <f ca="1" t="shared" ref="D406:D437" si="154">IFERROR(OFFSET($P$301,MATCH(C406,$B$301:$B$333,0)-1,0),"")</f>
        <v>3</v>
      </c>
      <c r="E406" s="1">
        <f ca="1" t="shared" ref="E406:E437" si="155">IFERROR(OFFSET($Q$301,MATCH(C406,$B$301:$B$333,0)-1,0),"")</f>
        <v>63</v>
      </c>
      <c r="F406" s="1">
        <f ca="1" t="shared" ref="F406:F437" si="156">IFERROR(OFFSET($R$301,MATCH(C406,$B$301:$B$333,0)-1,0),"")</f>
        <v>150</v>
      </c>
      <c r="G406" s="14">
        <f ca="1" t="shared" ref="G406:G437" si="157">IFERROR(OFFSET($S$301,MATCH(C406,$B$301:$B$333,0)-1,0),"")</f>
        <v>1.06</v>
      </c>
      <c r="H406" s="58">
        <f ca="1" t="shared" ref="H406:H437" si="158">IFERROR(OFFSET($U$301,MATCH(C406,$B$301:$B$333,0)-1,0),"")</f>
        <v>0.09</v>
      </c>
      <c r="J406" s="15">
        <f ca="1" t="shared" ref="J406:J437" si="159">IF(C406="",INDIRECT(ADDRESS(ROW()-1,COLUMN())),C406)</f>
        <v>19</v>
      </c>
      <c r="K406" s="15">
        <f ca="1" t="shared" ref="K406:K437" si="160">IF(D406="",INDIRECT(ADDRESS(ROW()-1,COLUMN())),D406)</f>
        <v>3</v>
      </c>
      <c r="L406" s="15">
        <f ca="1" t="shared" ref="L406:L437" si="161">IF(E406="",INDIRECT(ADDRESS(ROW()-1,COLUMN())),E406)</f>
        <v>63</v>
      </c>
      <c r="M406" s="15">
        <f ca="1" t="shared" ref="M406:M437" si="162">IF(F406="",INDIRECT(ADDRESS(ROW()-1,COLUMN())),F406)</f>
        <v>150</v>
      </c>
      <c r="N406" s="53">
        <f ca="1" t="shared" ref="N406:N437" si="163">IF(G406="",INDIRECT(ADDRESS(ROW()-1,COLUMN())),G406)</f>
        <v>1.06</v>
      </c>
      <c r="O406" s="59">
        <f ca="1" t="shared" ref="O406:O437" si="164">IF(H406="",INDIRECT(ADDRESS(ROW()-1,COLUMN())),H406)</f>
        <v>0.09</v>
      </c>
    </row>
    <row r="407" spans="2:15">
      <c r="B407" s="10">
        <v>18</v>
      </c>
      <c r="C407" s="1" t="str">
        <f t="shared" si="153"/>
        <v/>
      </c>
      <c r="D407" s="1" t="str">
        <f ca="1" t="shared" si="154"/>
        <v/>
      </c>
      <c r="E407" s="1" t="str">
        <f ca="1" t="shared" si="155"/>
        <v/>
      </c>
      <c r="F407" s="1" t="str">
        <f ca="1" t="shared" si="156"/>
        <v/>
      </c>
      <c r="G407" s="14" t="str">
        <f ca="1" t="shared" si="157"/>
        <v/>
      </c>
      <c r="H407" s="58" t="str">
        <f ca="1" t="shared" si="158"/>
        <v/>
      </c>
      <c r="J407" s="15">
        <f ca="1" t="shared" si="159"/>
        <v>19</v>
      </c>
      <c r="K407" s="15">
        <f ca="1" t="shared" si="160"/>
        <v>3</v>
      </c>
      <c r="L407" s="15">
        <f ca="1" t="shared" si="161"/>
        <v>63</v>
      </c>
      <c r="M407" s="15">
        <f ca="1" t="shared" si="162"/>
        <v>150</v>
      </c>
      <c r="N407" s="53">
        <f ca="1" t="shared" si="163"/>
        <v>1.06</v>
      </c>
      <c r="O407" s="59">
        <f ca="1" t="shared" si="164"/>
        <v>0.09</v>
      </c>
    </row>
    <row r="408" spans="2:15">
      <c r="B408" s="10">
        <v>19</v>
      </c>
      <c r="C408" s="1" t="str">
        <f t="shared" si="153"/>
        <v/>
      </c>
      <c r="D408" s="1" t="str">
        <f ca="1" t="shared" si="154"/>
        <v/>
      </c>
      <c r="E408" s="1" t="str">
        <f ca="1" t="shared" si="155"/>
        <v/>
      </c>
      <c r="F408" s="1" t="str">
        <f ca="1" t="shared" si="156"/>
        <v/>
      </c>
      <c r="G408" s="14" t="str">
        <f ca="1" t="shared" si="157"/>
        <v/>
      </c>
      <c r="H408" s="58" t="str">
        <f ca="1" t="shared" si="158"/>
        <v/>
      </c>
      <c r="J408" s="15">
        <f ca="1" t="shared" si="159"/>
        <v>19</v>
      </c>
      <c r="K408" s="15">
        <f ca="1" t="shared" si="160"/>
        <v>3</v>
      </c>
      <c r="L408" s="15">
        <f ca="1" t="shared" si="161"/>
        <v>63</v>
      </c>
      <c r="M408" s="15">
        <f ca="1" t="shared" si="162"/>
        <v>150</v>
      </c>
      <c r="N408" s="53">
        <f ca="1" t="shared" si="163"/>
        <v>1.06</v>
      </c>
      <c r="O408" s="59">
        <f ca="1" t="shared" si="164"/>
        <v>0.09</v>
      </c>
    </row>
    <row r="409" spans="2:15">
      <c r="B409" s="10">
        <v>20</v>
      </c>
      <c r="C409" s="1">
        <f t="shared" si="153"/>
        <v>20</v>
      </c>
      <c r="D409" s="1">
        <f ca="1" t="shared" si="154"/>
        <v>4</v>
      </c>
      <c r="E409" s="1">
        <f ca="1" t="shared" si="155"/>
        <v>66</v>
      </c>
      <c r="F409" s="1">
        <f ca="1" t="shared" si="156"/>
        <v>150</v>
      </c>
      <c r="G409" s="14">
        <f ca="1" t="shared" si="157"/>
        <v>1.06</v>
      </c>
      <c r="H409" s="58">
        <f ca="1" t="shared" si="158"/>
        <v>0.1</v>
      </c>
      <c r="J409" s="15">
        <f ca="1" t="shared" si="159"/>
        <v>20</v>
      </c>
      <c r="K409" s="15">
        <f ca="1" t="shared" si="160"/>
        <v>4</v>
      </c>
      <c r="L409" s="15">
        <f ca="1" t="shared" si="161"/>
        <v>66</v>
      </c>
      <c r="M409" s="15">
        <f ca="1" t="shared" si="162"/>
        <v>150</v>
      </c>
      <c r="N409" s="53">
        <f ca="1" t="shared" si="163"/>
        <v>1.06</v>
      </c>
      <c r="O409" s="59">
        <f ca="1" t="shared" si="164"/>
        <v>0.1</v>
      </c>
    </row>
    <row r="410" spans="2:15">
      <c r="B410" s="10">
        <v>21</v>
      </c>
      <c r="C410" s="1" t="str">
        <f t="shared" si="153"/>
        <v/>
      </c>
      <c r="D410" s="1" t="str">
        <f ca="1" t="shared" si="154"/>
        <v/>
      </c>
      <c r="E410" s="1" t="str">
        <f ca="1" t="shared" si="155"/>
        <v/>
      </c>
      <c r="F410" s="1" t="str">
        <f ca="1" t="shared" si="156"/>
        <v/>
      </c>
      <c r="G410" s="14" t="str">
        <f ca="1" t="shared" si="157"/>
        <v/>
      </c>
      <c r="H410" s="58" t="str">
        <f ca="1" t="shared" si="158"/>
        <v/>
      </c>
      <c r="J410" s="15">
        <f ca="1" t="shared" si="159"/>
        <v>20</v>
      </c>
      <c r="K410" s="15">
        <f ca="1" t="shared" si="160"/>
        <v>4</v>
      </c>
      <c r="L410" s="15">
        <f ca="1" t="shared" si="161"/>
        <v>66</v>
      </c>
      <c r="M410" s="15">
        <f ca="1" t="shared" si="162"/>
        <v>150</v>
      </c>
      <c r="N410" s="53">
        <f ca="1" t="shared" si="163"/>
        <v>1.06</v>
      </c>
      <c r="O410" s="59">
        <f ca="1" t="shared" si="164"/>
        <v>0.1</v>
      </c>
    </row>
    <row r="411" spans="2:15">
      <c r="B411" s="10">
        <v>22</v>
      </c>
      <c r="C411" s="1" t="str">
        <f t="shared" si="153"/>
        <v/>
      </c>
      <c r="D411" s="1" t="str">
        <f ca="1" t="shared" si="154"/>
        <v/>
      </c>
      <c r="E411" s="1" t="str">
        <f ca="1" t="shared" si="155"/>
        <v/>
      </c>
      <c r="F411" s="1" t="str">
        <f ca="1" t="shared" si="156"/>
        <v/>
      </c>
      <c r="G411" s="14" t="str">
        <f ca="1" t="shared" si="157"/>
        <v/>
      </c>
      <c r="H411" s="58" t="str">
        <f ca="1" t="shared" si="158"/>
        <v/>
      </c>
      <c r="J411" s="15">
        <f ca="1" t="shared" si="159"/>
        <v>20</v>
      </c>
      <c r="K411" s="15">
        <f ca="1" t="shared" si="160"/>
        <v>4</v>
      </c>
      <c r="L411" s="15">
        <f ca="1" t="shared" si="161"/>
        <v>66</v>
      </c>
      <c r="M411" s="15">
        <f ca="1" t="shared" si="162"/>
        <v>150</v>
      </c>
      <c r="N411" s="53">
        <f ca="1" t="shared" si="163"/>
        <v>1.06</v>
      </c>
      <c r="O411" s="59">
        <f ca="1" t="shared" si="164"/>
        <v>0.1</v>
      </c>
    </row>
    <row r="412" spans="2:15">
      <c r="B412" s="10">
        <v>23</v>
      </c>
      <c r="C412" s="1">
        <f t="shared" si="153"/>
        <v>21</v>
      </c>
      <c r="D412" s="1">
        <f ca="1" t="shared" si="154"/>
        <v>4</v>
      </c>
      <c r="E412" s="1">
        <f ca="1" t="shared" si="155"/>
        <v>69</v>
      </c>
      <c r="F412" s="1">
        <f ca="1" t="shared" si="156"/>
        <v>150</v>
      </c>
      <c r="G412" s="14">
        <f ca="1" t="shared" si="157"/>
        <v>1.08</v>
      </c>
      <c r="H412" s="58">
        <f ca="1" t="shared" si="158"/>
        <v>0.11</v>
      </c>
      <c r="J412" s="15">
        <f ca="1" t="shared" si="159"/>
        <v>21</v>
      </c>
      <c r="K412" s="15">
        <f ca="1" t="shared" si="160"/>
        <v>4</v>
      </c>
      <c r="L412" s="15">
        <f ca="1" t="shared" si="161"/>
        <v>69</v>
      </c>
      <c r="M412" s="15">
        <f ca="1" t="shared" si="162"/>
        <v>150</v>
      </c>
      <c r="N412" s="53">
        <f ca="1" t="shared" si="163"/>
        <v>1.08</v>
      </c>
      <c r="O412" s="59">
        <f ca="1" t="shared" si="164"/>
        <v>0.11</v>
      </c>
    </row>
    <row r="413" spans="2:15">
      <c r="B413" s="10">
        <v>24</v>
      </c>
      <c r="C413" s="1" t="str">
        <f t="shared" si="153"/>
        <v/>
      </c>
      <c r="D413" s="1" t="str">
        <f ca="1" t="shared" si="154"/>
        <v/>
      </c>
      <c r="E413" s="1" t="str">
        <f ca="1" t="shared" si="155"/>
        <v/>
      </c>
      <c r="F413" s="1" t="str">
        <f ca="1" t="shared" si="156"/>
        <v/>
      </c>
      <c r="G413" s="14" t="str">
        <f ca="1" t="shared" si="157"/>
        <v/>
      </c>
      <c r="H413" s="58" t="str">
        <f ca="1" t="shared" si="158"/>
        <v/>
      </c>
      <c r="J413" s="15">
        <f ca="1" t="shared" si="159"/>
        <v>21</v>
      </c>
      <c r="K413" s="15">
        <f ca="1" t="shared" si="160"/>
        <v>4</v>
      </c>
      <c r="L413" s="15">
        <f ca="1" t="shared" si="161"/>
        <v>69</v>
      </c>
      <c r="M413" s="15">
        <f ca="1" t="shared" si="162"/>
        <v>150</v>
      </c>
      <c r="N413" s="53">
        <f ca="1" t="shared" si="163"/>
        <v>1.08</v>
      </c>
      <c r="O413" s="59">
        <f ca="1" t="shared" si="164"/>
        <v>0.11</v>
      </c>
    </row>
    <row r="414" spans="2:15">
      <c r="B414" s="10">
        <v>25</v>
      </c>
      <c r="C414" s="1" t="str">
        <f t="shared" si="153"/>
        <v/>
      </c>
      <c r="D414" s="1" t="str">
        <f ca="1" t="shared" si="154"/>
        <v/>
      </c>
      <c r="E414" s="1" t="str">
        <f ca="1" t="shared" si="155"/>
        <v/>
      </c>
      <c r="F414" s="1" t="str">
        <f ca="1" t="shared" si="156"/>
        <v/>
      </c>
      <c r="G414" s="14" t="str">
        <f ca="1" t="shared" si="157"/>
        <v/>
      </c>
      <c r="H414" s="58" t="str">
        <f ca="1" t="shared" si="158"/>
        <v/>
      </c>
      <c r="J414" s="15">
        <f ca="1" t="shared" si="159"/>
        <v>21</v>
      </c>
      <c r="K414" s="15">
        <f ca="1" t="shared" si="160"/>
        <v>4</v>
      </c>
      <c r="L414" s="15">
        <f ca="1" t="shared" si="161"/>
        <v>69</v>
      </c>
      <c r="M414" s="15">
        <f ca="1" t="shared" si="162"/>
        <v>150</v>
      </c>
      <c r="N414" s="53">
        <f ca="1" t="shared" si="163"/>
        <v>1.08</v>
      </c>
      <c r="O414" s="59">
        <f ca="1" t="shared" si="164"/>
        <v>0.11</v>
      </c>
    </row>
    <row r="415" spans="2:15">
      <c r="B415" s="10">
        <v>26</v>
      </c>
      <c r="C415" s="1">
        <f t="shared" si="153"/>
        <v>22</v>
      </c>
      <c r="D415" s="1">
        <f ca="1" t="shared" si="154"/>
        <v>4</v>
      </c>
      <c r="E415" s="1">
        <f ca="1" t="shared" si="155"/>
        <v>72</v>
      </c>
      <c r="F415" s="1">
        <f ca="1" t="shared" si="156"/>
        <v>150</v>
      </c>
      <c r="G415" s="14">
        <f ca="1" t="shared" si="157"/>
        <v>1.08</v>
      </c>
      <c r="H415" s="58">
        <f ca="1" t="shared" si="158"/>
        <v>0.12</v>
      </c>
      <c r="J415" s="15">
        <f ca="1" t="shared" si="159"/>
        <v>22</v>
      </c>
      <c r="K415" s="15">
        <f ca="1" t="shared" si="160"/>
        <v>4</v>
      </c>
      <c r="L415" s="15">
        <f ca="1" t="shared" si="161"/>
        <v>72</v>
      </c>
      <c r="M415" s="15">
        <f ca="1" t="shared" si="162"/>
        <v>150</v>
      </c>
      <c r="N415" s="53">
        <f ca="1" t="shared" si="163"/>
        <v>1.08</v>
      </c>
      <c r="O415" s="59">
        <f ca="1" t="shared" si="164"/>
        <v>0.12</v>
      </c>
    </row>
    <row r="416" spans="2:15">
      <c r="B416" s="10">
        <v>27</v>
      </c>
      <c r="C416" s="1" t="str">
        <f t="shared" si="153"/>
        <v/>
      </c>
      <c r="D416" s="1" t="str">
        <f ca="1" t="shared" si="154"/>
        <v/>
      </c>
      <c r="E416" s="1" t="str">
        <f ca="1" t="shared" si="155"/>
        <v/>
      </c>
      <c r="F416" s="1" t="str">
        <f ca="1" t="shared" si="156"/>
        <v/>
      </c>
      <c r="G416" s="14" t="str">
        <f ca="1" t="shared" si="157"/>
        <v/>
      </c>
      <c r="H416" s="58" t="str">
        <f ca="1" t="shared" si="158"/>
        <v/>
      </c>
      <c r="J416" s="15">
        <f ca="1" t="shared" si="159"/>
        <v>22</v>
      </c>
      <c r="K416" s="15">
        <f ca="1" t="shared" si="160"/>
        <v>4</v>
      </c>
      <c r="L416" s="15">
        <f ca="1" t="shared" si="161"/>
        <v>72</v>
      </c>
      <c r="M416" s="15">
        <f ca="1" t="shared" si="162"/>
        <v>150</v>
      </c>
      <c r="N416" s="53">
        <f ca="1" t="shared" si="163"/>
        <v>1.08</v>
      </c>
      <c r="O416" s="59">
        <f ca="1" t="shared" si="164"/>
        <v>0.12</v>
      </c>
    </row>
    <row r="417" spans="2:15">
      <c r="B417" s="10">
        <v>28</v>
      </c>
      <c r="C417" s="1" t="str">
        <f t="shared" si="153"/>
        <v/>
      </c>
      <c r="D417" s="1" t="str">
        <f ca="1" t="shared" si="154"/>
        <v/>
      </c>
      <c r="E417" s="1" t="str">
        <f ca="1" t="shared" si="155"/>
        <v/>
      </c>
      <c r="F417" s="1" t="str">
        <f ca="1" t="shared" si="156"/>
        <v/>
      </c>
      <c r="G417" s="14" t="str">
        <f ca="1" t="shared" si="157"/>
        <v/>
      </c>
      <c r="H417" s="58" t="str">
        <f ca="1" t="shared" si="158"/>
        <v/>
      </c>
      <c r="J417" s="15">
        <f ca="1" t="shared" si="159"/>
        <v>22</v>
      </c>
      <c r="K417" s="15">
        <f ca="1" t="shared" si="160"/>
        <v>4</v>
      </c>
      <c r="L417" s="15">
        <f ca="1" t="shared" si="161"/>
        <v>72</v>
      </c>
      <c r="M417" s="15">
        <f ca="1" t="shared" si="162"/>
        <v>150</v>
      </c>
      <c r="N417" s="53">
        <f ca="1" t="shared" si="163"/>
        <v>1.08</v>
      </c>
      <c r="O417" s="59">
        <f ca="1" t="shared" si="164"/>
        <v>0.12</v>
      </c>
    </row>
    <row r="418" spans="2:15">
      <c r="B418" s="10">
        <v>29</v>
      </c>
      <c r="C418" s="1" t="str">
        <f t="shared" si="153"/>
        <v/>
      </c>
      <c r="D418" s="1" t="str">
        <f ca="1" t="shared" si="154"/>
        <v/>
      </c>
      <c r="E418" s="1" t="str">
        <f ca="1" t="shared" si="155"/>
        <v/>
      </c>
      <c r="F418" s="1" t="str">
        <f ca="1" t="shared" si="156"/>
        <v/>
      </c>
      <c r="G418" s="14" t="str">
        <f ca="1" t="shared" si="157"/>
        <v/>
      </c>
      <c r="H418" s="58" t="str">
        <f ca="1" t="shared" si="158"/>
        <v/>
      </c>
      <c r="J418" s="15">
        <f ca="1" t="shared" si="159"/>
        <v>22</v>
      </c>
      <c r="K418" s="15">
        <f ca="1" t="shared" si="160"/>
        <v>4</v>
      </c>
      <c r="L418" s="15">
        <f ca="1" t="shared" si="161"/>
        <v>72</v>
      </c>
      <c r="M418" s="15">
        <f ca="1" t="shared" si="162"/>
        <v>150</v>
      </c>
      <c r="N418" s="53">
        <f ca="1" t="shared" si="163"/>
        <v>1.08</v>
      </c>
      <c r="O418" s="59">
        <f ca="1" t="shared" si="164"/>
        <v>0.12</v>
      </c>
    </row>
    <row r="419" spans="2:15">
      <c r="B419" s="10">
        <v>30</v>
      </c>
      <c r="C419" s="1">
        <f t="shared" si="153"/>
        <v>23</v>
      </c>
      <c r="D419" s="1">
        <f ca="1" t="shared" si="154"/>
        <v>4</v>
      </c>
      <c r="E419" s="1">
        <f ca="1" t="shared" si="155"/>
        <v>75</v>
      </c>
      <c r="F419" s="1">
        <f ca="1" t="shared" si="156"/>
        <v>180</v>
      </c>
      <c r="G419" s="14">
        <f ca="1" t="shared" si="157"/>
        <v>1.08</v>
      </c>
      <c r="H419" s="58">
        <f ca="1" t="shared" si="158"/>
        <v>0.13</v>
      </c>
      <c r="J419" s="15">
        <f ca="1" t="shared" si="159"/>
        <v>23</v>
      </c>
      <c r="K419" s="15">
        <f ca="1" t="shared" si="160"/>
        <v>4</v>
      </c>
      <c r="L419" s="15">
        <f ca="1" t="shared" si="161"/>
        <v>75</v>
      </c>
      <c r="M419" s="15">
        <f ca="1" t="shared" si="162"/>
        <v>180</v>
      </c>
      <c r="N419" s="53">
        <f ca="1" t="shared" si="163"/>
        <v>1.08</v>
      </c>
      <c r="O419" s="59">
        <f ca="1" t="shared" si="164"/>
        <v>0.13</v>
      </c>
    </row>
    <row r="420" spans="2:15">
      <c r="B420" s="11">
        <v>35</v>
      </c>
      <c r="C420" s="1" t="str">
        <f t="shared" si="153"/>
        <v/>
      </c>
      <c r="D420" s="1" t="str">
        <f ca="1" t="shared" si="154"/>
        <v/>
      </c>
      <c r="E420" s="1" t="str">
        <f ca="1" t="shared" si="155"/>
        <v/>
      </c>
      <c r="F420" s="1" t="str">
        <f ca="1" t="shared" si="156"/>
        <v/>
      </c>
      <c r="G420" s="14" t="str">
        <f ca="1" t="shared" si="157"/>
        <v/>
      </c>
      <c r="H420" s="58" t="str">
        <f ca="1" t="shared" si="158"/>
        <v/>
      </c>
      <c r="J420" s="15">
        <f ca="1" t="shared" si="159"/>
        <v>23</v>
      </c>
      <c r="K420" s="15">
        <f ca="1" t="shared" si="160"/>
        <v>4</v>
      </c>
      <c r="L420" s="15">
        <f ca="1" t="shared" si="161"/>
        <v>75</v>
      </c>
      <c r="M420" s="15">
        <f ca="1" t="shared" si="162"/>
        <v>180</v>
      </c>
      <c r="N420" s="53">
        <f ca="1" t="shared" si="163"/>
        <v>1.08</v>
      </c>
      <c r="O420" s="59">
        <f ca="1" t="shared" si="164"/>
        <v>0.13</v>
      </c>
    </row>
    <row r="421" spans="2:15">
      <c r="B421" s="11">
        <v>40</v>
      </c>
      <c r="C421" s="1">
        <f t="shared" si="153"/>
        <v>24</v>
      </c>
      <c r="D421" s="1">
        <f ca="1" t="shared" si="154"/>
        <v>4</v>
      </c>
      <c r="E421" s="1">
        <f ca="1" t="shared" si="155"/>
        <v>78</v>
      </c>
      <c r="F421" s="1">
        <f ca="1" t="shared" si="156"/>
        <v>180</v>
      </c>
      <c r="G421" s="14">
        <f ca="1" t="shared" si="157"/>
        <v>1.08</v>
      </c>
      <c r="H421" s="58">
        <f ca="1" t="shared" si="158"/>
        <v>0.14</v>
      </c>
      <c r="J421" s="15">
        <f ca="1" t="shared" si="159"/>
        <v>24</v>
      </c>
      <c r="K421" s="15">
        <f ca="1" t="shared" si="160"/>
        <v>4</v>
      </c>
      <c r="L421" s="15">
        <f ca="1" t="shared" si="161"/>
        <v>78</v>
      </c>
      <c r="M421" s="15">
        <f ca="1" t="shared" si="162"/>
        <v>180</v>
      </c>
      <c r="N421" s="53">
        <f ca="1" t="shared" si="163"/>
        <v>1.08</v>
      </c>
      <c r="O421" s="59">
        <f ca="1" t="shared" si="164"/>
        <v>0.14</v>
      </c>
    </row>
    <row r="422" spans="2:15">
      <c r="B422" s="11">
        <v>45</v>
      </c>
      <c r="C422" s="1" t="str">
        <f t="shared" si="153"/>
        <v/>
      </c>
      <c r="D422" s="1" t="str">
        <f ca="1" t="shared" si="154"/>
        <v/>
      </c>
      <c r="E422" s="1" t="str">
        <f ca="1" t="shared" si="155"/>
        <v/>
      </c>
      <c r="F422" s="1" t="str">
        <f ca="1" t="shared" si="156"/>
        <v/>
      </c>
      <c r="G422" s="14" t="str">
        <f ca="1" t="shared" si="157"/>
        <v/>
      </c>
      <c r="H422" s="58" t="str">
        <f ca="1" t="shared" si="158"/>
        <v/>
      </c>
      <c r="J422" s="15">
        <f ca="1" t="shared" si="159"/>
        <v>24</v>
      </c>
      <c r="K422" s="15">
        <f ca="1" t="shared" si="160"/>
        <v>4</v>
      </c>
      <c r="L422" s="15">
        <f ca="1" t="shared" si="161"/>
        <v>78</v>
      </c>
      <c r="M422" s="15">
        <f ca="1" t="shared" si="162"/>
        <v>180</v>
      </c>
      <c r="N422" s="53">
        <f ca="1" t="shared" si="163"/>
        <v>1.08</v>
      </c>
      <c r="O422" s="59">
        <f ca="1" t="shared" si="164"/>
        <v>0.14</v>
      </c>
    </row>
    <row r="423" spans="2:15">
      <c r="B423" s="11">
        <v>50</v>
      </c>
      <c r="C423" s="1">
        <f t="shared" si="153"/>
        <v>25</v>
      </c>
      <c r="D423" s="1">
        <f ca="1" t="shared" si="154"/>
        <v>4</v>
      </c>
      <c r="E423" s="1">
        <f ca="1" t="shared" si="155"/>
        <v>81</v>
      </c>
      <c r="F423" s="1">
        <f ca="1" t="shared" si="156"/>
        <v>180</v>
      </c>
      <c r="G423" s="14">
        <f ca="1" t="shared" si="157"/>
        <v>1.1</v>
      </c>
      <c r="H423" s="58">
        <f ca="1" t="shared" si="158"/>
        <v>0.15</v>
      </c>
      <c r="J423" s="15">
        <f ca="1" t="shared" si="159"/>
        <v>25</v>
      </c>
      <c r="K423" s="15">
        <f ca="1" t="shared" si="160"/>
        <v>4</v>
      </c>
      <c r="L423" s="15">
        <f ca="1" t="shared" si="161"/>
        <v>81</v>
      </c>
      <c r="M423" s="15">
        <f ca="1" t="shared" si="162"/>
        <v>180</v>
      </c>
      <c r="N423" s="53">
        <f ca="1" t="shared" si="163"/>
        <v>1.1</v>
      </c>
      <c r="O423" s="59">
        <f ca="1" t="shared" si="164"/>
        <v>0.15</v>
      </c>
    </row>
    <row r="424" spans="2:15">
      <c r="B424" s="11">
        <v>55</v>
      </c>
      <c r="C424" s="1" t="str">
        <f t="shared" si="153"/>
        <v/>
      </c>
      <c r="D424" s="1" t="str">
        <f ca="1" t="shared" si="154"/>
        <v/>
      </c>
      <c r="E424" s="1" t="str">
        <f ca="1" t="shared" si="155"/>
        <v/>
      </c>
      <c r="F424" s="1" t="str">
        <f ca="1" t="shared" si="156"/>
        <v/>
      </c>
      <c r="G424" s="14" t="str">
        <f ca="1" t="shared" si="157"/>
        <v/>
      </c>
      <c r="H424" s="58" t="str">
        <f ca="1" t="shared" si="158"/>
        <v/>
      </c>
      <c r="J424" s="15">
        <f ca="1" t="shared" si="159"/>
        <v>25</v>
      </c>
      <c r="K424" s="15">
        <f ca="1" t="shared" si="160"/>
        <v>4</v>
      </c>
      <c r="L424" s="15">
        <f ca="1" t="shared" si="161"/>
        <v>81</v>
      </c>
      <c r="M424" s="15">
        <f ca="1" t="shared" si="162"/>
        <v>180</v>
      </c>
      <c r="N424" s="53">
        <f ca="1" t="shared" si="163"/>
        <v>1.1</v>
      </c>
      <c r="O424" s="59">
        <f ca="1" t="shared" si="164"/>
        <v>0.15</v>
      </c>
    </row>
    <row r="425" spans="2:15">
      <c r="B425" s="11">
        <v>60</v>
      </c>
      <c r="C425" s="1">
        <f t="shared" si="153"/>
        <v>26</v>
      </c>
      <c r="D425" s="1">
        <f ca="1" t="shared" si="154"/>
        <v>4</v>
      </c>
      <c r="E425" s="1">
        <f ca="1" t="shared" si="155"/>
        <v>84</v>
      </c>
      <c r="F425" s="1">
        <f ca="1" t="shared" si="156"/>
        <v>180</v>
      </c>
      <c r="G425" s="14">
        <f ca="1" t="shared" si="157"/>
        <v>1.1</v>
      </c>
      <c r="H425" s="58">
        <f ca="1" t="shared" si="158"/>
        <v>0.16</v>
      </c>
      <c r="J425" s="15">
        <f ca="1" t="shared" si="159"/>
        <v>26</v>
      </c>
      <c r="K425" s="15">
        <f ca="1" t="shared" si="160"/>
        <v>4</v>
      </c>
      <c r="L425" s="15">
        <f ca="1" t="shared" si="161"/>
        <v>84</v>
      </c>
      <c r="M425" s="15">
        <f ca="1" t="shared" si="162"/>
        <v>180</v>
      </c>
      <c r="N425" s="53">
        <f ca="1" t="shared" si="163"/>
        <v>1.1</v>
      </c>
      <c r="O425" s="59">
        <f ca="1" t="shared" si="164"/>
        <v>0.16</v>
      </c>
    </row>
    <row r="426" spans="2:15">
      <c r="B426" s="11">
        <v>65</v>
      </c>
      <c r="C426" s="1" t="str">
        <f t="shared" si="153"/>
        <v/>
      </c>
      <c r="D426" s="1" t="str">
        <f ca="1" t="shared" si="154"/>
        <v/>
      </c>
      <c r="E426" s="1" t="str">
        <f ca="1" t="shared" si="155"/>
        <v/>
      </c>
      <c r="F426" s="1" t="str">
        <f ca="1" t="shared" si="156"/>
        <v/>
      </c>
      <c r="G426" s="14" t="str">
        <f ca="1" t="shared" si="157"/>
        <v/>
      </c>
      <c r="H426" s="58" t="str">
        <f ca="1" t="shared" si="158"/>
        <v/>
      </c>
      <c r="J426" s="15">
        <f ca="1" t="shared" si="159"/>
        <v>26</v>
      </c>
      <c r="K426" s="15">
        <f ca="1" t="shared" si="160"/>
        <v>4</v>
      </c>
      <c r="L426" s="15">
        <f ca="1" t="shared" si="161"/>
        <v>84</v>
      </c>
      <c r="M426" s="15">
        <f ca="1" t="shared" si="162"/>
        <v>180</v>
      </c>
      <c r="N426" s="53">
        <f ca="1" t="shared" si="163"/>
        <v>1.1</v>
      </c>
      <c r="O426" s="59">
        <f ca="1" t="shared" si="164"/>
        <v>0.16</v>
      </c>
    </row>
    <row r="427" spans="2:15">
      <c r="B427" s="11">
        <v>70</v>
      </c>
      <c r="C427" s="1" t="str">
        <f t="shared" si="153"/>
        <v/>
      </c>
      <c r="D427" s="1" t="str">
        <f ca="1" t="shared" si="154"/>
        <v/>
      </c>
      <c r="E427" s="1" t="str">
        <f ca="1" t="shared" si="155"/>
        <v/>
      </c>
      <c r="F427" s="1" t="str">
        <f ca="1" t="shared" si="156"/>
        <v/>
      </c>
      <c r="G427" s="14" t="str">
        <f ca="1" t="shared" si="157"/>
        <v/>
      </c>
      <c r="H427" s="58" t="str">
        <f ca="1" t="shared" si="158"/>
        <v/>
      </c>
      <c r="J427" s="15">
        <f ca="1" t="shared" si="159"/>
        <v>26</v>
      </c>
      <c r="K427" s="15">
        <f ca="1" t="shared" si="160"/>
        <v>4</v>
      </c>
      <c r="L427" s="15">
        <f ca="1" t="shared" si="161"/>
        <v>84</v>
      </c>
      <c r="M427" s="15">
        <f ca="1" t="shared" si="162"/>
        <v>180</v>
      </c>
      <c r="N427" s="53">
        <f ca="1" t="shared" si="163"/>
        <v>1.1</v>
      </c>
      <c r="O427" s="59">
        <f ca="1" t="shared" si="164"/>
        <v>0.16</v>
      </c>
    </row>
    <row r="428" spans="2:15">
      <c r="B428" s="11">
        <v>75</v>
      </c>
      <c r="C428" s="1" t="str">
        <f t="shared" si="153"/>
        <v/>
      </c>
      <c r="D428" s="1" t="str">
        <f ca="1" t="shared" si="154"/>
        <v/>
      </c>
      <c r="E428" s="1" t="str">
        <f ca="1" t="shared" si="155"/>
        <v/>
      </c>
      <c r="F428" s="1" t="str">
        <f ca="1" t="shared" si="156"/>
        <v/>
      </c>
      <c r="G428" s="14" t="str">
        <f ca="1" t="shared" si="157"/>
        <v/>
      </c>
      <c r="H428" s="58" t="str">
        <f ca="1" t="shared" si="158"/>
        <v/>
      </c>
      <c r="J428" s="15">
        <f ca="1" t="shared" si="159"/>
        <v>26</v>
      </c>
      <c r="K428" s="15">
        <f ca="1" t="shared" si="160"/>
        <v>4</v>
      </c>
      <c r="L428" s="15">
        <f ca="1" t="shared" si="161"/>
        <v>84</v>
      </c>
      <c r="M428" s="15">
        <f ca="1" t="shared" si="162"/>
        <v>180</v>
      </c>
      <c r="N428" s="53">
        <f ca="1" t="shared" si="163"/>
        <v>1.1</v>
      </c>
      <c r="O428" s="59">
        <f ca="1" t="shared" si="164"/>
        <v>0.16</v>
      </c>
    </row>
    <row r="429" spans="2:15">
      <c r="B429" s="11">
        <v>80</v>
      </c>
      <c r="C429" s="1" t="str">
        <f t="shared" si="153"/>
        <v/>
      </c>
      <c r="D429" s="1" t="str">
        <f ca="1" t="shared" si="154"/>
        <v/>
      </c>
      <c r="E429" s="1" t="str">
        <f ca="1" t="shared" si="155"/>
        <v/>
      </c>
      <c r="F429" s="1" t="str">
        <f ca="1" t="shared" si="156"/>
        <v/>
      </c>
      <c r="G429" s="14" t="str">
        <f ca="1" t="shared" si="157"/>
        <v/>
      </c>
      <c r="H429" s="58" t="str">
        <f ca="1" t="shared" si="158"/>
        <v/>
      </c>
      <c r="J429" s="15">
        <f ca="1" t="shared" si="159"/>
        <v>26</v>
      </c>
      <c r="K429" s="15">
        <f ca="1" t="shared" si="160"/>
        <v>4</v>
      </c>
      <c r="L429" s="15">
        <f ca="1" t="shared" si="161"/>
        <v>84</v>
      </c>
      <c r="M429" s="15">
        <f ca="1" t="shared" si="162"/>
        <v>180</v>
      </c>
      <c r="N429" s="53">
        <f ca="1" t="shared" si="163"/>
        <v>1.1</v>
      </c>
      <c r="O429" s="59">
        <f ca="1" t="shared" si="164"/>
        <v>0.16</v>
      </c>
    </row>
    <row r="430" spans="2:15">
      <c r="B430" s="11">
        <v>85</v>
      </c>
      <c r="C430" s="1" t="str">
        <f t="shared" si="153"/>
        <v/>
      </c>
      <c r="D430" s="1" t="str">
        <f ca="1" t="shared" si="154"/>
        <v/>
      </c>
      <c r="E430" s="1" t="str">
        <f ca="1" t="shared" si="155"/>
        <v/>
      </c>
      <c r="F430" s="1" t="str">
        <f ca="1" t="shared" si="156"/>
        <v/>
      </c>
      <c r="G430" s="14" t="str">
        <f ca="1" t="shared" si="157"/>
        <v/>
      </c>
      <c r="H430" s="58" t="str">
        <f ca="1" t="shared" si="158"/>
        <v/>
      </c>
      <c r="J430" s="15">
        <f ca="1" t="shared" si="159"/>
        <v>26</v>
      </c>
      <c r="K430" s="15">
        <f ca="1" t="shared" si="160"/>
        <v>4</v>
      </c>
      <c r="L430" s="15">
        <f ca="1" t="shared" si="161"/>
        <v>84</v>
      </c>
      <c r="M430" s="15">
        <f ca="1" t="shared" si="162"/>
        <v>180</v>
      </c>
      <c r="N430" s="53">
        <f ca="1" t="shared" si="163"/>
        <v>1.1</v>
      </c>
      <c r="O430" s="59">
        <f ca="1" t="shared" si="164"/>
        <v>0.16</v>
      </c>
    </row>
    <row r="431" spans="2:15">
      <c r="B431" s="11">
        <v>90</v>
      </c>
      <c r="C431" s="1">
        <f t="shared" si="153"/>
        <v>27</v>
      </c>
      <c r="D431" s="1">
        <f ca="1" t="shared" si="154"/>
        <v>4</v>
      </c>
      <c r="E431" s="1">
        <f ca="1" t="shared" si="155"/>
        <v>87</v>
      </c>
      <c r="F431" s="1">
        <f ca="1" t="shared" si="156"/>
        <v>180</v>
      </c>
      <c r="G431" s="14">
        <f ca="1" t="shared" si="157"/>
        <v>1.1</v>
      </c>
      <c r="H431" s="58">
        <f ca="1" t="shared" si="158"/>
        <v>0.175</v>
      </c>
      <c r="J431" s="15">
        <f ca="1" t="shared" si="159"/>
        <v>27</v>
      </c>
      <c r="K431" s="15">
        <f ca="1" t="shared" si="160"/>
        <v>4</v>
      </c>
      <c r="L431" s="15">
        <f ca="1" t="shared" si="161"/>
        <v>87</v>
      </c>
      <c r="M431" s="15">
        <f ca="1" t="shared" si="162"/>
        <v>180</v>
      </c>
      <c r="N431" s="53">
        <f ca="1" t="shared" si="163"/>
        <v>1.1</v>
      </c>
      <c r="O431" s="59">
        <f ca="1" t="shared" si="164"/>
        <v>0.175</v>
      </c>
    </row>
    <row r="432" spans="2:15">
      <c r="B432" s="11">
        <v>95</v>
      </c>
      <c r="C432" s="1" t="str">
        <f t="shared" si="153"/>
        <v/>
      </c>
      <c r="D432" s="1" t="str">
        <f ca="1" t="shared" si="154"/>
        <v/>
      </c>
      <c r="E432" s="1" t="str">
        <f ca="1" t="shared" si="155"/>
        <v/>
      </c>
      <c r="F432" s="1" t="str">
        <f ca="1" t="shared" si="156"/>
        <v/>
      </c>
      <c r="G432" s="14" t="str">
        <f ca="1" t="shared" si="157"/>
        <v/>
      </c>
      <c r="H432" s="58" t="str">
        <f ca="1" t="shared" si="158"/>
        <v/>
      </c>
      <c r="J432" s="15">
        <f ca="1" t="shared" si="159"/>
        <v>27</v>
      </c>
      <c r="K432" s="15">
        <f ca="1" t="shared" si="160"/>
        <v>4</v>
      </c>
      <c r="L432" s="15">
        <f ca="1" t="shared" si="161"/>
        <v>87</v>
      </c>
      <c r="M432" s="15">
        <f ca="1" t="shared" si="162"/>
        <v>180</v>
      </c>
      <c r="N432" s="53">
        <f ca="1" t="shared" si="163"/>
        <v>1.1</v>
      </c>
      <c r="O432" s="59">
        <f ca="1" t="shared" si="164"/>
        <v>0.175</v>
      </c>
    </row>
    <row r="433" spans="2:15">
      <c r="B433" s="11">
        <v>100</v>
      </c>
      <c r="C433" s="1" t="str">
        <f t="shared" si="153"/>
        <v/>
      </c>
      <c r="D433" s="1" t="str">
        <f ca="1" t="shared" si="154"/>
        <v/>
      </c>
      <c r="E433" s="1" t="str">
        <f ca="1" t="shared" si="155"/>
        <v/>
      </c>
      <c r="F433" s="1" t="str">
        <f ca="1" t="shared" si="156"/>
        <v/>
      </c>
      <c r="G433" s="14" t="str">
        <f ca="1" t="shared" si="157"/>
        <v/>
      </c>
      <c r="H433" s="58" t="str">
        <f ca="1" t="shared" si="158"/>
        <v/>
      </c>
      <c r="J433" s="15">
        <f ca="1" t="shared" si="159"/>
        <v>27</v>
      </c>
      <c r="K433" s="15">
        <f ca="1" t="shared" si="160"/>
        <v>4</v>
      </c>
      <c r="L433" s="15">
        <f ca="1" t="shared" si="161"/>
        <v>87</v>
      </c>
      <c r="M433" s="15">
        <f ca="1" t="shared" si="162"/>
        <v>180</v>
      </c>
      <c r="N433" s="53">
        <f ca="1" t="shared" si="163"/>
        <v>1.1</v>
      </c>
      <c r="O433" s="59">
        <f ca="1" t="shared" si="164"/>
        <v>0.175</v>
      </c>
    </row>
    <row r="434" spans="2:15">
      <c r="B434" s="11">
        <v>105</v>
      </c>
      <c r="C434" s="1" t="str">
        <f t="shared" si="153"/>
        <v/>
      </c>
      <c r="D434" s="1" t="str">
        <f ca="1" t="shared" si="154"/>
        <v/>
      </c>
      <c r="E434" s="1" t="str">
        <f ca="1" t="shared" si="155"/>
        <v/>
      </c>
      <c r="F434" s="1" t="str">
        <f ca="1" t="shared" si="156"/>
        <v/>
      </c>
      <c r="G434" s="14" t="str">
        <f ca="1" t="shared" si="157"/>
        <v/>
      </c>
      <c r="H434" s="58" t="str">
        <f ca="1" t="shared" si="158"/>
        <v/>
      </c>
      <c r="J434" s="15">
        <f ca="1" t="shared" si="159"/>
        <v>27</v>
      </c>
      <c r="K434" s="15">
        <f ca="1" t="shared" si="160"/>
        <v>4</v>
      </c>
      <c r="L434" s="15">
        <f ca="1" t="shared" si="161"/>
        <v>87</v>
      </c>
      <c r="M434" s="15">
        <f ca="1" t="shared" si="162"/>
        <v>180</v>
      </c>
      <c r="N434" s="53">
        <f ca="1" t="shared" si="163"/>
        <v>1.1</v>
      </c>
      <c r="O434" s="59">
        <f ca="1" t="shared" si="164"/>
        <v>0.175</v>
      </c>
    </row>
    <row r="435" spans="2:15">
      <c r="B435" s="11">
        <v>110</v>
      </c>
      <c r="C435" s="1" t="str">
        <f t="shared" si="153"/>
        <v/>
      </c>
      <c r="D435" s="1" t="str">
        <f ca="1" t="shared" si="154"/>
        <v/>
      </c>
      <c r="E435" s="1" t="str">
        <f ca="1" t="shared" si="155"/>
        <v/>
      </c>
      <c r="F435" s="1" t="str">
        <f ca="1" t="shared" si="156"/>
        <v/>
      </c>
      <c r="G435" s="14" t="str">
        <f ca="1" t="shared" si="157"/>
        <v/>
      </c>
      <c r="H435" s="58" t="str">
        <f ca="1" t="shared" si="158"/>
        <v/>
      </c>
      <c r="J435" s="15">
        <f ca="1" t="shared" si="159"/>
        <v>27</v>
      </c>
      <c r="K435" s="15">
        <f ca="1" t="shared" si="160"/>
        <v>4</v>
      </c>
      <c r="L435" s="15">
        <f ca="1" t="shared" si="161"/>
        <v>87</v>
      </c>
      <c r="M435" s="15">
        <f ca="1" t="shared" si="162"/>
        <v>180</v>
      </c>
      <c r="N435" s="53">
        <f ca="1" t="shared" si="163"/>
        <v>1.1</v>
      </c>
      <c r="O435" s="59">
        <f ca="1" t="shared" si="164"/>
        <v>0.175</v>
      </c>
    </row>
    <row r="436" spans="2:15">
      <c r="B436" s="11">
        <v>115</v>
      </c>
      <c r="C436" s="1" t="str">
        <f t="shared" si="153"/>
        <v/>
      </c>
      <c r="D436" s="1" t="str">
        <f ca="1" t="shared" si="154"/>
        <v/>
      </c>
      <c r="E436" s="1" t="str">
        <f ca="1" t="shared" si="155"/>
        <v/>
      </c>
      <c r="F436" s="1" t="str">
        <f ca="1" t="shared" si="156"/>
        <v/>
      </c>
      <c r="G436" s="14" t="str">
        <f ca="1" t="shared" si="157"/>
        <v/>
      </c>
      <c r="H436" s="58" t="str">
        <f ca="1" t="shared" si="158"/>
        <v/>
      </c>
      <c r="J436" s="15">
        <f ca="1" t="shared" si="159"/>
        <v>27</v>
      </c>
      <c r="K436" s="15">
        <f ca="1" t="shared" si="160"/>
        <v>4</v>
      </c>
      <c r="L436" s="15">
        <f ca="1" t="shared" si="161"/>
        <v>87</v>
      </c>
      <c r="M436" s="15">
        <f ca="1" t="shared" si="162"/>
        <v>180</v>
      </c>
      <c r="N436" s="53">
        <f ca="1" t="shared" si="163"/>
        <v>1.1</v>
      </c>
      <c r="O436" s="59">
        <f ca="1" t="shared" si="164"/>
        <v>0.175</v>
      </c>
    </row>
    <row r="437" spans="2:15">
      <c r="B437" s="11">
        <v>120</v>
      </c>
      <c r="C437" s="1">
        <f t="shared" si="153"/>
        <v>28</v>
      </c>
      <c r="D437" s="1">
        <f ca="1" t="shared" si="154"/>
        <v>4</v>
      </c>
      <c r="E437" s="1">
        <f ca="1" t="shared" si="155"/>
        <v>90</v>
      </c>
      <c r="F437" s="1">
        <f ca="1" t="shared" si="156"/>
        <v>210</v>
      </c>
      <c r="G437" s="14">
        <f ca="1" t="shared" si="157"/>
        <v>1.1</v>
      </c>
      <c r="H437" s="58">
        <f ca="1" t="shared" si="158"/>
        <v>0.19</v>
      </c>
      <c r="J437" s="15">
        <f ca="1" t="shared" si="159"/>
        <v>28</v>
      </c>
      <c r="K437" s="15">
        <f ca="1" t="shared" si="160"/>
        <v>4</v>
      </c>
      <c r="L437" s="15">
        <f ca="1" t="shared" si="161"/>
        <v>90</v>
      </c>
      <c r="M437" s="15">
        <f ca="1" t="shared" si="162"/>
        <v>210</v>
      </c>
      <c r="N437" s="53">
        <f ca="1" t="shared" si="163"/>
        <v>1.1</v>
      </c>
      <c r="O437" s="59">
        <f ca="1" t="shared" si="164"/>
        <v>0.19</v>
      </c>
    </row>
    <row r="438" spans="2:15">
      <c r="B438" s="12">
        <v>150</v>
      </c>
      <c r="C438" s="1" t="str">
        <f t="shared" ref="C438:C445" si="165">C171</f>
        <v/>
      </c>
      <c r="D438" s="1" t="str">
        <f ca="1" t="shared" ref="D438:D445" si="166">IFERROR(OFFSET($P$301,MATCH(C438,$B$301:$B$333,0)-1,0),"")</f>
        <v/>
      </c>
      <c r="E438" s="1" t="str">
        <f ca="1" t="shared" ref="E438:E445" si="167">IFERROR(OFFSET($Q$301,MATCH(C438,$B$301:$B$333,0)-1,0),"")</f>
        <v/>
      </c>
      <c r="F438" s="1" t="str">
        <f ca="1" t="shared" ref="F438:F445" si="168">IFERROR(OFFSET($R$301,MATCH(C438,$B$301:$B$333,0)-1,0),"")</f>
        <v/>
      </c>
      <c r="G438" s="14" t="str">
        <f ca="1" t="shared" ref="G438:G445" si="169">IFERROR(OFFSET($S$301,MATCH(C438,$B$301:$B$333,0)-1,0),"")</f>
        <v/>
      </c>
      <c r="H438" s="58" t="str">
        <f ca="1" t="shared" ref="H438:H445" si="170">IFERROR(OFFSET($U$301,MATCH(C438,$B$301:$B$333,0)-1,0),"")</f>
        <v/>
      </c>
      <c r="J438" s="15">
        <f ca="1" t="shared" ref="J438:J445" si="171">IF(C438="",INDIRECT(ADDRESS(ROW()-1,COLUMN())),C438)</f>
        <v>28</v>
      </c>
      <c r="K438" s="15">
        <f ca="1" t="shared" ref="K438:K445" si="172">IF(D438="",INDIRECT(ADDRESS(ROW()-1,COLUMN())),D438)</f>
        <v>4</v>
      </c>
      <c r="L438" s="15">
        <f ca="1" t="shared" ref="L438:L445" si="173">IF(E438="",INDIRECT(ADDRESS(ROW()-1,COLUMN())),E438)</f>
        <v>90</v>
      </c>
      <c r="M438" s="15">
        <f ca="1" t="shared" ref="M438:M445" si="174">IF(F438="",INDIRECT(ADDRESS(ROW()-1,COLUMN())),F438)</f>
        <v>210</v>
      </c>
      <c r="N438" s="53">
        <f ca="1" t="shared" ref="N438:N445" si="175">IF(G438="",INDIRECT(ADDRESS(ROW()-1,COLUMN())),G438)</f>
        <v>1.1</v>
      </c>
      <c r="O438" s="59">
        <f ca="1" t="shared" ref="O438:O445" si="176">IF(H438="",INDIRECT(ADDRESS(ROW()-1,COLUMN())),H438)</f>
        <v>0.19</v>
      </c>
    </row>
    <row r="439" spans="2:15">
      <c r="B439" s="12">
        <v>180</v>
      </c>
      <c r="C439" s="1">
        <f t="shared" si="165"/>
        <v>29</v>
      </c>
      <c r="D439" s="1">
        <f ca="1" t="shared" si="166"/>
        <v>4</v>
      </c>
      <c r="E439" s="1">
        <f ca="1" t="shared" si="167"/>
        <v>93</v>
      </c>
      <c r="F439" s="1">
        <f ca="1" t="shared" si="168"/>
        <v>210</v>
      </c>
      <c r="G439" s="14">
        <f ca="1" t="shared" si="169"/>
        <v>1.1</v>
      </c>
      <c r="H439" s="58">
        <f ca="1" t="shared" si="170"/>
        <v>0.205</v>
      </c>
      <c r="J439" s="15">
        <f ca="1" t="shared" si="171"/>
        <v>29</v>
      </c>
      <c r="K439" s="15">
        <f ca="1" t="shared" si="172"/>
        <v>4</v>
      </c>
      <c r="L439" s="15">
        <f ca="1" t="shared" si="173"/>
        <v>93</v>
      </c>
      <c r="M439" s="15">
        <f ca="1" t="shared" si="174"/>
        <v>210</v>
      </c>
      <c r="N439" s="53">
        <f ca="1" t="shared" si="175"/>
        <v>1.1</v>
      </c>
      <c r="O439" s="59">
        <f ca="1" t="shared" si="176"/>
        <v>0.205</v>
      </c>
    </row>
    <row r="440" spans="2:15">
      <c r="B440" s="12">
        <v>210</v>
      </c>
      <c r="C440" s="1" t="str">
        <f t="shared" si="165"/>
        <v/>
      </c>
      <c r="D440" s="1" t="str">
        <f ca="1" t="shared" si="166"/>
        <v/>
      </c>
      <c r="E440" s="1" t="str">
        <f ca="1" t="shared" si="167"/>
        <v/>
      </c>
      <c r="F440" s="1" t="str">
        <f ca="1" t="shared" si="168"/>
        <v/>
      </c>
      <c r="G440" s="14" t="str">
        <f ca="1" t="shared" si="169"/>
        <v/>
      </c>
      <c r="H440" s="58" t="str">
        <f ca="1" t="shared" si="170"/>
        <v/>
      </c>
      <c r="J440" s="15">
        <f ca="1" t="shared" si="171"/>
        <v>29</v>
      </c>
      <c r="K440" s="15">
        <f ca="1" t="shared" si="172"/>
        <v>4</v>
      </c>
      <c r="L440" s="15">
        <f ca="1" t="shared" si="173"/>
        <v>93</v>
      </c>
      <c r="M440" s="15">
        <f ca="1" t="shared" si="174"/>
        <v>210</v>
      </c>
      <c r="N440" s="53">
        <f ca="1" t="shared" si="175"/>
        <v>1.1</v>
      </c>
      <c r="O440" s="59">
        <f ca="1" t="shared" si="176"/>
        <v>0.205</v>
      </c>
    </row>
    <row r="441" spans="2:15">
      <c r="B441" s="12">
        <v>240</v>
      </c>
      <c r="C441" s="1">
        <f t="shared" si="165"/>
        <v>30</v>
      </c>
      <c r="D441" s="1">
        <f ca="1" t="shared" si="166"/>
        <v>4</v>
      </c>
      <c r="E441" s="1">
        <f ca="1" t="shared" si="167"/>
        <v>96</v>
      </c>
      <c r="F441" s="1">
        <f ca="1" t="shared" si="168"/>
        <v>210</v>
      </c>
      <c r="G441" s="14">
        <f ca="1" t="shared" si="169"/>
        <v>1.12</v>
      </c>
      <c r="H441" s="58">
        <f ca="1" t="shared" si="170"/>
        <v>0.22</v>
      </c>
      <c r="J441" s="15">
        <f ca="1" t="shared" si="171"/>
        <v>30</v>
      </c>
      <c r="K441" s="15">
        <f ca="1" t="shared" si="172"/>
        <v>4</v>
      </c>
      <c r="L441" s="15">
        <f ca="1" t="shared" si="173"/>
        <v>96</v>
      </c>
      <c r="M441" s="15">
        <f ca="1" t="shared" si="174"/>
        <v>210</v>
      </c>
      <c r="N441" s="53">
        <f ca="1" t="shared" si="175"/>
        <v>1.12</v>
      </c>
      <c r="O441" s="59">
        <f ca="1" t="shared" si="176"/>
        <v>0.22</v>
      </c>
    </row>
    <row r="442" spans="2:15">
      <c r="B442" s="12">
        <v>270</v>
      </c>
      <c r="C442" s="1" t="str">
        <f t="shared" si="165"/>
        <v/>
      </c>
      <c r="D442" s="1" t="str">
        <f ca="1" t="shared" si="166"/>
        <v/>
      </c>
      <c r="E442" s="1" t="str">
        <f ca="1" t="shared" si="167"/>
        <v/>
      </c>
      <c r="F442" s="1" t="str">
        <f ca="1" t="shared" si="168"/>
        <v/>
      </c>
      <c r="G442" s="14" t="str">
        <f ca="1" t="shared" si="169"/>
        <v/>
      </c>
      <c r="H442" s="58" t="str">
        <f ca="1" t="shared" si="170"/>
        <v/>
      </c>
      <c r="J442" s="15">
        <f ca="1" t="shared" si="171"/>
        <v>30</v>
      </c>
      <c r="K442" s="15">
        <f ca="1" t="shared" si="172"/>
        <v>4</v>
      </c>
      <c r="L442" s="15">
        <f ca="1" t="shared" si="173"/>
        <v>96</v>
      </c>
      <c r="M442" s="15">
        <f ca="1" t="shared" si="174"/>
        <v>210</v>
      </c>
      <c r="N442" s="53">
        <f ca="1" t="shared" si="175"/>
        <v>1.12</v>
      </c>
      <c r="O442" s="59">
        <f ca="1" t="shared" si="176"/>
        <v>0.22</v>
      </c>
    </row>
    <row r="443" spans="2:15">
      <c r="B443" s="12">
        <v>300</v>
      </c>
      <c r="C443" s="1">
        <f t="shared" si="165"/>
        <v>31</v>
      </c>
      <c r="D443" s="1">
        <f ca="1" t="shared" si="166"/>
        <v>4</v>
      </c>
      <c r="E443" s="1">
        <f ca="1" t="shared" si="167"/>
        <v>99</v>
      </c>
      <c r="F443" s="1">
        <f ca="1" t="shared" si="168"/>
        <v>210</v>
      </c>
      <c r="G443" s="14">
        <f ca="1" t="shared" si="169"/>
        <v>1.12</v>
      </c>
      <c r="H443" s="58">
        <f ca="1" t="shared" si="170"/>
        <v>0.25</v>
      </c>
      <c r="J443" s="15">
        <f ca="1" t="shared" si="171"/>
        <v>31</v>
      </c>
      <c r="K443" s="15">
        <f ca="1" t="shared" si="172"/>
        <v>4</v>
      </c>
      <c r="L443" s="15">
        <f ca="1" t="shared" si="173"/>
        <v>99</v>
      </c>
      <c r="M443" s="15">
        <f ca="1" t="shared" si="174"/>
        <v>210</v>
      </c>
      <c r="N443" s="53">
        <f ca="1" t="shared" si="175"/>
        <v>1.12</v>
      </c>
      <c r="O443" s="59">
        <f ca="1" t="shared" si="176"/>
        <v>0.25</v>
      </c>
    </row>
    <row r="444" spans="2:15">
      <c r="B444" s="12">
        <v>330</v>
      </c>
      <c r="C444" s="1" t="str">
        <f t="shared" si="165"/>
        <v/>
      </c>
      <c r="D444" s="1" t="str">
        <f ca="1" t="shared" si="166"/>
        <v/>
      </c>
      <c r="E444" s="1" t="str">
        <f ca="1" t="shared" si="167"/>
        <v/>
      </c>
      <c r="F444" s="1" t="str">
        <f ca="1" t="shared" si="168"/>
        <v/>
      </c>
      <c r="G444" s="14" t="str">
        <f ca="1" t="shared" si="169"/>
        <v/>
      </c>
      <c r="H444" s="58" t="str">
        <f ca="1" t="shared" si="170"/>
        <v/>
      </c>
      <c r="J444" s="15">
        <f ca="1" t="shared" si="171"/>
        <v>31</v>
      </c>
      <c r="K444" s="15">
        <f ca="1" t="shared" si="172"/>
        <v>4</v>
      </c>
      <c r="L444" s="15">
        <f ca="1" t="shared" si="173"/>
        <v>99</v>
      </c>
      <c r="M444" s="15">
        <f ca="1" t="shared" si="174"/>
        <v>210</v>
      </c>
      <c r="N444" s="53">
        <f ca="1" t="shared" si="175"/>
        <v>1.12</v>
      </c>
      <c r="O444" s="59">
        <f ca="1" t="shared" si="176"/>
        <v>0.25</v>
      </c>
    </row>
    <row r="445" spans="2:15">
      <c r="B445" s="12">
        <v>360</v>
      </c>
      <c r="C445" s="1">
        <f t="shared" si="165"/>
        <v>32</v>
      </c>
      <c r="D445" s="1">
        <f ca="1" t="shared" si="166"/>
        <v>4</v>
      </c>
      <c r="E445" s="1">
        <f ca="1" t="shared" si="167"/>
        <v>102</v>
      </c>
      <c r="F445" s="1">
        <f ca="1" t="shared" si="168"/>
        <v>240</v>
      </c>
      <c r="G445" s="14">
        <f ca="1" t="shared" si="169"/>
        <v>1.12</v>
      </c>
      <c r="H445" s="58">
        <f ca="1" t="shared" si="170"/>
        <v>0.3</v>
      </c>
      <c r="J445" s="15">
        <f ca="1" t="shared" si="171"/>
        <v>32</v>
      </c>
      <c r="K445" s="15">
        <f ca="1" t="shared" si="172"/>
        <v>4</v>
      </c>
      <c r="L445" s="15">
        <f ca="1" t="shared" si="173"/>
        <v>102</v>
      </c>
      <c r="M445" s="15">
        <f ca="1" t="shared" si="174"/>
        <v>240</v>
      </c>
      <c r="N445" s="53">
        <f ca="1" t="shared" si="175"/>
        <v>1.12</v>
      </c>
      <c r="O445" s="59">
        <f ca="1" t="shared" si="176"/>
        <v>0.3</v>
      </c>
    </row>
    <row r="448" s="25" customFormat="1" spans="1:5">
      <c r="A448" s="2" t="s">
        <v>452</v>
      </c>
      <c r="B448" s="2"/>
      <c r="C448" s="41" t="s">
        <v>436</v>
      </c>
      <c r="E448" s="26" t="s">
        <v>844</v>
      </c>
    </row>
    <row r="450" spans="2:12">
      <c r="B450" s="27" t="s">
        <v>845</v>
      </c>
      <c r="C450" s="27"/>
      <c r="D450" s="27"/>
      <c r="E450" s="27"/>
      <c r="F450" s="27"/>
      <c r="G450" s="27"/>
      <c r="H450" s="27"/>
      <c r="I450" s="27"/>
      <c r="J450" s="27"/>
      <c r="K450" s="27"/>
      <c r="L450" s="27"/>
    </row>
    <row r="452" spans="2:6">
      <c r="B452" s="1" t="s">
        <v>708</v>
      </c>
      <c r="E452" s="1">
        <f>总规划!$D$105</f>
        <v>1800</v>
      </c>
      <c r="F452" s="1" t="str">
        <f>总规划!$C$105</f>
        <v>1M资源</v>
      </c>
    </row>
    <row r="453" spans="2:5">
      <c r="B453" s="1" t="s">
        <v>846</v>
      </c>
      <c r="E453" s="13">
        <f>$C$102</f>
        <v>0.4</v>
      </c>
    </row>
    <row r="455" spans="2:6">
      <c r="B455" s="1" t="s">
        <v>715</v>
      </c>
      <c r="E455" s="1">
        <f>总规划!$D$106</f>
        <v>480</v>
      </c>
      <c r="F455" s="1" t="str">
        <f>总规划!$C$106</f>
        <v>1天</v>
      </c>
    </row>
    <row r="456" spans="2:5">
      <c r="B456" s="1" t="s">
        <v>847</v>
      </c>
      <c r="E456" s="13">
        <f>$D$102</f>
        <v>0.6</v>
      </c>
    </row>
    <row r="457" spans="5:5">
      <c r="E457" s="13"/>
    </row>
    <row r="458" spans="2:12">
      <c r="B458" s="27" t="s">
        <v>848</v>
      </c>
      <c r="C458" s="27"/>
      <c r="D458" s="27"/>
      <c r="E458" s="27"/>
      <c r="F458" s="27"/>
      <c r="G458" s="27"/>
      <c r="H458" s="27"/>
      <c r="I458" s="27"/>
      <c r="J458" s="27"/>
      <c r="K458" s="27"/>
      <c r="L458" s="27"/>
    </row>
    <row r="459" spans="5:5">
      <c r="E459" s="13"/>
    </row>
    <row r="460" spans="2:5">
      <c r="B460" s="1" t="s">
        <v>849</v>
      </c>
      <c r="E460" s="60">
        <v>150</v>
      </c>
    </row>
    <row r="461" spans="2:5">
      <c r="B461" s="1" t="s">
        <v>850</v>
      </c>
      <c r="E461" s="1">
        <f ca="1">MAX(H476:H547)</f>
        <v>873720000</v>
      </c>
    </row>
    <row r="462" spans="2:5">
      <c r="B462" s="1" t="s">
        <v>851</v>
      </c>
      <c r="E462" s="1">
        <f ca="1">MAX(I476:I547)</f>
        <v>583859.4048</v>
      </c>
    </row>
    <row r="463" spans="2:5">
      <c r="B463" s="1" t="s">
        <v>852</v>
      </c>
      <c r="E463" s="1">
        <f ca="1">MAX(Z476:Z547)</f>
        <v>1765845</v>
      </c>
    </row>
    <row r="465" spans="2:12">
      <c r="B465" s="27" t="s">
        <v>853</v>
      </c>
      <c r="C465" s="27"/>
      <c r="D465" s="27"/>
      <c r="E465" s="27"/>
      <c r="F465" s="27"/>
      <c r="G465" s="27"/>
      <c r="H465" s="27"/>
      <c r="I465" s="27"/>
      <c r="J465" s="27"/>
      <c r="K465" s="27"/>
      <c r="L465" s="27"/>
    </row>
    <row r="467" spans="3:4">
      <c r="C467" s="1" t="s">
        <v>854</v>
      </c>
      <c r="D467" s="1" t="s">
        <v>855</v>
      </c>
    </row>
    <row r="468" spans="2:4">
      <c r="B468" s="1" t="s">
        <v>856</v>
      </c>
      <c r="C468" s="43">
        <v>0.3</v>
      </c>
      <c r="D468" s="43">
        <v>0.7</v>
      </c>
    </row>
    <row r="469" spans="2:4">
      <c r="B469" s="1" t="s">
        <v>857</v>
      </c>
      <c r="C469" s="43">
        <v>0.3</v>
      </c>
      <c r="D469" s="43">
        <v>0.7</v>
      </c>
    </row>
    <row r="470" spans="2:4">
      <c r="B470" s="1" t="s">
        <v>858</v>
      </c>
      <c r="C470" s="1">
        <f>C468*$E$182+C469*$E$183</f>
        <v>900</v>
      </c>
      <c r="D470" s="1">
        <f>D468*$E$182+D469*$E$183</f>
        <v>2100</v>
      </c>
    </row>
    <row r="471" spans="2:4">
      <c r="B471" s="1" t="s">
        <v>859</v>
      </c>
      <c r="C471" s="14">
        <f>C470/SUM($C$470:$D$470)</f>
        <v>0.3</v>
      </c>
      <c r="D471" s="14">
        <f>D470/SUM($C$470:$D$470)</f>
        <v>0.7</v>
      </c>
    </row>
    <row r="473" spans="2:12">
      <c r="B473" s="27" t="s">
        <v>860</v>
      </c>
      <c r="C473" s="27"/>
      <c r="D473" s="27"/>
      <c r="E473" s="27"/>
      <c r="F473" s="27"/>
      <c r="G473" s="27"/>
      <c r="H473" s="27"/>
      <c r="I473" s="27"/>
      <c r="J473" s="27"/>
      <c r="K473" s="27"/>
      <c r="L473" s="27"/>
    </row>
    <row r="475" spans="2:27">
      <c r="B475" s="1" t="s">
        <v>382</v>
      </c>
      <c r="C475" s="1" t="s">
        <v>861</v>
      </c>
      <c r="D475" s="1" t="s">
        <v>862</v>
      </c>
      <c r="E475" s="1" t="s">
        <v>138</v>
      </c>
      <c r="F475" s="5" t="s">
        <v>863</v>
      </c>
      <c r="G475" s="5" t="s">
        <v>864</v>
      </c>
      <c r="H475" s="1" t="s">
        <v>865</v>
      </c>
      <c r="I475" s="1" t="s">
        <v>866</v>
      </c>
      <c r="J475" s="1" t="s">
        <v>867</v>
      </c>
      <c r="K475" s="1" t="s">
        <v>868</v>
      </c>
      <c r="L475" s="15" t="s">
        <v>861</v>
      </c>
      <c r="M475" s="15" t="s">
        <v>869</v>
      </c>
      <c r="N475" s="15" t="s">
        <v>870</v>
      </c>
      <c r="O475" s="15" t="s">
        <v>871</v>
      </c>
      <c r="P475" s="15" t="s">
        <v>816</v>
      </c>
      <c r="Q475" s="15" t="s">
        <v>862</v>
      </c>
      <c r="R475" s="15" t="s">
        <v>872</v>
      </c>
      <c r="S475" s="15" t="s">
        <v>873</v>
      </c>
      <c r="T475" s="15" t="s">
        <v>813</v>
      </c>
      <c r="U475" s="15" t="s">
        <v>814</v>
      </c>
      <c r="V475" s="1" t="s">
        <v>779</v>
      </c>
      <c r="W475" s="15" t="s">
        <v>874</v>
      </c>
      <c r="X475" s="15" t="s">
        <v>875</v>
      </c>
      <c r="Y475" s="15" t="s">
        <v>820</v>
      </c>
      <c r="Z475" s="15" t="s">
        <v>876</v>
      </c>
      <c r="AA475" s="15" t="s">
        <v>877</v>
      </c>
    </row>
    <row r="476" spans="2:27">
      <c r="B476" s="7">
        <v>0</v>
      </c>
      <c r="C476" s="30">
        <v>0</v>
      </c>
      <c r="D476" s="30">
        <v>0</v>
      </c>
      <c r="E476" s="1">
        <f ca="1" t="shared" ref="E476:E507" si="177">IF(C374="",INDIRECT(ADDRESS(ROW()-1,COLUMN())),C374)</f>
        <v>0</v>
      </c>
      <c r="F476" s="61">
        <f ca="1" t="shared" ref="F476:F507" si="178">E107</f>
        <v>0</v>
      </c>
      <c r="G476" s="5">
        <f ca="1" t="shared" ref="G476:G507" si="179">G107</f>
        <v>0</v>
      </c>
      <c r="H476" s="1">
        <f ca="1" t="shared" ref="H476:H507" si="180">IF(B476&gt;$E$460,0,F476*$C$468)</f>
        <v>0</v>
      </c>
      <c r="I476" s="1">
        <f ca="1" t="shared" ref="I476:I507" si="181">IF(B476&gt;$E$460,0,G476*$C$469)</f>
        <v>0</v>
      </c>
      <c r="J476" s="1">
        <f ca="1" t="shared" ref="J476:J507" si="182">IF(B476&gt;$E$460,F476-$E$461,F476*$D$468)</f>
        <v>0</v>
      </c>
      <c r="K476" s="1">
        <f ca="1" t="shared" ref="K476:K507" si="183">IF(B476&gt;$E$460,G476-$E$462,G476*$D$469)</f>
        <v>0</v>
      </c>
      <c r="L476" s="15">
        <f ca="1" t="shared" ref="L476:L507" si="184">IF(C476="",INDIRECT(ADDRESS(ROW()-1,COLUMN())),C476)</f>
        <v>0</v>
      </c>
      <c r="M476" s="15">
        <f ca="1" t="shared" ref="M476:M507" si="185">OFFSET(P$599,MATCH($L476,$B$599:$B$615,0)-1,0)</f>
        <v>0</v>
      </c>
      <c r="N476" s="53">
        <f ca="1" t="shared" ref="N476:N507" si="186">OFFSET(Q$599,MATCH($L476,$B$599:$B$615,0)-1,0)</f>
        <v>0</v>
      </c>
      <c r="O476" s="53">
        <f ca="1" t="shared" ref="O476:O507" si="187">OFFSET(R$599,MATCH($L476,$B$599:$B$615,0)-1,0)</f>
        <v>0</v>
      </c>
      <c r="P476" s="53">
        <f ca="1" t="shared" ref="P476:P507" si="188">OFFSET(S$599,MATCH($L476,$B$599:$B$615,0)-1,0)</f>
        <v>0</v>
      </c>
      <c r="Q476" s="15">
        <f ca="1" t="shared" ref="Q476:Q507" si="189">IF(D476="",INDIRECT(ADDRESS(ROW()-1,COLUMN())),D476)</f>
        <v>0</v>
      </c>
      <c r="R476" s="53">
        <f ca="1" t="shared" ref="R476:R507" si="190">OFFSET(P$618,MATCH($Q476,$B$618:$B$636,0)-1,0)</f>
        <v>0</v>
      </c>
      <c r="S476" s="53">
        <f ca="1" t="shared" ref="S476:S507" si="191">OFFSET(Q$618,MATCH($Q476,$B$618:$B$636,0)-1,0)</f>
        <v>0</v>
      </c>
      <c r="T476" s="62">
        <f ca="1" t="shared" ref="T476:T507" si="192">OFFSET(R$618,MATCH($Q476,$B$618:$B$636,0)-1,0)</f>
        <v>0</v>
      </c>
      <c r="U476" s="53">
        <f ca="1" t="shared" ref="U476:U507" si="193">OFFSET(S$618,MATCH($Q476,$B$618:$B$636,0)-1,0)</f>
        <v>0</v>
      </c>
      <c r="V476" s="48">
        <f ca="1" t="shared" ref="V476:V507" si="194">M198</f>
        <v>0</v>
      </c>
      <c r="W476" s="63">
        <f ca="1">F476/1000000*总规划!$G$105</f>
        <v>0</v>
      </c>
      <c r="X476" s="63">
        <f ca="1">G476/60/24*总规划!$G$106</f>
        <v>0</v>
      </c>
      <c r="Y476" s="64">
        <f ca="1" t="shared" ref="Y476:Y507" si="195">W476*$E$182+X476*$E$183</f>
        <v>0</v>
      </c>
      <c r="Z476" s="15">
        <f ca="1" t="shared" ref="Z476:Z507" si="196">IF(B476&gt;$E$460,0,Y476*$C$471)</f>
        <v>0</v>
      </c>
      <c r="AA476" s="15">
        <f ca="1" t="shared" ref="AA476:AA507" si="197">IF(B476&gt;$E$460,Y476-$E$463,Y476*$D$471)</f>
        <v>0</v>
      </c>
    </row>
    <row r="477" spans="2:27">
      <c r="B477" s="7">
        <v>0.1</v>
      </c>
      <c r="C477" s="30">
        <v>1</v>
      </c>
      <c r="D477" s="30">
        <v>1</v>
      </c>
      <c r="E477" s="1">
        <f ca="1" t="shared" si="177"/>
        <v>1</v>
      </c>
      <c r="F477" s="61">
        <f ca="1" t="shared" si="178"/>
        <v>43200</v>
      </c>
      <c r="G477" s="5">
        <f ca="1" t="shared" si="179"/>
        <v>82.944</v>
      </c>
      <c r="H477" s="1">
        <f ca="1" t="shared" si="180"/>
        <v>12960</v>
      </c>
      <c r="I477" s="1">
        <f ca="1" t="shared" si="181"/>
        <v>24.8832</v>
      </c>
      <c r="J477" s="1">
        <f ca="1" t="shared" si="182"/>
        <v>30240</v>
      </c>
      <c r="K477" s="1">
        <f ca="1" t="shared" si="183"/>
        <v>58.0608</v>
      </c>
      <c r="L477" s="15">
        <f ca="1" t="shared" si="184"/>
        <v>1</v>
      </c>
      <c r="M477" s="15">
        <f ca="1" t="shared" si="185"/>
        <v>1</v>
      </c>
      <c r="N477" s="53">
        <f ca="1" t="shared" si="186"/>
        <v>0</v>
      </c>
      <c r="O477" s="53">
        <f ca="1" t="shared" si="187"/>
        <v>0</v>
      </c>
      <c r="P477" s="53">
        <f ca="1" t="shared" si="188"/>
        <v>0</v>
      </c>
      <c r="Q477" s="15">
        <f ca="1" t="shared" si="189"/>
        <v>1</v>
      </c>
      <c r="R477" s="53">
        <f ca="1" t="shared" si="190"/>
        <v>0</v>
      </c>
      <c r="S477" s="53">
        <f ca="1" t="shared" si="191"/>
        <v>0</v>
      </c>
      <c r="T477" s="62">
        <f ca="1" t="shared" si="192"/>
        <v>100</v>
      </c>
      <c r="U477" s="53">
        <f ca="1" t="shared" si="193"/>
        <v>0</v>
      </c>
      <c r="V477" s="48">
        <f ca="1" t="shared" si="194"/>
        <v>0</v>
      </c>
      <c r="W477" s="63">
        <f ca="1">F477/1000000*总规划!$G$105</f>
        <v>0.018</v>
      </c>
      <c r="X477" s="63">
        <f ca="1">G477/60/24*总规划!$G$106</f>
        <v>0.09</v>
      </c>
      <c r="Y477" s="64">
        <f ca="1" t="shared" si="195"/>
        <v>234</v>
      </c>
      <c r="Z477" s="15">
        <f ca="1" t="shared" si="196"/>
        <v>70.2</v>
      </c>
      <c r="AA477" s="15">
        <f ca="1" t="shared" si="197"/>
        <v>163.8</v>
      </c>
    </row>
    <row r="478" spans="2:27">
      <c r="B478" s="7">
        <v>0.2</v>
      </c>
      <c r="C478" s="30"/>
      <c r="D478" s="30"/>
      <c r="E478" s="1">
        <f ca="1" t="shared" si="177"/>
        <v>2</v>
      </c>
      <c r="F478" s="61">
        <f ca="1" t="shared" si="178"/>
        <v>129600</v>
      </c>
      <c r="G478" s="5">
        <f ca="1" t="shared" si="179"/>
        <v>248.832</v>
      </c>
      <c r="H478" s="1">
        <f ca="1" t="shared" si="180"/>
        <v>38880</v>
      </c>
      <c r="I478" s="1">
        <f ca="1" t="shared" si="181"/>
        <v>74.6496</v>
      </c>
      <c r="J478" s="1">
        <f ca="1" t="shared" si="182"/>
        <v>90720</v>
      </c>
      <c r="K478" s="1">
        <f ca="1" t="shared" si="183"/>
        <v>174.1824</v>
      </c>
      <c r="L478" s="15">
        <f ca="1" t="shared" si="184"/>
        <v>1</v>
      </c>
      <c r="M478" s="15">
        <f ca="1" t="shared" si="185"/>
        <v>1</v>
      </c>
      <c r="N478" s="53">
        <f ca="1" t="shared" si="186"/>
        <v>0</v>
      </c>
      <c r="O478" s="53">
        <f ca="1" t="shared" si="187"/>
        <v>0</v>
      </c>
      <c r="P478" s="53">
        <f ca="1" t="shared" si="188"/>
        <v>0</v>
      </c>
      <c r="Q478" s="15">
        <f ca="1" t="shared" si="189"/>
        <v>1</v>
      </c>
      <c r="R478" s="53">
        <f ca="1" t="shared" si="190"/>
        <v>0</v>
      </c>
      <c r="S478" s="53">
        <f ca="1" t="shared" si="191"/>
        <v>0</v>
      </c>
      <c r="T478" s="62">
        <f ca="1" t="shared" si="192"/>
        <v>100</v>
      </c>
      <c r="U478" s="53">
        <f ca="1" t="shared" si="193"/>
        <v>0</v>
      </c>
      <c r="V478" s="48">
        <f ca="1" t="shared" si="194"/>
        <v>0.005</v>
      </c>
      <c r="W478" s="63">
        <f ca="1">F478/1000000*总规划!$G$105</f>
        <v>0.054</v>
      </c>
      <c r="X478" s="63">
        <f ca="1">G478/60/24*总规划!$G$106</f>
        <v>0.27</v>
      </c>
      <c r="Y478" s="64">
        <f ca="1" t="shared" si="195"/>
        <v>702</v>
      </c>
      <c r="Z478" s="15">
        <f ca="1" t="shared" si="196"/>
        <v>210.6</v>
      </c>
      <c r="AA478" s="15">
        <f ca="1" t="shared" si="197"/>
        <v>491.4</v>
      </c>
    </row>
    <row r="479" spans="2:27">
      <c r="B479" s="7">
        <v>0.3</v>
      </c>
      <c r="C479" s="30"/>
      <c r="D479" s="30"/>
      <c r="E479" s="1">
        <f ca="1" t="shared" si="177"/>
        <v>3</v>
      </c>
      <c r="F479" s="61">
        <f ca="1" t="shared" si="178"/>
        <v>259200</v>
      </c>
      <c r="G479" s="5">
        <f ca="1" t="shared" si="179"/>
        <v>497.664</v>
      </c>
      <c r="H479" s="1">
        <f ca="1" t="shared" si="180"/>
        <v>77760</v>
      </c>
      <c r="I479" s="1">
        <f ca="1" t="shared" si="181"/>
        <v>149.2992</v>
      </c>
      <c r="J479" s="1">
        <f ca="1" t="shared" si="182"/>
        <v>181440</v>
      </c>
      <c r="K479" s="1">
        <f ca="1" t="shared" si="183"/>
        <v>348.3648</v>
      </c>
      <c r="L479" s="15">
        <f ca="1" t="shared" si="184"/>
        <v>1</v>
      </c>
      <c r="M479" s="15">
        <f ca="1" t="shared" si="185"/>
        <v>1</v>
      </c>
      <c r="N479" s="53">
        <f ca="1" t="shared" si="186"/>
        <v>0</v>
      </c>
      <c r="O479" s="53">
        <f ca="1" t="shared" si="187"/>
        <v>0</v>
      </c>
      <c r="P479" s="53">
        <f ca="1" t="shared" si="188"/>
        <v>0</v>
      </c>
      <c r="Q479" s="15">
        <f ca="1" t="shared" si="189"/>
        <v>1</v>
      </c>
      <c r="R479" s="53">
        <f ca="1" t="shared" si="190"/>
        <v>0</v>
      </c>
      <c r="S479" s="53">
        <f ca="1" t="shared" si="191"/>
        <v>0</v>
      </c>
      <c r="T479" s="62">
        <f ca="1" t="shared" si="192"/>
        <v>100</v>
      </c>
      <c r="U479" s="53">
        <f ca="1" t="shared" si="193"/>
        <v>0</v>
      </c>
      <c r="V479" s="48">
        <f ca="1" t="shared" si="194"/>
        <v>0.01</v>
      </c>
      <c r="W479" s="63">
        <f ca="1">F479/1000000*总规划!$G$105</f>
        <v>0.108</v>
      </c>
      <c r="X479" s="63">
        <f ca="1">G479/60/24*总规划!$G$106</f>
        <v>0.54</v>
      </c>
      <c r="Y479" s="64">
        <f ca="1" t="shared" si="195"/>
        <v>1404</v>
      </c>
      <c r="Z479" s="15">
        <f ca="1" t="shared" si="196"/>
        <v>421.2</v>
      </c>
      <c r="AA479" s="15">
        <f ca="1" t="shared" si="197"/>
        <v>982.8</v>
      </c>
    </row>
    <row r="480" spans="2:27">
      <c r="B480" s="7">
        <v>0.4</v>
      </c>
      <c r="C480" s="30"/>
      <c r="D480" s="30"/>
      <c r="E480" s="1">
        <f ca="1" t="shared" si="177"/>
        <v>4</v>
      </c>
      <c r="F480" s="61">
        <f ca="1" t="shared" si="178"/>
        <v>432000</v>
      </c>
      <c r="G480" s="5">
        <f ca="1" t="shared" si="179"/>
        <v>912.384</v>
      </c>
      <c r="H480" s="1">
        <f ca="1" t="shared" si="180"/>
        <v>129600</v>
      </c>
      <c r="I480" s="1">
        <f ca="1" t="shared" si="181"/>
        <v>273.7152</v>
      </c>
      <c r="J480" s="1">
        <f ca="1" t="shared" si="182"/>
        <v>302400</v>
      </c>
      <c r="K480" s="1">
        <f ca="1" t="shared" si="183"/>
        <v>638.6688</v>
      </c>
      <c r="L480" s="15">
        <f ca="1" t="shared" si="184"/>
        <v>1</v>
      </c>
      <c r="M480" s="15">
        <f ca="1" t="shared" si="185"/>
        <v>1</v>
      </c>
      <c r="N480" s="53">
        <f ca="1" t="shared" si="186"/>
        <v>0</v>
      </c>
      <c r="O480" s="53">
        <f ca="1" t="shared" si="187"/>
        <v>0</v>
      </c>
      <c r="P480" s="53">
        <f ca="1" t="shared" si="188"/>
        <v>0</v>
      </c>
      <c r="Q480" s="15">
        <f ca="1" t="shared" si="189"/>
        <v>1</v>
      </c>
      <c r="R480" s="53">
        <f ca="1" t="shared" si="190"/>
        <v>0</v>
      </c>
      <c r="S480" s="53">
        <f ca="1" t="shared" si="191"/>
        <v>0</v>
      </c>
      <c r="T480" s="62">
        <f ca="1" t="shared" si="192"/>
        <v>100</v>
      </c>
      <c r="U480" s="53">
        <f ca="1" t="shared" si="193"/>
        <v>0</v>
      </c>
      <c r="V480" s="48">
        <f ca="1" t="shared" si="194"/>
        <v>0.015</v>
      </c>
      <c r="W480" s="63">
        <f ca="1">F480/1000000*总规划!$G$105</f>
        <v>0.18</v>
      </c>
      <c r="X480" s="63">
        <f ca="1">G480/60/24*总规划!$G$106</f>
        <v>0.99</v>
      </c>
      <c r="Y480" s="64">
        <f ca="1" t="shared" si="195"/>
        <v>2565</v>
      </c>
      <c r="Z480" s="15">
        <f ca="1" t="shared" si="196"/>
        <v>769.5</v>
      </c>
      <c r="AA480" s="15">
        <f ca="1" t="shared" si="197"/>
        <v>1795.5</v>
      </c>
    </row>
    <row r="481" spans="2:27">
      <c r="B481" s="7">
        <v>0.5</v>
      </c>
      <c r="C481" s="30">
        <v>2</v>
      </c>
      <c r="D481" s="30"/>
      <c r="E481" s="1">
        <f ca="1" t="shared" si="177"/>
        <v>5</v>
      </c>
      <c r="F481" s="61">
        <f ca="1" t="shared" si="178"/>
        <v>720000</v>
      </c>
      <c r="G481" s="5">
        <f ca="1" t="shared" si="179"/>
        <v>1575.936</v>
      </c>
      <c r="H481" s="1">
        <f ca="1" t="shared" si="180"/>
        <v>216000</v>
      </c>
      <c r="I481" s="1">
        <f ca="1" t="shared" si="181"/>
        <v>472.7808</v>
      </c>
      <c r="J481" s="1">
        <f ca="1" t="shared" si="182"/>
        <v>504000</v>
      </c>
      <c r="K481" s="1">
        <f ca="1" t="shared" si="183"/>
        <v>1103.1552</v>
      </c>
      <c r="L481" s="15">
        <f ca="1" t="shared" si="184"/>
        <v>2</v>
      </c>
      <c r="M481" s="15">
        <f ca="1" t="shared" si="185"/>
        <v>1</v>
      </c>
      <c r="N481" s="53">
        <f ca="1" t="shared" si="186"/>
        <v>0.05</v>
      </c>
      <c r="O481" s="53">
        <f ca="1" t="shared" si="187"/>
        <v>0</v>
      </c>
      <c r="P481" s="53">
        <f ca="1" t="shared" si="188"/>
        <v>0.05</v>
      </c>
      <c r="Q481" s="15">
        <f ca="1" t="shared" si="189"/>
        <v>1</v>
      </c>
      <c r="R481" s="53">
        <f ca="1" t="shared" si="190"/>
        <v>0</v>
      </c>
      <c r="S481" s="53">
        <f ca="1" t="shared" si="191"/>
        <v>0</v>
      </c>
      <c r="T481" s="62">
        <f ca="1" t="shared" si="192"/>
        <v>100</v>
      </c>
      <c r="U481" s="53">
        <f ca="1" t="shared" si="193"/>
        <v>0</v>
      </c>
      <c r="V481" s="48">
        <f ca="1" t="shared" si="194"/>
        <v>0.07</v>
      </c>
      <c r="W481" s="63">
        <f ca="1">F481/1000000*总规划!$G$105</f>
        <v>0.3</v>
      </c>
      <c r="X481" s="63">
        <f ca="1">G481/60/24*总规划!$G$106</f>
        <v>1.71</v>
      </c>
      <c r="Y481" s="64">
        <f ca="1" t="shared" si="195"/>
        <v>4425</v>
      </c>
      <c r="Z481" s="15">
        <f ca="1" t="shared" si="196"/>
        <v>1327.5</v>
      </c>
      <c r="AA481" s="15">
        <f ca="1" t="shared" si="197"/>
        <v>3097.5</v>
      </c>
    </row>
    <row r="482" spans="2:27">
      <c r="B482" s="7">
        <v>0.6</v>
      </c>
      <c r="C482" s="30"/>
      <c r="D482" s="30"/>
      <c r="E482" s="1">
        <f ca="1" t="shared" si="177"/>
        <v>6</v>
      </c>
      <c r="F482" s="61">
        <f ca="1" t="shared" si="178"/>
        <v>1296000</v>
      </c>
      <c r="G482" s="5">
        <f ca="1" t="shared" si="179"/>
        <v>2820.096</v>
      </c>
      <c r="H482" s="1">
        <f ca="1" t="shared" si="180"/>
        <v>388800</v>
      </c>
      <c r="I482" s="1">
        <f ca="1" t="shared" si="181"/>
        <v>846.0288</v>
      </c>
      <c r="J482" s="1">
        <f ca="1" t="shared" si="182"/>
        <v>907200</v>
      </c>
      <c r="K482" s="1">
        <f ca="1" t="shared" si="183"/>
        <v>1974.0672</v>
      </c>
      <c r="L482" s="15">
        <f ca="1" t="shared" si="184"/>
        <v>2</v>
      </c>
      <c r="M482" s="15">
        <f ca="1" t="shared" si="185"/>
        <v>1</v>
      </c>
      <c r="N482" s="53">
        <f ca="1" t="shared" si="186"/>
        <v>0.05</v>
      </c>
      <c r="O482" s="53">
        <f ca="1" t="shared" si="187"/>
        <v>0</v>
      </c>
      <c r="P482" s="53">
        <f ca="1" t="shared" si="188"/>
        <v>0.05</v>
      </c>
      <c r="Q482" s="15">
        <f ca="1" t="shared" si="189"/>
        <v>1</v>
      </c>
      <c r="R482" s="53">
        <f ca="1" t="shared" si="190"/>
        <v>0</v>
      </c>
      <c r="S482" s="53">
        <f ca="1" t="shared" si="191"/>
        <v>0</v>
      </c>
      <c r="T482" s="62">
        <f ca="1" t="shared" si="192"/>
        <v>100</v>
      </c>
      <c r="U482" s="53">
        <f ca="1" t="shared" si="193"/>
        <v>0</v>
      </c>
      <c r="V482" s="48">
        <f ca="1" t="shared" si="194"/>
        <v>0.075</v>
      </c>
      <c r="W482" s="63">
        <f ca="1">F482/1000000*总规划!$G$105</f>
        <v>0.54</v>
      </c>
      <c r="X482" s="63">
        <f ca="1">G482/60/24*总规划!$G$106</f>
        <v>3.06</v>
      </c>
      <c r="Y482" s="64">
        <f ca="1" t="shared" si="195"/>
        <v>7920</v>
      </c>
      <c r="Z482" s="15">
        <f ca="1" t="shared" si="196"/>
        <v>2376</v>
      </c>
      <c r="AA482" s="15">
        <f ca="1" t="shared" si="197"/>
        <v>5544</v>
      </c>
    </row>
    <row r="483" spans="2:27">
      <c r="B483" s="7">
        <v>0.7</v>
      </c>
      <c r="C483" s="30"/>
      <c r="D483" s="30"/>
      <c r="E483" s="1">
        <f ca="1" t="shared" si="177"/>
        <v>6</v>
      </c>
      <c r="F483" s="61">
        <f ca="1" t="shared" si="178"/>
        <v>1728000</v>
      </c>
      <c r="G483" s="5">
        <f ca="1" t="shared" si="179"/>
        <v>4064.256</v>
      </c>
      <c r="H483" s="1">
        <f ca="1" t="shared" si="180"/>
        <v>518400</v>
      </c>
      <c r="I483" s="1">
        <f ca="1" t="shared" si="181"/>
        <v>1219.2768</v>
      </c>
      <c r="J483" s="1">
        <f ca="1" t="shared" si="182"/>
        <v>1209600</v>
      </c>
      <c r="K483" s="1">
        <f ca="1" t="shared" si="183"/>
        <v>2844.9792</v>
      </c>
      <c r="L483" s="15">
        <f ca="1" t="shared" si="184"/>
        <v>2</v>
      </c>
      <c r="M483" s="15">
        <f ca="1" t="shared" si="185"/>
        <v>1</v>
      </c>
      <c r="N483" s="53">
        <f ca="1" t="shared" si="186"/>
        <v>0.05</v>
      </c>
      <c r="O483" s="53">
        <f ca="1" t="shared" si="187"/>
        <v>0</v>
      </c>
      <c r="P483" s="53">
        <f ca="1" t="shared" si="188"/>
        <v>0.05</v>
      </c>
      <c r="Q483" s="15">
        <f ca="1" t="shared" si="189"/>
        <v>1</v>
      </c>
      <c r="R483" s="53">
        <f ca="1" t="shared" si="190"/>
        <v>0</v>
      </c>
      <c r="S483" s="53">
        <f ca="1" t="shared" si="191"/>
        <v>0</v>
      </c>
      <c r="T483" s="62">
        <f ca="1" t="shared" si="192"/>
        <v>100</v>
      </c>
      <c r="U483" s="53">
        <f ca="1" t="shared" si="193"/>
        <v>0</v>
      </c>
      <c r="V483" s="48">
        <f ca="1" t="shared" si="194"/>
        <v>0.075</v>
      </c>
      <c r="W483" s="63">
        <f ca="1">F483/1000000*总规划!$G$105</f>
        <v>0.720000000000001</v>
      </c>
      <c r="X483" s="63">
        <f ca="1">G483/60/24*总规划!$G$106</f>
        <v>4.41</v>
      </c>
      <c r="Y483" s="64">
        <f ca="1" t="shared" si="195"/>
        <v>11385</v>
      </c>
      <c r="Z483" s="15">
        <f ca="1" t="shared" si="196"/>
        <v>3415.5</v>
      </c>
      <c r="AA483" s="15">
        <f ca="1" t="shared" si="197"/>
        <v>7969.5</v>
      </c>
    </row>
    <row r="484" spans="2:27">
      <c r="B484" s="7">
        <v>0.8</v>
      </c>
      <c r="C484" s="30"/>
      <c r="D484" s="30"/>
      <c r="E484" s="1">
        <f ca="1" t="shared" si="177"/>
        <v>7</v>
      </c>
      <c r="F484" s="61">
        <f ca="1" t="shared" si="178"/>
        <v>2160000</v>
      </c>
      <c r="G484" s="5">
        <f ca="1" t="shared" si="179"/>
        <v>5308.416</v>
      </c>
      <c r="H484" s="1">
        <f ca="1" t="shared" si="180"/>
        <v>648000</v>
      </c>
      <c r="I484" s="1">
        <f ca="1" t="shared" si="181"/>
        <v>1592.5248</v>
      </c>
      <c r="J484" s="1">
        <f ca="1" t="shared" si="182"/>
        <v>1512000</v>
      </c>
      <c r="K484" s="1">
        <f ca="1" t="shared" si="183"/>
        <v>3715.8912</v>
      </c>
      <c r="L484" s="15">
        <f ca="1" t="shared" si="184"/>
        <v>2</v>
      </c>
      <c r="M484" s="15">
        <f ca="1" t="shared" si="185"/>
        <v>1</v>
      </c>
      <c r="N484" s="53">
        <f ca="1" t="shared" si="186"/>
        <v>0.05</v>
      </c>
      <c r="O484" s="53">
        <f ca="1" t="shared" si="187"/>
        <v>0</v>
      </c>
      <c r="P484" s="53">
        <f ca="1" t="shared" si="188"/>
        <v>0.05</v>
      </c>
      <c r="Q484" s="15">
        <f ca="1" t="shared" si="189"/>
        <v>1</v>
      </c>
      <c r="R484" s="53">
        <f ca="1" t="shared" si="190"/>
        <v>0</v>
      </c>
      <c r="S484" s="53">
        <f ca="1" t="shared" si="191"/>
        <v>0</v>
      </c>
      <c r="T484" s="62">
        <f ca="1" t="shared" si="192"/>
        <v>100</v>
      </c>
      <c r="U484" s="53">
        <f ca="1" t="shared" si="193"/>
        <v>0</v>
      </c>
      <c r="V484" s="48">
        <f ca="1" t="shared" si="194"/>
        <v>0.08</v>
      </c>
      <c r="W484" s="63">
        <f ca="1">F484/1000000*总规划!$G$105</f>
        <v>0.900000000000001</v>
      </c>
      <c r="X484" s="63">
        <f ca="1">G484/60/24*总规划!$G$106</f>
        <v>5.76</v>
      </c>
      <c r="Y484" s="64">
        <f ca="1" t="shared" si="195"/>
        <v>14850</v>
      </c>
      <c r="Z484" s="15">
        <f ca="1" t="shared" si="196"/>
        <v>4455</v>
      </c>
      <c r="AA484" s="15">
        <f ca="1" t="shared" si="197"/>
        <v>10395</v>
      </c>
    </row>
    <row r="485" spans="2:27">
      <c r="B485" s="7">
        <v>0.9</v>
      </c>
      <c r="C485" s="30"/>
      <c r="D485" s="30"/>
      <c r="E485" s="1">
        <f ca="1" t="shared" si="177"/>
        <v>7</v>
      </c>
      <c r="F485" s="61">
        <f ca="1" t="shared" si="178"/>
        <v>2736000</v>
      </c>
      <c r="G485" s="5">
        <f ca="1" t="shared" si="179"/>
        <v>6967.296</v>
      </c>
      <c r="H485" s="1">
        <f ca="1" t="shared" si="180"/>
        <v>820800</v>
      </c>
      <c r="I485" s="1">
        <f ca="1" t="shared" si="181"/>
        <v>2090.1888</v>
      </c>
      <c r="J485" s="1">
        <f ca="1" t="shared" si="182"/>
        <v>1915200</v>
      </c>
      <c r="K485" s="1">
        <f ca="1" t="shared" si="183"/>
        <v>4877.1072</v>
      </c>
      <c r="L485" s="15">
        <f ca="1" t="shared" si="184"/>
        <v>2</v>
      </c>
      <c r="M485" s="15">
        <f ca="1" t="shared" si="185"/>
        <v>1</v>
      </c>
      <c r="N485" s="53">
        <f ca="1" t="shared" si="186"/>
        <v>0.05</v>
      </c>
      <c r="O485" s="53">
        <f ca="1" t="shared" si="187"/>
        <v>0</v>
      </c>
      <c r="P485" s="53">
        <f ca="1" t="shared" si="188"/>
        <v>0.05</v>
      </c>
      <c r="Q485" s="15">
        <f ca="1" t="shared" si="189"/>
        <v>1</v>
      </c>
      <c r="R485" s="53">
        <f ca="1" t="shared" si="190"/>
        <v>0</v>
      </c>
      <c r="S485" s="53">
        <f ca="1" t="shared" si="191"/>
        <v>0</v>
      </c>
      <c r="T485" s="62">
        <f ca="1" t="shared" si="192"/>
        <v>100</v>
      </c>
      <c r="U485" s="53">
        <f ca="1" t="shared" si="193"/>
        <v>0</v>
      </c>
      <c r="V485" s="48">
        <f ca="1" t="shared" si="194"/>
        <v>0.08</v>
      </c>
      <c r="W485" s="63">
        <f ca="1">F485/1000000*总规划!$G$105</f>
        <v>1.14</v>
      </c>
      <c r="X485" s="63">
        <f ca="1">G485/60/24*总规划!$G$106</f>
        <v>7.56</v>
      </c>
      <c r="Y485" s="64">
        <f ca="1" t="shared" si="195"/>
        <v>19470</v>
      </c>
      <c r="Z485" s="15">
        <f ca="1" t="shared" si="196"/>
        <v>5841</v>
      </c>
      <c r="AA485" s="15">
        <f ca="1" t="shared" si="197"/>
        <v>13629</v>
      </c>
    </row>
    <row r="486" spans="2:27">
      <c r="B486" s="7">
        <v>1</v>
      </c>
      <c r="C486" s="30">
        <v>3</v>
      </c>
      <c r="D486" s="30">
        <v>2</v>
      </c>
      <c r="E486" s="1">
        <f ca="1" t="shared" si="177"/>
        <v>8</v>
      </c>
      <c r="F486" s="61">
        <f ca="1" t="shared" si="178"/>
        <v>3312000</v>
      </c>
      <c r="G486" s="5">
        <f ca="1" t="shared" si="179"/>
        <v>8626.176</v>
      </c>
      <c r="H486" s="1">
        <f ca="1" t="shared" si="180"/>
        <v>993600</v>
      </c>
      <c r="I486" s="1">
        <f ca="1" t="shared" si="181"/>
        <v>2587.8528</v>
      </c>
      <c r="J486" s="1">
        <f ca="1" t="shared" si="182"/>
        <v>2318400</v>
      </c>
      <c r="K486" s="1">
        <f ca="1" t="shared" si="183"/>
        <v>6038.3232</v>
      </c>
      <c r="L486" s="15">
        <f ca="1" t="shared" si="184"/>
        <v>3</v>
      </c>
      <c r="M486" s="15">
        <f ca="1" t="shared" si="185"/>
        <v>2</v>
      </c>
      <c r="N486" s="53">
        <f ca="1" t="shared" si="186"/>
        <v>0.05</v>
      </c>
      <c r="O486" s="53">
        <f ca="1" t="shared" si="187"/>
        <v>0</v>
      </c>
      <c r="P486" s="53">
        <f ca="1" t="shared" si="188"/>
        <v>0.05</v>
      </c>
      <c r="Q486" s="15">
        <f ca="1" t="shared" si="189"/>
        <v>2</v>
      </c>
      <c r="R486" s="53">
        <f ca="1" t="shared" si="190"/>
        <v>0.05</v>
      </c>
      <c r="S486" s="53">
        <f ca="1" t="shared" si="191"/>
        <v>0.05</v>
      </c>
      <c r="T486" s="62">
        <f ca="1" t="shared" si="192"/>
        <v>100</v>
      </c>
      <c r="U486" s="53">
        <f ca="1" t="shared" si="193"/>
        <v>0</v>
      </c>
      <c r="V486" s="48">
        <f ca="1" t="shared" si="194"/>
        <v>0.085</v>
      </c>
      <c r="W486" s="63">
        <f ca="1">F486/1000000*总规划!$G$105</f>
        <v>1.38</v>
      </c>
      <c r="X486" s="63">
        <f ca="1">G486/60/24*总规划!$G$106</f>
        <v>9.36</v>
      </c>
      <c r="Y486" s="64">
        <f ca="1" t="shared" si="195"/>
        <v>24090</v>
      </c>
      <c r="Z486" s="15">
        <f ca="1" t="shared" si="196"/>
        <v>7227</v>
      </c>
      <c r="AA486" s="15">
        <f ca="1" t="shared" si="197"/>
        <v>16863</v>
      </c>
    </row>
    <row r="487" spans="2:27">
      <c r="B487" s="9">
        <v>1.5</v>
      </c>
      <c r="C487" s="30">
        <v>4</v>
      </c>
      <c r="D487" s="30">
        <v>3</v>
      </c>
      <c r="E487" s="1">
        <f ca="1" t="shared" si="177"/>
        <v>9</v>
      </c>
      <c r="F487" s="61">
        <f ca="1" t="shared" si="178"/>
        <v>4752000</v>
      </c>
      <c r="G487" s="5">
        <f ca="1" t="shared" si="179"/>
        <v>12773.376</v>
      </c>
      <c r="H487" s="1">
        <f ca="1" t="shared" si="180"/>
        <v>1425600</v>
      </c>
      <c r="I487" s="1">
        <f ca="1" t="shared" si="181"/>
        <v>3832.0128</v>
      </c>
      <c r="J487" s="1">
        <f ca="1" t="shared" si="182"/>
        <v>3326400</v>
      </c>
      <c r="K487" s="1">
        <f ca="1" t="shared" si="183"/>
        <v>8941.3632</v>
      </c>
      <c r="L487" s="15">
        <f ca="1" t="shared" si="184"/>
        <v>4</v>
      </c>
      <c r="M487" s="15">
        <f ca="1" t="shared" si="185"/>
        <v>2</v>
      </c>
      <c r="N487" s="53">
        <f ca="1" t="shared" si="186"/>
        <v>0.13</v>
      </c>
      <c r="O487" s="53">
        <f ca="1" t="shared" si="187"/>
        <v>0</v>
      </c>
      <c r="P487" s="53">
        <f ca="1" t="shared" si="188"/>
        <v>0.05</v>
      </c>
      <c r="Q487" s="15">
        <f ca="1" t="shared" si="189"/>
        <v>3</v>
      </c>
      <c r="R487" s="53">
        <f ca="1" t="shared" si="190"/>
        <v>0.05</v>
      </c>
      <c r="S487" s="53">
        <f ca="1" t="shared" si="191"/>
        <v>0.05</v>
      </c>
      <c r="T487" s="62">
        <f ca="1" t="shared" si="192"/>
        <v>100</v>
      </c>
      <c r="U487" s="53">
        <f ca="1" t="shared" si="193"/>
        <v>0</v>
      </c>
      <c r="V487" s="48">
        <f ca="1" t="shared" si="194"/>
        <v>0.09</v>
      </c>
      <c r="W487" s="63">
        <f ca="1">F487/1000000*总规划!$G$105</f>
        <v>1.98</v>
      </c>
      <c r="X487" s="63">
        <f ca="1">G487/60/24*总规划!$G$106</f>
        <v>13.86</v>
      </c>
      <c r="Y487" s="64">
        <f ca="1" t="shared" si="195"/>
        <v>35640</v>
      </c>
      <c r="Z487" s="15">
        <f ca="1" t="shared" si="196"/>
        <v>10692</v>
      </c>
      <c r="AA487" s="15">
        <f ca="1" t="shared" si="197"/>
        <v>24948</v>
      </c>
    </row>
    <row r="488" spans="2:27">
      <c r="B488" s="9">
        <v>2</v>
      </c>
      <c r="C488" s="30">
        <v>5</v>
      </c>
      <c r="D488" s="30"/>
      <c r="E488" s="1">
        <f ca="1" t="shared" si="177"/>
        <v>10</v>
      </c>
      <c r="F488" s="61">
        <f ca="1" t="shared" si="178"/>
        <v>6768000</v>
      </c>
      <c r="G488" s="5">
        <f ca="1" t="shared" si="179"/>
        <v>17750.016</v>
      </c>
      <c r="H488" s="1">
        <f ca="1" t="shared" si="180"/>
        <v>2030400</v>
      </c>
      <c r="I488" s="1">
        <f ca="1" t="shared" si="181"/>
        <v>5325.0048</v>
      </c>
      <c r="J488" s="1">
        <f ca="1" t="shared" si="182"/>
        <v>4737600</v>
      </c>
      <c r="K488" s="1">
        <f ca="1" t="shared" si="183"/>
        <v>12425.0112</v>
      </c>
      <c r="L488" s="15">
        <f ca="1" t="shared" si="184"/>
        <v>5</v>
      </c>
      <c r="M488" s="15">
        <f ca="1" t="shared" si="185"/>
        <v>2</v>
      </c>
      <c r="N488" s="53">
        <f ca="1" t="shared" si="186"/>
        <v>0.23</v>
      </c>
      <c r="O488" s="53">
        <f ca="1" t="shared" si="187"/>
        <v>0</v>
      </c>
      <c r="P488" s="53">
        <f ca="1" t="shared" si="188"/>
        <v>0.05</v>
      </c>
      <c r="Q488" s="15">
        <f ca="1" t="shared" si="189"/>
        <v>3</v>
      </c>
      <c r="R488" s="53">
        <f ca="1" t="shared" si="190"/>
        <v>0.05</v>
      </c>
      <c r="S488" s="53">
        <f ca="1" t="shared" si="191"/>
        <v>0.05</v>
      </c>
      <c r="T488" s="62">
        <f ca="1" t="shared" si="192"/>
        <v>100</v>
      </c>
      <c r="U488" s="53">
        <f ca="1" t="shared" si="193"/>
        <v>0</v>
      </c>
      <c r="V488" s="48">
        <f ca="1" t="shared" si="194"/>
        <v>0.095</v>
      </c>
      <c r="W488" s="63">
        <f ca="1">F488/1000000*总规划!$G$105</f>
        <v>2.82</v>
      </c>
      <c r="X488" s="63">
        <f ca="1">G488/60/24*总规划!$G$106</f>
        <v>19.26</v>
      </c>
      <c r="Y488" s="64">
        <f ca="1" t="shared" si="195"/>
        <v>49560</v>
      </c>
      <c r="Z488" s="15">
        <f ca="1" t="shared" si="196"/>
        <v>14868</v>
      </c>
      <c r="AA488" s="15">
        <f ca="1" t="shared" si="197"/>
        <v>34692</v>
      </c>
    </row>
    <row r="489" spans="2:27">
      <c r="B489" s="9">
        <v>2.5</v>
      </c>
      <c r="C489" s="30"/>
      <c r="D489" s="30"/>
      <c r="E489" s="1">
        <f ca="1" t="shared" si="177"/>
        <v>11</v>
      </c>
      <c r="F489" s="61">
        <f ca="1" t="shared" si="178"/>
        <v>9360000</v>
      </c>
      <c r="G489" s="5">
        <f ca="1" t="shared" si="179"/>
        <v>23556.096</v>
      </c>
      <c r="H489" s="1">
        <f ca="1" t="shared" si="180"/>
        <v>2808000</v>
      </c>
      <c r="I489" s="1">
        <f ca="1" t="shared" si="181"/>
        <v>7066.8288</v>
      </c>
      <c r="J489" s="1">
        <f ca="1" t="shared" si="182"/>
        <v>6552000</v>
      </c>
      <c r="K489" s="1">
        <f ca="1" t="shared" si="183"/>
        <v>16489.2672</v>
      </c>
      <c r="L489" s="15">
        <f ca="1" t="shared" si="184"/>
        <v>5</v>
      </c>
      <c r="M489" s="15">
        <f ca="1" t="shared" si="185"/>
        <v>2</v>
      </c>
      <c r="N489" s="53">
        <f ca="1" t="shared" si="186"/>
        <v>0.23</v>
      </c>
      <c r="O489" s="53">
        <f ca="1" t="shared" si="187"/>
        <v>0</v>
      </c>
      <c r="P489" s="53">
        <f ca="1" t="shared" si="188"/>
        <v>0.05</v>
      </c>
      <c r="Q489" s="15">
        <f ca="1" t="shared" si="189"/>
        <v>3</v>
      </c>
      <c r="R489" s="53">
        <f ca="1" t="shared" si="190"/>
        <v>0.05</v>
      </c>
      <c r="S489" s="53">
        <f ca="1" t="shared" si="191"/>
        <v>0.05</v>
      </c>
      <c r="T489" s="62">
        <f ca="1" t="shared" si="192"/>
        <v>100</v>
      </c>
      <c r="U489" s="53">
        <f ca="1" t="shared" si="193"/>
        <v>0</v>
      </c>
      <c r="V489" s="48">
        <f ca="1" t="shared" si="194"/>
        <v>0.1</v>
      </c>
      <c r="W489" s="63">
        <f ca="1">F489/1000000*总规划!$G$105</f>
        <v>3.9</v>
      </c>
      <c r="X489" s="63">
        <f ca="1">G489/60/24*总规划!$G$106</f>
        <v>25.56</v>
      </c>
      <c r="Y489" s="64">
        <f ca="1" t="shared" si="195"/>
        <v>65850</v>
      </c>
      <c r="Z489" s="15">
        <f ca="1" t="shared" si="196"/>
        <v>19755</v>
      </c>
      <c r="AA489" s="15">
        <f ca="1" t="shared" si="197"/>
        <v>46095</v>
      </c>
    </row>
    <row r="490" spans="2:27">
      <c r="B490" s="9">
        <v>3</v>
      </c>
      <c r="C490" s="30">
        <v>6</v>
      </c>
      <c r="D490" s="30"/>
      <c r="E490" s="1">
        <f ca="1" t="shared" si="177"/>
        <v>12</v>
      </c>
      <c r="F490" s="61">
        <f ca="1" t="shared" si="178"/>
        <v>12240000</v>
      </c>
      <c r="G490" s="5">
        <f ca="1" t="shared" si="179"/>
        <v>30191.616</v>
      </c>
      <c r="H490" s="1">
        <f ca="1" t="shared" si="180"/>
        <v>3672000</v>
      </c>
      <c r="I490" s="1">
        <f ca="1" t="shared" si="181"/>
        <v>9057.4848</v>
      </c>
      <c r="J490" s="1">
        <f ca="1" t="shared" si="182"/>
        <v>8568000</v>
      </c>
      <c r="K490" s="1">
        <f ca="1" t="shared" si="183"/>
        <v>21134.1312</v>
      </c>
      <c r="L490" s="15">
        <f ca="1" t="shared" si="184"/>
        <v>6</v>
      </c>
      <c r="M490" s="15">
        <f ca="1" t="shared" si="185"/>
        <v>2</v>
      </c>
      <c r="N490" s="53">
        <f ca="1" t="shared" si="186"/>
        <v>0.23</v>
      </c>
      <c r="O490" s="53">
        <f ca="1" t="shared" si="187"/>
        <v>0.1</v>
      </c>
      <c r="P490" s="53">
        <f ca="1" t="shared" si="188"/>
        <v>0.05</v>
      </c>
      <c r="Q490" s="15">
        <f ca="1" t="shared" si="189"/>
        <v>3</v>
      </c>
      <c r="R490" s="53">
        <f ca="1" t="shared" si="190"/>
        <v>0.05</v>
      </c>
      <c r="S490" s="53">
        <f ca="1" t="shared" si="191"/>
        <v>0.05</v>
      </c>
      <c r="T490" s="62">
        <f ca="1" t="shared" si="192"/>
        <v>100</v>
      </c>
      <c r="U490" s="53">
        <f ca="1" t="shared" si="193"/>
        <v>0</v>
      </c>
      <c r="V490" s="48">
        <f ca="1" t="shared" si="194"/>
        <v>0.105</v>
      </c>
      <c r="W490" s="63">
        <f ca="1">F490/1000000*总规划!$G$105</f>
        <v>5.1</v>
      </c>
      <c r="X490" s="63">
        <f ca="1">G490/60/24*总规划!$G$106</f>
        <v>32.76</v>
      </c>
      <c r="Y490" s="64">
        <f ca="1" t="shared" si="195"/>
        <v>84450</v>
      </c>
      <c r="Z490" s="15">
        <f ca="1" t="shared" si="196"/>
        <v>25335</v>
      </c>
      <c r="AA490" s="15">
        <f ca="1" t="shared" si="197"/>
        <v>59115</v>
      </c>
    </row>
    <row r="491" spans="2:27">
      <c r="B491" s="9">
        <v>3.5</v>
      </c>
      <c r="C491" s="30"/>
      <c r="D491" s="30"/>
      <c r="E491" s="1">
        <f ca="1" t="shared" si="177"/>
        <v>12</v>
      </c>
      <c r="F491" s="61">
        <f ca="1" t="shared" si="178"/>
        <v>14400000</v>
      </c>
      <c r="G491" s="5">
        <f ca="1" t="shared" si="179"/>
        <v>34338.816</v>
      </c>
      <c r="H491" s="1">
        <f ca="1" t="shared" si="180"/>
        <v>4320000</v>
      </c>
      <c r="I491" s="1">
        <f ca="1" t="shared" si="181"/>
        <v>10301.6448</v>
      </c>
      <c r="J491" s="1">
        <f ca="1" t="shared" si="182"/>
        <v>10080000</v>
      </c>
      <c r="K491" s="1">
        <f ca="1" t="shared" si="183"/>
        <v>24037.1712</v>
      </c>
      <c r="L491" s="15">
        <f ca="1" t="shared" si="184"/>
        <v>6</v>
      </c>
      <c r="M491" s="15">
        <f ca="1" t="shared" si="185"/>
        <v>2</v>
      </c>
      <c r="N491" s="53">
        <f ca="1" t="shared" si="186"/>
        <v>0.23</v>
      </c>
      <c r="O491" s="53">
        <f ca="1" t="shared" si="187"/>
        <v>0.1</v>
      </c>
      <c r="P491" s="53">
        <f ca="1" t="shared" si="188"/>
        <v>0.05</v>
      </c>
      <c r="Q491" s="15">
        <f ca="1" t="shared" si="189"/>
        <v>3</v>
      </c>
      <c r="R491" s="53">
        <f ca="1" t="shared" si="190"/>
        <v>0.05</v>
      </c>
      <c r="S491" s="53">
        <f ca="1" t="shared" si="191"/>
        <v>0.05</v>
      </c>
      <c r="T491" s="62">
        <f ca="1" t="shared" si="192"/>
        <v>100</v>
      </c>
      <c r="U491" s="53">
        <f ca="1" t="shared" si="193"/>
        <v>0</v>
      </c>
      <c r="V491" s="48">
        <f ca="1" t="shared" si="194"/>
        <v>0.105</v>
      </c>
      <c r="W491" s="63">
        <f ca="1">F491/1000000*总规划!$G$105</f>
        <v>6.00000000000001</v>
      </c>
      <c r="X491" s="63">
        <f ca="1">G491/60/24*总规划!$G$106</f>
        <v>37.26</v>
      </c>
      <c r="Y491" s="64">
        <f ca="1" t="shared" si="195"/>
        <v>96150</v>
      </c>
      <c r="Z491" s="15">
        <f ca="1" t="shared" si="196"/>
        <v>28845</v>
      </c>
      <c r="AA491" s="15">
        <f ca="1" t="shared" si="197"/>
        <v>67305</v>
      </c>
    </row>
    <row r="492" spans="2:27">
      <c r="B492" s="9">
        <v>4</v>
      </c>
      <c r="C492" s="30">
        <v>7</v>
      </c>
      <c r="D492" s="30"/>
      <c r="E492" s="1">
        <f ca="1" t="shared" si="177"/>
        <v>13</v>
      </c>
      <c r="F492" s="61">
        <f ca="1" t="shared" si="178"/>
        <v>16560000</v>
      </c>
      <c r="G492" s="5">
        <f ca="1" t="shared" si="179"/>
        <v>38486.016</v>
      </c>
      <c r="H492" s="1">
        <f ca="1" t="shared" si="180"/>
        <v>4968000</v>
      </c>
      <c r="I492" s="1">
        <f ca="1" t="shared" si="181"/>
        <v>11545.8048</v>
      </c>
      <c r="J492" s="1">
        <f ca="1" t="shared" si="182"/>
        <v>11592000</v>
      </c>
      <c r="K492" s="1">
        <f ca="1" t="shared" si="183"/>
        <v>26940.2112</v>
      </c>
      <c r="L492" s="15">
        <f ca="1" t="shared" si="184"/>
        <v>7</v>
      </c>
      <c r="M492" s="15">
        <f ca="1" t="shared" si="185"/>
        <v>3</v>
      </c>
      <c r="N492" s="53">
        <f ca="1" t="shared" si="186"/>
        <v>0.23</v>
      </c>
      <c r="O492" s="53">
        <f ca="1" t="shared" si="187"/>
        <v>0.1</v>
      </c>
      <c r="P492" s="53">
        <f ca="1" t="shared" si="188"/>
        <v>0.05</v>
      </c>
      <c r="Q492" s="15">
        <f ca="1" t="shared" si="189"/>
        <v>3</v>
      </c>
      <c r="R492" s="53">
        <f ca="1" t="shared" si="190"/>
        <v>0.05</v>
      </c>
      <c r="S492" s="53">
        <f ca="1" t="shared" si="191"/>
        <v>0.05</v>
      </c>
      <c r="T492" s="62">
        <f ca="1" t="shared" si="192"/>
        <v>100</v>
      </c>
      <c r="U492" s="53">
        <f ca="1" t="shared" si="193"/>
        <v>0</v>
      </c>
      <c r="V492" s="48">
        <f ca="1" t="shared" si="194"/>
        <v>0.11</v>
      </c>
      <c r="W492" s="63">
        <f ca="1">F492/1000000*总规划!$G$105</f>
        <v>6.90000000000001</v>
      </c>
      <c r="X492" s="63">
        <f ca="1">G492/60/24*总规划!$G$106</f>
        <v>41.76</v>
      </c>
      <c r="Y492" s="64">
        <f ca="1" t="shared" si="195"/>
        <v>107850</v>
      </c>
      <c r="Z492" s="15">
        <f ca="1" t="shared" si="196"/>
        <v>32355</v>
      </c>
      <c r="AA492" s="15">
        <f ca="1" t="shared" si="197"/>
        <v>75495</v>
      </c>
    </row>
    <row r="493" spans="2:27">
      <c r="B493" s="9">
        <v>4.5</v>
      </c>
      <c r="C493" s="30"/>
      <c r="D493" s="30">
        <v>4</v>
      </c>
      <c r="E493" s="1">
        <f ca="1" t="shared" si="177"/>
        <v>13</v>
      </c>
      <c r="F493" s="61">
        <f ca="1" t="shared" si="178"/>
        <v>20880000</v>
      </c>
      <c r="G493" s="5">
        <f ca="1" t="shared" si="179"/>
        <v>44706.816</v>
      </c>
      <c r="H493" s="1">
        <f ca="1" t="shared" si="180"/>
        <v>6264000</v>
      </c>
      <c r="I493" s="1">
        <f ca="1" t="shared" si="181"/>
        <v>13412.0448</v>
      </c>
      <c r="J493" s="1">
        <f ca="1" t="shared" si="182"/>
        <v>14616000</v>
      </c>
      <c r="K493" s="1">
        <f ca="1" t="shared" si="183"/>
        <v>31294.7712</v>
      </c>
      <c r="L493" s="15">
        <f ca="1" t="shared" si="184"/>
        <v>7</v>
      </c>
      <c r="M493" s="15">
        <f ca="1" t="shared" si="185"/>
        <v>3</v>
      </c>
      <c r="N493" s="53">
        <f ca="1" t="shared" si="186"/>
        <v>0.23</v>
      </c>
      <c r="O493" s="53">
        <f ca="1" t="shared" si="187"/>
        <v>0.1</v>
      </c>
      <c r="P493" s="53">
        <f ca="1" t="shared" si="188"/>
        <v>0.05</v>
      </c>
      <c r="Q493" s="15">
        <f ca="1" t="shared" si="189"/>
        <v>4</v>
      </c>
      <c r="R493" s="53">
        <f ca="1" t="shared" si="190"/>
        <v>0.05</v>
      </c>
      <c r="S493" s="53">
        <f ca="1" t="shared" si="191"/>
        <v>0.15</v>
      </c>
      <c r="T493" s="62">
        <f ca="1" t="shared" si="192"/>
        <v>100</v>
      </c>
      <c r="U493" s="53">
        <f ca="1" t="shared" si="193"/>
        <v>0</v>
      </c>
      <c r="V493" s="48">
        <f ca="1" t="shared" si="194"/>
        <v>0.11</v>
      </c>
      <c r="W493" s="63">
        <f ca="1">F493/1000000*总规划!$G$105</f>
        <v>8.70000000000001</v>
      </c>
      <c r="X493" s="63">
        <f ca="1">G493/60/24*总规划!$G$106</f>
        <v>48.51</v>
      </c>
      <c r="Y493" s="64">
        <f ca="1" t="shared" si="195"/>
        <v>125625</v>
      </c>
      <c r="Z493" s="15">
        <f ca="1" t="shared" si="196"/>
        <v>37687.5</v>
      </c>
      <c r="AA493" s="15">
        <f ca="1" t="shared" si="197"/>
        <v>87937.5</v>
      </c>
    </row>
    <row r="494" spans="2:27">
      <c r="B494" s="9">
        <v>5</v>
      </c>
      <c r="C494" s="30"/>
      <c r="D494" s="30"/>
      <c r="E494" s="1">
        <f ca="1" t="shared" si="177"/>
        <v>14</v>
      </c>
      <c r="F494" s="61">
        <f ca="1" t="shared" si="178"/>
        <v>25200000</v>
      </c>
      <c r="G494" s="5">
        <f ca="1" t="shared" si="179"/>
        <v>50927.616</v>
      </c>
      <c r="H494" s="1">
        <f ca="1" t="shared" si="180"/>
        <v>7560000</v>
      </c>
      <c r="I494" s="1">
        <f ca="1" t="shared" si="181"/>
        <v>15278.2848</v>
      </c>
      <c r="J494" s="1">
        <f ca="1" t="shared" si="182"/>
        <v>17640000</v>
      </c>
      <c r="K494" s="1">
        <f ca="1" t="shared" si="183"/>
        <v>35649.3312</v>
      </c>
      <c r="L494" s="15">
        <f ca="1" t="shared" si="184"/>
        <v>7</v>
      </c>
      <c r="M494" s="15">
        <f ca="1" t="shared" si="185"/>
        <v>3</v>
      </c>
      <c r="N494" s="53">
        <f ca="1" t="shared" si="186"/>
        <v>0.23</v>
      </c>
      <c r="O494" s="53">
        <f ca="1" t="shared" si="187"/>
        <v>0.1</v>
      </c>
      <c r="P494" s="53">
        <f ca="1" t="shared" si="188"/>
        <v>0.05</v>
      </c>
      <c r="Q494" s="15">
        <f ca="1" t="shared" si="189"/>
        <v>4</v>
      </c>
      <c r="R494" s="53">
        <f ca="1" t="shared" si="190"/>
        <v>0.05</v>
      </c>
      <c r="S494" s="53">
        <f ca="1" t="shared" si="191"/>
        <v>0.15</v>
      </c>
      <c r="T494" s="62">
        <f ca="1" t="shared" si="192"/>
        <v>100</v>
      </c>
      <c r="U494" s="53">
        <f ca="1" t="shared" si="193"/>
        <v>0</v>
      </c>
      <c r="V494" s="48">
        <f ca="1" t="shared" si="194"/>
        <v>0.115</v>
      </c>
      <c r="W494" s="63">
        <f ca="1">F494/1000000*总规划!$G$105</f>
        <v>10.5</v>
      </c>
      <c r="X494" s="63">
        <f ca="1">G494/60/24*总规划!$G$106</f>
        <v>55.26</v>
      </c>
      <c r="Y494" s="64">
        <f ca="1" t="shared" si="195"/>
        <v>143400</v>
      </c>
      <c r="Z494" s="15">
        <f ca="1" t="shared" si="196"/>
        <v>43020</v>
      </c>
      <c r="AA494" s="15">
        <f ca="1" t="shared" si="197"/>
        <v>100380</v>
      </c>
    </row>
    <row r="495" spans="2:27">
      <c r="B495" s="9">
        <v>5.5</v>
      </c>
      <c r="C495" s="30"/>
      <c r="D495" s="30">
        <v>5</v>
      </c>
      <c r="E495" s="1">
        <f ca="1" t="shared" si="177"/>
        <v>14</v>
      </c>
      <c r="F495" s="61">
        <f ca="1" t="shared" si="178"/>
        <v>28800000</v>
      </c>
      <c r="G495" s="5">
        <f ca="1" t="shared" si="179"/>
        <v>55074.816</v>
      </c>
      <c r="H495" s="1">
        <f ca="1" t="shared" si="180"/>
        <v>8640000</v>
      </c>
      <c r="I495" s="1">
        <f ca="1" t="shared" si="181"/>
        <v>16522.4448</v>
      </c>
      <c r="J495" s="1">
        <f ca="1" t="shared" si="182"/>
        <v>20160000</v>
      </c>
      <c r="K495" s="1">
        <f ca="1" t="shared" si="183"/>
        <v>38552.3712</v>
      </c>
      <c r="L495" s="15">
        <f ca="1" t="shared" si="184"/>
        <v>7</v>
      </c>
      <c r="M495" s="15">
        <f ca="1" t="shared" si="185"/>
        <v>3</v>
      </c>
      <c r="N495" s="53">
        <f ca="1" t="shared" si="186"/>
        <v>0.23</v>
      </c>
      <c r="O495" s="53">
        <f ca="1" t="shared" si="187"/>
        <v>0.1</v>
      </c>
      <c r="P495" s="53">
        <f ca="1" t="shared" si="188"/>
        <v>0.05</v>
      </c>
      <c r="Q495" s="15">
        <f ca="1" t="shared" si="189"/>
        <v>5</v>
      </c>
      <c r="R495" s="53">
        <f ca="1" t="shared" si="190"/>
        <v>0.05</v>
      </c>
      <c r="S495" s="53">
        <f ca="1" t="shared" si="191"/>
        <v>0.15</v>
      </c>
      <c r="T495" s="62">
        <f ca="1" t="shared" si="192"/>
        <v>100</v>
      </c>
      <c r="U495" s="53">
        <f ca="1" t="shared" si="193"/>
        <v>0.15</v>
      </c>
      <c r="V495" s="48">
        <f ca="1" t="shared" si="194"/>
        <v>0.115</v>
      </c>
      <c r="W495" s="63">
        <f ca="1">F495/1000000*总规划!$G$105</f>
        <v>12</v>
      </c>
      <c r="X495" s="63">
        <f ca="1">G495/60/24*总规划!$G$106</f>
        <v>59.76</v>
      </c>
      <c r="Y495" s="64">
        <f ca="1" t="shared" si="195"/>
        <v>155400</v>
      </c>
      <c r="Z495" s="15">
        <f ca="1" t="shared" si="196"/>
        <v>46620</v>
      </c>
      <c r="AA495" s="15">
        <f ca="1" t="shared" si="197"/>
        <v>108780</v>
      </c>
    </row>
    <row r="496" spans="2:27">
      <c r="B496" s="9">
        <v>6</v>
      </c>
      <c r="C496" s="30"/>
      <c r="D496" s="30"/>
      <c r="E496" s="1">
        <f ca="1" t="shared" si="177"/>
        <v>14</v>
      </c>
      <c r="F496" s="61">
        <f ca="1" t="shared" si="178"/>
        <v>32400000</v>
      </c>
      <c r="G496" s="5">
        <f ca="1" t="shared" si="179"/>
        <v>59222.016</v>
      </c>
      <c r="H496" s="1">
        <f ca="1" t="shared" si="180"/>
        <v>9720000</v>
      </c>
      <c r="I496" s="1">
        <f ca="1" t="shared" si="181"/>
        <v>17766.6048</v>
      </c>
      <c r="J496" s="1">
        <f ca="1" t="shared" si="182"/>
        <v>22680000</v>
      </c>
      <c r="K496" s="1">
        <f ca="1" t="shared" si="183"/>
        <v>41455.4112</v>
      </c>
      <c r="L496" s="15">
        <f ca="1" t="shared" si="184"/>
        <v>7</v>
      </c>
      <c r="M496" s="15">
        <f ca="1" t="shared" si="185"/>
        <v>3</v>
      </c>
      <c r="N496" s="53">
        <f ca="1" t="shared" si="186"/>
        <v>0.23</v>
      </c>
      <c r="O496" s="53">
        <f ca="1" t="shared" si="187"/>
        <v>0.1</v>
      </c>
      <c r="P496" s="53">
        <f ca="1" t="shared" si="188"/>
        <v>0.05</v>
      </c>
      <c r="Q496" s="15">
        <f ca="1" t="shared" si="189"/>
        <v>5</v>
      </c>
      <c r="R496" s="53">
        <f ca="1" t="shared" si="190"/>
        <v>0.05</v>
      </c>
      <c r="S496" s="53">
        <f ca="1" t="shared" si="191"/>
        <v>0.15</v>
      </c>
      <c r="T496" s="62">
        <f ca="1" t="shared" si="192"/>
        <v>100</v>
      </c>
      <c r="U496" s="53">
        <f ca="1" t="shared" si="193"/>
        <v>0.15</v>
      </c>
      <c r="V496" s="48">
        <f ca="1" t="shared" si="194"/>
        <v>0.115</v>
      </c>
      <c r="W496" s="63">
        <f ca="1">F496/1000000*总规划!$G$105</f>
        <v>13.5</v>
      </c>
      <c r="X496" s="63">
        <f ca="1">G496/60/24*总规划!$G$106</f>
        <v>64.26</v>
      </c>
      <c r="Y496" s="64">
        <f ca="1" t="shared" si="195"/>
        <v>167400</v>
      </c>
      <c r="Z496" s="15">
        <f ca="1" t="shared" si="196"/>
        <v>50220</v>
      </c>
      <c r="AA496" s="15">
        <f ca="1" t="shared" si="197"/>
        <v>117180</v>
      </c>
    </row>
    <row r="497" spans="2:27">
      <c r="B497" s="9">
        <v>6.5</v>
      </c>
      <c r="C497" s="30"/>
      <c r="D497" s="30"/>
      <c r="E497" s="1">
        <f ca="1" t="shared" si="177"/>
        <v>14</v>
      </c>
      <c r="F497" s="61">
        <f ca="1" t="shared" si="178"/>
        <v>36000000</v>
      </c>
      <c r="G497" s="5">
        <f ca="1" t="shared" si="179"/>
        <v>63369.216</v>
      </c>
      <c r="H497" s="1">
        <f ca="1" t="shared" si="180"/>
        <v>10800000</v>
      </c>
      <c r="I497" s="1">
        <f ca="1" t="shared" si="181"/>
        <v>19010.7648</v>
      </c>
      <c r="J497" s="1">
        <f ca="1" t="shared" si="182"/>
        <v>25200000</v>
      </c>
      <c r="K497" s="1">
        <f ca="1" t="shared" si="183"/>
        <v>44358.4512</v>
      </c>
      <c r="L497" s="15">
        <f ca="1" t="shared" si="184"/>
        <v>7</v>
      </c>
      <c r="M497" s="15">
        <f ca="1" t="shared" si="185"/>
        <v>3</v>
      </c>
      <c r="N497" s="53">
        <f ca="1" t="shared" si="186"/>
        <v>0.23</v>
      </c>
      <c r="O497" s="53">
        <f ca="1" t="shared" si="187"/>
        <v>0.1</v>
      </c>
      <c r="P497" s="53">
        <f ca="1" t="shared" si="188"/>
        <v>0.05</v>
      </c>
      <c r="Q497" s="15">
        <f ca="1" t="shared" si="189"/>
        <v>5</v>
      </c>
      <c r="R497" s="53">
        <f ca="1" t="shared" si="190"/>
        <v>0.05</v>
      </c>
      <c r="S497" s="53">
        <f ca="1" t="shared" si="191"/>
        <v>0.15</v>
      </c>
      <c r="T497" s="62">
        <f ca="1" t="shared" si="192"/>
        <v>100</v>
      </c>
      <c r="U497" s="53">
        <f ca="1" t="shared" si="193"/>
        <v>0.15</v>
      </c>
      <c r="V497" s="48">
        <f ca="1" t="shared" si="194"/>
        <v>0.115</v>
      </c>
      <c r="W497" s="63">
        <f ca="1">F497/1000000*总规划!$G$105</f>
        <v>15</v>
      </c>
      <c r="X497" s="63">
        <f ca="1">G497/60/24*总规划!$G$106</f>
        <v>68.76</v>
      </c>
      <c r="Y497" s="64">
        <f ca="1" t="shared" si="195"/>
        <v>179400</v>
      </c>
      <c r="Z497" s="15">
        <f ca="1" t="shared" si="196"/>
        <v>53820</v>
      </c>
      <c r="AA497" s="15">
        <f ca="1" t="shared" si="197"/>
        <v>125580</v>
      </c>
    </row>
    <row r="498" spans="2:27">
      <c r="B498" s="9">
        <v>7</v>
      </c>
      <c r="C498" s="30"/>
      <c r="D498" s="30">
        <v>6</v>
      </c>
      <c r="E498" s="1">
        <f ca="1" t="shared" si="177"/>
        <v>15</v>
      </c>
      <c r="F498" s="61">
        <f ca="1" t="shared" si="178"/>
        <v>39600000</v>
      </c>
      <c r="G498" s="5">
        <f ca="1" t="shared" si="179"/>
        <v>67516.416</v>
      </c>
      <c r="H498" s="1">
        <f ca="1" t="shared" si="180"/>
        <v>11880000</v>
      </c>
      <c r="I498" s="1">
        <f ca="1" t="shared" si="181"/>
        <v>20254.9248</v>
      </c>
      <c r="J498" s="1">
        <f ca="1" t="shared" si="182"/>
        <v>27720000</v>
      </c>
      <c r="K498" s="1">
        <f ca="1" t="shared" si="183"/>
        <v>47261.4912</v>
      </c>
      <c r="L498" s="15">
        <f ca="1" t="shared" si="184"/>
        <v>7</v>
      </c>
      <c r="M498" s="15">
        <f ca="1" t="shared" si="185"/>
        <v>3</v>
      </c>
      <c r="N498" s="53">
        <f ca="1" t="shared" si="186"/>
        <v>0.23</v>
      </c>
      <c r="O498" s="53">
        <f ca="1" t="shared" si="187"/>
        <v>0.1</v>
      </c>
      <c r="P498" s="53">
        <f ca="1" t="shared" si="188"/>
        <v>0.05</v>
      </c>
      <c r="Q498" s="15">
        <f ca="1" t="shared" si="189"/>
        <v>6</v>
      </c>
      <c r="R498" s="53">
        <f ca="1" t="shared" si="190"/>
        <v>0.05</v>
      </c>
      <c r="S498" s="53">
        <f ca="1" t="shared" si="191"/>
        <v>0.15</v>
      </c>
      <c r="T498" s="62">
        <f ca="1" t="shared" si="192"/>
        <v>100</v>
      </c>
      <c r="U498" s="53">
        <f ca="1" t="shared" si="193"/>
        <v>0.15</v>
      </c>
      <c r="V498" s="48">
        <f ca="1" t="shared" si="194"/>
        <v>0.12</v>
      </c>
      <c r="W498" s="63">
        <f ca="1">F498/1000000*总规划!$G$105</f>
        <v>16.5</v>
      </c>
      <c r="X498" s="63">
        <f ca="1">G498/60/24*总规划!$G$106</f>
        <v>73.26</v>
      </c>
      <c r="Y498" s="64">
        <f ca="1" t="shared" si="195"/>
        <v>191400</v>
      </c>
      <c r="Z498" s="15">
        <f ca="1" t="shared" si="196"/>
        <v>57420</v>
      </c>
      <c r="AA498" s="15">
        <f ca="1" t="shared" si="197"/>
        <v>133980</v>
      </c>
    </row>
    <row r="499" spans="2:27">
      <c r="B499" s="10">
        <v>8</v>
      </c>
      <c r="C499" s="30">
        <v>8</v>
      </c>
      <c r="D499" s="30"/>
      <c r="E499" s="1">
        <f ca="1" t="shared" si="177"/>
        <v>15</v>
      </c>
      <c r="F499" s="61">
        <f ca="1" t="shared" si="178"/>
        <v>48240000</v>
      </c>
      <c r="G499" s="5">
        <f ca="1" t="shared" si="179"/>
        <v>77884.416</v>
      </c>
      <c r="H499" s="1">
        <f ca="1" t="shared" si="180"/>
        <v>14472000</v>
      </c>
      <c r="I499" s="1">
        <f ca="1" t="shared" si="181"/>
        <v>23365.3248</v>
      </c>
      <c r="J499" s="1">
        <f ca="1" t="shared" si="182"/>
        <v>33768000</v>
      </c>
      <c r="K499" s="1">
        <f ca="1" t="shared" si="183"/>
        <v>54519.0912</v>
      </c>
      <c r="L499" s="15">
        <f ca="1" t="shared" si="184"/>
        <v>8</v>
      </c>
      <c r="M499" s="15">
        <f ca="1" t="shared" si="185"/>
        <v>3</v>
      </c>
      <c r="N499" s="53">
        <f ca="1" t="shared" si="186"/>
        <v>0.38</v>
      </c>
      <c r="O499" s="53">
        <f ca="1" t="shared" si="187"/>
        <v>0.1</v>
      </c>
      <c r="P499" s="53">
        <f ca="1" t="shared" si="188"/>
        <v>0.05</v>
      </c>
      <c r="Q499" s="15">
        <f ca="1" t="shared" si="189"/>
        <v>6</v>
      </c>
      <c r="R499" s="53">
        <f ca="1" t="shared" si="190"/>
        <v>0.05</v>
      </c>
      <c r="S499" s="53">
        <f ca="1" t="shared" si="191"/>
        <v>0.15</v>
      </c>
      <c r="T499" s="62">
        <f ca="1" t="shared" si="192"/>
        <v>100</v>
      </c>
      <c r="U499" s="53">
        <f ca="1" t="shared" si="193"/>
        <v>0.15</v>
      </c>
      <c r="V499" s="48">
        <f ca="1" t="shared" si="194"/>
        <v>0.12</v>
      </c>
      <c r="W499" s="63">
        <f ca="1">F499/1000000*总规划!$G$105</f>
        <v>20.1</v>
      </c>
      <c r="X499" s="63">
        <f ca="1">G499/60/24*总规划!$G$106</f>
        <v>84.51</v>
      </c>
      <c r="Y499" s="64">
        <f ca="1" t="shared" si="195"/>
        <v>221325</v>
      </c>
      <c r="Z499" s="15">
        <f ca="1" t="shared" si="196"/>
        <v>66397.5</v>
      </c>
      <c r="AA499" s="15">
        <f ca="1" t="shared" si="197"/>
        <v>154927.5</v>
      </c>
    </row>
    <row r="500" spans="2:27">
      <c r="B500" s="10">
        <v>9</v>
      </c>
      <c r="C500" s="30"/>
      <c r="D500" s="30"/>
      <c r="E500" s="1">
        <f ca="1" t="shared" si="177"/>
        <v>16</v>
      </c>
      <c r="F500" s="61">
        <f ca="1" t="shared" si="178"/>
        <v>56880000</v>
      </c>
      <c r="G500" s="5">
        <f ca="1" t="shared" si="179"/>
        <v>88252.416</v>
      </c>
      <c r="H500" s="1">
        <f ca="1" t="shared" si="180"/>
        <v>17064000</v>
      </c>
      <c r="I500" s="1">
        <f ca="1" t="shared" si="181"/>
        <v>26475.7248</v>
      </c>
      <c r="J500" s="1">
        <f ca="1" t="shared" si="182"/>
        <v>39816000</v>
      </c>
      <c r="K500" s="1">
        <f ca="1" t="shared" si="183"/>
        <v>61776.6912</v>
      </c>
      <c r="L500" s="15">
        <f ca="1" t="shared" si="184"/>
        <v>8</v>
      </c>
      <c r="M500" s="15">
        <f ca="1" t="shared" si="185"/>
        <v>3</v>
      </c>
      <c r="N500" s="53">
        <f ca="1" t="shared" si="186"/>
        <v>0.38</v>
      </c>
      <c r="O500" s="53">
        <f ca="1" t="shared" si="187"/>
        <v>0.1</v>
      </c>
      <c r="P500" s="53">
        <f ca="1" t="shared" si="188"/>
        <v>0.05</v>
      </c>
      <c r="Q500" s="15">
        <f ca="1" t="shared" si="189"/>
        <v>6</v>
      </c>
      <c r="R500" s="53">
        <f ca="1" t="shared" si="190"/>
        <v>0.05</v>
      </c>
      <c r="S500" s="53">
        <f ca="1" t="shared" si="191"/>
        <v>0.15</v>
      </c>
      <c r="T500" s="62">
        <f ca="1" t="shared" si="192"/>
        <v>100</v>
      </c>
      <c r="U500" s="53">
        <f ca="1" t="shared" si="193"/>
        <v>0.15</v>
      </c>
      <c r="V500" s="48">
        <f ca="1" t="shared" si="194"/>
        <v>0.125</v>
      </c>
      <c r="W500" s="63">
        <f ca="1">F500/1000000*总规划!$G$105</f>
        <v>23.7</v>
      </c>
      <c r="X500" s="63">
        <f ca="1">G500/60/24*总规划!$G$106</f>
        <v>95.76</v>
      </c>
      <c r="Y500" s="64">
        <f ca="1" t="shared" si="195"/>
        <v>251250</v>
      </c>
      <c r="Z500" s="15">
        <f ca="1" t="shared" si="196"/>
        <v>75375</v>
      </c>
      <c r="AA500" s="15">
        <f ca="1" t="shared" si="197"/>
        <v>175875</v>
      </c>
    </row>
    <row r="501" spans="2:27">
      <c r="B501" s="10">
        <v>10</v>
      </c>
      <c r="C501" s="30">
        <v>9</v>
      </c>
      <c r="D501" s="30"/>
      <c r="E501" s="1">
        <f ca="1" t="shared" si="177"/>
        <v>16</v>
      </c>
      <c r="F501" s="61">
        <f ca="1" t="shared" si="178"/>
        <v>66960000</v>
      </c>
      <c r="G501" s="5">
        <f ca="1" t="shared" si="179"/>
        <v>100694.016</v>
      </c>
      <c r="H501" s="1">
        <f ca="1" t="shared" si="180"/>
        <v>20088000</v>
      </c>
      <c r="I501" s="1">
        <f ca="1" t="shared" si="181"/>
        <v>30208.2048</v>
      </c>
      <c r="J501" s="1">
        <f ca="1" t="shared" si="182"/>
        <v>46872000</v>
      </c>
      <c r="K501" s="1">
        <f ca="1" t="shared" si="183"/>
        <v>70485.8112</v>
      </c>
      <c r="L501" s="15">
        <f ca="1" t="shared" si="184"/>
        <v>9</v>
      </c>
      <c r="M501" s="15">
        <f ca="1" t="shared" si="185"/>
        <v>3</v>
      </c>
      <c r="N501" s="53">
        <f ca="1" t="shared" si="186"/>
        <v>0.5</v>
      </c>
      <c r="O501" s="53">
        <f ca="1" t="shared" si="187"/>
        <v>0.1</v>
      </c>
      <c r="P501" s="53">
        <f ca="1" t="shared" si="188"/>
        <v>0.05</v>
      </c>
      <c r="Q501" s="15">
        <f ca="1" t="shared" si="189"/>
        <v>6</v>
      </c>
      <c r="R501" s="53">
        <f ca="1" t="shared" si="190"/>
        <v>0.05</v>
      </c>
      <c r="S501" s="53">
        <f ca="1" t="shared" si="191"/>
        <v>0.15</v>
      </c>
      <c r="T501" s="62">
        <f ca="1" t="shared" si="192"/>
        <v>100</v>
      </c>
      <c r="U501" s="53">
        <f ca="1" t="shared" si="193"/>
        <v>0.15</v>
      </c>
      <c r="V501" s="48">
        <f ca="1" t="shared" si="194"/>
        <v>0.125</v>
      </c>
      <c r="W501" s="63">
        <f ca="1">F501/1000000*总规划!$G$105</f>
        <v>27.9</v>
      </c>
      <c r="X501" s="63">
        <f ca="1">G501/60/24*总规划!$G$106</f>
        <v>109.26</v>
      </c>
      <c r="Y501" s="64">
        <f ca="1" t="shared" si="195"/>
        <v>287100</v>
      </c>
      <c r="Z501" s="15">
        <f ca="1" t="shared" si="196"/>
        <v>86130</v>
      </c>
      <c r="AA501" s="15">
        <f ca="1" t="shared" si="197"/>
        <v>200970</v>
      </c>
    </row>
    <row r="502" spans="2:27">
      <c r="B502" s="10">
        <v>11</v>
      </c>
      <c r="C502" s="30"/>
      <c r="D502" s="30"/>
      <c r="E502" s="1">
        <f ca="1" t="shared" si="177"/>
        <v>17</v>
      </c>
      <c r="F502" s="61">
        <f ca="1" t="shared" si="178"/>
        <v>77040000</v>
      </c>
      <c r="G502" s="5">
        <f ca="1" t="shared" si="179"/>
        <v>113135.616</v>
      </c>
      <c r="H502" s="1">
        <f ca="1" t="shared" si="180"/>
        <v>23112000</v>
      </c>
      <c r="I502" s="1">
        <f ca="1" t="shared" si="181"/>
        <v>33940.6848</v>
      </c>
      <c r="J502" s="1">
        <f ca="1" t="shared" si="182"/>
        <v>53928000</v>
      </c>
      <c r="K502" s="1">
        <f ca="1" t="shared" si="183"/>
        <v>79194.9312</v>
      </c>
      <c r="L502" s="15">
        <f ca="1" t="shared" si="184"/>
        <v>9</v>
      </c>
      <c r="M502" s="15">
        <f ca="1" t="shared" si="185"/>
        <v>3</v>
      </c>
      <c r="N502" s="53">
        <f ca="1" t="shared" si="186"/>
        <v>0.5</v>
      </c>
      <c r="O502" s="53">
        <f ca="1" t="shared" si="187"/>
        <v>0.1</v>
      </c>
      <c r="P502" s="53">
        <f ca="1" t="shared" si="188"/>
        <v>0.05</v>
      </c>
      <c r="Q502" s="15">
        <f ca="1" t="shared" si="189"/>
        <v>6</v>
      </c>
      <c r="R502" s="53">
        <f ca="1" t="shared" si="190"/>
        <v>0.05</v>
      </c>
      <c r="S502" s="53">
        <f ca="1" t="shared" si="191"/>
        <v>0.15</v>
      </c>
      <c r="T502" s="62">
        <f ca="1" t="shared" si="192"/>
        <v>100</v>
      </c>
      <c r="U502" s="53">
        <f ca="1" t="shared" si="193"/>
        <v>0.15</v>
      </c>
      <c r="V502" s="48">
        <f ca="1" t="shared" si="194"/>
        <v>0.13</v>
      </c>
      <c r="W502" s="63">
        <f ca="1">F502/1000000*总规划!$G$105</f>
        <v>32.1</v>
      </c>
      <c r="X502" s="63">
        <f ca="1">G502/60/24*总规划!$G$106</f>
        <v>122.76</v>
      </c>
      <c r="Y502" s="64">
        <f ca="1" t="shared" si="195"/>
        <v>322950</v>
      </c>
      <c r="Z502" s="15">
        <f ca="1" t="shared" si="196"/>
        <v>96885</v>
      </c>
      <c r="AA502" s="15">
        <f ca="1" t="shared" si="197"/>
        <v>226065</v>
      </c>
    </row>
    <row r="503" spans="2:27">
      <c r="B503" s="10">
        <v>12</v>
      </c>
      <c r="C503" s="30"/>
      <c r="D503" s="30"/>
      <c r="E503" s="1">
        <f ca="1" t="shared" si="177"/>
        <v>17</v>
      </c>
      <c r="F503" s="61">
        <f ca="1" t="shared" si="178"/>
        <v>87600000</v>
      </c>
      <c r="G503" s="5">
        <f ca="1" t="shared" si="179"/>
        <v>122812.416</v>
      </c>
      <c r="H503" s="1">
        <f ca="1" t="shared" si="180"/>
        <v>26280000</v>
      </c>
      <c r="I503" s="1">
        <f ca="1" t="shared" si="181"/>
        <v>36843.7248</v>
      </c>
      <c r="J503" s="1">
        <f ca="1" t="shared" si="182"/>
        <v>61320000</v>
      </c>
      <c r="K503" s="1">
        <f ca="1" t="shared" si="183"/>
        <v>85968.6912</v>
      </c>
      <c r="L503" s="15">
        <f ca="1" t="shared" si="184"/>
        <v>9</v>
      </c>
      <c r="M503" s="15">
        <f ca="1" t="shared" si="185"/>
        <v>3</v>
      </c>
      <c r="N503" s="53">
        <f ca="1" t="shared" si="186"/>
        <v>0.5</v>
      </c>
      <c r="O503" s="53">
        <f ca="1" t="shared" si="187"/>
        <v>0.1</v>
      </c>
      <c r="P503" s="53">
        <f ca="1" t="shared" si="188"/>
        <v>0.05</v>
      </c>
      <c r="Q503" s="15">
        <f ca="1" t="shared" si="189"/>
        <v>6</v>
      </c>
      <c r="R503" s="53">
        <f ca="1" t="shared" si="190"/>
        <v>0.05</v>
      </c>
      <c r="S503" s="53">
        <f ca="1" t="shared" si="191"/>
        <v>0.15</v>
      </c>
      <c r="T503" s="62">
        <f ca="1" t="shared" si="192"/>
        <v>100</v>
      </c>
      <c r="U503" s="53">
        <f ca="1" t="shared" si="193"/>
        <v>0.15</v>
      </c>
      <c r="V503" s="48">
        <f ca="1" t="shared" si="194"/>
        <v>0.13</v>
      </c>
      <c r="W503" s="63">
        <f ca="1">F503/1000000*总规划!$G$105</f>
        <v>36.5</v>
      </c>
      <c r="X503" s="63">
        <f ca="1">G503/60/24*总规划!$G$106</f>
        <v>133.26</v>
      </c>
      <c r="Y503" s="64">
        <f ca="1" t="shared" si="195"/>
        <v>351400</v>
      </c>
      <c r="Z503" s="15">
        <f ca="1" t="shared" si="196"/>
        <v>105420</v>
      </c>
      <c r="AA503" s="15">
        <f ca="1" t="shared" si="197"/>
        <v>245980</v>
      </c>
    </row>
    <row r="504" spans="2:27">
      <c r="B504" s="10">
        <v>13</v>
      </c>
      <c r="C504" s="30"/>
      <c r="D504" s="30"/>
      <c r="E504" s="1">
        <f ca="1" t="shared" si="177"/>
        <v>17</v>
      </c>
      <c r="F504" s="61">
        <f ca="1" t="shared" si="178"/>
        <v>98160000</v>
      </c>
      <c r="G504" s="5">
        <f ca="1" t="shared" si="179"/>
        <v>132489.216</v>
      </c>
      <c r="H504" s="1">
        <f ca="1" t="shared" si="180"/>
        <v>29448000</v>
      </c>
      <c r="I504" s="1">
        <f ca="1" t="shared" si="181"/>
        <v>39746.7648</v>
      </c>
      <c r="J504" s="1">
        <f ca="1" t="shared" si="182"/>
        <v>68712000</v>
      </c>
      <c r="K504" s="1">
        <f ca="1" t="shared" si="183"/>
        <v>92742.4512</v>
      </c>
      <c r="L504" s="15">
        <f ca="1" t="shared" si="184"/>
        <v>9</v>
      </c>
      <c r="M504" s="15">
        <f ca="1" t="shared" si="185"/>
        <v>3</v>
      </c>
      <c r="N504" s="53">
        <f ca="1" t="shared" si="186"/>
        <v>0.5</v>
      </c>
      <c r="O504" s="53">
        <f ca="1" t="shared" si="187"/>
        <v>0.1</v>
      </c>
      <c r="P504" s="53">
        <f ca="1" t="shared" si="188"/>
        <v>0.05</v>
      </c>
      <c r="Q504" s="15">
        <f ca="1" t="shared" si="189"/>
        <v>6</v>
      </c>
      <c r="R504" s="53">
        <f ca="1" t="shared" si="190"/>
        <v>0.05</v>
      </c>
      <c r="S504" s="53">
        <f ca="1" t="shared" si="191"/>
        <v>0.15</v>
      </c>
      <c r="T504" s="62">
        <f ca="1" t="shared" si="192"/>
        <v>100</v>
      </c>
      <c r="U504" s="53">
        <f ca="1" t="shared" si="193"/>
        <v>0.15</v>
      </c>
      <c r="V504" s="48">
        <f ca="1" t="shared" si="194"/>
        <v>0.13</v>
      </c>
      <c r="W504" s="63">
        <f ca="1">F504/1000000*总规划!$G$105</f>
        <v>40.9</v>
      </c>
      <c r="X504" s="63">
        <f ca="1">G504/60/24*总规划!$G$106</f>
        <v>143.76</v>
      </c>
      <c r="Y504" s="64">
        <f ca="1" t="shared" si="195"/>
        <v>379850</v>
      </c>
      <c r="Z504" s="15">
        <f ca="1" t="shared" si="196"/>
        <v>113955</v>
      </c>
      <c r="AA504" s="15">
        <f ca="1" t="shared" si="197"/>
        <v>265895</v>
      </c>
    </row>
    <row r="505" spans="2:27">
      <c r="B505" s="10">
        <v>14</v>
      </c>
      <c r="C505" s="30">
        <v>10</v>
      </c>
      <c r="D505" s="30">
        <v>7</v>
      </c>
      <c r="E505" s="1">
        <f ca="1" t="shared" si="177"/>
        <v>18</v>
      </c>
      <c r="F505" s="61">
        <f ca="1" t="shared" si="178"/>
        <v>108720000</v>
      </c>
      <c r="G505" s="5">
        <f ca="1" t="shared" si="179"/>
        <v>142166.016</v>
      </c>
      <c r="H505" s="1">
        <f ca="1" t="shared" si="180"/>
        <v>32616000</v>
      </c>
      <c r="I505" s="1">
        <f ca="1" t="shared" si="181"/>
        <v>42649.8048</v>
      </c>
      <c r="J505" s="1">
        <f ca="1" t="shared" si="182"/>
        <v>76104000</v>
      </c>
      <c r="K505" s="1">
        <f ca="1" t="shared" si="183"/>
        <v>99516.2112</v>
      </c>
      <c r="L505" s="15">
        <f ca="1" t="shared" si="184"/>
        <v>10</v>
      </c>
      <c r="M505" s="15">
        <f ca="1" t="shared" si="185"/>
        <v>4</v>
      </c>
      <c r="N505" s="53">
        <f ca="1" t="shared" si="186"/>
        <v>0.5</v>
      </c>
      <c r="O505" s="53">
        <f ca="1" t="shared" si="187"/>
        <v>0.1</v>
      </c>
      <c r="P505" s="53">
        <f ca="1" t="shared" si="188"/>
        <v>0.05</v>
      </c>
      <c r="Q505" s="15">
        <f ca="1" t="shared" si="189"/>
        <v>7</v>
      </c>
      <c r="R505" s="53">
        <f ca="1" t="shared" si="190"/>
        <v>0.15</v>
      </c>
      <c r="S505" s="53">
        <f ca="1" t="shared" si="191"/>
        <v>0.15</v>
      </c>
      <c r="T505" s="62">
        <f ca="1" t="shared" si="192"/>
        <v>100</v>
      </c>
      <c r="U505" s="53">
        <f ca="1" t="shared" si="193"/>
        <v>0.15</v>
      </c>
      <c r="V505" s="48">
        <f ca="1" t="shared" si="194"/>
        <v>0.135</v>
      </c>
      <c r="W505" s="63">
        <f ca="1">F505/1000000*总规划!$G$105</f>
        <v>45.3</v>
      </c>
      <c r="X505" s="63">
        <f ca="1">G505/60/24*总规划!$G$106</f>
        <v>154.26</v>
      </c>
      <c r="Y505" s="64">
        <f ca="1" t="shared" si="195"/>
        <v>408300</v>
      </c>
      <c r="Z505" s="15">
        <f ca="1" t="shared" si="196"/>
        <v>122490</v>
      </c>
      <c r="AA505" s="15">
        <f ca="1" t="shared" si="197"/>
        <v>285810</v>
      </c>
    </row>
    <row r="506" spans="2:27">
      <c r="B506" s="10">
        <v>15</v>
      </c>
      <c r="C506" s="30"/>
      <c r="D506" s="30"/>
      <c r="E506" s="1">
        <f ca="1" t="shared" si="177"/>
        <v>18</v>
      </c>
      <c r="F506" s="61">
        <f ca="1" t="shared" si="178"/>
        <v>120720000</v>
      </c>
      <c r="G506" s="5">
        <f ca="1" t="shared" si="179"/>
        <v>153225.216</v>
      </c>
      <c r="H506" s="1">
        <f ca="1" t="shared" si="180"/>
        <v>36216000</v>
      </c>
      <c r="I506" s="1">
        <f ca="1" t="shared" si="181"/>
        <v>45967.5648</v>
      </c>
      <c r="J506" s="1">
        <f ca="1" t="shared" si="182"/>
        <v>84504000</v>
      </c>
      <c r="K506" s="1">
        <f ca="1" t="shared" si="183"/>
        <v>107257.6512</v>
      </c>
      <c r="L506" s="15">
        <f ca="1" t="shared" si="184"/>
        <v>10</v>
      </c>
      <c r="M506" s="15">
        <f ca="1" t="shared" si="185"/>
        <v>4</v>
      </c>
      <c r="N506" s="53">
        <f ca="1" t="shared" si="186"/>
        <v>0.5</v>
      </c>
      <c r="O506" s="53">
        <f ca="1" t="shared" si="187"/>
        <v>0.1</v>
      </c>
      <c r="P506" s="53">
        <f ca="1" t="shared" si="188"/>
        <v>0.05</v>
      </c>
      <c r="Q506" s="15">
        <f ca="1" t="shared" si="189"/>
        <v>7</v>
      </c>
      <c r="R506" s="53">
        <f ca="1" t="shared" si="190"/>
        <v>0.15</v>
      </c>
      <c r="S506" s="53">
        <f ca="1" t="shared" si="191"/>
        <v>0.15</v>
      </c>
      <c r="T506" s="62">
        <f ca="1" t="shared" si="192"/>
        <v>100</v>
      </c>
      <c r="U506" s="53">
        <f ca="1" t="shared" si="193"/>
        <v>0.15</v>
      </c>
      <c r="V506" s="48">
        <f ca="1" t="shared" si="194"/>
        <v>0.135</v>
      </c>
      <c r="W506" s="63">
        <f ca="1">F506/1000000*总规划!$G$105</f>
        <v>50.3</v>
      </c>
      <c r="X506" s="63">
        <f ca="1">G506/60/24*总规划!$G$106</f>
        <v>166.26</v>
      </c>
      <c r="Y506" s="64">
        <f ca="1" t="shared" si="195"/>
        <v>440800</v>
      </c>
      <c r="Z506" s="15">
        <f ca="1" t="shared" si="196"/>
        <v>132240</v>
      </c>
      <c r="AA506" s="15">
        <f ca="1" t="shared" si="197"/>
        <v>308560</v>
      </c>
    </row>
    <row r="507" spans="2:27">
      <c r="B507" s="10">
        <v>16</v>
      </c>
      <c r="C507" s="30"/>
      <c r="D507" s="30"/>
      <c r="E507" s="1">
        <f ca="1" t="shared" si="177"/>
        <v>18</v>
      </c>
      <c r="F507" s="61">
        <f ca="1" t="shared" si="178"/>
        <v>132720000</v>
      </c>
      <c r="G507" s="5">
        <f ca="1" t="shared" si="179"/>
        <v>164284.416</v>
      </c>
      <c r="H507" s="1">
        <f ca="1" t="shared" si="180"/>
        <v>39816000</v>
      </c>
      <c r="I507" s="1">
        <f ca="1" t="shared" si="181"/>
        <v>49285.3248</v>
      </c>
      <c r="J507" s="1">
        <f ca="1" t="shared" si="182"/>
        <v>92904000</v>
      </c>
      <c r="K507" s="1">
        <f ca="1" t="shared" si="183"/>
        <v>114999.0912</v>
      </c>
      <c r="L507" s="15">
        <f ca="1" t="shared" si="184"/>
        <v>10</v>
      </c>
      <c r="M507" s="15">
        <f ca="1" t="shared" si="185"/>
        <v>4</v>
      </c>
      <c r="N507" s="53">
        <f ca="1" t="shared" si="186"/>
        <v>0.5</v>
      </c>
      <c r="O507" s="53">
        <f ca="1" t="shared" si="187"/>
        <v>0.1</v>
      </c>
      <c r="P507" s="53">
        <f ca="1" t="shared" si="188"/>
        <v>0.05</v>
      </c>
      <c r="Q507" s="15">
        <f ca="1" t="shared" si="189"/>
        <v>7</v>
      </c>
      <c r="R507" s="53">
        <f ca="1" t="shared" si="190"/>
        <v>0.15</v>
      </c>
      <c r="S507" s="53">
        <f ca="1" t="shared" si="191"/>
        <v>0.15</v>
      </c>
      <c r="T507" s="62">
        <f ca="1" t="shared" si="192"/>
        <v>100</v>
      </c>
      <c r="U507" s="53">
        <f ca="1" t="shared" si="193"/>
        <v>0.15</v>
      </c>
      <c r="V507" s="48">
        <f ca="1" t="shared" si="194"/>
        <v>0.135</v>
      </c>
      <c r="W507" s="63">
        <f ca="1">F507/1000000*总规划!$G$105</f>
        <v>55.3</v>
      </c>
      <c r="X507" s="63">
        <f ca="1">G507/60/24*总规划!$G$106</f>
        <v>178.26</v>
      </c>
      <c r="Y507" s="64">
        <f ca="1" t="shared" si="195"/>
        <v>473300</v>
      </c>
      <c r="Z507" s="15">
        <f ca="1" t="shared" si="196"/>
        <v>141990</v>
      </c>
      <c r="AA507" s="15">
        <f ca="1" t="shared" si="197"/>
        <v>331310</v>
      </c>
    </row>
    <row r="508" spans="2:27">
      <c r="B508" s="10">
        <v>17</v>
      </c>
      <c r="C508" s="30"/>
      <c r="D508" s="30">
        <v>8</v>
      </c>
      <c r="E508" s="1">
        <f ca="1" t="shared" ref="E508:E539" si="198">IF(C406="",INDIRECT(ADDRESS(ROW()-1,COLUMN())),C406)</f>
        <v>19</v>
      </c>
      <c r="F508" s="61">
        <f ca="1" t="shared" ref="F508:F539" si="199">E139</f>
        <v>144720000</v>
      </c>
      <c r="G508" s="5">
        <f ca="1" t="shared" ref="G508:G539" si="200">G139</f>
        <v>175343.616</v>
      </c>
      <c r="H508" s="1">
        <f ca="1" t="shared" ref="H508:H540" si="201">IF(B508&gt;$E$460,0,F508*$C$468)</f>
        <v>43416000</v>
      </c>
      <c r="I508" s="1">
        <f ca="1" t="shared" ref="I508:I540" si="202">IF(B508&gt;$E$460,0,G508*$C$469)</f>
        <v>52603.0848</v>
      </c>
      <c r="J508" s="1">
        <f ca="1" t="shared" ref="J508:J539" si="203">IF(B508&gt;$E$460,F508-$E$461,F508*$D$468)</f>
        <v>101304000</v>
      </c>
      <c r="K508" s="1">
        <f ca="1" t="shared" ref="K508:K539" si="204">IF(B508&gt;$E$460,G508-$E$462,G508*$D$469)</f>
        <v>122740.5312</v>
      </c>
      <c r="L508" s="15">
        <f ca="1" t="shared" ref="L508:L539" si="205">IF(C508="",INDIRECT(ADDRESS(ROW()-1,COLUMN())),C508)</f>
        <v>10</v>
      </c>
      <c r="M508" s="15">
        <f ca="1" t="shared" ref="M508:M539" si="206">OFFSET(P$599,MATCH($L508,$B$599:$B$615,0)-1,0)</f>
        <v>4</v>
      </c>
      <c r="N508" s="53">
        <f ca="1" t="shared" ref="N508:N539" si="207">OFFSET(Q$599,MATCH($L508,$B$599:$B$615,0)-1,0)</f>
        <v>0.5</v>
      </c>
      <c r="O508" s="53">
        <f ca="1" t="shared" ref="O508:O539" si="208">OFFSET(R$599,MATCH($L508,$B$599:$B$615,0)-1,0)</f>
        <v>0.1</v>
      </c>
      <c r="P508" s="53">
        <f ca="1" t="shared" ref="P508:P539" si="209">OFFSET(S$599,MATCH($L508,$B$599:$B$615,0)-1,0)</f>
        <v>0.05</v>
      </c>
      <c r="Q508" s="15">
        <f ca="1" t="shared" ref="Q508:Q539" si="210">IF(D508="",INDIRECT(ADDRESS(ROW()-1,COLUMN())),D508)</f>
        <v>8</v>
      </c>
      <c r="R508" s="53">
        <f ca="1" t="shared" ref="R508:R539" si="211">OFFSET(P$618,MATCH($Q508,$B$618:$B$636,0)-1,0)</f>
        <v>0.15</v>
      </c>
      <c r="S508" s="53">
        <f ca="1" t="shared" ref="S508:S539" si="212">OFFSET(Q$618,MATCH($Q508,$B$618:$B$636,0)-1,0)</f>
        <v>0.15</v>
      </c>
      <c r="T508" s="62">
        <f ca="1" t="shared" ref="T508:T539" si="213">OFFSET(R$618,MATCH($Q508,$B$618:$B$636,0)-1,0)</f>
        <v>250</v>
      </c>
      <c r="U508" s="53">
        <f ca="1" t="shared" ref="U508:U539" si="214">OFFSET(S$618,MATCH($Q508,$B$618:$B$636,0)-1,0)</f>
        <v>0.15</v>
      </c>
      <c r="V508" s="48">
        <f ca="1" t="shared" ref="V508:V539" si="215">M230</f>
        <v>0.14</v>
      </c>
      <c r="W508" s="63">
        <f ca="1">F508/1000000*总规划!$G$105</f>
        <v>60.3</v>
      </c>
      <c r="X508" s="63">
        <f ca="1">G508/60/24*总规划!$G$106</f>
        <v>190.26</v>
      </c>
      <c r="Y508" s="64">
        <f ca="1" t="shared" ref="Y508:Y539" si="216">W508*$E$182+X508*$E$183</f>
        <v>505800</v>
      </c>
      <c r="Z508" s="15">
        <f ca="1" t="shared" ref="Z508:Z539" si="217">IF(B508&gt;$E$460,0,Y508*$C$471)</f>
        <v>151740</v>
      </c>
      <c r="AA508" s="15">
        <f ca="1" t="shared" ref="AA508:AA539" si="218">IF(B508&gt;$E$460,Y508-$E$463,Y508*$D$471)</f>
        <v>354060</v>
      </c>
    </row>
    <row r="509" spans="2:27">
      <c r="B509" s="10">
        <v>18</v>
      </c>
      <c r="C509" s="30"/>
      <c r="D509" s="30"/>
      <c r="E509" s="1">
        <f ca="1" t="shared" si="198"/>
        <v>19</v>
      </c>
      <c r="F509" s="61">
        <f ca="1" t="shared" si="199"/>
        <v>158160000</v>
      </c>
      <c r="G509" s="5">
        <f ca="1" t="shared" si="200"/>
        <v>187785.216</v>
      </c>
      <c r="H509" s="1">
        <f ca="1" t="shared" si="201"/>
        <v>47448000</v>
      </c>
      <c r="I509" s="1">
        <f ca="1" t="shared" si="202"/>
        <v>56335.5648</v>
      </c>
      <c r="J509" s="1">
        <f ca="1" t="shared" si="203"/>
        <v>110712000</v>
      </c>
      <c r="K509" s="1">
        <f ca="1" t="shared" si="204"/>
        <v>131449.6512</v>
      </c>
      <c r="L509" s="15">
        <f ca="1" t="shared" si="205"/>
        <v>10</v>
      </c>
      <c r="M509" s="15">
        <f ca="1" t="shared" si="206"/>
        <v>4</v>
      </c>
      <c r="N509" s="53">
        <f ca="1" t="shared" si="207"/>
        <v>0.5</v>
      </c>
      <c r="O509" s="53">
        <f ca="1" t="shared" si="208"/>
        <v>0.1</v>
      </c>
      <c r="P509" s="53">
        <f ca="1" t="shared" si="209"/>
        <v>0.05</v>
      </c>
      <c r="Q509" s="15">
        <f ca="1" t="shared" si="210"/>
        <v>8</v>
      </c>
      <c r="R509" s="53">
        <f ca="1" t="shared" si="211"/>
        <v>0.15</v>
      </c>
      <c r="S509" s="53">
        <f ca="1" t="shared" si="212"/>
        <v>0.15</v>
      </c>
      <c r="T509" s="62">
        <f ca="1" t="shared" si="213"/>
        <v>250</v>
      </c>
      <c r="U509" s="53">
        <f ca="1" t="shared" si="214"/>
        <v>0.15</v>
      </c>
      <c r="V509" s="48">
        <f ca="1" t="shared" si="215"/>
        <v>0.14</v>
      </c>
      <c r="W509" s="63">
        <f ca="1">F509/1000000*总规划!$G$105</f>
        <v>65.9</v>
      </c>
      <c r="X509" s="63">
        <f ca="1">G509/60/24*总规划!$G$106</f>
        <v>203.76</v>
      </c>
      <c r="Y509" s="64">
        <f ca="1" t="shared" si="216"/>
        <v>542350</v>
      </c>
      <c r="Z509" s="15">
        <f ca="1" t="shared" si="217"/>
        <v>162705</v>
      </c>
      <c r="AA509" s="15">
        <f ca="1" t="shared" si="218"/>
        <v>379645</v>
      </c>
    </row>
    <row r="510" spans="2:27">
      <c r="B510" s="10">
        <v>19</v>
      </c>
      <c r="C510" s="30"/>
      <c r="D510" s="30"/>
      <c r="E510" s="1">
        <f ca="1" t="shared" si="198"/>
        <v>19</v>
      </c>
      <c r="F510" s="61">
        <f ca="1" t="shared" si="199"/>
        <v>171600000</v>
      </c>
      <c r="G510" s="5">
        <f ca="1" t="shared" si="200"/>
        <v>200226.816</v>
      </c>
      <c r="H510" s="1">
        <f ca="1" t="shared" si="201"/>
        <v>51480000</v>
      </c>
      <c r="I510" s="1">
        <f ca="1" t="shared" si="202"/>
        <v>60068.0448</v>
      </c>
      <c r="J510" s="1">
        <f ca="1" t="shared" si="203"/>
        <v>120120000</v>
      </c>
      <c r="K510" s="1">
        <f ca="1" t="shared" si="204"/>
        <v>140158.7712</v>
      </c>
      <c r="L510" s="15">
        <f ca="1" t="shared" si="205"/>
        <v>10</v>
      </c>
      <c r="M510" s="15">
        <f ca="1" t="shared" si="206"/>
        <v>4</v>
      </c>
      <c r="N510" s="53">
        <f ca="1" t="shared" si="207"/>
        <v>0.5</v>
      </c>
      <c r="O510" s="53">
        <f ca="1" t="shared" si="208"/>
        <v>0.1</v>
      </c>
      <c r="P510" s="53">
        <f ca="1" t="shared" si="209"/>
        <v>0.05</v>
      </c>
      <c r="Q510" s="15">
        <f ca="1" t="shared" si="210"/>
        <v>8</v>
      </c>
      <c r="R510" s="53">
        <f ca="1" t="shared" si="211"/>
        <v>0.15</v>
      </c>
      <c r="S510" s="53">
        <f ca="1" t="shared" si="212"/>
        <v>0.15</v>
      </c>
      <c r="T510" s="62">
        <f ca="1" t="shared" si="213"/>
        <v>250</v>
      </c>
      <c r="U510" s="53">
        <f ca="1" t="shared" si="214"/>
        <v>0.15</v>
      </c>
      <c r="V510" s="48">
        <f ca="1" t="shared" si="215"/>
        <v>0.14</v>
      </c>
      <c r="W510" s="63">
        <f ca="1">F510/1000000*总规划!$G$105</f>
        <v>71.5000000000001</v>
      </c>
      <c r="X510" s="63">
        <f ca="1">G510/60/24*总规划!$G$106</f>
        <v>217.26</v>
      </c>
      <c r="Y510" s="64">
        <f ca="1" t="shared" si="216"/>
        <v>578900</v>
      </c>
      <c r="Z510" s="15">
        <f ca="1" t="shared" si="217"/>
        <v>173670</v>
      </c>
      <c r="AA510" s="15">
        <f ca="1" t="shared" si="218"/>
        <v>405230</v>
      </c>
    </row>
    <row r="511" spans="2:27">
      <c r="B511" s="10">
        <v>20</v>
      </c>
      <c r="C511" s="30">
        <v>11</v>
      </c>
      <c r="D511" s="30"/>
      <c r="E511" s="1">
        <f ca="1" t="shared" si="198"/>
        <v>20</v>
      </c>
      <c r="F511" s="61">
        <f ca="1" t="shared" si="199"/>
        <v>185040000</v>
      </c>
      <c r="G511" s="5">
        <f ca="1" t="shared" si="200"/>
        <v>212668.416</v>
      </c>
      <c r="H511" s="1">
        <f ca="1" t="shared" si="201"/>
        <v>55512000</v>
      </c>
      <c r="I511" s="1">
        <f ca="1" t="shared" si="202"/>
        <v>63800.5248</v>
      </c>
      <c r="J511" s="1">
        <f ca="1" t="shared" si="203"/>
        <v>129528000</v>
      </c>
      <c r="K511" s="1">
        <f ca="1" t="shared" si="204"/>
        <v>148867.8912</v>
      </c>
      <c r="L511" s="15">
        <f ca="1" t="shared" si="205"/>
        <v>11</v>
      </c>
      <c r="M511" s="15">
        <f ca="1" t="shared" si="206"/>
        <v>4</v>
      </c>
      <c r="N511" s="53">
        <f ca="1" t="shared" si="207"/>
        <v>0.5</v>
      </c>
      <c r="O511" s="53">
        <f ca="1" t="shared" si="208"/>
        <v>0.25</v>
      </c>
      <c r="P511" s="53">
        <f ca="1" t="shared" si="209"/>
        <v>0.2</v>
      </c>
      <c r="Q511" s="15">
        <f ca="1" t="shared" si="210"/>
        <v>8</v>
      </c>
      <c r="R511" s="53">
        <f ca="1" t="shared" si="211"/>
        <v>0.15</v>
      </c>
      <c r="S511" s="53">
        <f ca="1" t="shared" si="212"/>
        <v>0.15</v>
      </c>
      <c r="T511" s="62">
        <f ca="1" t="shared" si="213"/>
        <v>250</v>
      </c>
      <c r="U511" s="53">
        <f ca="1" t="shared" si="214"/>
        <v>0.15</v>
      </c>
      <c r="V511" s="48">
        <f ca="1" t="shared" si="215"/>
        <v>0.4</v>
      </c>
      <c r="W511" s="63">
        <f ca="1">F511/1000000*总规划!$G$105</f>
        <v>77.1000000000001</v>
      </c>
      <c r="X511" s="63">
        <f ca="1">G511/60/24*总规划!$G$106</f>
        <v>230.76</v>
      </c>
      <c r="Y511" s="64">
        <f ca="1" t="shared" si="216"/>
        <v>615450</v>
      </c>
      <c r="Z511" s="15">
        <f ca="1" t="shared" si="217"/>
        <v>184635</v>
      </c>
      <c r="AA511" s="15">
        <f ca="1" t="shared" si="218"/>
        <v>430815</v>
      </c>
    </row>
    <row r="512" spans="2:27">
      <c r="B512" s="10">
        <v>21</v>
      </c>
      <c r="C512" s="30"/>
      <c r="D512" s="30"/>
      <c r="E512" s="1">
        <f ca="1" t="shared" si="198"/>
        <v>20</v>
      </c>
      <c r="F512" s="61">
        <f ca="1" t="shared" si="199"/>
        <v>199920000</v>
      </c>
      <c r="G512" s="5">
        <f ca="1" t="shared" si="200"/>
        <v>226492.416</v>
      </c>
      <c r="H512" s="1">
        <f ca="1" t="shared" si="201"/>
        <v>59976000</v>
      </c>
      <c r="I512" s="1">
        <f ca="1" t="shared" si="202"/>
        <v>67947.7248</v>
      </c>
      <c r="J512" s="1">
        <f ca="1" t="shared" si="203"/>
        <v>139944000</v>
      </c>
      <c r="K512" s="1">
        <f ca="1" t="shared" si="204"/>
        <v>158544.6912</v>
      </c>
      <c r="L512" s="15">
        <f ca="1" t="shared" si="205"/>
        <v>11</v>
      </c>
      <c r="M512" s="15">
        <f ca="1" t="shared" si="206"/>
        <v>4</v>
      </c>
      <c r="N512" s="53">
        <f ca="1" t="shared" si="207"/>
        <v>0.5</v>
      </c>
      <c r="O512" s="53">
        <f ca="1" t="shared" si="208"/>
        <v>0.25</v>
      </c>
      <c r="P512" s="53">
        <f ca="1" t="shared" si="209"/>
        <v>0.2</v>
      </c>
      <c r="Q512" s="15">
        <f ca="1" t="shared" si="210"/>
        <v>8</v>
      </c>
      <c r="R512" s="53">
        <f ca="1" t="shared" si="211"/>
        <v>0.15</v>
      </c>
      <c r="S512" s="53">
        <f ca="1" t="shared" si="212"/>
        <v>0.15</v>
      </c>
      <c r="T512" s="62">
        <f ca="1" t="shared" si="213"/>
        <v>250</v>
      </c>
      <c r="U512" s="53">
        <f ca="1" t="shared" si="214"/>
        <v>0.15</v>
      </c>
      <c r="V512" s="48">
        <f ca="1" t="shared" si="215"/>
        <v>0.4</v>
      </c>
      <c r="W512" s="63">
        <f ca="1">F512/1000000*总规划!$G$105</f>
        <v>83.3000000000001</v>
      </c>
      <c r="X512" s="63">
        <f ca="1">G512/60/24*总规划!$G$106</f>
        <v>245.76</v>
      </c>
      <c r="Y512" s="64">
        <f ca="1" t="shared" si="216"/>
        <v>656050</v>
      </c>
      <c r="Z512" s="15">
        <f ca="1" t="shared" si="217"/>
        <v>196815</v>
      </c>
      <c r="AA512" s="15">
        <f ca="1" t="shared" si="218"/>
        <v>459235</v>
      </c>
    </row>
    <row r="513" spans="2:27">
      <c r="B513" s="10">
        <v>22</v>
      </c>
      <c r="C513" s="30"/>
      <c r="D513" s="30"/>
      <c r="E513" s="1">
        <f ca="1" t="shared" si="198"/>
        <v>20</v>
      </c>
      <c r="F513" s="61">
        <f ca="1" t="shared" si="199"/>
        <v>214800000</v>
      </c>
      <c r="G513" s="5">
        <f ca="1" t="shared" si="200"/>
        <v>240316.416</v>
      </c>
      <c r="H513" s="1">
        <f ca="1" t="shared" si="201"/>
        <v>64440000</v>
      </c>
      <c r="I513" s="1">
        <f ca="1" t="shared" si="202"/>
        <v>72094.9248</v>
      </c>
      <c r="J513" s="1">
        <f ca="1" t="shared" si="203"/>
        <v>150360000</v>
      </c>
      <c r="K513" s="1">
        <f ca="1" t="shared" si="204"/>
        <v>168221.4912</v>
      </c>
      <c r="L513" s="15">
        <f ca="1" t="shared" si="205"/>
        <v>11</v>
      </c>
      <c r="M513" s="15">
        <f ca="1" t="shared" si="206"/>
        <v>4</v>
      </c>
      <c r="N513" s="53">
        <f ca="1" t="shared" si="207"/>
        <v>0.5</v>
      </c>
      <c r="O513" s="53">
        <f ca="1" t="shared" si="208"/>
        <v>0.25</v>
      </c>
      <c r="P513" s="53">
        <f ca="1" t="shared" si="209"/>
        <v>0.2</v>
      </c>
      <c r="Q513" s="15">
        <f ca="1" t="shared" si="210"/>
        <v>8</v>
      </c>
      <c r="R513" s="53">
        <f ca="1" t="shared" si="211"/>
        <v>0.15</v>
      </c>
      <c r="S513" s="53">
        <f ca="1" t="shared" si="212"/>
        <v>0.15</v>
      </c>
      <c r="T513" s="62">
        <f ca="1" t="shared" si="213"/>
        <v>250</v>
      </c>
      <c r="U513" s="53">
        <f ca="1" t="shared" si="214"/>
        <v>0.15</v>
      </c>
      <c r="V513" s="48">
        <f ca="1" t="shared" si="215"/>
        <v>0.4</v>
      </c>
      <c r="W513" s="63">
        <f ca="1">F513/1000000*总规划!$G$105</f>
        <v>89.5000000000001</v>
      </c>
      <c r="X513" s="63">
        <f ca="1">G513/60/24*总规划!$G$106</f>
        <v>260.76</v>
      </c>
      <c r="Y513" s="64">
        <f ca="1" t="shared" si="216"/>
        <v>696650</v>
      </c>
      <c r="Z513" s="15">
        <f ca="1" t="shared" si="217"/>
        <v>208995</v>
      </c>
      <c r="AA513" s="15">
        <f ca="1" t="shared" si="218"/>
        <v>487655</v>
      </c>
    </row>
    <row r="514" spans="2:27">
      <c r="B514" s="10">
        <v>23</v>
      </c>
      <c r="C514" s="30"/>
      <c r="D514" s="30">
        <v>9</v>
      </c>
      <c r="E514" s="1">
        <f ca="1" t="shared" si="198"/>
        <v>21</v>
      </c>
      <c r="F514" s="61">
        <f ca="1" t="shared" si="199"/>
        <v>229680000</v>
      </c>
      <c r="G514" s="5">
        <f ca="1" t="shared" si="200"/>
        <v>254140.416</v>
      </c>
      <c r="H514" s="1">
        <f ca="1" t="shared" si="201"/>
        <v>68904000</v>
      </c>
      <c r="I514" s="1">
        <f ca="1" t="shared" si="202"/>
        <v>76242.1248</v>
      </c>
      <c r="J514" s="1">
        <f ca="1" t="shared" si="203"/>
        <v>160776000</v>
      </c>
      <c r="K514" s="1">
        <f ca="1" t="shared" si="204"/>
        <v>177898.2912</v>
      </c>
      <c r="L514" s="15">
        <f ca="1" t="shared" si="205"/>
        <v>11</v>
      </c>
      <c r="M514" s="15">
        <f ca="1" t="shared" si="206"/>
        <v>4</v>
      </c>
      <c r="N514" s="53">
        <f ca="1" t="shared" si="207"/>
        <v>0.5</v>
      </c>
      <c r="O514" s="53">
        <f ca="1" t="shared" si="208"/>
        <v>0.25</v>
      </c>
      <c r="P514" s="53">
        <f ca="1" t="shared" si="209"/>
        <v>0.2</v>
      </c>
      <c r="Q514" s="15">
        <f ca="1" t="shared" si="210"/>
        <v>9</v>
      </c>
      <c r="R514" s="53">
        <f ca="1" t="shared" si="211"/>
        <v>0.15</v>
      </c>
      <c r="S514" s="53">
        <f ca="1" t="shared" si="212"/>
        <v>0.15</v>
      </c>
      <c r="T514" s="62">
        <f ca="1" t="shared" si="213"/>
        <v>250</v>
      </c>
      <c r="U514" s="53">
        <f ca="1" t="shared" si="214"/>
        <v>0.15</v>
      </c>
      <c r="V514" s="48">
        <f ca="1" t="shared" si="215"/>
        <v>0.41</v>
      </c>
      <c r="W514" s="63">
        <f ca="1">F514/1000000*总规划!$G$105</f>
        <v>95.7000000000001</v>
      </c>
      <c r="X514" s="63">
        <f ca="1">G514/60/24*总规划!$G$106</f>
        <v>275.76</v>
      </c>
      <c r="Y514" s="64">
        <f ca="1" t="shared" si="216"/>
        <v>737250</v>
      </c>
      <c r="Z514" s="15">
        <f ca="1" t="shared" si="217"/>
        <v>221175</v>
      </c>
      <c r="AA514" s="15">
        <f ca="1" t="shared" si="218"/>
        <v>516075</v>
      </c>
    </row>
    <row r="515" spans="2:27">
      <c r="B515" s="10">
        <v>24</v>
      </c>
      <c r="C515" s="30">
        <v>12</v>
      </c>
      <c r="D515" s="30"/>
      <c r="E515" s="1">
        <f ca="1" t="shared" si="198"/>
        <v>21</v>
      </c>
      <c r="F515" s="61">
        <f ca="1" t="shared" si="199"/>
        <v>245520000</v>
      </c>
      <c r="G515" s="5">
        <f ca="1" t="shared" si="200"/>
        <v>269346.816</v>
      </c>
      <c r="H515" s="1">
        <f ca="1" t="shared" si="201"/>
        <v>73656000</v>
      </c>
      <c r="I515" s="1">
        <f ca="1" t="shared" si="202"/>
        <v>80804.0448</v>
      </c>
      <c r="J515" s="1">
        <f ca="1" t="shared" si="203"/>
        <v>171864000</v>
      </c>
      <c r="K515" s="1">
        <f ca="1" t="shared" si="204"/>
        <v>188542.7712</v>
      </c>
      <c r="L515" s="15">
        <f ca="1" t="shared" si="205"/>
        <v>12</v>
      </c>
      <c r="M515" s="15">
        <f ca="1" t="shared" si="206"/>
        <v>4</v>
      </c>
      <c r="N515" s="53">
        <f ca="1" t="shared" si="207"/>
        <v>0.7</v>
      </c>
      <c r="O515" s="53">
        <f ca="1" t="shared" si="208"/>
        <v>0.25</v>
      </c>
      <c r="P515" s="53">
        <f ca="1" t="shared" si="209"/>
        <v>0.2</v>
      </c>
      <c r="Q515" s="15">
        <f ca="1" t="shared" si="210"/>
        <v>9</v>
      </c>
      <c r="R515" s="53">
        <f ca="1" t="shared" si="211"/>
        <v>0.15</v>
      </c>
      <c r="S515" s="53">
        <f ca="1" t="shared" si="212"/>
        <v>0.15</v>
      </c>
      <c r="T515" s="62">
        <f ca="1" t="shared" si="213"/>
        <v>250</v>
      </c>
      <c r="U515" s="53">
        <f ca="1" t="shared" si="214"/>
        <v>0.15</v>
      </c>
      <c r="V515" s="48">
        <f ca="1" t="shared" si="215"/>
        <v>0.41</v>
      </c>
      <c r="W515" s="63">
        <f ca="1">F515/1000000*总规划!$G$105</f>
        <v>102.3</v>
      </c>
      <c r="X515" s="63">
        <f ca="1">G515/60/24*总规划!$G$106</f>
        <v>292.26</v>
      </c>
      <c r="Y515" s="64">
        <f ca="1" t="shared" si="216"/>
        <v>781800</v>
      </c>
      <c r="Z515" s="15">
        <f ca="1" t="shared" si="217"/>
        <v>234540</v>
      </c>
      <c r="AA515" s="15">
        <f ca="1" t="shared" si="218"/>
        <v>547260</v>
      </c>
    </row>
    <row r="516" spans="2:27">
      <c r="B516" s="10">
        <v>25</v>
      </c>
      <c r="C516" s="30"/>
      <c r="D516" s="30"/>
      <c r="E516" s="1">
        <f ca="1" t="shared" si="198"/>
        <v>21</v>
      </c>
      <c r="F516" s="61">
        <f ca="1" t="shared" si="199"/>
        <v>261360000</v>
      </c>
      <c r="G516" s="5">
        <f ca="1" t="shared" si="200"/>
        <v>284553.216</v>
      </c>
      <c r="H516" s="1">
        <f ca="1" t="shared" si="201"/>
        <v>78408000</v>
      </c>
      <c r="I516" s="1">
        <f ca="1" t="shared" si="202"/>
        <v>85365.9648</v>
      </c>
      <c r="J516" s="1">
        <f ca="1" t="shared" si="203"/>
        <v>182952000</v>
      </c>
      <c r="K516" s="1">
        <f ca="1" t="shared" si="204"/>
        <v>199187.2512</v>
      </c>
      <c r="L516" s="15">
        <f ca="1" t="shared" si="205"/>
        <v>12</v>
      </c>
      <c r="M516" s="15">
        <f ca="1" t="shared" si="206"/>
        <v>4</v>
      </c>
      <c r="N516" s="53">
        <f ca="1" t="shared" si="207"/>
        <v>0.7</v>
      </c>
      <c r="O516" s="53">
        <f ca="1" t="shared" si="208"/>
        <v>0.25</v>
      </c>
      <c r="P516" s="53">
        <f ca="1" t="shared" si="209"/>
        <v>0.2</v>
      </c>
      <c r="Q516" s="15">
        <f ca="1" t="shared" si="210"/>
        <v>9</v>
      </c>
      <c r="R516" s="53">
        <f ca="1" t="shared" si="211"/>
        <v>0.15</v>
      </c>
      <c r="S516" s="53">
        <f ca="1" t="shared" si="212"/>
        <v>0.15</v>
      </c>
      <c r="T516" s="62">
        <f ca="1" t="shared" si="213"/>
        <v>250</v>
      </c>
      <c r="U516" s="53">
        <f ca="1" t="shared" si="214"/>
        <v>0.15</v>
      </c>
      <c r="V516" s="48">
        <f ca="1" t="shared" si="215"/>
        <v>0.41</v>
      </c>
      <c r="W516" s="63">
        <f ca="1">F516/1000000*总规划!$G$105</f>
        <v>108.9</v>
      </c>
      <c r="X516" s="63">
        <f ca="1">G516/60/24*总规划!$G$106</f>
        <v>308.76</v>
      </c>
      <c r="Y516" s="64">
        <f ca="1" t="shared" si="216"/>
        <v>826350</v>
      </c>
      <c r="Z516" s="15">
        <f ca="1" t="shared" si="217"/>
        <v>247905</v>
      </c>
      <c r="AA516" s="15">
        <f ca="1" t="shared" si="218"/>
        <v>578445</v>
      </c>
    </row>
    <row r="517" spans="2:27">
      <c r="B517" s="10">
        <v>26</v>
      </c>
      <c r="C517" s="30"/>
      <c r="D517" s="30"/>
      <c r="E517" s="1">
        <f ca="1" t="shared" si="198"/>
        <v>22</v>
      </c>
      <c r="F517" s="61">
        <f ca="1" t="shared" si="199"/>
        <v>277200000</v>
      </c>
      <c r="G517" s="5">
        <f ca="1" t="shared" si="200"/>
        <v>299759.616</v>
      </c>
      <c r="H517" s="1">
        <f ca="1" t="shared" si="201"/>
        <v>83160000</v>
      </c>
      <c r="I517" s="1">
        <f ca="1" t="shared" si="202"/>
        <v>89927.8848</v>
      </c>
      <c r="J517" s="1">
        <f ca="1" t="shared" si="203"/>
        <v>194040000</v>
      </c>
      <c r="K517" s="1">
        <f ca="1" t="shared" si="204"/>
        <v>209831.7312</v>
      </c>
      <c r="L517" s="15">
        <f ca="1" t="shared" si="205"/>
        <v>12</v>
      </c>
      <c r="M517" s="15">
        <f ca="1" t="shared" si="206"/>
        <v>4</v>
      </c>
      <c r="N517" s="53">
        <f ca="1" t="shared" si="207"/>
        <v>0.7</v>
      </c>
      <c r="O517" s="53">
        <f ca="1" t="shared" si="208"/>
        <v>0.25</v>
      </c>
      <c r="P517" s="53">
        <f ca="1" t="shared" si="209"/>
        <v>0.2</v>
      </c>
      <c r="Q517" s="15">
        <f ca="1" t="shared" si="210"/>
        <v>9</v>
      </c>
      <c r="R517" s="53">
        <f ca="1" t="shared" si="211"/>
        <v>0.15</v>
      </c>
      <c r="S517" s="53">
        <f ca="1" t="shared" si="212"/>
        <v>0.15</v>
      </c>
      <c r="T517" s="62">
        <f ca="1" t="shared" si="213"/>
        <v>250</v>
      </c>
      <c r="U517" s="53">
        <f ca="1" t="shared" si="214"/>
        <v>0.15</v>
      </c>
      <c r="V517" s="48">
        <f ca="1" t="shared" si="215"/>
        <v>0.42</v>
      </c>
      <c r="W517" s="63">
        <f ca="1">F517/1000000*总规划!$G$105</f>
        <v>115.5</v>
      </c>
      <c r="X517" s="63">
        <f ca="1">G517/60/24*总规划!$G$106</f>
        <v>325.26</v>
      </c>
      <c r="Y517" s="64">
        <f ca="1" t="shared" si="216"/>
        <v>870900</v>
      </c>
      <c r="Z517" s="15">
        <f ca="1" t="shared" si="217"/>
        <v>261270</v>
      </c>
      <c r="AA517" s="15">
        <f ca="1" t="shared" si="218"/>
        <v>609630</v>
      </c>
    </row>
    <row r="518" spans="2:27">
      <c r="B518" s="10">
        <v>27</v>
      </c>
      <c r="C518" s="30"/>
      <c r="D518" s="30"/>
      <c r="E518" s="1">
        <f ca="1" t="shared" si="198"/>
        <v>22</v>
      </c>
      <c r="F518" s="61">
        <f ca="1" t="shared" si="199"/>
        <v>293400000</v>
      </c>
      <c r="G518" s="5">
        <f ca="1" t="shared" si="200"/>
        <v>312201.216</v>
      </c>
      <c r="H518" s="1">
        <f ca="1" t="shared" si="201"/>
        <v>88020000</v>
      </c>
      <c r="I518" s="1">
        <f ca="1" t="shared" si="202"/>
        <v>93660.3648</v>
      </c>
      <c r="J518" s="1">
        <f ca="1" t="shared" si="203"/>
        <v>205380000</v>
      </c>
      <c r="K518" s="1">
        <f ca="1" t="shared" si="204"/>
        <v>218540.8512</v>
      </c>
      <c r="L518" s="15">
        <f ca="1" t="shared" si="205"/>
        <v>12</v>
      </c>
      <c r="M518" s="15">
        <f ca="1" t="shared" si="206"/>
        <v>4</v>
      </c>
      <c r="N518" s="53">
        <f ca="1" t="shared" si="207"/>
        <v>0.7</v>
      </c>
      <c r="O518" s="53">
        <f ca="1" t="shared" si="208"/>
        <v>0.25</v>
      </c>
      <c r="P518" s="53">
        <f ca="1" t="shared" si="209"/>
        <v>0.2</v>
      </c>
      <c r="Q518" s="15">
        <f ca="1" t="shared" si="210"/>
        <v>9</v>
      </c>
      <c r="R518" s="53">
        <f ca="1" t="shared" si="211"/>
        <v>0.15</v>
      </c>
      <c r="S518" s="53">
        <f ca="1" t="shared" si="212"/>
        <v>0.15</v>
      </c>
      <c r="T518" s="62">
        <f ca="1" t="shared" si="213"/>
        <v>250</v>
      </c>
      <c r="U518" s="53">
        <f ca="1" t="shared" si="214"/>
        <v>0.15</v>
      </c>
      <c r="V518" s="48">
        <f ca="1" t="shared" si="215"/>
        <v>0.42</v>
      </c>
      <c r="W518" s="63">
        <f ca="1">F518/1000000*总规划!$G$105</f>
        <v>122.25</v>
      </c>
      <c r="X518" s="63">
        <f ca="1">G518/60/24*总规划!$G$106</f>
        <v>338.76</v>
      </c>
      <c r="Y518" s="64">
        <f ca="1" t="shared" si="216"/>
        <v>908025</v>
      </c>
      <c r="Z518" s="15">
        <f ca="1" t="shared" si="217"/>
        <v>272407.5</v>
      </c>
      <c r="AA518" s="15">
        <f ca="1" t="shared" si="218"/>
        <v>635617.5</v>
      </c>
    </row>
    <row r="519" spans="2:27">
      <c r="B519" s="10">
        <v>28</v>
      </c>
      <c r="C519" s="30">
        <v>13</v>
      </c>
      <c r="D519" s="30"/>
      <c r="E519" s="1">
        <f ca="1" t="shared" si="198"/>
        <v>22</v>
      </c>
      <c r="F519" s="61">
        <f ca="1" t="shared" si="199"/>
        <v>309600000</v>
      </c>
      <c r="G519" s="5">
        <f ca="1" t="shared" si="200"/>
        <v>324642.816</v>
      </c>
      <c r="H519" s="1">
        <f ca="1" t="shared" si="201"/>
        <v>92880000</v>
      </c>
      <c r="I519" s="1">
        <f ca="1" t="shared" si="202"/>
        <v>97392.8448</v>
      </c>
      <c r="J519" s="1">
        <f ca="1" t="shared" si="203"/>
        <v>216720000</v>
      </c>
      <c r="K519" s="1">
        <f ca="1" t="shared" si="204"/>
        <v>227249.9712</v>
      </c>
      <c r="L519" s="15">
        <f ca="1" t="shared" si="205"/>
        <v>13</v>
      </c>
      <c r="M519" s="15">
        <f ca="1" t="shared" si="206"/>
        <v>5</v>
      </c>
      <c r="N519" s="53">
        <f ca="1" t="shared" si="207"/>
        <v>0.7</v>
      </c>
      <c r="O519" s="53">
        <f ca="1" t="shared" si="208"/>
        <v>0.25</v>
      </c>
      <c r="P519" s="53">
        <f ca="1" t="shared" si="209"/>
        <v>0.2</v>
      </c>
      <c r="Q519" s="15">
        <f ca="1" t="shared" si="210"/>
        <v>9</v>
      </c>
      <c r="R519" s="53">
        <f ca="1" t="shared" si="211"/>
        <v>0.15</v>
      </c>
      <c r="S519" s="53">
        <f ca="1" t="shared" si="212"/>
        <v>0.15</v>
      </c>
      <c r="T519" s="62">
        <f ca="1" t="shared" si="213"/>
        <v>250</v>
      </c>
      <c r="U519" s="53">
        <f ca="1" t="shared" si="214"/>
        <v>0.15</v>
      </c>
      <c r="V519" s="48">
        <f ca="1" t="shared" si="215"/>
        <v>0.42</v>
      </c>
      <c r="W519" s="63">
        <f ca="1">F519/1000000*总规划!$G$105</f>
        <v>129</v>
      </c>
      <c r="X519" s="63">
        <f ca="1">G519/60/24*总规划!$G$106</f>
        <v>352.26</v>
      </c>
      <c r="Y519" s="64">
        <f ca="1" t="shared" si="216"/>
        <v>945150</v>
      </c>
      <c r="Z519" s="15">
        <f ca="1" t="shared" si="217"/>
        <v>283545</v>
      </c>
      <c r="AA519" s="15">
        <f ca="1" t="shared" si="218"/>
        <v>661605</v>
      </c>
    </row>
    <row r="520" spans="2:27">
      <c r="B520" s="10">
        <v>29</v>
      </c>
      <c r="C520" s="30"/>
      <c r="D520" s="30"/>
      <c r="E520" s="1">
        <f ca="1" t="shared" si="198"/>
        <v>22</v>
      </c>
      <c r="F520" s="61">
        <f ca="1" t="shared" si="199"/>
        <v>325800000</v>
      </c>
      <c r="G520" s="5">
        <f ca="1" t="shared" si="200"/>
        <v>337084.416</v>
      </c>
      <c r="H520" s="1">
        <f ca="1" t="shared" si="201"/>
        <v>97740000</v>
      </c>
      <c r="I520" s="1">
        <f ca="1" t="shared" si="202"/>
        <v>101125.3248</v>
      </c>
      <c r="J520" s="1">
        <f ca="1" t="shared" si="203"/>
        <v>228060000</v>
      </c>
      <c r="K520" s="1">
        <f ca="1" t="shared" si="204"/>
        <v>235959.0912</v>
      </c>
      <c r="L520" s="15">
        <f ca="1" t="shared" si="205"/>
        <v>13</v>
      </c>
      <c r="M520" s="15">
        <f ca="1" t="shared" si="206"/>
        <v>5</v>
      </c>
      <c r="N520" s="53">
        <f ca="1" t="shared" si="207"/>
        <v>0.7</v>
      </c>
      <c r="O520" s="53">
        <f ca="1" t="shared" si="208"/>
        <v>0.25</v>
      </c>
      <c r="P520" s="53">
        <f ca="1" t="shared" si="209"/>
        <v>0.2</v>
      </c>
      <c r="Q520" s="15">
        <f ca="1" t="shared" si="210"/>
        <v>9</v>
      </c>
      <c r="R520" s="53">
        <f ca="1" t="shared" si="211"/>
        <v>0.15</v>
      </c>
      <c r="S520" s="53">
        <f ca="1" t="shared" si="212"/>
        <v>0.15</v>
      </c>
      <c r="T520" s="62">
        <f ca="1" t="shared" si="213"/>
        <v>250</v>
      </c>
      <c r="U520" s="53">
        <f ca="1" t="shared" si="214"/>
        <v>0.15</v>
      </c>
      <c r="V520" s="48">
        <f ca="1" t="shared" si="215"/>
        <v>0.42</v>
      </c>
      <c r="W520" s="63">
        <f ca="1">F520/1000000*总规划!$G$105</f>
        <v>135.75</v>
      </c>
      <c r="X520" s="63">
        <f ca="1">G520/60/24*总规划!$G$106</f>
        <v>365.76</v>
      </c>
      <c r="Y520" s="64">
        <f ca="1" t="shared" si="216"/>
        <v>982275</v>
      </c>
      <c r="Z520" s="15">
        <f ca="1" t="shared" si="217"/>
        <v>294682.5</v>
      </c>
      <c r="AA520" s="15">
        <f ca="1" t="shared" si="218"/>
        <v>687592.5</v>
      </c>
    </row>
    <row r="521" spans="2:27">
      <c r="B521" s="10">
        <v>30</v>
      </c>
      <c r="C521" s="30"/>
      <c r="D521" s="30">
        <v>10</v>
      </c>
      <c r="E521" s="1">
        <f ca="1" t="shared" si="198"/>
        <v>23</v>
      </c>
      <c r="F521" s="61">
        <f ca="1" t="shared" si="199"/>
        <v>342000000</v>
      </c>
      <c r="G521" s="5">
        <f ca="1" t="shared" si="200"/>
        <v>349526.016</v>
      </c>
      <c r="H521" s="1">
        <f ca="1" t="shared" si="201"/>
        <v>102600000</v>
      </c>
      <c r="I521" s="1">
        <f ca="1" t="shared" si="202"/>
        <v>104857.8048</v>
      </c>
      <c r="J521" s="1">
        <f ca="1" t="shared" si="203"/>
        <v>239400000</v>
      </c>
      <c r="K521" s="1">
        <f ca="1" t="shared" si="204"/>
        <v>244668.2112</v>
      </c>
      <c r="L521" s="15">
        <f ca="1" t="shared" si="205"/>
        <v>13</v>
      </c>
      <c r="M521" s="15">
        <f ca="1" t="shared" si="206"/>
        <v>5</v>
      </c>
      <c r="N521" s="53">
        <f ca="1" t="shared" si="207"/>
        <v>0.7</v>
      </c>
      <c r="O521" s="53">
        <f ca="1" t="shared" si="208"/>
        <v>0.25</v>
      </c>
      <c r="P521" s="53">
        <f ca="1" t="shared" si="209"/>
        <v>0.2</v>
      </c>
      <c r="Q521" s="15">
        <f ca="1" t="shared" si="210"/>
        <v>10</v>
      </c>
      <c r="R521" s="53">
        <f ca="1" t="shared" si="211"/>
        <v>0.3</v>
      </c>
      <c r="S521" s="53">
        <f ca="1" t="shared" si="212"/>
        <v>0.3</v>
      </c>
      <c r="T521" s="62">
        <f ca="1" t="shared" si="213"/>
        <v>250</v>
      </c>
      <c r="U521" s="53">
        <f ca="1" t="shared" si="214"/>
        <v>0.15</v>
      </c>
      <c r="V521" s="48">
        <f ca="1" t="shared" si="215"/>
        <v>0.48</v>
      </c>
      <c r="W521" s="63">
        <f ca="1">F521/1000000*总规划!$G$105</f>
        <v>142.5</v>
      </c>
      <c r="X521" s="63">
        <f ca="1">G521/60/24*总规划!$G$106</f>
        <v>379.26</v>
      </c>
      <c r="Y521" s="64">
        <f ca="1" t="shared" si="216"/>
        <v>1019400</v>
      </c>
      <c r="Z521" s="15">
        <f ca="1" t="shared" si="217"/>
        <v>305820</v>
      </c>
      <c r="AA521" s="15">
        <f ca="1" t="shared" si="218"/>
        <v>713580</v>
      </c>
    </row>
    <row r="522" spans="2:27">
      <c r="B522" s="11">
        <v>35</v>
      </c>
      <c r="C522" s="30"/>
      <c r="D522" s="30"/>
      <c r="E522" s="1">
        <f ca="1" t="shared" si="198"/>
        <v>23</v>
      </c>
      <c r="F522" s="61">
        <f ca="1" t="shared" si="199"/>
        <v>421200000</v>
      </c>
      <c r="G522" s="5">
        <f ca="1" t="shared" si="200"/>
        <v>390998.016</v>
      </c>
      <c r="H522" s="1">
        <f ca="1" t="shared" si="201"/>
        <v>126360000</v>
      </c>
      <c r="I522" s="1">
        <f ca="1" t="shared" si="202"/>
        <v>117299.4048</v>
      </c>
      <c r="J522" s="1">
        <f ca="1" t="shared" si="203"/>
        <v>294840000</v>
      </c>
      <c r="K522" s="1">
        <f ca="1" t="shared" si="204"/>
        <v>273698.6112</v>
      </c>
      <c r="L522" s="15">
        <f ca="1" t="shared" si="205"/>
        <v>13</v>
      </c>
      <c r="M522" s="15">
        <f ca="1" t="shared" si="206"/>
        <v>5</v>
      </c>
      <c r="N522" s="53">
        <f ca="1" t="shared" si="207"/>
        <v>0.7</v>
      </c>
      <c r="O522" s="53">
        <f ca="1" t="shared" si="208"/>
        <v>0.25</v>
      </c>
      <c r="P522" s="53">
        <f ca="1" t="shared" si="209"/>
        <v>0.2</v>
      </c>
      <c r="Q522" s="15">
        <f ca="1" t="shared" si="210"/>
        <v>10</v>
      </c>
      <c r="R522" s="53">
        <f ca="1" t="shared" si="211"/>
        <v>0.3</v>
      </c>
      <c r="S522" s="53">
        <f ca="1" t="shared" si="212"/>
        <v>0.3</v>
      </c>
      <c r="T522" s="62">
        <f ca="1" t="shared" si="213"/>
        <v>250</v>
      </c>
      <c r="U522" s="53">
        <f ca="1" t="shared" si="214"/>
        <v>0.15</v>
      </c>
      <c r="V522" s="48">
        <f ca="1" t="shared" si="215"/>
        <v>0.48</v>
      </c>
      <c r="W522" s="63">
        <f ca="1">F522/1000000*总规划!$G$105</f>
        <v>175.5</v>
      </c>
      <c r="X522" s="63">
        <f ca="1">G522/60/24*总规划!$G$106</f>
        <v>424.26</v>
      </c>
      <c r="Y522" s="64">
        <f ca="1" t="shared" si="216"/>
        <v>1148400</v>
      </c>
      <c r="Z522" s="15">
        <f ca="1" t="shared" si="217"/>
        <v>344520</v>
      </c>
      <c r="AA522" s="15">
        <f ca="1" t="shared" si="218"/>
        <v>803880</v>
      </c>
    </row>
    <row r="523" spans="2:27">
      <c r="B523" s="11">
        <v>40</v>
      </c>
      <c r="C523" s="30"/>
      <c r="D523" s="30">
        <v>11</v>
      </c>
      <c r="E523" s="1">
        <f ca="1" t="shared" si="198"/>
        <v>24</v>
      </c>
      <c r="F523" s="61">
        <f ca="1" t="shared" si="199"/>
        <v>500400000</v>
      </c>
      <c r="G523" s="5">
        <f ca="1" t="shared" si="200"/>
        <v>432470.016</v>
      </c>
      <c r="H523" s="1">
        <f ca="1" t="shared" si="201"/>
        <v>150120000</v>
      </c>
      <c r="I523" s="1">
        <f ca="1" t="shared" si="202"/>
        <v>129741.0048</v>
      </c>
      <c r="J523" s="1">
        <f ca="1" t="shared" si="203"/>
        <v>350280000</v>
      </c>
      <c r="K523" s="1">
        <f ca="1" t="shared" si="204"/>
        <v>302729.0112</v>
      </c>
      <c r="L523" s="15">
        <f ca="1" t="shared" si="205"/>
        <v>13</v>
      </c>
      <c r="M523" s="15">
        <f ca="1" t="shared" si="206"/>
        <v>5</v>
      </c>
      <c r="N523" s="53">
        <f ca="1" t="shared" si="207"/>
        <v>0.7</v>
      </c>
      <c r="O523" s="53">
        <f ca="1" t="shared" si="208"/>
        <v>0.25</v>
      </c>
      <c r="P523" s="53">
        <f ca="1" t="shared" si="209"/>
        <v>0.2</v>
      </c>
      <c r="Q523" s="15">
        <f ca="1" t="shared" si="210"/>
        <v>11</v>
      </c>
      <c r="R523" s="53">
        <f ca="1" t="shared" si="211"/>
        <v>0.3</v>
      </c>
      <c r="S523" s="53">
        <f ca="1" t="shared" si="212"/>
        <v>0.3</v>
      </c>
      <c r="T523" s="62">
        <f ca="1" t="shared" si="213"/>
        <v>250</v>
      </c>
      <c r="U523" s="53">
        <f ca="1" t="shared" si="214"/>
        <v>0.65</v>
      </c>
      <c r="V523" s="48">
        <f ca="1" t="shared" si="215"/>
        <v>0.49</v>
      </c>
      <c r="W523" s="63">
        <f ca="1">F523/1000000*总规划!$G$105</f>
        <v>208.5</v>
      </c>
      <c r="X523" s="63">
        <f ca="1">G523/60/24*总规划!$G$106</f>
        <v>469.26</v>
      </c>
      <c r="Y523" s="64">
        <f ca="1" t="shared" si="216"/>
        <v>1277400</v>
      </c>
      <c r="Z523" s="15">
        <f ca="1" t="shared" si="217"/>
        <v>383220</v>
      </c>
      <c r="AA523" s="15">
        <f ca="1" t="shared" si="218"/>
        <v>894180</v>
      </c>
    </row>
    <row r="524" spans="2:27">
      <c r="B524" s="11">
        <v>45</v>
      </c>
      <c r="C524" s="30">
        <v>14</v>
      </c>
      <c r="D524" s="30"/>
      <c r="E524" s="1">
        <f ca="1" t="shared" si="198"/>
        <v>24</v>
      </c>
      <c r="F524" s="61">
        <f ca="1" t="shared" si="199"/>
        <v>601200000</v>
      </c>
      <c r="G524" s="5">
        <f ca="1" t="shared" si="200"/>
        <v>494678.016</v>
      </c>
      <c r="H524" s="1">
        <f ca="1" t="shared" si="201"/>
        <v>180360000</v>
      </c>
      <c r="I524" s="1">
        <f ca="1" t="shared" si="202"/>
        <v>148403.4048</v>
      </c>
      <c r="J524" s="1">
        <f ca="1" t="shared" si="203"/>
        <v>420840000</v>
      </c>
      <c r="K524" s="1">
        <f ca="1" t="shared" si="204"/>
        <v>346274.6112</v>
      </c>
      <c r="L524" s="15">
        <f ca="1" t="shared" si="205"/>
        <v>14</v>
      </c>
      <c r="M524" s="15">
        <f ca="1" t="shared" si="206"/>
        <v>5</v>
      </c>
      <c r="N524" s="53">
        <f ca="1" t="shared" si="207"/>
        <v>0.95</v>
      </c>
      <c r="O524" s="53">
        <f ca="1" t="shared" si="208"/>
        <v>0.25</v>
      </c>
      <c r="P524" s="53">
        <f ca="1" t="shared" si="209"/>
        <v>0.2</v>
      </c>
      <c r="Q524" s="15">
        <f ca="1" t="shared" si="210"/>
        <v>11</v>
      </c>
      <c r="R524" s="53">
        <f ca="1" t="shared" si="211"/>
        <v>0.3</v>
      </c>
      <c r="S524" s="53">
        <f ca="1" t="shared" si="212"/>
        <v>0.3</v>
      </c>
      <c r="T524" s="62">
        <f ca="1" t="shared" si="213"/>
        <v>250</v>
      </c>
      <c r="U524" s="53">
        <f ca="1" t="shared" si="214"/>
        <v>0.65</v>
      </c>
      <c r="V524" s="48">
        <f ca="1" t="shared" si="215"/>
        <v>0.49</v>
      </c>
      <c r="W524" s="63">
        <f ca="1">F524/1000000*总规划!$G$105</f>
        <v>250.5</v>
      </c>
      <c r="X524" s="63">
        <f ca="1">G524/60/24*总规划!$G$106</f>
        <v>536.76</v>
      </c>
      <c r="Y524" s="64">
        <f ca="1" t="shared" si="216"/>
        <v>1467150</v>
      </c>
      <c r="Z524" s="15">
        <f ca="1" t="shared" si="217"/>
        <v>440145</v>
      </c>
      <c r="AA524" s="15">
        <f ca="1" t="shared" si="218"/>
        <v>1027005</v>
      </c>
    </row>
    <row r="525" spans="2:27">
      <c r="B525" s="11">
        <v>50</v>
      </c>
      <c r="C525" s="30"/>
      <c r="D525" s="30"/>
      <c r="E525" s="1">
        <f ca="1" t="shared" si="198"/>
        <v>25</v>
      </c>
      <c r="F525" s="61">
        <f ca="1" t="shared" si="199"/>
        <v>702000000</v>
      </c>
      <c r="G525" s="5">
        <f ca="1" t="shared" si="200"/>
        <v>556886.016</v>
      </c>
      <c r="H525" s="1">
        <f ca="1" t="shared" si="201"/>
        <v>210600000</v>
      </c>
      <c r="I525" s="1">
        <f ca="1" t="shared" si="202"/>
        <v>167065.8048</v>
      </c>
      <c r="J525" s="1">
        <f ca="1" t="shared" si="203"/>
        <v>491400000</v>
      </c>
      <c r="K525" s="1">
        <f ca="1" t="shared" si="204"/>
        <v>389820.2112</v>
      </c>
      <c r="L525" s="15">
        <f ca="1" t="shared" si="205"/>
        <v>14</v>
      </c>
      <c r="M525" s="15">
        <f ca="1" t="shared" si="206"/>
        <v>5</v>
      </c>
      <c r="N525" s="53">
        <f ca="1" t="shared" si="207"/>
        <v>0.95</v>
      </c>
      <c r="O525" s="53">
        <f ca="1" t="shared" si="208"/>
        <v>0.25</v>
      </c>
      <c r="P525" s="53">
        <f ca="1" t="shared" si="209"/>
        <v>0.2</v>
      </c>
      <c r="Q525" s="15">
        <f ca="1" t="shared" si="210"/>
        <v>11</v>
      </c>
      <c r="R525" s="53">
        <f ca="1" t="shared" si="211"/>
        <v>0.3</v>
      </c>
      <c r="S525" s="53">
        <f ca="1" t="shared" si="212"/>
        <v>0.3</v>
      </c>
      <c r="T525" s="62">
        <f ca="1" t="shared" si="213"/>
        <v>250</v>
      </c>
      <c r="U525" s="53">
        <f ca="1" t="shared" si="214"/>
        <v>0.65</v>
      </c>
      <c r="V525" s="48">
        <f ca="1" t="shared" si="215"/>
        <v>0.5</v>
      </c>
      <c r="W525" s="63">
        <f ca="1">F525/1000000*总规划!$G$105</f>
        <v>292.5</v>
      </c>
      <c r="X525" s="63">
        <f ca="1">G525/60/24*总规划!$G$106</f>
        <v>604.26</v>
      </c>
      <c r="Y525" s="64">
        <f ca="1" t="shared" si="216"/>
        <v>1656900</v>
      </c>
      <c r="Z525" s="15">
        <f ca="1" t="shared" si="217"/>
        <v>497070</v>
      </c>
      <c r="AA525" s="15">
        <f ca="1" t="shared" si="218"/>
        <v>1159830</v>
      </c>
    </row>
    <row r="526" spans="2:27">
      <c r="B526" s="11">
        <v>55</v>
      </c>
      <c r="C526" s="30"/>
      <c r="D526" s="30"/>
      <c r="E526" s="1">
        <f ca="1" t="shared" si="198"/>
        <v>25</v>
      </c>
      <c r="F526" s="61">
        <f ca="1" t="shared" si="199"/>
        <v>817200000</v>
      </c>
      <c r="G526" s="5">
        <f ca="1" t="shared" si="200"/>
        <v>639830.016</v>
      </c>
      <c r="H526" s="1">
        <f ca="1" t="shared" si="201"/>
        <v>245160000</v>
      </c>
      <c r="I526" s="1">
        <f ca="1" t="shared" si="202"/>
        <v>191949.0048</v>
      </c>
      <c r="J526" s="1">
        <f ca="1" t="shared" si="203"/>
        <v>572040000</v>
      </c>
      <c r="K526" s="1">
        <f ca="1" t="shared" si="204"/>
        <v>447881.0112</v>
      </c>
      <c r="L526" s="15">
        <f ca="1" t="shared" si="205"/>
        <v>14</v>
      </c>
      <c r="M526" s="15">
        <f ca="1" t="shared" si="206"/>
        <v>5</v>
      </c>
      <c r="N526" s="53">
        <f ca="1" t="shared" si="207"/>
        <v>0.95</v>
      </c>
      <c r="O526" s="53">
        <f ca="1" t="shared" si="208"/>
        <v>0.25</v>
      </c>
      <c r="P526" s="53">
        <f ca="1" t="shared" si="209"/>
        <v>0.2</v>
      </c>
      <c r="Q526" s="15">
        <f ca="1" t="shared" si="210"/>
        <v>11</v>
      </c>
      <c r="R526" s="53">
        <f ca="1" t="shared" si="211"/>
        <v>0.3</v>
      </c>
      <c r="S526" s="53">
        <f ca="1" t="shared" si="212"/>
        <v>0.3</v>
      </c>
      <c r="T526" s="62">
        <f ca="1" t="shared" si="213"/>
        <v>250</v>
      </c>
      <c r="U526" s="53">
        <f ca="1" t="shared" si="214"/>
        <v>0.65</v>
      </c>
      <c r="V526" s="48">
        <f ca="1" t="shared" si="215"/>
        <v>0.5</v>
      </c>
      <c r="W526" s="63">
        <f ca="1">F526/1000000*总规划!$G$105</f>
        <v>340.5</v>
      </c>
      <c r="X526" s="63">
        <f ca="1">G526/60/24*总规划!$G$106</f>
        <v>694.26</v>
      </c>
      <c r="Y526" s="64">
        <f ca="1" t="shared" si="216"/>
        <v>1905900</v>
      </c>
      <c r="Z526" s="15">
        <f ca="1" t="shared" si="217"/>
        <v>571770</v>
      </c>
      <c r="AA526" s="15">
        <f ca="1" t="shared" si="218"/>
        <v>1334130</v>
      </c>
    </row>
    <row r="527" spans="2:27">
      <c r="B527" s="11">
        <v>60</v>
      </c>
      <c r="C527" s="30"/>
      <c r="D527" s="30">
        <v>12</v>
      </c>
      <c r="E527" s="1">
        <f ca="1" t="shared" si="198"/>
        <v>26</v>
      </c>
      <c r="F527" s="61">
        <f ca="1" t="shared" si="199"/>
        <v>932400000</v>
      </c>
      <c r="G527" s="5">
        <f ca="1" t="shared" si="200"/>
        <v>722774.016</v>
      </c>
      <c r="H527" s="1">
        <f ca="1" t="shared" si="201"/>
        <v>279720000</v>
      </c>
      <c r="I527" s="1">
        <f ca="1" t="shared" si="202"/>
        <v>216832.2048</v>
      </c>
      <c r="J527" s="1">
        <f ca="1" t="shared" si="203"/>
        <v>652680000</v>
      </c>
      <c r="K527" s="1">
        <f ca="1" t="shared" si="204"/>
        <v>505941.8112</v>
      </c>
      <c r="L527" s="15">
        <f ca="1" t="shared" si="205"/>
        <v>14</v>
      </c>
      <c r="M527" s="15">
        <f ca="1" t="shared" si="206"/>
        <v>5</v>
      </c>
      <c r="N527" s="53">
        <f ca="1" t="shared" si="207"/>
        <v>0.95</v>
      </c>
      <c r="O527" s="53">
        <f ca="1" t="shared" si="208"/>
        <v>0.25</v>
      </c>
      <c r="P527" s="53">
        <f ca="1" t="shared" si="209"/>
        <v>0.2</v>
      </c>
      <c r="Q527" s="15">
        <f ca="1" t="shared" si="210"/>
        <v>12</v>
      </c>
      <c r="R527" s="53">
        <f ca="1" t="shared" si="211"/>
        <v>0.3</v>
      </c>
      <c r="S527" s="53">
        <f ca="1" t="shared" si="212"/>
        <v>0.3</v>
      </c>
      <c r="T527" s="62">
        <f ca="1" t="shared" si="213"/>
        <v>250</v>
      </c>
      <c r="U527" s="53">
        <f ca="1" t="shared" si="214"/>
        <v>0.65</v>
      </c>
      <c r="V527" s="48">
        <f ca="1" t="shared" si="215"/>
        <v>0.51</v>
      </c>
      <c r="W527" s="63">
        <f ca="1">F527/1000000*总规划!$G$105</f>
        <v>388.5</v>
      </c>
      <c r="X527" s="63">
        <f ca="1">G527/60/24*总规划!$G$106</f>
        <v>784.26</v>
      </c>
      <c r="Y527" s="64">
        <f ca="1" t="shared" si="216"/>
        <v>2154900</v>
      </c>
      <c r="Z527" s="15">
        <f ca="1" t="shared" si="217"/>
        <v>646470</v>
      </c>
      <c r="AA527" s="15">
        <f ca="1" t="shared" si="218"/>
        <v>1508430</v>
      </c>
    </row>
    <row r="528" spans="2:27">
      <c r="B528" s="11">
        <v>65</v>
      </c>
      <c r="C528" s="30"/>
      <c r="D528" s="30"/>
      <c r="E528" s="1">
        <f ca="1" t="shared" si="198"/>
        <v>26</v>
      </c>
      <c r="F528" s="61">
        <f ca="1" t="shared" si="199"/>
        <v>1028400000</v>
      </c>
      <c r="G528" s="5">
        <f ca="1" t="shared" si="200"/>
        <v>778070.016</v>
      </c>
      <c r="H528" s="1">
        <f ca="1" t="shared" si="201"/>
        <v>308520000</v>
      </c>
      <c r="I528" s="1">
        <f ca="1" t="shared" si="202"/>
        <v>233421.0048</v>
      </c>
      <c r="J528" s="1">
        <f ca="1" t="shared" si="203"/>
        <v>719880000</v>
      </c>
      <c r="K528" s="1">
        <f ca="1" t="shared" si="204"/>
        <v>544649.0112</v>
      </c>
      <c r="L528" s="15">
        <f ca="1" t="shared" si="205"/>
        <v>14</v>
      </c>
      <c r="M528" s="15">
        <f ca="1" t="shared" si="206"/>
        <v>5</v>
      </c>
      <c r="N528" s="53">
        <f ca="1" t="shared" si="207"/>
        <v>0.95</v>
      </c>
      <c r="O528" s="53">
        <f ca="1" t="shared" si="208"/>
        <v>0.25</v>
      </c>
      <c r="P528" s="53">
        <f ca="1" t="shared" si="209"/>
        <v>0.2</v>
      </c>
      <c r="Q528" s="15">
        <f ca="1" t="shared" si="210"/>
        <v>12</v>
      </c>
      <c r="R528" s="53">
        <f ca="1" t="shared" si="211"/>
        <v>0.3</v>
      </c>
      <c r="S528" s="53">
        <f ca="1" t="shared" si="212"/>
        <v>0.3</v>
      </c>
      <c r="T528" s="62">
        <f ca="1" t="shared" si="213"/>
        <v>250</v>
      </c>
      <c r="U528" s="53">
        <f ca="1" t="shared" si="214"/>
        <v>0.65</v>
      </c>
      <c r="V528" s="48">
        <f ca="1" t="shared" si="215"/>
        <v>0.51</v>
      </c>
      <c r="W528" s="63">
        <f ca="1">F528/1000000*总规划!$G$105</f>
        <v>428.5</v>
      </c>
      <c r="X528" s="63">
        <f ca="1">G528/60/24*总规划!$G$106</f>
        <v>844.26</v>
      </c>
      <c r="Y528" s="64">
        <f ca="1" t="shared" si="216"/>
        <v>2324900</v>
      </c>
      <c r="Z528" s="15">
        <f ca="1" t="shared" si="217"/>
        <v>697470</v>
      </c>
      <c r="AA528" s="15">
        <f ca="1" t="shared" si="218"/>
        <v>1627430</v>
      </c>
    </row>
    <row r="529" spans="2:27">
      <c r="B529" s="11">
        <v>70</v>
      </c>
      <c r="C529" s="30"/>
      <c r="D529" s="30"/>
      <c r="E529" s="1">
        <f ca="1" t="shared" si="198"/>
        <v>26</v>
      </c>
      <c r="F529" s="61">
        <f ca="1" t="shared" si="199"/>
        <v>1124400000</v>
      </c>
      <c r="G529" s="5">
        <f ca="1" t="shared" si="200"/>
        <v>833366.016</v>
      </c>
      <c r="H529" s="1">
        <f ca="1" t="shared" si="201"/>
        <v>337320000</v>
      </c>
      <c r="I529" s="1">
        <f ca="1" t="shared" si="202"/>
        <v>250009.8048</v>
      </c>
      <c r="J529" s="1">
        <f ca="1" t="shared" si="203"/>
        <v>787080000</v>
      </c>
      <c r="K529" s="1">
        <f ca="1" t="shared" si="204"/>
        <v>583356.2112</v>
      </c>
      <c r="L529" s="15">
        <f ca="1" t="shared" si="205"/>
        <v>14</v>
      </c>
      <c r="M529" s="15">
        <f ca="1" t="shared" si="206"/>
        <v>5</v>
      </c>
      <c r="N529" s="53">
        <f ca="1" t="shared" si="207"/>
        <v>0.95</v>
      </c>
      <c r="O529" s="53">
        <f ca="1" t="shared" si="208"/>
        <v>0.25</v>
      </c>
      <c r="P529" s="53">
        <f ca="1" t="shared" si="209"/>
        <v>0.2</v>
      </c>
      <c r="Q529" s="15">
        <f ca="1" t="shared" si="210"/>
        <v>12</v>
      </c>
      <c r="R529" s="53">
        <f ca="1" t="shared" si="211"/>
        <v>0.3</v>
      </c>
      <c r="S529" s="53">
        <f ca="1" t="shared" si="212"/>
        <v>0.3</v>
      </c>
      <c r="T529" s="62">
        <f ca="1" t="shared" si="213"/>
        <v>250</v>
      </c>
      <c r="U529" s="53">
        <f ca="1" t="shared" si="214"/>
        <v>0.65</v>
      </c>
      <c r="V529" s="48">
        <f ca="1" t="shared" si="215"/>
        <v>0.51</v>
      </c>
      <c r="W529" s="63">
        <f ca="1">F529/1000000*总规划!$G$105</f>
        <v>468.5</v>
      </c>
      <c r="X529" s="63">
        <f ca="1">G529/60/24*总规划!$G$106</f>
        <v>904.26</v>
      </c>
      <c r="Y529" s="64">
        <f ca="1" t="shared" si="216"/>
        <v>2494900</v>
      </c>
      <c r="Z529" s="15">
        <f ca="1" t="shared" si="217"/>
        <v>748470</v>
      </c>
      <c r="AA529" s="15">
        <f ca="1" t="shared" si="218"/>
        <v>1746430</v>
      </c>
    </row>
    <row r="530" spans="2:27">
      <c r="B530" s="11">
        <v>75</v>
      </c>
      <c r="C530" s="30"/>
      <c r="D530" s="30">
        <v>13</v>
      </c>
      <c r="E530" s="1">
        <f ca="1" t="shared" si="198"/>
        <v>26</v>
      </c>
      <c r="F530" s="61">
        <f ca="1" t="shared" si="199"/>
        <v>1220400000</v>
      </c>
      <c r="G530" s="5">
        <f ca="1" t="shared" si="200"/>
        <v>888662.016</v>
      </c>
      <c r="H530" s="1">
        <f ca="1" t="shared" si="201"/>
        <v>366120000</v>
      </c>
      <c r="I530" s="1">
        <f ca="1" t="shared" si="202"/>
        <v>266598.6048</v>
      </c>
      <c r="J530" s="1">
        <f ca="1" t="shared" si="203"/>
        <v>854280000</v>
      </c>
      <c r="K530" s="1">
        <f ca="1" t="shared" si="204"/>
        <v>622063.4112</v>
      </c>
      <c r="L530" s="15">
        <f ca="1" t="shared" si="205"/>
        <v>14</v>
      </c>
      <c r="M530" s="15">
        <f ca="1" t="shared" si="206"/>
        <v>5</v>
      </c>
      <c r="N530" s="53">
        <f ca="1" t="shared" si="207"/>
        <v>0.95</v>
      </c>
      <c r="O530" s="53">
        <f ca="1" t="shared" si="208"/>
        <v>0.25</v>
      </c>
      <c r="P530" s="53">
        <f ca="1" t="shared" si="209"/>
        <v>0.2</v>
      </c>
      <c r="Q530" s="15">
        <f ca="1" t="shared" si="210"/>
        <v>13</v>
      </c>
      <c r="R530" s="53">
        <f ca="1" t="shared" si="211"/>
        <v>0.3</v>
      </c>
      <c r="S530" s="53">
        <f ca="1" t="shared" si="212"/>
        <v>0.3</v>
      </c>
      <c r="T530" s="62">
        <f ca="1" t="shared" si="213"/>
        <v>250</v>
      </c>
      <c r="U530" s="53">
        <f ca="1" t="shared" si="214"/>
        <v>0.65</v>
      </c>
      <c r="V530" s="48">
        <f ca="1" t="shared" si="215"/>
        <v>0.51</v>
      </c>
      <c r="W530" s="63">
        <f ca="1">F530/1000000*总规划!$G$105</f>
        <v>508.5</v>
      </c>
      <c r="X530" s="63">
        <f ca="1">G530/60/24*总规划!$G$106</f>
        <v>964.26</v>
      </c>
      <c r="Y530" s="64">
        <f ca="1" t="shared" si="216"/>
        <v>2664900</v>
      </c>
      <c r="Z530" s="15">
        <f ca="1" t="shared" si="217"/>
        <v>799470</v>
      </c>
      <c r="AA530" s="15">
        <f ca="1" t="shared" si="218"/>
        <v>1865430</v>
      </c>
    </row>
    <row r="531" spans="2:27">
      <c r="B531" s="11">
        <v>80</v>
      </c>
      <c r="C531" s="30"/>
      <c r="D531" s="30"/>
      <c r="E531" s="1">
        <f ca="1" t="shared" si="198"/>
        <v>26</v>
      </c>
      <c r="F531" s="61">
        <f ca="1" t="shared" si="199"/>
        <v>1316400000</v>
      </c>
      <c r="G531" s="5">
        <f ca="1" t="shared" si="200"/>
        <v>943958.016</v>
      </c>
      <c r="H531" s="1">
        <f ca="1" t="shared" si="201"/>
        <v>394920000</v>
      </c>
      <c r="I531" s="1">
        <f ca="1" t="shared" si="202"/>
        <v>283187.4048</v>
      </c>
      <c r="J531" s="1">
        <f ca="1" t="shared" si="203"/>
        <v>921480000</v>
      </c>
      <c r="K531" s="1">
        <f ca="1" t="shared" si="204"/>
        <v>660770.6112</v>
      </c>
      <c r="L531" s="15">
        <f ca="1" t="shared" si="205"/>
        <v>14</v>
      </c>
      <c r="M531" s="15">
        <f ca="1" t="shared" si="206"/>
        <v>5</v>
      </c>
      <c r="N531" s="53">
        <f ca="1" t="shared" si="207"/>
        <v>0.95</v>
      </c>
      <c r="O531" s="53">
        <f ca="1" t="shared" si="208"/>
        <v>0.25</v>
      </c>
      <c r="P531" s="53">
        <f ca="1" t="shared" si="209"/>
        <v>0.2</v>
      </c>
      <c r="Q531" s="15">
        <f ca="1" t="shared" si="210"/>
        <v>13</v>
      </c>
      <c r="R531" s="53">
        <f ca="1" t="shared" si="211"/>
        <v>0.3</v>
      </c>
      <c r="S531" s="53">
        <f ca="1" t="shared" si="212"/>
        <v>0.3</v>
      </c>
      <c r="T531" s="62">
        <f ca="1" t="shared" si="213"/>
        <v>250</v>
      </c>
      <c r="U531" s="53">
        <f ca="1" t="shared" si="214"/>
        <v>0.65</v>
      </c>
      <c r="V531" s="48">
        <f ca="1" t="shared" si="215"/>
        <v>0.51</v>
      </c>
      <c r="W531" s="63">
        <f ca="1">F531/1000000*总规划!$G$105</f>
        <v>548.5</v>
      </c>
      <c r="X531" s="63">
        <f ca="1">G531/60/24*总规划!$G$106</f>
        <v>1024.26</v>
      </c>
      <c r="Y531" s="64">
        <f ca="1" t="shared" si="216"/>
        <v>2834900</v>
      </c>
      <c r="Z531" s="15">
        <f ca="1" t="shared" si="217"/>
        <v>850470</v>
      </c>
      <c r="AA531" s="15">
        <f ca="1" t="shared" si="218"/>
        <v>1984430</v>
      </c>
    </row>
    <row r="532" spans="2:27">
      <c r="B532" s="11">
        <v>85</v>
      </c>
      <c r="C532" s="30"/>
      <c r="D532" s="30"/>
      <c r="E532" s="1">
        <f ca="1" t="shared" si="198"/>
        <v>26</v>
      </c>
      <c r="F532" s="61">
        <f ca="1" t="shared" si="199"/>
        <v>1412400000</v>
      </c>
      <c r="G532" s="5">
        <f ca="1" t="shared" si="200"/>
        <v>999254.016</v>
      </c>
      <c r="H532" s="1">
        <f ca="1" t="shared" si="201"/>
        <v>423720000</v>
      </c>
      <c r="I532" s="1">
        <f ca="1" t="shared" si="202"/>
        <v>299776.2048</v>
      </c>
      <c r="J532" s="1">
        <f ca="1" t="shared" si="203"/>
        <v>988680000</v>
      </c>
      <c r="K532" s="1">
        <f ca="1" t="shared" si="204"/>
        <v>699477.8112</v>
      </c>
      <c r="L532" s="15">
        <f ca="1" t="shared" si="205"/>
        <v>14</v>
      </c>
      <c r="M532" s="15">
        <f ca="1" t="shared" si="206"/>
        <v>5</v>
      </c>
      <c r="N532" s="53">
        <f ca="1" t="shared" si="207"/>
        <v>0.95</v>
      </c>
      <c r="O532" s="53">
        <f ca="1" t="shared" si="208"/>
        <v>0.25</v>
      </c>
      <c r="P532" s="53">
        <f ca="1" t="shared" si="209"/>
        <v>0.2</v>
      </c>
      <c r="Q532" s="15">
        <f ca="1" t="shared" si="210"/>
        <v>13</v>
      </c>
      <c r="R532" s="53">
        <f ca="1" t="shared" si="211"/>
        <v>0.3</v>
      </c>
      <c r="S532" s="53">
        <f ca="1" t="shared" si="212"/>
        <v>0.3</v>
      </c>
      <c r="T532" s="62">
        <f ca="1" t="shared" si="213"/>
        <v>250</v>
      </c>
      <c r="U532" s="53">
        <f ca="1" t="shared" si="214"/>
        <v>0.65</v>
      </c>
      <c r="V532" s="48">
        <f ca="1" t="shared" si="215"/>
        <v>0.51</v>
      </c>
      <c r="W532" s="63">
        <f ca="1">F532/1000000*总规划!$G$105</f>
        <v>588.500000000001</v>
      </c>
      <c r="X532" s="63">
        <f ca="1">G532/60/24*总规划!$G$106</f>
        <v>1084.26</v>
      </c>
      <c r="Y532" s="64">
        <f ca="1" t="shared" si="216"/>
        <v>3004900</v>
      </c>
      <c r="Z532" s="15">
        <f ca="1" t="shared" si="217"/>
        <v>901470</v>
      </c>
      <c r="AA532" s="15">
        <f ca="1" t="shared" si="218"/>
        <v>2103430</v>
      </c>
    </row>
    <row r="533" spans="2:27">
      <c r="B533" s="11">
        <v>90</v>
      </c>
      <c r="C533" s="30"/>
      <c r="D533" s="30"/>
      <c r="E533" s="1">
        <f ca="1" t="shared" si="198"/>
        <v>27</v>
      </c>
      <c r="F533" s="61">
        <f ca="1" t="shared" si="199"/>
        <v>1508400000</v>
      </c>
      <c r="G533" s="5">
        <f ca="1" t="shared" si="200"/>
        <v>1054550.016</v>
      </c>
      <c r="H533" s="1">
        <f ca="1" t="shared" si="201"/>
        <v>452520000</v>
      </c>
      <c r="I533" s="1">
        <f ca="1" t="shared" si="202"/>
        <v>316365.0048</v>
      </c>
      <c r="J533" s="1">
        <f ca="1" t="shared" si="203"/>
        <v>1055880000</v>
      </c>
      <c r="K533" s="1">
        <f ca="1" t="shared" si="204"/>
        <v>738185.0112</v>
      </c>
      <c r="L533" s="15">
        <f ca="1" t="shared" si="205"/>
        <v>14</v>
      </c>
      <c r="M533" s="15">
        <f ca="1" t="shared" si="206"/>
        <v>5</v>
      </c>
      <c r="N533" s="53">
        <f ca="1" t="shared" si="207"/>
        <v>0.95</v>
      </c>
      <c r="O533" s="53">
        <f ca="1" t="shared" si="208"/>
        <v>0.25</v>
      </c>
      <c r="P533" s="53">
        <f ca="1" t="shared" si="209"/>
        <v>0.2</v>
      </c>
      <c r="Q533" s="15">
        <f ca="1" t="shared" si="210"/>
        <v>13</v>
      </c>
      <c r="R533" s="53">
        <f ca="1" t="shared" si="211"/>
        <v>0.3</v>
      </c>
      <c r="S533" s="53">
        <f ca="1" t="shared" si="212"/>
        <v>0.3</v>
      </c>
      <c r="T533" s="62">
        <f ca="1" t="shared" si="213"/>
        <v>250</v>
      </c>
      <c r="U533" s="53">
        <f ca="1" t="shared" si="214"/>
        <v>0.65</v>
      </c>
      <c r="V533" s="48">
        <f ca="1" t="shared" si="215"/>
        <v>0.675</v>
      </c>
      <c r="W533" s="63">
        <f ca="1">F533/1000000*总规划!$G$105</f>
        <v>628.500000000001</v>
      </c>
      <c r="X533" s="63">
        <f ca="1">G533/60/24*总规划!$G$106</f>
        <v>1144.26</v>
      </c>
      <c r="Y533" s="64">
        <f ca="1" t="shared" si="216"/>
        <v>3174900</v>
      </c>
      <c r="Z533" s="15">
        <f ca="1" t="shared" si="217"/>
        <v>952470</v>
      </c>
      <c r="AA533" s="15">
        <f ca="1" t="shared" si="218"/>
        <v>2222430</v>
      </c>
    </row>
    <row r="534" spans="2:27">
      <c r="B534" s="11">
        <v>95</v>
      </c>
      <c r="C534" s="30"/>
      <c r="D534" s="30"/>
      <c r="E534" s="1">
        <f ca="1" t="shared" si="198"/>
        <v>27</v>
      </c>
      <c r="F534" s="61">
        <f ca="1" t="shared" si="199"/>
        <v>1628400000</v>
      </c>
      <c r="G534" s="5">
        <f ca="1" t="shared" si="200"/>
        <v>1137494.016</v>
      </c>
      <c r="H534" s="1">
        <f ca="1" t="shared" si="201"/>
        <v>488520000</v>
      </c>
      <c r="I534" s="1">
        <f ca="1" t="shared" si="202"/>
        <v>341248.2048</v>
      </c>
      <c r="J534" s="1">
        <f ca="1" t="shared" si="203"/>
        <v>1139880000</v>
      </c>
      <c r="K534" s="1">
        <f ca="1" t="shared" si="204"/>
        <v>796245.8112</v>
      </c>
      <c r="L534" s="15">
        <f ca="1" t="shared" si="205"/>
        <v>14</v>
      </c>
      <c r="M534" s="15">
        <f ca="1" t="shared" si="206"/>
        <v>5</v>
      </c>
      <c r="N534" s="53">
        <f ca="1" t="shared" si="207"/>
        <v>0.95</v>
      </c>
      <c r="O534" s="53">
        <f ca="1" t="shared" si="208"/>
        <v>0.25</v>
      </c>
      <c r="P534" s="53">
        <f ca="1" t="shared" si="209"/>
        <v>0.2</v>
      </c>
      <c r="Q534" s="15">
        <f ca="1" t="shared" si="210"/>
        <v>13</v>
      </c>
      <c r="R534" s="53">
        <f ca="1" t="shared" si="211"/>
        <v>0.3</v>
      </c>
      <c r="S534" s="53">
        <f ca="1" t="shared" si="212"/>
        <v>0.3</v>
      </c>
      <c r="T534" s="62">
        <f ca="1" t="shared" si="213"/>
        <v>250</v>
      </c>
      <c r="U534" s="53">
        <f ca="1" t="shared" si="214"/>
        <v>0.65</v>
      </c>
      <c r="V534" s="48">
        <f ca="1" t="shared" si="215"/>
        <v>0.675</v>
      </c>
      <c r="W534" s="63">
        <f ca="1">F534/1000000*总规划!$G$105</f>
        <v>678.500000000001</v>
      </c>
      <c r="X534" s="63">
        <f ca="1">G534/60/24*总规划!$G$106</f>
        <v>1234.26</v>
      </c>
      <c r="Y534" s="64">
        <f ca="1" t="shared" si="216"/>
        <v>3424900</v>
      </c>
      <c r="Z534" s="15">
        <f ca="1" t="shared" si="217"/>
        <v>1027470</v>
      </c>
      <c r="AA534" s="15">
        <f ca="1" t="shared" si="218"/>
        <v>2397430</v>
      </c>
    </row>
    <row r="535" spans="2:27">
      <c r="B535" s="11">
        <v>100</v>
      </c>
      <c r="C535" s="30"/>
      <c r="D535" s="30"/>
      <c r="E535" s="1">
        <f ca="1" t="shared" si="198"/>
        <v>27</v>
      </c>
      <c r="F535" s="61">
        <f ca="1" t="shared" si="199"/>
        <v>1748400000</v>
      </c>
      <c r="G535" s="5">
        <f ca="1" t="shared" si="200"/>
        <v>1220438.016</v>
      </c>
      <c r="H535" s="1">
        <f ca="1" t="shared" si="201"/>
        <v>524520000</v>
      </c>
      <c r="I535" s="1">
        <f ca="1" t="shared" si="202"/>
        <v>366131.4048</v>
      </c>
      <c r="J535" s="1">
        <f ca="1" t="shared" si="203"/>
        <v>1223880000</v>
      </c>
      <c r="K535" s="1">
        <f ca="1" t="shared" si="204"/>
        <v>854306.6112</v>
      </c>
      <c r="L535" s="15">
        <f ca="1" t="shared" si="205"/>
        <v>14</v>
      </c>
      <c r="M535" s="15">
        <f ca="1" t="shared" si="206"/>
        <v>5</v>
      </c>
      <c r="N535" s="53">
        <f ca="1" t="shared" si="207"/>
        <v>0.95</v>
      </c>
      <c r="O535" s="53">
        <f ca="1" t="shared" si="208"/>
        <v>0.25</v>
      </c>
      <c r="P535" s="53">
        <f ca="1" t="shared" si="209"/>
        <v>0.2</v>
      </c>
      <c r="Q535" s="15">
        <f ca="1" t="shared" si="210"/>
        <v>13</v>
      </c>
      <c r="R535" s="53">
        <f ca="1" t="shared" si="211"/>
        <v>0.3</v>
      </c>
      <c r="S535" s="53">
        <f ca="1" t="shared" si="212"/>
        <v>0.3</v>
      </c>
      <c r="T535" s="62">
        <f ca="1" t="shared" si="213"/>
        <v>250</v>
      </c>
      <c r="U535" s="53">
        <f ca="1" t="shared" si="214"/>
        <v>0.65</v>
      </c>
      <c r="V535" s="48">
        <f ca="1" t="shared" si="215"/>
        <v>0.675</v>
      </c>
      <c r="W535" s="63">
        <f ca="1">F535/1000000*总规划!$G$105</f>
        <v>728.500000000001</v>
      </c>
      <c r="X535" s="63">
        <f ca="1">G535/60/24*总规划!$G$106</f>
        <v>1324.26</v>
      </c>
      <c r="Y535" s="64">
        <f ca="1" t="shared" si="216"/>
        <v>3674900</v>
      </c>
      <c r="Z535" s="15">
        <f ca="1" t="shared" si="217"/>
        <v>1102470</v>
      </c>
      <c r="AA535" s="15">
        <f ca="1" t="shared" si="218"/>
        <v>2572430</v>
      </c>
    </row>
    <row r="536" spans="2:27">
      <c r="B536" s="11">
        <v>105</v>
      </c>
      <c r="C536" s="30"/>
      <c r="D536" s="30"/>
      <c r="E536" s="1">
        <f ca="1" t="shared" si="198"/>
        <v>27</v>
      </c>
      <c r="F536" s="61">
        <f ca="1" t="shared" si="199"/>
        <v>1868400000</v>
      </c>
      <c r="G536" s="5">
        <f ca="1" t="shared" si="200"/>
        <v>1303382.016</v>
      </c>
      <c r="H536" s="1">
        <f ca="1" t="shared" si="201"/>
        <v>560520000</v>
      </c>
      <c r="I536" s="1">
        <f ca="1" t="shared" si="202"/>
        <v>391014.6048</v>
      </c>
      <c r="J536" s="1">
        <f ca="1" t="shared" si="203"/>
        <v>1307880000</v>
      </c>
      <c r="K536" s="1">
        <f ca="1" t="shared" si="204"/>
        <v>912367.4112</v>
      </c>
      <c r="L536" s="15">
        <f ca="1" t="shared" si="205"/>
        <v>14</v>
      </c>
      <c r="M536" s="15">
        <f ca="1" t="shared" si="206"/>
        <v>5</v>
      </c>
      <c r="N536" s="53">
        <f ca="1" t="shared" si="207"/>
        <v>0.95</v>
      </c>
      <c r="O536" s="53">
        <f ca="1" t="shared" si="208"/>
        <v>0.25</v>
      </c>
      <c r="P536" s="53">
        <f ca="1" t="shared" si="209"/>
        <v>0.2</v>
      </c>
      <c r="Q536" s="15">
        <f ca="1" t="shared" si="210"/>
        <v>13</v>
      </c>
      <c r="R536" s="53">
        <f ca="1" t="shared" si="211"/>
        <v>0.3</v>
      </c>
      <c r="S536" s="53">
        <f ca="1" t="shared" si="212"/>
        <v>0.3</v>
      </c>
      <c r="T536" s="62">
        <f ca="1" t="shared" si="213"/>
        <v>250</v>
      </c>
      <c r="U536" s="53">
        <f ca="1" t="shared" si="214"/>
        <v>0.65</v>
      </c>
      <c r="V536" s="48">
        <f ca="1" t="shared" si="215"/>
        <v>0.675</v>
      </c>
      <c r="W536" s="63">
        <f ca="1">F536/1000000*总规划!$G$105</f>
        <v>778.500000000001</v>
      </c>
      <c r="X536" s="63">
        <f ca="1">G536/60/24*总规划!$G$106</f>
        <v>1414.26</v>
      </c>
      <c r="Y536" s="64">
        <f ca="1" t="shared" si="216"/>
        <v>3924900</v>
      </c>
      <c r="Z536" s="15">
        <f ca="1" t="shared" si="217"/>
        <v>1177470</v>
      </c>
      <c r="AA536" s="15">
        <f ca="1" t="shared" si="218"/>
        <v>2747430</v>
      </c>
    </row>
    <row r="537" spans="2:27">
      <c r="B537" s="11">
        <v>110</v>
      </c>
      <c r="C537" s="30">
        <v>15</v>
      </c>
      <c r="D537" s="30"/>
      <c r="E537" s="1">
        <f ca="1" t="shared" si="198"/>
        <v>27</v>
      </c>
      <c r="F537" s="61">
        <f ca="1" t="shared" si="199"/>
        <v>1988400000</v>
      </c>
      <c r="G537" s="5">
        <f ca="1" t="shared" si="200"/>
        <v>1386326.016</v>
      </c>
      <c r="H537" s="1">
        <f ca="1" t="shared" si="201"/>
        <v>596520000</v>
      </c>
      <c r="I537" s="1">
        <f ca="1" t="shared" si="202"/>
        <v>415897.8048</v>
      </c>
      <c r="J537" s="1">
        <f ca="1" t="shared" si="203"/>
        <v>1391880000</v>
      </c>
      <c r="K537" s="1">
        <f ca="1" t="shared" si="204"/>
        <v>970428.2112</v>
      </c>
      <c r="L537" s="15">
        <f ca="1" t="shared" si="205"/>
        <v>15</v>
      </c>
      <c r="M537" s="15">
        <f ca="1" t="shared" si="206"/>
        <v>5</v>
      </c>
      <c r="N537" s="53">
        <f ca="1" t="shared" si="207"/>
        <v>0.95</v>
      </c>
      <c r="O537" s="53">
        <f ca="1" t="shared" si="208"/>
        <v>0.5</v>
      </c>
      <c r="P537" s="53">
        <f ca="1" t="shared" si="209"/>
        <v>0.45</v>
      </c>
      <c r="Q537" s="15">
        <f ca="1" t="shared" si="210"/>
        <v>13</v>
      </c>
      <c r="R537" s="53">
        <f ca="1" t="shared" si="211"/>
        <v>0.3</v>
      </c>
      <c r="S537" s="53">
        <f ca="1" t="shared" si="212"/>
        <v>0.3</v>
      </c>
      <c r="T537" s="62">
        <f ca="1" t="shared" si="213"/>
        <v>250</v>
      </c>
      <c r="U537" s="53">
        <f ca="1" t="shared" si="214"/>
        <v>0.65</v>
      </c>
      <c r="V537" s="48">
        <f ca="1" t="shared" si="215"/>
        <v>0.925</v>
      </c>
      <c r="W537" s="63">
        <f ca="1">F537/1000000*总规划!$G$105</f>
        <v>828.500000000001</v>
      </c>
      <c r="X537" s="63">
        <f ca="1">G537/60/24*总规划!$G$106</f>
        <v>1504.26</v>
      </c>
      <c r="Y537" s="64">
        <f ca="1" t="shared" si="216"/>
        <v>4174900</v>
      </c>
      <c r="Z537" s="15">
        <f ca="1" t="shared" si="217"/>
        <v>1252470</v>
      </c>
      <c r="AA537" s="15">
        <f ca="1" t="shared" si="218"/>
        <v>2922430</v>
      </c>
    </row>
    <row r="538" spans="2:27">
      <c r="B538" s="11">
        <v>115</v>
      </c>
      <c r="C538" s="30"/>
      <c r="D538" s="30"/>
      <c r="E538" s="1">
        <f ca="1" t="shared" si="198"/>
        <v>27</v>
      </c>
      <c r="F538" s="61">
        <f ca="1" t="shared" si="199"/>
        <v>2108400000</v>
      </c>
      <c r="G538" s="5">
        <f ca="1" t="shared" si="200"/>
        <v>1469270.016</v>
      </c>
      <c r="H538" s="1">
        <f ca="1" t="shared" si="201"/>
        <v>632520000</v>
      </c>
      <c r="I538" s="1">
        <f ca="1" t="shared" si="202"/>
        <v>440781.0048</v>
      </c>
      <c r="J538" s="1">
        <f ca="1" t="shared" si="203"/>
        <v>1475880000</v>
      </c>
      <c r="K538" s="1">
        <f ca="1" t="shared" si="204"/>
        <v>1028489.0112</v>
      </c>
      <c r="L538" s="15">
        <f ca="1" t="shared" si="205"/>
        <v>15</v>
      </c>
      <c r="M538" s="15">
        <f ca="1" t="shared" si="206"/>
        <v>5</v>
      </c>
      <c r="N538" s="53">
        <f ca="1" t="shared" si="207"/>
        <v>0.95</v>
      </c>
      <c r="O538" s="53">
        <f ca="1" t="shared" si="208"/>
        <v>0.5</v>
      </c>
      <c r="P538" s="53">
        <f ca="1" t="shared" si="209"/>
        <v>0.45</v>
      </c>
      <c r="Q538" s="15">
        <f ca="1" t="shared" si="210"/>
        <v>13</v>
      </c>
      <c r="R538" s="53">
        <f ca="1" t="shared" si="211"/>
        <v>0.3</v>
      </c>
      <c r="S538" s="53">
        <f ca="1" t="shared" si="212"/>
        <v>0.3</v>
      </c>
      <c r="T538" s="62">
        <f ca="1" t="shared" si="213"/>
        <v>250</v>
      </c>
      <c r="U538" s="53">
        <f ca="1" t="shared" si="214"/>
        <v>0.65</v>
      </c>
      <c r="V538" s="48">
        <f ca="1" t="shared" si="215"/>
        <v>0.925</v>
      </c>
      <c r="W538" s="63">
        <f ca="1">F538/1000000*总规划!$G$105</f>
        <v>878.500000000001</v>
      </c>
      <c r="X538" s="63">
        <f ca="1">G538/60/24*总规划!$G$106</f>
        <v>1594.26</v>
      </c>
      <c r="Y538" s="64">
        <f ca="1" t="shared" si="216"/>
        <v>4424900</v>
      </c>
      <c r="Z538" s="15">
        <f ca="1" t="shared" si="217"/>
        <v>1327470</v>
      </c>
      <c r="AA538" s="15">
        <f ca="1" t="shared" si="218"/>
        <v>3097430</v>
      </c>
    </row>
    <row r="539" spans="2:27">
      <c r="B539" s="11">
        <v>120</v>
      </c>
      <c r="C539" s="30"/>
      <c r="D539" s="30"/>
      <c r="E539" s="1">
        <f ca="1" t="shared" si="198"/>
        <v>28</v>
      </c>
      <c r="F539" s="61">
        <f ca="1" t="shared" si="199"/>
        <v>2228400000</v>
      </c>
      <c r="G539" s="5">
        <f ca="1" t="shared" si="200"/>
        <v>1552214.016</v>
      </c>
      <c r="H539" s="1">
        <f ca="1" t="shared" si="201"/>
        <v>668520000</v>
      </c>
      <c r="I539" s="1">
        <f ca="1" t="shared" si="202"/>
        <v>465664.2048</v>
      </c>
      <c r="J539" s="1">
        <f ca="1" t="shared" si="203"/>
        <v>1559880000</v>
      </c>
      <c r="K539" s="1">
        <f ca="1" t="shared" si="204"/>
        <v>1086549.8112</v>
      </c>
      <c r="L539" s="15">
        <f ca="1" t="shared" si="205"/>
        <v>15</v>
      </c>
      <c r="M539" s="15">
        <f ca="1" t="shared" si="206"/>
        <v>5</v>
      </c>
      <c r="N539" s="53">
        <f ca="1" t="shared" si="207"/>
        <v>0.95</v>
      </c>
      <c r="O539" s="53">
        <f ca="1" t="shared" si="208"/>
        <v>0.5</v>
      </c>
      <c r="P539" s="53">
        <f ca="1" t="shared" si="209"/>
        <v>0.45</v>
      </c>
      <c r="Q539" s="15">
        <f ca="1" t="shared" si="210"/>
        <v>13</v>
      </c>
      <c r="R539" s="53">
        <f ca="1" t="shared" si="211"/>
        <v>0.3</v>
      </c>
      <c r="S539" s="53">
        <f ca="1" t="shared" si="212"/>
        <v>0.3</v>
      </c>
      <c r="T539" s="62">
        <f ca="1" t="shared" si="213"/>
        <v>250</v>
      </c>
      <c r="U539" s="53">
        <f ca="1" t="shared" si="214"/>
        <v>0.65</v>
      </c>
      <c r="V539" s="48">
        <f ca="1" t="shared" si="215"/>
        <v>0.94</v>
      </c>
      <c r="W539" s="63">
        <f ca="1">F539/1000000*总规划!$G$105</f>
        <v>928.500000000001</v>
      </c>
      <c r="X539" s="63">
        <f ca="1">G539/60/24*总规划!$G$106</f>
        <v>1684.26</v>
      </c>
      <c r="Y539" s="64">
        <f ca="1" t="shared" si="216"/>
        <v>4674900</v>
      </c>
      <c r="Z539" s="15">
        <f ca="1" t="shared" si="217"/>
        <v>1402470</v>
      </c>
      <c r="AA539" s="15">
        <f ca="1" t="shared" si="218"/>
        <v>3272430</v>
      </c>
    </row>
    <row r="540" spans="2:27">
      <c r="B540" s="12">
        <v>150</v>
      </c>
      <c r="C540" s="30">
        <v>16</v>
      </c>
      <c r="D540" s="30">
        <v>14</v>
      </c>
      <c r="E540" s="1">
        <f ca="1" t="shared" ref="E540:E547" si="219">IF(C438="",INDIRECT(ADDRESS(ROW()-1,COLUMN())),C438)</f>
        <v>28</v>
      </c>
      <c r="F540" s="61">
        <f ca="1" t="shared" ref="F540:F547" si="220">E171</f>
        <v>2912400000</v>
      </c>
      <c r="G540" s="5">
        <f ca="1" t="shared" ref="G540:G547" si="221">G171</f>
        <v>1946198.016</v>
      </c>
      <c r="H540" s="1">
        <f ca="1" t="shared" si="201"/>
        <v>873720000</v>
      </c>
      <c r="I540" s="1">
        <f ca="1" t="shared" si="202"/>
        <v>583859.4048</v>
      </c>
      <c r="J540" s="1">
        <f ca="1" t="shared" ref="J540:J547" si="222">IF(B540&gt;$E$460,F540-$E$461,F540*$D$468)</f>
        <v>2038680000</v>
      </c>
      <c r="K540" s="1">
        <f ca="1" t="shared" ref="K540:K547" si="223">IF(B540&gt;$E$460,G540-$E$462,G540*$D$469)</f>
        <v>1362338.6112</v>
      </c>
      <c r="L540" s="15">
        <f ca="1" t="shared" ref="L540:L547" si="224">IF(C540="",INDIRECT(ADDRESS(ROW()-1,COLUMN())),C540)</f>
        <v>16</v>
      </c>
      <c r="M540" s="15">
        <f ca="1" t="shared" ref="M540:M547" si="225">OFFSET(P$599,MATCH($L540,$B$599:$B$615,0)-1,0)</f>
        <v>5</v>
      </c>
      <c r="N540" s="53">
        <f ca="1" t="shared" ref="N540:N547" si="226">OFFSET(Q$599,MATCH($L540,$B$599:$B$615,0)-1,0)</f>
        <v>1.25</v>
      </c>
      <c r="O540" s="53">
        <f ca="1" t="shared" ref="O540:O547" si="227">OFFSET(R$599,MATCH($L540,$B$599:$B$615,0)-1,0)</f>
        <v>0.5</v>
      </c>
      <c r="P540" s="53">
        <f ca="1" t="shared" ref="P540:P547" si="228">OFFSET(S$599,MATCH($L540,$B$599:$B$615,0)-1,0)</f>
        <v>0.45</v>
      </c>
      <c r="Q540" s="15">
        <f ca="1" t="shared" ref="Q540:Q547" si="229">IF(D540="",INDIRECT(ADDRESS(ROW()-1,COLUMN())),D540)</f>
        <v>14</v>
      </c>
      <c r="R540" s="53">
        <f ca="1" t="shared" ref="R540:R547" si="230">OFFSET(P$618,MATCH($Q540,$B$618:$B$636,0)-1,0)</f>
        <v>0.3</v>
      </c>
      <c r="S540" s="53">
        <f ca="1" t="shared" ref="S540:S547" si="231">OFFSET(Q$618,MATCH($Q540,$B$618:$B$636,0)-1,0)</f>
        <v>0.5</v>
      </c>
      <c r="T540" s="62">
        <f ca="1" t="shared" ref="T540:T547" si="232">OFFSET(R$618,MATCH($Q540,$B$618:$B$636,0)-1,0)</f>
        <v>250</v>
      </c>
      <c r="U540" s="53">
        <f ca="1" t="shared" ref="U540:U547" si="233">OFFSET(S$618,MATCH($Q540,$B$618:$B$636,0)-1,0)</f>
        <v>0.65</v>
      </c>
      <c r="V540" s="48">
        <f ca="1" t="shared" ref="V540:V547" si="234">M262</f>
        <v>0.99</v>
      </c>
      <c r="W540" s="63">
        <f ca="1">F540/1000000*总规划!$G$105</f>
        <v>1213.5</v>
      </c>
      <c r="X540" s="63">
        <f ca="1">G540/60/24*总规划!$G$106</f>
        <v>2111.76</v>
      </c>
      <c r="Y540" s="64">
        <f ca="1" t="shared" ref="Y540:Y547" si="235">W540*$E$182+X540*$E$183</f>
        <v>5886150</v>
      </c>
      <c r="Z540" s="15">
        <f ca="1" t="shared" ref="Z540" si="236">IF(B540&gt;$E$460,0,Y540*$C$471)</f>
        <v>1765845</v>
      </c>
      <c r="AA540" s="15">
        <f ca="1" t="shared" ref="AA540:AA547" si="237">IF(B540&gt;$E$460,Y540-$E$463,Y540*$D$471)</f>
        <v>4120305</v>
      </c>
    </row>
    <row r="541" spans="2:27">
      <c r="B541" s="12">
        <v>180</v>
      </c>
      <c r="C541" s="30"/>
      <c r="D541" s="30"/>
      <c r="E541" s="1">
        <f ca="1" t="shared" si="219"/>
        <v>29</v>
      </c>
      <c r="F541" s="61">
        <f ca="1" t="shared" si="220"/>
        <v>3596400000</v>
      </c>
      <c r="G541" s="5">
        <f ca="1" t="shared" si="221"/>
        <v>2340182.016</v>
      </c>
      <c r="H541" s="1">
        <f ca="1" t="shared" ref="H541:H547" si="238">IF(B541&gt;$E$460,0,F541*$C$468)</f>
        <v>0</v>
      </c>
      <c r="I541" s="1">
        <f ca="1" t="shared" ref="I541:I547" si="239">IF(B541&gt;$E$460,0,G541*$C$469)</f>
        <v>0</v>
      </c>
      <c r="J541" s="1">
        <f ca="1" t="shared" si="222"/>
        <v>2722680000</v>
      </c>
      <c r="K541" s="1">
        <f ca="1" t="shared" si="223"/>
        <v>1756322.6112</v>
      </c>
      <c r="L541" s="15">
        <f ca="1" t="shared" si="224"/>
        <v>16</v>
      </c>
      <c r="M541" s="15">
        <f ca="1" t="shared" si="225"/>
        <v>5</v>
      </c>
      <c r="N541" s="53">
        <f ca="1" t="shared" si="226"/>
        <v>1.25</v>
      </c>
      <c r="O541" s="53">
        <f ca="1" t="shared" si="227"/>
        <v>0.5</v>
      </c>
      <c r="P541" s="53">
        <f ca="1" t="shared" si="228"/>
        <v>0.45</v>
      </c>
      <c r="Q541" s="15">
        <f ca="1" t="shared" si="229"/>
        <v>14</v>
      </c>
      <c r="R541" s="53">
        <f ca="1" t="shared" si="230"/>
        <v>0.3</v>
      </c>
      <c r="S541" s="53">
        <f ca="1" t="shared" si="231"/>
        <v>0.5</v>
      </c>
      <c r="T541" s="62">
        <f ca="1" t="shared" si="232"/>
        <v>250</v>
      </c>
      <c r="U541" s="53">
        <f ca="1" t="shared" si="233"/>
        <v>0.65</v>
      </c>
      <c r="V541" s="48">
        <f ca="1" t="shared" si="234"/>
        <v>1.005</v>
      </c>
      <c r="W541" s="63">
        <f ca="1">F541/1000000*总规划!$G$105</f>
        <v>1498.5</v>
      </c>
      <c r="X541" s="63">
        <f ca="1">G541/60/24*总规划!$G$106</f>
        <v>2539.26</v>
      </c>
      <c r="Y541" s="64">
        <f ca="1" t="shared" si="235"/>
        <v>7097400</v>
      </c>
      <c r="Z541" s="15">
        <f ca="1" t="shared" ref="Z541:Z547" si="240">IF(B541&gt;$E$460,0,Y541*$C$471)</f>
        <v>0</v>
      </c>
      <c r="AA541" s="15">
        <f ca="1" t="shared" si="237"/>
        <v>5331555</v>
      </c>
    </row>
    <row r="542" spans="2:27">
      <c r="B542" s="12">
        <v>210</v>
      </c>
      <c r="C542" s="30"/>
      <c r="D542" s="30">
        <v>15</v>
      </c>
      <c r="E542" s="1">
        <f ca="1" t="shared" si="219"/>
        <v>29</v>
      </c>
      <c r="F542" s="61">
        <f ca="1" t="shared" si="220"/>
        <v>4287600000</v>
      </c>
      <c r="G542" s="5">
        <f ca="1" t="shared" si="221"/>
        <v>2742460.416</v>
      </c>
      <c r="H542" s="1">
        <f ca="1" t="shared" si="238"/>
        <v>0</v>
      </c>
      <c r="I542" s="1">
        <f ca="1" t="shared" si="239"/>
        <v>0</v>
      </c>
      <c r="J542" s="1">
        <f ca="1" t="shared" si="222"/>
        <v>3413880000</v>
      </c>
      <c r="K542" s="1">
        <f ca="1" t="shared" si="223"/>
        <v>2158601.0112</v>
      </c>
      <c r="L542" s="15">
        <f ca="1" t="shared" si="224"/>
        <v>16</v>
      </c>
      <c r="M542" s="15">
        <f ca="1" t="shared" si="225"/>
        <v>5</v>
      </c>
      <c r="N542" s="53">
        <f ca="1" t="shared" si="226"/>
        <v>1.25</v>
      </c>
      <c r="O542" s="53">
        <f ca="1" t="shared" si="227"/>
        <v>0.5</v>
      </c>
      <c r="P542" s="53">
        <f ca="1" t="shared" si="228"/>
        <v>0.45</v>
      </c>
      <c r="Q542" s="15">
        <f ca="1" t="shared" si="229"/>
        <v>15</v>
      </c>
      <c r="R542" s="53">
        <f ca="1" t="shared" si="230"/>
        <v>0.5</v>
      </c>
      <c r="S542" s="53">
        <f ca="1" t="shared" si="231"/>
        <v>0.5</v>
      </c>
      <c r="T542" s="62">
        <f ca="1" t="shared" si="232"/>
        <v>250</v>
      </c>
      <c r="U542" s="53">
        <f ca="1" t="shared" si="233"/>
        <v>0.65</v>
      </c>
      <c r="V542" s="48">
        <f ca="1" t="shared" si="234"/>
        <v>1.005</v>
      </c>
      <c r="W542" s="63">
        <f ca="1">F542/1000000*总规划!$G$105</f>
        <v>1786.5</v>
      </c>
      <c r="X542" s="63">
        <f ca="1">G542/60/24*总规划!$G$106</f>
        <v>2975.76</v>
      </c>
      <c r="Y542" s="64">
        <f ca="1" t="shared" si="235"/>
        <v>8332650</v>
      </c>
      <c r="Z542" s="15">
        <f ca="1" t="shared" si="240"/>
        <v>0</v>
      </c>
      <c r="AA542" s="15">
        <f ca="1" t="shared" si="237"/>
        <v>6566805</v>
      </c>
    </row>
    <row r="543" spans="2:27">
      <c r="B543" s="12">
        <v>240</v>
      </c>
      <c r="C543" s="30"/>
      <c r="D543" s="30">
        <v>16</v>
      </c>
      <c r="E543" s="1">
        <f ca="1" t="shared" si="219"/>
        <v>30</v>
      </c>
      <c r="F543" s="61">
        <f ca="1" t="shared" si="220"/>
        <v>4978800000</v>
      </c>
      <c r="G543" s="5">
        <f ca="1" t="shared" si="221"/>
        <v>3144738.816</v>
      </c>
      <c r="H543" s="1">
        <f ca="1" t="shared" si="238"/>
        <v>0</v>
      </c>
      <c r="I543" s="1">
        <f ca="1" t="shared" si="239"/>
        <v>0</v>
      </c>
      <c r="J543" s="1">
        <f ca="1" t="shared" si="222"/>
        <v>4105080000</v>
      </c>
      <c r="K543" s="1">
        <f ca="1" t="shared" si="223"/>
        <v>2560879.4112</v>
      </c>
      <c r="L543" s="15">
        <f ca="1" t="shared" si="224"/>
        <v>16</v>
      </c>
      <c r="M543" s="15">
        <f ca="1" t="shared" si="225"/>
        <v>5</v>
      </c>
      <c r="N543" s="53">
        <f ca="1" t="shared" si="226"/>
        <v>1.25</v>
      </c>
      <c r="O543" s="53">
        <f ca="1" t="shared" si="227"/>
        <v>0.5</v>
      </c>
      <c r="P543" s="53">
        <f ca="1" t="shared" si="228"/>
        <v>0.45</v>
      </c>
      <c r="Q543" s="15">
        <f ca="1" t="shared" si="229"/>
        <v>16</v>
      </c>
      <c r="R543" s="53">
        <f ca="1" t="shared" si="230"/>
        <v>0.5</v>
      </c>
      <c r="S543" s="53">
        <f ca="1" t="shared" si="231"/>
        <v>0.5</v>
      </c>
      <c r="T543" s="62">
        <f ca="1" t="shared" si="232"/>
        <v>500</v>
      </c>
      <c r="U543" s="53">
        <f ca="1" t="shared" si="233"/>
        <v>0.65</v>
      </c>
      <c r="V543" s="48">
        <f ca="1" t="shared" si="234"/>
        <v>1.02</v>
      </c>
      <c r="W543" s="63">
        <f ca="1">F543/1000000*总规划!$G$105</f>
        <v>2074.5</v>
      </c>
      <c r="X543" s="63">
        <f ca="1">G543/60/24*总规划!$G$106</f>
        <v>3412.26</v>
      </c>
      <c r="Y543" s="64">
        <f ca="1" t="shared" si="235"/>
        <v>9567900</v>
      </c>
      <c r="Z543" s="15">
        <f ca="1" t="shared" si="240"/>
        <v>0</v>
      </c>
      <c r="AA543" s="15">
        <f ca="1" t="shared" si="237"/>
        <v>7802055</v>
      </c>
    </row>
    <row r="544" spans="2:27">
      <c r="B544" s="12">
        <v>270</v>
      </c>
      <c r="C544" s="30"/>
      <c r="D544" s="30"/>
      <c r="E544" s="1">
        <f ca="1" t="shared" si="219"/>
        <v>30</v>
      </c>
      <c r="F544" s="61">
        <f ca="1" t="shared" si="220"/>
        <v>5684400000</v>
      </c>
      <c r="G544" s="5">
        <f ca="1" t="shared" si="221"/>
        <v>3555311.616</v>
      </c>
      <c r="H544" s="1">
        <f ca="1" t="shared" si="238"/>
        <v>0</v>
      </c>
      <c r="I544" s="1">
        <f ca="1" t="shared" si="239"/>
        <v>0</v>
      </c>
      <c r="J544" s="1">
        <f ca="1" t="shared" si="222"/>
        <v>4810680000</v>
      </c>
      <c r="K544" s="1">
        <f ca="1" t="shared" si="223"/>
        <v>2971452.2112</v>
      </c>
      <c r="L544" s="15">
        <f ca="1" t="shared" si="224"/>
        <v>16</v>
      </c>
      <c r="M544" s="15">
        <f ca="1" t="shared" si="225"/>
        <v>5</v>
      </c>
      <c r="N544" s="53">
        <f ca="1" t="shared" si="226"/>
        <v>1.25</v>
      </c>
      <c r="O544" s="53">
        <f ca="1" t="shared" si="227"/>
        <v>0.5</v>
      </c>
      <c r="P544" s="53">
        <f ca="1" t="shared" si="228"/>
        <v>0.45</v>
      </c>
      <c r="Q544" s="15">
        <f ca="1" t="shared" si="229"/>
        <v>16</v>
      </c>
      <c r="R544" s="53">
        <f ca="1" t="shared" si="230"/>
        <v>0.5</v>
      </c>
      <c r="S544" s="53">
        <f ca="1" t="shared" si="231"/>
        <v>0.5</v>
      </c>
      <c r="T544" s="62">
        <f ca="1" t="shared" si="232"/>
        <v>500</v>
      </c>
      <c r="U544" s="53">
        <f ca="1" t="shared" si="233"/>
        <v>0.65</v>
      </c>
      <c r="V544" s="48">
        <f ca="1" t="shared" si="234"/>
        <v>1.02</v>
      </c>
      <c r="W544" s="63">
        <f ca="1">F544/1000000*总规划!$G$105</f>
        <v>2368.5</v>
      </c>
      <c r="X544" s="63">
        <f ca="1">G544/60/24*总规划!$G$106</f>
        <v>3857.76</v>
      </c>
      <c r="Y544" s="64">
        <f ca="1" t="shared" si="235"/>
        <v>10828650</v>
      </c>
      <c r="Z544" s="15">
        <f ca="1" t="shared" si="240"/>
        <v>0</v>
      </c>
      <c r="AA544" s="15">
        <f ca="1" t="shared" si="237"/>
        <v>9062805</v>
      </c>
    </row>
    <row r="545" spans="2:27">
      <c r="B545" s="12">
        <v>300</v>
      </c>
      <c r="C545" s="30"/>
      <c r="D545" s="30"/>
      <c r="E545" s="1">
        <f ca="1" t="shared" si="219"/>
        <v>31</v>
      </c>
      <c r="F545" s="61">
        <f ca="1" t="shared" si="220"/>
        <v>6390000000</v>
      </c>
      <c r="G545" s="5">
        <f ca="1" t="shared" si="221"/>
        <v>3965884.416</v>
      </c>
      <c r="H545" s="1">
        <f ca="1" t="shared" si="238"/>
        <v>0</v>
      </c>
      <c r="I545" s="1">
        <f ca="1" t="shared" si="239"/>
        <v>0</v>
      </c>
      <c r="J545" s="1">
        <f ca="1" t="shared" si="222"/>
        <v>5516280000</v>
      </c>
      <c r="K545" s="1">
        <f ca="1" t="shared" si="223"/>
        <v>3382025.0112</v>
      </c>
      <c r="L545" s="15">
        <f ca="1" t="shared" si="224"/>
        <v>16</v>
      </c>
      <c r="M545" s="15">
        <f ca="1" t="shared" si="225"/>
        <v>5</v>
      </c>
      <c r="N545" s="53">
        <f ca="1" t="shared" si="226"/>
        <v>1.25</v>
      </c>
      <c r="O545" s="53">
        <f ca="1" t="shared" si="227"/>
        <v>0.5</v>
      </c>
      <c r="P545" s="53">
        <f ca="1" t="shared" si="228"/>
        <v>0.45</v>
      </c>
      <c r="Q545" s="15">
        <f ca="1" t="shared" si="229"/>
        <v>16</v>
      </c>
      <c r="R545" s="53">
        <f ca="1" t="shared" si="230"/>
        <v>0.5</v>
      </c>
      <c r="S545" s="53">
        <f ca="1" t="shared" si="231"/>
        <v>0.5</v>
      </c>
      <c r="T545" s="62">
        <f ca="1" t="shared" si="232"/>
        <v>500</v>
      </c>
      <c r="U545" s="53">
        <f ca="1" t="shared" si="233"/>
        <v>0.65</v>
      </c>
      <c r="V545" s="48">
        <f ca="1" t="shared" si="234"/>
        <v>1.05</v>
      </c>
      <c r="W545" s="63">
        <f ca="1">F545/1000000*总规划!$G$105</f>
        <v>2662.5</v>
      </c>
      <c r="X545" s="63">
        <f ca="1">G545/60/24*总规划!$G$106</f>
        <v>4303.26</v>
      </c>
      <c r="Y545" s="64">
        <f ca="1" t="shared" si="235"/>
        <v>12089400</v>
      </c>
      <c r="Z545" s="15">
        <f ca="1" t="shared" si="240"/>
        <v>0</v>
      </c>
      <c r="AA545" s="15">
        <f ca="1" t="shared" si="237"/>
        <v>10323555</v>
      </c>
    </row>
    <row r="546" spans="2:27">
      <c r="B546" s="12">
        <v>330</v>
      </c>
      <c r="C546" s="30"/>
      <c r="D546" s="30">
        <v>17</v>
      </c>
      <c r="E546" s="1">
        <f ca="1" t="shared" si="219"/>
        <v>31</v>
      </c>
      <c r="F546" s="61">
        <f ca="1" t="shared" si="220"/>
        <v>7110000000</v>
      </c>
      <c r="G546" s="5">
        <f ca="1" t="shared" si="221"/>
        <v>4380604.416</v>
      </c>
      <c r="H546" s="1">
        <f ca="1" t="shared" si="238"/>
        <v>0</v>
      </c>
      <c r="I546" s="1">
        <f ca="1" t="shared" si="239"/>
        <v>0</v>
      </c>
      <c r="J546" s="1">
        <f ca="1" t="shared" si="222"/>
        <v>6236280000</v>
      </c>
      <c r="K546" s="1">
        <f ca="1" t="shared" si="223"/>
        <v>3796745.0112</v>
      </c>
      <c r="L546" s="15">
        <f ca="1" t="shared" si="224"/>
        <v>16</v>
      </c>
      <c r="M546" s="15">
        <f ca="1" t="shared" si="225"/>
        <v>5</v>
      </c>
      <c r="N546" s="53">
        <f ca="1" t="shared" si="226"/>
        <v>1.25</v>
      </c>
      <c r="O546" s="53">
        <f ca="1" t="shared" si="227"/>
        <v>0.5</v>
      </c>
      <c r="P546" s="53">
        <f ca="1" t="shared" si="228"/>
        <v>0.45</v>
      </c>
      <c r="Q546" s="15">
        <f ca="1" t="shared" si="229"/>
        <v>17</v>
      </c>
      <c r="R546" s="53">
        <f ca="1" t="shared" si="230"/>
        <v>0.75</v>
      </c>
      <c r="S546" s="53">
        <f ca="1" t="shared" si="231"/>
        <v>0.75</v>
      </c>
      <c r="T546" s="62">
        <f ca="1" t="shared" si="232"/>
        <v>500</v>
      </c>
      <c r="U546" s="53">
        <f ca="1" t="shared" si="233"/>
        <v>0.65</v>
      </c>
      <c r="V546" s="48">
        <f ca="1" t="shared" si="234"/>
        <v>1.05</v>
      </c>
      <c r="W546" s="63">
        <f ca="1">F546/1000000*总规划!$G$105</f>
        <v>2962.5</v>
      </c>
      <c r="X546" s="63">
        <f ca="1">G546/60/24*总规划!$G$106</f>
        <v>4753.26</v>
      </c>
      <c r="Y546" s="64">
        <f ca="1" t="shared" si="235"/>
        <v>13364400</v>
      </c>
      <c r="Z546" s="15">
        <f ca="1" t="shared" si="240"/>
        <v>0</v>
      </c>
      <c r="AA546" s="15">
        <f ca="1" t="shared" si="237"/>
        <v>11598555</v>
      </c>
    </row>
    <row r="547" spans="2:27">
      <c r="B547" s="12">
        <v>360</v>
      </c>
      <c r="C547" s="30"/>
      <c r="D547" s="30">
        <v>18</v>
      </c>
      <c r="E547" s="1">
        <f ca="1" t="shared" si="219"/>
        <v>32</v>
      </c>
      <c r="F547" s="61">
        <f ca="1" t="shared" si="220"/>
        <v>7830000000</v>
      </c>
      <c r="G547" s="5">
        <f ca="1" t="shared" si="221"/>
        <v>4795324.416</v>
      </c>
      <c r="H547" s="1">
        <f ca="1" t="shared" si="238"/>
        <v>0</v>
      </c>
      <c r="I547" s="1">
        <f ca="1" t="shared" si="239"/>
        <v>0</v>
      </c>
      <c r="J547" s="1">
        <f ca="1" t="shared" si="222"/>
        <v>6956280000</v>
      </c>
      <c r="K547" s="1">
        <f ca="1" t="shared" si="223"/>
        <v>4211465.0112</v>
      </c>
      <c r="L547" s="15">
        <f ca="1" t="shared" si="224"/>
        <v>16</v>
      </c>
      <c r="M547" s="15">
        <f ca="1" t="shared" si="225"/>
        <v>5</v>
      </c>
      <c r="N547" s="53">
        <f ca="1" t="shared" si="226"/>
        <v>1.25</v>
      </c>
      <c r="O547" s="53">
        <f ca="1" t="shared" si="227"/>
        <v>0.5</v>
      </c>
      <c r="P547" s="53">
        <f ca="1" t="shared" si="228"/>
        <v>0.45</v>
      </c>
      <c r="Q547" s="15">
        <f ca="1" t="shared" si="229"/>
        <v>18</v>
      </c>
      <c r="R547" s="53">
        <f ca="1" t="shared" si="230"/>
        <v>0.75</v>
      </c>
      <c r="S547" s="53">
        <f ca="1" t="shared" si="231"/>
        <v>0.75</v>
      </c>
      <c r="T547" s="62">
        <f ca="1" t="shared" si="232"/>
        <v>500</v>
      </c>
      <c r="U547" s="53">
        <f ca="1" t="shared" si="233"/>
        <v>0.65</v>
      </c>
      <c r="V547" s="48">
        <f ca="1" t="shared" si="234"/>
        <v>1.15</v>
      </c>
      <c r="W547" s="63">
        <f ca="1">F547/1000000*总规划!$G$105</f>
        <v>3262.5</v>
      </c>
      <c r="X547" s="63">
        <f ca="1">G547/60/24*总规划!$G$106</f>
        <v>5203.26</v>
      </c>
      <c r="Y547" s="64">
        <f ca="1" t="shared" si="235"/>
        <v>14639400</v>
      </c>
      <c r="Z547" s="15">
        <f ca="1" t="shared" si="240"/>
        <v>0</v>
      </c>
      <c r="AA547" s="15">
        <f ca="1" t="shared" si="237"/>
        <v>12873555</v>
      </c>
    </row>
    <row r="549" spans="2:12">
      <c r="B549" s="27" t="s">
        <v>878</v>
      </c>
      <c r="C549" s="27"/>
      <c r="D549" s="27"/>
      <c r="E549" s="27"/>
      <c r="F549" s="27"/>
      <c r="G549" s="27"/>
      <c r="H549" s="27"/>
      <c r="I549" s="27"/>
      <c r="J549" s="27"/>
      <c r="K549" s="27"/>
      <c r="L549" s="27"/>
    </row>
    <row r="551" spans="2:12">
      <c r="B551" s="1" t="s">
        <v>879</v>
      </c>
      <c r="C551" s="1" t="s">
        <v>452</v>
      </c>
      <c r="D551" s="1" t="s">
        <v>880</v>
      </c>
      <c r="E551" s="1" t="s">
        <v>881</v>
      </c>
      <c r="F551" s="1" t="s">
        <v>882</v>
      </c>
      <c r="H551" s="1" t="s">
        <v>879</v>
      </c>
      <c r="I551" s="1" t="s">
        <v>855</v>
      </c>
      <c r="J551" s="1" t="s">
        <v>880</v>
      </c>
      <c r="K551" s="1" t="s">
        <v>881</v>
      </c>
      <c r="L551" s="1" t="s">
        <v>882</v>
      </c>
    </row>
    <row r="552" spans="2:12">
      <c r="B552" s="1">
        <f>10000+D552*100+E552</f>
        <v>10102</v>
      </c>
      <c r="C552" s="1" t="s">
        <v>883</v>
      </c>
      <c r="D552" s="1">
        <v>1</v>
      </c>
      <c r="E552" s="1">
        <v>2</v>
      </c>
      <c r="F552" s="1">
        <v>1</v>
      </c>
      <c r="H552" s="1">
        <f>20000+J552*100+K552</f>
        <v>20102</v>
      </c>
      <c r="I552" s="1" t="s">
        <v>813</v>
      </c>
      <c r="J552" s="1">
        <v>1</v>
      </c>
      <c r="K552" s="1">
        <v>2</v>
      </c>
      <c r="L552" s="1">
        <v>1</v>
      </c>
    </row>
    <row r="553" spans="2:12">
      <c r="B553" s="1">
        <f t="shared" ref="B553:B580" si="241">10000+D553*100+E553</f>
        <v>10201</v>
      </c>
      <c r="C553" s="1" t="s">
        <v>884</v>
      </c>
      <c r="D553" s="1">
        <v>2</v>
      </c>
      <c r="E553" s="1">
        <v>1</v>
      </c>
      <c r="F553" s="1">
        <v>5</v>
      </c>
      <c r="H553" s="1">
        <f t="shared" ref="H553:H594" si="242">20000+J553*100+K553</f>
        <v>20201</v>
      </c>
      <c r="I553" s="1" t="s">
        <v>885</v>
      </c>
      <c r="J553" s="1">
        <v>2</v>
      </c>
      <c r="K553" s="1">
        <v>1</v>
      </c>
      <c r="L553" s="1">
        <v>5</v>
      </c>
    </row>
    <row r="554" spans="2:12">
      <c r="B554" s="1">
        <f t="shared" si="241"/>
        <v>10203</v>
      </c>
      <c r="C554" s="1" t="s">
        <v>886</v>
      </c>
      <c r="D554" s="1">
        <v>2</v>
      </c>
      <c r="E554" s="1">
        <v>3</v>
      </c>
      <c r="F554" s="1">
        <v>5</v>
      </c>
      <c r="H554" s="1">
        <f t="shared" si="242"/>
        <v>20202</v>
      </c>
      <c r="I554" s="1" t="s">
        <v>887</v>
      </c>
      <c r="J554" s="1">
        <v>2</v>
      </c>
      <c r="K554" s="1">
        <v>2</v>
      </c>
      <c r="L554" s="1">
        <v>5</v>
      </c>
    </row>
    <row r="555" spans="2:12">
      <c r="B555" s="1">
        <f t="shared" si="241"/>
        <v>10301</v>
      </c>
      <c r="C555" s="1" t="s">
        <v>888</v>
      </c>
      <c r="D555" s="1">
        <v>3</v>
      </c>
      <c r="E555" s="1">
        <v>1</v>
      </c>
      <c r="F555" s="1">
        <v>1</v>
      </c>
      <c r="H555" s="1">
        <f t="shared" si="242"/>
        <v>20203</v>
      </c>
      <c r="I555" s="1" t="s">
        <v>889</v>
      </c>
      <c r="J555" s="1">
        <v>2</v>
      </c>
      <c r="K555" s="1">
        <v>3</v>
      </c>
      <c r="L555" s="1">
        <v>5</v>
      </c>
    </row>
    <row r="556" spans="2:12">
      <c r="B556" s="1">
        <f t="shared" si="241"/>
        <v>10303</v>
      </c>
      <c r="C556" s="1" t="s">
        <v>890</v>
      </c>
      <c r="D556" s="1">
        <v>3</v>
      </c>
      <c r="E556" s="1">
        <v>3</v>
      </c>
      <c r="F556" s="1">
        <v>1</v>
      </c>
      <c r="H556" s="1">
        <f t="shared" si="242"/>
        <v>20301</v>
      </c>
      <c r="I556" s="1" t="s">
        <v>891</v>
      </c>
      <c r="J556" s="1">
        <v>3</v>
      </c>
      <c r="K556" s="1">
        <v>1</v>
      </c>
      <c r="L556" s="1">
        <v>1</v>
      </c>
    </row>
    <row r="557" spans="2:12">
      <c r="B557" s="1">
        <f t="shared" si="241"/>
        <v>10402</v>
      </c>
      <c r="C557" s="1" t="s">
        <v>892</v>
      </c>
      <c r="D557" s="1">
        <v>4</v>
      </c>
      <c r="E557" s="1">
        <v>2</v>
      </c>
      <c r="F557" s="1">
        <v>5</v>
      </c>
      <c r="H557" s="1">
        <f t="shared" si="242"/>
        <v>20302</v>
      </c>
      <c r="I557" s="1" t="s">
        <v>893</v>
      </c>
      <c r="J557" s="1">
        <v>3</v>
      </c>
      <c r="K557" s="1">
        <v>2</v>
      </c>
      <c r="L557" s="1">
        <v>1</v>
      </c>
    </row>
    <row r="558" spans="2:12">
      <c r="B558" s="1">
        <f t="shared" si="241"/>
        <v>10501</v>
      </c>
      <c r="C558" s="1" t="s">
        <v>894</v>
      </c>
      <c r="D558" s="1">
        <v>5</v>
      </c>
      <c r="E558" s="1">
        <v>1</v>
      </c>
      <c r="F558" s="1">
        <v>5</v>
      </c>
      <c r="H558" s="1">
        <f t="shared" si="242"/>
        <v>20303</v>
      </c>
      <c r="I558" s="1" t="s">
        <v>895</v>
      </c>
      <c r="J558" s="1">
        <v>3</v>
      </c>
      <c r="K558" s="1">
        <v>3</v>
      </c>
      <c r="L558" s="1">
        <v>1</v>
      </c>
    </row>
    <row r="559" spans="2:12">
      <c r="B559" s="1">
        <f t="shared" si="241"/>
        <v>10502</v>
      </c>
      <c r="C559" s="1" t="s">
        <v>896</v>
      </c>
      <c r="D559" s="1">
        <v>5</v>
      </c>
      <c r="E559" s="1">
        <v>2</v>
      </c>
      <c r="F559" s="1">
        <v>5</v>
      </c>
      <c r="H559" s="1">
        <f t="shared" si="242"/>
        <v>20401</v>
      </c>
      <c r="I559" s="1" t="s">
        <v>897</v>
      </c>
      <c r="J559" s="1">
        <v>4</v>
      </c>
      <c r="K559" s="1">
        <v>1</v>
      </c>
      <c r="L559" s="1">
        <v>5</v>
      </c>
    </row>
    <row r="560" spans="2:12">
      <c r="B560" s="1">
        <f t="shared" si="241"/>
        <v>10503</v>
      </c>
      <c r="C560" s="1" t="s">
        <v>898</v>
      </c>
      <c r="D560" s="1">
        <v>5</v>
      </c>
      <c r="E560" s="1">
        <v>3</v>
      </c>
      <c r="F560" s="1">
        <v>5</v>
      </c>
      <c r="H560" s="1">
        <f t="shared" si="242"/>
        <v>20402</v>
      </c>
      <c r="I560" s="1" t="s">
        <v>899</v>
      </c>
      <c r="J560" s="1">
        <v>4</v>
      </c>
      <c r="K560" s="1">
        <v>2</v>
      </c>
      <c r="L560" s="1">
        <v>5</v>
      </c>
    </row>
    <row r="561" spans="2:12">
      <c r="B561" s="1">
        <f t="shared" si="241"/>
        <v>10602</v>
      </c>
      <c r="C561" s="1" t="s">
        <v>900</v>
      </c>
      <c r="D561" s="1">
        <v>6</v>
      </c>
      <c r="E561" s="1">
        <v>2</v>
      </c>
      <c r="F561" s="1">
        <v>5</v>
      </c>
      <c r="H561" s="1">
        <f t="shared" si="242"/>
        <v>20403</v>
      </c>
      <c r="I561" s="1" t="s">
        <v>901</v>
      </c>
      <c r="J561" s="1">
        <v>4</v>
      </c>
      <c r="K561" s="1">
        <v>3</v>
      </c>
      <c r="L561" s="1">
        <v>5</v>
      </c>
    </row>
    <row r="562" spans="2:12">
      <c r="B562" s="1">
        <f t="shared" si="241"/>
        <v>10701</v>
      </c>
      <c r="C562" s="1" t="s">
        <v>888</v>
      </c>
      <c r="D562" s="1">
        <v>7</v>
      </c>
      <c r="E562" s="1">
        <v>1</v>
      </c>
      <c r="F562" s="1">
        <v>1</v>
      </c>
      <c r="H562" s="1">
        <f t="shared" si="242"/>
        <v>20502</v>
      </c>
      <c r="I562" s="1" t="s">
        <v>814</v>
      </c>
      <c r="J562" s="1">
        <v>5</v>
      </c>
      <c r="K562" s="1">
        <v>2</v>
      </c>
      <c r="L562" s="1">
        <v>5</v>
      </c>
    </row>
    <row r="563" spans="2:12">
      <c r="B563" s="1">
        <f t="shared" si="241"/>
        <v>10703</v>
      </c>
      <c r="C563" s="1" t="s">
        <v>902</v>
      </c>
      <c r="D563" s="1">
        <v>7</v>
      </c>
      <c r="E563" s="1">
        <v>3</v>
      </c>
      <c r="F563" s="1">
        <v>1</v>
      </c>
      <c r="H563" s="1">
        <f t="shared" si="242"/>
        <v>20601</v>
      </c>
      <c r="I563" s="1" t="s">
        <v>903</v>
      </c>
      <c r="J563" s="1">
        <v>6</v>
      </c>
      <c r="K563" s="1">
        <v>1</v>
      </c>
      <c r="L563" s="1">
        <v>1</v>
      </c>
    </row>
    <row r="564" spans="2:12">
      <c r="B564" s="1">
        <f t="shared" si="241"/>
        <v>10801</v>
      </c>
      <c r="C564" s="1" t="s">
        <v>894</v>
      </c>
      <c r="D564" s="1">
        <v>8</v>
      </c>
      <c r="E564" s="1">
        <v>1</v>
      </c>
      <c r="F564" s="1">
        <v>5</v>
      </c>
      <c r="H564" s="1">
        <f t="shared" si="242"/>
        <v>20602</v>
      </c>
      <c r="I564" s="1" t="s">
        <v>904</v>
      </c>
      <c r="J564" s="1">
        <v>6</v>
      </c>
      <c r="K564" s="1">
        <v>2</v>
      </c>
      <c r="L564" s="1">
        <v>1</v>
      </c>
    </row>
    <row r="565" spans="2:12">
      <c r="B565" s="1">
        <f t="shared" si="241"/>
        <v>10802</v>
      </c>
      <c r="C565" s="1" t="s">
        <v>896</v>
      </c>
      <c r="D565" s="1">
        <v>8</v>
      </c>
      <c r="E565" s="1">
        <v>2</v>
      </c>
      <c r="F565" s="1">
        <v>5</v>
      </c>
      <c r="H565" s="1">
        <f t="shared" si="242"/>
        <v>20603</v>
      </c>
      <c r="I565" s="1" t="s">
        <v>905</v>
      </c>
      <c r="J565" s="1">
        <v>6</v>
      </c>
      <c r="K565" s="1">
        <v>3</v>
      </c>
      <c r="L565" s="1">
        <v>1</v>
      </c>
    </row>
    <row r="566" spans="2:12">
      <c r="B566" s="1">
        <f t="shared" si="241"/>
        <v>10803</v>
      </c>
      <c r="C566" s="1" t="s">
        <v>898</v>
      </c>
      <c r="D566" s="1">
        <v>8</v>
      </c>
      <c r="E566" s="1">
        <v>3</v>
      </c>
      <c r="F566" s="1">
        <v>5</v>
      </c>
      <c r="H566" s="1">
        <f t="shared" si="242"/>
        <v>20701</v>
      </c>
      <c r="I566" s="1" t="s">
        <v>906</v>
      </c>
      <c r="J566" s="1">
        <v>7</v>
      </c>
      <c r="K566" s="1">
        <v>1</v>
      </c>
      <c r="L566" s="1">
        <v>5</v>
      </c>
    </row>
    <row r="567" spans="2:12">
      <c r="B567" s="1">
        <f t="shared" si="241"/>
        <v>10902</v>
      </c>
      <c r="C567" s="1" t="s">
        <v>892</v>
      </c>
      <c r="D567" s="1">
        <v>9</v>
      </c>
      <c r="E567" s="1">
        <v>2</v>
      </c>
      <c r="F567" s="1">
        <v>5</v>
      </c>
      <c r="H567" s="1">
        <f t="shared" si="242"/>
        <v>20702</v>
      </c>
      <c r="I567" s="1" t="s">
        <v>907</v>
      </c>
      <c r="J567" s="1">
        <v>7</v>
      </c>
      <c r="K567" s="1">
        <v>2</v>
      </c>
      <c r="L567" s="1">
        <v>5</v>
      </c>
    </row>
    <row r="568" spans="2:12">
      <c r="B568" s="1">
        <f t="shared" si="241"/>
        <v>11001</v>
      </c>
      <c r="C568" s="1" t="s">
        <v>888</v>
      </c>
      <c r="D568" s="1">
        <v>10</v>
      </c>
      <c r="E568" s="1">
        <v>1</v>
      </c>
      <c r="F568" s="1">
        <v>1</v>
      </c>
      <c r="H568" s="1">
        <f t="shared" si="242"/>
        <v>20703</v>
      </c>
      <c r="I568" s="1" t="s">
        <v>908</v>
      </c>
      <c r="J568" s="1">
        <v>7</v>
      </c>
      <c r="K568" s="1">
        <v>3</v>
      </c>
      <c r="L568" s="1">
        <v>5</v>
      </c>
    </row>
    <row r="569" spans="2:12">
      <c r="B569" s="1">
        <f t="shared" si="241"/>
        <v>11003</v>
      </c>
      <c r="C569" s="1" t="s">
        <v>909</v>
      </c>
      <c r="D569" s="1">
        <v>10</v>
      </c>
      <c r="E569" s="1">
        <v>3</v>
      </c>
      <c r="F569" s="1">
        <v>1</v>
      </c>
      <c r="H569" s="1">
        <f t="shared" si="242"/>
        <v>20802</v>
      </c>
      <c r="I569" s="1" t="s">
        <v>813</v>
      </c>
      <c r="J569" s="1">
        <v>8</v>
      </c>
      <c r="K569" s="1">
        <v>2</v>
      </c>
      <c r="L569" s="1">
        <v>10</v>
      </c>
    </row>
    <row r="570" spans="2:12">
      <c r="B570" s="1">
        <f t="shared" si="241"/>
        <v>11101</v>
      </c>
      <c r="C570" s="1" t="s">
        <v>900</v>
      </c>
      <c r="D570" s="1">
        <v>11</v>
      </c>
      <c r="E570" s="1">
        <v>1</v>
      </c>
      <c r="F570" s="1">
        <v>10</v>
      </c>
      <c r="H570" s="1">
        <f t="shared" si="242"/>
        <v>20901</v>
      </c>
      <c r="I570" s="1" t="s">
        <v>910</v>
      </c>
      <c r="J570" s="1">
        <v>9</v>
      </c>
      <c r="K570" s="1">
        <v>1</v>
      </c>
      <c r="L570" s="1">
        <v>1</v>
      </c>
    </row>
    <row r="571" spans="2:12">
      <c r="B571" s="1">
        <f t="shared" si="241"/>
        <v>11103</v>
      </c>
      <c r="C571" s="1" t="s">
        <v>911</v>
      </c>
      <c r="D571" s="1">
        <v>11</v>
      </c>
      <c r="E571" s="1">
        <v>3</v>
      </c>
      <c r="F571" s="1">
        <v>10</v>
      </c>
      <c r="H571" s="1">
        <f t="shared" si="242"/>
        <v>20902</v>
      </c>
      <c r="I571" s="1" t="s">
        <v>912</v>
      </c>
      <c r="J571" s="1">
        <v>9</v>
      </c>
      <c r="K571" s="1">
        <v>2</v>
      </c>
      <c r="L571" s="1">
        <v>1</v>
      </c>
    </row>
    <row r="572" spans="2:12">
      <c r="B572" s="1">
        <f t="shared" si="241"/>
        <v>11202</v>
      </c>
      <c r="C572" s="1" t="s">
        <v>892</v>
      </c>
      <c r="D572" s="1">
        <v>12</v>
      </c>
      <c r="E572" s="1">
        <v>2</v>
      </c>
      <c r="F572" s="1">
        <v>10</v>
      </c>
      <c r="H572" s="1">
        <f t="shared" si="242"/>
        <v>20903</v>
      </c>
      <c r="I572" s="1" t="s">
        <v>913</v>
      </c>
      <c r="J572" s="1">
        <v>9</v>
      </c>
      <c r="K572" s="1">
        <v>3</v>
      </c>
      <c r="L572" s="1">
        <v>1</v>
      </c>
    </row>
    <row r="573" spans="2:12">
      <c r="B573" s="1">
        <f t="shared" si="241"/>
        <v>11301</v>
      </c>
      <c r="C573" s="1" t="s">
        <v>888</v>
      </c>
      <c r="D573" s="1">
        <v>13</v>
      </c>
      <c r="E573" s="1">
        <v>1</v>
      </c>
      <c r="F573" s="1">
        <v>1</v>
      </c>
      <c r="H573" s="1">
        <f t="shared" si="242"/>
        <v>21001</v>
      </c>
      <c r="I573" s="1" t="s">
        <v>885</v>
      </c>
      <c r="J573" s="1">
        <v>10</v>
      </c>
      <c r="K573" s="1">
        <v>1</v>
      </c>
      <c r="L573" s="1">
        <v>10</v>
      </c>
    </row>
    <row r="574" spans="2:12">
      <c r="B574" s="1">
        <f t="shared" si="241"/>
        <v>11303</v>
      </c>
      <c r="C574" s="1" t="s">
        <v>914</v>
      </c>
      <c r="D574" s="1">
        <v>13</v>
      </c>
      <c r="E574" s="1">
        <v>3</v>
      </c>
      <c r="F574" s="1">
        <v>1</v>
      </c>
      <c r="H574" s="1">
        <f t="shared" si="242"/>
        <v>21002</v>
      </c>
      <c r="I574" s="1" t="s">
        <v>887</v>
      </c>
      <c r="J574" s="1">
        <v>10</v>
      </c>
      <c r="K574" s="1">
        <v>2</v>
      </c>
      <c r="L574" s="1">
        <v>10</v>
      </c>
    </row>
    <row r="575" spans="2:12">
      <c r="B575" s="1">
        <f t="shared" si="241"/>
        <v>11402</v>
      </c>
      <c r="C575" s="1" t="s">
        <v>892</v>
      </c>
      <c r="D575" s="1">
        <v>14</v>
      </c>
      <c r="E575" s="1">
        <v>2</v>
      </c>
      <c r="F575" s="1">
        <v>10</v>
      </c>
      <c r="H575" s="1">
        <f t="shared" si="242"/>
        <v>21003</v>
      </c>
      <c r="I575" s="1" t="s">
        <v>889</v>
      </c>
      <c r="J575" s="1">
        <v>10</v>
      </c>
      <c r="K575" s="1">
        <v>3</v>
      </c>
      <c r="L575" s="1">
        <v>10</v>
      </c>
    </row>
    <row r="576" spans="2:12">
      <c r="B576" s="1">
        <f t="shared" si="241"/>
        <v>11501</v>
      </c>
      <c r="C576" s="1" t="s">
        <v>900</v>
      </c>
      <c r="D576" s="1">
        <v>15</v>
      </c>
      <c r="E576" s="1">
        <v>1</v>
      </c>
      <c r="F576" s="1">
        <v>10</v>
      </c>
      <c r="H576" s="1">
        <f t="shared" si="242"/>
        <v>21102</v>
      </c>
      <c r="I576" s="1" t="s">
        <v>814</v>
      </c>
      <c r="J576" s="1">
        <v>11</v>
      </c>
      <c r="K576" s="1">
        <v>2</v>
      </c>
      <c r="L576" s="1">
        <v>10</v>
      </c>
    </row>
    <row r="577" spans="2:12">
      <c r="B577" s="1">
        <f t="shared" si="241"/>
        <v>11503</v>
      </c>
      <c r="C577" s="1" t="s">
        <v>886</v>
      </c>
      <c r="D577" s="1">
        <v>15</v>
      </c>
      <c r="E577" s="1">
        <v>3</v>
      </c>
      <c r="F577" s="1">
        <v>10</v>
      </c>
      <c r="H577" s="1">
        <f t="shared" si="242"/>
        <v>21201</v>
      </c>
      <c r="I577" s="1" t="s">
        <v>915</v>
      </c>
      <c r="J577" s="1">
        <v>12</v>
      </c>
      <c r="K577" s="1">
        <v>1</v>
      </c>
      <c r="L577" s="1">
        <v>10</v>
      </c>
    </row>
    <row r="578" spans="2:12">
      <c r="B578" s="1">
        <f t="shared" si="241"/>
        <v>11601</v>
      </c>
      <c r="C578" s="1" t="s">
        <v>896</v>
      </c>
      <c r="D578" s="1">
        <v>16</v>
      </c>
      <c r="E578" s="1">
        <v>1</v>
      </c>
      <c r="F578" s="1">
        <v>10</v>
      </c>
      <c r="H578" s="1">
        <f t="shared" si="242"/>
        <v>21202</v>
      </c>
      <c r="I578" s="1" t="s">
        <v>916</v>
      </c>
      <c r="J578" s="1">
        <v>12</v>
      </c>
      <c r="K578" s="1">
        <v>2</v>
      </c>
      <c r="L578" s="1">
        <v>10</v>
      </c>
    </row>
    <row r="579" spans="2:12">
      <c r="B579" s="1">
        <f t="shared" si="241"/>
        <v>11602</v>
      </c>
      <c r="C579" s="1" t="s">
        <v>894</v>
      </c>
      <c r="D579" s="1">
        <v>16</v>
      </c>
      <c r="E579" s="1">
        <v>2</v>
      </c>
      <c r="F579" s="1">
        <v>10</v>
      </c>
      <c r="H579" s="1">
        <f t="shared" si="242"/>
        <v>21203</v>
      </c>
      <c r="I579" s="1" t="s">
        <v>917</v>
      </c>
      <c r="J579" s="1">
        <v>12</v>
      </c>
      <c r="K579" s="1">
        <v>3</v>
      </c>
      <c r="L579" s="1">
        <v>10</v>
      </c>
    </row>
    <row r="580" spans="2:12">
      <c r="B580" s="1">
        <f t="shared" si="241"/>
        <v>11603</v>
      </c>
      <c r="C580" s="1" t="s">
        <v>898</v>
      </c>
      <c r="D580" s="1">
        <v>16</v>
      </c>
      <c r="E580" s="1">
        <v>3</v>
      </c>
      <c r="F580" s="1">
        <v>10</v>
      </c>
      <c r="H580" s="1">
        <f t="shared" si="242"/>
        <v>21301</v>
      </c>
      <c r="I580" s="1" t="s">
        <v>918</v>
      </c>
      <c r="J580" s="1">
        <v>13</v>
      </c>
      <c r="K580" s="1">
        <v>1</v>
      </c>
      <c r="L580" s="1">
        <v>1</v>
      </c>
    </row>
    <row r="581" spans="8:12">
      <c r="H581" s="1">
        <f t="shared" si="242"/>
        <v>21302</v>
      </c>
      <c r="I581" s="1" t="s">
        <v>919</v>
      </c>
      <c r="J581" s="1">
        <v>13</v>
      </c>
      <c r="K581" s="1">
        <v>2</v>
      </c>
      <c r="L581" s="1">
        <v>1</v>
      </c>
    </row>
    <row r="582" spans="8:12">
      <c r="H582" s="1">
        <f t="shared" si="242"/>
        <v>21303</v>
      </c>
      <c r="I582" s="1" t="s">
        <v>920</v>
      </c>
      <c r="J582" s="1">
        <v>13</v>
      </c>
      <c r="K582" s="1">
        <v>3</v>
      </c>
      <c r="L582" s="1">
        <v>1</v>
      </c>
    </row>
    <row r="583" spans="8:12">
      <c r="H583" s="1">
        <f t="shared" si="242"/>
        <v>21401</v>
      </c>
      <c r="I583" s="1" t="s">
        <v>906</v>
      </c>
      <c r="J583" s="1">
        <v>14</v>
      </c>
      <c r="K583" s="1">
        <v>1</v>
      </c>
      <c r="L583" s="1">
        <v>10</v>
      </c>
    </row>
    <row r="584" spans="8:12">
      <c r="H584" s="1">
        <f t="shared" si="242"/>
        <v>21402</v>
      </c>
      <c r="I584" s="1" t="s">
        <v>907</v>
      </c>
      <c r="J584" s="1">
        <v>14</v>
      </c>
      <c r="K584" s="1">
        <v>2</v>
      </c>
      <c r="L584" s="1">
        <v>10</v>
      </c>
    </row>
    <row r="585" spans="8:12">
      <c r="H585" s="1">
        <f t="shared" si="242"/>
        <v>21403</v>
      </c>
      <c r="I585" s="1" t="s">
        <v>908</v>
      </c>
      <c r="J585" s="1">
        <v>14</v>
      </c>
      <c r="K585" s="1">
        <v>3</v>
      </c>
      <c r="L585" s="1">
        <v>10</v>
      </c>
    </row>
    <row r="586" spans="8:12">
      <c r="H586" s="1">
        <f t="shared" si="242"/>
        <v>21501</v>
      </c>
      <c r="I586" s="1" t="s">
        <v>897</v>
      </c>
      <c r="J586" s="1">
        <v>15</v>
      </c>
      <c r="K586" s="1">
        <v>1</v>
      </c>
      <c r="L586" s="1">
        <v>10</v>
      </c>
    </row>
    <row r="587" spans="8:12">
      <c r="H587" s="1">
        <f t="shared" si="242"/>
        <v>21502</v>
      </c>
      <c r="I587" s="1" t="s">
        <v>899</v>
      </c>
      <c r="J587" s="1">
        <v>15</v>
      </c>
      <c r="K587" s="1">
        <v>2</v>
      </c>
      <c r="L587" s="1">
        <v>10</v>
      </c>
    </row>
    <row r="588" spans="8:12">
      <c r="H588" s="1">
        <f t="shared" si="242"/>
        <v>21503</v>
      </c>
      <c r="I588" s="1" t="s">
        <v>901</v>
      </c>
      <c r="J588" s="1">
        <v>15</v>
      </c>
      <c r="K588" s="1">
        <v>3</v>
      </c>
      <c r="L588" s="1">
        <v>10</v>
      </c>
    </row>
    <row r="589" spans="8:12">
      <c r="H589" s="1">
        <f t="shared" si="242"/>
        <v>21602</v>
      </c>
      <c r="I589" s="1" t="s">
        <v>813</v>
      </c>
      <c r="J589" s="1">
        <v>16</v>
      </c>
      <c r="K589" s="1">
        <v>2</v>
      </c>
      <c r="L589" s="1">
        <v>10</v>
      </c>
    </row>
    <row r="590" spans="8:12">
      <c r="H590" s="1">
        <f t="shared" si="242"/>
        <v>21701</v>
      </c>
      <c r="I590" s="1" t="s">
        <v>885</v>
      </c>
      <c r="J590" s="1">
        <v>17</v>
      </c>
      <c r="K590" s="1">
        <v>1</v>
      </c>
      <c r="L590" s="1">
        <v>10</v>
      </c>
    </row>
    <row r="591" spans="8:12">
      <c r="H591" s="1">
        <f t="shared" si="242"/>
        <v>21703</v>
      </c>
      <c r="I591" s="1" t="s">
        <v>889</v>
      </c>
      <c r="J591" s="1">
        <v>17</v>
      </c>
      <c r="K591" s="1">
        <v>3</v>
      </c>
      <c r="L591" s="1">
        <v>10</v>
      </c>
    </row>
    <row r="592" spans="8:12">
      <c r="H592" s="1">
        <f t="shared" si="242"/>
        <v>21801</v>
      </c>
      <c r="I592" s="1" t="s">
        <v>921</v>
      </c>
      <c r="J592" s="1">
        <v>18</v>
      </c>
      <c r="K592" s="1">
        <v>1</v>
      </c>
      <c r="L592" s="1">
        <v>1</v>
      </c>
    </row>
    <row r="593" spans="8:12">
      <c r="H593" s="1">
        <f t="shared" si="242"/>
        <v>21802</v>
      </c>
      <c r="I593" s="1" t="s">
        <v>922</v>
      </c>
      <c r="J593" s="1">
        <v>18</v>
      </c>
      <c r="K593" s="1">
        <v>2</v>
      </c>
      <c r="L593" s="1">
        <v>1</v>
      </c>
    </row>
    <row r="594" spans="8:12">
      <c r="H594" s="1">
        <f t="shared" si="242"/>
        <v>21803</v>
      </c>
      <c r="I594" s="1" t="s">
        <v>923</v>
      </c>
      <c r="J594" s="1">
        <v>18</v>
      </c>
      <c r="K594" s="1">
        <v>3</v>
      </c>
      <c r="L594" s="1">
        <v>1</v>
      </c>
    </row>
    <row r="596" spans="2:12">
      <c r="B596" s="27" t="s">
        <v>924</v>
      </c>
      <c r="C596" s="27"/>
      <c r="D596" s="27"/>
      <c r="E596" s="27"/>
      <c r="F596" s="27"/>
      <c r="G596" s="27"/>
      <c r="H596" s="27"/>
      <c r="I596" s="27"/>
      <c r="J596" s="27"/>
      <c r="K596" s="27"/>
      <c r="L596" s="27"/>
    </row>
    <row r="598" spans="2:21">
      <c r="B598" s="1" t="s">
        <v>925</v>
      </c>
      <c r="C598" s="1" t="s">
        <v>863</v>
      </c>
      <c r="D598" s="1" t="s">
        <v>926</v>
      </c>
      <c r="E598" s="1" t="s">
        <v>864</v>
      </c>
      <c r="F598" s="1" t="s">
        <v>927</v>
      </c>
      <c r="G598" s="1" t="s">
        <v>779</v>
      </c>
      <c r="H598" s="1" t="s">
        <v>928</v>
      </c>
      <c r="I598" s="1" t="s">
        <v>929</v>
      </c>
      <c r="J598" s="1" t="s">
        <v>930</v>
      </c>
      <c r="K598" s="1" t="s">
        <v>931</v>
      </c>
      <c r="L598" s="15" t="s">
        <v>869</v>
      </c>
      <c r="M598" s="15" t="s">
        <v>870</v>
      </c>
      <c r="N598" s="15" t="s">
        <v>871</v>
      </c>
      <c r="O598" s="15" t="s">
        <v>816</v>
      </c>
      <c r="P598" s="15" t="s">
        <v>932</v>
      </c>
      <c r="Q598" s="15" t="s">
        <v>933</v>
      </c>
      <c r="R598" s="15" t="s">
        <v>934</v>
      </c>
      <c r="S598" s="15" t="s">
        <v>819</v>
      </c>
      <c r="T598" s="1" t="s">
        <v>820</v>
      </c>
      <c r="U598" s="1" t="s">
        <v>935</v>
      </c>
    </row>
    <row r="599" spans="2:21">
      <c r="B599" s="1">
        <v>0</v>
      </c>
      <c r="C599" s="1">
        <f ca="1" t="shared" ref="C599:C615" si="243">OFFSET($H$476,MATCH(B599,$C$476:$C$547,0)-1,0)</f>
        <v>0</v>
      </c>
      <c r="D599" s="1">
        <f ca="1">C599</f>
        <v>0</v>
      </c>
      <c r="E599" s="1">
        <f ca="1" t="shared" ref="E599:E615" si="244">OFFSET($I$476,MATCH(B599,$C$476:$C$547,0)-1,0)</f>
        <v>0</v>
      </c>
      <c r="F599" s="1">
        <f ca="1">E599</f>
        <v>0</v>
      </c>
      <c r="G599" s="58">
        <f ca="1" t="shared" ref="G599:G615" si="245">OFFSET($V$476,MATCH(B599,$C$476:$C$547,1)-1,0)</f>
        <v>0</v>
      </c>
      <c r="H599" s="1">
        <f ca="1" t="shared" ref="H599:H615" si="246">F599*(1+G599)</f>
        <v>0</v>
      </c>
      <c r="I599" s="1">
        <f>COUNTIF($D$552:$D$580,B599)</f>
        <v>0</v>
      </c>
      <c r="J599" s="1">
        <f ca="1" t="shared" ref="J599:J615" si="247">OFFSET($E$476,MATCH(B599,$C$476:$C$547,0)-1,0)</f>
        <v>0</v>
      </c>
      <c r="K599" s="30">
        <v>0</v>
      </c>
      <c r="L599" s="30"/>
      <c r="M599" s="65"/>
      <c r="N599" s="65"/>
      <c r="O599" s="65"/>
      <c r="P599" s="15">
        <f t="shared" ref="P599:S600" si="248">L599</f>
        <v>0</v>
      </c>
      <c r="Q599" s="67">
        <f t="shared" si="248"/>
        <v>0</v>
      </c>
      <c r="R599" s="67">
        <f t="shared" si="248"/>
        <v>0</v>
      </c>
      <c r="S599" s="67">
        <f t="shared" si="248"/>
        <v>0</v>
      </c>
      <c r="T599" s="1">
        <f ca="1" t="shared" ref="T599:T615" si="249">OFFSET($Z$476,MATCH(B599,$C$476:$C$547,0)-1,0)</f>
        <v>0</v>
      </c>
      <c r="U599" s="1">
        <f ca="1">T599</f>
        <v>0</v>
      </c>
    </row>
    <row r="600" spans="2:21">
      <c r="B600" s="1">
        <v>1</v>
      </c>
      <c r="C600" s="1">
        <f ca="1" t="shared" si="243"/>
        <v>12960</v>
      </c>
      <c r="D600" s="1">
        <f ca="1" t="shared" ref="D600:D615" si="250">C600-C599</f>
        <v>12960</v>
      </c>
      <c r="E600" s="1">
        <f ca="1" t="shared" si="244"/>
        <v>24.8832</v>
      </c>
      <c r="F600" s="1">
        <f ca="1" t="shared" ref="F600:F615" si="251">E600-E599</f>
        <v>24.8832</v>
      </c>
      <c r="G600" s="58">
        <f ca="1" t="shared" si="245"/>
        <v>0</v>
      </c>
      <c r="H600" s="1">
        <f ca="1" t="shared" si="246"/>
        <v>24.8832</v>
      </c>
      <c r="I600" s="1">
        <f t="shared" ref="I600:I615" si="252">COUNTIF($D$552:$D$580,B600)</f>
        <v>1</v>
      </c>
      <c r="J600" s="1">
        <f ca="1" t="shared" si="247"/>
        <v>1</v>
      </c>
      <c r="K600" s="30">
        <v>1</v>
      </c>
      <c r="L600" s="30">
        <v>1</v>
      </c>
      <c r="M600" s="65"/>
      <c r="N600" s="65"/>
      <c r="O600" s="65"/>
      <c r="P600" s="15">
        <f t="shared" si="248"/>
        <v>1</v>
      </c>
      <c r="Q600" s="67">
        <f t="shared" si="248"/>
        <v>0</v>
      </c>
      <c r="R600" s="67">
        <f t="shared" si="248"/>
        <v>0</v>
      </c>
      <c r="S600" s="67">
        <f t="shared" si="248"/>
        <v>0</v>
      </c>
      <c r="T600" s="1">
        <f ca="1" t="shared" si="249"/>
        <v>70.2</v>
      </c>
      <c r="U600" s="1">
        <f ca="1" t="shared" ref="U600:U615" si="253">T600-T599</f>
        <v>70.2</v>
      </c>
    </row>
    <row r="601" spans="2:21">
      <c r="B601" s="1">
        <v>2</v>
      </c>
      <c r="C601" s="1">
        <f ca="1" t="shared" si="243"/>
        <v>216000</v>
      </c>
      <c r="D601" s="1">
        <f ca="1" t="shared" si="250"/>
        <v>203040</v>
      </c>
      <c r="E601" s="1">
        <f ca="1" t="shared" si="244"/>
        <v>472.7808</v>
      </c>
      <c r="F601" s="1">
        <f ca="1" t="shared" si="251"/>
        <v>447.8976</v>
      </c>
      <c r="G601" s="58">
        <f ca="1" t="shared" si="245"/>
        <v>0.07</v>
      </c>
      <c r="H601" s="1">
        <f ca="1" t="shared" si="246"/>
        <v>479.250432</v>
      </c>
      <c r="I601" s="1">
        <f t="shared" si="252"/>
        <v>2</v>
      </c>
      <c r="J601" s="1">
        <f ca="1" t="shared" si="247"/>
        <v>5</v>
      </c>
      <c r="K601" s="30">
        <v>1</v>
      </c>
      <c r="L601" s="30"/>
      <c r="M601" s="65">
        <v>0.05</v>
      </c>
      <c r="N601" s="65"/>
      <c r="O601" s="65">
        <v>0.05</v>
      </c>
      <c r="P601" s="15">
        <f>L601+P600</f>
        <v>1</v>
      </c>
      <c r="Q601" s="67">
        <f>M601+Q600</f>
        <v>0.05</v>
      </c>
      <c r="R601" s="67">
        <f t="shared" ref="R601:R615" si="254">R600+N601</f>
        <v>0</v>
      </c>
      <c r="S601" s="67">
        <f t="shared" ref="S601:S615" si="255">S600+O601</f>
        <v>0.05</v>
      </c>
      <c r="T601" s="1">
        <f ca="1" t="shared" si="249"/>
        <v>1327.5</v>
      </c>
      <c r="U601" s="1">
        <f ca="1" t="shared" si="253"/>
        <v>1257.3</v>
      </c>
    </row>
    <row r="602" spans="2:21">
      <c r="B602" s="1">
        <v>3</v>
      </c>
      <c r="C602" s="1">
        <f ca="1" t="shared" si="243"/>
        <v>993600</v>
      </c>
      <c r="D602" s="1">
        <f ca="1" t="shared" si="250"/>
        <v>777600</v>
      </c>
      <c r="E602" s="1">
        <f ca="1" t="shared" si="244"/>
        <v>2587.8528</v>
      </c>
      <c r="F602" s="1">
        <f ca="1" t="shared" si="251"/>
        <v>2115.072</v>
      </c>
      <c r="G602" s="58">
        <f ca="1" t="shared" si="245"/>
        <v>0.085</v>
      </c>
      <c r="H602" s="1">
        <f ca="1" t="shared" si="246"/>
        <v>2294.85312</v>
      </c>
      <c r="I602" s="1">
        <f t="shared" si="252"/>
        <v>2</v>
      </c>
      <c r="J602" s="1">
        <f ca="1" t="shared" si="247"/>
        <v>8</v>
      </c>
      <c r="K602" s="30">
        <v>8</v>
      </c>
      <c r="L602" s="30">
        <v>1</v>
      </c>
      <c r="M602" s="65"/>
      <c r="N602" s="65"/>
      <c r="O602" s="65"/>
      <c r="P602" s="15">
        <f t="shared" ref="P602:P615" si="256">L602+P601</f>
        <v>2</v>
      </c>
      <c r="Q602" s="67">
        <f t="shared" ref="Q602:Q615" si="257">M602+Q601</f>
        <v>0.05</v>
      </c>
      <c r="R602" s="67">
        <f t="shared" si="254"/>
        <v>0</v>
      </c>
      <c r="S602" s="67">
        <f t="shared" si="255"/>
        <v>0.05</v>
      </c>
      <c r="T602" s="1">
        <f ca="1" t="shared" si="249"/>
        <v>7227</v>
      </c>
      <c r="U602" s="1">
        <f ca="1" t="shared" si="253"/>
        <v>5899.5</v>
      </c>
    </row>
    <row r="603" spans="2:21">
      <c r="B603" s="1">
        <v>4</v>
      </c>
      <c r="C603" s="1">
        <f ca="1" t="shared" si="243"/>
        <v>1425600</v>
      </c>
      <c r="D603" s="1">
        <f ca="1" t="shared" si="250"/>
        <v>432000</v>
      </c>
      <c r="E603" s="1">
        <f ca="1" t="shared" si="244"/>
        <v>3832.0128</v>
      </c>
      <c r="F603" s="1">
        <f ca="1" t="shared" si="251"/>
        <v>1244.16</v>
      </c>
      <c r="G603" s="58">
        <f ca="1" t="shared" si="245"/>
        <v>0.09</v>
      </c>
      <c r="H603" s="1">
        <f ca="1" t="shared" si="246"/>
        <v>1356.1344</v>
      </c>
      <c r="I603" s="1">
        <f t="shared" si="252"/>
        <v>1</v>
      </c>
      <c r="J603" s="1">
        <f ca="1" t="shared" si="247"/>
        <v>9</v>
      </c>
      <c r="K603" s="30">
        <v>9</v>
      </c>
      <c r="L603" s="30"/>
      <c r="M603" s="65">
        <v>0.08</v>
      </c>
      <c r="N603" s="65"/>
      <c r="O603" s="65"/>
      <c r="P603" s="15">
        <f t="shared" si="256"/>
        <v>2</v>
      </c>
      <c r="Q603" s="67">
        <f t="shared" si="257"/>
        <v>0.13</v>
      </c>
      <c r="R603" s="67">
        <f t="shared" si="254"/>
        <v>0</v>
      </c>
      <c r="S603" s="67">
        <f t="shared" si="255"/>
        <v>0.05</v>
      </c>
      <c r="T603" s="1">
        <f ca="1" t="shared" si="249"/>
        <v>10692</v>
      </c>
      <c r="U603" s="1">
        <f ca="1" t="shared" si="253"/>
        <v>3465</v>
      </c>
    </row>
    <row r="604" spans="2:21">
      <c r="B604" s="1">
        <v>5</v>
      </c>
      <c r="C604" s="1">
        <f ca="1" t="shared" si="243"/>
        <v>2030400</v>
      </c>
      <c r="D604" s="1">
        <f ca="1" t="shared" si="250"/>
        <v>604800</v>
      </c>
      <c r="E604" s="1">
        <f ca="1" t="shared" si="244"/>
        <v>5325.0048</v>
      </c>
      <c r="F604" s="1">
        <f ca="1" t="shared" si="251"/>
        <v>1492.992</v>
      </c>
      <c r="G604" s="58">
        <f ca="1" t="shared" si="245"/>
        <v>0.095</v>
      </c>
      <c r="H604" s="1">
        <f ca="1" t="shared" si="246"/>
        <v>1634.82624</v>
      </c>
      <c r="I604" s="1">
        <f t="shared" si="252"/>
        <v>3</v>
      </c>
      <c r="J604" s="1">
        <f ca="1" t="shared" si="247"/>
        <v>10</v>
      </c>
      <c r="K604" s="30">
        <v>10</v>
      </c>
      <c r="L604" s="30"/>
      <c r="M604" s="65">
        <v>0.1</v>
      </c>
      <c r="N604" s="65"/>
      <c r="O604" s="65"/>
      <c r="P604" s="15">
        <f t="shared" si="256"/>
        <v>2</v>
      </c>
      <c r="Q604" s="67">
        <f t="shared" si="257"/>
        <v>0.23</v>
      </c>
      <c r="R604" s="67">
        <f t="shared" si="254"/>
        <v>0</v>
      </c>
      <c r="S604" s="67">
        <f t="shared" si="255"/>
        <v>0.05</v>
      </c>
      <c r="T604" s="1">
        <f ca="1" t="shared" si="249"/>
        <v>14868</v>
      </c>
      <c r="U604" s="1">
        <f ca="1" t="shared" si="253"/>
        <v>4176</v>
      </c>
    </row>
    <row r="605" spans="2:21">
      <c r="B605" s="1">
        <v>6</v>
      </c>
      <c r="C605" s="1">
        <f ca="1" t="shared" si="243"/>
        <v>3672000</v>
      </c>
      <c r="D605" s="1">
        <f ca="1" t="shared" si="250"/>
        <v>1641600</v>
      </c>
      <c r="E605" s="1">
        <f ca="1" t="shared" si="244"/>
        <v>9057.4848</v>
      </c>
      <c r="F605" s="1">
        <f ca="1" t="shared" si="251"/>
        <v>3732.48</v>
      </c>
      <c r="G605" s="58">
        <f ca="1" t="shared" si="245"/>
        <v>0.105</v>
      </c>
      <c r="H605" s="1">
        <f ca="1" t="shared" si="246"/>
        <v>4124.3904</v>
      </c>
      <c r="I605" s="1">
        <f t="shared" si="252"/>
        <v>1</v>
      </c>
      <c r="J605" s="1">
        <f ca="1" t="shared" si="247"/>
        <v>12</v>
      </c>
      <c r="K605" s="30">
        <v>12</v>
      </c>
      <c r="L605" s="30"/>
      <c r="M605" s="65"/>
      <c r="N605" s="65">
        <v>0.1</v>
      </c>
      <c r="O605" s="65"/>
      <c r="P605" s="15">
        <f t="shared" si="256"/>
        <v>2</v>
      </c>
      <c r="Q605" s="67">
        <f t="shared" si="257"/>
        <v>0.23</v>
      </c>
      <c r="R605" s="67">
        <f t="shared" si="254"/>
        <v>0.1</v>
      </c>
      <c r="S605" s="67">
        <f t="shared" si="255"/>
        <v>0.05</v>
      </c>
      <c r="T605" s="1">
        <f ca="1" t="shared" si="249"/>
        <v>25335</v>
      </c>
      <c r="U605" s="1">
        <f ca="1" t="shared" si="253"/>
        <v>10467</v>
      </c>
    </row>
    <row r="606" spans="2:21">
      <c r="B606" s="1">
        <v>7</v>
      </c>
      <c r="C606" s="1">
        <f ca="1" t="shared" si="243"/>
        <v>4968000</v>
      </c>
      <c r="D606" s="1">
        <f ca="1" t="shared" si="250"/>
        <v>1296000</v>
      </c>
      <c r="E606" s="1">
        <f ca="1" t="shared" si="244"/>
        <v>11545.8048</v>
      </c>
      <c r="F606" s="1">
        <f ca="1" t="shared" si="251"/>
        <v>2488.32</v>
      </c>
      <c r="G606" s="58">
        <f ca="1" t="shared" si="245"/>
        <v>0.11</v>
      </c>
      <c r="H606" s="1">
        <f ca="1" t="shared" si="246"/>
        <v>2762.0352</v>
      </c>
      <c r="I606" s="1">
        <f t="shared" si="252"/>
        <v>2</v>
      </c>
      <c r="J606" s="1">
        <f ca="1" t="shared" si="247"/>
        <v>13</v>
      </c>
      <c r="K606" s="30">
        <v>13</v>
      </c>
      <c r="L606" s="30">
        <v>1</v>
      </c>
      <c r="M606" s="65"/>
      <c r="N606" s="65"/>
      <c r="O606" s="65"/>
      <c r="P606" s="15">
        <f t="shared" si="256"/>
        <v>3</v>
      </c>
      <c r="Q606" s="67">
        <f t="shared" si="257"/>
        <v>0.23</v>
      </c>
      <c r="R606" s="67">
        <f t="shared" si="254"/>
        <v>0.1</v>
      </c>
      <c r="S606" s="67">
        <f t="shared" si="255"/>
        <v>0.05</v>
      </c>
      <c r="T606" s="1">
        <f ca="1" t="shared" si="249"/>
        <v>32355</v>
      </c>
      <c r="U606" s="1">
        <f ca="1" t="shared" si="253"/>
        <v>7020</v>
      </c>
    </row>
    <row r="607" spans="2:21">
      <c r="B607" s="1">
        <v>8</v>
      </c>
      <c r="C607" s="1">
        <f ca="1" t="shared" si="243"/>
        <v>14472000</v>
      </c>
      <c r="D607" s="1">
        <f ca="1" t="shared" si="250"/>
        <v>9504000</v>
      </c>
      <c r="E607" s="1">
        <f ca="1" t="shared" si="244"/>
        <v>23365.3248</v>
      </c>
      <c r="F607" s="1">
        <f ca="1" t="shared" si="251"/>
        <v>11819.52</v>
      </c>
      <c r="G607" s="58">
        <f ca="1" t="shared" si="245"/>
        <v>0.12</v>
      </c>
      <c r="H607" s="1">
        <f ca="1" t="shared" si="246"/>
        <v>13237.8624</v>
      </c>
      <c r="I607" s="1">
        <f t="shared" si="252"/>
        <v>3</v>
      </c>
      <c r="J607" s="1">
        <f ca="1" t="shared" si="247"/>
        <v>15</v>
      </c>
      <c r="K607" s="30">
        <v>15</v>
      </c>
      <c r="L607" s="30"/>
      <c r="M607" s="65">
        <v>0.15</v>
      </c>
      <c r="N607" s="65"/>
      <c r="O607" s="65"/>
      <c r="P607" s="15">
        <f t="shared" si="256"/>
        <v>3</v>
      </c>
      <c r="Q607" s="67">
        <f t="shared" si="257"/>
        <v>0.38</v>
      </c>
      <c r="R607" s="67">
        <f t="shared" si="254"/>
        <v>0.1</v>
      </c>
      <c r="S607" s="67">
        <f t="shared" si="255"/>
        <v>0.05</v>
      </c>
      <c r="T607" s="1">
        <f ca="1" t="shared" si="249"/>
        <v>66397.5</v>
      </c>
      <c r="U607" s="1">
        <f ca="1" t="shared" si="253"/>
        <v>34042.5</v>
      </c>
    </row>
    <row r="608" spans="2:21">
      <c r="B608" s="1">
        <v>9</v>
      </c>
      <c r="C608" s="1">
        <f ca="1" t="shared" si="243"/>
        <v>20088000</v>
      </c>
      <c r="D608" s="1">
        <f ca="1" t="shared" si="250"/>
        <v>5616000</v>
      </c>
      <c r="E608" s="1">
        <f ca="1" t="shared" si="244"/>
        <v>30208.2048</v>
      </c>
      <c r="F608" s="1">
        <f ca="1" t="shared" si="251"/>
        <v>6842.88</v>
      </c>
      <c r="G608" s="58">
        <f ca="1" t="shared" si="245"/>
        <v>0.125</v>
      </c>
      <c r="H608" s="1">
        <f ca="1" t="shared" si="246"/>
        <v>7698.24</v>
      </c>
      <c r="I608" s="1">
        <f t="shared" si="252"/>
        <v>1</v>
      </c>
      <c r="J608" s="1">
        <f ca="1" t="shared" si="247"/>
        <v>16</v>
      </c>
      <c r="K608" s="30">
        <v>16</v>
      </c>
      <c r="L608" s="30"/>
      <c r="M608" s="65">
        <v>0.12</v>
      </c>
      <c r="N608" s="65"/>
      <c r="O608" s="65"/>
      <c r="P608" s="15">
        <f t="shared" si="256"/>
        <v>3</v>
      </c>
      <c r="Q608" s="67">
        <f t="shared" si="257"/>
        <v>0.5</v>
      </c>
      <c r="R608" s="67">
        <f t="shared" si="254"/>
        <v>0.1</v>
      </c>
      <c r="S608" s="67">
        <f t="shared" si="255"/>
        <v>0.05</v>
      </c>
      <c r="T608" s="1">
        <f ca="1" t="shared" si="249"/>
        <v>86130</v>
      </c>
      <c r="U608" s="1">
        <f ca="1" t="shared" si="253"/>
        <v>19732.5</v>
      </c>
    </row>
    <row r="609" spans="2:21">
      <c r="B609" s="1">
        <v>10</v>
      </c>
      <c r="C609" s="1">
        <f ca="1" t="shared" si="243"/>
        <v>32616000</v>
      </c>
      <c r="D609" s="1">
        <f ca="1" t="shared" si="250"/>
        <v>12528000</v>
      </c>
      <c r="E609" s="1">
        <f ca="1" t="shared" si="244"/>
        <v>42649.8048</v>
      </c>
      <c r="F609" s="1">
        <f ca="1" t="shared" si="251"/>
        <v>12441.6</v>
      </c>
      <c r="G609" s="58">
        <f ca="1" t="shared" si="245"/>
        <v>0.135</v>
      </c>
      <c r="H609" s="1">
        <f ca="1" t="shared" si="246"/>
        <v>14121.216</v>
      </c>
      <c r="I609" s="1">
        <f t="shared" si="252"/>
        <v>2</v>
      </c>
      <c r="J609" s="1">
        <f ca="1" t="shared" si="247"/>
        <v>18</v>
      </c>
      <c r="K609" s="30">
        <v>18</v>
      </c>
      <c r="L609" s="30">
        <v>1</v>
      </c>
      <c r="M609" s="65"/>
      <c r="N609" s="65"/>
      <c r="O609" s="65"/>
      <c r="P609" s="15">
        <f t="shared" si="256"/>
        <v>4</v>
      </c>
      <c r="Q609" s="67">
        <f t="shared" si="257"/>
        <v>0.5</v>
      </c>
      <c r="R609" s="67">
        <f t="shared" si="254"/>
        <v>0.1</v>
      </c>
      <c r="S609" s="67">
        <f t="shared" si="255"/>
        <v>0.05</v>
      </c>
      <c r="T609" s="1">
        <f ca="1" t="shared" si="249"/>
        <v>122490</v>
      </c>
      <c r="U609" s="1">
        <f ca="1" t="shared" si="253"/>
        <v>36360</v>
      </c>
    </row>
    <row r="610" spans="2:21">
      <c r="B610" s="1">
        <v>11</v>
      </c>
      <c r="C610" s="1">
        <f ca="1" t="shared" si="243"/>
        <v>55512000</v>
      </c>
      <c r="D610" s="1">
        <f ca="1" t="shared" si="250"/>
        <v>22896000</v>
      </c>
      <c r="E610" s="1">
        <f ca="1" t="shared" si="244"/>
        <v>63800.5248</v>
      </c>
      <c r="F610" s="1">
        <f ca="1" t="shared" si="251"/>
        <v>21150.72</v>
      </c>
      <c r="G610" s="58">
        <f ca="1" t="shared" si="245"/>
        <v>0.4</v>
      </c>
      <c r="H610" s="1">
        <f ca="1" t="shared" si="246"/>
        <v>29611.008</v>
      </c>
      <c r="I610" s="1">
        <f t="shared" si="252"/>
        <v>2</v>
      </c>
      <c r="J610" s="1">
        <f ca="1" t="shared" si="247"/>
        <v>20</v>
      </c>
      <c r="K610" s="30">
        <v>20</v>
      </c>
      <c r="L610" s="30"/>
      <c r="M610" s="65"/>
      <c r="N610" s="65">
        <v>0.15</v>
      </c>
      <c r="O610" s="65">
        <v>0.15</v>
      </c>
      <c r="P610" s="15">
        <f t="shared" si="256"/>
        <v>4</v>
      </c>
      <c r="Q610" s="67">
        <f t="shared" si="257"/>
        <v>0.5</v>
      </c>
      <c r="R610" s="67">
        <f t="shared" si="254"/>
        <v>0.25</v>
      </c>
      <c r="S610" s="67">
        <f t="shared" si="255"/>
        <v>0.2</v>
      </c>
      <c r="T610" s="1">
        <f ca="1" t="shared" si="249"/>
        <v>184635</v>
      </c>
      <c r="U610" s="1">
        <f ca="1" t="shared" si="253"/>
        <v>62145</v>
      </c>
    </row>
    <row r="611" spans="2:21">
      <c r="B611" s="1">
        <v>12</v>
      </c>
      <c r="C611" s="1">
        <f ca="1" t="shared" si="243"/>
        <v>73656000</v>
      </c>
      <c r="D611" s="1">
        <f ca="1" t="shared" si="250"/>
        <v>18144000</v>
      </c>
      <c r="E611" s="1">
        <f ca="1" t="shared" si="244"/>
        <v>80804.0448</v>
      </c>
      <c r="F611" s="1">
        <f ca="1" t="shared" si="251"/>
        <v>17003.52</v>
      </c>
      <c r="G611" s="58">
        <f ca="1" t="shared" si="245"/>
        <v>0.41</v>
      </c>
      <c r="H611" s="1">
        <f ca="1" t="shared" si="246"/>
        <v>23974.9632</v>
      </c>
      <c r="I611" s="1">
        <f t="shared" si="252"/>
        <v>1</v>
      </c>
      <c r="J611" s="1">
        <f ca="1" t="shared" si="247"/>
        <v>21</v>
      </c>
      <c r="K611" s="30">
        <v>21</v>
      </c>
      <c r="L611" s="30"/>
      <c r="M611" s="65">
        <v>0.2</v>
      </c>
      <c r="N611" s="65"/>
      <c r="O611" s="65"/>
      <c r="P611" s="15">
        <f t="shared" si="256"/>
        <v>4</v>
      </c>
      <c r="Q611" s="67">
        <f t="shared" si="257"/>
        <v>0.7</v>
      </c>
      <c r="R611" s="67">
        <f t="shared" si="254"/>
        <v>0.25</v>
      </c>
      <c r="S611" s="67">
        <f t="shared" si="255"/>
        <v>0.2</v>
      </c>
      <c r="T611" s="1">
        <f ca="1" t="shared" si="249"/>
        <v>234540</v>
      </c>
      <c r="U611" s="1">
        <f ca="1" t="shared" si="253"/>
        <v>49905</v>
      </c>
    </row>
    <row r="612" spans="2:21">
      <c r="B612" s="1">
        <v>13</v>
      </c>
      <c r="C612" s="1">
        <f ca="1" t="shared" si="243"/>
        <v>92880000</v>
      </c>
      <c r="D612" s="1">
        <f ca="1" t="shared" si="250"/>
        <v>19224000</v>
      </c>
      <c r="E612" s="1">
        <f ca="1" t="shared" si="244"/>
        <v>97392.8448</v>
      </c>
      <c r="F612" s="1">
        <f ca="1" t="shared" si="251"/>
        <v>16588.8</v>
      </c>
      <c r="G612" s="58">
        <f ca="1" t="shared" si="245"/>
        <v>0.42</v>
      </c>
      <c r="H612" s="1">
        <f ca="1" t="shared" si="246"/>
        <v>23556.096</v>
      </c>
      <c r="I612" s="1">
        <f t="shared" si="252"/>
        <v>2</v>
      </c>
      <c r="J612" s="1">
        <f ca="1" t="shared" si="247"/>
        <v>22</v>
      </c>
      <c r="K612" s="30">
        <v>22</v>
      </c>
      <c r="L612" s="30">
        <v>1</v>
      </c>
      <c r="M612" s="65"/>
      <c r="N612" s="65"/>
      <c r="O612" s="65"/>
      <c r="P612" s="15">
        <f t="shared" si="256"/>
        <v>5</v>
      </c>
      <c r="Q612" s="67">
        <f t="shared" si="257"/>
        <v>0.7</v>
      </c>
      <c r="R612" s="67">
        <f t="shared" si="254"/>
        <v>0.25</v>
      </c>
      <c r="S612" s="67">
        <f t="shared" si="255"/>
        <v>0.2</v>
      </c>
      <c r="T612" s="1">
        <f ca="1" t="shared" si="249"/>
        <v>283545</v>
      </c>
      <c r="U612" s="1">
        <f ca="1" t="shared" si="253"/>
        <v>49005</v>
      </c>
    </row>
    <row r="613" spans="2:21">
      <c r="B613" s="1">
        <v>14</v>
      </c>
      <c r="C613" s="1">
        <f ca="1" t="shared" si="243"/>
        <v>180360000</v>
      </c>
      <c r="D613" s="1">
        <f ca="1" t="shared" si="250"/>
        <v>87480000</v>
      </c>
      <c r="E613" s="1">
        <f ca="1" t="shared" si="244"/>
        <v>148403.4048</v>
      </c>
      <c r="F613" s="1">
        <f ca="1" t="shared" si="251"/>
        <v>51010.56</v>
      </c>
      <c r="G613" s="58">
        <f ca="1" t="shared" si="245"/>
        <v>0.49</v>
      </c>
      <c r="H613" s="1">
        <f ca="1" t="shared" si="246"/>
        <v>76005.7344</v>
      </c>
      <c r="I613" s="1">
        <f t="shared" si="252"/>
        <v>1</v>
      </c>
      <c r="J613" s="1">
        <f ca="1" t="shared" si="247"/>
        <v>24</v>
      </c>
      <c r="K613" s="30">
        <v>24</v>
      </c>
      <c r="L613" s="30"/>
      <c r="M613" s="65">
        <v>0.25</v>
      </c>
      <c r="N613" s="65"/>
      <c r="O613" s="65"/>
      <c r="P613" s="15">
        <f t="shared" si="256"/>
        <v>5</v>
      </c>
      <c r="Q613" s="67">
        <f t="shared" si="257"/>
        <v>0.95</v>
      </c>
      <c r="R613" s="67">
        <f t="shared" si="254"/>
        <v>0.25</v>
      </c>
      <c r="S613" s="67">
        <f t="shared" si="255"/>
        <v>0.2</v>
      </c>
      <c r="T613" s="1">
        <f ca="1" t="shared" si="249"/>
        <v>440145</v>
      </c>
      <c r="U613" s="1">
        <f ca="1" t="shared" si="253"/>
        <v>156600</v>
      </c>
    </row>
    <row r="614" spans="2:21">
      <c r="B614" s="1">
        <v>15</v>
      </c>
      <c r="C614" s="1">
        <f ca="1" t="shared" si="243"/>
        <v>596520000</v>
      </c>
      <c r="D614" s="1">
        <f ca="1" t="shared" si="250"/>
        <v>416160000</v>
      </c>
      <c r="E614" s="1">
        <f ca="1" t="shared" si="244"/>
        <v>415897.8048</v>
      </c>
      <c r="F614" s="1">
        <f ca="1" t="shared" si="251"/>
        <v>267494.4</v>
      </c>
      <c r="G614" s="58">
        <f ca="1" t="shared" si="245"/>
        <v>0.925</v>
      </c>
      <c r="H614" s="1">
        <f ca="1" t="shared" si="246"/>
        <v>514926.72</v>
      </c>
      <c r="I614" s="1">
        <f t="shared" si="252"/>
        <v>2</v>
      </c>
      <c r="J614" s="1">
        <f ca="1" t="shared" si="247"/>
        <v>27</v>
      </c>
      <c r="K614" s="30">
        <v>27</v>
      </c>
      <c r="L614" s="30"/>
      <c r="M614" s="65"/>
      <c r="N614" s="65">
        <v>0.25</v>
      </c>
      <c r="O614" s="65">
        <v>0.25</v>
      </c>
      <c r="P614" s="15">
        <f t="shared" si="256"/>
        <v>5</v>
      </c>
      <c r="Q614" s="67">
        <f t="shared" si="257"/>
        <v>0.95</v>
      </c>
      <c r="R614" s="67">
        <f t="shared" si="254"/>
        <v>0.5</v>
      </c>
      <c r="S614" s="67">
        <f t="shared" si="255"/>
        <v>0.45</v>
      </c>
      <c r="T614" s="1">
        <f ca="1" t="shared" si="249"/>
        <v>1252470</v>
      </c>
      <c r="U614" s="1">
        <f ca="1" t="shared" si="253"/>
        <v>812325</v>
      </c>
    </row>
    <row r="615" spans="2:21">
      <c r="B615" s="1">
        <v>16</v>
      </c>
      <c r="C615" s="1">
        <f ca="1" t="shared" si="243"/>
        <v>873720000</v>
      </c>
      <c r="D615" s="1">
        <f ca="1" t="shared" si="250"/>
        <v>277200000</v>
      </c>
      <c r="E615" s="1">
        <f ca="1" t="shared" si="244"/>
        <v>583859.4048</v>
      </c>
      <c r="F615" s="1">
        <f ca="1" t="shared" si="251"/>
        <v>167961.6</v>
      </c>
      <c r="G615" s="58">
        <f ca="1" t="shared" si="245"/>
        <v>0.99</v>
      </c>
      <c r="H615" s="1">
        <f ca="1" t="shared" si="246"/>
        <v>334243.584</v>
      </c>
      <c r="I615" s="1">
        <f t="shared" si="252"/>
        <v>3</v>
      </c>
      <c r="J615" s="1">
        <f ca="1" t="shared" si="247"/>
        <v>28</v>
      </c>
      <c r="K615" s="30">
        <v>28</v>
      </c>
      <c r="L615" s="30"/>
      <c r="M615" s="65">
        <v>0.3</v>
      </c>
      <c r="N615" s="65"/>
      <c r="O615" s="65"/>
      <c r="P615" s="15">
        <f t="shared" si="256"/>
        <v>5</v>
      </c>
      <c r="Q615" s="67">
        <f t="shared" si="257"/>
        <v>1.25</v>
      </c>
      <c r="R615" s="67">
        <f t="shared" si="254"/>
        <v>0.5</v>
      </c>
      <c r="S615" s="67">
        <f t="shared" si="255"/>
        <v>0.45</v>
      </c>
      <c r="T615" s="1">
        <f ca="1" t="shared" si="249"/>
        <v>1765845</v>
      </c>
      <c r="U615" s="1">
        <f ca="1" t="shared" si="253"/>
        <v>513375</v>
      </c>
    </row>
    <row r="616" spans="12:19">
      <c r="L616" s="15"/>
      <c r="M616" s="15"/>
      <c r="N616" s="15"/>
      <c r="O616" s="15"/>
      <c r="P616" s="15"/>
      <c r="Q616" s="15"/>
      <c r="R616" s="15"/>
      <c r="S616" s="15"/>
    </row>
    <row r="617" spans="2:21">
      <c r="B617" s="1" t="s">
        <v>936</v>
      </c>
      <c r="C617" s="1" t="s">
        <v>863</v>
      </c>
      <c r="D617" s="1" t="s">
        <v>926</v>
      </c>
      <c r="E617" s="1" t="s">
        <v>864</v>
      </c>
      <c r="F617" s="1" t="s">
        <v>927</v>
      </c>
      <c r="G617" s="1" t="s">
        <v>779</v>
      </c>
      <c r="H617" s="1" t="s">
        <v>928</v>
      </c>
      <c r="I617" s="1" t="s">
        <v>929</v>
      </c>
      <c r="J617" s="1" t="s">
        <v>930</v>
      </c>
      <c r="K617" s="1" t="s">
        <v>931</v>
      </c>
      <c r="L617" s="15" t="s">
        <v>872</v>
      </c>
      <c r="M617" s="15" t="s">
        <v>873</v>
      </c>
      <c r="N617" s="15" t="s">
        <v>813</v>
      </c>
      <c r="O617" s="15" t="s">
        <v>814</v>
      </c>
      <c r="P617" s="15" t="s">
        <v>937</v>
      </c>
      <c r="Q617" s="15" t="s">
        <v>938</v>
      </c>
      <c r="R617" s="15" t="s">
        <v>817</v>
      </c>
      <c r="S617" s="15" t="s">
        <v>818</v>
      </c>
      <c r="T617" s="1" t="s">
        <v>820</v>
      </c>
      <c r="U617" s="1" t="s">
        <v>935</v>
      </c>
    </row>
    <row r="618" spans="2:21">
      <c r="B618" s="1">
        <v>0</v>
      </c>
      <c r="C618" s="1">
        <f ca="1" t="shared" ref="C618:C636" si="258">OFFSET($J$476,MATCH(B618,$D$476:$D$547,0)-1,0)</f>
        <v>0</v>
      </c>
      <c r="D618" s="1">
        <f ca="1">C618</f>
        <v>0</v>
      </c>
      <c r="E618" s="1">
        <f ca="1" t="shared" ref="E618:E636" si="259">OFFSET($K$476,MATCH(B618,$D$476:$D$547,0)-1,0)</f>
        <v>0</v>
      </c>
      <c r="F618" s="1">
        <f ca="1">E618</f>
        <v>0</v>
      </c>
      <c r="G618" s="58">
        <f ca="1" t="shared" ref="G618:G636" si="260">OFFSET($V$476,MATCH(B618,$D$476:$D$547,1)-1,0)</f>
        <v>0</v>
      </c>
      <c r="H618" s="1">
        <f ca="1" t="shared" ref="H618:H636" si="261">F618*(1+G618)</f>
        <v>0</v>
      </c>
      <c r="I618" s="1">
        <f>COUNTIF($J$552:$J$594,B618)</f>
        <v>0</v>
      </c>
      <c r="J618" s="1">
        <f ca="1" t="shared" ref="J618:J636" si="262">OFFSET($E$476,MATCH(B618,$D$476:$D$547,0)-1,0)</f>
        <v>0</v>
      </c>
      <c r="K618" s="30">
        <v>0</v>
      </c>
      <c r="L618" s="30"/>
      <c r="M618" s="30"/>
      <c r="N618" s="30"/>
      <c r="O618" s="30"/>
      <c r="P618" s="66">
        <f t="shared" ref="P618:S618" si="263">L618</f>
        <v>0</v>
      </c>
      <c r="Q618" s="66">
        <f t="shared" si="263"/>
        <v>0</v>
      </c>
      <c r="R618" s="15">
        <f t="shared" si="263"/>
        <v>0</v>
      </c>
      <c r="S618" s="53">
        <f t="shared" si="263"/>
        <v>0</v>
      </c>
      <c r="T618" s="1">
        <f ca="1" t="shared" ref="T618:T636" si="264">OFFSET($AA$476,MATCH(B618,$D$476:$D$547,0)-1,0)</f>
        <v>0</v>
      </c>
      <c r="U618" s="1">
        <f ca="1">T618</f>
        <v>0</v>
      </c>
    </row>
    <row r="619" spans="2:34">
      <c r="B619" s="1">
        <v>1</v>
      </c>
      <c r="C619" s="1">
        <f ca="1" t="shared" si="258"/>
        <v>30240</v>
      </c>
      <c r="D619" s="1">
        <f ca="1" t="shared" ref="D619:D636" si="265">C619-C618</f>
        <v>30240</v>
      </c>
      <c r="E619" s="1">
        <f ca="1" t="shared" si="259"/>
        <v>58.0608</v>
      </c>
      <c r="F619" s="1">
        <f ca="1" t="shared" ref="F619:F636" si="266">E619-E618</f>
        <v>58.0608</v>
      </c>
      <c r="G619" s="58">
        <f ca="1" t="shared" si="260"/>
        <v>0</v>
      </c>
      <c r="H619" s="1">
        <f ca="1" t="shared" si="261"/>
        <v>58.0608</v>
      </c>
      <c r="I619" s="1">
        <f t="shared" ref="I619:I636" si="267">COUNTIF($J$552:$J$594,B619)</f>
        <v>1</v>
      </c>
      <c r="J619" s="1">
        <f ca="1" t="shared" si="262"/>
        <v>1</v>
      </c>
      <c r="K619" s="30">
        <v>1</v>
      </c>
      <c r="L619" s="30"/>
      <c r="M619" s="30"/>
      <c r="N619" s="30">
        <v>100</v>
      </c>
      <c r="O619" s="30"/>
      <c r="P619" s="66">
        <f>L619</f>
        <v>0</v>
      </c>
      <c r="Q619" s="66">
        <f>M619</f>
        <v>0</v>
      </c>
      <c r="R619" s="15">
        <f>R618+N619</f>
        <v>100</v>
      </c>
      <c r="S619" s="53">
        <f>S618+O619</f>
        <v>0</v>
      </c>
      <c r="T619" s="1">
        <f ca="1" t="shared" si="264"/>
        <v>163.8</v>
      </c>
      <c r="U619" s="1">
        <f ca="1" t="shared" ref="U619:U636" si="268">T619-T618</f>
        <v>163.8</v>
      </c>
      <c r="AG619" s="68"/>
      <c r="AH619" s="68"/>
    </row>
    <row r="620" spans="2:34">
      <c r="B620" s="1">
        <v>2</v>
      </c>
      <c r="C620" s="1">
        <f ca="1" t="shared" si="258"/>
        <v>2318400</v>
      </c>
      <c r="D620" s="1">
        <f ca="1" t="shared" si="265"/>
        <v>2288160</v>
      </c>
      <c r="E620" s="1">
        <f ca="1" t="shared" si="259"/>
        <v>6038.3232</v>
      </c>
      <c r="F620" s="1">
        <f ca="1" t="shared" si="266"/>
        <v>5980.2624</v>
      </c>
      <c r="G620" s="58">
        <f ca="1" t="shared" si="260"/>
        <v>0.085</v>
      </c>
      <c r="H620" s="1">
        <f ca="1" t="shared" si="261"/>
        <v>6488.584704</v>
      </c>
      <c r="I620" s="1">
        <f t="shared" si="267"/>
        <v>3</v>
      </c>
      <c r="J620" s="1">
        <f ca="1" t="shared" si="262"/>
        <v>8</v>
      </c>
      <c r="K620" s="30">
        <v>1</v>
      </c>
      <c r="L620" s="43">
        <v>0.05</v>
      </c>
      <c r="M620" s="43">
        <v>0.05</v>
      </c>
      <c r="N620" s="43"/>
      <c r="O620" s="43"/>
      <c r="P620" s="66">
        <f t="shared" ref="P620:P636" si="269">P619+L620</f>
        <v>0.05</v>
      </c>
      <c r="Q620" s="66">
        <f t="shared" ref="Q620:Q636" si="270">M620+Q619</f>
        <v>0.05</v>
      </c>
      <c r="R620" s="15">
        <f t="shared" ref="R620:R636" si="271">R619+N620</f>
        <v>100</v>
      </c>
      <c r="S620" s="53">
        <f t="shared" ref="S620:S636" si="272">S619+O620</f>
        <v>0</v>
      </c>
      <c r="T620" s="1">
        <f ca="1" t="shared" si="264"/>
        <v>16863</v>
      </c>
      <c r="U620" s="1">
        <f ca="1" t="shared" si="268"/>
        <v>16699.2</v>
      </c>
      <c r="AG620" s="68"/>
      <c r="AH620" s="68"/>
    </row>
    <row r="621" spans="2:34">
      <c r="B621" s="1">
        <v>3</v>
      </c>
      <c r="C621" s="1">
        <f ca="1" t="shared" si="258"/>
        <v>3326400</v>
      </c>
      <c r="D621" s="1">
        <f ca="1" t="shared" si="265"/>
        <v>1008000</v>
      </c>
      <c r="E621" s="1">
        <f ca="1" t="shared" si="259"/>
        <v>8941.3632</v>
      </c>
      <c r="F621" s="1">
        <f ca="1" t="shared" si="266"/>
        <v>2903.04</v>
      </c>
      <c r="G621" s="58">
        <f ca="1" t="shared" si="260"/>
        <v>0.09</v>
      </c>
      <c r="H621" s="1">
        <f ca="1" t="shared" si="261"/>
        <v>3164.3136</v>
      </c>
      <c r="I621" s="1">
        <f t="shared" si="267"/>
        <v>3</v>
      </c>
      <c r="J621" s="1">
        <f ca="1" t="shared" si="262"/>
        <v>9</v>
      </c>
      <c r="K621" s="30">
        <v>8</v>
      </c>
      <c r="L621" s="30"/>
      <c r="M621" s="30"/>
      <c r="N621" s="30"/>
      <c r="O621" s="30"/>
      <c r="P621" s="66">
        <f t="shared" si="269"/>
        <v>0.05</v>
      </c>
      <c r="Q621" s="66">
        <f t="shared" si="270"/>
        <v>0.05</v>
      </c>
      <c r="R621" s="15">
        <f t="shared" si="271"/>
        <v>100</v>
      </c>
      <c r="S621" s="53">
        <f t="shared" si="272"/>
        <v>0</v>
      </c>
      <c r="T621" s="1">
        <f ca="1" t="shared" si="264"/>
        <v>24948</v>
      </c>
      <c r="U621" s="1">
        <f ca="1" t="shared" si="268"/>
        <v>8084.99999999999</v>
      </c>
      <c r="AG621" s="68"/>
      <c r="AH621" s="68"/>
    </row>
    <row r="622" spans="2:34">
      <c r="B622" s="1">
        <v>4</v>
      </c>
      <c r="C622" s="1">
        <f ca="1" t="shared" si="258"/>
        <v>14616000</v>
      </c>
      <c r="D622" s="1">
        <f ca="1" t="shared" si="265"/>
        <v>11289600</v>
      </c>
      <c r="E622" s="1">
        <f ca="1" t="shared" si="259"/>
        <v>31294.7712</v>
      </c>
      <c r="F622" s="1">
        <f ca="1" t="shared" si="266"/>
        <v>22353.408</v>
      </c>
      <c r="G622" s="58">
        <f ca="1" t="shared" si="260"/>
        <v>0.11</v>
      </c>
      <c r="H622" s="1">
        <f ca="1" t="shared" si="261"/>
        <v>24812.28288</v>
      </c>
      <c r="I622" s="1">
        <f t="shared" si="267"/>
        <v>3</v>
      </c>
      <c r="J622" s="1">
        <f ca="1" t="shared" si="262"/>
        <v>13</v>
      </c>
      <c r="K622" s="30">
        <v>13</v>
      </c>
      <c r="L622" s="30"/>
      <c r="M622" s="43">
        <v>0.1</v>
      </c>
      <c r="N622" s="43"/>
      <c r="O622" s="43"/>
      <c r="P622" s="66">
        <f t="shared" si="269"/>
        <v>0.05</v>
      </c>
      <c r="Q622" s="66">
        <f t="shared" si="270"/>
        <v>0.15</v>
      </c>
      <c r="R622" s="15">
        <f t="shared" si="271"/>
        <v>100</v>
      </c>
      <c r="S622" s="53">
        <f t="shared" si="272"/>
        <v>0</v>
      </c>
      <c r="T622" s="1">
        <f ca="1" t="shared" si="264"/>
        <v>87937.5</v>
      </c>
      <c r="U622" s="1">
        <f ca="1" t="shared" si="268"/>
        <v>62989.5</v>
      </c>
      <c r="AG622" s="68"/>
      <c r="AH622" s="68"/>
    </row>
    <row r="623" spans="2:34">
      <c r="B623" s="1">
        <v>5</v>
      </c>
      <c r="C623" s="1">
        <f ca="1" t="shared" si="258"/>
        <v>20160000</v>
      </c>
      <c r="D623" s="1">
        <f ca="1" t="shared" si="265"/>
        <v>5544000</v>
      </c>
      <c r="E623" s="1">
        <f ca="1" t="shared" si="259"/>
        <v>38552.3712</v>
      </c>
      <c r="F623" s="1">
        <f ca="1" t="shared" si="266"/>
        <v>7257.6</v>
      </c>
      <c r="G623" s="58">
        <f ca="1" t="shared" si="260"/>
        <v>0.115</v>
      </c>
      <c r="H623" s="1">
        <f ca="1" t="shared" si="261"/>
        <v>8092.224</v>
      </c>
      <c r="I623" s="1">
        <f t="shared" si="267"/>
        <v>1</v>
      </c>
      <c r="J623" s="1">
        <f ca="1" t="shared" si="262"/>
        <v>14</v>
      </c>
      <c r="K623" s="30">
        <v>14</v>
      </c>
      <c r="L623" s="30"/>
      <c r="M623" s="30"/>
      <c r="N623" s="30"/>
      <c r="O623" s="43">
        <v>0.15</v>
      </c>
      <c r="P623" s="66">
        <f t="shared" si="269"/>
        <v>0.05</v>
      </c>
      <c r="Q623" s="66">
        <f t="shared" si="270"/>
        <v>0.15</v>
      </c>
      <c r="R623" s="15">
        <f t="shared" si="271"/>
        <v>100</v>
      </c>
      <c r="S623" s="53">
        <f t="shared" si="272"/>
        <v>0.15</v>
      </c>
      <c r="T623" s="1">
        <f ca="1" t="shared" si="264"/>
        <v>108780</v>
      </c>
      <c r="U623" s="1">
        <f ca="1" t="shared" si="268"/>
        <v>20842.5</v>
      </c>
      <c r="AG623" s="68"/>
      <c r="AH623" s="68"/>
    </row>
    <row r="624" spans="2:34">
      <c r="B624" s="1">
        <v>6</v>
      </c>
      <c r="C624" s="1">
        <f ca="1" t="shared" si="258"/>
        <v>27720000</v>
      </c>
      <c r="D624" s="1">
        <f ca="1" t="shared" si="265"/>
        <v>7560000</v>
      </c>
      <c r="E624" s="1">
        <f ca="1" t="shared" si="259"/>
        <v>47261.4912</v>
      </c>
      <c r="F624" s="1">
        <f ca="1" t="shared" si="266"/>
        <v>8709.12</v>
      </c>
      <c r="G624" s="58">
        <f ca="1" t="shared" si="260"/>
        <v>0.12</v>
      </c>
      <c r="H624" s="1">
        <f ca="1" t="shared" si="261"/>
        <v>9754.2144</v>
      </c>
      <c r="I624" s="1">
        <f t="shared" si="267"/>
        <v>3</v>
      </c>
      <c r="J624" s="1">
        <f ca="1" t="shared" si="262"/>
        <v>15</v>
      </c>
      <c r="K624" s="30">
        <v>16</v>
      </c>
      <c r="L624" s="30"/>
      <c r="M624" s="30"/>
      <c r="N624" s="30"/>
      <c r="O624" s="30"/>
      <c r="P624" s="66">
        <f t="shared" si="269"/>
        <v>0.05</v>
      </c>
      <c r="Q624" s="66">
        <f t="shared" si="270"/>
        <v>0.15</v>
      </c>
      <c r="R624" s="15">
        <f t="shared" si="271"/>
        <v>100</v>
      </c>
      <c r="S624" s="53">
        <f t="shared" si="272"/>
        <v>0.15</v>
      </c>
      <c r="T624" s="1">
        <f ca="1" t="shared" si="264"/>
        <v>133980</v>
      </c>
      <c r="U624" s="1">
        <f ca="1" t="shared" si="268"/>
        <v>25200</v>
      </c>
      <c r="AG624" s="68"/>
      <c r="AH624" s="68"/>
    </row>
    <row r="625" spans="2:34">
      <c r="B625" s="1">
        <v>7</v>
      </c>
      <c r="C625" s="1">
        <f ca="1" t="shared" si="258"/>
        <v>76104000</v>
      </c>
      <c r="D625" s="1">
        <f ca="1" t="shared" si="265"/>
        <v>48384000</v>
      </c>
      <c r="E625" s="1">
        <f ca="1" t="shared" si="259"/>
        <v>99516.2112</v>
      </c>
      <c r="F625" s="1">
        <f ca="1" t="shared" si="266"/>
        <v>52254.72</v>
      </c>
      <c r="G625" s="58">
        <f ca="1" t="shared" si="260"/>
        <v>0.135</v>
      </c>
      <c r="H625" s="1">
        <f ca="1" t="shared" si="261"/>
        <v>59309.1072</v>
      </c>
      <c r="I625" s="1">
        <f t="shared" si="267"/>
        <v>3</v>
      </c>
      <c r="J625" s="1">
        <f ca="1" t="shared" si="262"/>
        <v>18</v>
      </c>
      <c r="K625" s="30">
        <v>17</v>
      </c>
      <c r="L625" s="43">
        <v>0.1</v>
      </c>
      <c r="M625" s="30"/>
      <c r="N625" s="30"/>
      <c r="O625" s="30"/>
      <c r="P625" s="66">
        <f t="shared" si="269"/>
        <v>0.15</v>
      </c>
      <c r="Q625" s="66">
        <f t="shared" si="270"/>
        <v>0.15</v>
      </c>
      <c r="R625" s="15">
        <f t="shared" si="271"/>
        <v>100</v>
      </c>
      <c r="S625" s="53">
        <f t="shared" si="272"/>
        <v>0.15</v>
      </c>
      <c r="T625" s="1">
        <f ca="1" t="shared" si="264"/>
        <v>285810</v>
      </c>
      <c r="U625" s="1">
        <f ca="1" t="shared" si="268"/>
        <v>151830</v>
      </c>
      <c r="AG625" s="68"/>
      <c r="AH625" s="68"/>
    </row>
    <row r="626" spans="2:34">
      <c r="B626" s="1">
        <v>8</v>
      </c>
      <c r="C626" s="1">
        <f ca="1" t="shared" si="258"/>
        <v>101304000</v>
      </c>
      <c r="D626" s="1">
        <f ca="1" t="shared" si="265"/>
        <v>25200000</v>
      </c>
      <c r="E626" s="1">
        <f ca="1" t="shared" si="259"/>
        <v>122740.5312</v>
      </c>
      <c r="F626" s="1">
        <f ca="1" t="shared" si="266"/>
        <v>23224.32</v>
      </c>
      <c r="G626" s="58">
        <f ca="1" t="shared" si="260"/>
        <v>0.14</v>
      </c>
      <c r="H626" s="1">
        <f ca="1" t="shared" si="261"/>
        <v>26475.7248</v>
      </c>
      <c r="I626" s="1">
        <f t="shared" si="267"/>
        <v>1</v>
      </c>
      <c r="J626" s="1">
        <f ca="1" t="shared" si="262"/>
        <v>19</v>
      </c>
      <c r="K626" s="30">
        <v>18</v>
      </c>
      <c r="L626" s="30"/>
      <c r="M626" s="30"/>
      <c r="N626" s="30">
        <v>150</v>
      </c>
      <c r="O626" s="30"/>
      <c r="P626" s="66">
        <f t="shared" si="269"/>
        <v>0.15</v>
      </c>
      <c r="Q626" s="66">
        <f t="shared" si="270"/>
        <v>0.15</v>
      </c>
      <c r="R626" s="15">
        <f t="shared" si="271"/>
        <v>250</v>
      </c>
      <c r="S626" s="53">
        <f t="shared" si="272"/>
        <v>0.15</v>
      </c>
      <c r="T626" s="1">
        <f ca="1" t="shared" si="264"/>
        <v>354060</v>
      </c>
      <c r="U626" s="1">
        <f ca="1" t="shared" si="268"/>
        <v>68250.0000000001</v>
      </c>
      <c r="AG626" s="68"/>
      <c r="AH626" s="68"/>
    </row>
    <row r="627" spans="2:34">
      <c r="B627" s="1">
        <v>9</v>
      </c>
      <c r="C627" s="1">
        <f ca="1" t="shared" si="258"/>
        <v>160776000</v>
      </c>
      <c r="D627" s="1">
        <f ca="1" t="shared" si="265"/>
        <v>59472000</v>
      </c>
      <c r="E627" s="1">
        <f ca="1" t="shared" si="259"/>
        <v>177898.2912</v>
      </c>
      <c r="F627" s="1">
        <f ca="1" t="shared" si="266"/>
        <v>55157.76</v>
      </c>
      <c r="G627" s="58">
        <f ca="1" t="shared" si="260"/>
        <v>0.41</v>
      </c>
      <c r="H627" s="1">
        <f ca="1" t="shared" si="261"/>
        <v>77772.4416</v>
      </c>
      <c r="I627" s="1">
        <f t="shared" si="267"/>
        <v>3</v>
      </c>
      <c r="J627" s="1">
        <f ca="1" t="shared" si="262"/>
        <v>21</v>
      </c>
      <c r="K627" s="30">
        <v>21</v>
      </c>
      <c r="L627" s="30"/>
      <c r="M627" s="30"/>
      <c r="N627" s="30"/>
      <c r="O627" s="30"/>
      <c r="P627" s="66">
        <f t="shared" si="269"/>
        <v>0.15</v>
      </c>
      <c r="Q627" s="66">
        <f t="shared" si="270"/>
        <v>0.15</v>
      </c>
      <c r="R627" s="15">
        <f t="shared" si="271"/>
        <v>250</v>
      </c>
      <c r="S627" s="53">
        <f t="shared" si="272"/>
        <v>0.15</v>
      </c>
      <c r="T627" s="1">
        <f ca="1" t="shared" si="264"/>
        <v>516075</v>
      </c>
      <c r="U627" s="1">
        <f ca="1" t="shared" si="268"/>
        <v>162015</v>
      </c>
      <c r="AG627" s="68"/>
      <c r="AH627" s="68"/>
    </row>
    <row r="628" spans="2:34">
      <c r="B628" s="1">
        <v>10</v>
      </c>
      <c r="C628" s="1">
        <f ca="1" t="shared" si="258"/>
        <v>239400000</v>
      </c>
      <c r="D628" s="1">
        <f ca="1" t="shared" si="265"/>
        <v>78624000</v>
      </c>
      <c r="E628" s="1">
        <f ca="1" t="shared" si="259"/>
        <v>244668.2112</v>
      </c>
      <c r="F628" s="1">
        <f ca="1" t="shared" si="266"/>
        <v>66769.92</v>
      </c>
      <c r="G628" s="58">
        <f ca="1" t="shared" si="260"/>
        <v>0.48</v>
      </c>
      <c r="H628" s="1">
        <f ca="1" t="shared" si="261"/>
        <v>98819.4816000001</v>
      </c>
      <c r="I628" s="1">
        <f t="shared" si="267"/>
        <v>3</v>
      </c>
      <c r="J628" s="1">
        <f ca="1" t="shared" si="262"/>
        <v>23</v>
      </c>
      <c r="K628" s="30">
        <v>22</v>
      </c>
      <c r="L628" s="43">
        <v>0.15</v>
      </c>
      <c r="M628" s="43">
        <v>0.15</v>
      </c>
      <c r="N628" s="43"/>
      <c r="O628" s="43"/>
      <c r="P628" s="66">
        <f t="shared" si="269"/>
        <v>0.3</v>
      </c>
      <c r="Q628" s="66">
        <f t="shared" si="270"/>
        <v>0.3</v>
      </c>
      <c r="R628" s="15">
        <f t="shared" si="271"/>
        <v>250</v>
      </c>
      <c r="S628" s="53">
        <f t="shared" si="272"/>
        <v>0.15</v>
      </c>
      <c r="T628" s="1">
        <f ca="1" t="shared" si="264"/>
        <v>713580</v>
      </c>
      <c r="U628" s="1">
        <f ca="1" t="shared" si="268"/>
        <v>197505</v>
      </c>
      <c r="AG628" s="68"/>
      <c r="AH628" s="68"/>
    </row>
    <row r="629" spans="2:34">
      <c r="B629" s="1">
        <v>11</v>
      </c>
      <c r="C629" s="1">
        <f ca="1" t="shared" si="258"/>
        <v>350280000</v>
      </c>
      <c r="D629" s="1">
        <f ca="1" t="shared" si="265"/>
        <v>110880000</v>
      </c>
      <c r="E629" s="1">
        <f ca="1" t="shared" si="259"/>
        <v>302729.0112</v>
      </c>
      <c r="F629" s="1">
        <f ca="1" t="shared" si="266"/>
        <v>58060.7999999999</v>
      </c>
      <c r="G629" s="58">
        <f ca="1" t="shared" si="260"/>
        <v>0.49</v>
      </c>
      <c r="H629" s="1">
        <f ca="1" t="shared" si="261"/>
        <v>86510.5919999999</v>
      </c>
      <c r="I629" s="1">
        <f t="shared" si="267"/>
        <v>1</v>
      </c>
      <c r="J629" s="1">
        <f ca="1" t="shared" si="262"/>
        <v>24</v>
      </c>
      <c r="K629" s="30">
        <v>23</v>
      </c>
      <c r="L629" s="30"/>
      <c r="M629" s="30"/>
      <c r="N629" s="30"/>
      <c r="O629" s="43">
        <v>0.5</v>
      </c>
      <c r="P629" s="66">
        <f t="shared" si="269"/>
        <v>0.3</v>
      </c>
      <c r="Q629" s="66">
        <f t="shared" si="270"/>
        <v>0.3</v>
      </c>
      <c r="R629" s="15">
        <f t="shared" si="271"/>
        <v>250</v>
      </c>
      <c r="S629" s="53">
        <f t="shared" si="272"/>
        <v>0.65</v>
      </c>
      <c r="T629" s="1">
        <f ca="1" t="shared" si="264"/>
        <v>894180</v>
      </c>
      <c r="U629" s="1">
        <f ca="1" t="shared" si="268"/>
        <v>180600</v>
      </c>
      <c r="AG629" s="68"/>
      <c r="AH629" s="68"/>
    </row>
    <row r="630" spans="2:34">
      <c r="B630" s="1">
        <v>12</v>
      </c>
      <c r="C630" s="1">
        <f ca="1" t="shared" si="258"/>
        <v>652680000</v>
      </c>
      <c r="D630" s="1">
        <f ca="1" t="shared" si="265"/>
        <v>302400000</v>
      </c>
      <c r="E630" s="1">
        <f ca="1" t="shared" si="259"/>
        <v>505941.8112</v>
      </c>
      <c r="F630" s="1">
        <f ca="1" t="shared" si="266"/>
        <v>203212.8</v>
      </c>
      <c r="G630" s="58">
        <f ca="1" t="shared" si="260"/>
        <v>0.51</v>
      </c>
      <c r="H630" s="1">
        <f ca="1" t="shared" si="261"/>
        <v>306851.328</v>
      </c>
      <c r="I630" s="1">
        <f t="shared" si="267"/>
        <v>3</v>
      </c>
      <c r="J630" s="1">
        <f ca="1" t="shared" si="262"/>
        <v>26</v>
      </c>
      <c r="K630" s="30">
        <v>24</v>
      </c>
      <c r="L630" s="30"/>
      <c r="M630" s="30"/>
      <c r="N630" s="30"/>
      <c r="O630" s="30"/>
      <c r="P630" s="66">
        <f t="shared" si="269"/>
        <v>0.3</v>
      </c>
      <c r="Q630" s="66">
        <f t="shared" si="270"/>
        <v>0.3</v>
      </c>
      <c r="R630" s="15">
        <f t="shared" si="271"/>
        <v>250</v>
      </c>
      <c r="S630" s="53">
        <f t="shared" si="272"/>
        <v>0.65</v>
      </c>
      <c r="T630" s="1">
        <f ca="1" t="shared" si="264"/>
        <v>1508430</v>
      </c>
      <c r="U630" s="1">
        <f ca="1" t="shared" si="268"/>
        <v>614250</v>
      </c>
      <c r="AG630" s="68"/>
      <c r="AH630" s="68"/>
    </row>
    <row r="631" spans="2:34">
      <c r="B631" s="1">
        <v>13</v>
      </c>
      <c r="C631" s="1">
        <f ca="1" t="shared" si="258"/>
        <v>854280000</v>
      </c>
      <c r="D631" s="1">
        <f ca="1" t="shared" si="265"/>
        <v>201600000</v>
      </c>
      <c r="E631" s="1">
        <f ca="1" t="shared" si="259"/>
        <v>622063.4112</v>
      </c>
      <c r="F631" s="1">
        <f ca="1" t="shared" si="266"/>
        <v>116121.6</v>
      </c>
      <c r="G631" s="58">
        <f ca="1" t="shared" si="260"/>
        <v>0.51</v>
      </c>
      <c r="H631" s="1">
        <f ca="1" t="shared" si="261"/>
        <v>175343.616</v>
      </c>
      <c r="I631" s="1">
        <f t="shared" si="267"/>
        <v>3</v>
      </c>
      <c r="J631" s="1">
        <f ca="1" t="shared" si="262"/>
        <v>26</v>
      </c>
      <c r="K631" s="30">
        <v>26</v>
      </c>
      <c r="L631" s="30"/>
      <c r="M631" s="30"/>
      <c r="N631" s="30"/>
      <c r="O631" s="30"/>
      <c r="P631" s="66">
        <f t="shared" si="269"/>
        <v>0.3</v>
      </c>
      <c r="Q631" s="66">
        <f t="shared" si="270"/>
        <v>0.3</v>
      </c>
      <c r="R631" s="15">
        <f t="shared" si="271"/>
        <v>250</v>
      </c>
      <c r="S631" s="53">
        <f t="shared" si="272"/>
        <v>0.65</v>
      </c>
      <c r="T631" s="1">
        <f ca="1" t="shared" si="264"/>
        <v>1865430</v>
      </c>
      <c r="U631" s="1">
        <f ca="1" t="shared" si="268"/>
        <v>357000</v>
      </c>
      <c r="AG631" s="68"/>
      <c r="AH631" s="68"/>
    </row>
    <row r="632" spans="2:34">
      <c r="B632" s="1">
        <v>14</v>
      </c>
      <c r="C632" s="1">
        <f ca="1" t="shared" si="258"/>
        <v>2038680000</v>
      </c>
      <c r="D632" s="1">
        <f ca="1" t="shared" si="265"/>
        <v>1184400000</v>
      </c>
      <c r="E632" s="1">
        <f ca="1" t="shared" si="259"/>
        <v>1362338.6112</v>
      </c>
      <c r="F632" s="1">
        <f ca="1" t="shared" si="266"/>
        <v>740275.2</v>
      </c>
      <c r="G632" s="58">
        <f ca="1" t="shared" si="260"/>
        <v>0.99</v>
      </c>
      <c r="H632" s="1">
        <f ca="1" t="shared" si="261"/>
        <v>1473147.648</v>
      </c>
      <c r="I632" s="1">
        <f t="shared" si="267"/>
        <v>3</v>
      </c>
      <c r="J632" s="1">
        <f ca="1" t="shared" si="262"/>
        <v>28</v>
      </c>
      <c r="K632" s="30">
        <v>27</v>
      </c>
      <c r="L632" s="30"/>
      <c r="M632" s="43">
        <v>0.2</v>
      </c>
      <c r="N632" s="43"/>
      <c r="O632" s="43"/>
      <c r="P632" s="66">
        <f t="shared" si="269"/>
        <v>0.3</v>
      </c>
      <c r="Q632" s="66">
        <f t="shared" si="270"/>
        <v>0.5</v>
      </c>
      <c r="R632" s="15">
        <f t="shared" si="271"/>
        <v>250</v>
      </c>
      <c r="S632" s="53">
        <f t="shared" si="272"/>
        <v>0.65</v>
      </c>
      <c r="T632" s="1">
        <f ca="1" t="shared" si="264"/>
        <v>4120305</v>
      </c>
      <c r="U632" s="1">
        <f ca="1" t="shared" si="268"/>
        <v>2254875</v>
      </c>
      <c r="AG632" s="68"/>
      <c r="AH632" s="68"/>
    </row>
    <row r="633" spans="2:34">
      <c r="B633" s="1">
        <v>15</v>
      </c>
      <c r="C633" s="1">
        <f ca="1" t="shared" si="258"/>
        <v>3413880000</v>
      </c>
      <c r="D633" s="1">
        <f ca="1" t="shared" si="265"/>
        <v>1375200000</v>
      </c>
      <c r="E633" s="1">
        <f ca="1" t="shared" si="259"/>
        <v>2158601.0112</v>
      </c>
      <c r="F633" s="1">
        <f ca="1" t="shared" si="266"/>
        <v>796262.4</v>
      </c>
      <c r="G633" s="58">
        <f ca="1" t="shared" si="260"/>
        <v>1.005</v>
      </c>
      <c r="H633" s="1">
        <f ca="1" t="shared" si="261"/>
        <v>1596506.112</v>
      </c>
      <c r="I633" s="1">
        <f t="shared" si="267"/>
        <v>3</v>
      </c>
      <c r="J633" s="1">
        <f ca="1" t="shared" si="262"/>
        <v>29</v>
      </c>
      <c r="K633" s="30">
        <v>28</v>
      </c>
      <c r="L633" s="43">
        <v>0.2</v>
      </c>
      <c r="M633" s="30"/>
      <c r="N633" s="30"/>
      <c r="O633" s="30"/>
      <c r="P633" s="66">
        <f t="shared" si="269"/>
        <v>0.5</v>
      </c>
      <c r="Q633" s="66">
        <f t="shared" si="270"/>
        <v>0.5</v>
      </c>
      <c r="R633" s="15">
        <f t="shared" si="271"/>
        <v>250</v>
      </c>
      <c r="S633" s="53">
        <f t="shared" si="272"/>
        <v>0.65</v>
      </c>
      <c r="T633" s="1">
        <f ca="1" t="shared" si="264"/>
        <v>6566805</v>
      </c>
      <c r="U633" s="1">
        <f ca="1" t="shared" si="268"/>
        <v>2446500</v>
      </c>
      <c r="AG633" s="68"/>
      <c r="AH633" s="68"/>
    </row>
    <row r="634" spans="2:34">
      <c r="B634" s="1">
        <v>16</v>
      </c>
      <c r="C634" s="1">
        <f ca="1" t="shared" si="258"/>
        <v>4105080000</v>
      </c>
      <c r="D634" s="1">
        <f ca="1" t="shared" si="265"/>
        <v>691200000</v>
      </c>
      <c r="E634" s="1">
        <f ca="1" t="shared" si="259"/>
        <v>2560879.4112</v>
      </c>
      <c r="F634" s="1">
        <f ca="1" t="shared" si="266"/>
        <v>402278.4</v>
      </c>
      <c r="G634" s="58">
        <f ca="1" t="shared" si="260"/>
        <v>1.02</v>
      </c>
      <c r="H634" s="1">
        <f ca="1" t="shared" si="261"/>
        <v>812602.368000001</v>
      </c>
      <c r="I634" s="1">
        <f t="shared" si="267"/>
        <v>1</v>
      </c>
      <c r="J634" s="1">
        <f ca="1" t="shared" si="262"/>
        <v>30</v>
      </c>
      <c r="K634" s="30">
        <v>29</v>
      </c>
      <c r="L634" s="30"/>
      <c r="M634" s="30"/>
      <c r="N634" s="30">
        <v>250</v>
      </c>
      <c r="O634" s="30"/>
      <c r="P634" s="66">
        <f t="shared" si="269"/>
        <v>0.5</v>
      </c>
      <c r="Q634" s="66">
        <f t="shared" si="270"/>
        <v>0.5</v>
      </c>
      <c r="R634" s="15">
        <f t="shared" si="271"/>
        <v>500</v>
      </c>
      <c r="S634" s="53">
        <f t="shared" si="272"/>
        <v>0.65</v>
      </c>
      <c r="T634" s="1">
        <f ca="1" t="shared" si="264"/>
        <v>7802055</v>
      </c>
      <c r="U634" s="1">
        <f ca="1" t="shared" si="268"/>
        <v>1235250</v>
      </c>
      <c r="AG634" s="68"/>
      <c r="AH634" s="68"/>
    </row>
    <row r="635" spans="2:34">
      <c r="B635" s="1">
        <v>17</v>
      </c>
      <c r="C635" s="1">
        <f ca="1" t="shared" si="258"/>
        <v>6236280000</v>
      </c>
      <c r="D635" s="1">
        <f ca="1" t="shared" si="265"/>
        <v>2131200000</v>
      </c>
      <c r="E635" s="1">
        <f ca="1" t="shared" si="259"/>
        <v>3796745.0112</v>
      </c>
      <c r="F635" s="1">
        <f ca="1" t="shared" si="266"/>
        <v>1235865.6</v>
      </c>
      <c r="G635" s="58">
        <f ca="1" t="shared" si="260"/>
        <v>1.05</v>
      </c>
      <c r="H635" s="1">
        <f ca="1" t="shared" si="261"/>
        <v>2533524.48</v>
      </c>
      <c r="I635" s="1">
        <f t="shared" si="267"/>
        <v>2</v>
      </c>
      <c r="J635" s="1">
        <f ca="1" t="shared" si="262"/>
        <v>31</v>
      </c>
      <c r="K635" s="30">
        <v>30</v>
      </c>
      <c r="L635" s="43">
        <v>0.25</v>
      </c>
      <c r="M635" s="43">
        <v>0.25</v>
      </c>
      <c r="N635" s="43"/>
      <c r="O635" s="43"/>
      <c r="P635" s="66">
        <f t="shared" si="269"/>
        <v>0.75</v>
      </c>
      <c r="Q635" s="66">
        <f t="shared" si="270"/>
        <v>0.75</v>
      </c>
      <c r="R635" s="15">
        <f t="shared" si="271"/>
        <v>500</v>
      </c>
      <c r="S635" s="53">
        <f t="shared" si="272"/>
        <v>0.65</v>
      </c>
      <c r="T635" s="1">
        <f ca="1" t="shared" si="264"/>
        <v>11598555</v>
      </c>
      <c r="U635" s="1">
        <f ca="1" t="shared" si="268"/>
        <v>3796500</v>
      </c>
      <c r="AG635" s="68"/>
      <c r="AH635" s="68"/>
    </row>
    <row r="636" spans="2:34">
      <c r="B636" s="1">
        <v>18</v>
      </c>
      <c r="C636" s="1">
        <f ca="1" t="shared" si="258"/>
        <v>6956280000</v>
      </c>
      <c r="D636" s="1">
        <f ca="1" t="shared" si="265"/>
        <v>720000000</v>
      </c>
      <c r="E636" s="1">
        <f ca="1" t="shared" si="259"/>
        <v>4211465.0112</v>
      </c>
      <c r="F636" s="1">
        <f ca="1" t="shared" si="266"/>
        <v>414720</v>
      </c>
      <c r="G636" s="58">
        <f ca="1" t="shared" si="260"/>
        <v>1.15</v>
      </c>
      <c r="H636" s="1">
        <f ca="1" t="shared" si="261"/>
        <v>891648</v>
      </c>
      <c r="I636" s="1">
        <f t="shared" si="267"/>
        <v>3</v>
      </c>
      <c r="J636" s="1">
        <f ca="1" t="shared" si="262"/>
        <v>32</v>
      </c>
      <c r="K636" s="30">
        <v>32</v>
      </c>
      <c r="L636" s="30"/>
      <c r="M636" s="30"/>
      <c r="N636" s="30"/>
      <c r="O636" s="30"/>
      <c r="P636" s="66">
        <f t="shared" si="269"/>
        <v>0.75</v>
      </c>
      <c r="Q636" s="66">
        <f t="shared" si="270"/>
        <v>0.75</v>
      </c>
      <c r="R636" s="15">
        <f t="shared" si="271"/>
        <v>500</v>
      </c>
      <c r="S636" s="53">
        <f t="shared" si="272"/>
        <v>0.65</v>
      </c>
      <c r="T636" s="1">
        <f ca="1" t="shared" si="264"/>
        <v>12873555</v>
      </c>
      <c r="U636" s="1">
        <f ca="1" t="shared" si="268"/>
        <v>1275000</v>
      </c>
      <c r="AG636" s="68"/>
      <c r="AH636" s="68"/>
    </row>
    <row r="637" spans="29:30">
      <c r="AC637" s="68"/>
      <c r="AD637" s="68"/>
    </row>
    <row r="638" spans="2:12">
      <c r="B638" s="27" t="s">
        <v>939</v>
      </c>
      <c r="C638" s="27"/>
      <c r="D638" s="27"/>
      <c r="E638" s="27"/>
      <c r="F638" s="27"/>
      <c r="G638" s="27"/>
      <c r="H638" s="27"/>
      <c r="I638" s="27"/>
      <c r="J638" s="27"/>
      <c r="K638" s="27"/>
      <c r="L638" s="27"/>
    </row>
    <row r="640" spans="2:8">
      <c r="B640" s="1" t="s">
        <v>940</v>
      </c>
      <c r="C640" s="1" t="s">
        <v>799</v>
      </c>
      <c r="D640" s="1" t="s">
        <v>941</v>
      </c>
      <c r="F640" s="1" t="s">
        <v>942</v>
      </c>
      <c r="G640" s="1" t="s">
        <v>799</v>
      </c>
      <c r="H640" s="1" t="s">
        <v>941</v>
      </c>
    </row>
    <row r="641" spans="2:13">
      <c r="B641" s="1">
        <v>1</v>
      </c>
      <c r="C641" s="69">
        <v>1</v>
      </c>
      <c r="D641" s="42">
        <f t="shared" ref="D641:D645" si="273">C641/SUM($C$641:$C$645)</f>
        <v>0.0476190476190476</v>
      </c>
      <c r="F641" s="1">
        <v>1</v>
      </c>
      <c r="G641" s="30">
        <v>2</v>
      </c>
      <c r="H641" s="68">
        <f t="shared" ref="H641:H650" si="274">G641/(SUM($G$641:$G$650))</f>
        <v>0.00909090909090909</v>
      </c>
      <c r="M641" s="13"/>
    </row>
    <row r="642" spans="2:13">
      <c r="B642" s="1">
        <v>2</v>
      </c>
      <c r="C642" s="69">
        <v>2</v>
      </c>
      <c r="D642" s="42">
        <f t="shared" si="273"/>
        <v>0.0952380952380952</v>
      </c>
      <c r="F642" s="1">
        <v>2</v>
      </c>
      <c r="G642" s="30">
        <v>3</v>
      </c>
      <c r="H642" s="68">
        <f t="shared" si="274"/>
        <v>0.0136363636363636</v>
      </c>
      <c r="M642" s="13"/>
    </row>
    <row r="643" spans="2:13">
      <c r="B643" s="1">
        <v>3</v>
      </c>
      <c r="C643" s="69">
        <v>3</v>
      </c>
      <c r="D643" s="42">
        <f t="shared" si="273"/>
        <v>0.142857142857143</v>
      </c>
      <c r="F643" s="1">
        <v>3</v>
      </c>
      <c r="G643" s="30">
        <v>4</v>
      </c>
      <c r="H643" s="68">
        <f t="shared" si="274"/>
        <v>0.0181818181818182</v>
      </c>
      <c r="M643" s="13"/>
    </row>
    <row r="644" spans="2:13">
      <c r="B644" s="1">
        <v>4</v>
      </c>
      <c r="C644" s="69">
        <v>5</v>
      </c>
      <c r="D644" s="42">
        <f t="shared" si="273"/>
        <v>0.238095238095238</v>
      </c>
      <c r="F644" s="1">
        <v>4</v>
      </c>
      <c r="G644" s="30">
        <v>6</v>
      </c>
      <c r="H644" s="68">
        <f t="shared" si="274"/>
        <v>0.0272727272727273</v>
      </c>
      <c r="M644" s="13"/>
    </row>
    <row r="645" spans="2:13">
      <c r="B645" s="1">
        <v>5</v>
      </c>
      <c r="C645" s="69">
        <v>10</v>
      </c>
      <c r="D645" s="42">
        <f t="shared" si="273"/>
        <v>0.476190476190476</v>
      </c>
      <c r="F645" s="1">
        <v>5</v>
      </c>
      <c r="G645" s="30">
        <v>10</v>
      </c>
      <c r="H645" s="68">
        <f t="shared" si="274"/>
        <v>0.0454545454545455</v>
      </c>
      <c r="M645" s="13"/>
    </row>
    <row r="646" spans="6:13">
      <c r="F646" s="1">
        <v>6</v>
      </c>
      <c r="G646" s="30">
        <v>15</v>
      </c>
      <c r="H646" s="68">
        <f t="shared" si="274"/>
        <v>0.0681818181818182</v>
      </c>
      <c r="M646" s="13"/>
    </row>
    <row r="647" spans="6:13">
      <c r="F647" s="1">
        <v>7</v>
      </c>
      <c r="G647" s="30">
        <v>20</v>
      </c>
      <c r="H647" s="68">
        <f t="shared" si="274"/>
        <v>0.0909090909090909</v>
      </c>
      <c r="M647" s="13"/>
    </row>
    <row r="648" spans="6:13">
      <c r="F648" s="1">
        <v>8</v>
      </c>
      <c r="G648" s="30">
        <v>30</v>
      </c>
      <c r="H648" s="68">
        <f t="shared" si="274"/>
        <v>0.136363636363636</v>
      </c>
      <c r="M648" s="13"/>
    </row>
    <row r="649" spans="6:13">
      <c r="F649" s="1">
        <v>9</v>
      </c>
      <c r="G649" s="30">
        <v>50</v>
      </c>
      <c r="H649" s="68">
        <f t="shared" si="274"/>
        <v>0.227272727272727</v>
      </c>
      <c r="M649" s="13"/>
    </row>
    <row r="650" spans="6:13">
      <c r="F650" s="1">
        <v>10</v>
      </c>
      <c r="G650" s="30">
        <v>80</v>
      </c>
      <c r="H650" s="68">
        <f t="shared" si="274"/>
        <v>0.363636363636364</v>
      </c>
      <c r="M650" s="13"/>
    </row>
    <row r="651" spans="13:13">
      <c r="M651" s="13"/>
    </row>
    <row r="652" spans="13:13">
      <c r="M652" s="13"/>
    </row>
    <row r="653" s="25" customFormat="1" spans="1:5">
      <c r="A653" s="2" t="s">
        <v>454</v>
      </c>
      <c r="B653" s="2"/>
      <c r="C653" s="41" t="s">
        <v>436</v>
      </c>
      <c r="E653" s="41"/>
    </row>
    <row r="655" spans="2:12">
      <c r="B655" s="27" t="s">
        <v>943</v>
      </c>
      <c r="C655" s="27"/>
      <c r="D655" s="27"/>
      <c r="E655" s="27"/>
      <c r="F655" s="27"/>
      <c r="G655" s="27"/>
      <c r="H655" s="27"/>
      <c r="I655" s="27"/>
      <c r="J655" s="27"/>
      <c r="K655" s="27"/>
      <c r="L655" s="27"/>
    </row>
    <row r="657" spans="2:6">
      <c r="B657" s="1" t="s">
        <v>944</v>
      </c>
      <c r="E657" s="1">
        <f>总规划!$D$107</f>
        <v>1500</v>
      </c>
      <c r="F657" s="1" t="str">
        <f>总规划!$C$107</f>
        <v>1四星卡</v>
      </c>
    </row>
    <row r="658" spans="2:5">
      <c r="B658" s="1" t="s">
        <v>945</v>
      </c>
      <c r="E658" s="13">
        <f>总规划!$F$140</f>
        <v>0.04</v>
      </c>
    </row>
    <row r="659" spans="2:5">
      <c r="B659" s="1" t="s">
        <v>946</v>
      </c>
      <c r="E659" s="13">
        <f>总规划!$F$141</f>
        <v>0.04</v>
      </c>
    </row>
    <row r="660" spans="2:5">
      <c r="B660" s="1" t="s">
        <v>947</v>
      </c>
      <c r="E660" s="13">
        <f>总规划!$F$142</f>
        <v>0.06</v>
      </c>
    </row>
    <row r="661" spans="2:5">
      <c r="B661" s="1" t="s">
        <v>948</v>
      </c>
      <c r="E661" s="13">
        <f>总规划!$F$143</f>
        <v>0.08</v>
      </c>
    </row>
    <row r="662" spans="2:5">
      <c r="B662" s="1" t="s">
        <v>949</v>
      </c>
      <c r="E662" s="13">
        <f>总规划!$F$144</f>
        <v>0.03</v>
      </c>
    </row>
    <row r="663" spans="2:5">
      <c r="B663" s="1" t="s">
        <v>950</v>
      </c>
      <c r="E663" s="13">
        <f>总规划!$F$146</f>
        <v>0.4</v>
      </c>
    </row>
    <row r="664" spans="5:5">
      <c r="E664" s="13"/>
    </row>
    <row r="665" spans="5:5">
      <c r="E665" s="13"/>
    </row>
    <row r="666" spans="5:5">
      <c r="E666" s="13"/>
    </row>
    <row r="667" spans="5:5">
      <c r="E667" s="13"/>
    </row>
    <row r="668" spans="5:5">
      <c r="E668" s="13"/>
    </row>
    <row r="669" spans="5:5">
      <c r="E669" s="13"/>
    </row>
    <row r="670" spans="5:5">
      <c r="E670" s="13"/>
    </row>
    <row r="671" spans="5:5">
      <c r="E671" s="13"/>
    </row>
    <row r="672" spans="5:5">
      <c r="E672" s="13"/>
    </row>
    <row r="673" spans="5:5">
      <c r="E673" s="13"/>
    </row>
    <row r="674" spans="5:5">
      <c r="E674" s="13"/>
    </row>
    <row r="675" spans="5:5">
      <c r="E675" s="13"/>
    </row>
    <row r="676" spans="5:5">
      <c r="E676" s="13"/>
    </row>
    <row r="677" spans="5:5">
      <c r="E677" s="13"/>
    </row>
    <row r="678" spans="5:5">
      <c r="E678" s="13"/>
    </row>
    <row r="679" spans="5:5">
      <c r="E679" s="13"/>
    </row>
    <row r="680" spans="5:5">
      <c r="E680" s="13"/>
    </row>
    <row r="681" spans="5:5">
      <c r="E681" s="13"/>
    </row>
    <row r="682" spans="5:5">
      <c r="E682" s="13"/>
    </row>
    <row r="683" spans="5:5">
      <c r="E683" s="13"/>
    </row>
    <row r="684" spans="5:5">
      <c r="E684" s="13"/>
    </row>
    <row r="685" spans="5:5">
      <c r="E685" s="13"/>
    </row>
    <row r="686" spans="5:5">
      <c r="E686" s="13"/>
    </row>
    <row r="687" spans="5:5">
      <c r="E687" s="13"/>
    </row>
    <row r="688" spans="5:5">
      <c r="E688" s="13"/>
    </row>
    <row r="689" spans="5:5">
      <c r="E689" s="13"/>
    </row>
    <row r="690" spans="2:12">
      <c r="B690" s="27" t="s">
        <v>951</v>
      </c>
      <c r="C690" s="27"/>
      <c r="D690" s="27"/>
      <c r="E690" s="27"/>
      <c r="F690" s="27"/>
      <c r="G690" s="27"/>
      <c r="H690" s="27"/>
      <c r="I690" s="27"/>
      <c r="J690" s="27"/>
      <c r="K690" s="27"/>
      <c r="L690" s="27"/>
    </row>
    <row r="692" spans="2:5">
      <c r="B692" s="1" t="s">
        <v>952</v>
      </c>
      <c r="E692" s="43">
        <v>0.75</v>
      </c>
    </row>
    <row r="693" spans="2:6">
      <c r="B693" s="1" t="s">
        <v>953</v>
      </c>
      <c r="E693" s="8">
        <f>E692*总规划!$G$107/总规划!$G$110*1000</f>
        <v>30</v>
      </c>
      <c r="F693" s="1" t="s">
        <v>458</v>
      </c>
    </row>
    <row r="694" spans="5:5">
      <c r="E694" s="8"/>
    </row>
    <row r="695" spans="2:5">
      <c r="B695" s="1" t="s">
        <v>954</v>
      </c>
      <c r="E695" s="60">
        <v>50</v>
      </c>
    </row>
    <row r="696" spans="2:5">
      <c r="B696" s="1" t="s">
        <v>955</v>
      </c>
      <c r="E696" s="60">
        <v>50</v>
      </c>
    </row>
    <row r="697" spans="2:6">
      <c r="B697" s="1" t="s">
        <v>956</v>
      </c>
      <c r="E697" s="8">
        <f>1/E695</f>
        <v>0.02</v>
      </c>
      <c r="F697" s="1" t="str">
        <f>总规划!$C$107</f>
        <v>1四星卡</v>
      </c>
    </row>
    <row r="698" spans="2:6">
      <c r="B698" s="1" t="s">
        <v>957</v>
      </c>
      <c r="E698" s="8">
        <f>$L$786/E696</f>
        <v>0.18</v>
      </c>
      <c r="F698" s="1" t="str">
        <f>总规划!$C$107</f>
        <v>1四星卡</v>
      </c>
    </row>
    <row r="700" spans="2:5">
      <c r="B700" s="1" t="s">
        <v>958</v>
      </c>
      <c r="E700" s="70">
        <v>0.2</v>
      </c>
    </row>
    <row r="702" spans="2:12">
      <c r="B702" s="27" t="s">
        <v>959</v>
      </c>
      <c r="C702" s="27"/>
      <c r="D702" s="27"/>
      <c r="E702" s="27"/>
      <c r="F702" s="27"/>
      <c r="G702" s="27"/>
      <c r="H702" s="27"/>
      <c r="I702" s="27"/>
      <c r="J702" s="27"/>
      <c r="K702" s="27"/>
      <c r="L702" s="27"/>
    </row>
    <row r="704" spans="2:27">
      <c r="B704" s="1" t="s">
        <v>382</v>
      </c>
      <c r="C704" s="1" t="s">
        <v>678</v>
      </c>
      <c r="D704" s="1" t="s">
        <v>453</v>
      </c>
      <c r="E704" s="1" t="s">
        <v>960</v>
      </c>
      <c r="F704" s="15" t="s">
        <v>961</v>
      </c>
      <c r="G704" s="15" t="s">
        <v>962</v>
      </c>
      <c r="H704" s="15" t="s">
        <v>963</v>
      </c>
      <c r="I704" s="15" t="s">
        <v>964</v>
      </c>
      <c r="J704" s="15" t="s">
        <v>965</v>
      </c>
      <c r="K704" s="15" t="s">
        <v>966</v>
      </c>
      <c r="L704" s="15" t="s">
        <v>967</v>
      </c>
      <c r="M704" s="15" t="s">
        <v>968</v>
      </c>
      <c r="N704" s="1" t="s">
        <v>969</v>
      </c>
      <c r="O704" s="1" t="s">
        <v>970</v>
      </c>
      <c r="P704" s="1" t="s">
        <v>753</v>
      </c>
      <c r="Q704" s="1" t="s">
        <v>754</v>
      </c>
      <c r="S704" s="45" t="s">
        <v>961</v>
      </c>
      <c r="T704" s="45" t="s">
        <v>962</v>
      </c>
      <c r="U704" s="45" t="s">
        <v>963</v>
      </c>
      <c r="V704" s="45" t="s">
        <v>964</v>
      </c>
      <c r="W704" s="45" t="s">
        <v>965</v>
      </c>
      <c r="X704" s="45" t="s">
        <v>966</v>
      </c>
      <c r="Y704" s="45" t="s">
        <v>967</v>
      </c>
      <c r="Z704" s="45" t="s">
        <v>968</v>
      </c>
      <c r="AA704" s="44" t="s">
        <v>971</v>
      </c>
    </row>
    <row r="705" spans="2:27">
      <c r="B705" s="7">
        <v>0</v>
      </c>
      <c r="C705" s="1">
        <f ca="1">IF(养成规划!E6="",INDIRECT(ADDRESS(ROW()-1,COLUMN())),养成规划!E6)</f>
        <v>1</v>
      </c>
      <c r="D705" s="1">
        <f>IF(养成规划!G6="","",养成规划!G6)</f>
        <v>0</v>
      </c>
      <c r="E705" s="1" t="str">
        <f ca="1" t="shared" ref="E705:E736" si="275">IF(OR(D705="",D705&lt;4),"",C705*OFFSET($L$784,MATCH(D705,$B$784:$B$792,0)-1,0))</f>
        <v/>
      </c>
      <c r="F705" s="15">
        <f ca="1">'204_军官任务'!R6</f>
        <v>0</v>
      </c>
      <c r="G705" s="15">
        <f>'205_每日任务'!K6</f>
        <v>0</v>
      </c>
      <c r="H705" s="15">
        <f ca="1">'206_副本挂机'!M125</f>
        <v>0</v>
      </c>
      <c r="I705" s="15">
        <f ca="1">'207_空投'!J6</f>
        <v>0</v>
      </c>
      <c r="J705" s="15">
        <f ca="1">'208_黑市'!I6</f>
        <v>0</v>
      </c>
      <c r="K705" s="15">
        <f ca="1">'210_活动'!O6</f>
        <v>0</v>
      </c>
      <c r="L705" s="15">
        <f ca="1">'211_VIP宝箱'!I6</f>
        <v>0</v>
      </c>
      <c r="M705" s="15">
        <f ca="1">'212_VIP商店'!I6</f>
        <v>0</v>
      </c>
      <c r="N705" s="1" t="str">
        <f ca="1" t="shared" ref="N705:N736" si="276">IFERROR(E705*(1+$E$700),"")</f>
        <v/>
      </c>
      <c r="O705" s="1">
        <f ca="1" t="shared" ref="O705:O736" si="277">SUM(F705:M705)</f>
        <v>0</v>
      </c>
      <c r="P705" s="30"/>
      <c r="Q705" s="30"/>
      <c r="S705" s="45">
        <v>0</v>
      </c>
      <c r="T705" s="45">
        <v>0</v>
      </c>
      <c r="U705" s="45">
        <v>0</v>
      </c>
      <c r="V705" s="45">
        <v>0</v>
      </c>
      <c r="W705" s="45">
        <v>0</v>
      </c>
      <c r="X705" s="45">
        <v>0</v>
      </c>
      <c r="Y705" s="45">
        <v>0</v>
      </c>
      <c r="Z705" s="45">
        <v>0</v>
      </c>
      <c r="AA705" s="44">
        <f t="shared" ref="AA705:AA736" si="278">SUM(S705:Z705)</f>
        <v>0</v>
      </c>
    </row>
    <row r="706" spans="2:27">
      <c r="B706" s="7">
        <v>0.1</v>
      </c>
      <c r="C706" s="1">
        <f ca="1">IF(养成规划!E7="",INDIRECT(ADDRESS(ROW()-1,COLUMN())),养成规划!E7)</f>
        <v>2</v>
      </c>
      <c r="D706" s="1">
        <f>IF(养成规划!G7="","",养成规划!G7)</f>
        <v>3</v>
      </c>
      <c r="E706" s="1" t="str">
        <f ca="1" t="shared" si="275"/>
        <v/>
      </c>
      <c r="F706" s="15">
        <f ca="1">'204_军官任务'!R7</f>
        <v>0</v>
      </c>
      <c r="G706" s="15">
        <f>'205_每日任务'!K7</f>
        <v>0.2</v>
      </c>
      <c r="H706" s="15">
        <f ca="1">'206_副本挂机'!M126</f>
        <v>0</v>
      </c>
      <c r="I706" s="15">
        <f ca="1">'207_空投'!J7</f>
        <v>0.0533333333333332</v>
      </c>
      <c r="J706" s="15">
        <f ca="1">'208_黑市'!I7</f>
        <v>0.015</v>
      </c>
      <c r="K706" s="15">
        <f ca="1">'210_活动'!O7</f>
        <v>0</v>
      </c>
      <c r="L706" s="15">
        <f ca="1">'211_VIP宝箱'!I7</f>
        <v>0</v>
      </c>
      <c r="M706" s="15">
        <f ca="1">'212_VIP商店'!I7</f>
        <v>0</v>
      </c>
      <c r="N706" s="1" t="str">
        <f ca="1" t="shared" si="276"/>
        <v/>
      </c>
      <c r="O706" s="1">
        <f ca="1" t="shared" si="277"/>
        <v>0.268333333333333</v>
      </c>
      <c r="P706" s="30"/>
      <c r="Q706" s="30"/>
      <c r="S706" s="45">
        <f ca="1" t="shared" ref="S706:S737" si="279">(F706-F705)/($B706-$B705)</f>
        <v>0</v>
      </c>
      <c r="T706" s="45">
        <f t="shared" ref="T706:T737" si="280">(G706-G705)/($B706-$B705)</f>
        <v>2</v>
      </c>
      <c r="U706" s="45">
        <f ca="1" t="shared" ref="U706:U737" si="281">(H706-H705)/($B706-$B705)</f>
        <v>0</v>
      </c>
      <c r="V706" s="45">
        <f ca="1" t="shared" ref="V706:V737" si="282">(I706-I705)/($B706-$B705)</f>
        <v>0.533333333333332</v>
      </c>
      <c r="W706" s="45">
        <f ca="1" t="shared" ref="W706:W737" si="283">(J706-J705)/($B706-$B705)</f>
        <v>0.15</v>
      </c>
      <c r="X706" s="45">
        <f ca="1" t="shared" ref="X706:X737" si="284">(K706-K705)/($B706-$B705)</f>
        <v>0</v>
      </c>
      <c r="Y706" s="45">
        <f ca="1" t="shared" ref="Y706:Y737" si="285">(L706-L705)/($B706-$B705)</f>
        <v>0</v>
      </c>
      <c r="Z706" s="45">
        <f ca="1" t="shared" ref="Z706:Z737" si="286">(M706-M705)/($B706-$B705)</f>
        <v>0</v>
      </c>
      <c r="AA706" s="44">
        <f ca="1" t="shared" si="278"/>
        <v>2.68333333333333</v>
      </c>
    </row>
    <row r="707" spans="2:27">
      <c r="B707" s="7">
        <v>0.2</v>
      </c>
      <c r="C707" s="1">
        <f ca="1">IF(养成规划!E8="",INDIRECT(ADDRESS(ROW()-1,COLUMN())),养成规划!E8)</f>
        <v>2</v>
      </c>
      <c r="D707" s="1">
        <f>IF(养成规划!G8="","",养成规划!G8)</f>
        <v>4</v>
      </c>
      <c r="E707" s="1">
        <f ca="1" t="shared" si="275"/>
        <v>2</v>
      </c>
      <c r="F707" s="15">
        <f ca="1">'204_军官任务'!R8</f>
        <v>0</v>
      </c>
      <c r="G707" s="15">
        <f>'205_每日任务'!K8</f>
        <v>0.4</v>
      </c>
      <c r="H707" s="15">
        <f ca="1">'206_副本挂机'!M127</f>
        <v>0.002976</v>
      </c>
      <c r="I707" s="15">
        <f ca="1">'207_空投'!J8</f>
        <v>0.106666666666666</v>
      </c>
      <c r="J707" s="15">
        <f ca="1">'208_黑市'!I8</f>
        <v>0.03</v>
      </c>
      <c r="K707" s="15">
        <f ca="1">'210_活动'!O8</f>
        <v>0</v>
      </c>
      <c r="L707" s="15">
        <f ca="1">'211_VIP宝箱'!I8</f>
        <v>0</v>
      </c>
      <c r="M707" s="15">
        <f ca="1">'212_VIP商店'!I8</f>
        <v>0</v>
      </c>
      <c r="N707" s="1">
        <f ca="1" t="shared" si="276"/>
        <v>2.4</v>
      </c>
      <c r="O707" s="1">
        <f ca="1" t="shared" si="277"/>
        <v>0.539642666666666</v>
      </c>
      <c r="P707" s="30"/>
      <c r="Q707" s="30"/>
      <c r="S707" s="45">
        <f ca="1" t="shared" si="279"/>
        <v>0</v>
      </c>
      <c r="T707" s="45">
        <f t="shared" si="280"/>
        <v>2</v>
      </c>
      <c r="U707" s="45">
        <f ca="1" t="shared" si="281"/>
        <v>0.02976</v>
      </c>
      <c r="V707" s="45">
        <f ca="1" t="shared" si="282"/>
        <v>0.533333333333332</v>
      </c>
      <c r="W707" s="45">
        <f ca="1" t="shared" si="283"/>
        <v>0.15</v>
      </c>
      <c r="X707" s="45">
        <f ca="1" t="shared" si="284"/>
        <v>0</v>
      </c>
      <c r="Y707" s="45">
        <f ca="1" t="shared" si="285"/>
        <v>0</v>
      </c>
      <c r="Z707" s="45">
        <f ca="1" t="shared" si="286"/>
        <v>0</v>
      </c>
      <c r="AA707" s="44">
        <f ca="1" t="shared" si="278"/>
        <v>2.71309333333333</v>
      </c>
    </row>
    <row r="708" spans="2:27">
      <c r="B708" s="7">
        <v>0.3</v>
      </c>
      <c r="C708" s="1">
        <f ca="1">IF(养成规划!E9="",INDIRECT(ADDRESS(ROW()-1,COLUMN())),养成规划!E9)</f>
        <v>2</v>
      </c>
      <c r="D708" s="1" t="str">
        <f>IF(养成规划!G9="","",养成规划!G9)</f>
        <v/>
      </c>
      <c r="E708" s="1" t="str">
        <f ca="1" t="shared" si="275"/>
        <v/>
      </c>
      <c r="F708" s="15">
        <f ca="1">'204_军官任务'!R9</f>
        <v>0</v>
      </c>
      <c r="G708" s="15">
        <f>'205_每日任务'!K9</f>
        <v>0.6</v>
      </c>
      <c r="H708" s="15">
        <f ca="1">'206_副本挂机'!M128</f>
        <v>0.005952</v>
      </c>
      <c r="I708" s="15">
        <f ca="1">'207_空投'!J9</f>
        <v>0.16</v>
      </c>
      <c r="J708" s="15">
        <f ca="1">'208_黑市'!I9</f>
        <v>0.045</v>
      </c>
      <c r="K708" s="15">
        <f ca="1">'210_活动'!O9</f>
        <v>0</v>
      </c>
      <c r="L708" s="15">
        <f ca="1">'211_VIP宝箱'!I9</f>
        <v>0</v>
      </c>
      <c r="M708" s="15">
        <f ca="1">'212_VIP商店'!I9</f>
        <v>0</v>
      </c>
      <c r="N708" s="1" t="str">
        <f ca="1" t="shared" si="276"/>
        <v/>
      </c>
      <c r="O708" s="1">
        <f ca="1" t="shared" si="277"/>
        <v>0.810952</v>
      </c>
      <c r="P708" s="30"/>
      <c r="Q708" s="30"/>
      <c r="S708" s="45">
        <f ca="1" t="shared" si="279"/>
        <v>0</v>
      </c>
      <c r="T708" s="45">
        <f t="shared" si="280"/>
        <v>2</v>
      </c>
      <c r="U708" s="45">
        <f ca="1" t="shared" si="281"/>
        <v>0.02976</v>
      </c>
      <c r="V708" s="45">
        <f ca="1" t="shared" si="282"/>
        <v>0.533333333333332</v>
      </c>
      <c r="W708" s="45">
        <f ca="1" t="shared" si="283"/>
        <v>0.15</v>
      </c>
      <c r="X708" s="45">
        <f ca="1" t="shared" si="284"/>
        <v>0</v>
      </c>
      <c r="Y708" s="45">
        <f ca="1" t="shared" si="285"/>
        <v>0</v>
      </c>
      <c r="Z708" s="45">
        <f ca="1" t="shared" si="286"/>
        <v>0</v>
      </c>
      <c r="AA708" s="44">
        <f ca="1" t="shared" si="278"/>
        <v>2.71309333333333</v>
      </c>
    </row>
    <row r="709" spans="2:27">
      <c r="B709" s="7">
        <v>0.4</v>
      </c>
      <c r="C709" s="1">
        <f ca="1">IF(养成规划!E10="",INDIRECT(ADDRESS(ROW()-1,COLUMN())),养成规划!E10)</f>
        <v>3</v>
      </c>
      <c r="D709" s="1">
        <f>IF(养成规划!G10="","",养成规划!G10)</f>
        <v>4.1</v>
      </c>
      <c r="E709" s="1">
        <f ca="1" t="shared" si="275"/>
        <v>9</v>
      </c>
      <c r="F709" s="15">
        <f ca="1">'204_军官任务'!R10</f>
        <v>0</v>
      </c>
      <c r="G709" s="15">
        <f>'205_每日任务'!K10</f>
        <v>0.8</v>
      </c>
      <c r="H709" s="15">
        <f ca="1">'206_副本挂机'!M129</f>
        <v>0.011904</v>
      </c>
      <c r="I709" s="15">
        <f ca="1">'207_空投'!J10</f>
        <v>0.24</v>
      </c>
      <c r="J709" s="15">
        <f ca="1">'208_黑市'!I10</f>
        <v>0.06</v>
      </c>
      <c r="K709" s="15">
        <f ca="1">'210_活动'!O10</f>
        <v>0</v>
      </c>
      <c r="L709" s="15">
        <f ca="1">'211_VIP宝箱'!I10</f>
        <v>0</v>
      </c>
      <c r="M709" s="15">
        <f ca="1">'212_VIP商店'!I10</f>
        <v>0</v>
      </c>
      <c r="N709" s="1">
        <f ca="1" t="shared" si="276"/>
        <v>10.8</v>
      </c>
      <c r="O709" s="1">
        <f ca="1" t="shared" si="277"/>
        <v>1.111904</v>
      </c>
      <c r="P709" s="30"/>
      <c r="Q709" s="30"/>
      <c r="S709" s="45">
        <f ca="1" t="shared" si="279"/>
        <v>0</v>
      </c>
      <c r="T709" s="45">
        <f t="shared" si="280"/>
        <v>2</v>
      </c>
      <c r="U709" s="45">
        <f ca="1" t="shared" si="281"/>
        <v>0.05952</v>
      </c>
      <c r="V709" s="45">
        <f ca="1" t="shared" si="282"/>
        <v>0.8</v>
      </c>
      <c r="W709" s="45">
        <f ca="1" t="shared" si="283"/>
        <v>0.15</v>
      </c>
      <c r="X709" s="45">
        <f ca="1" t="shared" si="284"/>
        <v>0</v>
      </c>
      <c r="Y709" s="45">
        <f ca="1" t="shared" si="285"/>
        <v>0</v>
      </c>
      <c r="Z709" s="45">
        <f ca="1" t="shared" si="286"/>
        <v>0</v>
      </c>
      <c r="AA709" s="44">
        <f ca="1" t="shared" si="278"/>
        <v>3.00952</v>
      </c>
    </row>
    <row r="710" spans="2:27">
      <c r="B710" s="7">
        <v>0.5</v>
      </c>
      <c r="C710" s="1">
        <f ca="1">IF(养成规划!E11="",INDIRECT(ADDRESS(ROW()-1,COLUMN())),养成规划!E11)</f>
        <v>3</v>
      </c>
      <c r="D710" s="1" t="str">
        <f>IF(养成规划!G11="","",养成规划!G11)</f>
        <v/>
      </c>
      <c r="E710" s="1" t="str">
        <f ca="1" t="shared" si="275"/>
        <v/>
      </c>
      <c r="F710" s="15">
        <f ca="1">'204_军官任务'!R11</f>
        <v>0</v>
      </c>
      <c r="G710" s="15">
        <f>'205_每日任务'!K11</f>
        <v>1</v>
      </c>
      <c r="H710" s="15">
        <f ca="1">'206_副本挂机'!M130</f>
        <v>0.017856</v>
      </c>
      <c r="I710" s="15">
        <f ca="1">'207_空投'!J11</f>
        <v>0.32</v>
      </c>
      <c r="J710" s="15">
        <f ca="1">'208_黑市'!I11</f>
        <v>0.075</v>
      </c>
      <c r="K710" s="15">
        <f ca="1">'210_活动'!O11</f>
        <v>0</v>
      </c>
      <c r="L710" s="15">
        <f ca="1">'211_VIP宝箱'!I11</f>
        <v>0</v>
      </c>
      <c r="M710" s="15">
        <f ca="1">'212_VIP商店'!I11</f>
        <v>0</v>
      </c>
      <c r="N710" s="1" t="str">
        <f ca="1" t="shared" si="276"/>
        <v/>
      </c>
      <c r="O710" s="1">
        <f ca="1" t="shared" si="277"/>
        <v>1.412856</v>
      </c>
      <c r="P710" s="30"/>
      <c r="Q710" s="30"/>
      <c r="S710" s="45">
        <f ca="1" t="shared" si="279"/>
        <v>0</v>
      </c>
      <c r="T710" s="45">
        <f t="shared" si="280"/>
        <v>2</v>
      </c>
      <c r="U710" s="45">
        <f ca="1" t="shared" si="281"/>
        <v>0.05952</v>
      </c>
      <c r="V710" s="45">
        <f ca="1" t="shared" si="282"/>
        <v>0.8</v>
      </c>
      <c r="W710" s="45">
        <f ca="1" t="shared" si="283"/>
        <v>0.15</v>
      </c>
      <c r="X710" s="45">
        <f ca="1" t="shared" si="284"/>
        <v>0</v>
      </c>
      <c r="Y710" s="45">
        <f ca="1" t="shared" si="285"/>
        <v>0</v>
      </c>
      <c r="Z710" s="45">
        <f ca="1" t="shared" si="286"/>
        <v>0</v>
      </c>
      <c r="AA710" s="44">
        <f ca="1" t="shared" si="278"/>
        <v>3.00952</v>
      </c>
    </row>
    <row r="711" spans="2:27">
      <c r="B711" s="7">
        <v>0.6</v>
      </c>
      <c r="C711" s="1">
        <f ca="1">IF(养成规划!E12="",INDIRECT(ADDRESS(ROW()-1,COLUMN())),养成规划!E12)</f>
        <v>3</v>
      </c>
      <c r="D711" s="1" t="str">
        <f>IF(养成规划!G12="","",养成规划!G12)</f>
        <v/>
      </c>
      <c r="E711" s="1" t="str">
        <f ca="1" t="shared" si="275"/>
        <v/>
      </c>
      <c r="F711" s="15">
        <f ca="1">'204_军官任务'!R12</f>
        <v>0</v>
      </c>
      <c r="G711" s="15">
        <f>'205_每日任务'!K12</f>
        <v>1.2</v>
      </c>
      <c r="H711" s="15">
        <f ca="1">'206_副本挂机'!M131</f>
        <v>0.026784</v>
      </c>
      <c r="I711" s="15">
        <f ca="1">'207_空投'!J12</f>
        <v>0.4</v>
      </c>
      <c r="J711" s="15">
        <f ca="1">'208_黑市'!I12</f>
        <v>0.09</v>
      </c>
      <c r="K711" s="15">
        <f ca="1">'210_活动'!O12</f>
        <v>0</v>
      </c>
      <c r="L711" s="15">
        <f ca="1">'211_VIP宝箱'!I12</f>
        <v>0</v>
      </c>
      <c r="M711" s="15">
        <f ca="1">'212_VIP商店'!I12</f>
        <v>0</v>
      </c>
      <c r="N711" s="1" t="str">
        <f ca="1" t="shared" si="276"/>
        <v/>
      </c>
      <c r="O711" s="1">
        <f ca="1" t="shared" si="277"/>
        <v>1.716784</v>
      </c>
      <c r="P711" s="30"/>
      <c r="Q711" s="30"/>
      <c r="S711" s="45">
        <f ca="1" t="shared" si="279"/>
        <v>0</v>
      </c>
      <c r="T711" s="45">
        <f t="shared" si="280"/>
        <v>2</v>
      </c>
      <c r="U711" s="45">
        <f ca="1" t="shared" si="281"/>
        <v>0.08928</v>
      </c>
      <c r="V711" s="45">
        <f ca="1" t="shared" si="282"/>
        <v>0.8</v>
      </c>
      <c r="W711" s="45">
        <f ca="1" t="shared" si="283"/>
        <v>0.15</v>
      </c>
      <c r="X711" s="45">
        <f ca="1" t="shared" si="284"/>
        <v>0</v>
      </c>
      <c r="Y711" s="45">
        <f ca="1" t="shared" si="285"/>
        <v>0</v>
      </c>
      <c r="Z711" s="45">
        <f ca="1" t="shared" si="286"/>
        <v>0</v>
      </c>
      <c r="AA711" s="44">
        <f ca="1" t="shared" si="278"/>
        <v>3.03928</v>
      </c>
    </row>
    <row r="712" spans="2:27">
      <c r="B712" s="7">
        <v>0.7</v>
      </c>
      <c r="C712" s="1">
        <f ca="1">IF(养成规划!E13="",INDIRECT(ADDRESS(ROW()-1,COLUMN())),养成规划!E13)</f>
        <v>3</v>
      </c>
      <c r="D712" s="1" t="str">
        <f>IF(养成规划!G13="","",养成规划!G13)</f>
        <v/>
      </c>
      <c r="E712" s="1" t="str">
        <f ca="1" t="shared" si="275"/>
        <v/>
      </c>
      <c r="F712" s="15">
        <f ca="1">'204_军官任务'!R13</f>
        <v>0</v>
      </c>
      <c r="G712" s="15">
        <f>'205_每日任务'!K13</f>
        <v>1.4</v>
      </c>
      <c r="H712" s="15">
        <f ca="1">'206_副本挂机'!M132</f>
        <v>0.035712</v>
      </c>
      <c r="I712" s="15">
        <f ca="1">'207_空投'!J13</f>
        <v>0.48</v>
      </c>
      <c r="J712" s="15">
        <f ca="1">'208_黑市'!I13</f>
        <v>0.105</v>
      </c>
      <c r="K712" s="15">
        <f ca="1">'210_活动'!O13</f>
        <v>0</v>
      </c>
      <c r="L712" s="15">
        <f ca="1">'211_VIP宝箱'!I13</f>
        <v>0</v>
      </c>
      <c r="M712" s="15">
        <f ca="1">'212_VIP商店'!I13</f>
        <v>0</v>
      </c>
      <c r="N712" s="1" t="str">
        <f ca="1" t="shared" si="276"/>
        <v/>
      </c>
      <c r="O712" s="1">
        <f ca="1" t="shared" si="277"/>
        <v>2.020712</v>
      </c>
      <c r="P712" s="30"/>
      <c r="Q712" s="30"/>
      <c r="S712" s="45">
        <f ca="1" t="shared" si="279"/>
        <v>0</v>
      </c>
      <c r="T712" s="45">
        <f t="shared" si="280"/>
        <v>2</v>
      </c>
      <c r="U712" s="45">
        <f ca="1" t="shared" si="281"/>
        <v>0.0892800000000001</v>
      </c>
      <c r="V712" s="45">
        <f ca="1" t="shared" si="282"/>
        <v>0.8</v>
      </c>
      <c r="W712" s="45">
        <f ca="1" t="shared" si="283"/>
        <v>0.15</v>
      </c>
      <c r="X712" s="45">
        <f ca="1" t="shared" si="284"/>
        <v>0</v>
      </c>
      <c r="Y712" s="45">
        <f ca="1" t="shared" si="285"/>
        <v>0</v>
      </c>
      <c r="Z712" s="45">
        <f ca="1" t="shared" si="286"/>
        <v>0</v>
      </c>
      <c r="AA712" s="44">
        <f ca="1" t="shared" si="278"/>
        <v>3.03928</v>
      </c>
    </row>
    <row r="713" spans="2:27">
      <c r="B713" s="7">
        <v>0.8</v>
      </c>
      <c r="C713" s="1">
        <f ca="1">IF(养成规划!E14="",INDIRECT(ADDRESS(ROW()-1,COLUMN())),养成规划!E14)</f>
        <v>3</v>
      </c>
      <c r="D713" s="1" t="str">
        <f>IF(养成规划!G14="","",养成规划!G14)</f>
        <v/>
      </c>
      <c r="E713" s="1" t="str">
        <f ca="1" t="shared" si="275"/>
        <v/>
      </c>
      <c r="F713" s="15">
        <f ca="1">'204_军官任务'!R14</f>
        <v>0</v>
      </c>
      <c r="G713" s="15">
        <f>'205_每日任务'!K14</f>
        <v>1.6</v>
      </c>
      <c r="H713" s="15">
        <f ca="1">'206_副本挂机'!M133</f>
        <v>0.047712</v>
      </c>
      <c r="I713" s="15">
        <f ca="1">'207_空投'!J14</f>
        <v>0.56</v>
      </c>
      <c r="J713" s="15">
        <f ca="1">'208_黑市'!I14</f>
        <v>0.12</v>
      </c>
      <c r="K713" s="15">
        <f ca="1">'210_活动'!O14</f>
        <v>0</v>
      </c>
      <c r="L713" s="15">
        <f ca="1">'211_VIP宝箱'!I14</f>
        <v>0</v>
      </c>
      <c r="M713" s="15">
        <f ca="1">'212_VIP商店'!I14</f>
        <v>0</v>
      </c>
      <c r="N713" s="1" t="str">
        <f ca="1" t="shared" si="276"/>
        <v/>
      </c>
      <c r="O713" s="1">
        <f ca="1" t="shared" si="277"/>
        <v>2.327712</v>
      </c>
      <c r="P713" s="30"/>
      <c r="Q713" s="30"/>
      <c r="S713" s="45">
        <f ca="1" t="shared" si="279"/>
        <v>0</v>
      </c>
      <c r="T713" s="45">
        <f t="shared" si="280"/>
        <v>2</v>
      </c>
      <c r="U713" s="45">
        <f ca="1" t="shared" si="281"/>
        <v>0.12</v>
      </c>
      <c r="V713" s="45">
        <f ca="1" t="shared" si="282"/>
        <v>0.799999999999999</v>
      </c>
      <c r="W713" s="45">
        <f ca="1" t="shared" si="283"/>
        <v>0.15</v>
      </c>
      <c r="X713" s="45">
        <f ca="1" t="shared" si="284"/>
        <v>0</v>
      </c>
      <c r="Y713" s="45">
        <f ca="1" t="shared" si="285"/>
        <v>0</v>
      </c>
      <c r="Z713" s="45">
        <f ca="1" t="shared" si="286"/>
        <v>0</v>
      </c>
      <c r="AA713" s="44">
        <f ca="1" t="shared" si="278"/>
        <v>3.07</v>
      </c>
    </row>
    <row r="714" spans="2:27">
      <c r="B714" s="7">
        <v>0.9</v>
      </c>
      <c r="C714" s="1">
        <f ca="1">IF(养成规划!E15="",INDIRECT(ADDRESS(ROW()-1,COLUMN())),养成规划!E15)</f>
        <v>3</v>
      </c>
      <c r="D714" s="1" t="str">
        <f>IF(养成规划!G15="","",养成规划!G15)</f>
        <v/>
      </c>
      <c r="E714" s="1" t="str">
        <f ca="1" t="shared" si="275"/>
        <v/>
      </c>
      <c r="F714" s="15">
        <f ca="1">'204_军官任务'!R15</f>
        <v>0</v>
      </c>
      <c r="G714" s="15">
        <f>'205_每日任务'!K15</f>
        <v>1.8</v>
      </c>
      <c r="H714" s="15">
        <f ca="1">'206_副本挂机'!M134</f>
        <v>0.059712</v>
      </c>
      <c r="I714" s="15">
        <f ca="1">'207_空投'!J15</f>
        <v>0.64</v>
      </c>
      <c r="J714" s="15">
        <f ca="1">'208_黑市'!I15</f>
        <v>0.135</v>
      </c>
      <c r="K714" s="15">
        <f ca="1">'210_活动'!O15</f>
        <v>0</v>
      </c>
      <c r="L714" s="15">
        <f ca="1">'211_VIP宝箱'!I15</f>
        <v>0</v>
      </c>
      <c r="M714" s="15">
        <f ca="1">'212_VIP商店'!I15</f>
        <v>0</v>
      </c>
      <c r="N714" s="1" t="str">
        <f ca="1" t="shared" si="276"/>
        <v/>
      </c>
      <c r="O714" s="1">
        <f ca="1" t="shared" si="277"/>
        <v>2.634712</v>
      </c>
      <c r="P714" s="30"/>
      <c r="Q714" s="30"/>
      <c r="S714" s="45">
        <f ca="1" t="shared" si="279"/>
        <v>0</v>
      </c>
      <c r="T714" s="45">
        <f t="shared" si="280"/>
        <v>2</v>
      </c>
      <c r="U714" s="45">
        <f ca="1" t="shared" si="281"/>
        <v>0.12</v>
      </c>
      <c r="V714" s="45">
        <f ca="1" t="shared" si="282"/>
        <v>0.800000000000001</v>
      </c>
      <c r="W714" s="45">
        <f ca="1" t="shared" si="283"/>
        <v>0.15</v>
      </c>
      <c r="X714" s="45">
        <f ca="1" t="shared" si="284"/>
        <v>0</v>
      </c>
      <c r="Y714" s="45">
        <f ca="1" t="shared" si="285"/>
        <v>0</v>
      </c>
      <c r="Z714" s="45">
        <f ca="1" t="shared" si="286"/>
        <v>0</v>
      </c>
      <c r="AA714" s="44">
        <f ca="1" t="shared" si="278"/>
        <v>3.07</v>
      </c>
    </row>
    <row r="715" spans="2:27">
      <c r="B715" s="7">
        <v>1</v>
      </c>
      <c r="C715" s="1">
        <f ca="1">IF(养成规划!E16="",INDIRECT(ADDRESS(ROW()-1,COLUMN())),养成规划!E16)</f>
        <v>4</v>
      </c>
      <c r="D715" s="1">
        <f>IF(养成规划!G16="","",养成规划!G16)</f>
        <v>5</v>
      </c>
      <c r="E715" s="1">
        <f ca="1" t="shared" si="275"/>
        <v>36</v>
      </c>
      <c r="F715" s="15">
        <f ca="1">'204_军官任务'!R16</f>
        <v>0</v>
      </c>
      <c r="G715" s="15">
        <f>'205_每日任务'!K16</f>
        <v>2</v>
      </c>
      <c r="H715" s="15">
        <f ca="1">'206_副本挂机'!M135</f>
        <v>0.074688</v>
      </c>
      <c r="I715" s="15">
        <f ca="1">'207_空投'!J16</f>
        <v>0.746666666666666</v>
      </c>
      <c r="J715" s="15">
        <f ca="1">'208_黑市'!I16</f>
        <v>0.15</v>
      </c>
      <c r="K715" s="15">
        <f ca="1">'210_活动'!O16</f>
        <v>0</v>
      </c>
      <c r="L715" s="15">
        <f ca="1">'211_VIP宝箱'!I16</f>
        <v>0</v>
      </c>
      <c r="M715" s="15">
        <f ca="1">'212_VIP商店'!I16</f>
        <v>0</v>
      </c>
      <c r="N715" s="1">
        <f ca="1" t="shared" si="276"/>
        <v>43.2</v>
      </c>
      <c r="O715" s="1">
        <f ca="1" t="shared" si="277"/>
        <v>2.97135466666667</v>
      </c>
      <c r="P715" s="30"/>
      <c r="Q715" s="30"/>
      <c r="S715" s="45">
        <f ca="1" t="shared" si="279"/>
        <v>0</v>
      </c>
      <c r="T715" s="45">
        <f t="shared" si="280"/>
        <v>2</v>
      </c>
      <c r="U715" s="45">
        <f ca="1" t="shared" si="281"/>
        <v>0.14976</v>
      </c>
      <c r="V715" s="45">
        <f ca="1" t="shared" si="282"/>
        <v>1.06666666666667</v>
      </c>
      <c r="W715" s="45">
        <f ca="1" t="shared" si="283"/>
        <v>0.15</v>
      </c>
      <c r="X715" s="45">
        <f ca="1" t="shared" si="284"/>
        <v>0</v>
      </c>
      <c r="Y715" s="45">
        <f ca="1" t="shared" si="285"/>
        <v>0</v>
      </c>
      <c r="Z715" s="45">
        <f ca="1" t="shared" si="286"/>
        <v>0</v>
      </c>
      <c r="AA715" s="44">
        <f ca="1" t="shared" si="278"/>
        <v>3.36642666666667</v>
      </c>
    </row>
    <row r="716" spans="2:27">
      <c r="B716" s="9">
        <v>1.5</v>
      </c>
      <c r="C716" s="1">
        <f ca="1">IF(养成规划!E17="",INDIRECT(ADDRESS(ROW()-1,COLUMN())),养成规划!E17)</f>
        <v>4</v>
      </c>
      <c r="D716" s="1" t="str">
        <f>IF(养成规划!G17="","",养成规划!G17)</f>
        <v/>
      </c>
      <c r="E716" s="1" t="str">
        <f ca="1" t="shared" si="275"/>
        <v/>
      </c>
      <c r="F716" s="15">
        <f ca="1">'204_军官任务'!R17</f>
        <v>0</v>
      </c>
      <c r="G716" s="15">
        <f>'205_每日任务'!K17</f>
        <v>3</v>
      </c>
      <c r="H716" s="15">
        <f ca="1">'206_副本挂机'!M136</f>
        <v>0.156768</v>
      </c>
      <c r="I716" s="15">
        <f ca="1">'207_空投'!J17</f>
        <v>1.28</v>
      </c>
      <c r="J716" s="15">
        <f ca="1">'208_黑市'!I17</f>
        <v>0.225</v>
      </c>
      <c r="K716" s="15">
        <f ca="1">'210_活动'!O17</f>
        <v>0</v>
      </c>
      <c r="L716" s="15">
        <f ca="1">'211_VIP宝箱'!I17</f>
        <v>0</v>
      </c>
      <c r="M716" s="15">
        <f ca="1">'212_VIP商店'!I17</f>
        <v>0</v>
      </c>
      <c r="N716" s="1" t="str">
        <f ca="1" t="shared" si="276"/>
        <v/>
      </c>
      <c r="O716" s="1">
        <f ca="1" t="shared" si="277"/>
        <v>4.661768</v>
      </c>
      <c r="P716" s="30"/>
      <c r="Q716" s="30"/>
      <c r="S716" s="45">
        <f ca="1" t="shared" si="279"/>
        <v>0</v>
      </c>
      <c r="T716" s="45">
        <f t="shared" si="280"/>
        <v>2</v>
      </c>
      <c r="U716" s="45">
        <f ca="1" t="shared" si="281"/>
        <v>0.16416</v>
      </c>
      <c r="V716" s="45">
        <f ca="1" t="shared" si="282"/>
        <v>1.06666666666667</v>
      </c>
      <c r="W716" s="45">
        <f ca="1" t="shared" si="283"/>
        <v>0.15</v>
      </c>
      <c r="X716" s="45">
        <f ca="1" t="shared" si="284"/>
        <v>0</v>
      </c>
      <c r="Y716" s="45">
        <f ca="1" t="shared" si="285"/>
        <v>0</v>
      </c>
      <c r="Z716" s="45">
        <f ca="1" t="shared" si="286"/>
        <v>0</v>
      </c>
      <c r="AA716" s="44">
        <f ca="1" t="shared" si="278"/>
        <v>3.38082666666667</v>
      </c>
    </row>
    <row r="717" spans="2:27">
      <c r="B717" s="9">
        <v>2</v>
      </c>
      <c r="C717" s="1">
        <f ca="1">IF(养成规划!E18="",INDIRECT(ADDRESS(ROW()-1,COLUMN())),养成规划!E18)</f>
        <v>4</v>
      </c>
      <c r="D717" s="1" t="str">
        <f>IF(养成规划!G18="","",养成规划!G18)</f>
        <v/>
      </c>
      <c r="E717" s="1" t="str">
        <f ca="1" t="shared" si="275"/>
        <v/>
      </c>
      <c r="F717" s="15">
        <f ca="1">'204_军官任务'!R18</f>
        <v>0</v>
      </c>
      <c r="G717" s="15">
        <f>'205_每日任务'!K18</f>
        <v>4</v>
      </c>
      <c r="H717" s="15">
        <f ca="1">'206_副本挂机'!M137</f>
        <v>0.246528</v>
      </c>
      <c r="I717" s="15">
        <f ca="1">'207_空投'!J18</f>
        <v>1.81333333333333</v>
      </c>
      <c r="J717" s="15">
        <f ca="1">'208_黑市'!I18</f>
        <v>0.3</v>
      </c>
      <c r="K717" s="15">
        <f ca="1">'210_活动'!O18</f>
        <v>0</v>
      </c>
      <c r="L717" s="15">
        <f ca="1">'211_VIP宝箱'!I18</f>
        <v>0</v>
      </c>
      <c r="M717" s="15">
        <f ca="1">'212_VIP商店'!I18</f>
        <v>0</v>
      </c>
      <c r="N717" s="1" t="str">
        <f ca="1" t="shared" si="276"/>
        <v/>
      </c>
      <c r="O717" s="1">
        <f ca="1" t="shared" si="277"/>
        <v>6.35986133333333</v>
      </c>
      <c r="P717" s="30"/>
      <c r="Q717" s="30"/>
      <c r="S717" s="45">
        <f ca="1" t="shared" si="279"/>
        <v>0</v>
      </c>
      <c r="T717" s="45">
        <f t="shared" si="280"/>
        <v>2</v>
      </c>
      <c r="U717" s="45">
        <f ca="1" t="shared" si="281"/>
        <v>0.17952</v>
      </c>
      <c r="V717" s="45">
        <f ca="1" t="shared" si="282"/>
        <v>1.06666666666667</v>
      </c>
      <c r="W717" s="45">
        <f ca="1" t="shared" si="283"/>
        <v>0.15</v>
      </c>
      <c r="X717" s="45">
        <f ca="1" t="shared" si="284"/>
        <v>0</v>
      </c>
      <c r="Y717" s="45">
        <f ca="1" t="shared" si="285"/>
        <v>0</v>
      </c>
      <c r="Z717" s="45">
        <f ca="1" t="shared" si="286"/>
        <v>0</v>
      </c>
      <c r="AA717" s="44">
        <f ca="1" t="shared" si="278"/>
        <v>3.39618666666667</v>
      </c>
    </row>
    <row r="718" spans="2:27">
      <c r="B718" s="9">
        <v>2.5</v>
      </c>
      <c r="C718" s="1">
        <f ca="1">IF(养成规划!E19="",INDIRECT(ADDRESS(ROW()-1,COLUMN())),养成规划!E19)</f>
        <v>4</v>
      </c>
      <c r="D718" s="1" t="str">
        <f>IF(养成规划!G19="","",养成规划!G19)</f>
        <v/>
      </c>
      <c r="E718" s="1" t="str">
        <f ca="1" t="shared" si="275"/>
        <v/>
      </c>
      <c r="F718" s="15">
        <f ca="1">'204_军官任务'!R19</f>
        <v>0</v>
      </c>
      <c r="G718" s="15">
        <f>'205_每日任务'!K19</f>
        <v>5</v>
      </c>
      <c r="H718" s="15">
        <f ca="1">'206_副本挂机'!M138</f>
        <v>0.343968</v>
      </c>
      <c r="I718" s="15">
        <f ca="1">'207_空投'!J19</f>
        <v>2.34666666666667</v>
      </c>
      <c r="J718" s="15">
        <f ca="1">'208_黑市'!I19</f>
        <v>0.375</v>
      </c>
      <c r="K718" s="15">
        <f ca="1">'210_活动'!O19</f>
        <v>0</v>
      </c>
      <c r="L718" s="15">
        <f ca="1">'211_VIP宝箱'!I19</f>
        <v>0</v>
      </c>
      <c r="M718" s="15">
        <f ca="1">'212_VIP商店'!I19</f>
        <v>0</v>
      </c>
      <c r="N718" s="1" t="str">
        <f ca="1" t="shared" si="276"/>
        <v/>
      </c>
      <c r="O718" s="1">
        <f ca="1" t="shared" si="277"/>
        <v>8.06563466666667</v>
      </c>
      <c r="P718" s="30"/>
      <c r="Q718" s="30"/>
      <c r="S718" s="45">
        <f ca="1" t="shared" si="279"/>
        <v>0</v>
      </c>
      <c r="T718" s="45">
        <f t="shared" si="280"/>
        <v>2</v>
      </c>
      <c r="U718" s="45">
        <f ca="1" t="shared" si="281"/>
        <v>0.19488</v>
      </c>
      <c r="V718" s="45">
        <f ca="1" t="shared" si="282"/>
        <v>1.06666666666667</v>
      </c>
      <c r="W718" s="45">
        <f ca="1" t="shared" si="283"/>
        <v>0.15</v>
      </c>
      <c r="X718" s="45">
        <f ca="1" t="shared" si="284"/>
        <v>0</v>
      </c>
      <c r="Y718" s="45">
        <f ca="1" t="shared" si="285"/>
        <v>0</v>
      </c>
      <c r="Z718" s="45">
        <f ca="1" t="shared" si="286"/>
        <v>0</v>
      </c>
      <c r="AA718" s="44">
        <f ca="1" t="shared" si="278"/>
        <v>3.41154666666667</v>
      </c>
    </row>
    <row r="719" spans="2:27">
      <c r="B719" s="9">
        <v>3</v>
      </c>
      <c r="C719" s="1">
        <f ca="1">IF(养成规划!E20="",INDIRECT(ADDRESS(ROW()-1,COLUMN())),养成规划!E20)</f>
        <v>4</v>
      </c>
      <c r="D719" s="1" t="str">
        <f>IF(养成规划!G20="","",养成规划!G20)</f>
        <v/>
      </c>
      <c r="E719" s="1" t="str">
        <f ca="1" t="shared" si="275"/>
        <v/>
      </c>
      <c r="F719" s="15">
        <f ca="1">'204_军官任务'!R20</f>
        <v>0</v>
      </c>
      <c r="G719" s="15">
        <f>'205_每日任务'!K20</f>
        <v>6</v>
      </c>
      <c r="H719" s="15">
        <f ca="1">'206_副本挂机'!M139</f>
        <v>0.456288</v>
      </c>
      <c r="I719" s="15">
        <f ca="1">'207_空投'!J20</f>
        <v>2.88</v>
      </c>
      <c r="J719" s="15">
        <f ca="1">'208_黑市'!I20</f>
        <v>0.45</v>
      </c>
      <c r="K719" s="15">
        <f ca="1">'210_活动'!O20</f>
        <v>0</v>
      </c>
      <c r="L719" s="15">
        <f ca="1">'211_VIP宝箱'!I20</f>
        <v>0</v>
      </c>
      <c r="M719" s="15">
        <f ca="1">'212_VIP商店'!I20</f>
        <v>0</v>
      </c>
      <c r="N719" s="1" t="str">
        <f ca="1" t="shared" si="276"/>
        <v/>
      </c>
      <c r="O719" s="1">
        <f ca="1" t="shared" si="277"/>
        <v>9.786288</v>
      </c>
      <c r="P719" s="30"/>
      <c r="Q719" s="30"/>
      <c r="S719" s="45">
        <f ca="1" t="shared" si="279"/>
        <v>0</v>
      </c>
      <c r="T719" s="45">
        <f t="shared" si="280"/>
        <v>2</v>
      </c>
      <c r="U719" s="45">
        <f ca="1" t="shared" si="281"/>
        <v>0.22464</v>
      </c>
      <c r="V719" s="45">
        <f ca="1" t="shared" si="282"/>
        <v>1.06666666666667</v>
      </c>
      <c r="W719" s="45">
        <f ca="1" t="shared" si="283"/>
        <v>0.15</v>
      </c>
      <c r="X719" s="45">
        <f ca="1" t="shared" si="284"/>
        <v>0</v>
      </c>
      <c r="Y719" s="45">
        <f ca="1" t="shared" si="285"/>
        <v>0</v>
      </c>
      <c r="Z719" s="45">
        <f ca="1" t="shared" si="286"/>
        <v>0</v>
      </c>
      <c r="AA719" s="44">
        <f ca="1" t="shared" si="278"/>
        <v>3.44130666666667</v>
      </c>
    </row>
    <row r="720" spans="2:27">
      <c r="B720" s="9">
        <v>3.5</v>
      </c>
      <c r="C720" s="1">
        <f ca="1">IF(养成规划!E21="",INDIRECT(ADDRESS(ROW()-1,COLUMN())),养成规划!E21)</f>
        <v>4</v>
      </c>
      <c r="D720" s="1" t="str">
        <f>IF(养成规划!G21="","",养成规划!G21)</f>
        <v/>
      </c>
      <c r="E720" s="1" t="str">
        <f ca="1" t="shared" si="275"/>
        <v/>
      </c>
      <c r="F720" s="15">
        <f ca="1">'204_军官任务'!R21</f>
        <v>0</v>
      </c>
      <c r="G720" s="15">
        <f>'205_每日任务'!K21</f>
        <v>7</v>
      </c>
      <c r="H720" s="15">
        <f ca="1">'206_副本挂机'!M140</f>
        <v>0.576288</v>
      </c>
      <c r="I720" s="15">
        <f ca="1">'207_空投'!J21</f>
        <v>3.41333333333334</v>
      </c>
      <c r="J720" s="15">
        <f ca="1">'208_黑市'!I21</f>
        <v>0.525</v>
      </c>
      <c r="K720" s="15">
        <f ca="1">'210_活动'!O21</f>
        <v>0</v>
      </c>
      <c r="L720" s="15">
        <f ca="1">'211_VIP宝箱'!I21</f>
        <v>0</v>
      </c>
      <c r="M720" s="15">
        <f ca="1">'212_VIP商店'!I21</f>
        <v>0</v>
      </c>
      <c r="N720" s="1" t="str">
        <f ca="1" t="shared" si="276"/>
        <v/>
      </c>
      <c r="O720" s="1">
        <f ca="1" t="shared" si="277"/>
        <v>11.5146213333333</v>
      </c>
      <c r="P720" s="30"/>
      <c r="Q720" s="30"/>
      <c r="S720" s="45">
        <f ca="1" t="shared" si="279"/>
        <v>0</v>
      </c>
      <c r="T720" s="45">
        <f t="shared" si="280"/>
        <v>2</v>
      </c>
      <c r="U720" s="45">
        <f ca="1" t="shared" si="281"/>
        <v>0.24</v>
      </c>
      <c r="V720" s="45">
        <f ca="1" t="shared" si="282"/>
        <v>1.06666666666667</v>
      </c>
      <c r="W720" s="45">
        <f ca="1" t="shared" si="283"/>
        <v>0.15</v>
      </c>
      <c r="X720" s="45">
        <f ca="1" t="shared" si="284"/>
        <v>0</v>
      </c>
      <c r="Y720" s="45">
        <f ca="1" t="shared" si="285"/>
        <v>0</v>
      </c>
      <c r="Z720" s="45">
        <f ca="1" t="shared" si="286"/>
        <v>0</v>
      </c>
      <c r="AA720" s="44">
        <f ca="1" t="shared" si="278"/>
        <v>3.45666666666667</v>
      </c>
    </row>
    <row r="721" spans="2:27">
      <c r="B721" s="9">
        <v>4</v>
      </c>
      <c r="C721" s="1">
        <f ca="1">IF(养成规划!E22="",INDIRECT(ADDRESS(ROW()-1,COLUMN())),养成规划!E22)</f>
        <v>4</v>
      </c>
      <c r="D721" s="1" t="str">
        <f>IF(养成规划!G22="","",养成规划!G22)</f>
        <v/>
      </c>
      <c r="E721" s="1" t="str">
        <f ca="1" t="shared" si="275"/>
        <v/>
      </c>
      <c r="F721" s="15">
        <f ca="1">'204_军官任务'!R22</f>
        <v>0</v>
      </c>
      <c r="G721" s="15">
        <f>'205_每日任务'!K22</f>
        <v>8</v>
      </c>
      <c r="H721" s="15">
        <f ca="1">'206_副本挂机'!M141</f>
        <v>0.703488</v>
      </c>
      <c r="I721" s="15">
        <f ca="1">'207_空投'!J22</f>
        <v>4.21333333333334</v>
      </c>
      <c r="J721" s="15">
        <f ca="1">'208_黑市'!I22</f>
        <v>0.6</v>
      </c>
      <c r="K721" s="15">
        <f ca="1">'210_活动'!O22</f>
        <v>0</v>
      </c>
      <c r="L721" s="15">
        <f ca="1">'211_VIP宝箱'!I22</f>
        <v>0</v>
      </c>
      <c r="M721" s="15">
        <f ca="1">'212_VIP商店'!I22</f>
        <v>0</v>
      </c>
      <c r="N721" s="1" t="str">
        <f ca="1" t="shared" si="276"/>
        <v/>
      </c>
      <c r="O721" s="1">
        <f ca="1" t="shared" si="277"/>
        <v>13.5168213333333</v>
      </c>
      <c r="P721" s="30"/>
      <c r="Q721" s="30"/>
      <c r="S721" s="45">
        <f ca="1" t="shared" si="279"/>
        <v>0</v>
      </c>
      <c r="T721" s="45">
        <f t="shared" si="280"/>
        <v>2</v>
      </c>
      <c r="U721" s="45">
        <f ca="1" t="shared" si="281"/>
        <v>0.2544</v>
      </c>
      <c r="V721" s="45">
        <f ca="1" t="shared" si="282"/>
        <v>1.6</v>
      </c>
      <c r="W721" s="45">
        <f ca="1" t="shared" si="283"/>
        <v>0.15</v>
      </c>
      <c r="X721" s="45">
        <f ca="1" t="shared" si="284"/>
        <v>0</v>
      </c>
      <c r="Y721" s="45">
        <f ca="1" t="shared" si="285"/>
        <v>0</v>
      </c>
      <c r="Z721" s="45">
        <f ca="1" t="shared" si="286"/>
        <v>0</v>
      </c>
      <c r="AA721" s="44">
        <f ca="1" t="shared" si="278"/>
        <v>4.0044</v>
      </c>
    </row>
    <row r="722" spans="2:27">
      <c r="B722" s="9">
        <v>4.5</v>
      </c>
      <c r="C722" s="1">
        <f ca="1">IF(养成规划!E23="",INDIRECT(ADDRESS(ROW()-1,COLUMN())),养成规划!E23)</f>
        <v>4</v>
      </c>
      <c r="D722" s="1" t="str">
        <f>IF(养成规划!G23="","",养成规划!G23)</f>
        <v/>
      </c>
      <c r="E722" s="1" t="str">
        <f ca="1" t="shared" si="275"/>
        <v/>
      </c>
      <c r="F722" s="15">
        <f ca="1">'204_军官任务'!R23</f>
        <v>0</v>
      </c>
      <c r="G722" s="15">
        <f>'205_每日任务'!K23</f>
        <v>9</v>
      </c>
      <c r="H722" s="15">
        <f ca="1">'206_副本挂机'!M142</f>
        <v>0.838368</v>
      </c>
      <c r="I722" s="15">
        <f ca="1">'207_空投'!J23</f>
        <v>5.01333333333334</v>
      </c>
      <c r="J722" s="15">
        <f ca="1">'208_黑市'!I23</f>
        <v>0.675</v>
      </c>
      <c r="K722" s="15">
        <f ca="1">'210_活动'!O23</f>
        <v>0</v>
      </c>
      <c r="L722" s="15">
        <f ca="1">'211_VIP宝箱'!I23</f>
        <v>0</v>
      </c>
      <c r="M722" s="15">
        <f ca="1">'212_VIP商店'!I23</f>
        <v>0</v>
      </c>
      <c r="N722" s="1" t="str">
        <f ca="1" t="shared" si="276"/>
        <v/>
      </c>
      <c r="O722" s="1">
        <f ca="1" t="shared" si="277"/>
        <v>15.5267013333333</v>
      </c>
      <c r="P722" s="30"/>
      <c r="Q722" s="30"/>
      <c r="S722" s="45">
        <f ca="1" t="shared" si="279"/>
        <v>0</v>
      </c>
      <c r="T722" s="45">
        <f t="shared" si="280"/>
        <v>2</v>
      </c>
      <c r="U722" s="45">
        <f ca="1" t="shared" si="281"/>
        <v>0.26976</v>
      </c>
      <c r="V722" s="45">
        <f ca="1" t="shared" si="282"/>
        <v>1.6</v>
      </c>
      <c r="W722" s="45">
        <f ca="1" t="shared" si="283"/>
        <v>0.15</v>
      </c>
      <c r="X722" s="45">
        <f ca="1" t="shared" si="284"/>
        <v>0</v>
      </c>
      <c r="Y722" s="45">
        <f ca="1" t="shared" si="285"/>
        <v>0</v>
      </c>
      <c r="Z722" s="45">
        <f ca="1" t="shared" si="286"/>
        <v>0</v>
      </c>
      <c r="AA722" s="44">
        <f ca="1" t="shared" si="278"/>
        <v>4.01976</v>
      </c>
    </row>
    <row r="723" spans="2:27">
      <c r="B723" s="9">
        <v>5</v>
      </c>
      <c r="C723" s="1">
        <f ca="1">IF(养成规划!E24="",INDIRECT(ADDRESS(ROW()-1,COLUMN())),养成规划!E24)</f>
        <v>4</v>
      </c>
      <c r="D723" s="1" t="str">
        <f>IF(养成规划!G24="","",养成规划!G24)</f>
        <v/>
      </c>
      <c r="E723" s="1" t="str">
        <f ca="1" t="shared" si="275"/>
        <v/>
      </c>
      <c r="F723" s="15">
        <f ca="1">'204_军官任务'!R24</f>
        <v>0</v>
      </c>
      <c r="G723" s="15">
        <f>'205_每日任务'!K24</f>
        <v>10</v>
      </c>
      <c r="H723" s="15">
        <f ca="1">'206_副本挂机'!M143</f>
        <v>0.988128</v>
      </c>
      <c r="I723" s="15">
        <f ca="1">'207_空投'!J24</f>
        <v>5.81333333333334</v>
      </c>
      <c r="J723" s="15">
        <f ca="1">'208_黑市'!I24</f>
        <v>0.75</v>
      </c>
      <c r="K723" s="15">
        <f ca="1">'210_活动'!O24</f>
        <v>0</v>
      </c>
      <c r="L723" s="15">
        <f ca="1">'211_VIP宝箱'!I24</f>
        <v>0</v>
      </c>
      <c r="M723" s="15">
        <f ca="1">'212_VIP商店'!I24</f>
        <v>0</v>
      </c>
      <c r="N723" s="1" t="str">
        <f ca="1" t="shared" si="276"/>
        <v/>
      </c>
      <c r="O723" s="1">
        <f ca="1" t="shared" si="277"/>
        <v>17.5514613333333</v>
      </c>
      <c r="P723" s="30"/>
      <c r="Q723" s="30"/>
      <c r="S723" s="45">
        <f ca="1" t="shared" si="279"/>
        <v>0</v>
      </c>
      <c r="T723" s="45">
        <f t="shared" si="280"/>
        <v>2</v>
      </c>
      <c r="U723" s="45">
        <f ca="1" t="shared" si="281"/>
        <v>0.29952</v>
      </c>
      <c r="V723" s="45">
        <f ca="1" t="shared" si="282"/>
        <v>1.6</v>
      </c>
      <c r="W723" s="45">
        <f ca="1" t="shared" si="283"/>
        <v>0.15</v>
      </c>
      <c r="X723" s="45">
        <f ca="1" t="shared" si="284"/>
        <v>0</v>
      </c>
      <c r="Y723" s="45">
        <f ca="1" t="shared" si="285"/>
        <v>0</v>
      </c>
      <c r="Z723" s="45">
        <f ca="1" t="shared" si="286"/>
        <v>0</v>
      </c>
      <c r="AA723" s="44">
        <f ca="1" t="shared" si="278"/>
        <v>4.04952</v>
      </c>
    </row>
    <row r="724" spans="2:27">
      <c r="B724" s="9">
        <v>5.5</v>
      </c>
      <c r="C724" s="1">
        <f ca="1">IF(养成规划!E25="",INDIRECT(ADDRESS(ROW()-1,COLUMN())),养成规划!E25)</f>
        <v>4</v>
      </c>
      <c r="D724" s="1" t="str">
        <f>IF(养成规划!G25="","",养成规划!G25)</f>
        <v/>
      </c>
      <c r="E724" s="1" t="str">
        <f ca="1" t="shared" si="275"/>
        <v/>
      </c>
      <c r="F724" s="15">
        <f ca="1">'204_军官任务'!R25</f>
        <v>0</v>
      </c>
      <c r="G724" s="15">
        <f>'205_每日任务'!K25</f>
        <v>11</v>
      </c>
      <c r="H724" s="15">
        <f ca="1">'206_副本挂机'!M144</f>
        <v>1.137888</v>
      </c>
      <c r="I724" s="15">
        <f ca="1">'207_空投'!J25</f>
        <v>6.61333333333334</v>
      </c>
      <c r="J724" s="15">
        <f ca="1">'208_黑市'!I25</f>
        <v>0.825</v>
      </c>
      <c r="K724" s="15">
        <f ca="1">'210_活动'!O25</f>
        <v>0</v>
      </c>
      <c r="L724" s="15">
        <f ca="1">'211_VIP宝箱'!I25</f>
        <v>0</v>
      </c>
      <c r="M724" s="15">
        <f ca="1">'212_VIP商店'!I25</f>
        <v>0</v>
      </c>
      <c r="N724" s="1" t="str">
        <f ca="1" t="shared" si="276"/>
        <v/>
      </c>
      <c r="O724" s="1">
        <f ca="1" t="shared" si="277"/>
        <v>19.5762213333333</v>
      </c>
      <c r="P724" s="30"/>
      <c r="Q724" s="30"/>
      <c r="S724" s="45">
        <f ca="1" t="shared" si="279"/>
        <v>0</v>
      </c>
      <c r="T724" s="45">
        <f t="shared" si="280"/>
        <v>2</v>
      </c>
      <c r="U724" s="45">
        <f ca="1" t="shared" si="281"/>
        <v>0.29952</v>
      </c>
      <c r="V724" s="45">
        <f ca="1" t="shared" si="282"/>
        <v>1.6</v>
      </c>
      <c r="W724" s="45">
        <f ca="1" t="shared" si="283"/>
        <v>0.15</v>
      </c>
      <c r="X724" s="45">
        <f ca="1" t="shared" si="284"/>
        <v>0</v>
      </c>
      <c r="Y724" s="45">
        <f ca="1" t="shared" si="285"/>
        <v>0</v>
      </c>
      <c r="Z724" s="45">
        <f ca="1" t="shared" si="286"/>
        <v>0</v>
      </c>
      <c r="AA724" s="44">
        <f ca="1" t="shared" si="278"/>
        <v>4.04952</v>
      </c>
    </row>
    <row r="725" spans="2:27">
      <c r="B725" s="9">
        <v>6</v>
      </c>
      <c r="C725" s="1">
        <f ca="1">IF(养成规划!E26="",INDIRECT(ADDRESS(ROW()-1,COLUMN())),养成规划!E26)</f>
        <v>4</v>
      </c>
      <c r="D725" s="1" t="str">
        <f>IF(养成规划!G26="","",养成规划!G26)</f>
        <v/>
      </c>
      <c r="E725" s="1" t="str">
        <f ca="1" t="shared" si="275"/>
        <v/>
      </c>
      <c r="F725" s="15">
        <f ca="1">'204_军官任务'!R26</f>
        <v>0</v>
      </c>
      <c r="G725" s="15">
        <f>'205_每日任务'!K26</f>
        <v>12</v>
      </c>
      <c r="H725" s="15">
        <f ca="1">'206_副本挂机'!M145</f>
        <v>1.295328</v>
      </c>
      <c r="I725" s="15">
        <f ca="1">'207_空投'!J26</f>
        <v>7.41333333333334</v>
      </c>
      <c r="J725" s="15">
        <f ca="1">'208_黑市'!I26</f>
        <v>0.9</v>
      </c>
      <c r="K725" s="15">
        <f ca="1">'210_活动'!O26</f>
        <v>0</v>
      </c>
      <c r="L725" s="15">
        <f ca="1">'211_VIP宝箱'!I26</f>
        <v>0</v>
      </c>
      <c r="M725" s="15">
        <f ca="1">'212_VIP商店'!I26</f>
        <v>0</v>
      </c>
      <c r="N725" s="1" t="str">
        <f ca="1" t="shared" si="276"/>
        <v/>
      </c>
      <c r="O725" s="1">
        <f ca="1" t="shared" si="277"/>
        <v>21.6086613333333</v>
      </c>
      <c r="P725" s="30"/>
      <c r="Q725" s="30"/>
      <c r="S725" s="45">
        <f ca="1" t="shared" si="279"/>
        <v>0</v>
      </c>
      <c r="T725" s="45">
        <f t="shared" si="280"/>
        <v>2</v>
      </c>
      <c r="U725" s="45">
        <f ca="1" t="shared" si="281"/>
        <v>0.31488</v>
      </c>
      <c r="V725" s="45">
        <f ca="1" t="shared" si="282"/>
        <v>1.6</v>
      </c>
      <c r="W725" s="45">
        <f ca="1" t="shared" si="283"/>
        <v>0.15</v>
      </c>
      <c r="X725" s="45">
        <f ca="1" t="shared" si="284"/>
        <v>0</v>
      </c>
      <c r="Y725" s="45">
        <f ca="1" t="shared" si="285"/>
        <v>0</v>
      </c>
      <c r="Z725" s="45">
        <f ca="1" t="shared" si="286"/>
        <v>0</v>
      </c>
      <c r="AA725" s="44">
        <f ca="1" t="shared" si="278"/>
        <v>4.06488</v>
      </c>
    </row>
    <row r="726" spans="2:27">
      <c r="B726" s="9">
        <v>6.5</v>
      </c>
      <c r="C726" s="1">
        <f ca="1">IF(养成规划!E27="",INDIRECT(ADDRESS(ROW()-1,COLUMN())),养成规划!E27)</f>
        <v>4</v>
      </c>
      <c r="D726" s="1" t="str">
        <f>IF(养成规划!G27="","",养成规划!G27)</f>
        <v/>
      </c>
      <c r="E726" s="1" t="str">
        <f ca="1" t="shared" si="275"/>
        <v/>
      </c>
      <c r="F726" s="15">
        <f ca="1">'204_军官任务'!R27</f>
        <v>0</v>
      </c>
      <c r="G726" s="15">
        <f>'205_每日任务'!K27</f>
        <v>13</v>
      </c>
      <c r="H726" s="15">
        <f ca="1">'206_副本挂机'!M146</f>
        <v>1.452768</v>
      </c>
      <c r="I726" s="15">
        <f ca="1">'207_空投'!J27</f>
        <v>8.21333333333334</v>
      </c>
      <c r="J726" s="15">
        <f ca="1">'208_黑市'!I27</f>
        <v>0.975</v>
      </c>
      <c r="K726" s="15">
        <f ca="1">'210_活动'!O27</f>
        <v>0</v>
      </c>
      <c r="L726" s="15">
        <f ca="1">'211_VIP宝箱'!I27</f>
        <v>0</v>
      </c>
      <c r="M726" s="15">
        <f ca="1">'212_VIP商店'!I27</f>
        <v>0</v>
      </c>
      <c r="N726" s="1" t="str">
        <f ca="1" t="shared" si="276"/>
        <v/>
      </c>
      <c r="O726" s="1">
        <f ca="1" t="shared" si="277"/>
        <v>23.6411013333333</v>
      </c>
      <c r="P726" s="30"/>
      <c r="Q726" s="30"/>
      <c r="S726" s="45">
        <f ca="1" t="shared" si="279"/>
        <v>0</v>
      </c>
      <c r="T726" s="45">
        <f t="shared" si="280"/>
        <v>2</v>
      </c>
      <c r="U726" s="45">
        <f ca="1" t="shared" si="281"/>
        <v>0.31488</v>
      </c>
      <c r="V726" s="45">
        <f ca="1" t="shared" si="282"/>
        <v>1.6</v>
      </c>
      <c r="W726" s="45">
        <f ca="1" t="shared" si="283"/>
        <v>0.15</v>
      </c>
      <c r="X726" s="45">
        <f ca="1" t="shared" si="284"/>
        <v>0</v>
      </c>
      <c r="Y726" s="45">
        <f ca="1" t="shared" si="285"/>
        <v>0</v>
      </c>
      <c r="Z726" s="45">
        <f ca="1" t="shared" si="286"/>
        <v>0</v>
      </c>
      <c r="AA726" s="44">
        <f ca="1" t="shared" si="278"/>
        <v>4.06488</v>
      </c>
    </row>
    <row r="727" spans="2:27">
      <c r="B727" s="9">
        <v>7</v>
      </c>
      <c r="C727" s="1">
        <f ca="1">IF(养成规划!E28="",INDIRECT(ADDRESS(ROW()-1,COLUMN())),养成规划!E28)</f>
        <v>5</v>
      </c>
      <c r="D727" s="1">
        <f>IF(养成规划!G28="","",养成规划!G28)</f>
        <v>5.1</v>
      </c>
      <c r="E727" s="1">
        <f ca="1" t="shared" si="275"/>
        <v>90</v>
      </c>
      <c r="F727" s="15">
        <f ca="1">'204_军官任务'!R28</f>
        <v>0.36</v>
      </c>
      <c r="G727" s="15">
        <f>'205_每日任务'!K28</f>
        <v>14</v>
      </c>
      <c r="H727" s="15">
        <f ca="1">'206_副本挂机'!M147</f>
        <v>1.617408</v>
      </c>
      <c r="I727" s="15">
        <f ca="1">'207_空投'!J28</f>
        <v>9.01333333333334</v>
      </c>
      <c r="J727" s="15">
        <f ca="1">'208_黑市'!I28</f>
        <v>1.05</v>
      </c>
      <c r="K727" s="15">
        <f ca="1">'210_活动'!O28</f>
        <v>0</v>
      </c>
      <c r="L727" s="15">
        <f ca="1">'211_VIP宝箱'!I28</f>
        <v>0</v>
      </c>
      <c r="M727" s="15">
        <f ca="1">'212_VIP商店'!I28</f>
        <v>0</v>
      </c>
      <c r="N727" s="1">
        <f ca="1" t="shared" si="276"/>
        <v>108</v>
      </c>
      <c r="O727" s="1">
        <f ca="1" t="shared" si="277"/>
        <v>26.0407413333333</v>
      </c>
      <c r="P727" s="30">
        <f>总规划!F236</f>
        <v>88.8</v>
      </c>
      <c r="Q727" s="30">
        <f ca="1">N727-O727-P727</f>
        <v>-6.84074133333334</v>
      </c>
      <c r="S727" s="45">
        <f ca="1" t="shared" si="279"/>
        <v>0.72</v>
      </c>
      <c r="T727" s="45">
        <f t="shared" si="280"/>
        <v>2</v>
      </c>
      <c r="U727" s="45">
        <f ca="1" t="shared" si="281"/>
        <v>0.32928</v>
      </c>
      <c r="V727" s="45">
        <f ca="1" t="shared" si="282"/>
        <v>1.6</v>
      </c>
      <c r="W727" s="45">
        <f ca="1" t="shared" si="283"/>
        <v>0.15</v>
      </c>
      <c r="X727" s="45">
        <f ca="1" t="shared" si="284"/>
        <v>0</v>
      </c>
      <c r="Y727" s="45">
        <f ca="1" t="shared" si="285"/>
        <v>0</v>
      </c>
      <c r="Z727" s="45">
        <f ca="1" t="shared" si="286"/>
        <v>0</v>
      </c>
      <c r="AA727" s="44">
        <f ca="1" t="shared" si="278"/>
        <v>4.79928</v>
      </c>
    </row>
    <row r="728" spans="2:27">
      <c r="B728" s="10">
        <v>8</v>
      </c>
      <c r="C728" s="1">
        <f ca="1">IF(养成规划!E29="",INDIRECT(ADDRESS(ROW()-1,COLUMN())),养成规划!E29)</f>
        <v>5</v>
      </c>
      <c r="D728" s="1" t="str">
        <f>IF(养成规划!G29="","",养成规划!G29)</f>
        <v/>
      </c>
      <c r="E728" s="1" t="str">
        <f ca="1" t="shared" si="275"/>
        <v/>
      </c>
      <c r="F728" s="15">
        <f ca="1">'204_军官任务'!R29</f>
        <v>1.08</v>
      </c>
      <c r="G728" s="15">
        <f>'205_每日任务'!K29</f>
        <v>16</v>
      </c>
      <c r="H728" s="15">
        <f ca="1">'206_副本挂机'!M148</f>
        <v>1.962048</v>
      </c>
      <c r="I728" s="15">
        <f ca="1">'207_空投'!J29</f>
        <v>10.6133333333333</v>
      </c>
      <c r="J728" s="15">
        <f ca="1">'208_黑市'!I29</f>
        <v>1.35</v>
      </c>
      <c r="K728" s="15">
        <f ca="1">'210_活动'!O29</f>
        <v>4</v>
      </c>
      <c r="L728" s="15">
        <f ca="1">'211_VIP宝箱'!I29</f>
        <v>0</v>
      </c>
      <c r="M728" s="15">
        <f ca="1">'212_VIP商店'!I29</f>
        <v>0</v>
      </c>
      <c r="N728" s="1" t="str">
        <f ca="1" t="shared" si="276"/>
        <v/>
      </c>
      <c r="O728" s="1">
        <f ca="1" t="shared" si="277"/>
        <v>35.0053813333333</v>
      </c>
      <c r="P728" s="30"/>
      <c r="Q728" s="30"/>
      <c r="S728" s="45">
        <f ca="1" t="shared" si="279"/>
        <v>0.72</v>
      </c>
      <c r="T728" s="45">
        <f t="shared" si="280"/>
        <v>2</v>
      </c>
      <c r="U728" s="45">
        <f ca="1" t="shared" si="281"/>
        <v>0.34464</v>
      </c>
      <c r="V728" s="45">
        <f ca="1" t="shared" si="282"/>
        <v>1.6</v>
      </c>
      <c r="W728" s="45">
        <f ca="1" t="shared" si="283"/>
        <v>0.3</v>
      </c>
      <c r="X728" s="45">
        <f ca="1" t="shared" si="284"/>
        <v>4</v>
      </c>
      <c r="Y728" s="45">
        <f ca="1" t="shared" si="285"/>
        <v>0</v>
      </c>
      <c r="Z728" s="45">
        <f ca="1" t="shared" si="286"/>
        <v>0</v>
      </c>
      <c r="AA728" s="44">
        <f ca="1" t="shared" si="278"/>
        <v>8.96464</v>
      </c>
    </row>
    <row r="729" spans="2:27">
      <c r="B729" s="10">
        <v>9</v>
      </c>
      <c r="C729" s="1">
        <f ca="1">IF(养成规划!E30="",INDIRECT(ADDRESS(ROW()-1,COLUMN())),养成规划!E30)</f>
        <v>5</v>
      </c>
      <c r="D729" s="1" t="str">
        <f>IF(养成规划!G30="","",养成规划!G30)</f>
        <v/>
      </c>
      <c r="E729" s="1" t="str">
        <f ca="1" t="shared" si="275"/>
        <v/>
      </c>
      <c r="F729" s="15">
        <f ca="1">'204_军官任务'!R30</f>
        <v>1.8</v>
      </c>
      <c r="G729" s="15">
        <f>'205_每日任务'!K30</f>
        <v>18</v>
      </c>
      <c r="H729" s="15">
        <f ca="1">'206_副本挂机'!M149</f>
        <v>2.336448</v>
      </c>
      <c r="I729" s="15">
        <f ca="1">'207_空投'!J30</f>
        <v>12.2133333333333</v>
      </c>
      <c r="J729" s="15">
        <f ca="1">'208_黑市'!I30</f>
        <v>1.65</v>
      </c>
      <c r="K729" s="15">
        <f ca="1">'210_活动'!O30</f>
        <v>8</v>
      </c>
      <c r="L729" s="15">
        <f ca="1">'211_VIP宝箱'!I30</f>
        <v>0.8</v>
      </c>
      <c r="M729" s="15">
        <f ca="1">'212_VIP商店'!I30</f>
        <v>1.14285714285714</v>
      </c>
      <c r="N729" s="1" t="str">
        <f ca="1" t="shared" si="276"/>
        <v/>
      </c>
      <c r="O729" s="1">
        <f ca="1" t="shared" si="277"/>
        <v>45.9426384761905</v>
      </c>
      <c r="P729" s="30"/>
      <c r="Q729" s="30"/>
      <c r="S729" s="45">
        <f ca="1" t="shared" si="279"/>
        <v>0.72</v>
      </c>
      <c r="T729" s="45">
        <f t="shared" si="280"/>
        <v>2</v>
      </c>
      <c r="U729" s="45">
        <f ca="1" t="shared" si="281"/>
        <v>0.3744</v>
      </c>
      <c r="V729" s="45">
        <f ca="1" t="shared" si="282"/>
        <v>1.6</v>
      </c>
      <c r="W729" s="45">
        <f ca="1" t="shared" si="283"/>
        <v>0.3</v>
      </c>
      <c r="X729" s="45">
        <f ca="1" t="shared" si="284"/>
        <v>4</v>
      </c>
      <c r="Y729" s="45">
        <f ca="1" t="shared" si="285"/>
        <v>0.8</v>
      </c>
      <c r="Z729" s="45">
        <f ca="1" t="shared" si="286"/>
        <v>1.14285714285714</v>
      </c>
      <c r="AA729" s="44">
        <f ca="1" t="shared" si="278"/>
        <v>10.9372571428571</v>
      </c>
    </row>
    <row r="730" spans="2:27">
      <c r="B730" s="10">
        <v>10</v>
      </c>
      <c r="C730" s="1">
        <f ca="1">IF(养成规划!E31="",INDIRECT(ADDRESS(ROW()-1,COLUMN())),养成规划!E31)</f>
        <v>5</v>
      </c>
      <c r="D730" s="1" t="str">
        <f>IF(养成规划!G31="","",养成规划!G31)</f>
        <v/>
      </c>
      <c r="E730" s="1" t="str">
        <f ca="1" t="shared" si="275"/>
        <v/>
      </c>
      <c r="F730" s="15">
        <f ca="1">'204_军官任务'!R31</f>
        <v>2.52</v>
      </c>
      <c r="G730" s="15">
        <f>'205_每日任务'!K31</f>
        <v>20</v>
      </c>
      <c r="H730" s="15">
        <f ca="1">'206_副本挂机'!M150</f>
        <v>2.726208</v>
      </c>
      <c r="I730" s="15">
        <f ca="1">'207_空投'!J31</f>
        <v>13.8133333333333</v>
      </c>
      <c r="J730" s="15">
        <f ca="1">'208_黑市'!I31</f>
        <v>1.95</v>
      </c>
      <c r="K730" s="15">
        <f ca="1">'210_活动'!O31</f>
        <v>12</v>
      </c>
      <c r="L730" s="15">
        <f ca="1">'211_VIP宝箱'!I31</f>
        <v>1.6</v>
      </c>
      <c r="M730" s="15">
        <f ca="1">'212_VIP商店'!I31</f>
        <v>2.28571428571428</v>
      </c>
      <c r="N730" s="1" t="str">
        <f ca="1" t="shared" si="276"/>
        <v/>
      </c>
      <c r="O730" s="1">
        <f ca="1" t="shared" si="277"/>
        <v>56.8952556190476</v>
      </c>
      <c r="P730" s="30"/>
      <c r="Q730" s="30"/>
      <c r="S730" s="45">
        <f ca="1" t="shared" si="279"/>
        <v>0.72</v>
      </c>
      <c r="T730" s="45">
        <f t="shared" si="280"/>
        <v>2</v>
      </c>
      <c r="U730" s="45">
        <f ca="1" t="shared" si="281"/>
        <v>0.38976</v>
      </c>
      <c r="V730" s="45">
        <f ca="1" t="shared" si="282"/>
        <v>1.6</v>
      </c>
      <c r="W730" s="45">
        <f ca="1" t="shared" si="283"/>
        <v>0.3</v>
      </c>
      <c r="X730" s="45">
        <f ca="1" t="shared" si="284"/>
        <v>4</v>
      </c>
      <c r="Y730" s="45">
        <f ca="1" t="shared" si="285"/>
        <v>0.8</v>
      </c>
      <c r="Z730" s="45">
        <f ca="1" t="shared" si="286"/>
        <v>1.14285714285714</v>
      </c>
      <c r="AA730" s="44">
        <f ca="1" t="shared" si="278"/>
        <v>10.9526171428571</v>
      </c>
    </row>
    <row r="731" spans="2:27">
      <c r="B731" s="10">
        <v>11</v>
      </c>
      <c r="C731" s="1">
        <f ca="1">IF(养成规划!E32="",INDIRECT(ADDRESS(ROW()-1,COLUMN())),养成规划!E32)</f>
        <v>5</v>
      </c>
      <c r="D731" s="1" t="str">
        <f>IF(养成规划!G32="","",养成规划!G32)</f>
        <v/>
      </c>
      <c r="E731" s="1" t="str">
        <f ca="1" t="shared" si="275"/>
        <v/>
      </c>
      <c r="F731" s="15">
        <f ca="1">'204_军官任务'!R32</f>
        <v>3.24</v>
      </c>
      <c r="G731" s="15">
        <f>'205_每日任务'!K32</f>
        <v>22</v>
      </c>
      <c r="H731" s="15">
        <f ca="1">'206_副本挂机'!M151</f>
        <v>3.130368</v>
      </c>
      <c r="I731" s="15">
        <f ca="1">'207_空投'!J32</f>
        <v>15.4133333333333</v>
      </c>
      <c r="J731" s="15">
        <f ca="1">'208_黑市'!I32</f>
        <v>2.25</v>
      </c>
      <c r="K731" s="15">
        <f ca="1">'210_活动'!O32</f>
        <v>16</v>
      </c>
      <c r="L731" s="15">
        <f ca="1">'211_VIP宝箱'!I32</f>
        <v>2.4</v>
      </c>
      <c r="M731" s="15">
        <f ca="1">'212_VIP商店'!I32</f>
        <v>3.42857142857142</v>
      </c>
      <c r="N731" s="1" t="str">
        <f ca="1" t="shared" si="276"/>
        <v/>
      </c>
      <c r="O731" s="1">
        <f ca="1" t="shared" si="277"/>
        <v>67.8622727619048</v>
      </c>
      <c r="P731" s="30"/>
      <c r="Q731" s="30"/>
      <c r="S731" s="45">
        <f ca="1" t="shared" si="279"/>
        <v>0.72</v>
      </c>
      <c r="T731" s="45">
        <f t="shared" si="280"/>
        <v>2</v>
      </c>
      <c r="U731" s="45">
        <f ca="1" t="shared" si="281"/>
        <v>0.40416</v>
      </c>
      <c r="V731" s="45">
        <f ca="1" t="shared" si="282"/>
        <v>1.6</v>
      </c>
      <c r="W731" s="45">
        <f ca="1" t="shared" si="283"/>
        <v>0.3</v>
      </c>
      <c r="X731" s="45">
        <f ca="1" t="shared" si="284"/>
        <v>4</v>
      </c>
      <c r="Y731" s="45">
        <f ca="1" t="shared" si="285"/>
        <v>0.8</v>
      </c>
      <c r="Z731" s="45">
        <f ca="1" t="shared" si="286"/>
        <v>1.14285714285714</v>
      </c>
      <c r="AA731" s="44">
        <f ca="1" t="shared" si="278"/>
        <v>10.9670171428571</v>
      </c>
    </row>
    <row r="732" spans="2:27">
      <c r="B732" s="10">
        <v>12</v>
      </c>
      <c r="C732" s="1">
        <f ca="1">IF(养成规划!E33="",INDIRECT(ADDRESS(ROW()-1,COLUMN())),养成规划!E33)</f>
        <v>5</v>
      </c>
      <c r="D732" s="1" t="str">
        <f>IF(养成规划!G33="","",养成规划!G33)</f>
        <v/>
      </c>
      <c r="E732" s="1" t="str">
        <f ca="1" t="shared" si="275"/>
        <v/>
      </c>
      <c r="F732" s="15">
        <f ca="1">'204_军官任务'!R33</f>
        <v>3.96</v>
      </c>
      <c r="G732" s="15">
        <f>'205_每日任务'!K33</f>
        <v>24</v>
      </c>
      <c r="H732" s="15">
        <f ca="1">'206_副本挂机'!M152</f>
        <v>3.549888</v>
      </c>
      <c r="I732" s="15">
        <f ca="1">'207_空投'!J33</f>
        <v>17.0133333333333</v>
      </c>
      <c r="J732" s="15">
        <f ca="1">'208_黑市'!I33</f>
        <v>2.55</v>
      </c>
      <c r="K732" s="15">
        <f ca="1">'210_活动'!O33</f>
        <v>20</v>
      </c>
      <c r="L732" s="15">
        <f ca="1">'211_VIP宝箱'!I33</f>
        <v>3.2</v>
      </c>
      <c r="M732" s="15">
        <f ca="1">'212_VIP商店'!I33</f>
        <v>4.57142857142856</v>
      </c>
      <c r="N732" s="1" t="str">
        <f ca="1" t="shared" si="276"/>
        <v/>
      </c>
      <c r="O732" s="1">
        <f ca="1" t="shared" si="277"/>
        <v>78.8446499047619</v>
      </c>
      <c r="P732" s="30"/>
      <c r="Q732" s="30"/>
      <c r="S732" s="45">
        <f ca="1" t="shared" si="279"/>
        <v>0.72</v>
      </c>
      <c r="T732" s="45">
        <f t="shared" si="280"/>
        <v>2</v>
      </c>
      <c r="U732" s="45">
        <f ca="1" t="shared" si="281"/>
        <v>0.419519999999999</v>
      </c>
      <c r="V732" s="45">
        <f ca="1" t="shared" si="282"/>
        <v>1.6</v>
      </c>
      <c r="W732" s="45">
        <f ca="1" t="shared" si="283"/>
        <v>0.3</v>
      </c>
      <c r="X732" s="45">
        <f ca="1" t="shared" si="284"/>
        <v>4</v>
      </c>
      <c r="Y732" s="45">
        <f ca="1" t="shared" si="285"/>
        <v>0.8</v>
      </c>
      <c r="Z732" s="45">
        <f ca="1" t="shared" si="286"/>
        <v>1.14285714285714</v>
      </c>
      <c r="AA732" s="44">
        <f ca="1" t="shared" si="278"/>
        <v>10.9823771428571</v>
      </c>
    </row>
    <row r="733" spans="2:27">
      <c r="B733" s="10">
        <v>13</v>
      </c>
      <c r="C733" s="1">
        <f ca="1">IF(养成规划!E34="",INDIRECT(ADDRESS(ROW()-1,COLUMN())),养成规划!E34)</f>
        <v>5</v>
      </c>
      <c r="D733" s="1" t="str">
        <f>IF(养成规划!G34="","",养成规划!G34)</f>
        <v/>
      </c>
      <c r="E733" s="1" t="str">
        <f ca="1" t="shared" si="275"/>
        <v/>
      </c>
      <c r="F733" s="15">
        <f ca="1">'204_军官任务'!R34</f>
        <v>4.68</v>
      </c>
      <c r="G733" s="15">
        <f>'205_每日任务'!K34</f>
        <v>26</v>
      </c>
      <c r="H733" s="15">
        <f ca="1">'206_副本挂机'!M153</f>
        <v>3.999168</v>
      </c>
      <c r="I733" s="15">
        <f ca="1">'207_空投'!J34</f>
        <v>18.6133333333333</v>
      </c>
      <c r="J733" s="15">
        <f ca="1">'208_黑市'!I34</f>
        <v>2.85</v>
      </c>
      <c r="K733" s="15">
        <f ca="1">'210_活动'!O34</f>
        <v>24</v>
      </c>
      <c r="L733" s="15">
        <f ca="1">'211_VIP宝箱'!I34</f>
        <v>4</v>
      </c>
      <c r="M733" s="15">
        <f ca="1">'212_VIP商店'!I34</f>
        <v>5.7142857142857</v>
      </c>
      <c r="N733" s="1" t="str">
        <f ca="1" t="shared" si="276"/>
        <v/>
      </c>
      <c r="O733" s="1">
        <f ca="1" t="shared" si="277"/>
        <v>89.856787047619</v>
      </c>
      <c r="P733" s="30"/>
      <c r="Q733" s="30"/>
      <c r="S733" s="45">
        <f ca="1" t="shared" si="279"/>
        <v>0.72</v>
      </c>
      <c r="T733" s="45">
        <f t="shared" si="280"/>
        <v>2</v>
      </c>
      <c r="U733" s="45">
        <f ca="1" t="shared" si="281"/>
        <v>0.44928</v>
      </c>
      <c r="V733" s="45">
        <f ca="1" t="shared" si="282"/>
        <v>1.6</v>
      </c>
      <c r="W733" s="45">
        <f ca="1" t="shared" si="283"/>
        <v>0.3</v>
      </c>
      <c r="X733" s="45">
        <f ca="1" t="shared" si="284"/>
        <v>4</v>
      </c>
      <c r="Y733" s="45">
        <f ca="1" t="shared" si="285"/>
        <v>0.8</v>
      </c>
      <c r="Z733" s="45">
        <f ca="1" t="shared" si="286"/>
        <v>1.14285714285714</v>
      </c>
      <c r="AA733" s="44">
        <f ca="1" t="shared" si="278"/>
        <v>11.0121371428571</v>
      </c>
    </row>
    <row r="734" spans="2:27">
      <c r="B734" s="10">
        <v>14</v>
      </c>
      <c r="C734" s="1">
        <f ca="1">IF(养成规划!E35="",INDIRECT(ADDRESS(ROW()-1,COLUMN())),养成规划!E35)</f>
        <v>5</v>
      </c>
      <c r="D734" s="1" t="str">
        <f>IF(养成规划!G35="","",养成规划!G35)</f>
        <v/>
      </c>
      <c r="E734" s="1" t="str">
        <f ca="1" t="shared" si="275"/>
        <v/>
      </c>
      <c r="F734" s="15">
        <f ca="1">'204_军官任务'!R35</f>
        <v>5.4</v>
      </c>
      <c r="G734" s="15">
        <f>'205_每日任务'!K35</f>
        <v>28</v>
      </c>
      <c r="H734" s="15">
        <f ca="1">'206_副本挂机'!M154</f>
        <v>4.463808</v>
      </c>
      <c r="I734" s="15">
        <f ca="1">'207_空投'!J35</f>
        <v>20.2133333333333</v>
      </c>
      <c r="J734" s="15">
        <f ca="1">'208_黑市'!I35</f>
        <v>3.15</v>
      </c>
      <c r="K734" s="15">
        <f ca="1">'210_活动'!O35</f>
        <v>28</v>
      </c>
      <c r="L734" s="15">
        <f ca="1">'211_VIP宝箱'!I35</f>
        <v>4.8</v>
      </c>
      <c r="M734" s="15">
        <f ca="1">'212_VIP商店'!I35</f>
        <v>6.85714285714284</v>
      </c>
      <c r="N734" s="1" t="str">
        <f ca="1" t="shared" si="276"/>
        <v/>
      </c>
      <c r="O734" s="1">
        <f ca="1" t="shared" si="277"/>
        <v>100.884284190476</v>
      </c>
      <c r="P734" s="30"/>
      <c r="Q734" s="30"/>
      <c r="S734" s="45">
        <f ca="1" t="shared" si="279"/>
        <v>0.72</v>
      </c>
      <c r="T734" s="45">
        <f t="shared" si="280"/>
        <v>2</v>
      </c>
      <c r="U734" s="45">
        <f ca="1" t="shared" si="281"/>
        <v>0.46464</v>
      </c>
      <c r="V734" s="45">
        <f ca="1" t="shared" si="282"/>
        <v>1.6</v>
      </c>
      <c r="W734" s="45">
        <f ca="1" t="shared" si="283"/>
        <v>0.3</v>
      </c>
      <c r="X734" s="45">
        <f ca="1" t="shared" si="284"/>
        <v>4</v>
      </c>
      <c r="Y734" s="45">
        <f ca="1" t="shared" si="285"/>
        <v>0.8</v>
      </c>
      <c r="Z734" s="45">
        <f ca="1" t="shared" si="286"/>
        <v>1.14285714285714</v>
      </c>
      <c r="AA734" s="44">
        <f ca="1" t="shared" si="278"/>
        <v>11.0274971428571</v>
      </c>
    </row>
    <row r="735" spans="2:27">
      <c r="B735" s="10">
        <v>15</v>
      </c>
      <c r="C735" s="1">
        <f ca="1">IF(养成规划!E36="",INDIRECT(ADDRESS(ROW()-1,COLUMN())),养成规划!E36)</f>
        <v>5</v>
      </c>
      <c r="D735" s="1" t="str">
        <f>IF(养成规划!G36="","",养成规划!G36)</f>
        <v/>
      </c>
      <c r="E735" s="1" t="str">
        <f ca="1" t="shared" si="275"/>
        <v/>
      </c>
      <c r="F735" s="15">
        <f ca="1">'204_军官任务'!R36</f>
        <v>6.12</v>
      </c>
      <c r="G735" s="15">
        <f>'205_每日任务'!K36</f>
        <v>30</v>
      </c>
      <c r="H735" s="15">
        <f ca="1">'206_副本挂机'!M155</f>
        <v>4.943808</v>
      </c>
      <c r="I735" s="15">
        <f ca="1">'207_空投'!J36</f>
        <v>21.8133333333333</v>
      </c>
      <c r="J735" s="15">
        <f ca="1">'208_黑市'!I36</f>
        <v>3.75</v>
      </c>
      <c r="K735" s="15">
        <f ca="1">'210_活动'!O36</f>
        <v>36</v>
      </c>
      <c r="L735" s="15">
        <f ca="1">'211_VIP宝箱'!I36</f>
        <v>5.6</v>
      </c>
      <c r="M735" s="15">
        <f ca="1">'212_VIP商店'!I36</f>
        <v>7.99999999999998</v>
      </c>
      <c r="N735" s="1" t="str">
        <f ca="1" t="shared" si="276"/>
        <v/>
      </c>
      <c r="O735" s="1">
        <f ca="1" t="shared" si="277"/>
        <v>116.227141333333</v>
      </c>
      <c r="P735" s="30"/>
      <c r="Q735" s="30"/>
      <c r="S735" s="45">
        <f ca="1" t="shared" si="279"/>
        <v>0.72</v>
      </c>
      <c r="T735" s="45">
        <f t="shared" si="280"/>
        <v>2</v>
      </c>
      <c r="U735" s="45">
        <f ca="1" t="shared" si="281"/>
        <v>0.48</v>
      </c>
      <c r="V735" s="45">
        <f ca="1" t="shared" si="282"/>
        <v>1.6</v>
      </c>
      <c r="W735" s="45">
        <f ca="1" t="shared" si="283"/>
        <v>0.6</v>
      </c>
      <c r="X735" s="45">
        <f ca="1" t="shared" si="284"/>
        <v>8</v>
      </c>
      <c r="Y735" s="45">
        <f ca="1" t="shared" si="285"/>
        <v>0.8</v>
      </c>
      <c r="Z735" s="45">
        <f ca="1" t="shared" si="286"/>
        <v>1.14285714285714</v>
      </c>
      <c r="AA735" s="44">
        <f ca="1" t="shared" si="278"/>
        <v>15.3428571428571</v>
      </c>
    </row>
    <row r="736" spans="2:27">
      <c r="B736" s="10">
        <v>16</v>
      </c>
      <c r="C736" s="1">
        <f ca="1">IF(养成规划!E37="",INDIRECT(ADDRESS(ROW()-1,COLUMN())),养成规划!E37)</f>
        <v>5</v>
      </c>
      <c r="D736" s="1" t="str">
        <f>IF(养成规划!G37="","",养成规划!G37)</f>
        <v/>
      </c>
      <c r="E736" s="1" t="str">
        <f ca="1" t="shared" si="275"/>
        <v/>
      </c>
      <c r="F736" s="15">
        <f ca="1">'204_军官任务'!R37</f>
        <v>6.84</v>
      </c>
      <c r="G736" s="15">
        <f>'205_每日任务'!K37</f>
        <v>32</v>
      </c>
      <c r="H736" s="15">
        <f ca="1">'206_副本挂机'!M156</f>
        <v>5.438208</v>
      </c>
      <c r="I736" s="15">
        <f ca="1">'207_空投'!J37</f>
        <v>23.4133333333333</v>
      </c>
      <c r="J736" s="15">
        <f ca="1">'208_黑市'!I37</f>
        <v>4.35</v>
      </c>
      <c r="K736" s="15">
        <f ca="1">'210_活动'!O37</f>
        <v>44</v>
      </c>
      <c r="L736" s="15">
        <f ca="1">'211_VIP宝箱'!I37</f>
        <v>6.4</v>
      </c>
      <c r="M736" s="15">
        <f ca="1">'212_VIP商店'!I37</f>
        <v>9.14285714285712</v>
      </c>
      <c r="N736" s="1" t="str">
        <f ca="1" t="shared" si="276"/>
        <v/>
      </c>
      <c r="O736" s="1">
        <f ca="1" t="shared" si="277"/>
        <v>131.58439847619</v>
      </c>
      <c r="P736" s="30"/>
      <c r="Q736" s="30"/>
      <c r="S736" s="45">
        <f ca="1" t="shared" si="279"/>
        <v>0.72</v>
      </c>
      <c r="T736" s="45">
        <f t="shared" si="280"/>
        <v>2</v>
      </c>
      <c r="U736" s="45">
        <f ca="1" t="shared" si="281"/>
        <v>0.4944</v>
      </c>
      <c r="V736" s="45">
        <f ca="1" t="shared" si="282"/>
        <v>1.6</v>
      </c>
      <c r="W736" s="45">
        <f ca="1" t="shared" si="283"/>
        <v>0.6</v>
      </c>
      <c r="X736" s="45">
        <f ca="1" t="shared" si="284"/>
        <v>8</v>
      </c>
      <c r="Y736" s="45">
        <f ca="1" t="shared" si="285"/>
        <v>0.8</v>
      </c>
      <c r="Z736" s="45">
        <f ca="1" t="shared" si="286"/>
        <v>1.14285714285714</v>
      </c>
      <c r="AA736" s="44">
        <f ca="1" t="shared" si="278"/>
        <v>15.3572571428571</v>
      </c>
    </row>
    <row r="737" spans="2:27">
      <c r="B737" s="10">
        <v>17</v>
      </c>
      <c r="C737" s="1">
        <f ca="1">IF(养成规划!E38="",INDIRECT(ADDRESS(ROW()-1,COLUMN())),养成规划!E38)</f>
        <v>5</v>
      </c>
      <c r="D737" s="1" t="str">
        <f>IF(养成规划!G38="","",养成规划!G38)</f>
        <v/>
      </c>
      <c r="E737" s="1" t="str">
        <f ca="1" t="shared" ref="E737:E768" si="287">IF(OR(D737="",D737&lt;4),"",C737*OFFSET($L$784,MATCH(D737,$B$784:$B$792,0)-1,0))</f>
        <v/>
      </c>
      <c r="F737" s="15">
        <f ca="1">'204_军官任务'!R38</f>
        <v>7.56</v>
      </c>
      <c r="G737" s="15">
        <f>'205_每日任务'!K38</f>
        <v>34</v>
      </c>
      <c r="H737" s="15">
        <f ca="1">'206_副本挂机'!M157</f>
        <v>5.947968</v>
      </c>
      <c r="I737" s="15">
        <f ca="1">'207_空投'!J38</f>
        <v>25.0133333333333</v>
      </c>
      <c r="J737" s="15">
        <f ca="1">'208_黑市'!I38</f>
        <v>4.95</v>
      </c>
      <c r="K737" s="15">
        <f ca="1">'210_活动'!O38</f>
        <v>52</v>
      </c>
      <c r="L737" s="15">
        <f ca="1">'211_VIP宝箱'!I38</f>
        <v>7.2</v>
      </c>
      <c r="M737" s="15">
        <f ca="1">'212_VIP商店'!I38</f>
        <v>10.2857142857143</v>
      </c>
      <c r="N737" s="1" t="str">
        <f ca="1" t="shared" ref="N737:N768" si="288">IFERROR(E737*(1+$E$700),"")</f>
        <v/>
      </c>
      <c r="O737" s="1">
        <f ca="1" t="shared" ref="O737:O768" si="289">SUM(F737:M737)</f>
        <v>146.957015619048</v>
      </c>
      <c r="P737" s="30"/>
      <c r="Q737" s="30"/>
      <c r="S737" s="45">
        <f ca="1" t="shared" si="279"/>
        <v>0.72</v>
      </c>
      <c r="T737" s="45">
        <f t="shared" si="280"/>
        <v>2</v>
      </c>
      <c r="U737" s="45">
        <f ca="1" t="shared" si="281"/>
        <v>0.50976</v>
      </c>
      <c r="V737" s="45">
        <f ca="1" t="shared" si="282"/>
        <v>1.6</v>
      </c>
      <c r="W737" s="45">
        <f ca="1" t="shared" si="283"/>
        <v>0.6</v>
      </c>
      <c r="X737" s="45">
        <f ca="1" t="shared" si="284"/>
        <v>8</v>
      </c>
      <c r="Y737" s="45">
        <f ca="1" t="shared" si="285"/>
        <v>0.8</v>
      </c>
      <c r="Z737" s="45">
        <f ca="1" t="shared" si="286"/>
        <v>1.14285714285714</v>
      </c>
      <c r="AA737" s="44">
        <f ca="1" t="shared" ref="AA737:AA768" si="290">SUM(S737:Z737)</f>
        <v>15.3726171428571</v>
      </c>
    </row>
    <row r="738" spans="2:27">
      <c r="B738" s="10">
        <v>18</v>
      </c>
      <c r="C738" s="1">
        <f ca="1">IF(养成规划!E39="",INDIRECT(ADDRESS(ROW()-1,COLUMN())),养成规划!E39)</f>
        <v>5</v>
      </c>
      <c r="D738" s="1">
        <f>IF(养成规划!G39="","",养成规划!G39)</f>
        <v>6</v>
      </c>
      <c r="E738" s="1">
        <f ca="1" t="shared" si="287"/>
        <v>270</v>
      </c>
      <c r="F738" s="15">
        <f ca="1">'204_军官任务'!R39</f>
        <v>8.28</v>
      </c>
      <c r="G738" s="15">
        <f>'205_每日任务'!K39</f>
        <v>36</v>
      </c>
      <c r="H738" s="15">
        <f ca="1">'206_副本挂机'!M158</f>
        <v>6.472128</v>
      </c>
      <c r="I738" s="15">
        <f ca="1">'207_空投'!J39</f>
        <v>26.6133333333333</v>
      </c>
      <c r="J738" s="15">
        <f ca="1">'208_黑市'!I39</f>
        <v>5.55</v>
      </c>
      <c r="K738" s="15">
        <f ca="1">'210_活动'!O39</f>
        <v>60</v>
      </c>
      <c r="L738" s="15">
        <f ca="1">'211_VIP宝箱'!I39</f>
        <v>8</v>
      </c>
      <c r="M738" s="15">
        <f ca="1">'212_VIP商店'!I39</f>
        <v>11.4285714285714</v>
      </c>
      <c r="N738" s="1">
        <f ca="1" t="shared" si="288"/>
        <v>324</v>
      </c>
      <c r="O738" s="1">
        <f ca="1" t="shared" si="289"/>
        <v>162.344032761905</v>
      </c>
      <c r="P738" s="30"/>
      <c r="Q738" s="30"/>
      <c r="S738" s="45">
        <f ca="1" t="shared" ref="S738:S769" si="291">(F738-F737)/($B738-$B737)</f>
        <v>0.720000000000001</v>
      </c>
      <c r="T738" s="45">
        <f t="shared" ref="T738:T769" si="292">(G738-G737)/($B738-$B737)</f>
        <v>2</v>
      </c>
      <c r="U738" s="45">
        <f ca="1" t="shared" ref="U738:U769" si="293">(H738-H737)/($B738-$B737)</f>
        <v>0.524160000000001</v>
      </c>
      <c r="V738" s="45">
        <f ca="1" t="shared" ref="V738:V769" si="294">(I738-I737)/($B738-$B737)</f>
        <v>1.6</v>
      </c>
      <c r="W738" s="45">
        <f ca="1" t="shared" ref="W738:W769" si="295">(J738-J737)/($B738-$B737)</f>
        <v>0.6</v>
      </c>
      <c r="X738" s="45">
        <f ca="1" t="shared" ref="X738:X769" si="296">(K738-K737)/($B738-$B737)</f>
        <v>8</v>
      </c>
      <c r="Y738" s="45">
        <f ca="1" t="shared" ref="Y738:Y769" si="297">(L738-L737)/($B738-$B737)</f>
        <v>0.8</v>
      </c>
      <c r="Z738" s="45">
        <f ca="1" t="shared" ref="Z738:Z769" si="298">(M738-M737)/($B738-$B737)</f>
        <v>1.14285714285714</v>
      </c>
      <c r="AA738" s="44">
        <f ca="1" t="shared" si="290"/>
        <v>15.3870171428571</v>
      </c>
    </row>
    <row r="739" spans="2:27">
      <c r="B739" s="10">
        <v>19</v>
      </c>
      <c r="C739" s="1">
        <f ca="1">IF(养成规划!E40="",INDIRECT(ADDRESS(ROW()-1,COLUMN())),养成规划!E40)</f>
        <v>5</v>
      </c>
      <c r="D739" s="1" t="str">
        <f>IF(养成规划!G40="","",养成规划!G40)</f>
        <v/>
      </c>
      <c r="E739" s="1" t="str">
        <f ca="1" t="shared" si="287"/>
        <v/>
      </c>
      <c r="F739" s="15">
        <f ca="1">'204_军官任务'!R40</f>
        <v>9</v>
      </c>
      <c r="G739" s="15">
        <f>'205_每日任务'!K40</f>
        <v>38</v>
      </c>
      <c r="H739" s="15">
        <f ca="1">'206_副本挂机'!M159</f>
        <v>7.011648</v>
      </c>
      <c r="I739" s="15">
        <f ca="1">'207_空投'!J40</f>
        <v>28.2133333333333</v>
      </c>
      <c r="J739" s="15">
        <f ca="1">'208_黑市'!I40</f>
        <v>6.15</v>
      </c>
      <c r="K739" s="15">
        <f ca="1">'210_活动'!O40</f>
        <v>68</v>
      </c>
      <c r="L739" s="15">
        <f ca="1">'211_VIP宝箱'!I40</f>
        <v>8.8</v>
      </c>
      <c r="M739" s="15">
        <f ca="1">'212_VIP商店'!I40</f>
        <v>12.5714285714285</v>
      </c>
      <c r="N739" s="1" t="str">
        <f ca="1" t="shared" si="288"/>
        <v/>
      </c>
      <c r="O739" s="1">
        <f ca="1" t="shared" si="289"/>
        <v>177.746409904762</v>
      </c>
      <c r="P739" s="30"/>
      <c r="Q739" s="30"/>
      <c r="S739" s="45">
        <f ca="1" t="shared" si="291"/>
        <v>0.720000000000001</v>
      </c>
      <c r="T739" s="45">
        <f t="shared" si="292"/>
        <v>2</v>
      </c>
      <c r="U739" s="45">
        <f ca="1" t="shared" si="293"/>
        <v>0.53952</v>
      </c>
      <c r="V739" s="45">
        <f ca="1" t="shared" si="294"/>
        <v>1.6</v>
      </c>
      <c r="W739" s="45">
        <f ca="1" t="shared" si="295"/>
        <v>0.6</v>
      </c>
      <c r="X739" s="45">
        <f ca="1" t="shared" si="296"/>
        <v>8</v>
      </c>
      <c r="Y739" s="45">
        <f ca="1" t="shared" si="297"/>
        <v>0.8</v>
      </c>
      <c r="Z739" s="45">
        <f ca="1" t="shared" si="298"/>
        <v>1.14285714285714</v>
      </c>
      <c r="AA739" s="44">
        <f ca="1" t="shared" si="290"/>
        <v>15.4023771428571</v>
      </c>
    </row>
    <row r="740" spans="2:27">
      <c r="B740" s="10">
        <v>20</v>
      </c>
      <c r="C740" s="1">
        <f ca="1">IF(养成规划!E41="",INDIRECT(ADDRESS(ROW()-1,COLUMN())),养成规划!E41)</f>
        <v>5</v>
      </c>
      <c r="D740" s="1" t="str">
        <f>IF(养成规划!G41="","",养成规划!G41)</f>
        <v/>
      </c>
      <c r="E740" s="1" t="str">
        <f ca="1" t="shared" si="287"/>
        <v/>
      </c>
      <c r="F740" s="15">
        <f ca="1">'204_军官任务'!R41</f>
        <v>9.72</v>
      </c>
      <c r="G740" s="15">
        <f>'205_每日任务'!K41</f>
        <v>40</v>
      </c>
      <c r="H740" s="15">
        <f ca="1">'206_副本挂机'!M160</f>
        <v>7.566528</v>
      </c>
      <c r="I740" s="15">
        <f ca="1">'207_空投'!J41</f>
        <v>30.88</v>
      </c>
      <c r="J740" s="15">
        <f ca="1">'208_黑市'!I41</f>
        <v>6.75</v>
      </c>
      <c r="K740" s="15">
        <f ca="1">'210_活动'!O41</f>
        <v>76</v>
      </c>
      <c r="L740" s="15">
        <f ca="1">'211_VIP宝箱'!I41</f>
        <v>9.6</v>
      </c>
      <c r="M740" s="15">
        <f ca="1">'212_VIP商店'!I41</f>
        <v>13.7142857142857</v>
      </c>
      <c r="N740" s="1" t="str">
        <f ca="1" t="shared" si="288"/>
        <v/>
      </c>
      <c r="O740" s="1">
        <f ca="1" t="shared" si="289"/>
        <v>194.230813714286</v>
      </c>
      <c r="P740" s="30"/>
      <c r="Q740" s="30"/>
      <c r="S740" s="45">
        <f ca="1" t="shared" si="291"/>
        <v>0.720000000000001</v>
      </c>
      <c r="T740" s="45">
        <f t="shared" si="292"/>
        <v>2</v>
      </c>
      <c r="U740" s="45">
        <f ca="1" t="shared" si="293"/>
        <v>0.554880000000001</v>
      </c>
      <c r="V740" s="45">
        <f ca="1" t="shared" si="294"/>
        <v>2.66666666666667</v>
      </c>
      <c r="W740" s="45">
        <f ca="1" t="shared" si="295"/>
        <v>0.6</v>
      </c>
      <c r="X740" s="45">
        <f ca="1" t="shared" si="296"/>
        <v>8</v>
      </c>
      <c r="Y740" s="45">
        <f ca="1" t="shared" si="297"/>
        <v>0.800000000000001</v>
      </c>
      <c r="Z740" s="45">
        <f ca="1" t="shared" si="298"/>
        <v>1.14285714285714</v>
      </c>
      <c r="AA740" s="44">
        <f ca="1" t="shared" si="290"/>
        <v>16.4844038095238</v>
      </c>
    </row>
    <row r="741" spans="2:27">
      <c r="B741" s="10">
        <v>21</v>
      </c>
      <c r="C741" s="1">
        <f ca="1">IF(养成规划!E42="",INDIRECT(ADDRESS(ROW()-1,COLUMN())),养成规划!E42)</f>
        <v>5</v>
      </c>
      <c r="D741" s="1" t="str">
        <f>IF(养成规划!G42="","",养成规划!G42)</f>
        <v/>
      </c>
      <c r="E741" s="1" t="str">
        <f ca="1" t="shared" si="287"/>
        <v/>
      </c>
      <c r="F741" s="15">
        <f ca="1">'204_军官任务'!R42</f>
        <v>10.44</v>
      </c>
      <c r="G741" s="15">
        <f>'205_每日任务'!K42</f>
        <v>42</v>
      </c>
      <c r="H741" s="15">
        <f ca="1">'206_副本挂机'!M161</f>
        <v>8.135808</v>
      </c>
      <c r="I741" s="15">
        <f ca="1">'207_空投'!J42</f>
        <v>33.5466666666667</v>
      </c>
      <c r="J741" s="15">
        <f ca="1">'208_黑市'!I42</f>
        <v>7.35</v>
      </c>
      <c r="K741" s="15">
        <f ca="1">'210_活动'!O42</f>
        <v>84</v>
      </c>
      <c r="L741" s="15">
        <f ca="1">'211_VIP宝箱'!I42</f>
        <v>10.4</v>
      </c>
      <c r="M741" s="15">
        <f ca="1">'212_VIP商店'!I42</f>
        <v>14.8571428571428</v>
      </c>
      <c r="N741" s="1" t="str">
        <f ca="1" t="shared" si="288"/>
        <v/>
      </c>
      <c r="O741" s="1">
        <f ca="1" t="shared" si="289"/>
        <v>210.72961752381</v>
      </c>
      <c r="P741" s="30"/>
      <c r="Q741" s="30"/>
      <c r="S741" s="45">
        <f ca="1" t="shared" si="291"/>
        <v>0.720000000000001</v>
      </c>
      <c r="T741" s="45">
        <f t="shared" si="292"/>
        <v>2</v>
      </c>
      <c r="U741" s="45">
        <f ca="1" t="shared" si="293"/>
        <v>0.569280000000001</v>
      </c>
      <c r="V741" s="45">
        <f ca="1" t="shared" si="294"/>
        <v>2.66666666666667</v>
      </c>
      <c r="W741" s="45">
        <f ca="1" t="shared" si="295"/>
        <v>0.6</v>
      </c>
      <c r="X741" s="45">
        <f ca="1" t="shared" si="296"/>
        <v>8</v>
      </c>
      <c r="Y741" s="45">
        <f ca="1" t="shared" si="297"/>
        <v>0.800000000000001</v>
      </c>
      <c r="Z741" s="45">
        <f ca="1" t="shared" si="298"/>
        <v>1.14285714285714</v>
      </c>
      <c r="AA741" s="44">
        <f ca="1" t="shared" si="290"/>
        <v>16.4988038095238</v>
      </c>
    </row>
    <row r="742" spans="2:27">
      <c r="B742" s="10">
        <v>22</v>
      </c>
      <c r="C742" s="1">
        <f ca="1">IF(养成规划!E43="",INDIRECT(ADDRESS(ROW()-1,COLUMN())),养成规划!E43)</f>
        <v>5</v>
      </c>
      <c r="D742" s="1" t="str">
        <f>IF(养成规划!G43="","",养成规划!G43)</f>
        <v/>
      </c>
      <c r="E742" s="1" t="str">
        <f ca="1" t="shared" si="287"/>
        <v/>
      </c>
      <c r="F742" s="15">
        <f ca="1">'204_军官任务'!R43</f>
        <v>11.16</v>
      </c>
      <c r="G742" s="15">
        <f>'205_每日任务'!K43</f>
        <v>44</v>
      </c>
      <c r="H742" s="15">
        <f ca="1">'206_副本挂机'!M162</f>
        <v>8.720448</v>
      </c>
      <c r="I742" s="15">
        <f ca="1">'207_空投'!J43</f>
        <v>36.2133333333334</v>
      </c>
      <c r="J742" s="15">
        <f ca="1">'208_黑市'!I43</f>
        <v>7.95</v>
      </c>
      <c r="K742" s="15">
        <f ca="1">'210_活动'!O43</f>
        <v>92</v>
      </c>
      <c r="L742" s="15">
        <f ca="1">'211_VIP宝箱'!I43</f>
        <v>11.2</v>
      </c>
      <c r="M742" s="15">
        <f ca="1">'212_VIP商店'!I43</f>
        <v>16</v>
      </c>
      <c r="N742" s="1" t="str">
        <f ca="1" t="shared" si="288"/>
        <v/>
      </c>
      <c r="O742" s="1">
        <f ca="1" t="shared" si="289"/>
        <v>227.243781333333</v>
      </c>
      <c r="P742" s="30"/>
      <c r="Q742" s="30"/>
      <c r="S742" s="45">
        <f ca="1" t="shared" si="291"/>
        <v>0.720000000000001</v>
      </c>
      <c r="T742" s="45">
        <f t="shared" si="292"/>
        <v>2</v>
      </c>
      <c r="U742" s="45">
        <f ca="1" t="shared" si="293"/>
        <v>0.58464</v>
      </c>
      <c r="V742" s="45">
        <f ca="1" t="shared" si="294"/>
        <v>2.66666666666667</v>
      </c>
      <c r="W742" s="45">
        <f ca="1" t="shared" si="295"/>
        <v>0.6</v>
      </c>
      <c r="X742" s="45">
        <f ca="1" t="shared" si="296"/>
        <v>8</v>
      </c>
      <c r="Y742" s="45">
        <f ca="1" t="shared" si="297"/>
        <v>0.800000000000001</v>
      </c>
      <c r="Z742" s="45">
        <f ca="1" t="shared" si="298"/>
        <v>1.14285714285714</v>
      </c>
      <c r="AA742" s="44">
        <f ca="1" t="shared" si="290"/>
        <v>16.5141638095238</v>
      </c>
    </row>
    <row r="743" spans="2:27">
      <c r="B743" s="10">
        <v>23</v>
      </c>
      <c r="C743" s="1">
        <f ca="1">IF(养成规划!E44="",INDIRECT(ADDRESS(ROW()-1,COLUMN())),养成规划!E44)</f>
        <v>5</v>
      </c>
      <c r="D743" s="1" t="str">
        <f>IF(养成规划!G44="","",养成规划!G44)</f>
        <v/>
      </c>
      <c r="E743" s="1" t="str">
        <f ca="1" t="shared" si="287"/>
        <v/>
      </c>
      <c r="F743" s="15">
        <f ca="1">'204_军官任务'!R44</f>
        <v>11.88</v>
      </c>
      <c r="G743" s="15">
        <f>'205_每日任务'!K44</f>
        <v>46</v>
      </c>
      <c r="H743" s="15">
        <f ca="1">'206_副本挂机'!M163</f>
        <v>9.320448</v>
      </c>
      <c r="I743" s="15">
        <f ca="1">'207_空投'!J44</f>
        <v>38.88</v>
      </c>
      <c r="J743" s="15">
        <f ca="1">'208_黑市'!I44</f>
        <v>8.55</v>
      </c>
      <c r="K743" s="15">
        <f ca="1">'210_活动'!O44</f>
        <v>100</v>
      </c>
      <c r="L743" s="15">
        <f ca="1">'211_VIP宝箱'!I44</f>
        <v>12</v>
      </c>
      <c r="M743" s="15">
        <f ca="1">'212_VIP商店'!I44</f>
        <v>17.1428571428571</v>
      </c>
      <c r="N743" s="1" t="str">
        <f ca="1" t="shared" si="288"/>
        <v/>
      </c>
      <c r="O743" s="1">
        <f ca="1" t="shared" si="289"/>
        <v>243.773305142857</v>
      </c>
      <c r="P743" s="30"/>
      <c r="Q743" s="30"/>
      <c r="S743" s="45">
        <f ca="1" t="shared" si="291"/>
        <v>0.720000000000001</v>
      </c>
      <c r="T743" s="45">
        <f t="shared" si="292"/>
        <v>2</v>
      </c>
      <c r="U743" s="45">
        <f ca="1" t="shared" si="293"/>
        <v>0.6</v>
      </c>
      <c r="V743" s="45">
        <f ca="1" t="shared" si="294"/>
        <v>2.66666666666667</v>
      </c>
      <c r="W743" s="45">
        <f ca="1" t="shared" si="295"/>
        <v>0.6</v>
      </c>
      <c r="X743" s="45">
        <f ca="1" t="shared" si="296"/>
        <v>8</v>
      </c>
      <c r="Y743" s="45">
        <f ca="1" t="shared" si="297"/>
        <v>0.800000000000001</v>
      </c>
      <c r="Z743" s="45">
        <f ca="1" t="shared" si="298"/>
        <v>1.14285714285714</v>
      </c>
      <c r="AA743" s="44">
        <f ca="1" t="shared" si="290"/>
        <v>16.5295238095238</v>
      </c>
    </row>
    <row r="744" spans="2:27">
      <c r="B744" s="10">
        <v>24</v>
      </c>
      <c r="C744" s="1">
        <f ca="1">IF(养成规划!E45="",INDIRECT(ADDRESS(ROW()-1,COLUMN())),养成规划!E45)</f>
        <v>5</v>
      </c>
      <c r="D744" s="1" t="str">
        <f>IF(养成规划!G45="","",养成规划!G45)</f>
        <v/>
      </c>
      <c r="E744" s="1" t="str">
        <f ca="1" t="shared" si="287"/>
        <v/>
      </c>
      <c r="F744" s="15">
        <f ca="1">'204_军官任务'!R45</f>
        <v>12.6</v>
      </c>
      <c r="G744" s="15">
        <f>'205_每日任务'!K45</f>
        <v>48</v>
      </c>
      <c r="H744" s="15">
        <f ca="1">'206_副本挂机'!M164</f>
        <v>9.920448</v>
      </c>
      <c r="I744" s="15">
        <f ca="1">'207_空投'!J45</f>
        <v>41.5466666666667</v>
      </c>
      <c r="J744" s="15">
        <f ca="1">'208_黑市'!I45</f>
        <v>9.15</v>
      </c>
      <c r="K744" s="15">
        <f ca="1">'210_活动'!O45</f>
        <v>108</v>
      </c>
      <c r="L744" s="15">
        <f ca="1">'211_VIP宝箱'!I45</f>
        <v>12.8</v>
      </c>
      <c r="M744" s="15">
        <f ca="1">'212_VIP商店'!I45</f>
        <v>18.2857142857142</v>
      </c>
      <c r="N744" s="1" t="str">
        <f ca="1" t="shared" si="288"/>
        <v/>
      </c>
      <c r="O744" s="1">
        <f ca="1" t="shared" si="289"/>
        <v>260.302828952381</v>
      </c>
      <c r="P744" s="30"/>
      <c r="Q744" s="30"/>
      <c r="S744" s="45">
        <f ca="1" t="shared" si="291"/>
        <v>0.720000000000001</v>
      </c>
      <c r="T744" s="45">
        <f t="shared" si="292"/>
        <v>2</v>
      </c>
      <c r="U744" s="45">
        <f ca="1" t="shared" si="293"/>
        <v>0.6</v>
      </c>
      <c r="V744" s="45">
        <f ca="1" t="shared" si="294"/>
        <v>2.66666666666667</v>
      </c>
      <c r="W744" s="45">
        <f ca="1" t="shared" si="295"/>
        <v>0.6</v>
      </c>
      <c r="X744" s="45">
        <f ca="1" t="shared" si="296"/>
        <v>8</v>
      </c>
      <c r="Y744" s="45">
        <f ca="1" t="shared" si="297"/>
        <v>0.800000000000001</v>
      </c>
      <c r="Z744" s="45">
        <f ca="1" t="shared" si="298"/>
        <v>1.14285714285714</v>
      </c>
      <c r="AA744" s="44">
        <f ca="1" t="shared" si="290"/>
        <v>16.5295238095238</v>
      </c>
    </row>
    <row r="745" spans="2:27">
      <c r="B745" s="10">
        <v>25</v>
      </c>
      <c r="C745" s="1">
        <f ca="1">IF(养成规划!E46="",INDIRECT(ADDRESS(ROW()-1,COLUMN())),养成规划!E46)</f>
        <v>5</v>
      </c>
      <c r="D745" s="1" t="str">
        <f>IF(养成规划!G46="","",养成规划!G46)</f>
        <v/>
      </c>
      <c r="E745" s="1" t="str">
        <f ca="1" t="shared" si="287"/>
        <v/>
      </c>
      <c r="F745" s="15">
        <f ca="1">'204_军官任务'!R46</f>
        <v>13.32</v>
      </c>
      <c r="G745" s="15">
        <f>'205_每日任务'!K46</f>
        <v>50</v>
      </c>
      <c r="H745" s="15">
        <f ca="1">'206_副本挂机'!M165</f>
        <v>10.550208</v>
      </c>
      <c r="I745" s="15">
        <f ca="1">'207_空投'!J46</f>
        <v>44.2133333333334</v>
      </c>
      <c r="J745" s="15">
        <f ca="1">'208_黑市'!I46</f>
        <v>9.75</v>
      </c>
      <c r="K745" s="15">
        <f ca="1">'210_活动'!O46</f>
        <v>116</v>
      </c>
      <c r="L745" s="15">
        <f ca="1">'211_VIP宝箱'!I46</f>
        <v>13.6</v>
      </c>
      <c r="M745" s="15">
        <f ca="1">'212_VIP商店'!I46</f>
        <v>19.4285714285714</v>
      </c>
      <c r="N745" s="1" t="str">
        <f ca="1" t="shared" si="288"/>
        <v/>
      </c>
      <c r="O745" s="1">
        <f ca="1" t="shared" si="289"/>
        <v>276.862112761905</v>
      </c>
      <c r="P745" s="30"/>
      <c r="Q745" s="30"/>
      <c r="S745" s="45">
        <f ca="1" t="shared" si="291"/>
        <v>0.720000000000001</v>
      </c>
      <c r="T745" s="45">
        <f t="shared" si="292"/>
        <v>2</v>
      </c>
      <c r="U745" s="45">
        <f ca="1" t="shared" si="293"/>
        <v>0.629760000000001</v>
      </c>
      <c r="V745" s="45">
        <f ca="1" t="shared" si="294"/>
        <v>2.66666666666667</v>
      </c>
      <c r="W745" s="45">
        <f ca="1" t="shared" si="295"/>
        <v>0.6</v>
      </c>
      <c r="X745" s="45">
        <f ca="1" t="shared" si="296"/>
        <v>8</v>
      </c>
      <c r="Y745" s="45">
        <f ca="1" t="shared" si="297"/>
        <v>0.800000000000001</v>
      </c>
      <c r="Z745" s="45">
        <f ca="1" t="shared" si="298"/>
        <v>1.14285714285714</v>
      </c>
      <c r="AA745" s="44">
        <f ca="1" t="shared" si="290"/>
        <v>16.5592838095238</v>
      </c>
    </row>
    <row r="746" spans="2:27">
      <c r="B746" s="10">
        <v>26</v>
      </c>
      <c r="C746" s="1">
        <f ca="1">IF(养成规划!E47="",INDIRECT(ADDRESS(ROW()-1,COLUMN())),养成规划!E47)</f>
        <v>5</v>
      </c>
      <c r="D746" s="1" t="str">
        <f>IF(养成规划!G47="","",养成规划!G47)</f>
        <v/>
      </c>
      <c r="E746" s="1" t="str">
        <f ca="1" t="shared" si="287"/>
        <v/>
      </c>
      <c r="F746" s="15">
        <f ca="1">'204_军官任务'!R47</f>
        <v>14.04</v>
      </c>
      <c r="G746" s="15">
        <f>'205_每日任务'!K47</f>
        <v>52</v>
      </c>
      <c r="H746" s="15">
        <f ca="1">'206_副本挂机'!M166</f>
        <v>11.209728</v>
      </c>
      <c r="I746" s="15">
        <f ca="1">'207_空投'!J47</f>
        <v>46.88</v>
      </c>
      <c r="J746" s="15">
        <f ca="1">'208_黑市'!I47</f>
        <v>10.35</v>
      </c>
      <c r="K746" s="15">
        <f ca="1">'210_活动'!O47</f>
        <v>124</v>
      </c>
      <c r="L746" s="15">
        <f ca="1">'211_VIP宝箱'!I47</f>
        <v>14.4</v>
      </c>
      <c r="M746" s="15">
        <f ca="1">'212_VIP商店'!I47</f>
        <v>20.5714285714285</v>
      </c>
      <c r="N746" s="1" t="str">
        <f ca="1" t="shared" si="288"/>
        <v/>
      </c>
      <c r="O746" s="1">
        <f ca="1" t="shared" si="289"/>
        <v>293.451156571428</v>
      </c>
      <c r="P746" s="30"/>
      <c r="Q746" s="30"/>
      <c r="S746" s="45">
        <f ca="1" t="shared" si="291"/>
        <v>0.720000000000001</v>
      </c>
      <c r="T746" s="45">
        <f t="shared" si="292"/>
        <v>2</v>
      </c>
      <c r="U746" s="45">
        <f ca="1" t="shared" si="293"/>
        <v>0.659520000000001</v>
      </c>
      <c r="V746" s="45">
        <f ca="1" t="shared" si="294"/>
        <v>2.66666666666667</v>
      </c>
      <c r="W746" s="45">
        <f ca="1" t="shared" si="295"/>
        <v>0.6</v>
      </c>
      <c r="X746" s="45">
        <f ca="1" t="shared" si="296"/>
        <v>8</v>
      </c>
      <c r="Y746" s="45">
        <f ca="1" t="shared" si="297"/>
        <v>0.800000000000001</v>
      </c>
      <c r="Z746" s="45">
        <f ca="1" t="shared" si="298"/>
        <v>1.14285714285714</v>
      </c>
      <c r="AA746" s="44">
        <f ca="1" t="shared" si="290"/>
        <v>16.5890438095238</v>
      </c>
    </row>
    <row r="747" spans="2:27">
      <c r="B747" s="10">
        <v>27</v>
      </c>
      <c r="C747" s="1">
        <f ca="1">IF(养成规划!E48="",INDIRECT(ADDRESS(ROW()-1,COLUMN())),养成规划!E48)</f>
        <v>5</v>
      </c>
      <c r="D747" s="1" t="str">
        <f>IF(养成规划!G48="","",养成规划!G48)</f>
        <v/>
      </c>
      <c r="E747" s="1" t="str">
        <f ca="1" t="shared" si="287"/>
        <v/>
      </c>
      <c r="F747" s="15">
        <f ca="1">'204_军官任务'!R48</f>
        <v>14.76</v>
      </c>
      <c r="G747" s="15">
        <f>'205_每日任务'!K48</f>
        <v>54</v>
      </c>
      <c r="H747" s="15">
        <f ca="1">'206_副本挂机'!M167</f>
        <v>11.899008</v>
      </c>
      <c r="I747" s="15">
        <f ca="1">'207_空投'!J48</f>
        <v>49.5466666666667</v>
      </c>
      <c r="J747" s="15">
        <f ca="1">'208_黑市'!I48</f>
        <v>10.95</v>
      </c>
      <c r="K747" s="15">
        <f ca="1">'210_活动'!O48</f>
        <v>132</v>
      </c>
      <c r="L747" s="15">
        <f ca="1">'211_VIP宝箱'!I48</f>
        <v>15.2</v>
      </c>
      <c r="M747" s="15">
        <f ca="1">'212_VIP商店'!I48</f>
        <v>21.7142857142857</v>
      </c>
      <c r="N747" s="1" t="str">
        <f ca="1" t="shared" si="288"/>
        <v/>
      </c>
      <c r="O747" s="1">
        <f ca="1" t="shared" si="289"/>
        <v>310.069960380952</v>
      </c>
      <c r="P747" s="30"/>
      <c r="Q747" s="30"/>
      <c r="S747" s="45">
        <f ca="1" t="shared" si="291"/>
        <v>0.720000000000001</v>
      </c>
      <c r="T747" s="45">
        <f t="shared" si="292"/>
        <v>2</v>
      </c>
      <c r="U747" s="45">
        <f ca="1" t="shared" si="293"/>
        <v>0.689279999999998</v>
      </c>
      <c r="V747" s="45">
        <f ca="1" t="shared" si="294"/>
        <v>2.66666666666667</v>
      </c>
      <c r="W747" s="45">
        <f ca="1" t="shared" si="295"/>
        <v>0.6</v>
      </c>
      <c r="X747" s="45">
        <f ca="1" t="shared" si="296"/>
        <v>8</v>
      </c>
      <c r="Y747" s="45">
        <f ca="1" t="shared" si="297"/>
        <v>0.800000000000001</v>
      </c>
      <c r="Z747" s="45">
        <f ca="1" t="shared" si="298"/>
        <v>1.14285714285714</v>
      </c>
      <c r="AA747" s="44">
        <f ca="1" t="shared" si="290"/>
        <v>16.6188038095238</v>
      </c>
    </row>
    <row r="748" spans="2:27">
      <c r="B748" s="10">
        <v>28</v>
      </c>
      <c r="C748" s="1">
        <f ca="1">IF(养成规划!E49="",INDIRECT(ADDRESS(ROW()-1,COLUMN())),养成规划!E49)</f>
        <v>5</v>
      </c>
      <c r="D748" s="1" t="str">
        <f>IF(养成规划!G49="","",养成规划!G49)</f>
        <v/>
      </c>
      <c r="E748" s="1" t="str">
        <f ca="1" t="shared" si="287"/>
        <v/>
      </c>
      <c r="F748" s="15">
        <f ca="1">'204_军官任务'!R49</f>
        <v>15.96</v>
      </c>
      <c r="G748" s="15">
        <f>'205_每日任务'!K49</f>
        <v>56</v>
      </c>
      <c r="H748" s="15">
        <f ca="1">'206_副本挂机'!M168</f>
        <v>12.619008</v>
      </c>
      <c r="I748" s="15">
        <f ca="1">'207_空投'!J49</f>
        <v>52.2133333333334</v>
      </c>
      <c r="J748" s="15">
        <f ca="1">'208_黑市'!I49</f>
        <v>11.55</v>
      </c>
      <c r="K748" s="15">
        <f ca="1">'210_活动'!O49</f>
        <v>140</v>
      </c>
      <c r="L748" s="15">
        <f ca="1">'211_VIP宝箱'!I49</f>
        <v>16</v>
      </c>
      <c r="M748" s="15">
        <f ca="1">'212_VIP商店'!I49</f>
        <v>22.8571428571428</v>
      </c>
      <c r="N748" s="1" t="str">
        <f ca="1" t="shared" si="288"/>
        <v/>
      </c>
      <c r="O748" s="1">
        <f ca="1" t="shared" si="289"/>
        <v>327.199484190476</v>
      </c>
      <c r="P748" s="30"/>
      <c r="Q748" s="30"/>
      <c r="S748" s="45">
        <f ca="1" t="shared" si="291"/>
        <v>1.2</v>
      </c>
      <c r="T748" s="45">
        <f t="shared" si="292"/>
        <v>2</v>
      </c>
      <c r="U748" s="45">
        <f ca="1" t="shared" si="293"/>
        <v>0.720000000000001</v>
      </c>
      <c r="V748" s="45">
        <f ca="1" t="shared" si="294"/>
        <v>2.66666666666667</v>
      </c>
      <c r="W748" s="45">
        <f ca="1" t="shared" si="295"/>
        <v>0.6</v>
      </c>
      <c r="X748" s="45">
        <f ca="1" t="shared" si="296"/>
        <v>8</v>
      </c>
      <c r="Y748" s="45">
        <f ca="1" t="shared" si="297"/>
        <v>0.799999999999999</v>
      </c>
      <c r="Z748" s="45">
        <f ca="1" t="shared" si="298"/>
        <v>1.14285714285714</v>
      </c>
      <c r="AA748" s="44">
        <f ca="1" t="shared" si="290"/>
        <v>17.1295238095238</v>
      </c>
    </row>
    <row r="749" spans="2:27">
      <c r="B749" s="10">
        <v>29</v>
      </c>
      <c r="C749" s="1">
        <f ca="1">IF(养成规划!E50="",INDIRECT(ADDRESS(ROW()-1,COLUMN())),养成规划!E50)</f>
        <v>5</v>
      </c>
      <c r="D749" s="1" t="str">
        <f>IF(养成规划!G50="","",养成规划!G50)</f>
        <v/>
      </c>
      <c r="E749" s="1" t="str">
        <f ca="1" t="shared" si="287"/>
        <v/>
      </c>
      <c r="F749" s="15">
        <f ca="1">'204_军官任务'!R50</f>
        <v>17.16</v>
      </c>
      <c r="G749" s="15">
        <f>'205_每日任务'!K50</f>
        <v>58</v>
      </c>
      <c r="H749" s="15">
        <f ca="1">'206_副本挂机'!M169</f>
        <v>13.368768</v>
      </c>
      <c r="I749" s="15">
        <f ca="1">'207_空投'!J50</f>
        <v>54.8800000000001</v>
      </c>
      <c r="J749" s="15">
        <f ca="1">'208_黑市'!I50</f>
        <v>12.15</v>
      </c>
      <c r="K749" s="15">
        <f ca="1">'210_活动'!O50</f>
        <v>148</v>
      </c>
      <c r="L749" s="15">
        <f ca="1">'211_VIP宝箱'!I50</f>
        <v>16.8</v>
      </c>
      <c r="M749" s="15">
        <f ca="1">'212_VIP商店'!I50</f>
        <v>23.9999999999999</v>
      </c>
      <c r="N749" s="1" t="str">
        <f ca="1" t="shared" si="288"/>
        <v/>
      </c>
      <c r="O749" s="1">
        <f ca="1" t="shared" si="289"/>
        <v>344.358768</v>
      </c>
      <c r="P749" s="30"/>
      <c r="Q749" s="30"/>
      <c r="S749" s="45">
        <f ca="1" t="shared" si="291"/>
        <v>1.2</v>
      </c>
      <c r="T749" s="45">
        <f t="shared" si="292"/>
        <v>2</v>
      </c>
      <c r="U749" s="45">
        <f ca="1" t="shared" si="293"/>
        <v>0.74976</v>
      </c>
      <c r="V749" s="45">
        <f ca="1" t="shared" si="294"/>
        <v>2.66666666666667</v>
      </c>
      <c r="W749" s="45">
        <f ca="1" t="shared" si="295"/>
        <v>0.6</v>
      </c>
      <c r="X749" s="45">
        <f ca="1" t="shared" si="296"/>
        <v>8</v>
      </c>
      <c r="Y749" s="45">
        <f ca="1" t="shared" si="297"/>
        <v>0.800000000000001</v>
      </c>
      <c r="Z749" s="45">
        <f ca="1" t="shared" si="298"/>
        <v>1.14285714285714</v>
      </c>
      <c r="AA749" s="44">
        <f ca="1" t="shared" si="290"/>
        <v>17.1592838095238</v>
      </c>
    </row>
    <row r="750" spans="2:27">
      <c r="B750" s="10">
        <v>30</v>
      </c>
      <c r="C750" s="1">
        <f ca="1">IF(养成规划!E51="",INDIRECT(ADDRESS(ROW()-1,COLUMN())),养成规划!E51)</f>
        <v>5</v>
      </c>
      <c r="D750" s="1" t="str">
        <f>IF(养成规划!G51="","",养成规划!G51)</f>
        <v/>
      </c>
      <c r="E750" s="1" t="str">
        <f ca="1" t="shared" si="287"/>
        <v/>
      </c>
      <c r="F750" s="15">
        <f ca="1">'204_军官任务'!R51</f>
        <v>18.36</v>
      </c>
      <c r="G750" s="15">
        <f>'205_每日任务'!K51</f>
        <v>60</v>
      </c>
      <c r="H750" s="15">
        <f ca="1">'206_副本挂机'!M170</f>
        <v>14.118528</v>
      </c>
      <c r="I750" s="15">
        <f ca="1">'207_空投'!J51</f>
        <v>57.5466666666667</v>
      </c>
      <c r="J750" s="15">
        <f ca="1">'208_黑市'!I51</f>
        <v>12.75</v>
      </c>
      <c r="K750" s="15">
        <f ca="1">'210_活动'!O51</f>
        <v>156</v>
      </c>
      <c r="L750" s="15">
        <f ca="1">'211_VIP宝箱'!I51</f>
        <v>18.4</v>
      </c>
      <c r="M750" s="15">
        <f ca="1">'212_VIP商店'!I51</f>
        <v>25.1428571428571</v>
      </c>
      <c r="N750" s="1" t="str">
        <f ca="1" t="shared" si="288"/>
        <v/>
      </c>
      <c r="O750" s="1">
        <f ca="1" t="shared" si="289"/>
        <v>362.318051809524</v>
      </c>
      <c r="P750" s="30"/>
      <c r="Q750" s="30"/>
      <c r="S750" s="45">
        <f ca="1" t="shared" si="291"/>
        <v>1.2</v>
      </c>
      <c r="T750" s="45">
        <f t="shared" si="292"/>
        <v>2</v>
      </c>
      <c r="U750" s="45">
        <f ca="1" t="shared" si="293"/>
        <v>0.749760000000002</v>
      </c>
      <c r="V750" s="45">
        <f ca="1" t="shared" si="294"/>
        <v>2.66666666666667</v>
      </c>
      <c r="W750" s="45">
        <f ca="1" t="shared" si="295"/>
        <v>0.6</v>
      </c>
      <c r="X750" s="45">
        <f ca="1" t="shared" si="296"/>
        <v>8</v>
      </c>
      <c r="Y750" s="45">
        <f ca="1" t="shared" si="297"/>
        <v>1.6</v>
      </c>
      <c r="Z750" s="45">
        <f ca="1" t="shared" si="298"/>
        <v>1.14285714285714</v>
      </c>
      <c r="AA750" s="44">
        <f ca="1" t="shared" si="290"/>
        <v>17.9592838095238</v>
      </c>
    </row>
    <row r="751" spans="2:27">
      <c r="B751" s="11">
        <v>35</v>
      </c>
      <c r="C751" s="1">
        <f ca="1">IF(养成规划!E52="",INDIRECT(ADDRESS(ROW()-1,COLUMN())),养成规划!E52)</f>
        <v>5</v>
      </c>
      <c r="D751" s="1" t="str">
        <f>IF(养成规划!G52="","",养成规划!G52)</f>
        <v/>
      </c>
      <c r="E751" s="1" t="str">
        <f ca="1" t="shared" si="287"/>
        <v/>
      </c>
      <c r="F751" s="15">
        <f ca="1">'204_军官任务'!R52</f>
        <v>24.36</v>
      </c>
      <c r="G751" s="15">
        <f>'205_每日任务'!K52</f>
        <v>70</v>
      </c>
      <c r="H751" s="15">
        <f ca="1">'206_副本挂机'!M171</f>
        <v>18.616128</v>
      </c>
      <c r="I751" s="15">
        <f ca="1">'207_空投'!J52</f>
        <v>70.8800000000001</v>
      </c>
      <c r="J751" s="15">
        <f ca="1">'208_黑市'!I52</f>
        <v>17.25</v>
      </c>
      <c r="K751" s="15">
        <f ca="1">'210_活动'!O52</f>
        <v>216</v>
      </c>
      <c r="L751" s="15">
        <f ca="1">'211_VIP宝箱'!I52</f>
        <v>26.4</v>
      </c>
      <c r="M751" s="15">
        <f ca="1">'212_VIP商店'!I52</f>
        <v>30.8571428571428</v>
      </c>
      <c r="N751" s="1" t="str">
        <f ca="1" t="shared" si="288"/>
        <v/>
      </c>
      <c r="O751" s="1">
        <f ca="1" t="shared" si="289"/>
        <v>474.363270857143</v>
      </c>
      <c r="P751" s="30"/>
      <c r="Q751" s="30"/>
      <c r="S751" s="45">
        <f ca="1" t="shared" si="291"/>
        <v>1.2</v>
      </c>
      <c r="T751" s="45">
        <f t="shared" si="292"/>
        <v>2</v>
      </c>
      <c r="U751" s="45">
        <f ca="1" t="shared" si="293"/>
        <v>0.89952</v>
      </c>
      <c r="V751" s="45">
        <f ca="1" t="shared" si="294"/>
        <v>2.66666666666667</v>
      </c>
      <c r="W751" s="45">
        <f ca="1" t="shared" si="295"/>
        <v>0.9</v>
      </c>
      <c r="X751" s="45">
        <f ca="1" t="shared" si="296"/>
        <v>12</v>
      </c>
      <c r="Y751" s="45">
        <f ca="1" t="shared" si="297"/>
        <v>1.6</v>
      </c>
      <c r="Z751" s="45">
        <f ca="1" t="shared" si="298"/>
        <v>1.14285714285714</v>
      </c>
      <c r="AA751" s="44">
        <f ca="1" t="shared" si="290"/>
        <v>22.4090438095238</v>
      </c>
    </row>
    <row r="752" spans="2:27">
      <c r="B752" s="11">
        <v>40</v>
      </c>
      <c r="C752" s="1">
        <f ca="1">IF(养成规划!E53="",INDIRECT(ADDRESS(ROW()-1,COLUMN())),养成规划!E53)</f>
        <v>5</v>
      </c>
      <c r="D752" s="1" t="str">
        <f>IF(养成规划!G53="","",养成规划!G53)</f>
        <v/>
      </c>
      <c r="E752" s="1" t="str">
        <f ca="1" t="shared" si="287"/>
        <v/>
      </c>
      <c r="F752" s="15">
        <f ca="1">'204_军官任务'!R53</f>
        <v>30.36</v>
      </c>
      <c r="G752" s="15">
        <f>'205_每日任务'!K53</f>
        <v>80</v>
      </c>
      <c r="H752" s="15">
        <f ca="1">'206_副本挂机'!M172</f>
        <v>23.564928</v>
      </c>
      <c r="I752" s="15">
        <f ca="1">'207_空投'!J53</f>
        <v>84.2133333333334</v>
      </c>
      <c r="J752" s="15">
        <f ca="1">'208_黑市'!I53</f>
        <v>21.75</v>
      </c>
      <c r="K752" s="15">
        <f ca="1">'210_活动'!O53</f>
        <v>276</v>
      </c>
      <c r="L752" s="15">
        <f ca="1">'211_VIP宝箱'!I53</f>
        <v>34.4</v>
      </c>
      <c r="M752" s="15">
        <f ca="1">'212_VIP商店'!I53</f>
        <v>36.5714285714285</v>
      </c>
      <c r="N752" s="1" t="str">
        <f ca="1" t="shared" si="288"/>
        <v/>
      </c>
      <c r="O752" s="1">
        <f ca="1" t="shared" si="289"/>
        <v>586.859689904762</v>
      </c>
      <c r="P752" s="30"/>
      <c r="Q752" s="30"/>
      <c r="S752" s="45">
        <f ca="1" t="shared" si="291"/>
        <v>1.2</v>
      </c>
      <c r="T752" s="45">
        <f t="shared" si="292"/>
        <v>2</v>
      </c>
      <c r="U752" s="45">
        <f ca="1" t="shared" si="293"/>
        <v>0.98976</v>
      </c>
      <c r="V752" s="45">
        <f ca="1" t="shared" si="294"/>
        <v>2.66666666666667</v>
      </c>
      <c r="W752" s="45">
        <f ca="1" t="shared" si="295"/>
        <v>0.9</v>
      </c>
      <c r="X752" s="45">
        <f ca="1" t="shared" si="296"/>
        <v>12</v>
      </c>
      <c r="Y752" s="45">
        <f ca="1" t="shared" si="297"/>
        <v>1.6</v>
      </c>
      <c r="Z752" s="45">
        <f ca="1" t="shared" si="298"/>
        <v>1.14285714285714</v>
      </c>
      <c r="AA752" s="44">
        <f ca="1" t="shared" si="290"/>
        <v>22.4992838095238</v>
      </c>
    </row>
    <row r="753" spans="2:27">
      <c r="B753" s="11">
        <v>45</v>
      </c>
      <c r="C753" s="1">
        <f ca="1">IF(养成规划!E54="",INDIRECT(ADDRESS(ROW()-1,COLUMN())),养成规划!E54)</f>
        <v>5</v>
      </c>
      <c r="D753" s="1" t="str">
        <f>IF(养成规划!G54="","",养成规划!G54)</f>
        <v/>
      </c>
      <c r="E753" s="1" t="str">
        <f ca="1" t="shared" si="287"/>
        <v/>
      </c>
      <c r="F753" s="15">
        <f ca="1">'204_军官任务'!R54</f>
        <v>36.36</v>
      </c>
      <c r="G753" s="15">
        <f>'205_每日任务'!K54</f>
        <v>90</v>
      </c>
      <c r="H753" s="15">
        <f ca="1">'206_副本挂机'!M173</f>
        <v>28.964928</v>
      </c>
      <c r="I753" s="15">
        <f ca="1">'207_空投'!J54</f>
        <v>97.5466666666668</v>
      </c>
      <c r="J753" s="15">
        <f ca="1">'208_黑市'!I54</f>
        <v>26.25</v>
      </c>
      <c r="K753" s="15">
        <f ca="1">'210_活动'!O54</f>
        <v>336</v>
      </c>
      <c r="L753" s="15">
        <f ca="1">'211_VIP宝箱'!I54</f>
        <v>42.4</v>
      </c>
      <c r="M753" s="15">
        <f ca="1">'212_VIP商店'!I54</f>
        <v>42.2857142857142</v>
      </c>
      <c r="N753" s="1" t="str">
        <f ca="1" t="shared" si="288"/>
        <v/>
      </c>
      <c r="O753" s="1">
        <f ca="1" t="shared" si="289"/>
        <v>699.807308952381</v>
      </c>
      <c r="P753" s="30"/>
      <c r="Q753" s="30"/>
      <c r="S753" s="45">
        <f ca="1" t="shared" si="291"/>
        <v>1.2</v>
      </c>
      <c r="T753" s="45">
        <f t="shared" si="292"/>
        <v>2</v>
      </c>
      <c r="U753" s="45">
        <f ca="1" t="shared" si="293"/>
        <v>1.08</v>
      </c>
      <c r="V753" s="45">
        <f ca="1" t="shared" si="294"/>
        <v>2.66666666666667</v>
      </c>
      <c r="W753" s="45">
        <f ca="1" t="shared" si="295"/>
        <v>0.9</v>
      </c>
      <c r="X753" s="45">
        <f ca="1" t="shared" si="296"/>
        <v>12</v>
      </c>
      <c r="Y753" s="45">
        <f ca="1" t="shared" si="297"/>
        <v>1.6</v>
      </c>
      <c r="Z753" s="45">
        <f ca="1" t="shared" si="298"/>
        <v>1.14285714285714</v>
      </c>
      <c r="AA753" s="44">
        <f ca="1" t="shared" si="290"/>
        <v>22.5895238095238</v>
      </c>
    </row>
    <row r="754" spans="2:27">
      <c r="B754" s="11">
        <v>50</v>
      </c>
      <c r="C754" s="1">
        <f ca="1">IF(养成规划!E55="",INDIRECT(ADDRESS(ROW()-1,COLUMN())),养成规划!E55)</f>
        <v>5</v>
      </c>
      <c r="D754" s="1" t="str">
        <f>IF(养成规划!G55="","",养成规划!G55)</f>
        <v/>
      </c>
      <c r="E754" s="1" t="str">
        <f ca="1" t="shared" si="287"/>
        <v/>
      </c>
      <c r="F754" s="15">
        <f ca="1">'204_军官任务'!R55</f>
        <v>42.36</v>
      </c>
      <c r="G754" s="15">
        <f>'205_每日任务'!K55</f>
        <v>100</v>
      </c>
      <c r="H754" s="15">
        <f ca="1">'206_副本挂机'!M174</f>
        <v>34.964928</v>
      </c>
      <c r="I754" s="15">
        <f ca="1">'207_空投'!J55</f>
        <v>110.88</v>
      </c>
      <c r="J754" s="15">
        <f ca="1">'208_黑市'!I55</f>
        <v>30.75</v>
      </c>
      <c r="K754" s="15">
        <f ca="1">'210_活动'!O55</f>
        <v>396</v>
      </c>
      <c r="L754" s="15">
        <f ca="1">'211_VIP宝箱'!I55</f>
        <v>50.4</v>
      </c>
      <c r="M754" s="15">
        <f ca="1">'212_VIP商店'!I55</f>
        <v>47.9999999999999</v>
      </c>
      <c r="N754" s="1" t="str">
        <f ca="1" t="shared" si="288"/>
        <v/>
      </c>
      <c r="O754" s="1">
        <f ca="1" t="shared" si="289"/>
        <v>813.354928</v>
      </c>
      <c r="P754" s="30"/>
      <c r="Q754" s="30"/>
      <c r="S754" s="45">
        <f ca="1" t="shared" si="291"/>
        <v>1.2</v>
      </c>
      <c r="T754" s="45">
        <f t="shared" si="292"/>
        <v>2</v>
      </c>
      <c r="U754" s="45">
        <f ca="1" t="shared" si="293"/>
        <v>1.2</v>
      </c>
      <c r="V754" s="45">
        <f ca="1" t="shared" si="294"/>
        <v>2.66666666666667</v>
      </c>
      <c r="W754" s="45">
        <f ca="1" t="shared" si="295"/>
        <v>0.9</v>
      </c>
      <c r="X754" s="45">
        <f ca="1" t="shared" si="296"/>
        <v>12</v>
      </c>
      <c r="Y754" s="45">
        <f ca="1" t="shared" si="297"/>
        <v>1.6</v>
      </c>
      <c r="Z754" s="45">
        <f ca="1" t="shared" si="298"/>
        <v>1.14285714285714</v>
      </c>
      <c r="AA754" s="44">
        <f ca="1" t="shared" si="290"/>
        <v>22.7095238095238</v>
      </c>
    </row>
    <row r="755" spans="2:27">
      <c r="B755" s="11">
        <v>55</v>
      </c>
      <c r="C755" s="1">
        <f ca="1">IF(养成规划!E56="",INDIRECT(ADDRESS(ROW()-1,COLUMN())),养成规划!E56)</f>
        <v>5</v>
      </c>
      <c r="D755" s="1">
        <f>IF(养成规划!G56="","",养成规划!G56)</f>
        <v>6.1</v>
      </c>
      <c r="E755" s="1">
        <f ca="1" t="shared" si="287"/>
        <v>540</v>
      </c>
      <c r="F755" s="15">
        <f ca="1">'204_军官任务'!R56</f>
        <v>48.36</v>
      </c>
      <c r="G755" s="15">
        <f>'205_每日任务'!K56</f>
        <v>110</v>
      </c>
      <c r="H755" s="15">
        <f ca="1">'206_副本挂机'!M175</f>
        <v>41.262528</v>
      </c>
      <c r="I755" s="15">
        <f ca="1">'207_空投'!J56</f>
        <v>124.213333333333</v>
      </c>
      <c r="J755" s="15">
        <f ca="1">'208_黑市'!I56</f>
        <v>35.25</v>
      </c>
      <c r="K755" s="15">
        <f ca="1">'210_活动'!O56</f>
        <v>456</v>
      </c>
      <c r="L755" s="15">
        <f ca="1">'211_VIP宝箱'!I56</f>
        <v>58.4</v>
      </c>
      <c r="M755" s="15">
        <f ca="1">'212_VIP商店'!I56</f>
        <v>53.7142857142856</v>
      </c>
      <c r="N755" s="1">
        <f ca="1" t="shared" si="288"/>
        <v>648</v>
      </c>
      <c r="O755" s="1">
        <f ca="1" t="shared" si="289"/>
        <v>927.200147047619</v>
      </c>
      <c r="P755" s="30"/>
      <c r="Q755" s="30"/>
      <c r="S755" s="45">
        <f ca="1" t="shared" si="291"/>
        <v>1.2</v>
      </c>
      <c r="T755" s="45">
        <f t="shared" si="292"/>
        <v>2</v>
      </c>
      <c r="U755" s="45">
        <f ca="1" t="shared" si="293"/>
        <v>1.25952</v>
      </c>
      <c r="V755" s="45">
        <f ca="1" t="shared" si="294"/>
        <v>2.66666666666667</v>
      </c>
      <c r="W755" s="45">
        <f ca="1" t="shared" si="295"/>
        <v>0.9</v>
      </c>
      <c r="X755" s="45">
        <f ca="1" t="shared" si="296"/>
        <v>12</v>
      </c>
      <c r="Y755" s="45">
        <f ca="1" t="shared" si="297"/>
        <v>1.6</v>
      </c>
      <c r="Z755" s="45">
        <f ca="1" t="shared" si="298"/>
        <v>1.14285714285714</v>
      </c>
      <c r="AA755" s="44">
        <f ca="1" t="shared" si="290"/>
        <v>22.7690438095238</v>
      </c>
    </row>
    <row r="756" spans="2:27">
      <c r="B756" s="11">
        <v>60</v>
      </c>
      <c r="C756" s="1">
        <f ca="1">IF(养成规划!E57="",INDIRECT(ADDRESS(ROW()-1,COLUMN())),养成规划!E57)</f>
        <v>5</v>
      </c>
      <c r="D756" s="1" t="str">
        <f>IF(养成规划!G57="","",养成规划!G57)</f>
        <v/>
      </c>
      <c r="E756" s="1" t="str">
        <f ca="1" t="shared" si="287"/>
        <v/>
      </c>
      <c r="F756" s="15">
        <f ca="1">'204_军官任务'!R57</f>
        <v>54.36</v>
      </c>
      <c r="G756" s="15">
        <f>'205_每日任务'!K57</f>
        <v>120</v>
      </c>
      <c r="H756" s="15">
        <f ca="1">'206_副本挂机'!M176</f>
        <v>47.862528</v>
      </c>
      <c r="I756" s="15">
        <f ca="1">'207_空投'!J57</f>
        <v>137.546666666667</v>
      </c>
      <c r="J756" s="15">
        <f ca="1">'208_黑市'!I57</f>
        <v>39.75</v>
      </c>
      <c r="K756" s="15">
        <f ca="1">'210_活动'!O57</f>
        <v>516</v>
      </c>
      <c r="L756" s="15">
        <f ca="1">'211_VIP宝箱'!I57</f>
        <v>66.4</v>
      </c>
      <c r="M756" s="15">
        <f ca="1">'212_VIP商店'!I57</f>
        <v>65.142857142857</v>
      </c>
      <c r="N756" s="1" t="str">
        <f ca="1" t="shared" si="288"/>
        <v/>
      </c>
      <c r="O756" s="1">
        <f ca="1" t="shared" si="289"/>
        <v>1047.06205180952</v>
      </c>
      <c r="P756" s="30"/>
      <c r="Q756" s="30"/>
      <c r="S756" s="45">
        <f ca="1" t="shared" si="291"/>
        <v>1.2</v>
      </c>
      <c r="T756" s="45">
        <f t="shared" si="292"/>
        <v>2</v>
      </c>
      <c r="U756" s="45">
        <f ca="1" t="shared" si="293"/>
        <v>1.32</v>
      </c>
      <c r="V756" s="45">
        <f ca="1" t="shared" si="294"/>
        <v>2.66666666666667</v>
      </c>
      <c r="W756" s="45">
        <f ca="1" t="shared" si="295"/>
        <v>0.9</v>
      </c>
      <c r="X756" s="45">
        <f ca="1" t="shared" si="296"/>
        <v>12</v>
      </c>
      <c r="Y756" s="45">
        <f ca="1" t="shared" si="297"/>
        <v>1.6</v>
      </c>
      <c r="Z756" s="45">
        <f ca="1" t="shared" si="298"/>
        <v>2.28571428571429</v>
      </c>
      <c r="AA756" s="44">
        <f ca="1" t="shared" si="290"/>
        <v>23.972380952381</v>
      </c>
    </row>
    <row r="757" spans="2:27">
      <c r="B757" s="11">
        <v>65</v>
      </c>
      <c r="C757" s="1">
        <f ca="1">IF(养成规划!E58="",INDIRECT(ADDRESS(ROW()-1,COLUMN())),养成规划!E58)</f>
        <v>5</v>
      </c>
      <c r="D757" s="1" t="str">
        <f>IF(养成规划!G58="","",养成规划!G58)</f>
        <v/>
      </c>
      <c r="E757" s="1" t="str">
        <f ca="1" t="shared" si="287"/>
        <v/>
      </c>
      <c r="F757" s="15">
        <f ca="1">'204_军官任务'!R58</f>
        <v>60.36</v>
      </c>
      <c r="G757" s="15">
        <f>'205_每日任务'!K58</f>
        <v>130</v>
      </c>
      <c r="H757" s="15">
        <f ca="1">'206_副本挂机'!M177</f>
        <v>54.760128</v>
      </c>
      <c r="I757" s="15">
        <f ca="1">'207_空投'!J58</f>
        <v>150.88</v>
      </c>
      <c r="J757" s="15">
        <f ca="1">'208_黑市'!I58</f>
        <v>45.75</v>
      </c>
      <c r="K757" s="15">
        <f ca="1">'210_活动'!O58</f>
        <v>596</v>
      </c>
      <c r="L757" s="15">
        <f ca="1">'211_VIP宝箱'!I58</f>
        <v>74.4</v>
      </c>
      <c r="M757" s="15">
        <f ca="1">'212_VIP商店'!I58</f>
        <v>76.5714285714285</v>
      </c>
      <c r="N757" s="1" t="str">
        <f ca="1" t="shared" si="288"/>
        <v/>
      </c>
      <c r="O757" s="1">
        <f ca="1" t="shared" si="289"/>
        <v>1188.72155657143</v>
      </c>
      <c r="P757" s="30"/>
      <c r="Q757" s="30"/>
      <c r="S757" s="45">
        <f ca="1" t="shared" si="291"/>
        <v>1.2</v>
      </c>
      <c r="T757" s="45">
        <f t="shared" si="292"/>
        <v>2</v>
      </c>
      <c r="U757" s="45">
        <f ca="1" t="shared" si="293"/>
        <v>1.37952</v>
      </c>
      <c r="V757" s="45">
        <f ca="1" t="shared" si="294"/>
        <v>2.66666666666667</v>
      </c>
      <c r="W757" s="45">
        <f ca="1" t="shared" si="295"/>
        <v>1.2</v>
      </c>
      <c r="X757" s="45">
        <f ca="1" t="shared" si="296"/>
        <v>16</v>
      </c>
      <c r="Y757" s="45">
        <f ca="1" t="shared" si="297"/>
        <v>1.6</v>
      </c>
      <c r="Z757" s="45">
        <f ca="1" t="shared" si="298"/>
        <v>2.28571428571429</v>
      </c>
      <c r="AA757" s="44">
        <f ca="1" t="shared" si="290"/>
        <v>28.331900952381</v>
      </c>
    </row>
    <row r="758" spans="2:27">
      <c r="B758" s="11">
        <v>70</v>
      </c>
      <c r="C758" s="1">
        <f ca="1">IF(养成规划!E59="",INDIRECT(ADDRESS(ROW()-1,COLUMN())),养成规划!E59)</f>
        <v>5</v>
      </c>
      <c r="D758" s="1" t="str">
        <f>IF(养成规划!G59="","",养成规划!G59)</f>
        <v/>
      </c>
      <c r="E758" s="1" t="str">
        <f ca="1" t="shared" si="287"/>
        <v/>
      </c>
      <c r="F758" s="15">
        <f ca="1">'204_军官任务'!R59</f>
        <v>66.36</v>
      </c>
      <c r="G758" s="15">
        <f>'205_每日任务'!K59</f>
        <v>140</v>
      </c>
      <c r="H758" s="15">
        <f ca="1">'206_副本挂机'!M178</f>
        <v>61.960128</v>
      </c>
      <c r="I758" s="15">
        <f ca="1">'207_空投'!J59</f>
        <v>164.213333333333</v>
      </c>
      <c r="J758" s="15">
        <f ca="1">'208_黑市'!I59</f>
        <v>51.75</v>
      </c>
      <c r="K758" s="15">
        <f ca="1">'210_活动'!O59</f>
        <v>676</v>
      </c>
      <c r="L758" s="15">
        <f ca="1">'211_VIP宝箱'!I59</f>
        <v>82.4</v>
      </c>
      <c r="M758" s="15">
        <f ca="1">'212_VIP商店'!I59</f>
        <v>87.9999999999999</v>
      </c>
      <c r="N758" s="1" t="str">
        <f ca="1" t="shared" si="288"/>
        <v/>
      </c>
      <c r="O758" s="1">
        <f ca="1" t="shared" si="289"/>
        <v>1330.68346133333</v>
      </c>
      <c r="P758" s="30"/>
      <c r="Q758" s="30"/>
      <c r="S758" s="45">
        <f ca="1" t="shared" si="291"/>
        <v>1.2</v>
      </c>
      <c r="T758" s="45">
        <f t="shared" si="292"/>
        <v>2</v>
      </c>
      <c r="U758" s="45">
        <f ca="1" t="shared" si="293"/>
        <v>1.44</v>
      </c>
      <c r="V758" s="45">
        <f ca="1" t="shared" si="294"/>
        <v>2.66666666666667</v>
      </c>
      <c r="W758" s="45">
        <f ca="1" t="shared" si="295"/>
        <v>1.2</v>
      </c>
      <c r="X758" s="45">
        <f ca="1" t="shared" si="296"/>
        <v>16</v>
      </c>
      <c r="Y758" s="45">
        <f ca="1" t="shared" si="297"/>
        <v>1.6</v>
      </c>
      <c r="Z758" s="45">
        <f ca="1" t="shared" si="298"/>
        <v>2.28571428571429</v>
      </c>
      <c r="AA758" s="44">
        <f ca="1" t="shared" si="290"/>
        <v>28.392380952381</v>
      </c>
    </row>
    <row r="759" spans="2:27">
      <c r="B759" s="11">
        <v>75</v>
      </c>
      <c r="C759" s="1">
        <f ca="1">IF(养成规划!E60="",INDIRECT(ADDRESS(ROW()-1,COLUMN())),养成规划!E60)</f>
        <v>5</v>
      </c>
      <c r="D759" s="1" t="str">
        <f>IF(养成规划!G60="","",养成规划!G60)</f>
        <v/>
      </c>
      <c r="E759" s="1" t="str">
        <f ca="1" t="shared" si="287"/>
        <v/>
      </c>
      <c r="F759" s="15">
        <f ca="1">'204_军官任务'!R60</f>
        <v>72.36</v>
      </c>
      <c r="G759" s="15">
        <f>'205_每日任务'!K60</f>
        <v>150</v>
      </c>
      <c r="H759" s="15">
        <f ca="1">'206_副本挂机'!M179</f>
        <v>69.457728</v>
      </c>
      <c r="I759" s="15">
        <f ca="1">'207_空投'!J60</f>
        <v>177.546666666667</v>
      </c>
      <c r="J759" s="15">
        <f ca="1">'208_黑市'!I60</f>
        <v>57.75</v>
      </c>
      <c r="K759" s="15">
        <f ca="1">'210_活动'!O60</f>
        <v>756</v>
      </c>
      <c r="L759" s="15">
        <f ca="1">'211_VIP宝箱'!I60</f>
        <v>90.4</v>
      </c>
      <c r="M759" s="15">
        <f ca="1">'212_VIP商店'!I60</f>
        <v>99.4285714285714</v>
      </c>
      <c r="N759" s="1" t="str">
        <f ca="1" t="shared" si="288"/>
        <v/>
      </c>
      <c r="O759" s="1">
        <f ca="1" t="shared" si="289"/>
        <v>1472.94296609524</v>
      </c>
      <c r="P759" s="30"/>
      <c r="Q759" s="30"/>
      <c r="S759" s="45">
        <f ca="1" t="shared" si="291"/>
        <v>1.2</v>
      </c>
      <c r="T759" s="45">
        <f t="shared" si="292"/>
        <v>2</v>
      </c>
      <c r="U759" s="45">
        <f ca="1" t="shared" si="293"/>
        <v>1.49952</v>
      </c>
      <c r="V759" s="45">
        <f ca="1" t="shared" si="294"/>
        <v>2.66666666666667</v>
      </c>
      <c r="W759" s="45">
        <f ca="1" t="shared" si="295"/>
        <v>1.2</v>
      </c>
      <c r="X759" s="45">
        <f ca="1" t="shared" si="296"/>
        <v>16</v>
      </c>
      <c r="Y759" s="45">
        <f ca="1" t="shared" si="297"/>
        <v>1.6</v>
      </c>
      <c r="Z759" s="45">
        <f ca="1" t="shared" si="298"/>
        <v>2.28571428571429</v>
      </c>
      <c r="AA759" s="44">
        <f ca="1" t="shared" si="290"/>
        <v>28.451900952381</v>
      </c>
    </row>
    <row r="760" spans="2:27">
      <c r="B760" s="11">
        <v>80</v>
      </c>
      <c r="C760" s="1">
        <f ca="1">IF(养成规划!E61="",INDIRECT(ADDRESS(ROW()-1,COLUMN())),养成规划!E61)</f>
        <v>5</v>
      </c>
      <c r="D760" s="1" t="str">
        <f>IF(养成规划!G61="","",养成规划!G61)</f>
        <v/>
      </c>
      <c r="E760" s="1" t="str">
        <f ca="1" t="shared" si="287"/>
        <v/>
      </c>
      <c r="F760" s="15">
        <f ca="1">'204_军官任务'!R61</f>
        <v>78.36</v>
      </c>
      <c r="G760" s="15">
        <f>'205_每日任务'!K61</f>
        <v>160</v>
      </c>
      <c r="H760" s="15">
        <f ca="1">'206_副本挂机'!M180</f>
        <v>77.104128</v>
      </c>
      <c r="I760" s="15">
        <f ca="1">'207_空投'!J61</f>
        <v>190.88</v>
      </c>
      <c r="J760" s="15">
        <f ca="1">'208_黑市'!I61</f>
        <v>63.75</v>
      </c>
      <c r="K760" s="15">
        <f ca="1">'210_活动'!O61</f>
        <v>836</v>
      </c>
      <c r="L760" s="15">
        <f ca="1">'211_VIP宝箱'!I61</f>
        <v>98.4</v>
      </c>
      <c r="M760" s="15">
        <f ca="1">'212_VIP商店'!I61</f>
        <v>110.857142857143</v>
      </c>
      <c r="N760" s="1" t="str">
        <f ca="1" t="shared" si="288"/>
        <v/>
      </c>
      <c r="O760" s="1">
        <f ca="1" t="shared" si="289"/>
        <v>1615.35127085714</v>
      </c>
      <c r="P760" s="30"/>
      <c r="Q760" s="30"/>
      <c r="S760" s="45">
        <f ca="1" t="shared" si="291"/>
        <v>1.2</v>
      </c>
      <c r="T760" s="45">
        <f t="shared" si="292"/>
        <v>2</v>
      </c>
      <c r="U760" s="45">
        <f ca="1" t="shared" si="293"/>
        <v>1.52928</v>
      </c>
      <c r="V760" s="45">
        <f ca="1" t="shared" si="294"/>
        <v>2.66666666666667</v>
      </c>
      <c r="W760" s="45">
        <f ca="1" t="shared" si="295"/>
        <v>1.2</v>
      </c>
      <c r="X760" s="45">
        <f ca="1" t="shared" si="296"/>
        <v>16</v>
      </c>
      <c r="Y760" s="45">
        <f ca="1" t="shared" si="297"/>
        <v>1.6</v>
      </c>
      <c r="Z760" s="45">
        <f ca="1" t="shared" si="298"/>
        <v>2.28571428571429</v>
      </c>
      <c r="AA760" s="44">
        <f ca="1" t="shared" si="290"/>
        <v>28.481660952381</v>
      </c>
    </row>
    <row r="761" spans="2:27">
      <c r="B761" s="11">
        <v>85</v>
      </c>
      <c r="C761" s="1">
        <f ca="1">IF(养成规划!E62="",INDIRECT(ADDRESS(ROW()-1,COLUMN())),养成规划!E62)</f>
        <v>5</v>
      </c>
      <c r="D761" s="1" t="str">
        <f>IF(养成规划!G62="","",养成规划!G62)</f>
        <v/>
      </c>
      <c r="E761" s="1" t="str">
        <f ca="1" t="shared" si="287"/>
        <v/>
      </c>
      <c r="F761" s="15">
        <f ca="1">'204_军官任务'!R62</f>
        <v>84.36</v>
      </c>
      <c r="G761" s="15">
        <f>'205_每日任务'!K62</f>
        <v>170</v>
      </c>
      <c r="H761" s="15">
        <f ca="1">'206_副本挂机'!M181</f>
        <v>84.904128</v>
      </c>
      <c r="I761" s="15">
        <f ca="1">'207_空投'!J62</f>
        <v>204.213333333333</v>
      </c>
      <c r="J761" s="15">
        <f ca="1">'208_黑市'!I62</f>
        <v>69.75</v>
      </c>
      <c r="K761" s="15">
        <f ca="1">'210_活动'!O62</f>
        <v>916</v>
      </c>
      <c r="L761" s="15">
        <f ca="1">'211_VIP宝箱'!I62</f>
        <v>106.4</v>
      </c>
      <c r="M761" s="15">
        <f ca="1">'212_VIP商店'!I62</f>
        <v>122.285714285714</v>
      </c>
      <c r="N761" s="1" t="str">
        <f ca="1" t="shared" si="288"/>
        <v/>
      </c>
      <c r="O761" s="1">
        <f ca="1" t="shared" si="289"/>
        <v>1757.91317561905</v>
      </c>
      <c r="P761" s="30"/>
      <c r="Q761" s="30"/>
      <c r="S761" s="45">
        <f ca="1" t="shared" si="291"/>
        <v>1.2</v>
      </c>
      <c r="T761" s="45">
        <f t="shared" si="292"/>
        <v>2</v>
      </c>
      <c r="U761" s="45">
        <f ca="1" t="shared" si="293"/>
        <v>1.56</v>
      </c>
      <c r="V761" s="45">
        <f ca="1" t="shared" si="294"/>
        <v>2.66666666666667</v>
      </c>
      <c r="W761" s="45">
        <f ca="1" t="shared" si="295"/>
        <v>1.2</v>
      </c>
      <c r="X761" s="45">
        <f ca="1" t="shared" si="296"/>
        <v>16</v>
      </c>
      <c r="Y761" s="45">
        <f ca="1" t="shared" si="297"/>
        <v>1.6</v>
      </c>
      <c r="Z761" s="45">
        <f ca="1" t="shared" si="298"/>
        <v>2.28571428571429</v>
      </c>
      <c r="AA761" s="44">
        <f ca="1" t="shared" si="290"/>
        <v>28.512380952381</v>
      </c>
    </row>
    <row r="762" spans="2:27">
      <c r="B762" s="11">
        <v>90</v>
      </c>
      <c r="C762" s="1">
        <f ca="1">IF(养成规划!E63="",INDIRECT(ADDRESS(ROW()-1,COLUMN())),养成规划!E63)</f>
        <v>5</v>
      </c>
      <c r="D762" s="1" t="str">
        <f>IF(养成规划!G63="","",养成规划!G63)</f>
        <v/>
      </c>
      <c r="E762" s="1" t="str">
        <f ca="1" t="shared" si="287"/>
        <v/>
      </c>
      <c r="F762" s="15">
        <f ca="1">'204_军官任务'!R63</f>
        <v>90.36</v>
      </c>
      <c r="G762" s="15">
        <f>'205_每日任务'!K63</f>
        <v>180</v>
      </c>
      <c r="H762" s="15">
        <f ca="1">'206_副本挂机'!M182</f>
        <v>92.852928</v>
      </c>
      <c r="I762" s="15">
        <f ca="1">'207_空投'!J63</f>
        <v>224.213333333333</v>
      </c>
      <c r="J762" s="15">
        <f ca="1">'208_黑市'!I63</f>
        <v>75.75</v>
      </c>
      <c r="K762" s="15">
        <f ca="1">'210_活动'!O63</f>
        <v>996</v>
      </c>
      <c r="L762" s="15">
        <f ca="1">'211_VIP宝箱'!I63</f>
        <v>118.4</v>
      </c>
      <c r="M762" s="15">
        <f ca="1">'212_VIP商店'!I63</f>
        <v>133.714285714286</v>
      </c>
      <c r="N762" s="1" t="str">
        <f ca="1" t="shared" si="288"/>
        <v/>
      </c>
      <c r="O762" s="1">
        <f ca="1" t="shared" si="289"/>
        <v>1911.29054704762</v>
      </c>
      <c r="P762" s="30"/>
      <c r="Q762" s="30"/>
      <c r="S762" s="45">
        <f ca="1" t="shared" si="291"/>
        <v>1.2</v>
      </c>
      <c r="T762" s="45">
        <f t="shared" si="292"/>
        <v>2</v>
      </c>
      <c r="U762" s="45">
        <f ca="1" t="shared" si="293"/>
        <v>1.58976</v>
      </c>
      <c r="V762" s="45">
        <f ca="1" t="shared" si="294"/>
        <v>4</v>
      </c>
      <c r="W762" s="45">
        <f ca="1" t="shared" si="295"/>
        <v>1.2</v>
      </c>
      <c r="X762" s="45">
        <f ca="1" t="shared" si="296"/>
        <v>16</v>
      </c>
      <c r="Y762" s="45">
        <f ca="1" t="shared" si="297"/>
        <v>2.4</v>
      </c>
      <c r="Z762" s="45">
        <f ca="1" t="shared" si="298"/>
        <v>2.28571428571429</v>
      </c>
      <c r="AA762" s="44">
        <f ca="1" t="shared" si="290"/>
        <v>30.6754742857143</v>
      </c>
    </row>
    <row r="763" spans="2:27">
      <c r="B763" s="11">
        <v>95</v>
      </c>
      <c r="C763" s="1">
        <f ca="1">IF(养成规划!E64="",INDIRECT(ADDRESS(ROW()-1,COLUMN())),养成规划!E64)</f>
        <v>5</v>
      </c>
      <c r="D763" s="1" t="str">
        <f>IF(养成规划!G64="","",养成规划!G64)</f>
        <v/>
      </c>
      <c r="E763" s="1" t="str">
        <f ca="1" t="shared" si="287"/>
        <v/>
      </c>
      <c r="F763" s="15">
        <f ca="1">'204_军官任务'!R64</f>
        <v>100.36</v>
      </c>
      <c r="G763" s="15">
        <f>'205_每日任务'!K64</f>
        <v>190</v>
      </c>
      <c r="H763" s="15">
        <f ca="1">'206_副本挂机'!M183</f>
        <v>100.950528</v>
      </c>
      <c r="I763" s="15">
        <f ca="1">'207_空投'!J64</f>
        <v>244.213333333333</v>
      </c>
      <c r="J763" s="15">
        <f ca="1">'208_黑市'!I64</f>
        <v>81.75</v>
      </c>
      <c r="K763" s="15">
        <f ca="1">'210_活动'!O64</f>
        <v>1076</v>
      </c>
      <c r="L763" s="15">
        <f ca="1">'211_VIP宝箱'!I64</f>
        <v>130.4</v>
      </c>
      <c r="M763" s="15">
        <f ca="1">'212_VIP商店'!I64</f>
        <v>145.142857142857</v>
      </c>
      <c r="N763" s="1" t="str">
        <f ca="1" t="shared" si="288"/>
        <v/>
      </c>
      <c r="O763" s="1">
        <f ca="1" t="shared" si="289"/>
        <v>2068.81671847619</v>
      </c>
      <c r="P763" s="30"/>
      <c r="Q763" s="30"/>
      <c r="S763" s="45">
        <f ca="1" t="shared" si="291"/>
        <v>2</v>
      </c>
      <c r="T763" s="45">
        <f t="shared" si="292"/>
        <v>2</v>
      </c>
      <c r="U763" s="45">
        <f ca="1" t="shared" si="293"/>
        <v>1.61952</v>
      </c>
      <c r="V763" s="45">
        <f ca="1" t="shared" si="294"/>
        <v>4</v>
      </c>
      <c r="W763" s="45">
        <f ca="1" t="shared" si="295"/>
        <v>1.2</v>
      </c>
      <c r="X763" s="45">
        <f ca="1" t="shared" si="296"/>
        <v>16</v>
      </c>
      <c r="Y763" s="45">
        <f ca="1" t="shared" si="297"/>
        <v>2.4</v>
      </c>
      <c r="Z763" s="45">
        <f ca="1" t="shared" si="298"/>
        <v>2.28571428571429</v>
      </c>
      <c r="AA763" s="44">
        <f ca="1" t="shared" si="290"/>
        <v>31.5052342857143</v>
      </c>
    </row>
    <row r="764" spans="2:27">
      <c r="B764" s="11">
        <v>100</v>
      </c>
      <c r="C764" s="1">
        <f ca="1">IF(养成规划!E65="",INDIRECT(ADDRESS(ROW()-1,COLUMN())),养成规划!E65)</f>
        <v>5</v>
      </c>
      <c r="D764" s="1" t="str">
        <f>IF(养成规划!G65="","",养成规划!G65)</f>
        <v/>
      </c>
      <c r="E764" s="1" t="str">
        <f ca="1" t="shared" si="287"/>
        <v/>
      </c>
      <c r="F764" s="15">
        <f ca="1">'204_军官任务'!R65</f>
        <v>110.36</v>
      </c>
      <c r="G764" s="15">
        <f>'205_每日任务'!K65</f>
        <v>200</v>
      </c>
      <c r="H764" s="15">
        <f ca="1">'206_副本挂机'!M184</f>
        <v>109.196928</v>
      </c>
      <c r="I764" s="15">
        <f ca="1">'207_空投'!J65</f>
        <v>264.213333333333</v>
      </c>
      <c r="J764" s="15">
        <f ca="1">'208_黑市'!I65</f>
        <v>87.75</v>
      </c>
      <c r="K764" s="15">
        <f ca="1">'210_活动'!O65</f>
        <v>1156</v>
      </c>
      <c r="L764" s="15">
        <f ca="1">'211_VIP宝箱'!I65</f>
        <v>142.4</v>
      </c>
      <c r="M764" s="15">
        <f ca="1">'212_VIP商店'!I65</f>
        <v>156.571428571429</v>
      </c>
      <c r="N764" s="1" t="str">
        <f ca="1" t="shared" si="288"/>
        <v/>
      </c>
      <c r="O764" s="1">
        <f ca="1" t="shared" si="289"/>
        <v>2226.49168990476</v>
      </c>
      <c r="P764" s="30"/>
      <c r="Q764" s="30"/>
      <c r="S764" s="45">
        <f ca="1" t="shared" si="291"/>
        <v>2</v>
      </c>
      <c r="T764" s="45">
        <f t="shared" si="292"/>
        <v>2</v>
      </c>
      <c r="U764" s="45">
        <f ca="1" t="shared" si="293"/>
        <v>1.64928</v>
      </c>
      <c r="V764" s="45">
        <f ca="1" t="shared" si="294"/>
        <v>4</v>
      </c>
      <c r="W764" s="45">
        <f ca="1" t="shared" si="295"/>
        <v>1.2</v>
      </c>
      <c r="X764" s="45">
        <f ca="1" t="shared" si="296"/>
        <v>16</v>
      </c>
      <c r="Y764" s="45">
        <f ca="1" t="shared" si="297"/>
        <v>2.4</v>
      </c>
      <c r="Z764" s="45">
        <f ca="1" t="shared" si="298"/>
        <v>2.28571428571429</v>
      </c>
      <c r="AA764" s="44">
        <f ca="1" t="shared" si="290"/>
        <v>31.5349942857143</v>
      </c>
    </row>
    <row r="765" spans="2:27">
      <c r="B765" s="11">
        <v>105</v>
      </c>
      <c r="C765" s="1">
        <f ca="1">IF(养成规划!E66="",INDIRECT(ADDRESS(ROW()-1,COLUMN())),养成规划!E66)</f>
        <v>5</v>
      </c>
      <c r="D765" s="1" t="str">
        <f>IF(养成规划!G66="","",养成规划!G66)</f>
        <v/>
      </c>
      <c r="E765" s="1" t="str">
        <f ca="1" t="shared" si="287"/>
        <v/>
      </c>
      <c r="F765" s="15">
        <f ca="1">'204_军官任务'!R66</f>
        <v>120.36</v>
      </c>
      <c r="G765" s="15">
        <f>'205_每日任务'!K66</f>
        <v>210</v>
      </c>
      <c r="H765" s="15">
        <f ca="1">'206_副本挂机'!M185</f>
        <v>117.596928</v>
      </c>
      <c r="I765" s="15">
        <f ca="1">'207_空投'!J66</f>
        <v>284.213333333333</v>
      </c>
      <c r="J765" s="15">
        <f ca="1">'208_黑市'!I66</f>
        <v>93.75</v>
      </c>
      <c r="K765" s="15">
        <f ca="1">'210_活动'!O66</f>
        <v>1236</v>
      </c>
      <c r="L765" s="15">
        <f ca="1">'211_VIP宝箱'!I66</f>
        <v>154.4</v>
      </c>
      <c r="M765" s="15">
        <f ca="1">'212_VIP商店'!I66</f>
        <v>168</v>
      </c>
      <c r="N765" s="1" t="str">
        <f ca="1" t="shared" si="288"/>
        <v/>
      </c>
      <c r="O765" s="1">
        <f ca="1" t="shared" si="289"/>
        <v>2384.32026133333</v>
      </c>
      <c r="P765" s="30"/>
      <c r="Q765" s="30"/>
      <c r="S765" s="45">
        <f ca="1" t="shared" si="291"/>
        <v>2</v>
      </c>
      <c r="T765" s="45">
        <f t="shared" si="292"/>
        <v>2</v>
      </c>
      <c r="U765" s="45">
        <f ca="1" t="shared" si="293"/>
        <v>1.68</v>
      </c>
      <c r="V765" s="45">
        <f ca="1" t="shared" si="294"/>
        <v>4</v>
      </c>
      <c r="W765" s="45">
        <f ca="1" t="shared" si="295"/>
        <v>1.2</v>
      </c>
      <c r="X765" s="45">
        <f ca="1" t="shared" si="296"/>
        <v>16</v>
      </c>
      <c r="Y765" s="45">
        <f ca="1" t="shared" si="297"/>
        <v>2.4</v>
      </c>
      <c r="Z765" s="45">
        <f ca="1" t="shared" si="298"/>
        <v>2.28571428571429</v>
      </c>
      <c r="AA765" s="44">
        <f ca="1" t="shared" si="290"/>
        <v>31.5657142857143</v>
      </c>
    </row>
    <row r="766" spans="2:27">
      <c r="B766" s="11">
        <v>110</v>
      </c>
      <c r="C766" s="1">
        <f ca="1">IF(养成规划!E67="",INDIRECT(ADDRESS(ROW()-1,COLUMN())),养成规划!E67)</f>
        <v>5</v>
      </c>
      <c r="D766" s="1" t="str">
        <f>IF(养成规划!G67="","",养成规划!G67)</f>
        <v/>
      </c>
      <c r="E766" s="1" t="str">
        <f ca="1" t="shared" si="287"/>
        <v/>
      </c>
      <c r="F766" s="15">
        <f ca="1">'204_军官任务'!R67</f>
        <v>130.36</v>
      </c>
      <c r="G766" s="15">
        <f>'205_每日任务'!K67</f>
        <v>220</v>
      </c>
      <c r="H766" s="15">
        <f ca="1">'206_副本挂机'!M186</f>
        <v>126.145728</v>
      </c>
      <c r="I766" s="15">
        <f ca="1">'207_空投'!J67</f>
        <v>304.213333333333</v>
      </c>
      <c r="J766" s="15">
        <f ca="1">'208_黑市'!I67</f>
        <v>99.75</v>
      </c>
      <c r="K766" s="15">
        <f ca="1">'210_活动'!O67</f>
        <v>1316</v>
      </c>
      <c r="L766" s="15">
        <f ca="1">'211_VIP宝箱'!I67</f>
        <v>166.4</v>
      </c>
      <c r="M766" s="15">
        <f ca="1">'212_VIP商店'!I67</f>
        <v>179.428571428571</v>
      </c>
      <c r="N766" s="1" t="str">
        <f ca="1" t="shared" si="288"/>
        <v/>
      </c>
      <c r="O766" s="1">
        <f ca="1" t="shared" si="289"/>
        <v>2542.2976327619</v>
      </c>
      <c r="P766" s="30"/>
      <c r="Q766" s="30"/>
      <c r="S766" s="45">
        <f ca="1" t="shared" si="291"/>
        <v>2</v>
      </c>
      <c r="T766" s="45">
        <f t="shared" si="292"/>
        <v>2</v>
      </c>
      <c r="U766" s="45">
        <f ca="1" t="shared" si="293"/>
        <v>1.70976</v>
      </c>
      <c r="V766" s="45">
        <f ca="1" t="shared" si="294"/>
        <v>4</v>
      </c>
      <c r="W766" s="45">
        <f ca="1" t="shared" si="295"/>
        <v>1.2</v>
      </c>
      <c r="X766" s="45">
        <f ca="1" t="shared" si="296"/>
        <v>16</v>
      </c>
      <c r="Y766" s="45">
        <f ca="1" t="shared" si="297"/>
        <v>2.4</v>
      </c>
      <c r="Z766" s="45">
        <f ca="1" t="shared" si="298"/>
        <v>2.28571428571429</v>
      </c>
      <c r="AA766" s="44">
        <f ca="1" t="shared" si="290"/>
        <v>31.5954742857143</v>
      </c>
    </row>
    <row r="767" spans="2:27">
      <c r="B767" s="11">
        <v>115</v>
      </c>
      <c r="C767" s="1">
        <f ca="1">IF(养成规划!E68="",INDIRECT(ADDRESS(ROW()-1,COLUMN())),养成规划!E68)</f>
        <v>5</v>
      </c>
      <c r="D767" s="1" t="str">
        <f>IF(养成规划!G68="","",养成规划!G68)</f>
        <v/>
      </c>
      <c r="E767" s="1" t="str">
        <f ca="1" t="shared" si="287"/>
        <v/>
      </c>
      <c r="F767" s="15">
        <f ca="1">'204_军官任务'!R68</f>
        <v>140.36</v>
      </c>
      <c r="G767" s="15">
        <f>'205_每日任务'!K68</f>
        <v>230</v>
      </c>
      <c r="H767" s="15">
        <f ca="1">'206_副本挂机'!M187</f>
        <v>134.843328</v>
      </c>
      <c r="I767" s="15">
        <f ca="1">'207_空投'!J68</f>
        <v>324.213333333333</v>
      </c>
      <c r="J767" s="15">
        <f ca="1">'208_黑市'!I68</f>
        <v>105.75</v>
      </c>
      <c r="K767" s="15">
        <f ca="1">'210_活动'!O68</f>
        <v>1396</v>
      </c>
      <c r="L767" s="15">
        <f ca="1">'211_VIP宝箱'!I68</f>
        <v>178.4</v>
      </c>
      <c r="M767" s="15">
        <f ca="1">'212_VIP商店'!I68</f>
        <v>190.857142857143</v>
      </c>
      <c r="N767" s="1" t="str">
        <f ca="1" t="shared" si="288"/>
        <v/>
      </c>
      <c r="O767" s="1">
        <f ca="1" t="shared" si="289"/>
        <v>2700.42380419048</v>
      </c>
      <c r="P767" s="30"/>
      <c r="Q767" s="30"/>
      <c r="S767" s="45">
        <f ca="1" t="shared" si="291"/>
        <v>2</v>
      </c>
      <c r="T767" s="45">
        <f t="shared" si="292"/>
        <v>2</v>
      </c>
      <c r="U767" s="45">
        <f ca="1" t="shared" si="293"/>
        <v>1.73952</v>
      </c>
      <c r="V767" s="45">
        <f ca="1" t="shared" si="294"/>
        <v>4</v>
      </c>
      <c r="W767" s="45">
        <f ca="1" t="shared" si="295"/>
        <v>1.2</v>
      </c>
      <c r="X767" s="45">
        <f ca="1" t="shared" si="296"/>
        <v>16</v>
      </c>
      <c r="Y767" s="45">
        <f ca="1" t="shared" si="297"/>
        <v>2.4</v>
      </c>
      <c r="Z767" s="45">
        <f ca="1" t="shared" si="298"/>
        <v>2.28571428571429</v>
      </c>
      <c r="AA767" s="44">
        <f ca="1" t="shared" si="290"/>
        <v>31.6252342857143</v>
      </c>
    </row>
    <row r="768" spans="2:27">
      <c r="B768" s="11">
        <v>120</v>
      </c>
      <c r="C768" s="1">
        <f ca="1">IF(养成规划!E69="",INDIRECT(ADDRESS(ROW()-1,COLUMN())),养成规划!E69)</f>
        <v>5</v>
      </c>
      <c r="D768" s="1">
        <f>IF(养成规划!G69="","",养成规划!G69)</f>
        <v>7</v>
      </c>
      <c r="E768" s="1">
        <f ca="1" t="shared" si="287"/>
        <v>1620</v>
      </c>
      <c r="F768" s="15">
        <f ca="1">'204_军官任务'!R69</f>
        <v>150.36</v>
      </c>
      <c r="G768" s="15">
        <f>'205_每日任务'!K69</f>
        <v>240</v>
      </c>
      <c r="H768" s="15">
        <f ca="1">'206_副本挂机'!M188</f>
        <v>143.843328</v>
      </c>
      <c r="I768" s="15">
        <f ca="1">'207_空投'!J69</f>
        <v>344.213333333333</v>
      </c>
      <c r="J768" s="15">
        <f ca="1">'208_黑市'!I69</f>
        <v>111.75</v>
      </c>
      <c r="K768" s="15">
        <f ca="1">'210_活动'!O69</f>
        <v>1476</v>
      </c>
      <c r="L768" s="15">
        <f ca="1">'211_VIP宝箱'!I69</f>
        <v>190.4</v>
      </c>
      <c r="M768" s="15">
        <f ca="1">'212_VIP商店'!I69</f>
        <v>202.285714285714</v>
      </c>
      <c r="N768" s="1">
        <f ca="1" t="shared" si="288"/>
        <v>1944</v>
      </c>
      <c r="O768" s="1">
        <f ca="1" t="shared" si="289"/>
        <v>2858.85237561905</v>
      </c>
      <c r="P768" s="30"/>
      <c r="Q768" s="30"/>
      <c r="S768" s="45">
        <f ca="1" t="shared" si="291"/>
        <v>2</v>
      </c>
      <c r="T768" s="45">
        <f t="shared" si="292"/>
        <v>2</v>
      </c>
      <c r="U768" s="45">
        <f ca="1" t="shared" si="293"/>
        <v>1.8</v>
      </c>
      <c r="V768" s="45">
        <f ca="1" t="shared" si="294"/>
        <v>4</v>
      </c>
      <c r="W768" s="45">
        <f ca="1" t="shared" si="295"/>
        <v>1.2</v>
      </c>
      <c r="X768" s="45">
        <f ca="1" t="shared" si="296"/>
        <v>16</v>
      </c>
      <c r="Y768" s="45">
        <f ca="1" t="shared" si="297"/>
        <v>2.4</v>
      </c>
      <c r="Z768" s="45">
        <f ca="1" t="shared" si="298"/>
        <v>2.28571428571429</v>
      </c>
      <c r="AA768" s="44">
        <f ca="1" t="shared" si="290"/>
        <v>31.6857142857143</v>
      </c>
    </row>
    <row r="769" spans="2:27">
      <c r="B769" s="12">
        <v>150</v>
      </c>
      <c r="C769" s="1">
        <f ca="1">IF(养成规划!E70="",INDIRECT(ADDRESS(ROW()-1,COLUMN())),养成规划!E70)</f>
        <v>5</v>
      </c>
      <c r="D769" s="1" t="str">
        <f>IF(养成规划!G70="","",养成规划!G70)</f>
        <v/>
      </c>
      <c r="E769" s="1" t="str">
        <f ca="1" t="shared" ref="E769:E776" si="299">IF(OR(D769="",D769&lt;4),"",C769*OFFSET($L$784,MATCH(D769,$B$784:$B$792,0)-1,0))</f>
        <v/>
      </c>
      <c r="F769" s="15">
        <f ca="1">'204_军官任务'!R70</f>
        <v>210.36</v>
      </c>
      <c r="G769" s="15">
        <f>'205_每日任务'!K70</f>
        <v>300</v>
      </c>
      <c r="H769" s="15">
        <f ca="1">'206_副本挂机'!M189</f>
        <v>202.336128</v>
      </c>
      <c r="I769" s="15">
        <f ca="1">'207_空投'!J70</f>
        <v>464.213333333333</v>
      </c>
      <c r="J769" s="15">
        <f ca="1">'208_黑市'!I70</f>
        <v>156.75</v>
      </c>
      <c r="K769" s="15">
        <f ca="1">'210_活动'!O70</f>
        <v>2076</v>
      </c>
      <c r="L769" s="15">
        <f ca="1">'211_VIP宝箱'!I70</f>
        <v>262.4</v>
      </c>
      <c r="M769" s="15">
        <f ca="1">'212_VIP商店'!I70</f>
        <v>270.857142857143</v>
      </c>
      <c r="N769" s="1" t="str">
        <f ca="1" t="shared" ref="N769:N776" si="300">IFERROR(E769*(1+$E$700),"")</f>
        <v/>
      </c>
      <c r="O769" s="1">
        <f ca="1" t="shared" ref="O769:O776" si="301">SUM(F769:M769)</f>
        <v>3942.91660419048</v>
      </c>
      <c r="P769" s="30"/>
      <c r="Q769" s="30"/>
      <c r="S769" s="45">
        <f ca="1" t="shared" si="291"/>
        <v>2</v>
      </c>
      <c r="T769" s="45">
        <f t="shared" si="292"/>
        <v>2</v>
      </c>
      <c r="U769" s="45">
        <f ca="1" t="shared" si="293"/>
        <v>1.94976</v>
      </c>
      <c r="V769" s="45">
        <f ca="1" t="shared" si="294"/>
        <v>4</v>
      </c>
      <c r="W769" s="45">
        <f ca="1" t="shared" si="295"/>
        <v>1.5</v>
      </c>
      <c r="X769" s="45">
        <f ca="1" t="shared" si="296"/>
        <v>20</v>
      </c>
      <c r="Y769" s="45">
        <f ca="1" t="shared" si="297"/>
        <v>2.4</v>
      </c>
      <c r="Z769" s="45">
        <f ca="1" t="shared" si="298"/>
        <v>2.28571428571429</v>
      </c>
      <c r="AA769" s="44">
        <f ca="1" t="shared" ref="AA769:AA776" si="302">SUM(S769:Z769)</f>
        <v>36.1354742857143</v>
      </c>
    </row>
    <row r="770" spans="2:27">
      <c r="B770" s="12">
        <v>180</v>
      </c>
      <c r="C770" s="1">
        <f ca="1">IF(养成规划!E71="",INDIRECT(ADDRESS(ROW()-1,COLUMN())),养成规划!E71)</f>
        <v>5</v>
      </c>
      <c r="D770" s="1" t="str">
        <f>IF(养成规划!G71="","",养成规划!G71)</f>
        <v/>
      </c>
      <c r="E770" s="1" t="str">
        <f ca="1" t="shared" si="299"/>
        <v/>
      </c>
      <c r="F770" s="15">
        <f ca="1">'204_军官任务'!R71</f>
        <v>270.36</v>
      </c>
      <c r="G770" s="15">
        <f>'205_每日任务'!K71</f>
        <v>360</v>
      </c>
      <c r="H770" s="15">
        <f ca="1">'206_副本挂机'!M190</f>
        <v>265.321728</v>
      </c>
      <c r="I770" s="15">
        <f ca="1">'207_空投'!J71</f>
        <v>584.213333333333</v>
      </c>
      <c r="J770" s="15">
        <f ca="1">'208_黑市'!I71</f>
        <v>201.75</v>
      </c>
      <c r="K770" s="15">
        <f ca="1">'210_活动'!O71</f>
        <v>2676</v>
      </c>
      <c r="L770" s="15">
        <f ca="1">'211_VIP宝箱'!I71</f>
        <v>334.4</v>
      </c>
      <c r="M770" s="15">
        <f ca="1">'212_VIP商店'!I71</f>
        <v>339.428571428572</v>
      </c>
      <c r="N770" s="1" t="str">
        <f ca="1" t="shared" si="300"/>
        <v/>
      </c>
      <c r="O770" s="1">
        <f ca="1" t="shared" si="301"/>
        <v>5031.4736327619</v>
      </c>
      <c r="P770" s="30"/>
      <c r="Q770" s="30"/>
      <c r="S770" s="45">
        <f ca="1" t="shared" ref="S770:S776" si="303">(F770-F769)/($B770-$B769)</f>
        <v>2</v>
      </c>
      <c r="T770" s="45">
        <f t="shared" ref="T770:T776" si="304">(G770-G769)/($B770-$B769)</f>
        <v>2</v>
      </c>
      <c r="U770" s="45">
        <f ca="1" t="shared" ref="U770:U776" si="305">(H770-H769)/($B770-$B769)</f>
        <v>2.09952</v>
      </c>
      <c r="V770" s="45">
        <f ca="1" t="shared" ref="V770:V776" si="306">(I770-I769)/($B770-$B769)</f>
        <v>4</v>
      </c>
      <c r="W770" s="45">
        <f ca="1" t="shared" ref="W770:W776" si="307">(J770-J769)/($B770-$B769)</f>
        <v>1.5</v>
      </c>
      <c r="X770" s="45">
        <f ca="1" t="shared" ref="X770:X776" si="308">(K770-K769)/($B770-$B769)</f>
        <v>20</v>
      </c>
      <c r="Y770" s="45">
        <f ca="1" t="shared" ref="Y770:Y776" si="309">(L770-L769)/($B770-$B769)</f>
        <v>2.4</v>
      </c>
      <c r="Z770" s="45">
        <f ca="1" t="shared" ref="Z770:Z776" si="310">(M770-M769)/($B770-$B769)</f>
        <v>2.28571428571429</v>
      </c>
      <c r="AA770" s="44">
        <f ca="1" t="shared" si="302"/>
        <v>36.2852342857143</v>
      </c>
    </row>
    <row r="771" spans="2:27">
      <c r="B771" s="12">
        <v>210</v>
      </c>
      <c r="C771" s="1">
        <f ca="1">IF(养成规划!E72="",INDIRECT(ADDRESS(ROW()-1,COLUMN())),养成规划!E72)</f>
        <v>5</v>
      </c>
      <c r="D771" s="1">
        <f>IF(养成规划!G72="","",养成规划!G72)</f>
        <v>7.1</v>
      </c>
      <c r="E771" s="1">
        <f ca="1" t="shared" si="299"/>
        <v>4860</v>
      </c>
      <c r="F771" s="15">
        <f ca="1">'204_军官任务'!R72</f>
        <v>330.36</v>
      </c>
      <c r="G771" s="15">
        <f>'205_每日任务'!K72</f>
        <v>420</v>
      </c>
      <c r="H771" s="15">
        <f ca="1">'206_副本挂机'!M191</f>
        <v>332.800128</v>
      </c>
      <c r="I771" s="15">
        <f ca="1">'207_空投'!J72</f>
        <v>704.213333333333</v>
      </c>
      <c r="J771" s="15">
        <f ca="1">'208_黑市'!I72</f>
        <v>246.75</v>
      </c>
      <c r="K771" s="15">
        <f ca="1">'210_活动'!O72</f>
        <v>3276</v>
      </c>
      <c r="L771" s="15">
        <f ca="1">'211_VIP宝箱'!I72</f>
        <v>406.4</v>
      </c>
      <c r="M771" s="15">
        <f ca="1">'212_VIP商店'!I72</f>
        <v>408</v>
      </c>
      <c r="N771" s="1">
        <f ca="1" t="shared" si="300"/>
        <v>5832</v>
      </c>
      <c r="O771" s="1">
        <f ca="1" t="shared" si="301"/>
        <v>6124.52346133333</v>
      </c>
      <c r="P771" s="30"/>
      <c r="Q771" s="30"/>
      <c r="S771" s="45">
        <f ca="1" t="shared" si="303"/>
        <v>2</v>
      </c>
      <c r="T771" s="45">
        <f t="shared" si="304"/>
        <v>2</v>
      </c>
      <c r="U771" s="45">
        <f ca="1" t="shared" si="305"/>
        <v>2.24928</v>
      </c>
      <c r="V771" s="45">
        <f ca="1" t="shared" si="306"/>
        <v>4</v>
      </c>
      <c r="W771" s="45">
        <f ca="1" t="shared" si="307"/>
        <v>1.5</v>
      </c>
      <c r="X771" s="45">
        <f ca="1" t="shared" si="308"/>
        <v>20</v>
      </c>
      <c r="Y771" s="45">
        <f ca="1" t="shared" si="309"/>
        <v>2.4</v>
      </c>
      <c r="Z771" s="45">
        <f ca="1" t="shared" si="310"/>
        <v>2.28571428571429</v>
      </c>
      <c r="AA771" s="44">
        <f ca="1" t="shared" si="302"/>
        <v>36.4349942857143</v>
      </c>
    </row>
    <row r="772" spans="2:27">
      <c r="B772" s="12">
        <v>240</v>
      </c>
      <c r="C772" s="1">
        <f ca="1">IF(养成规划!E73="",INDIRECT(ADDRESS(ROW()-1,COLUMN())),养成规划!E73)</f>
        <v>5</v>
      </c>
      <c r="D772" s="1" t="str">
        <f>IF(养成规划!G73="","",养成规划!G73)</f>
        <v/>
      </c>
      <c r="E772" s="1" t="str">
        <f ca="1" t="shared" si="299"/>
        <v/>
      </c>
      <c r="F772" s="15">
        <f ca="1">'204_军官任务'!R73</f>
        <v>390.36</v>
      </c>
      <c r="G772" s="15">
        <f>'205_每日任务'!K73</f>
        <v>480</v>
      </c>
      <c r="H772" s="15">
        <f ca="1">'206_副本挂机'!M192</f>
        <v>404.800128</v>
      </c>
      <c r="I772" s="15">
        <f ca="1">'207_空投'!J73</f>
        <v>824.213333333333</v>
      </c>
      <c r="J772" s="15">
        <f ca="1">'208_黑市'!I73</f>
        <v>291.75</v>
      </c>
      <c r="K772" s="15">
        <f ca="1">'210_活动'!O73</f>
        <v>3876</v>
      </c>
      <c r="L772" s="15">
        <f ca="1">'211_VIP宝箱'!I73</f>
        <v>478.4</v>
      </c>
      <c r="M772" s="15">
        <f ca="1">'212_VIP商店'!I73</f>
        <v>476.571428571429</v>
      </c>
      <c r="N772" s="1" t="str">
        <f ca="1" t="shared" si="300"/>
        <v/>
      </c>
      <c r="O772" s="1">
        <f ca="1" t="shared" si="301"/>
        <v>7222.09488990476</v>
      </c>
      <c r="P772" s="30"/>
      <c r="Q772" s="30"/>
      <c r="S772" s="45">
        <f ca="1" t="shared" si="303"/>
        <v>2</v>
      </c>
      <c r="T772" s="45">
        <f t="shared" si="304"/>
        <v>2</v>
      </c>
      <c r="U772" s="45">
        <f ca="1" t="shared" si="305"/>
        <v>2.4</v>
      </c>
      <c r="V772" s="45">
        <f ca="1" t="shared" si="306"/>
        <v>4</v>
      </c>
      <c r="W772" s="45">
        <f ca="1" t="shared" si="307"/>
        <v>1.5</v>
      </c>
      <c r="X772" s="45">
        <f ca="1" t="shared" si="308"/>
        <v>20</v>
      </c>
      <c r="Y772" s="45">
        <f ca="1" t="shared" si="309"/>
        <v>2.4</v>
      </c>
      <c r="Z772" s="45">
        <f ca="1" t="shared" si="310"/>
        <v>2.28571428571429</v>
      </c>
      <c r="AA772" s="44">
        <f ca="1" t="shared" si="302"/>
        <v>36.5857142857143</v>
      </c>
    </row>
    <row r="773" spans="2:27">
      <c r="B773" s="12">
        <v>270</v>
      </c>
      <c r="C773" s="1">
        <f ca="1">IF(养成规划!E74="",INDIRECT(ADDRESS(ROW()-1,COLUMN())),养成规划!E74)</f>
        <v>5</v>
      </c>
      <c r="D773" s="1" t="str">
        <f>IF(养成规划!G74="","",养成规划!G74)</f>
        <v/>
      </c>
      <c r="E773" s="1" t="str">
        <f ca="1" t="shared" si="299"/>
        <v/>
      </c>
      <c r="F773" s="15">
        <f ca="1">'204_军官任务'!R74</f>
        <v>450.36</v>
      </c>
      <c r="G773" s="15">
        <f>'205_每日任务'!K74</f>
        <v>540</v>
      </c>
      <c r="H773" s="15">
        <f ca="1">'206_副本挂机'!M193</f>
        <v>481.292928</v>
      </c>
      <c r="I773" s="15">
        <f ca="1">'207_空投'!J74</f>
        <v>944.213333333333</v>
      </c>
      <c r="J773" s="15">
        <f ca="1">'208_黑市'!I74</f>
        <v>336.75</v>
      </c>
      <c r="K773" s="15">
        <f ca="1">'210_活动'!O74</f>
        <v>4476</v>
      </c>
      <c r="L773" s="15">
        <f ca="1">'211_VIP宝箱'!I74</f>
        <v>550.4</v>
      </c>
      <c r="M773" s="15">
        <f ca="1">'212_VIP商店'!I74</f>
        <v>545.142857142858</v>
      </c>
      <c r="N773" s="1" t="str">
        <f ca="1" t="shared" si="300"/>
        <v/>
      </c>
      <c r="O773" s="1">
        <f ca="1" t="shared" si="301"/>
        <v>8324.15911847619</v>
      </c>
      <c r="P773" s="30"/>
      <c r="Q773" s="30"/>
      <c r="S773" s="45">
        <f ca="1" t="shared" si="303"/>
        <v>2</v>
      </c>
      <c r="T773" s="45">
        <f t="shared" si="304"/>
        <v>2</v>
      </c>
      <c r="U773" s="45">
        <f ca="1" t="shared" si="305"/>
        <v>2.54976</v>
      </c>
      <c r="V773" s="45">
        <f ca="1" t="shared" si="306"/>
        <v>4</v>
      </c>
      <c r="W773" s="45">
        <f ca="1" t="shared" si="307"/>
        <v>1.5</v>
      </c>
      <c r="X773" s="45">
        <f ca="1" t="shared" si="308"/>
        <v>20</v>
      </c>
      <c r="Y773" s="45">
        <f ca="1" t="shared" si="309"/>
        <v>2.4</v>
      </c>
      <c r="Z773" s="45">
        <f ca="1" t="shared" si="310"/>
        <v>2.28571428571429</v>
      </c>
      <c r="AA773" s="44">
        <f ca="1" t="shared" si="302"/>
        <v>36.7354742857143</v>
      </c>
    </row>
    <row r="774" spans="2:27">
      <c r="B774" s="12">
        <v>300</v>
      </c>
      <c r="C774" s="1">
        <f ca="1">IF(养成规划!E75="",INDIRECT(ADDRESS(ROW()-1,COLUMN())),养成规划!E75)</f>
        <v>5</v>
      </c>
      <c r="D774" s="1" t="str">
        <f>IF(养成规划!G75="","",养成规划!G75)</f>
        <v/>
      </c>
      <c r="E774" s="1" t="str">
        <f ca="1" t="shared" si="299"/>
        <v/>
      </c>
      <c r="F774" s="15">
        <f ca="1">'204_军官任务'!R75</f>
        <v>510.36</v>
      </c>
      <c r="G774" s="15">
        <f>'205_每日任务'!K75</f>
        <v>600</v>
      </c>
      <c r="H774" s="15">
        <f ca="1">'206_副本挂机'!M194</f>
        <v>562.278528</v>
      </c>
      <c r="I774" s="15">
        <f ca="1">'207_空投'!J75</f>
        <v>1064.21333333333</v>
      </c>
      <c r="J774" s="15">
        <f ca="1">'208_黑市'!I75</f>
        <v>381.75</v>
      </c>
      <c r="K774" s="15">
        <f ca="1">'210_活动'!O75</f>
        <v>5076</v>
      </c>
      <c r="L774" s="15">
        <f ca="1">'211_VIP宝箱'!I75</f>
        <v>622.4</v>
      </c>
      <c r="M774" s="15">
        <f ca="1">'212_VIP商店'!I75</f>
        <v>613.714285714286</v>
      </c>
      <c r="N774" s="1" t="str">
        <f ca="1" t="shared" si="300"/>
        <v/>
      </c>
      <c r="O774" s="1">
        <f ca="1" t="shared" si="301"/>
        <v>9430.71614704762</v>
      </c>
      <c r="P774" s="30"/>
      <c r="Q774" s="30"/>
      <c r="S774" s="45">
        <f ca="1" t="shared" si="303"/>
        <v>2</v>
      </c>
      <c r="T774" s="45">
        <f t="shared" si="304"/>
        <v>2</v>
      </c>
      <c r="U774" s="45">
        <f ca="1" t="shared" si="305"/>
        <v>2.69952</v>
      </c>
      <c r="V774" s="45">
        <f ca="1" t="shared" si="306"/>
        <v>4</v>
      </c>
      <c r="W774" s="45">
        <f ca="1" t="shared" si="307"/>
        <v>1.5</v>
      </c>
      <c r="X774" s="45">
        <f ca="1" t="shared" si="308"/>
        <v>20</v>
      </c>
      <c r="Y774" s="45">
        <f ca="1" t="shared" si="309"/>
        <v>2.4</v>
      </c>
      <c r="Z774" s="45">
        <f ca="1" t="shared" si="310"/>
        <v>2.28571428571429</v>
      </c>
      <c r="AA774" s="44">
        <f ca="1" t="shared" si="302"/>
        <v>36.8852342857143</v>
      </c>
    </row>
    <row r="775" spans="2:27">
      <c r="B775" s="12">
        <v>330</v>
      </c>
      <c r="C775" s="1">
        <f ca="1">IF(养成规划!E76="",INDIRECT(ADDRESS(ROW()-1,COLUMN())),养成规划!E76)</f>
        <v>5</v>
      </c>
      <c r="D775" s="1" t="str">
        <f>IF(养成规划!G76="","",养成规划!G76)</f>
        <v/>
      </c>
      <c r="E775" s="1" t="str">
        <f ca="1" t="shared" si="299"/>
        <v/>
      </c>
      <c r="F775" s="15">
        <f ca="1">'204_军官任务'!R76</f>
        <v>570.36</v>
      </c>
      <c r="G775" s="15">
        <f>'205_每日任务'!K76</f>
        <v>660</v>
      </c>
      <c r="H775" s="15">
        <f ca="1">'206_副本挂机'!M195</f>
        <v>647.756928</v>
      </c>
      <c r="I775" s="15">
        <f ca="1">'207_空投'!J76</f>
        <v>1184.21333333333</v>
      </c>
      <c r="J775" s="15">
        <f ca="1">'208_黑市'!I76</f>
        <v>426.75</v>
      </c>
      <c r="K775" s="15">
        <f ca="1">'210_活动'!O76</f>
        <v>5676</v>
      </c>
      <c r="L775" s="15">
        <f ca="1">'211_VIP宝箱'!I76</f>
        <v>694.4</v>
      </c>
      <c r="M775" s="15">
        <f ca="1">'212_VIP商店'!I76</f>
        <v>682.285714285715</v>
      </c>
      <c r="N775" s="1" t="str">
        <f ca="1" t="shared" si="300"/>
        <v/>
      </c>
      <c r="O775" s="1">
        <f ca="1" t="shared" si="301"/>
        <v>10541.765975619</v>
      </c>
      <c r="P775" s="30"/>
      <c r="Q775" s="30"/>
      <c r="S775" s="45">
        <f ca="1" t="shared" si="303"/>
        <v>2</v>
      </c>
      <c r="T775" s="45">
        <f t="shared" si="304"/>
        <v>2</v>
      </c>
      <c r="U775" s="45">
        <f ca="1" t="shared" si="305"/>
        <v>2.84928</v>
      </c>
      <c r="V775" s="45">
        <f ca="1" t="shared" si="306"/>
        <v>4</v>
      </c>
      <c r="W775" s="45">
        <f ca="1" t="shared" si="307"/>
        <v>1.5</v>
      </c>
      <c r="X775" s="45">
        <f ca="1" t="shared" si="308"/>
        <v>20</v>
      </c>
      <c r="Y775" s="45">
        <f ca="1" t="shared" si="309"/>
        <v>2.4</v>
      </c>
      <c r="Z775" s="45">
        <f ca="1" t="shared" si="310"/>
        <v>2.28571428571429</v>
      </c>
      <c r="AA775" s="44">
        <f ca="1" t="shared" si="302"/>
        <v>37.0349942857143</v>
      </c>
    </row>
    <row r="776" spans="2:27">
      <c r="B776" s="12">
        <v>360</v>
      </c>
      <c r="C776" s="1">
        <f ca="1">IF(养成规划!E77="",INDIRECT(ADDRESS(ROW()-1,COLUMN())),养成规划!E77)</f>
        <v>5</v>
      </c>
      <c r="D776" s="1">
        <f>IF(养成规划!G77="","",养成规划!G77)</f>
        <v>7.2</v>
      </c>
      <c r="E776" s="1">
        <f ca="1" t="shared" si="299"/>
        <v>14580</v>
      </c>
      <c r="F776" s="15">
        <f ca="1">'204_军官任务'!R77</f>
        <v>630.36</v>
      </c>
      <c r="G776" s="15">
        <f>'205_每日任务'!K77</f>
        <v>720</v>
      </c>
      <c r="H776" s="15">
        <f ca="1">'206_副本挂机'!M196</f>
        <v>737.756928</v>
      </c>
      <c r="I776" s="15">
        <f ca="1">'207_空投'!J77</f>
        <v>1304.21333333333</v>
      </c>
      <c r="J776" s="15">
        <f ca="1">'208_黑市'!I77</f>
        <v>471.75</v>
      </c>
      <c r="K776" s="15">
        <f ca="1">'210_活动'!O77</f>
        <v>6276</v>
      </c>
      <c r="L776" s="15">
        <f ca="1">'211_VIP宝箱'!I77</f>
        <v>766.4</v>
      </c>
      <c r="M776" s="15">
        <f ca="1">'212_VIP商店'!I77</f>
        <v>750.857142857144</v>
      </c>
      <c r="N776" s="1">
        <f ca="1" t="shared" si="300"/>
        <v>17496</v>
      </c>
      <c r="O776" s="1">
        <f ca="1" t="shared" si="301"/>
        <v>11657.3374041905</v>
      </c>
      <c r="P776" s="30"/>
      <c r="Q776" s="30"/>
      <c r="S776" s="45">
        <f ca="1" t="shared" si="303"/>
        <v>2</v>
      </c>
      <c r="T776" s="45">
        <f t="shared" si="304"/>
        <v>2</v>
      </c>
      <c r="U776" s="45">
        <f ca="1" t="shared" si="305"/>
        <v>3</v>
      </c>
      <c r="V776" s="45">
        <f ca="1" t="shared" si="306"/>
        <v>4</v>
      </c>
      <c r="W776" s="45">
        <f ca="1" t="shared" si="307"/>
        <v>1.5</v>
      </c>
      <c r="X776" s="45">
        <f ca="1" t="shared" si="308"/>
        <v>20</v>
      </c>
      <c r="Y776" s="45">
        <f ca="1" t="shared" si="309"/>
        <v>2.4</v>
      </c>
      <c r="Z776" s="45">
        <f ca="1" t="shared" si="310"/>
        <v>2.28571428571429</v>
      </c>
      <c r="AA776" s="44">
        <f ca="1" t="shared" si="302"/>
        <v>37.1857142857143</v>
      </c>
    </row>
    <row r="779" s="25" customFormat="1" spans="1:5">
      <c r="A779" s="2" t="s">
        <v>453</v>
      </c>
      <c r="B779" s="2"/>
      <c r="C779" s="41" t="s">
        <v>436</v>
      </c>
      <c r="E779" s="41"/>
    </row>
    <row r="781" spans="2:12">
      <c r="B781" s="27" t="s">
        <v>972</v>
      </c>
      <c r="C781" s="27"/>
      <c r="D781" s="27"/>
      <c r="E781" s="27"/>
      <c r="F781" s="27"/>
      <c r="G781" s="27"/>
      <c r="H781" s="27"/>
      <c r="I781" s="27"/>
      <c r="J781" s="27"/>
      <c r="K781" s="27"/>
      <c r="L781" s="27"/>
    </row>
    <row r="782" spans="22:22">
      <c r="V782" s="1" t="s">
        <v>973</v>
      </c>
    </row>
    <row r="783" spans="3:23">
      <c r="C783" s="1">
        <v>4</v>
      </c>
      <c r="D783" s="1">
        <v>4.1</v>
      </c>
      <c r="E783" s="1">
        <v>5</v>
      </c>
      <c r="F783" s="1">
        <v>5.1</v>
      </c>
      <c r="G783" s="1">
        <v>6</v>
      </c>
      <c r="H783" s="1">
        <v>6.1</v>
      </c>
      <c r="I783" s="1">
        <v>7</v>
      </c>
      <c r="J783" s="1">
        <v>7.1</v>
      </c>
      <c r="K783" s="1">
        <v>7.2</v>
      </c>
      <c r="L783" s="1" t="s">
        <v>974</v>
      </c>
      <c r="M783" s="1" t="s">
        <v>975</v>
      </c>
      <c r="N783" s="1" t="s">
        <v>976</v>
      </c>
      <c r="O783" s="15" t="s">
        <v>977</v>
      </c>
      <c r="P783" s="15" t="s">
        <v>978</v>
      </c>
      <c r="Q783" s="15" t="s">
        <v>979</v>
      </c>
      <c r="R783" s="15" t="s">
        <v>980</v>
      </c>
      <c r="S783" s="15" t="s">
        <v>981</v>
      </c>
      <c r="T783" s="15" t="s">
        <v>982</v>
      </c>
      <c r="U783" s="15" t="s">
        <v>983</v>
      </c>
      <c r="V783" s="1" t="s">
        <v>984</v>
      </c>
      <c r="W783" s="1" t="s">
        <v>985</v>
      </c>
    </row>
    <row r="784" spans="2:23">
      <c r="B784" s="1">
        <v>4</v>
      </c>
      <c r="C784" s="71"/>
      <c r="D784" s="71"/>
      <c r="E784" s="71"/>
      <c r="F784" s="71"/>
      <c r="G784" s="71"/>
      <c r="H784" s="71"/>
      <c r="I784" s="71"/>
      <c r="J784" s="71"/>
      <c r="K784" s="71"/>
      <c r="L784" s="1">
        <v>1</v>
      </c>
      <c r="M784" s="30">
        <v>0</v>
      </c>
      <c r="N784" s="1">
        <f>M784</f>
        <v>0</v>
      </c>
      <c r="O784" s="15"/>
      <c r="P784" s="15">
        <v>1</v>
      </c>
      <c r="Q784" s="15">
        <f>L784</f>
        <v>1</v>
      </c>
      <c r="R784" s="15">
        <f>Q784/P784</f>
        <v>1</v>
      </c>
      <c r="S784" s="15"/>
      <c r="T784" s="15"/>
      <c r="U784" s="15">
        <f t="shared" ref="U784:U792" si="311">IFERROR(T784/S784,0)</f>
        <v>0</v>
      </c>
      <c r="V784" s="1">
        <f t="shared" ref="V784:V792" si="312">S784*$C$4838</f>
        <v>0</v>
      </c>
      <c r="W784" s="1">
        <f t="shared" ref="W784:W792" si="313">S784*$D$4838</f>
        <v>0</v>
      </c>
    </row>
    <row r="785" spans="2:23">
      <c r="B785" s="1">
        <v>4.1</v>
      </c>
      <c r="C785" s="71">
        <v>3</v>
      </c>
      <c r="D785" s="71"/>
      <c r="E785" s="71"/>
      <c r="F785" s="71"/>
      <c r="G785" s="71"/>
      <c r="H785" s="71"/>
      <c r="I785" s="71"/>
      <c r="J785" s="71"/>
      <c r="K785" s="71"/>
      <c r="L785" s="1">
        <f>MMULT(C785,L784)</f>
        <v>3</v>
      </c>
      <c r="M785" s="30">
        <v>1</v>
      </c>
      <c r="N785" s="1">
        <f>C785*N784+M785</f>
        <v>1</v>
      </c>
      <c r="O785" s="15" t="s">
        <v>986</v>
      </c>
      <c r="P785" s="15">
        <f t="shared" ref="P785:P792" si="314">P784*IF(O785="同种",MAX(C785:K785),1)</f>
        <v>3</v>
      </c>
      <c r="Q785" s="15">
        <f t="shared" ref="Q785:Q792" si="315">L785</f>
        <v>3</v>
      </c>
      <c r="R785" s="15">
        <f t="shared" ref="R785:R792" si="316">Q785/P785</f>
        <v>1</v>
      </c>
      <c r="S785" s="15"/>
      <c r="T785" s="15"/>
      <c r="U785" s="15">
        <f t="shared" si="311"/>
        <v>0</v>
      </c>
      <c r="V785" s="1">
        <f t="shared" si="312"/>
        <v>0</v>
      </c>
      <c r="W785" s="1">
        <f t="shared" si="313"/>
        <v>0</v>
      </c>
    </row>
    <row r="786" spans="2:23">
      <c r="B786" s="1">
        <v>5</v>
      </c>
      <c r="C786" s="71">
        <v>0</v>
      </c>
      <c r="D786" s="71">
        <v>3</v>
      </c>
      <c r="E786" s="71"/>
      <c r="F786" s="71"/>
      <c r="G786" s="71"/>
      <c r="H786" s="71"/>
      <c r="I786" s="71"/>
      <c r="J786" s="71"/>
      <c r="K786" s="71"/>
      <c r="L786" s="1">
        <f>MMULT(C786:D786,L784:L785)</f>
        <v>9</v>
      </c>
      <c r="M786" s="30">
        <v>2</v>
      </c>
      <c r="N786" s="1">
        <f>D786*N785+M786</f>
        <v>5</v>
      </c>
      <c r="O786" s="15" t="s">
        <v>987</v>
      </c>
      <c r="P786" s="15">
        <f t="shared" si="314"/>
        <v>3</v>
      </c>
      <c r="Q786" s="15">
        <f t="shared" si="315"/>
        <v>9</v>
      </c>
      <c r="R786" s="15">
        <f t="shared" si="316"/>
        <v>3</v>
      </c>
      <c r="S786" s="15">
        <v>1</v>
      </c>
      <c r="T786" s="15">
        <f t="shared" ref="T786:T792" si="317">L786/$L$786</f>
        <v>1</v>
      </c>
      <c r="U786" s="15">
        <f t="shared" si="311"/>
        <v>1</v>
      </c>
      <c r="V786" s="1">
        <f t="shared" si="312"/>
        <v>35.5</v>
      </c>
      <c r="W786" s="1">
        <f t="shared" si="313"/>
        <v>11.8333333333333</v>
      </c>
    </row>
    <row r="787" spans="2:23">
      <c r="B787" s="1">
        <v>5.1</v>
      </c>
      <c r="C787" s="71">
        <v>0</v>
      </c>
      <c r="D787" s="71">
        <v>0</v>
      </c>
      <c r="E787" s="71">
        <v>2</v>
      </c>
      <c r="F787" s="71"/>
      <c r="G787" s="71"/>
      <c r="H787" s="71"/>
      <c r="I787" s="71"/>
      <c r="J787" s="71"/>
      <c r="K787" s="71"/>
      <c r="L787" s="1">
        <f>MMULT(C787:E787,L784:L786)</f>
        <v>18</v>
      </c>
      <c r="M787" s="30">
        <v>3</v>
      </c>
      <c r="N787" s="1">
        <f>E787*N786+M787</f>
        <v>13</v>
      </c>
      <c r="O787" s="15" t="s">
        <v>986</v>
      </c>
      <c r="P787" s="15">
        <f t="shared" si="314"/>
        <v>6</v>
      </c>
      <c r="Q787" s="15">
        <f t="shared" si="315"/>
        <v>18</v>
      </c>
      <c r="R787" s="15">
        <f t="shared" si="316"/>
        <v>3</v>
      </c>
      <c r="S787" s="15">
        <f t="shared" ref="S787:S792" si="318">S786*IF(O787="同种",MAX(C787:K787),1)</f>
        <v>2</v>
      </c>
      <c r="T787" s="15">
        <f t="shared" si="317"/>
        <v>2</v>
      </c>
      <c r="U787" s="15">
        <f t="shared" si="311"/>
        <v>1</v>
      </c>
      <c r="V787" s="1">
        <f t="shared" si="312"/>
        <v>71</v>
      </c>
      <c r="W787" s="1">
        <f t="shared" si="313"/>
        <v>23.6666666666667</v>
      </c>
    </row>
    <row r="788" spans="2:23">
      <c r="B788" s="1">
        <v>6</v>
      </c>
      <c r="C788" s="71">
        <v>0</v>
      </c>
      <c r="D788" s="71">
        <v>0</v>
      </c>
      <c r="E788" s="71">
        <v>0</v>
      </c>
      <c r="F788" s="71">
        <v>3</v>
      </c>
      <c r="G788" s="71"/>
      <c r="H788" s="71"/>
      <c r="I788" s="71"/>
      <c r="J788" s="71"/>
      <c r="K788" s="71"/>
      <c r="L788" s="1">
        <f>MMULT(C788:F788,L784:L787)</f>
        <v>54</v>
      </c>
      <c r="M788" s="30">
        <v>5</v>
      </c>
      <c r="N788" s="1">
        <f>F788*N787+M788</f>
        <v>44</v>
      </c>
      <c r="O788" s="15" t="s">
        <v>987</v>
      </c>
      <c r="P788" s="15">
        <f t="shared" si="314"/>
        <v>6</v>
      </c>
      <c r="Q788" s="15">
        <f t="shared" si="315"/>
        <v>54</v>
      </c>
      <c r="R788" s="15">
        <f t="shared" si="316"/>
        <v>9</v>
      </c>
      <c r="S788" s="15">
        <f t="shared" si="318"/>
        <v>2</v>
      </c>
      <c r="T788" s="15">
        <f t="shared" si="317"/>
        <v>6</v>
      </c>
      <c r="U788" s="15">
        <f t="shared" si="311"/>
        <v>3</v>
      </c>
      <c r="V788" s="1">
        <f t="shared" si="312"/>
        <v>71</v>
      </c>
      <c r="W788" s="1">
        <f t="shared" si="313"/>
        <v>23.6666666666667</v>
      </c>
    </row>
    <row r="789" spans="2:23">
      <c r="B789" s="1">
        <v>6.1</v>
      </c>
      <c r="C789" s="71">
        <v>0</v>
      </c>
      <c r="D789" s="71">
        <v>0</v>
      </c>
      <c r="E789" s="71">
        <v>0</v>
      </c>
      <c r="F789" s="71">
        <v>0</v>
      </c>
      <c r="G789" s="71">
        <v>2</v>
      </c>
      <c r="H789" s="71"/>
      <c r="I789" s="71"/>
      <c r="J789" s="71"/>
      <c r="K789" s="71"/>
      <c r="L789" s="1">
        <f>MMULT(C789:G789,L784:L788)</f>
        <v>108</v>
      </c>
      <c r="M789" s="30">
        <v>8</v>
      </c>
      <c r="N789" s="1">
        <f>G789*N788+M789</f>
        <v>96</v>
      </c>
      <c r="O789" s="15" t="s">
        <v>986</v>
      </c>
      <c r="P789" s="15">
        <f t="shared" si="314"/>
        <v>12</v>
      </c>
      <c r="Q789" s="15">
        <f t="shared" si="315"/>
        <v>108</v>
      </c>
      <c r="R789" s="15">
        <f t="shared" si="316"/>
        <v>9</v>
      </c>
      <c r="S789" s="15">
        <f t="shared" si="318"/>
        <v>4</v>
      </c>
      <c r="T789" s="15">
        <f t="shared" si="317"/>
        <v>12</v>
      </c>
      <c r="U789" s="15">
        <f t="shared" si="311"/>
        <v>3</v>
      </c>
      <c r="V789" s="1">
        <f t="shared" si="312"/>
        <v>142</v>
      </c>
      <c r="W789" s="1">
        <f t="shared" si="313"/>
        <v>47.3333333333333</v>
      </c>
    </row>
    <row r="790" spans="2:23">
      <c r="B790" s="1">
        <v>7</v>
      </c>
      <c r="C790" s="71">
        <v>0</v>
      </c>
      <c r="D790" s="71">
        <v>0</v>
      </c>
      <c r="E790" s="71">
        <v>0</v>
      </c>
      <c r="F790" s="71">
        <v>0</v>
      </c>
      <c r="G790" s="71">
        <v>0</v>
      </c>
      <c r="H790" s="71">
        <v>3</v>
      </c>
      <c r="I790" s="71"/>
      <c r="J790" s="71"/>
      <c r="K790" s="71"/>
      <c r="L790" s="1">
        <f>MMULT(C790:H790,L784:L789)</f>
        <v>324</v>
      </c>
      <c r="M790" s="30">
        <v>15</v>
      </c>
      <c r="N790" s="1">
        <f>H790*N789+M790</f>
        <v>303</v>
      </c>
      <c r="O790" s="15" t="s">
        <v>987</v>
      </c>
      <c r="P790" s="15">
        <f t="shared" si="314"/>
        <v>12</v>
      </c>
      <c r="Q790" s="15">
        <f t="shared" si="315"/>
        <v>324</v>
      </c>
      <c r="R790" s="15">
        <f t="shared" si="316"/>
        <v>27</v>
      </c>
      <c r="S790" s="15">
        <f t="shared" si="318"/>
        <v>4</v>
      </c>
      <c r="T790" s="15">
        <f t="shared" si="317"/>
        <v>36</v>
      </c>
      <c r="U790" s="15">
        <f t="shared" si="311"/>
        <v>9</v>
      </c>
      <c r="V790" s="1">
        <f t="shared" si="312"/>
        <v>142</v>
      </c>
      <c r="W790" s="1">
        <f t="shared" si="313"/>
        <v>47.3333333333333</v>
      </c>
    </row>
    <row r="791" spans="2:23">
      <c r="B791" s="1">
        <v>7.1</v>
      </c>
      <c r="C791" s="71">
        <v>0</v>
      </c>
      <c r="D791" s="71">
        <v>0</v>
      </c>
      <c r="E791" s="71">
        <v>0</v>
      </c>
      <c r="F791" s="71">
        <v>0</v>
      </c>
      <c r="G791" s="71">
        <v>0</v>
      </c>
      <c r="H791" s="71">
        <v>0</v>
      </c>
      <c r="I791" s="71">
        <v>3</v>
      </c>
      <c r="J791" s="71"/>
      <c r="K791" s="71"/>
      <c r="L791" s="1">
        <f>MMULT(C791:I791,L784:L790)</f>
        <v>972</v>
      </c>
      <c r="M791" s="30">
        <v>30</v>
      </c>
      <c r="N791" s="1">
        <f>I791*N790+M791</f>
        <v>939</v>
      </c>
      <c r="O791" s="15" t="s">
        <v>986</v>
      </c>
      <c r="P791" s="15">
        <f t="shared" si="314"/>
        <v>36</v>
      </c>
      <c r="Q791" s="15">
        <f t="shared" si="315"/>
        <v>972</v>
      </c>
      <c r="R791" s="15">
        <f t="shared" si="316"/>
        <v>27</v>
      </c>
      <c r="S791" s="15">
        <f t="shared" si="318"/>
        <v>12</v>
      </c>
      <c r="T791" s="15">
        <f t="shared" si="317"/>
        <v>108</v>
      </c>
      <c r="U791" s="15">
        <f t="shared" si="311"/>
        <v>9</v>
      </c>
      <c r="V791" s="1">
        <f t="shared" si="312"/>
        <v>426</v>
      </c>
      <c r="W791" s="1">
        <f t="shared" si="313"/>
        <v>142</v>
      </c>
    </row>
    <row r="792" spans="2:23">
      <c r="B792" s="1">
        <v>7.2</v>
      </c>
      <c r="C792" s="71">
        <v>0</v>
      </c>
      <c r="D792" s="71">
        <v>0</v>
      </c>
      <c r="E792" s="71">
        <v>0</v>
      </c>
      <c r="F792" s="71">
        <v>0</v>
      </c>
      <c r="G792" s="71">
        <v>0</v>
      </c>
      <c r="H792" s="71">
        <v>0</v>
      </c>
      <c r="I792" s="71">
        <v>0</v>
      </c>
      <c r="J792" s="71">
        <v>3</v>
      </c>
      <c r="K792" s="71"/>
      <c r="L792" s="1">
        <f>MMULT(C792:J792,L784:L791)</f>
        <v>2916</v>
      </c>
      <c r="M792" s="30">
        <v>100</v>
      </c>
      <c r="N792" s="1">
        <f>J792*N791+M792</f>
        <v>2917</v>
      </c>
      <c r="O792" s="15" t="s">
        <v>986</v>
      </c>
      <c r="P792" s="15">
        <f t="shared" si="314"/>
        <v>108</v>
      </c>
      <c r="Q792" s="15">
        <f t="shared" si="315"/>
        <v>2916</v>
      </c>
      <c r="R792" s="15">
        <f t="shared" si="316"/>
        <v>27</v>
      </c>
      <c r="S792" s="15">
        <f t="shared" si="318"/>
        <v>36</v>
      </c>
      <c r="T792" s="15">
        <f t="shared" si="317"/>
        <v>324</v>
      </c>
      <c r="U792" s="15">
        <f t="shared" si="311"/>
        <v>9</v>
      </c>
      <c r="V792" s="1">
        <f t="shared" si="312"/>
        <v>1278</v>
      </c>
      <c r="W792" s="1">
        <f t="shared" si="313"/>
        <v>426</v>
      </c>
    </row>
    <row r="795" s="25" customFormat="1" spans="1:3">
      <c r="A795" s="2" t="s">
        <v>699</v>
      </c>
      <c r="B795" s="2"/>
      <c r="C795" s="41" t="s">
        <v>436</v>
      </c>
    </row>
    <row r="797" spans="2:12">
      <c r="B797" s="27" t="s">
        <v>988</v>
      </c>
      <c r="C797" s="27"/>
      <c r="D797" s="27"/>
      <c r="E797" s="27"/>
      <c r="F797" s="27"/>
      <c r="G797" s="27"/>
      <c r="H797" s="27"/>
      <c r="I797" s="27"/>
      <c r="J797" s="27"/>
      <c r="K797" s="27"/>
      <c r="L797" s="27"/>
    </row>
    <row r="799" spans="2:6">
      <c r="B799" s="1" t="s">
        <v>989</v>
      </c>
      <c r="E799" s="1">
        <f>总规划!$D$108</f>
        <v>300</v>
      </c>
      <c r="F799" s="1" t="str">
        <f>总规划!$C$108</f>
        <v>1M陆经</v>
      </c>
    </row>
    <row r="800" spans="2:5">
      <c r="B800" s="1" t="s">
        <v>990</v>
      </c>
      <c r="E800" s="14">
        <f>总规划!$G$142</f>
        <v>0.5</v>
      </c>
    </row>
    <row r="801" spans="2:5">
      <c r="B801" s="1" t="s">
        <v>991</v>
      </c>
      <c r="E801" s="14">
        <f>总规划!$G$144</f>
        <v>0.03</v>
      </c>
    </row>
    <row r="802" spans="2:5">
      <c r="B802" s="1" t="s">
        <v>992</v>
      </c>
      <c r="E802" s="14">
        <f>总规划!$G$146</f>
        <v>0.2</v>
      </c>
    </row>
    <row r="803" spans="5:5">
      <c r="E803" s="14"/>
    </row>
    <row r="804" spans="2:5">
      <c r="B804" s="29"/>
      <c r="E804" s="14"/>
    </row>
    <row r="805" spans="5:5">
      <c r="E805" s="14"/>
    </row>
    <row r="806" spans="5:5">
      <c r="E806" s="14"/>
    </row>
    <row r="807" spans="5:5">
      <c r="E807" s="14"/>
    </row>
    <row r="808" spans="5:5">
      <c r="E808" s="14"/>
    </row>
    <row r="809" spans="5:5">
      <c r="E809" s="14"/>
    </row>
    <row r="810" spans="5:5">
      <c r="E810" s="14"/>
    </row>
    <row r="811" spans="5:5">
      <c r="E811" s="14"/>
    </row>
    <row r="812" spans="5:5">
      <c r="E812" s="14"/>
    </row>
    <row r="813" spans="5:5">
      <c r="E813" s="14"/>
    </row>
    <row r="814" spans="5:5">
      <c r="E814" s="14"/>
    </row>
    <row r="815" spans="5:5">
      <c r="E815" s="14"/>
    </row>
    <row r="816" spans="5:5">
      <c r="E816" s="14"/>
    </row>
    <row r="817" spans="5:5">
      <c r="E817" s="14"/>
    </row>
    <row r="818" spans="5:5">
      <c r="E818" s="14"/>
    </row>
    <row r="819" spans="5:5">
      <c r="E819" s="14"/>
    </row>
    <row r="820" spans="5:5">
      <c r="E820" s="14"/>
    </row>
    <row r="821" spans="5:5">
      <c r="E821" s="14"/>
    </row>
    <row r="822" spans="5:5">
      <c r="E822" s="14"/>
    </row>
    <row r="823" spans="5:5">
      <c r="E823" s="14"/>
    </row>
    <row r="824" spans="5:5">
      <c r="E824" s="14"/>
    </row>
    <row r="825" spans="5:5">
      <c r="E825" s="14"/>
    </row>
    <row r="826" spans="5:5">
      <c r="E826" s="14"/>
    </row>
    <row r="827" spans="5:5">
      <c r="E827" s="14"/>
    </row>
    <row r="828" spans="5:5">
      <c r="E828" s="14"/>
    </row>
    <row r="829" spans="2:12">
      <c r="B829" s="27" t="s">
        <v>993</v>
      </c>
      <c r="C829" s="27"/>
      <c r="D829" s="27"/>
      <c r="E829" s="27"/>
      <c r="F829" s="27"/>
      <c r="G829" s="27"/>
      <c r="H829" s="27"/>
      <c r="I829" s="27"/>
      <c r="J829" s="27"/>
      <c r="K829" s="27"/>
      <c r="L829" s="27"/>
    </row>
    <row r="830" spans="5:5">
      <c r="E830" s="14"/>
    </row>
    <row r="831" spans="2:6">
      <c r="B831" s="1" t="s">
        <v>994</v>
      </c>
      <c r="E831" s="1">
        <f>总规划!$D$109</f>
        <v>200</v>
      </c>
      <c r="F831" s="1" t="str">
        <f>总规划!$C$109</f>
        <v>1k弹药</v>
      </c>
    </row>
    <row r="832" spans="2:5">
      <c r="B832" s="1" t="s">
        <v>995</v>
      </c>
      <c r="E832" s="14">
        <f>总规划!$H$138</f>
        <v>0.05</v>
      </c>
    </row>
    <row r="833" spans="2:5">
      <c r="B833" s="1" t="s">
        <v>996</v>
      </c>
      <c r="E833" s="14">
        <f>总规划!$H$142</f>
        <v>0.45</v>
      </c>
    </row>
    <row r="834" spans="2:5">
      <c r="B834" s="1" t="s">
        <v>997</v>
      </c>
      <c r="E834" s="14">
        <f>总规划!$H$144</f>
        <v>0.03</v>
      </c>
    </row>
    <row r="835" spans="2:5">
      <c r="B835" s="1" t="s">
        <v>998</v>
      </c>
      <c r="E835" s="14">
        <f>总规划!$H$146</f>
        <v>0.2</v>
      </c>
    </row>
    <row r="836" spans="5:5">
      <c r="E836" s="14"/>
    </row>
    <row r="837" spans="5:5">
      <c r="E837" s="14"/>
    </row>
    <row r="838" spans="5:5">
      <c r="E838" s="14"/>
    </row>
    <row r="839" spans="5:5">
      <c r="E839" s="14"/>
    </row>
    <row r="840" spans="5:5">
      <c r="E840" s="14"/>
    </row>
    <row r="841" spans="5:5">
      <c r="E841" s="14"/>
    </row>
    <row r="842" spans="5:5">
      <c r="E842" s="14"/>
    </row>
    <row r="843" spans="5:5">
      <c r="E843" s="14"/>
    </row>
    <row r="844" spans="5:5">
      <c r="E844" s="14"/>
    </row>
    <row r="845" spans="5:5">
      <c r="E845" s="14"/>
    </row>
    <row r="846" spans="5:5">
      <c r="E846" s="14"/>
    </row>
    <row r="847" spans="5:5">
      <c r="E847" s="14"/>
    </row>
    <row r="848" spans="5:5">
      <c r="E848" s="14"/>
    </row>
    <row r="849" spans="5:5">
      <c r="E849" s="14"/>
    </row>
    <row r="850" spans="5:5">
      <c r="E850" s="14"/>
    </row>
    <row r="851" spans="5:5">
      <c r="E851" s="14"/>
    </row>
    <row r="852" spans="5:5">
      <c r="E852" s="14"/>
    </row>
    <row r="853" spans="5:5">
      <c r="E853" s="14"/>
    </row>
    <row r="854" spans="5:5">
      <c r="E854" s="14"/>
    </row>
    <row r="855" spans="5:5">
      <c r="E855" s="14"/>
    </row>
    <row r="856" spans="5:5">
      <c r="E856" s="14"/>
    </row>
    <row r="857" spans="5:5">
      <c r="E857" s="14"/>
    </row>
    <row r="858" spans="5:5">
      <c r="E858" s="14"/>
    </row>
    <row r="859" spans="5:5">
      <c r="E859" s="14"/>
    </row>
    <row r="860" spans="5:5">
      <c r="E860" s="14"/>
    </row>
    <row r="861" spans="5:5">
      <c r="E861" s="14"/>
    </row>
    <row r="862" spans="2:12">
      <c r="B862" s="27" t="s">
        <v>999</v>
      </c>
      <c r="C862" s="27"/>
      <c r="D862" s="27"/>
      <c r="E862" s="27"/>
      <c r="F862" s="27"/>
      <c r="G862" s="27"/>
      <c r="H862" s="27"/>
      <c r="I862" s="27"/>
      <c r="J862" s="27"/>
      <c r="K862" s="27"/>
      <c r="L862" s="27"/>
    </row>
    <row r="864" spans="2:34">
      <c r="B864" s="1" t="s">
        <v>382</v>
      </c>
      <c r="C864" s="1" t="s">
        <v>678</v>
      </c>
      <c r="D864" s="1" t="s">
        <v>455</v>
      </c>
      <c r="E864" s="1" t="s">
        <v>1000</v>
      </c>
      <c r="F864" s="1" t="s">
        <v>1001</v>
      </c>
      <c r="G864" s="15" t="s">
        <v>688</v>
      </c>
      <c r="H864" s="1" t="s">
        <v>1002</v>
      </c>
      <c r="I864" s="1" t="s">
        <v>1003</v>
      </c>
      <c r="J864" s="1" t="s">
        <v>1004</v>
      </c>
      <c r="K864" s="1" t="s">
        <v>1005</v>
      </c>
      <c r="L864" s="15" t="s">
        <v>1006</v>
      </c>
      <c r="M864" s="15" t="s">
        <v>1007</v>
      </c>
      <c r="N864" s="15" t="s">
        <v>1008</v>
      </c>
      <c r="O864" s="15" t="s">
        <v>1009</v>
      </c>
      <c r="P864" s="15" t="s">
        <v>1010</v>
      </c>
      <c r="Q864" s="1" t="s">
        <v>1011</v>
      </c>
      <c r="R864" s="1" t="s">
        <v>1012</v>
      </c>
      <c r="S864" s="1" t="s">
        <v>753</v>
      </c>
      <c r="T864" s="1" t="s">
        <v>754</v>
      </c>
      <c r="U864" s="1" t="s">
        <v>1013</v>
      </c>
      <c r="V864" s="1" t="s">
        <v>1014</v>
      </c>
      <c r="W864" s="1" t="s">
        <v>753</v>
      </c>
      <c r="X864" s="1" t="s">
        <v>754</v>
      </c>
      <c r="Z864" s="44" t="s">
        <v>1002</v>
      </c>
      <c r="AA864" s="44" t="s">
        <v>1003</v>
      </c>
      <c r="AB864" s="44" t="s">
        <v>1004</v>
      </c>
      <c r="AC864" s="44" t="s">
        <v>1005</v>
      </c>
      <c r="AD864" s="45" t="s">
        <v>1006</v>
      </c>
      <c r="AE864" s="45" t="s">
        <v>1007</v>
      </c>
      <c r="AF864" s="45" t="s">
        <v>1008</v>
      </c>
      <c r="AG864" s="45" t="s">
        <v>1009</v>
      </c>
      <c r="AH864" s="45" t="s">
        <v>1010</v>
      </c>
    </row>
    <row r="865" spans="2:34">
      <c r="B865" s="7">
        <v>0</v>
      </c>
      <c r="C865" s="1">
        <f ca="1">养成规划!V6</f>
        <v>1</v>
      </c>
      <c r="D865" s="1">
        <f>IF(养成规划!F6="","",养成规划!F6)</f>
        <v>0</v>
      </c>
      <c r="E865" s="1" t="str">
        <f ca="1">IFERROR(C865*OFFSET('107_兵卡等级'!$G$6,MATCH(D865,'107_兵卡等级'!$B$6:$B$205,0)-1,0),"")</f>
        <v/>
      </c>
      <c r="F865" s="1" t="str">
        <f ca="1">IFERROR(C865*OFFSET('107_兵卡等级'!$I$6,MATCH(D865,'107_兵卡等级'!$B$6:$B$205,0)-1,0),"")</f>
        <v/>
      </c>
      <c r="G865" s="15">
        <f>IF(养成规划!E85="","",养成规划!E85)</f>
        <v>0</v>
      </c>
      <c r="H865" s="1">
        <f ca="1">'206_副本挂机'!F125</f>
        <v>0</v>
      </c>
      <c r="I865" s="1">
        <f ca="1">'208_黑市'!L6</f>
        <v>0</v>
      </c>
      <c r="J865" s="1">
        <f ca="1">'210_活动'!R6</f>
        <v>0</v>
      </c>
      <c r="K865" s="1">
        <f ca="1">'211_VIP宝箱'!L6</f>
        <v>0</v>
      </c>
      <c r="L865" s="15">
        <f ca="1">'206_副本挂机'!I125</f>
        <v>0</v>
      </c>
      <c r="M865" s="15">
        <f ca="1">'202_黑鸦营地'!I55</f>
        <v>0</v>
      </c>
      <c r="N865" s="15">
        <f ca="1">'208_黑市'!O6</f>
        <v>0</v>
      </c>
      <c r="O865" s="15">
        <f ca="1">'210_活动'!U6</f>
        <v>0</v>
      </c>
      <c r="P865" s="15">
        <f ca="1">'212_VIP商店'!L6</f>
        <v>0</v>
      </c>
      <c r="Q865" s="1" t="str">
        <f ca="1" t="shared" ref="Q865:Q896" si="319">E865</f>
        <v/>
      </c>
      <c r="R865" s="1">
        <f ca="1" t="shared" ref="R865:R896" si="320">SUM(H865:K865)</f>
        <v>0</v>
      </c>
      <c r="S865" s="30"/>
      <c r="T865" s="30"/>
      <c r="U865" s="1" t="str">
        <f ca="1" t="shared" ref="U865:U896" si="321">F865</f>
        <v/>
      </c>
      <c r="V865" s="1">
        <f ca="1" t="shared" ref="V865:V896" si="322">SUM(L865:P865)</f>
        <v>0</v>
      </c>
      <c r="W865" s="30"/>
      <c r="X865" s="30"/>
      <c r="Z865" s="44">
        <v>0</v>
      </c>
      <c r="AA865" s="44">
        <v>0</v>
      </c>
      <c r="AB865" s="44">
        <v>0</v>
      </c>
      <c r="AC865" s="44">
        <v>1</v>
      </c>
      <c r="AD865" s="45">
        <v>0</v>
      </c>
      <c r="AE865" s="45">
        <v>0</v>
      </c>
      <c r="AF865" s="45">
        <v>0</v>
      </c>
      <c r="AG865" s="45">
        <v>0</v>
      </c>
      <c r="AH865" s="45">
        <v>0</v>
      </c>
    </row>
    <row r="866" spans="2:34">
      <c r="B866" s="7">
        <v>0.1</v>
      </c>
      <c r="C866" s="1">
        <f ca="1">养成规划!V7</f>
        <v>2</v>
      </c>
      <c r="D866" s="1" t="str">
        <f>IF(养成规划!F7="","",养成规划!F7)</f>
        <v/>
      </c>
      <c r="E866" s="1" t="str">
        <f ca="1">IFERROR(C866*OFFSET('107_兵卡等级'!$G$6,MATCH(D866,'107_兵卡等级'!$B$6:$B$205,0)-1,0),"")</f>
        <v/>
      </c>
      <c r="F866" s="1" t="str">
        <f ca="1">IFERROR(C866*OFFSET('107_兵卡等级'!$I$6,MATCH(D866,'107_兵卡等级'!$B$6:$B$205,0)-1,0),"")</f>
        <v/>
      </c>
      <c r="G866" s="15" t="str">
        <f>IF(养成规划!E86="","",养成规划!E86)</f>
        <v/>
      </c>
      <c r="H866" s="1">
        <f ca="1">'206_副本挂机'!F126</f>
        <v>0</v>
      </c>
      <c r="I866" s="1">
        <f ca="1">'208_黑市'!L7</f>
        <v>3000</v>
      </c>
      <c r="J866" s="1">
        <f ca="1">'210_活动'!R7</f>
        <v>0</v>
      </c>
      <c r="K866" s="1">
        <f ca="1">'211_VIP宝箱'!L7</f>
        <v>1000</v>
      </c>
      <c r="L866" s="15">
        <f ca="1">'206_副本挂机'!I126</f>
        <v>0</v>
      </c>
      <c r="M866" s="15">
        <f ca="1">'202_黑鸦营地'!I56</f>
        <v>0</v>
      </c>
      <c r="N866" s="15">
        <f ca="1">'208_黑市'!O7</f>
        <v>2</v>
      </c>
      <c r="O866" s="15">
        <f ca="1">'210_活动'!U7</f>
        <v>0</v>
      </c>
      <c r="P866" s="15">
        <f ca="1">'212_VIP商店'!L7</f>
        <v>0</v>
      </c>
      <c r="Q866" s="1" t="str">
        <f ca="1" t="shared" si="319"/>
        <v/>
      </c>
      <c r="R866" s="1">
        <f ca="1" t="shared" si="320"/>
        <v>4000</v>
      </c>
      <c r="S866" s="30"/>
      <c r="T866" s="30"/>
      <c r="U866" s="1" t="str">
        <f ca="1" t="shared" si="321"/>
        <v/>
      </c>
      <c r="V866" s="1">
        <f ca="1" t="shared" si="322"/>
        <v>2</v>
      </c>
      <c r="W866" s="30"/>
      <c r="X866" s="30"/>
      <c r="Z866" s="44">
        <f ca="1" t="shared" ref="Z866:Z897" si="323">(H866-H865)/($B866-$B865)</f>
        <v>0</v>
      </c>
      <c r="AA866" s="44">
        <f ca="1" t="shared" ref="AA866:AA897" si="324">(I866-I865)/($B866-$B865)</f>
        <v>30000</v>
      </c>
      <c r="AB866" s="44">
        <f ca="1" t="shared" ref="AB866:AB897" si="325">(J866-J865)/($B866-$B865)</f>
        <v>0</v>
      </c>
      <c r="AC866" s="44">
        <f ca="1" t="shared" ref="AC866:AC897" si="326">(K866-K865)/($B866-$B865)</f>
        <v>10000</v>
      </c>
      <c r="AD866" s="45">
        <f ca="1" t="shared" ref="AD866:AD897" si="327">(L866-L865)/($B866-$B865)</f>
        <v>0</v>
      </c>
      <c r="AE866" s="45">
        <f ca="1" t="shared" ref="AE866:AE897" si="328">(M866-M865)/($B866-$B865)</f>
        <v>0</v>
      </c>
      <c r="AF866" s="45">
        <f ca="1" t="shared" ref="AF866:AF897" si="329">(N866-N865)/($B866-$B865)</f>
        <v>20</v>
      </c>
      <c r="AG866" s="45">
        <f ca="1" t="shared" ref="AG866:AG897" si="330">(O866-O865)/($B866-$B865)</f>
        <v>0</v>
      </c>
      <c r="AH866" s="45">
        <f ca="1" t="shared" ref="AH866:AH897" si="331">(P866-P865)/($B866-$B865)</f>
        <v>0</v>
      </c>
    </row>
    <row r="867" spans="2:34">
      <c r="B867" s="7">
        <v>0.2</v>
      </c>
      <c r="C867" s="1">
        <f ca="1">养成规划!V8</f>
        <v>2</v>
      </c>
      <c r="D867" s="1">
        <f>IF(养成规划!F8="","",养成规划!F8)</f>
        <v>10</v>
      </c>
      <c r="E867" s="1">
        <f ca="1">IFERROR(C867*OFFSET('107_兵卡等级'!$G$6,MATCH(D867,'107_兵卡等级'!$B$6:$B$205,0)-1,0),"")</f>
        <v>6400</v>
      </c>
      <c r="F867" s="1">
        <f ca="1">IFERROR(C867*OFFSET('107_兵卡等级'!$I$6,MATCH(D867,'107_兵卡等级'!$B$6:$B$205,0)-1,0),"")</f>
        <v>0</v>
      </c>
      <c r="G867" s="15" t="str">
        <f>IF(养成规划!E87="","",养成规划!E87)</f>
        <v/>
      </c>
      <c r="H867" s="1">
        <f ca="1">'206_副本挂机'!F127</f>
        <v>52704</v>
      </c>
      <c r="I867" s="1">
        <f ca="1">'208_黑市'!L8</f>
        <v>6000</v>
      </c>
      <c r="J867" s="1">
        <f ca="1">'210_活动'!R8</f>
        <v>0</v>
      </c>
      <c r="K867" s="1">
        <f ca="1">'211_VIP宝箱'!L8</f>
        <v>2000</v>
      </c>
      <c r="L867" s="15">
        <f ca="1">'206_副本挂机'!I127</f>
        <v>33.6</v>
      </c>
      <c r="M867" s="15">
        <f ca="1">'202_黑鸦营地'!I57</f>
        <v>0</v>
      </c>
      <c r="N867" s="15">
        <f ca="1">'208_黑市'!O8</f>
        <v>4</v>
      </c>
      <c r="O867" s="15">
        <f ca="1">'210_活动'!U8</f>
        <v>0</v>
      </c>
      <c r="P867" s="15">
        <f ca="1">'212_VIP商店'!L8</f>
        <v>0</v>
      </c>
      <c r="Q867" s="1">
        <f ca="1" t="shared" si="319"/>
        <v>6400</v>
      </c>
      <c r="R867" s="1">
        <f ca="1" t="shared" si="320"/>
        <v>60704</v>
      </c>
      <c r="S867" s="30"/>
      <c r="T867" s="30"/>
      <c r="U867" s="1">
        <f ca="1" t="shared" si="321"/>
        <v>0</v>
      </c>
      <c r="V867" s="1">
        <f ca="1" t="shared" si="322"/>
        <v>37.6</v>
      </c>
      <c r="W867" s="30"/>
      <c r="X867" s="30"/>
      <c r="Z867" s="44">
        <f ca="1" t="shared" si="323"/>
        <v>527040</v>
      </c>
      <c r="AA867" s="44">
        <f ca="1" t="shared" si="324"/>
        <v>30000</v>
      </c>
      <c r="AB867" s="44">
        <f ca="1" t="shared" si="325"/>
        <v>0</v>
      </c>
      <c r="AC867" s="44">
        <f ca="1" t="shared" si="326"/>
        <v>10000</v>
      </c>
      <c r="AD867" s="45">
        <f ca="1" t="shared" si="327"/>
        <v>336</v>
      </c>
      <c r="AE867" s="45">
        <f ca="1" t="shared" si="328"/>
        <v>0</v>
      </c>
      <c r="AF867" s="45">
        <f ca="1" t="shared" si="329"/>
        <v>20</v>
      </c>
      <c r="AG867" s="45">
        <f ca="1" t="shared" si="330"/>
        <v>0</v>
      </c>
      <c r="AH867" s="45">
        <f ca="1" t="shared" si="331"/>
        <v>0</v>
      </c>
    </row>
    <row r="868" spans="2:34">
      <c r="B868" s="7">
        <v>0.3</v>
      </c>
      <c r="C868" s="1">
        <f ca="1">养成规划!V9</f>
        <v>2</v>
      </c>
      <c r="D868" s="1" t="str">
        <f>IF(养成规划!F9="","",养成规划!F9)</f>
        <v/>
      </c>
      <c r="E868" s="1" t="str">
        <f ca="1">IFERROR(C868*OFFSET('107_兵卡等级'!$G$6,MATCH(D868,'107_兵卡等级'!$B$6:$B$205,0)-1,0),"")</f>
        <v/>
      </c>
      <c r="F868" s="1" t="str">
        <f ca="1">IFERROR(C868*OFFSET('107_兵卡等级'!$I$6,MATCH(D868,'107_兵卡等级'!$B$6:$B$205,0)-1,0),"")</f>
        <v/>
      </c>
      <c r="G868" s="15" t="str">
        <f>IF(养成规划!E88="","",养成规划!E88)</f>
        <v/>
      </c>
      <c r="H868" s="1">
        <f ca="1">'206_副本挂机'!F128</f>
        <v>105408</v>
      </c>
      <c r="I868" s="1">
        <f ca="1">'208_黑市'!L9</f>
        <v>9000</v>
      </c>
      <c r="J868" s="1">
        <f ca="1">'210_活动'!R9</f>
        <v>0</v>
      </c>
      <c r="K868" s="1">
        <f ca="1">'211_VIP宝箱'!L9</f>
        <v>3000</v>
      </c>
      <c r="L868" s="15">
        <f ca="1">'206_副本挂机'!I128</f>
        <v>67.2</v>
      </c>
      <c r="M868" s="15">
        <f ca="1">'202_黑鸦营地'!I58</f>
        <v>0</v>
      </c>
      <c r="N868" s="15">
        <f ca="1">'208_黑市'!O9</f>
        <v>6</v>
      </c>
      <c r="O868" s="15">
        <f ca="1">'210_活动'!U9</f>
        <v>0</v>
      </c>
      <c r="P868" s="15">
        <f ca="1">'212_VIP商店'!L9</f>
        <v>0</v>
      </c>
      <c r="Q868" s="1" t="str">
        <f ca="1" t="shared" si="319"/>
        <v/>
      </c>
      <c r="R868" s="1">
        <f ca="1" t="shared" si="320"/>
        <v>117408</v>
      </c>
      <c r="S868" s="30"/>
      <c r="T868" s="30"/>
      <c r="U868" s="1" t="str">
        <f ca="1" t="shared" si="321"/>
        <v/>
      </c>
      <c r="V868" s="1">
        <f ca="1" t="shared" si="322"/>
        <v>73.2</v>
      </c>
      <c r="W868" s="30"/>
      <c r="X868" s="30"/>
      <c r="Z868" s="44">
        <f ca="1" t="shared" si="323"/>
        <v>527040</v>
      </c>
      <c r="AA868" s="44">
        <f ca="1" t="shared" si="324"/>
        <v>30000</v>
      </c>
      <c r="AB868" s="44">
        <f ca="1" t="shared" si="325"/>
        <v>0</v>
      </c>
      <c r="AC868" s="44">
        <f ca="1" t="shared" si="326"/>
        <v>10000</v>
      </c>
      <c r="AD868" s="45">
        <f ca="1" t="shared" si="327"/>
        <v>336</v>
      </c>
      <c r="AE868" s="45">
        <f ca="1" t="shared" si="328"/>
        <v>0</v>
      </c>
      <c r="AF868" s="45">
        <f ca="1" t="shared" si="329"/>
        <v>20</v>
      </c>
      <c r="AG868" s="45">
        <f ca="1" t="shared" si="330"/>
        <v>0</v>
      </c>
      <c r="AH868" s="45">
        <f ca="1" t="shared" si="331"/>
        <v>0</v>
      </c>
    </row>
    <row r="869" spans="2:34">
      <c r="B869" s="7">
        <v>0.4</v>
      </c>
      <c r="C869" s="1">
        <f ca="1">养成规划!V10</f>
        <v>3</v>
      </c>
      <c r="D869" s="1" t="str">
        <f>IF(养成规划!F10="","",养成规划!F10)</f>
        <v/>
      </c>
      <c r="E869" s="1" t="str">
        <f ca="1">IFERROR(C869*OFFSET('107_兵卡等级'!$G$6,MATCH(D869,'107_兵卡等级'!$B$6:$B$205,0)-1,0),"")</f>
        <v/>
      </c>
      <c r="F869" s="1" t="str">
        <f ca="1">IFERROR(C869*OFFSET('107_兵卡等级'!$I$6,MATCH(D869,'107_兵卡等级'!$B$6:$B$205,0)-1,0),"")</f>
        <v/>
      </c>
      <c r="G869" s="15" t="str">
        <f>IF(养成规划!E89="","",养成规划!E89)</f>
        <v/>
      </c>
      <c r="H869" s="1">
        <f ca="1">'206_副本挂机'!F129</f>
        <v>168480</v>
      </c>
      <c r="I869" s="1">
        <f ca="1">'208_黑市'!L10</f>
        <v>12000</v>
      </c>
      <c r="J869" s="1">
        <f ca="1">'210_活动'!R10</f>
        <v>0</v>
      </c>
      <c r="K869" s="1">
        <f ca="1">'211_VIP宝箱'!L10</f>
        <v>4000</v>
      </c>
      <c r="L869" s="15">
        <f ca="1">'206_副本挂机'!I129</f>
        <v>105.6</v>
      </c>
      <c r="M869" s="15">
        <f ca="1">'202_黑鸦营地'!I59</f>
        <v>0</v>
      </c>
      <c r="N869" s="15">
        <f ca="1">'208_黑市'!O10</f>
        <v>8</v>
      </c>
      <c r="O869" s="15">
        <f ca="1">'210_活动'!U10</f>
        <v>0</v>
      </c>
      <c r="P869" s="15">
        <f ca="1">'212_VIP商店'!L10</f>
        <v>0</v>
      </c>
      <c r="Q869" s="1" t="str">
        <f ca="1" t="shared" si="319"/>
        <v/>
      </c>
      <c r="R869" s="1">
        <f ca="1" t="shared" si="320"/>
        <v>184480</v>
      </c>
      <c r="S869" s="30"/>
      <c r="T869" s="30"/>
      <c r="U869" s="1" t="str">
        <f ca="1" t="shared" si="321"/>
        <v/>
      </c>
      <c r="V869" s="1">
        <f ca="1" t="shared" si="322"/>
        <v>113.6</v>
      </c>
      <c r="W869" s="30"/>
      <c r="X869" s="30"/>
      <c r="Z869" s="44">
        <f ca="1" t="shared" si="323"/>
        <v>630720</v>
      </c>
      <c r="AA869" s="44">
        <f ca="1" t="shared" si="324"/>
        <v>30000</v>
      </c>
      <c r="AB869" s="44">
        <f ca="1" t="shared" si="325"/>
        <v>0</v>
      </c>
      <c r="AC869" s="44">
        <f ca="1" t="shared" si="326"/>
        <v>10000</v>
      </c>
      <c r="AD869" s="45">
        <f ca="1" t="shared" si="327"/>
        <v>384</v>
      </c>
      <c r="AE869" s="45">
        <f ca="1" t="shared" si="328"/>
        <v>0</v>
      </c>
      <c r="AF869" s="45">
        <f ca="1" t="shared" si="329"/>
        <v>20</v>
      </c>
      <c r="AG869" s="45">
        <f ca="1" t="shared" si="330"/>
        <v>0</v>
      </c>
      <c r="AH869" s="45">
        <f ca="1" t="shared" si="331"/>
        <v>0</v>
      </c>
    </row>
    <row r="870" spans="2:34">
      <c r="B870" s="7">
        <v>0.5</v>
      </c>
      <c r="C870" s="1">
        <f ca="1">养成规划!V11</f>
        <v>3</v>
      </c>
      <c r="D870" s="1" t="str">
        <f>IF(养成规划!F11="","",养成规划!F11)</f>
        <v/>
      </c>
      <c r="E870" s="1" t="str">
        <f ca="1">IFERROR(C870*OFFSET('107_兵卡等级'!$G$6,MATCH(D870,'107_兵卡等级'!$B$6:$B$205,0)-1,0),"")</f>
        <v/>
      </c>
      <c r="F870" s="1" t="str">
        <f ca="1">IFERROR(C870*OFFSET('107_兵卡等级'!$I$6,MATCH(D870,'107_兵卡等级'!$B$6:$B$205,0)-1,0),"")</f>
        <v/>
      </c>
      <c r="G870" s="15" t="str">
        <f>IF(养成规划!E90="","",养成规划!E90)</f>
        <v/>
      </c>
      <c r="H870" s="1">
        <f ca="1">'206_副本挂机'!F130</f>
        <v>231552</v>
      </c>
      <c r="I870" s="1">
        <f ca="1">'208_黑市'!L11</f>
        <v>15000</v>
      </c>
      <c r="J870" s="1">
        <f ca="1">'210_活动'!R11</f>
        <v>0</v>
      </c>
      <c r="K870" s="1">
        <f ca="1">'211_VIP宝箱'!L11</f>
        <v>5000</v>
      </c>
      <c r="L870" s="15">
        <f ca="1">'206_副本挂机'!I130</f>
        <v>144</v>
      </c>
      <c r="M870" s="15">
        <f ca="1">'202_黑鸦营地'!I60</f>
        <v>0</v>
      </c>
      <c r="N870" s="15">
        <f ca="1">'208_黑市'!O11</f>
        <v>10</v>
      </c>
      <c r="O870" s="15">
        <f ca="1">'210_活动'!U11</f>
        <v>0</v>
      </c>
      <c r="P870" s="15">
        <f ca="1">'212_VIP商店'!L11</f>
        <v>0</v>
      </c>
      <c r="Q870" s="1" t="str">
        <f ca="1" t="shared" si="319"/>
        <v/>
      </c>
      <c r="R870" s="1">
        <f ca="1" t="shared" si="320"/>
        <v>251552</v>
      </c>
      <c r="S870" s="30"/>
      <c r="T870" s="30"/>
      <c r="U870" s="1" t="str">
        <f ca="1" t="shared" si="321"/>
        <v/>
      </c>
      <c r="V870" s="1">
        <f ca="1" t="shared" si="322"/>
        <v>154</v>
      </c>
      <c r="W870" s="30"/>
      <c r="X870" s="30"/>
      <c r="Z870" s="44">
        <f ca="1" t="shared" si="323"/>
        <v>630720</v>
      </c>
      <c r="AA870" s="44">
        <f ca="1" t="shared" si="324"/>
        <v>30000</v>
      </c>
      <c r="AB870" s="44">
        <f ca="1" t="shared" si="325"/>
        <v>0</v>
      </c>
      <c r="AC870" s="44">
        <f ca="1" t="shared" si="326"/>
        <v>10000</v>
      </c>
      <c r="AD870" s="45">
        <f ca="1" t="shared" si="327"/>
        <v>384</v>
      </c>
      <c r="AE870" s="45">
        <f ca="1" t="shared" si="328"/>
        <v>0</v>
      </c>
      <c r="AF870" s="45">
        <f ca="1" t="shared" si="329"/>
        <v>20</v>
      </c>
      <c r="AG870" s="45">
        <f ca="1" t="shared" si="330"/>
        <v>0</v>
      </c>
      <c r="AH870" s="45">
        <f ca="1" t="shared" si="331"/>
        <v>0</v>
      </c>
    </row>
    <row r="871" spans="2:34">
      <c r="B871" s="7">
        <v>0.6</v>
      </c>
      <c r="C871" s="1">
        <f ca="1">养成规划!V12</f>
        <v>3</v>
      </c>
      <c r="D871" s="1" t="str">
        <f>IF(养成规划!F12="","",养成规划!F12)</f>
        <v/>
      </c>
      <c r="E871" s="1" t="str">
        <f ca="1">IFERROR(C871*OFFSET('107_兵卡等级'!$G$6,MATCH(D871,'107_兵卡等级'!$B$6:$B$205,0)-1,0),"")</f>
        <v/>
      </c>
      <c r="F871" s="1" t="str">
        <f ca="1">IFERROR(C871*OFFSET('107_兵卡等级'!$I$6,MATCH(D871,'107_兵卡等级'!$B$6:$B$205,0)-1,0),"")</f>
        <v/>
      </c>
      <c r="G871" s="15" t="str">
        <f>IF(养成规划!E91="","",养成规划!E91)</f>
        <v/>
      </c>
      <c r="H871" s="1">
        <f ca="1">'206_副本挂机'!F131</f>
        <v>304128</v>
      </c>
      <c r="I871" s="1">
        <f ca="1">'208_黑市'!L12</f>
        <v>18000</v>
      </c>
      <c r="J871" s="1">
        <f ca="1">'210_活动'!R12</f>
        <v>0</v>
      </c>
      <c r="K871" s="1">
        <f ca="1">'211_VIP宝箱'!L12</f>
        <v>6000</v>
      </c>
      <c r="L871" s="15">
        <f ca="1">'206_副本挂机'!I131</f>
        <v>192</v>
      </c>
      <c r="M871" s="15">
        <f ca="1">'202_黑鸦营地'!I61</f>
        <v>0</v>
      </c>
      <c r="N871" s="15">
        <f ca="1">'208_黑市'!O12</f>
        <v>12</v>
      </c>
      <c r="O871" s="15">
        <f ca="1">'210_活动'!U12</f>
        <v>0</v>
      </c>
      <c r="P871" s="15">
        <f ca="1">'212_VIP商店'!L12</f>
        <v>0</v>
      </c>
      <c r="Q871" s="1" t="str">
        <f ca="1" t="shared" si="319"/>
        <v/>
      </c>
      <c r="R871" s="1">
        <f ca="1" t="shared" si="320"/>
        <v>328128</v>
      </c>
      <c r="S871" s="30"/>
      <c r="T871" s="30"/>
      <c r="U871" s="1" t="str">
        <f ca="1" t="shared" si="321"/>
        <v/>
      </c>
      <c r="V871" s="1">
        <f ca="1" t="shared" si="322"/>
        <v>204</v>
      </c>
      <c r="W871" s="30"/>
      <c r="X871" s="30"/>
      <c r="Z871" s="44">
        <f ca="1" t="shared" si="323"/>
        <v>725760</v>
      </c>
      <c r="AA871" s="44">
        <f ca="1" t="shared" si="324"/>
        <v>30000</v>
      </c>
      <c r="AB871" s="44">
        <f ca="1" t="shared" si="325"/>
        <v>0</v>
      </c>
      <c r="AC871" s="44">
        <f ca="1" t="shared" si="326"/>
        <v>10000</v>
      </c>
      <c r="AD871" s="45">
        <f ca="1" t="shared" si="327"/>
        <v>480</v>
      </c>
      <c r="AE871" s="45">
        <f ca="1" t="shared" si="328"/>
        <v>0</v>
      </c>
      <c r="AF871" s="45">
        <f ca="1" t="shared" si="329"/>
        <v>20</v>
      </c>
      <c r="AG871" s="45">
        <f ca="1" t="shared" si="330"/>
        <v>0</v>
      </c>
      <c r="AH871" s="45">
        <f ca="1" t="shared" si="331"/>
        <v>0</v>
      </c>
    </row>
    <row r="872" spans="2:34">
      <c r="B872" s="7">
        <v>0.7</v>
      </c>
      <c r="C872" s="1">
        <f ca="1">养成规划!V13</f>
        <v>3</v>
      </c>
      <c r="D872" s="1" t="str">
        <f>IF(养成规划!F13="","",养成规划!F13)</f>
        <v/>
      </c>
      <c r="E872" s="1" t="str">
        <f ca="1">IFERROR(C872*OFFSET('107_兵卡等级'!$G$6,MATCH(D872,'107_兵卡等级'!$B$6:$B$205,0)-1,0),"")</f>
        <v/>
      </c>
      <c r="F872" s="1" t="str">
        <f ca="1">IFERROR(C872*OFFSET('107_兵卡等级'!$I$6,MATCH(D872,'107_兵卡等级'!$B$6:$B$205,0)-1,0),"")</f>
        <v/>
      </c>
      <c r="G872" s="15" t="str">
        <f>IF(养成规划!E92="","",养成规划!E92)</f>
        <v/>
      </c>
      <c r="H872" s="1">
        <f ca="1">'206_副本挂机'!F132</f>
        <v>376704</v>
      </c>
      <c r="I872" s="1">
        <f ca="1">'208_黑市'!L13</f>
        <v>21000</v>
      </c>
      <c r="J872" s="1">
        <f ca="1">'210_活动'!R13</f>
        <v>0</v>
      </c>
      <c r="K872" s="1">
        <f ca="1">'211_VIP宝箱'!L13</f>
        <v>7000</v>
      </c>
      <c r="L872" s="15">
        <f ca="1">'206_副本挂机'!I132</f>
        <v>240</v>
      </c>
      <c r="M872" s="15">
        <f ca="1">'202_黑鸦营地'!I62</f>
        <v>0</v>
      </c>
      <c r="N872" s="15">
        <f ca="1">'208_黑市'!O13</f>
        <v>14</v>
      </c>
      <c r="O872" s="15">
        <f ca="1">'210_活动'!U13</f>
        <v>0</v>
      </c>
      <c r="P872" s="15">
        <f ca="1">'212_VIP商店'!L13</f>
        <v>0</v>
      </c>
      <c r="Q872" s="1" t="str">
        <f ca="1" t="shared" si="319"/>
        <v/>
      </c>
      <c r="R872" s="1">
        <f ca="1" t="shared" si="320"/>
        <v>404704</v>
      </c>
      <c r="S872" s="30"/>
      <c r="T872" s="30"/>
      <c r="U872" s="1" t="str">
        <f ca="1" t="shared" si="321"/>
        <v/>
      </c>
      <c r="V872" s="1">
        <f ca="1" t="shared" si="322"/>
        <v>254</v>
      </c>
      <c r="W872" s="30"/>
      <c r="X872" s="30"/>
      <c r="Z872" s="44">
        <f ca="1" t="shared" si="323"/>
        <v>725760</v>
      </c>
      <c r="AA872" s="44">
        <f ca="1" t="shared" si="324"/>
        <v>30000</v>
      </c>
      <c r="AB872" s="44">
        <f ca="1" t="shared" si="325"/>
        <v>0</v>
      </c>
      <c r="AC872" s="44">
        <f ca="1" t="shared" si="326"/>
        <v>10000</v>
      </c>
      <c r="AD872" s="45">
        <f ca="1" t="shared" si="327"/>
        <v>480</v>
      </c>
      <c r="AE872" s="45">
        <f ca="1" t="shared" si="328"/>
        <v>0</v>
      </c>
      <c r="AF872" s="45">
        <f ca="1" t="shared" si="329"/>
        <v>20</v>
      </c>
      <c r="AG872" s="45">
        <f ca="1" t="shared" si="330"/>
        <v>0</v>
      </c>
      <c r="AH872" s="45">
        <f ca="1" t="shared" si="331"/>
        <v>0</v>
      </c>
    </row>
    <row r="873" spans="2:34">
      <c r="B873" s="7">
        <v>0.8</v>
      </c>
      <c r="C873" s="1">
        <f ca="1">养成规划!V14</f>
        <v>3</v>
      </c>
      <c r="D873" s="1" t="str">
        <f>IF(养成规划!F14="","",养成规划!F14)</f>
        <v/>
      </c>
      <c r="E873" s="1" t="str">
        <f ca="1">IFERROR(C873*OFFSET('107_兵卡等级'!$G$6,MATCH(D873,'107_兵卡等级'!$B$6:$B$205,0)-1,0),"")</f>
        <v/>
      </c>
      <c r="F873" s="1" t="str">
        <f ca="1">IFERROR(C873*OFFSET('107_兵卡等级'!$I$6,MATCH(D873,'107_兵卡等级'!$B$6:$B$205,0)-1,0),"")</f>
        <v/>
      </c>
      <c r="G873" s="15" t="str">
        <f>IF(养成规划!E93="","",养成规划!E93)</f>
        <v/>
      </c>
      <c r="H873" s="1">
        <f ca="1">'206_副本挂机'!F133</f>
        <v>459648</v>
      </c>
      <c r="I873" s="1">
        <f ca="1">'208_黑市'!L14</f>
        <v>24000</v>
      </c>
      <c r="J873" s="1">
        <f ca="1">'210_活动'!R14</f>
        <v>0</v>
      </c>
      <c r="K873" s="1">
        <f ca="1">'211_VIP宝箱'!L14</f>
        <v>8000</v>
      </c>
      <c r="L873" s="15">
        <f ca="1">'206_副本挂机'!I133</f>
        <v>292.8</v>
      </c>
      <c r="M873" s="15">
        <f ca="1">'202_黑鸦营地'!I63</f>
        <v>0</v>
      </c>
      <c r="N873" s="15">
        <f ca="1">'208_黑市'!O14</f>
        <v>16</v>
      </c>
      <c r="O873" s="15">
        <f ca="1">'210_活动'!U14</f>
        <v>0</v>
      </c>
      <c r="P873" s="15">
        <f ca="1">'212_VIP商店'!L14</f>
        <v>0</v>
      </c>
      <c r="Q873" s="1" t="str">
        <f ca="1" t="shared" si="319"/>
        <v/>
      </c>
      <c r="R873" s="1">
        <f ca="1" t="shared" si="320"/>
        <v>491648</v>
      </c>
      <c r="S873" s="30"/>
      <c r="T873" s="30"/>
      <c r="U873" s="1" t="str">
        <f ca="1" t="shared" si="321"/>
        <v/>
      </c>
      <c r="V873" s="1">
        <f ca="1" t="shared" si="322"/>
        <v>308.8</v>
      </c>
      <c r="W873" s="30"/>
      <c r="X873" s="30"/>
      <c r="Z873" s="44">
        <f ca="1" t="shared" si="323"/>
        <v>829439.999999999</v>
      </c>
      <c r="AA873" s="44">
        <f ca="1" t="shared" si="324"/>
        <v>30000</v>
      </c>
      <c r="AB873" s="44">
        <f ca="1" t="shared" si="325"/>
        <v>0</v>
      </c>
      <c r="AC873" s="44">
        <f ca="1" t="shared" si="326"/>
        <v>9999.99999999999</v>
      </c>
      <c r="AD873" s="45">
        <f ca="1" t="shared" si="327"/>
        <v>528</v>
      </c>
      <c r="AE873" s="45">
        <f ca="1" t="shared" si="328"/>
        <v>0</v>
      </c>
      <c r="AF873" s="45">
        <f ca="1" t="shared" si="329"/>
        <v>20</v>
      </c>
      <c r="AG873" s="45">
        <f ca="1" t="shared" si="330"/>
        <v>0</v>
      </c>
      <c r="AH873" s="45">
        <f ca="1" t="shared" si="331"/>
        <v>0</v>
      </c>
    </row>
    <row r="874" spans="2:34">
      <c r="B874" s="7">
        <v>0.9</v>
      </c>
      <c r="C874" s="1">
        <f ca="1">养成规划!V15</f>
        <v>3</v>
      </c>
      <c r="D874" s="1" t="str">
        <f>IF(养成规划!F15="","",养成规划!F15)</f>
        <v/>
      </c>
      <c r="E874" s="1" t="str">
        <f ca="1">IFERROR(C874*OFFSET('107_兵卡等级'!$G$6,MATCH(D874,'107_兵卡等级'!$B$6:$B$205,0)-1,0),"")</f>
        <v/>
      </c>
      <c r="F874" s="1" t="str">
        <f ca="1">IFERROR(C874*OFFSET('107_兵卡等级'!$I$6,MATCH(D874,'107_兵卡等级'!$B$6:$B$205,0)-1,0),"")</f>
        <v/>
      </c>
      <c r="G874" s="15" t="str">
        <f>IF(养成规划!E94="","",养成规划!E94)</f>
        <v/>
      </c>
      <c r="H874" s="1">
        <f ca="1">'206_副本挂机'!F134</f>
        <v>542592</v>
      </c>
      <c r="I874" s="1">
        <f ca="1">'208_黑市'!L15</f>
        <v>27000</v>
      </c>
      <c r="J874" s="1">
        <f ca="1">'210_活动'!R15</f>
        <v>0</v>
      </c>
      <c r="K874" s="1">
        <f ca="1">'211_VIP宝箱'!L15</f>
        <v>9000</v>
      </c>
      <c r="L874" s="15">
        <f ca="1">'206_副本挂机'!I134</f>
        <v>345.6</v>
      </c>
      <c r="M874" s="15">
        <f ca="1">'202_黑鸦营地'!I64</f>
        <v>0</v>
      </c>
      <c r="N874" s="15">
        <f ca="1">'208_黑市'!O15</f>
        <v>18</v>
      </c>
      <c r="O874" s="15">
        <f ca="1">'210_活动'!U15</f>
        <v>0</v>
      </c>
      <c r="P874" s="15">
        <f ca="1">'212_VIP商店'!L15</f>
        <v>0</v>
      </c>
      <c r="Q874" s="1" t="str">
        <f ca="1" t="shared" si="319"/>
        <v/>
      </c>
      <c r="R874" s="1">
        <f ca="1" t="shared" si="320"/>
        <v>578592</v>
      </c>
      <c r="S874" s="30"/>
      <c r="T874" s="30"/>
      <c r="U874" s="1" t="str">
        <f ca="1" t="shared" si="321"/>
        <v/>
      </c>
      <c r="V874" s="1">
        <f ca="1" t="shared" si="322"/>
        <v>363.6</v>
      </c>
      <c r="W874" s="30"/>
      <c r="X874" s="30"/>
      <c r="Z874" s="44">
        <f ca="1" t="shared" si="323"/>
        <v>829440</v>
      </c>
      <c r="AA874" s="44">
        <f ca="1" t="shared" si="324"/>
        <v>30000</v>
      </c>
      <c r="AB874" s="44">
        <f ca="1" t="shared" si="325"/>
        <v>0</v>
      </c>
      <c r="AC874" s="44">
        <f ca="1" t="shared" si="326"/>
        <v>10000</v>
      </c>
      <c r="AD874" s="45">
        <f ca="1" t="shared" si="327"/>
        <v>528</v>
      </c>
      <c r="AE874" s="45">
        <f ca="1" t="shared" si="328"/>
        <v>0</v>
      </c>
      <c r="AF874" s="45">
        <f ca="1" t="shared" si="329"/>
        <v>20</v>
      </c>
      <c r="AG874" s="45">
        <f ca="1" t="shared" si="330"/>
        <v>0</v>
      </c>
      <c r="AH874" s="45">
        <f ca="1" t="shared" si="331"/>
        <v>0</v>
      </c>
    </row>
    <row r="875" spans="2:34">
      <c r="B875" s="7">
        <v>1</v>
      </c>
      <c r="C875" s="1">
        <f ca="1">养成规划!V16</f>
        <v>4</v>
      </c>
      <c r="D875" s="1">
        <f>IF(养成规划!F16="","",养成规划!F16)</f>
        <v>20</v>
      </c>
      <c r="E875" s="1">
        <f ca="1">IFERROR(C875*OFFSET('107_兵卡等级'!$G$6,MATCH(D875,'107_兵卡等级'!$B$6:$B$205,0)-1,0),"")</f>
        <v>155600</v>
      </c>
      <c r="F875" s="1">
        <f ca="1">IFERROR(C875*OFFSET('107_兵卡等级'!$I$6,MATCH(D875,'107_兵卡等级'!$B$6:$B$205,0)-1,0),"")</f>
        <v>160</v>
      </c>
      <c r="G875" s="15">
        <f>IF(养成规划!E95="","",养成规划!E95)</f>
        <v>1</v>
      </c>
      <c r="H875" s="1">
        <f ca="1">'206_副本挂机'!F135</f>
        <v>635040</v>
      </c>
      <c r="I875" s="1">
        <f ca="1">'208_黑市'!L16</f>
        <v>30000</v>
      </c>
      <c r="J875" s="1">
        <f ca="1">'210_活动'!R16</f>
        <v>0</v>
      </c>
      <c r="K875" s="1">
        <f ca="1">'211_VIP宝箱'!L16</f>
        <v>10000</v>
      </c>
      <c r="L875" s="15">
        <f ca="1">'206_副本挂机'!I135</f>
        <v>403.2</v>
      </c>
      <c r="M875" s="15">
        <f ca="1">'202_黑鸦营地'!I65</f>
        <v>8</v>
      </c>
      <c r="N875" s="15">
        <f ca="1">'208_黑市'!O16</f>
        <v>20</v>
      </c>
      <c r="O875" s="15">
        <f ca="1">'210_活动'!U16</f>
        <v>0</v>
      </c>
      <c r="P875" s="15">
        <f ca="1">'212_VIP商店'!L16</f>
        <v>0</v>
      </c>
      <c r="Q875" s="1">
        <f ca="1" t="shared" si="319"/>
        <v>155600</v>
      </c>
      <c r="R875" s="1">
        <f ca="1" t="shared" si="320"/>
        <v>675040</v>
      </c>
      <c r="S875" s="30"/>
      <c r="T875" s="30"/>
      <c r="U875" s="1">
        <f ca="1" t="shared" si="321"/>
        <v>160</v>
      </c>
      <c r="V875" s="1">
        <f ca="1" t="shared" si="322"/>
        <v>431.2</v>
      </c>
      <c r="W875" s="30"/>
      <c r="X875" s="30"/>
      <c r="Z875" s="44">
        <f ca="1" t="shared" si="323"/>
        <v>924480</v>
      </c>
      <c r="AA875" s="44">
        <f ca="1" t="shared" si="324"/>
        <v>30000</v>
      </c>
      <c r="AB875" s="44">
        <f ca="1" t="shared" si="325"/>
        <v>0</v>
      </c>
      <c r="AC875" s="44">
        <f ca="1" t="shared" si="326"/>
        <v>10000</v>
      </c>
      <c r="AD875" s="45">
        <f ca="1" t="shared" si="327"/>
        <v>576</v>
      </c>
      <c r="AE875" s="45">
        <f ca="1" t="shared" si="328"/>
        <v>80</v>
      </c>
      <c r="AF875" s="45">
        <f ca="1" t="shared" si="329"/>
        <v>20</v>
      </c>
      <c r="AG875" s="45">
        <f ca="1" t="shared" si="330"/>
        <v>0</v>
      </c>
      <c r="AH875" s="45">
        <f ca="1" t="shared" si="331"/>
        <v>0</v>
      </c>
    </row>
    <row r="876" spans="2:34">
      <c r="B876" s="9">
        <v>1.5</v>
      </c>
      <c r="C876" s="1">
        <f ca="1">养成规划!V17</f>
        <v>4</v>
      </c>
      <c r="D876" s="1" t="str">
        <f>IF(养成规划!F17="","",养成规划!F17)</f>
        <v/>
      </c>
      <c r="E876" s="1" t="str">
        <f ca="1">IFERROR(C876*OFFSET('107_兵卡等级'!$G$6,MATCH(D876,'107_兵卡等级'!$B$6:$B$205,0)-1,0),"")</f>
        <v/>
      </c>
      <c r="F876" s="1" t="str">
        <f ca="1">IFERROR(C876*OFFSET('107_兵卡等级'!$I$6,MATCH(D876,'107_兵卡等级'!$B$6:$B$205,0)-1,0),"")</f>
        <v/>
      </c>
      <c r="G876" s="15" t="str">
        <f>IF(养成规划!E96="","",养成规划!E96)</f>
        <v/>
      </c>
      <c r="H876" s="1">
        <f ca="1">'206_副本挂机'!F136</f>
        <v>1123200</v>
      </c>
      <c r="I876" s="1">
        <f ca="1">'208_黑市'!L17</f>
        <v>45000</v>
      </c>
      <c r="J876" s="1">
        <f ca="1">'210_活动'!R17</f>
        <v>0</v>
      </c>
      <c r="K876" s="1">
        <f ca="1">'211_VIP宝箱'!L17</f>
        <v>15000</v>
      </c>
      <c r="L876" s="15">
        <f ca="1">'206_副本挂机'!I136</f>
        <v>715.2</v>
      </c>
      <c r="M876" s="15">
        <f ca="1">'202_黑鸦营地'!I66</f>
        <v>48</v>
      </c>
      <c r="N876" s="15">
        <f ca="1">'208_黑市'!O17</f>
        <v>30</v>
      </c>
      <c r="O876" s="15">
        <f ca="1">'210_活动'!U17</f>
        <v>0</v>
      </c>
      <c r="P876" s="15">
        <f ca="1">'212_VIP商店'!L17</f>
        <v>0</v>
      </c>
      <c r="Q876" s="1" t="str">
        <f ca="1" t="shared" si="319"/>
        <v/>
      </c>
      <c r="R876" s="1">
        <f ca="1" t="shared" si="320"/>
        <v>1183200</v>
      </c>
      <c r="S876" s="30"/>
      <c r="T876" s="30"/>
      <c r="U876" s="1" t="str">
        <f ca="1" t="shared" si="321"/>
        <v/>
      </c>
      <c r="V876" s="1">
        <f ca="1" t="shared" si="322"/>
        <v>793.2</v>
      </c>
      <c r="W876" s="30"/>
      <c r="X876" s="30"/>
      <c r="Z876" s="44">
        <f ca="1" t="shared" si="323"/>
        <v>976320</v>
      </c>
      <c r="AA876" s="44">
        <f ca="1" t="shared" si="324"/>
        <v>30000</v>
      </c>
      <c r="AB876" s="44">
        <f ca="1" t="shared" si="325"/>
        <v>0</v>
      </c>
      <c r="AC876" s="44">
        <f ca="1" t="shared" si="326"/>
        <v>10000</v>
      </c>
      <c r="AD876" s="45">
        <f ca="1" t="shared" si="327"/>
        <v>624</v>
      </c>
      <c r="AE876" s="45">
        <f ca="1" t="shared" si="328"/>
        <v>80</v>
      </c>
      <c r="AF876" s="45">
        <f ca="1" t="shared" si="329"/>
        <v>20</v>
      </c>
      <c r="AG876" s="45">
        <f ca="1" t="shared" si="330"/>
        <v>0</v>
      </c>
      <c r="AH876" s="45">
        <f ca="1" t="shared" si="331"/>
        <v>0</v>
      </c>
    </row>
    <row r="877" spans="2:34">
      <c r="B877" s="9">
        <v>2</v>
      </c>
      <c r="C877" s="1">
        <f ca="1">养成规划!V18</f>
        <v>4</v>
      </c>
      <c r="D877" s="1">
        <f>IF(养成规划!F18="","",养成规划!F18)</f>
        <v>30</v>
      </c>
      <c r="E877" s="1">
        <f ca="1">IFERROR(C877*OFFSET('107_兵卡等级'!$G$6,MATCH(D877,'107_兵卡等级'!$B$6:$B$205,0)-1,0),"")</f>
        <v>1583600</v>
      </c>
      <c r="F877" s="1">
        <f ca="1">IFERROR(C877*OFFSET('107_兵卡等级'!$I$6,MATCH(D877,'107_兵卡等级'!$B$6:$B$205,0)-1,0),"")</f>
        <v>1120</v>
      </c>
      <c r="G877" s="15" t="str">
        <f>IF(养成规划!E97="","",养成规划!E97)</f>
        <v/>
      </c>
      <c r="H877" s="1">
        <f ca="1">'206_副本挂机'!F137</f>
        <v>1637280</v>
      </c>
      <c r="I877" s="1">
        <f ca="1">'208_黑市'!L18</f>
        <v>60000</v>
      </c>
      <c r="J877" s="1">
        <f ca="1">'210_活动'!R18</f>
        <v>0</v>
      </c>
      <c r="K877" s="1">
        <f ca="1">'211_VIP宝箱'!L18</f>
        <v>25000</v>
      </c>
      <c r="L877" s="15">
        <f ca="1">'206_副本挂机'!I137</f>
        <v>1027.2</v>
      </c>
      <c r="M877" s="15">
        <f ca="1">'202_黑鸦营地'!I67</f>
        <v>88</v>
      </c>
      <c r="N877" s="15">
        <f ca="1">'208_黑市'!O18</f>
        <v>40</v>
      </c>
      <c r="O877" s="15">
        <f ca="1">'210_活动'!U18</f>
        <v>0</v>
      </c>
      <c r="P877" s="15">
        <f ca="1">'212_VIP商店'!L18</f>
        <v>0</v>
      </c>
      <c r="Q877" s="1">
        <f ca="1" t="shared" si="319"/>
        <v>1583600</v>
      </c>
      <c r="R877" s="1">
        <f ca="1" t="shared" si="320"/>
        <v>1722280</v>
      </c>
      <c r="S877" s="30"/>
      <c r="T877" s="30"/>
      <c r="U877" s="1">
        <f ca="1" t="shared" si="321"/>
        <v>1120</v>
      </c>
      <c r="V877" s="1">
        <f ca="1" t="shared" si="322"/>
        <v>1155.2</v>
      </c>
      <c r="W877" s="30"/>
      <c r="X877" s="30"/>
      <c r="Z877" s="44">
        <f ca="1" t="shared" si="323"/>
        <v>1028160</v>
      </c>
      <c r="AA877" s="44">
        <f ca="1" t="shared" si="324"/>
        <v>30000</v>
      </c>
      <c r="AB877" s="44">
        <f ca="1" t="shared" si="325"/>
        <v>0</v>
      </c>
      <c r="AC877" s="44">
        <f ca="1" t="shared" si="326"/>
        <v>20000</v>
      </c>
      <c r="AD877" s="45">
        <f ca="1" t="shared" si="327"/>
        <v>624</v>
      </c>
      <c r="AE877" s="45">
        <f ca="1" t="shared" si="328"/>
        <v>80</v>
      </c>
      <c r="AF877" s="45">
        <f ca="1" t="shared" si="329"/>
        <v>20</v>
      </c>
      <c r="AG877" s="45">
        <f ca="1" t="shared" si="330"/>
        <v>0</v>
      </c>
      <c r="AH877" s="45">
        <f ca="1" t="shared" si="331"/>
        <v>0</v>
      </c>
    </row>
    <row r="878" spans="2:34">
      <c r="B878" s="9">
        <v>2.5</v>
      </c>
      <c r="C878" s="1">
        <f ca="1">养成规划!V19</f>
        <v>4</v>
      </c>
      <c r="D878" s="1" t="str">
        <f>IF(养成规划!F19="","",养成规划!F19)</f>
        <v/>
      </c>
      <c r="E878" s="1" t="str">
        <f ca="1">IFERROR(C878*OFFSET('107_兵卡等级'!$G$6,MATCH(D878,'107_兵卡等级'!$B$6:$B$205,0)-1,0),"")</f>
        <v/>
      </c>
      <c r="F878" s="1" t="str">
        <f ca="1">IFERROR(C878*OFFSET('107_兵卡等级'!$I$6,MATCH(D878,'107_兵卡等级'!$B$6:$B$205,0)-1,0),"")</f>
        <v/>
      </c>
      <c r="G878" s="15" t="str">
        <f>IF(养成规划!E98="","",养成规划!E98)</f>
        <v/>
      </c>
      <c r="H878" s="1">
        <f ca="1">'206_副本挂机'!F138</f>
        <v>2177280</v>
      </c>
      <c r="I878" s="1">
        <f ca="1">'208_黑市'!L19</f>
        <v>75000</v>
      </c>
      <c r="J878" s="1">
        <f ca="1">'210_活动'!R19</f>
        <v>0</v>
      </c>
      <c r="K878" s="1">
        <f ca="1">'211_VIP宝箱'!L19</f>
        <v>35000</v>
      </c>
      <c r="L878" s="15">
        <f ca="1">'206_副本挂机'!I138</f>
        <v>1363.2</v>
      </c>
      <c r="M878" s="15">
        <f ca="1">'202_黑鸦营地'!I68</f>
        <v>128</v>
      </c>
      <c r="N878" s="15">
        <f ca="1">'208_黑市'!O19</f>
        <v>50</v>
      </c>
      <c r="O878" s="15">
        <f ca="1">'210_活动'!U19</f>
        <v>0</v>
      </c>
      <c r="P878" s="15">
        <f ca="1">'212_VIP商店'!L19</f>
        <v>0</v>
      </c>
      <c r="Q878" s="1" t="str">
        <f ca="1" t="shared" si="319"/>
        <v/>
      </c>
      <c r="R878" s="1">
        <f ca="1" t="shared" si="320"/>
        <v>2287280</v>
      </c>
      <c r="S878" s="30"/>
      <c r="T878" s="30"/>
      <c r="U878" s="1" t="str">
        <f ca="1" t="shared" si="321"/>
        <v/>
      </c>
      <c r="V878" s="1">
        <f ca="1" t="shared" si="322"/>
        <v>1541.2</v>
      </c>
      <c r="W878" s="30"/>
      <c r="X878" s="30"/>
      <c r="Z878" s="44">
        <f ca="1" t="shared" si="323"/>
        <v>1080000</v>
      </c>
      <c r="AA878" s="44">
        <f ca="1" t="shared" si="324"/>
        <v>30000</v>
      </c>
      <c r="AB878" s="44">
        <f ca="1" t="shared" si="325"/>
        <v>0</v>
      </c>
      <c r="AC878" s="44">
        <f ca="1" t="shared" si="326"/>
        <v>20000</v>
      </c>
      <c r="AD878" s="45">
        <f ca="1" t="shared" si="327"/>
        <v>672</v>
      </c>
      <c r="AE878" s="45">
        <f ca="1" t="shared" si="328"/>
        <v>80</v>
      </c>
      <c r="AF878" s="45">
        <f ca="1" t="shared" si="329"/>
        <v>20</v>
      </c>
      <c r="AG878" s="45">
        <f ca="1" t="shared" si="330"/>
        <v>0</v>
      </c>
      <c r="AH878" s="45">
        <f ca="1" t="shared" si="331"/>
        <v>0</v>
      </c>
    </row>
    <row r="879" spans="2:34">
      <c r="B879" s="9">
        <v>3</v>
      </c>
      <c r="C879" s="1">
        <f ca="1">养成规划!V20</f>
        <v>4</v>
      </c>
      <c r="D879" s="1">
        <f>IF(养成规划!F20="","",养成规划!F20)</f>
        <v>40</v>
      </c>
      <c r="E879" s="1">
        <f ca="1">IFERROR(C879*OFFSET('107_兵卡等级'!$G$6,MATCH(D879,'107_兵卡等级'!$B$6:$B$205,0)-1,0),"")</f>
        <v>6623600</v>
      </c>
      <c r="F879" s="1">
        <f ca="1">IFERROR(C879*OFFSET('107_兵卡等级'!$I$6,MATCH(D879,'107_兵卡等级'!$B$6:$B$205,0)-1,0),"")</f>
        <v>4320</v>
      </c>
      <c r="G879" s="15" t="str">
        <f>IF(养成规划!E99="","",养成规划!E99)</f>
        <v/>
      </c>
      <c r="H879" s="1">
        <f ca="1">'206_副本挂机'!F139</f>
        <v>2764800</v>
      </c>
      <c r="I879" s="1">
        <f ca="1">'208_黑市'!L20</f>
        <v>90000</v>
      </c>
      <c r="J879" s="1">
        <f ca="1">'210_活动'!R20</f>
        <v>0</v>
      </c>
      <c r="K879" s="1">
        <f ca="1">'211_VIP宝箱'!L20</f>
        <v>45000</v>
      </c>
      <c r="L879" s="15">
        <f ca="1">'206_副本挂机'!I139</f>
        <v>1723.2</v>
      </c>
      <c r="M879" s="15">
        <f ca="1">'202_黑鸦营地'!I69</f>
        <v>168</v>
      </c>
      <c r="N879" s="15">
        <f ca="1">'208_黑市'!O20</f>
        <v>60</v>
      </c>
      <c r="O879" s="15">
        <f ca="1">'210_活动'!U20</f>
        <v>0</v>
      </c>
      <c r="P879" s="15">
        <f ca="1">'212_VIP商店'!L20</f>
        <v>0</v>
      </c>
      <c r="Q879" s="1">
        <f ca="1" t="shared" si="319"/>
        <v>6623600</v>
      </c>
      <c r="R879" s="1">
        <f ca="1" t="shared" si="320"/>
        <v>2899800</v>
      </c>
      <c r="S879" s="30"/>
      <c r="T879" s="30"/>
      <c r="U879" s="1">
        <f ca="1" t="shared" si="321"/>
        <v>4320</v>
      </c>
      <c r="V879" s="1">
        <f ca="1" t="shared" si="322"/>
        <v>1951.2</v>
      </c>
      <c r="W879" s="30"/>
      <c r="X879" s="30"/>
      <c r="Z879" s="44">
        <f ca="1" t="shared" si="323"/>
        <v>1175040</v>
      </c>
      <c r="AA879" s="44">
        <f ca="1" t="shared" si="324"/>
        <v>30000</v>
      </c>
      <c r="AB879" s="44">
        <f ca="1" t="shared" si="325"/>
        <v>0</v>
      </c>
      <c r="AC879" s="44">
        <f ca="1" t="shared" si="326"/>
        <v>20000</v>
      </c>
      <c r="AD879" s="45">
        <f ca="1" t="shared" si="327"/>
        <v>720</v>
      </c>
      <c r="AE879" s="45">
        <f ca="1" t="shared" si="328"/>
        <v>80</v>
      </c>
      <c r="AF879" s="45">
        <f ca="1" t="shared" si="329"/>
        <v>20</v>
      </c>
      <c r="AG879" s="45">
        <f ca="1" t="shared" si="330"/>
        <v>0</v>
      </c>
      <c r="AH879" s="45">
        <f ca="1" t="shared" si="331"/>
        <v>0</v>
      </c>
    </row>
    <row r="880" spans="2:34">
      <c r="B880" s="9">
        <v>3.5</v>
      </c>
      <c r="C880" s="1">
        <f ca="1">养成规划!V21</f>
        <v>4</v>
      </c>
      <c r="D880" s="1" t="str">
        <f>IF(养成规划!F21="","",养成规划!F21)</f>
        <v/>
      </c>
      <c r="E880" s="1" t="str">
        <f ca="1">IFERROR(C880*OFFSET('107_兵卡等级'!$G$6,MATCH(D880,'107_兵卡等级'!$B$6:$B$205,0)-1,0),"")</f>
        <v/>
      </c>
      <c r="F880" s="1" t="str">
        <f ca="1">IFERROR(C880*OFFSET('107_兵卡等级'!$I$6,MATCH(D880,'107_兵卡等级'!$B$6:$B$205,0)-1,0),"")</f>
        <v/>
      </c>
      <c r="G880" s="15" t="str">
        <f>IF(养成规划!E100="","",养成规划!E100)</f>
        <v/>
      </c>
      <c r="H880" s="1">
        <f ca="1">'206_副本挂机'!F140</f>
        <v>3378240</v>
      </c>
      <c r="I880" s="1">
        <f ca="1">'208_黑市'!L21</f>
        <v>105000</v>
      </c>
      <c r="J880" s="1">
        <f ca="1">'210_活动'!R21</f>
        <v>0</v>
      </c>
      <c r="K880" s="1">
        <f ca="1">'211_VIP宝箱'!L21</f>
        <v>55000</v>
      </c>
      <c r="L880" s="15">
        <f ca="1">'206_副本挂机'!I140</f>
        <v>2107.2</v>
      </c>
      <c r="M880" s="15">
        <f ca="1">'202_黑鸦营地'!I70</f>
        <v>208</v>
      </c>
      <c r="N880" s="15">
        <f ca="1">'208_黑市'!O21</f>
        <v>70</v>
      </c>
      <c r="O880" s="15">
        <f ca="1">'210_活动'!U21</f>
        <v>0</v>
      </c>
      <c r="P880" s="15">
        <f ca="1">'212_VIP商店'!L21</f>
        <v>0</v>
      </c>
      <c r="Q880" s="1" t="str">
        <f ca="1" t="shared" si="319"/>
        <v/>
      </c>
      <c r="R880" s="1">
        <f ca="1" t="shared" si="320"/>
        <v>3538240</v>
      </c>
      <c r="S880" s="30"/>
      <c r="T880" s="30"/>
      <c r="U880" s="1" t="str">
        <f ca="1" t="shared" si="321"/>
        <v/>
      </c>
      <c r="V880" s="1">
        <f ca="1" t="shared" si="322"/>
        <v>2385.2</v>
      </c>
      <c r="W880" s="30"/>
      <c r="X880" s="30"/>
      <c r="Z880" s="44">
        <f ca="1" t="shared" si="323"/>
        <v>1226880</v>
      </c>
      <c r="AA880" s="44">
        <f ca="1" t="shared" si="324"/>
        <v>30000</v>
      </c>
      <c r="AB880" s="44">
        <f ca="1" t="shared" si="325"/>
        <v>0</v>
      </c>
      <c r="AC880" s="44">
        <f ca="1" t="shared" si="326"/>
        <v>20000</v>
      </c>
      <c r="AD880" s="45">
        <f ca="1" t="shared" si="327"/>
        <v>768</v>
      </c>
      <c r="AE880" s="45">
        <f ca="1" t="shared" si="328"/>
        <v>80</v>
      </c>
      <c r="AF880" s="45">
        <f ca="1" t="shared" si="329"/>
        <v>20</v>
      </c>
      <c r="AG880" s="45">
        <f ca="1" t="shared" si="330"/>
        <v>0</v>
      </c>
      <c r="AH880" s="45">
        <f ca="1" t="shared" si="331"/>
        <v>0</v>
      </c>
    </row>
    <row r="881" spans="2:34">
      <c r="B881" s="9">
        <v>4</v>
      </c>
      <c r="C881" s="1">
        <f ca="1">养成规划!V22</f>
        <v>4</v>
      </c>
      <c r="D881" s="1" t="str">
        <f>IF(养成规划!F22="","",养成规划!F22)</f>
        <v/>
      </c>
      <c r="E881" s="1" t="str">
        <f ca="1">IFERROR(C881*OFFSET('107_兵卡等级'!$G$6,MATCH(D881,'107_兵卡等级'!$B$6:$B$205,0)-1,0),"")</f>
        <v/>
      </c>
      <c r="F881" s="1" t="str">
        <f ca="1">IFERROR(C881*OFFSET('107_兵卡等级'!$I$6,MATCH(D881,'107_兵卡等级'!$B$6:$B$205,0)-1,0),"")</f>
        <v/>
      </c>
      <c r="G881" s="15" t="str">
        <f>IF(养成规划!E101="","",养成规划!E101)</f>
        <v/>
      </c>
      <c r="H881" s="1">
        <f ca="1">'206_副本挂机'!F141</f>
        <v>4017600</v>
      </c>
      <c r="I881" s="1">
        <f ca="1">'208_黑市'!L22</f>
        <v>120000</v>
      </c>
      <c r="J881" s="1">
        <f ca="1">'210_活动'!R22</f>
        <v>0</v>
      </c>
      <c r="K881" s="1">
        <f ca="1">'211_VIP宝箱'!L22</f>
        <v>70000</v>
      </c>
      <c r="L881" s="15">
        <f ca="1">'206_副本挂机'!I141</f>
        <v>2491.2</v>
      </c>
      <c r="M881" s="15">
        <f ca="1">'202_黑鸦营地'!I71</f>
        <v>248</v>
      </c>
      <c r="N881" s="15">
        <f ca="1">'208_黑市'!O22</f>
        <v>80</v>
      </c>
      <c r="O881" s="15">
        <f ca="1">'210_活动'!U22</f>
        <v>0</v>
      </c>
      <c r="P881" s="15">
        <f ca="1">'212_VIP商店'!L22</f>
        <v>0</v>
      </c>
      <c r="Q881" s="1" t="str">
        <f ca="1" t="shared" si="319"/>
        <v/>
      </c>
      <c r="R881" s="1">
        <f ca="1" t="shared" si="320"/>
        <v>4207600</v>
      </c>
      <c r="S881" s="30"/>
      <c r="T881" s="30"/>
      <c r="U881" s="1" t="str">
        <f ca="1" t="shared" si="321"/>
        <v/>
      </c>
      <c r="V881" s="1">
        <f ca="1" t="shared" si="322"/>
        <v>2819.2</v>
      </c>
      <c r="W881" s="30"/>
      <c r="X881" s="30"/>
      <c r="Z881" s="44">
        <f ca="1" t="shared" si="323"/>
        <v>1278720</v>
      </c>
      <c r="AA881" s="44">
        <f ca="1" t="shared" si="324"/>
        <v>30000</v>
      </c>
      <c r="AB881" s="44">
        <f ca="1" t="shared" si="325"/>
        <v>0</v>
      </c>
      <c r="AC881" s="44">
        <f ca="1" t="shared" si="326"/>
        <v>30000</v>
      </c>
      <c r="AD881" s="45">
        <f ca="1" t="shared" si="327"/>
        <v>768</v>
      </c>
      <c r="AE881" s="45">
        <f ca="1" t="shared" si="328"/>
        <v>80</v>
      </c>
      <c r="AF881" s="45">
        <f ca="1" t="shared" si="329"/>
        <v>20</v>
      </c>
      <c r="AG881" s="45">
        <f ca="1" t="shared" si="330"/>
        <v>0</v>
      </c>
      <c r="AH881" s="45">
        <f ca="1" t="shared" si="331"/>
        <v>0</v>
      </c>
    </row>
    <row r="882" spans="2:34">
      <c r="B882" s="9">
        <v>4.5</v>
      </c>
      <c r="C882" s="1">
        <f ca="1">养成规划!V23</f>
        <v>4</v>
      </c>
      <c r="D882" s="1" t="str">
        <f>IF(养成规划!F23="","",养成规划!F23)</f>
        <v/>
      </c>
      <c r="E882" s="1" t="str">
        <f ca="1">IFERROR(C882*OFFSET('107_兵卡等级'!$G$6,MATCH(D882,'107_兵卡等级'!$B$6:$B$205,0)-1,0),"")</f>
        <v/>
      </c>
      <c r="F882" s="1" t="str">
        <f ca="1">IFERROR(C882*OFFSET('107_兵卡等级'!$I$6,MATCH(D882,'107_兵卡等级'!$B$6:$B$205,0)-1,0),"")</f>
        <v/>
      </c>
      <c r="G882" s="15" t="str">
        <f>IF(养成规划!E102="","",养成规划!E102)</f>
        <v/>
      </c>
      <c r="H882" s="1">
        <f ca="1">'206_副本挂机'!F142</f>
        <v>4682880</v>
      </c>
      <c r="I882" s="1">
        <f ca="1">'208_黑市'!L23</f>
        <v>135000</v>
      </c>
      <c r="J882" s="1">
        <f ca="1">'210_活动'!R23</f>
        <v>0</v>
      </c>
      <c r="K882" s="1">
        <f ca="1">'211_VIP宝箱'!L23</f>
        <v>85000</v>
      </c>
      <c r="L882" s="15">
        <f ca="1">'206_副本挂机'!I142</f>
        <v>2899.2</v>
      </c>
      <c r="M882" s="15">
        <f ca="1">'202_黑鸦营地'!I72</f>
        <v>288</v>
      </c>
      <c r="N882" s="15">
        <f ca="1">'208_黑市'!O23</f>
        <v>90</v>
      </c>
      <c r="O882" s="15">
        <f ca="1">'210_活动'!U23</f>
        <v>0</v>
      </c>
      <c r="P882" s="15">
        <f ca="1">'212_VIP商店'!L23</f>
        <v>0</v>
      </c>
      <c r="Q882" s="1" t="str">
        <f ca="1" t="shared" si="319"/>
        <v/>
      </c>
      <c r="R882" s="1">
        <f ca="1" t="shared" si="320"/>
        <v>4902880</v>
      </c>
      <c r="S882" s="30"/>
      <c r="T882" s="30"/>
      <c r="U882" s="1" t="str">
        <f ca="1" t="shared" si="321"/>
        <v/>
      </c>
      <c r="V882" s="1">
        <f ca="1" t="shared" si="322"/>
        <v>3277.2</v>
      </c>
      <c r="W882" s="30"/>
      <c r="X882" s="30"/>
      <c r="Z882" s="44">
        <f ca="1" t="shared" si="323"/>
        <v>1330560</v>
      </c>
      <c r="AA882" s="44">
        <f ca="1" t="shared" si="324"/>
        <v>30000</v>
      </c>
      <c r="AB882" s="44">
        <f ca="1" t="shared" si="325"/>
        <v>0</v>
      </c>
      <c r="AC882" s="44">
        <f ca="1" t="shared" si="326"/>
        <v>30000</v>
      </c>
      <c r="AD882" s="45">
        <f ca="1" t="shared" si="327"/>
        <v>816</v>
      </c>
      <c r="AE882" s="45">
        <f ca="1" t="shared" si="328"/>
        <v>80</v>
      </c>
      <c r="AF882" s="45">
        <f ca="1" t="shared" si="329"/>
        <v>20</v>
      </c>
      <c r="AG882" s="45">
        <f ca="1" t="shared" si="330"/>
        <v>0</v>
      </c>
      <c r="AH882" s="45">
        <f ca="1" t="shared" si="331"/>
        <v>0</v>
      </c>
    </row>
    <row r="883" spans="2:34">
      <c r="B883" s="9">
        <v>5</v>
      </c>
      <c r="C883" s="1">
        <f ca="1">养成规划!V24</f>
        <v>4</v>
      </c>
      <c r="D883" s="1" t="str">
        <f>IF(养成规划!F24="","",养成规划!F24)</f>
        <v/>
      </c>
      <c r="E883" s="1" t="str">
        <f ca="1">IFERROR(C883*OFFSET('107_兵卡等级'!$G$6,MATCH(D883,'107_兵卡等级'!$B$6:$B$205,0)-1,0),"")</f>
        <v/>
      </c>
      <c r="F883" s="1" t="str">
        <f ca="1">IFERROR(C883*OFFSET('107_兵卡等级'!$I$6,MATCH(D883,'107_兵卡等级'!$B$6:$B$205,0)-1,0),"")</f>
        <v/>
      </c>
      <c r="G883" s="15">
        <f>IF(养成规划!E103="","",养成规划!E103)</f>
        <v>2</v>
      </c>
      <c r="H883" s="1">
        <f ca="1">'206_副本挂机'!F143</f>
        <v>5395680</v>
      </c>
      <c r="I883" s="1">
        <f ca="1">'208_黑市'!L24</f>
        <v>150000</v>
      </c>
      <c r="J883" s="1">
        <f ca="1">'210_活动'!R24</f>
        <v>0</v>
      </c>
      <c r="K883" s="1">
        <f ca="1">'211_VIP宝箱'!L24</f>
        <v>100000</v>
      </c>
      <c r="L883" s="15">
        <f ca="1">'206_副本挂机'!I143</f>
        <v>3331.2</v>
      </c>
      <c r="M883" s="15">
        <f ca="1">'202_黑鸦营地'!I73</f>
        <v>328</v>
      </c>
      <c r="N883" s="15">
        <f ca="1">'208_黑市'!O24</f>
        <v>100</v>
      </c>
      <c r="O883" s="15">
        <f ca="1">'210_活动'!U24</f>
        <v>0</v>
      </c>
      <c r="P883" s="15">
        <f ca="1">'212_VIP商店'!L24</f>
        <v>0</v>
      </c>
      <c r="Q883" s="1" t="str">
        <f ca="1" t="shared" si="319"/>
        <v/>
      </c>
      <c r="R883" s="1">
        <f ca="1" t="shared" si="320"/>
        <v>5645680</v>
      </c>
      <c r="S883" s="30"/>
      <c r="T883" s="30"/>
      <c r="U883" s="1" t="str">
        <f ca="1" t="shared" si="321"/>
        <v/>
      </c>
      <c r="V883" s="1">
        <f ca="1" t="shared" si="322"/>
        <v>3759.2</v>
      </c>
      <c r="W883" s="30"/>
      <c r="X883" s="30"/>
      <c r="Z883" s="44">
        <f ca="1" t="shared" si="323"/>
        <v>1425600</v>
      </c>
      <c r="AA883" s="44">
        <f ca="1" t="shared" si="324"/>
        <v>30000</v>
      </c>
      <c r="AB883" s="44">
        <f ca="1" t="shared" si="325"/>
        <v>0</v>
      </c>
      <c r="AC883" s="44">
        <f ca="1" t="shared" si="326"/>
        <v>30000</v>
      </c>
      <c r="AD883" s="45">
        <f ca="1" t="shared" si="327"/>
        <v>864</v>
      </c>
      <c r="AE883" s="45">
        <f ca="1" t="shared" si="328"/>
        <v>80</v>
      </c>
      <c r="AF883" s="45">
        <f ca="1" t="shared" si="329"/>
        <v>20</v>
      </c>
      <c r="AG883" s="45">
        <f ca="1" t="shared" si="330"/>
        <v>0</v>
      </c>
      <c r="AH883" s="45">
        <f ca="1" t="shared" si="331"/>
        <v>0</v>
      </c>
    </row>
    <row r="884" spans="2:34">
      <c r="B884" s="9">
        <v>5.5</v>
      </c>
      <c r="C884" s="1">
        <f ca="1">养成规划!V25</f>
        <v>4</v>
      </c>
      <c r="D884" s="1" t="str">
        <f>IF(养成规划!F25="","",养成规划!F25)</f>
        <v/>
      </c>
      <c r="E884" s="1" t="str">
        <f ca="1">IFERROR(C884*OFFSET('107_兵卡等级'!$G$6,MATCH(D884,'107_兵卡等级'!$B$6:$B$205,0)-1,0),"")</f>
        <v/>
      </c>
      <c r="F884" s="1" t="str">
        <f ca="1">IFERROR(C884*OFFSET('107_兵卡等级'!$I$6,MATCH(D884,'107_兵卡等级'!$B$6:$B$205,0)-1,0),"")</f>
        <v/>
      </c>
      <c r="G884" s="15" t="str">
        <f>IF(养成规划!E104="","",养成规划!E104)</f>
        <v/>
      </c>
      <c r="H884" s="1">
        <f ca="1">'206_副本挂机'!F144</f>
        <v>6108480</v>
      </c>
      <c r="I884" s="1">
        <f ca="1">'208_黑市'!L25</f>
        <v>165000</v>
      </c>
      <c r="J884" s="1">
        <f ca="1">'210_活动'!R25</f>
        <v>0</v>
      </c>
      <c r="K884" s="1">
        <f ca="1">'211_VIP宝箱'!L25</f>
        <v>115000</v>
      </c>
      <c r="L884" s="15">
        <f ca="1">'206_副本挂机'!I144</f>
        <v>3763.2</v>
      </c>
      <c r="M884" s="15">
        <f ca="1">'202_黑鸦营地'!I74</f>
        <v>368</v>
      </c>
      <c r="N884" s="15">
        <f ca="1">'208_黑市'!O25</f>
        <v>110</v>
      </c>
      <c r="O884" s="15">
        <f ca="1">'210_活动'!U25</f>
        <v>0</v>
      </c>
      <c r="P884" s="15">
        <f ca="1">'212_VIP商店'!L25</f>
        <v>0</v>
      </c>
      <c r="Q884" s="1" t="str">
        <f ca="1" t="shared" si="319"/>
        <v/>
      </c>
      <c r="R884" s="1">
        <f ca="1" t="shared" si="320"/>
        <v>6388480</v>
      </c>
      <c r="S884" s="30"/>
      <c r="T884" s="30"/>
      <c r="U884" s="1" t="str">
        <f ca="1" t="shared" si="321"/>
        <v/>
      </c>
      <c r="V884" s="1">
        <f ca="1" t="shared" si="322"/>
        <v>4241.2</v>
      </c>
      <c r="W884" s="30"/>
      <c r="X884" s="30"/>
      <c r="Z884" s="44">
        <f ca="1" t="shared" si="323"/>
        <v>1425600</v>
      </c>
      <c r="AA884" s="44">
        <f ca="1" t="shared" si="324"/>
        <v>30000</v>
      </c>
      <c r="AB884" s="44">
        <f ca="1" t="shared" si="325"/>
        <v>0</v>
      </c>
      <c r="AC884" s="44">
        <f ca="1" t="shared" si="326"/>
        <v>30000</v>
      </c>
      <c r="AD884" s="45">
        <f ca="1" t="shared" si="327"/>
        <v>864</v>
      </c>
      <c r="AE884" s="45">
        <f ca="1" t="shared" si="328"/>
        <v>80</v>
      </c>
      <c r="AF884" s="45">
        <f ca="1" t="shared" si="329"/>
        <v>20</v>
      </c>
      <c r="AG884" s="45">
        <f ca="1" t="shared" si="330"/>
        <v>0</v>
      </c>
      <c r="AH884" s="45">
        <f ca="1" t="shared" si="331"/>
        <v>0</v>
      </c>
    </row>
    <row r="885" spans="2:34">
      <c r="B885" s="9">
        <v>6</v>
      </c>
      <c r="C885" s="1">
        <f ca="1">养成规划!V26</f>
        <v>4</v>
      </c>
      <c r="D885" s="1" t="str">
        <f>IF(养成规划!F26="","",养成规划!F26)</f>
        <v/>
      </c>
      <c r="E885" s="1" t="str">
        <f ca="1">IFERROR(C885*OFFSET('107_兵卡等级'!$G$6,MATCH(D885,'107_兵卡等级'!$B$6:$B$205,0)-1,0),"")</f>
        <v/>
      </c>
      <c r="F885" s="1" t="str">
        <f ca="1">IFERROR(C885*OFFSET('107_兵卡等级'!$I$6,MATCH(D885,'107_兵卡等级'!$B$6:$B$205,0)-1,0),"")</f>
        <v/>
      </c>
      <c r="G885" s="15" t="str">
        <f>IF(养成规划!E105="","",养成规划!E105)</f>
        <v/>
      </c>
      <c r="H885" s="1">
        <f ca="1">'206_副本挂机'!F145</f>
        <v>6847200</v>
      </c>
      <c r="I885" s="1">
        <f ca="1">'208_黑市'!L26</f>
        <v>180000</v>
      </c>
      <c r="J885" s="1">
        <f ca="1">'210_活动'!R26</f>
        <v>0</v>
      </c>
      <c r="K885" s="1">
        <f ca="1">'211_VIP宝箱'!L26</f>
        <v>135000</v>
      </c>
      <c r="L885" s="15">
        <f ca="1">'206_副本挂机'!I145</f>
        <v>4219.2</v>
      </c>
      <c r="M885" s="15">
        <f ca="1">'202_黑鸦营地'!I75</f>
        <v>418</v>
      </c>
      <c r="N885" s="15">
        <f ca="1">'208_黑市'!O26</f>
        <v>120</v>
      </c>
      <c r="O885" s="15">
        <f ca="1">'210_活动'!U26</f>
        <v>0</v>
      </c>
      <c r="P885" s="15">
        <f ca="1">'212_VIP商店'!L26</f>
        <v>0</v>
      </c>
      <c r="Q885" s="1" t="str">
        <f ca="1" t="shared" si="319"/>
        <v/>
      </c>
      <c r="R885" s="1">
        <f ca="1" t="shared" si="320"/>
        <v>7162200</v>
      </c>
      <c r="S885" s="30"/>
      <c r="T885" s="30"/>
      <c r="U885" s="1" t="str">
        <f ca="1" t="shared" si="321"/>
        <v/>
      </c>
      <c r="V885" s="1">
        <f ca="1" t="shared" si="322"/>
        <v>4757.2</v>
      </c>
      <c r="W885" s="30"/>
      <c r="X885" s="30"/>
      <c r="Z885" s="44">
        <f ca="1" t="shared" si="323"/>
        <v>1477440</v>
      </c>
      <c r="AA885" s="44">
        <f ca="1" t="shared" si="324"/>
        <v>30000</v>
      </c>
      <c r="AB885" s="44">
        <f ca="1" t="shared" si="325"/>
        <v>0</v>
      </c>
      <c r="AC885" s="44">
        <f ca="1" t="shared" si="326"/>
        <v>40000</v>
      </c>
      <c r="AD885" s="45">
        <f ca="1" t="shared" si="327"/>
        <v>912</v>
      </c>
      <c r="AE885" s="45">
        <f ca="1" t="shared" si="328"/>
        <v>100</v>
      </c>
      <c r="AF885" s="45">
        <f ca="1" t="shared" si="329"/>
        <v>20</v>
      </c>
      <c r="AG885" s="45">
        <f ca="1" t="shared" si="330"/>
        <v>0</v>
      </c>
      <c r="AH885" s="45">
        <f ca="1" t="shared" si="331"/>
        <v>0</v>
      </c>
    </row>
    <row r="886" spans="2:34">
      <c r="B886" s="9">
        <v>6.5</v>
      </c>
      <c r="C886" s="1">
        <f ca="1">养成规划!V27</f>
        <v>4</v>
      </c>
      <c r="D886" s="1" t="str">
        <f>IF(养成规划!F27="","",养成规划!F27)</f>
        <v/>
      </c>
      <c r="E886" s="1" t="str">
        <f ca="1">IFERROR(C886*OFFSET('107_兵卡等级'!$G$6,MATCH(D886,'107_兵卡等级'!$B$6:$B$205,0)-1,0),"")</f>
        <v/>
      </c>
      <c r="F886" s="1" t="str">
        <f ca="1">IFERROR(C886*OFFSET('107_兵卡等级'!$I$6,MATCH(D886,'107_兵卡等级'!$B$6:$B$205,0)-1,0),"")</f>
        <v/>
      </c>
      <c r="G886" s="15" t="str">
        <f>IF(养成规划!E106="","",养成规划!E106)</f>
        <v/>
      </c>
      <c r="H886" s="1">
        <f ca="1">'206_副本挂机'!F146</f>
        <v>7585920</v>
      </c>
      <c r="I886" s="1">
        <f ca="1">'208_黑市'!L27</f>
        <v>195000</v>
      </c>
      <c r="J886" s="1">
        <f ca="1">'210_活动'!R27</f>
        <v>0</v>
      </c>
      <c r="K886" s="1">
        <f ca="1">'211_VIP宝箱'!L27</f>
        <v>155000</v>
      </c>
      <c r="L886" s="15">
        <f ca="1">'206_副本挂机'!I146</f>
        <v>4675.2</v>
      </c>
      <c r="M886" s="15">
        <f ca="1">'202_黑鸦营地'!I76</f>
        <v>468</v>
      </c>
      <c r="N886" s="15">
        <f ca="1">'208_黑市'!O27</f>
        <v>130</v>
      </c>
      <c r="O886" s="15">
        <f ca="1">'210_活动'!U27</f>
        <v>0</v>
      </c>
      <c r="P886" s="15">
        <f ca="1">'212_VIP商店'!L27</f>
        <v>0</v>
      </c>
      <c r="Q886" s="1" t="str">
        <f ca="1" t="shared" si="319"/>
        <v/>
      </c>
      <c r="R886" s="1">
        <f ca="1" t="shared" si="320"/>
        <v>7935920</v>
      </c>
      <c r="S886" s="30"/>
      <c r="T886" s="30"/>
      <c r="U886" s="1" t="str">
        <f ca="1" t="shared" si="321"/>
        <v/>
      </c>
      <c r="V886" s="1">
        <f ca="1" t="shared" si="322"/>
        <v>5273.2</v>
      </c>
      <c r="W886" s="30"/>
      <c r="X886" s="30"/>
      <c r="Z886" s="44">
        <f ca="1" t="shared" si="323"/>
        <v>1477440</v>
      </c>
      <c r="AA886" s="44">
        <f ca="1" t="shared" si="324"/>
        <v>30000</v>
      </c>
      <c r="AB886" s="44">
        <f ca="1" t="shared" si="325"/>
        <v>0</v>
      </c>
      <c r="AC886" s="44">
        <f ca="1" t="shared" si="326"/>
        <v>40000</v>
      </c>
      <c r="AD886" s="45">
        <f ca="1" t="shared" si="327"/>
        <v>912</v>
      </c>
      <c r="AE886" s="45">
        <f ca="1" t="shared" si="328"/>
        <v>100</v>
      </c>
      <c r="AF886" s="45">
        <f ca="1" t="shared" si="329"/>
        <v>20</v>
      </c>
      <c r="AG886" s="45">
        <f ca="1" t="shared" si="330"/>
        <v>0</v>
      </c>
      <c r="AH886" s="45">
        <f ca="1" t="shared" si="331"/>
        <v>0</v>
      </c>
    </row>
    <row r="887" spans="2:34">
      <c r="B887" s="9">
        <v>7</v>
      </c>
      <c r="C887" s="1">
        <f ca="1">养成规划!V28</f>
        <v>5</v>
      </c>
      <c r="D887" s="1">
        <f>IF(养成规划!F28="","",养成规划!F28)</f>
        <v>50</v>
      </c>
      <c r="E887" s="1">
        <f ca="1">IFERROR(C887*OFFSET('107_兵卡等级'!$G$6,MATCH(D887,'107_兵卡等级'!$B$6:$B$205,0)-1,0),"")</f>
        <v>20579500</v>
      </c>
      <c r="F887" s="1">
        <f ca="1">IFERROR(C887*OFFSET('107_兵卡等级'!$I$6,MATCH(D887,'107_兵卡等级'!$B$6:$B$205,0)-1,0),"")</f>
        <v>13400</v>
      </c>
      <c r="G887" s="15" t="str">
        <f>IF(养成规划!E107="","",养成规划!E107)</f>
        <v/>
      </c>
      <c r="H887" s="1">
        <f ca="1">'206_副本挂机'!F147</f>
        <v>8350560</v>
      </c>
      <c r="I887" s="1">
        <f ca="1">'208_黑市'!L28</f>
        <v>210000</v>
      </c>
      <c r="J887" s="1">
        <f ca="1">'210_活动'!R28</f>
        <v>0</v>
      </c>
      <c r="K887" s="1">
        <f ca="1">'211_VIP宝箱'!L28</f>
        <v>175000</v>
      </c>
      <c r="L887" s="15">
        <f ca="1">'206_副本挂机'!I147</f>
        <v>5155.2</v>
      </c>
      <c r="M887" s="15">
        <f ca="1">'202_黑鸦营地'!I77</f>
        <v>518</v>
      </c>
      <c r="N887" s="15">
        <f ca="1">'208_黑市'!O28</f>
        <v>140</v>
      </c>
      <c r="O887" s="15">
        <f ca="1">'210_活动'!U28</f>
        <v>0</v>
      </c>
      <c r="P887" s="15">
        <f ca="1">'212_VIP商店'!L28</f>
        <v>0</v>
      </c>
      <c r="Q887" s="1">
        <f ca="1" t="shared" si="319"/>
        <v>20579500</v>
      </c>
      <c r="R887" s="1">
        <f ca="1" t="shared" si="320"/>
        <v>8735560</v>
      </c>
      <c r="S887" s="30">
        <f ca="1">总规划!G236*1000000</f>
        <v>11249700</v>
      </c>
      <c r="T887" s="30">
        <f ca="1">Q887-R887-S887</f>
        <v>594240</v>
      </c>
      <c r="U887" s="1">
        <f ca="1" t="shared" si="321"/>
        <v>13400</v>
      </c>
      <c r="V887" s="1">
        <f ca="1" t="shared" si="322"/>
        <v>5813.2</v>
      </c>
      <c r="W887" s="30">
        <f ca="1">总规划!H236*1000</f>
        <v>7765.5</v>
      </c>
      <c r="X887" s="30">
        <f ca="1">U887-V887-W887</f>
        <v>-178.699999999999</v>
      </c>
      <c r="Z887" s="44">
        <f ca="1" t="shared" si="323"/>
        <v>1529280</v>
      </c>
      <c r="AA887" s="44">
        <f ca="1" t="shared" si="324"/>
        <v>30000</v>
      </c>
      <c r="AB887" s="44">
        <f ca="1" t="shared" si="325"/>
        <v>0</v>
      </c>
      <c r="AC887" s="44">
        <f ca="1" t="shared" si="326"/>
        <v>40000</v>
      </c>
      <c r="AD887" s="45">
        <f ca="1" t="shared" si="327"/>
        <v>960</v>
      </c>
      <c r="AE887" s="45">
        <f ca="1" t="shared" si="328"/>
        <v>100</v>
      </c>
      <c r="AF887" s="45">
        <f ca="1" t="shared" si="329"/>
        <v>20</v>
      </c>
      <c r="AG887" s="45">
        <f ca="1" t="shared" si="330"/>
        <v>0</v>
      </c>
      <c r="AH887" s="45">
        <f ca="1" t="shared" si="331"/>
        <v>0</v>
      </c>
    </row>
    <row r="888" spans="2:34">
      <c r="B888" s="10">
        <v>8</v>
      </c>
      <c r="C888" s="1">
        <f ca="1">养成规划!V29</f>
        <v>5</v>
      </c>
      <c r="D888" s="1" t="str">
        <f>IF(养成规划!F29="","",养成规划!F29)</f>
        <v/>
      </c>
      <c r="E888" s="1" t="str">
        <f ca="1">IFERROR(C888*OFFSET('107_兵卡等级'!$G$6,MATCH(D888,'107_兵卡等级'!$B$6:$B$205,0)-1,0),"")</f>
        <v/>
      </c>
      <c r="F888" s="1" t="str">
        <f ca="1">IFERROR(C888*OFFSET('107_兵卡等级'!$I$6,MATCH(D888,'107_兵卡等级'!$B$6:$B$205,0)-1,0),"")</f>
        <v/>
      </c>
      <c r="G888" s="15" t="str">
        <f>IF(养成规划!E108="","",养成规划!E108)</f>
        <v/>
      </c>
      <c r="H888" s="1">
        <f ca="1">'206_副本挂机'!F148</f>
        <v>9923040</v>
      </c>
      <c r="I888" s="1">
        <f ca="1">'208_黑市'!L29</f>
        <v>270000</v>
      </c>
      <c r="J888" s="1">
        <f ca="1">'210_活动'!R29</f>
        <v>400000</v>
      </c>
      <c r="K888" s="1">
        <f ca="1">'211_VIP宝箱'!L29</f>
        <v>215000</v>
      </c>
      <c r="L888" s="15">
        <f ca="1">'206_副本挂机'!I148</f>
        <v>6115.2</v>
      </c>
      <c r="M888" s="15">
        <f ca="1">'202_黑鸦营地'!I78</f>
        <v>618</v>
      </c>
      <c r="N888" s="15">
        <f ca="1">'208_黑市'!O29</f>
        <v>180</v>
      </c>
      <c r="O888" s="15">
        <f ca="1">'210_活动'!U29</f>
        <v>266.666666666666</v>
      </c>
      <c r="P888" s="15">
        <f ca="1">'212_VIP商店'!L29</f>
        <v>0</v>
      </c>
      <c r="Q888" s="1" t="str">
        <f ca="1" t="shared" si="319"/>
        <v/>
      </c>
      <c r="R888" s="1">
        <f ca="1" t="shared" si="320"/>
        <v>10808040</v>
      </c>
      <c r="S888" s="30"/>
      <c r="T888" s="30"/>
      <c r="U888" s="1" t="str">
        <f ca="1" t="shared" si="321"/>
        <v/>
      </c>
      <c r="V888" s="1">
        <f ca="1" t="shared" si="322"/>
        <v>7179.86666666667</v>
      </c>
      <c r="W888" s="30"/>
      <c r="X888" s="30"/>
      <c r="Z888" s="44">
        <f ca="1" t="shared" si="323"/>
        <v>1572480</v>
      </c>
      <c r="AA888" s="44">
        <f ca="1" t="shared" si="324"/>
        <v>60000</v>
      </c>
      <c r="AB888" s="44">
        <f ca="1" t="shared" si="325"/>
        <v>400000</v>
      </c>
      <c r="AC888" s="44">
        <f ca="1" t="shared" si="326"/>
        <v>40000</v>
      </c>
      <c r="AD888" s="45">
        <f ca="1" t="shared" si="327"/>
        <v>960</v>
      </c>
      <c r="AE888" s="45">
        <f ca="1" t="shared" si="328"/>
        <v>100</v>
      </c>
      <c r="AF888" s="45">
        <f ca="1" t="shared" si="329"/>
        <v>40</v>
      </c>
      <c r="AG888" s="45">
        <f ca="1" t="shared" si="330"/>
        <v>266.666666666666</v>
      </c>
      <c r="AH888" s="45">
        <f ca="1" t="shared" si="331"/>
        <v>0</v>
      </c>
    </row>
    <row r="889" spans="2:34">
      <c r="B889" s="10">
        <v>9</v>
      </c>
      <c r="C889" s="1">
        <f ca="1">养成规划!V30</f>
        <v>5</v>
      </c>
      <c r="D889" s="1" t="str">
        <f>IF(养成规划!F30="","",养成规划!F30)</f>
        <v/>
      </c>
      <c r="E889" s="1" t="str">
        <f ca="1">IFERROR(C889*OFFSET('107_兵卡等级'!$G$6,MATCH(D889,'107_兵卡等级'!$B$6:$B$205,0)-1,0),"")</f>
        <v/>
      </c>
      <c r="F889" s="1" t="str">
        <f ca="1">IFERROR(C889*OFFSET('107_兵卡等级'!$I$6,MATCH(D889,'107_兵卡等级'!$B$6:$B$205,0)-1,0),"")</f>
        <v/>
      </c>
      <c r="G889" s="15" t="str">
        <f>IF(养成规划!E109="","",养成规划!E109)</f>
        <v/>
      </c>
      <c r="H889" s="1">
        <f ca="1">'206_副本挂机'!F149</f>
        <v>11599200</v>
      </c>
      <c r="I889" s="1">
        <f ca="1">'208_黑市'!L30</f>
        <v>330000</v>
      </c>
      <c r="J889" s="1">
        <f ca="1">'210_活动'!R30</f>
        <v>800000</v>
      </c>
      <c r="K889" s="1">
        <f ca="1">'211_VIP宝箱'!L30</f>
        <v>265000</v>
      </c>
      <c r="L889" s="15">
        <f ca="1">'206_副本挂机'!I149</f>
        <v>7123.2</v>
      </c>
      <c r="M889" s="15">
        <f ca="1">'202_黑鸦营地'!I79</f>
        <v>718</v>
      </c>
      <c r="N889" s="15">
        <f ca="1">'208_黑市'!O30</f>
        <v>220</v>
      </c>
      <c r="O889" s="15">
        <f ca="1">'210_活动'!U30</f>
        <v>533.333333333332</v>
      </c>
      <c r="P889" s="15">
        <f ca="1">'212_VIP商店'!L30</f>
        <v>0</v>
      </c>
      <c r="Q889" s="1" t="str">
        <f ca="1" t="shared" si="319"/>
        <v/>
      </c>
      <c r="R889" s="1">
        <f ca="1" t="shared" si="320"/>
        <v>12994200</v>
      </c>
      <c r="S889" s="30"/>
      <c r="T889" s="30"/>
      <c r="U889" s="1" t="str">
        <f ca="1" t="shared" si="321"/>
        <v/>
      </c>
      <c r="V889" s="1">
        <f ca="1" t="shared" si="322"/>
        <v>8594.53333333333</v>
      </c>
      <c r="W889" s="30"/>
      <c r="X889" s="30"/>
      <c r="Z889" s="44">
        <f ca="1" t="shared" si="323"/>
        <v>1676160</v>
      </c>
      <c r="AA889" s="44">
        <f ca="1" t="shared" si="324"/>
        <v>60000</v>
      </c>
      <c r="AB889" s="44">
        <f ca="1" t="shared" si="325"/>
        <v>400000</v>
      </c>
      <c r="AC889" s="44">
        <f ca="1" t="shared" si="326"/>
        <v>50000</v>
      </c>
      <c r="AD889" s="45">
        <f ca="1" t="shared" si="327"/>
        <v>1008</v>
      </c>
      <c r="AE889" s="45">
        <f ca="1" t="shared" si="328"/>
        <v>100</v>
      </c>
      <c r="AF889" s="45">
        <f ca="1" t="shared" si="329"/>
        <v>40</v>
      </c>
      <c r="AG889" s="45">
        <f ca="1" t="shared" si="330"/>
        <v>266.666666666666</v>
      </c>
      <c r="AH889" s="45">
        <f ca="1" t="shared" si="331"/>
        <v>0</v>
      </c>
    </row>
    <row r="890" spans="2:34">
      <c r="B890" s="10">
        <v>10</v>
      </c>
      <c r="C890" s="1">
        <f ca="1">养成规划!V31</f>
        <v>5</v>
      </c>
      <c r="D890" s="1" t="str">
        <f>IF(养成规划!F31="","",养成规划!F31)</f>
        <v/>
      </c>
      <c r="E890" s="1" t="str">
        <f ca="1">IFERROR(C890*OFFSET('107_兵卡等级'!$G$6,MATCH(D890,'107_兵卡等级'!$B$6:$B$205,0)-1,0),"")</f>
        <v/>
      </c>
      <c r="F890" s="1" t="str">
        <f ca="1">IFERROR(C890*OFFSET('107_兵卡等级'!$I$6,MATCH(D890,'107_兵卡等级'!$B$6:$B$205,0)-1,0),"")</f>
        <v/>
      </c>
      <c r="G890" s="15" t="str">
        <f>IF(养成规划!E110="","",养成规划!E110)</f>
        <v/>
      </c>
      <c r="H890" s="1">
        <f ca="1">'206_副本挂机'!F150</f>
        <v>13327200</v>
      </c>
      <c r="I890" s="1">
        <f ca="1">'208_黑市'!L31</f>
        <v>390000</v>
      </c>
      <c r="J890" s="1">
        <f ca="1">'210_活动'!R31</f>
        <v>1200000</v>
      </c>
      <c r="K890" s="1">
        <f ca="1">'211_VIP宝箱'!L31</f>
        <v>315000</v>
      </c>
      <c r="L890" s="15">
        <f ca="1">'206_副本挂机'!I150</f>
        <v>8179.2</v>
      </c>
      <c r="M890" s="15">
        <f ca="1">'202_黑鸦营地'!I80</f>
        <v>818</v>
      </c>
      <c r="N890" s="15">
        <f ca="1">'208_黑市'!O31</f>
        <v>260</v>
      </c>
      <c r="O890" s="15">
        <f ca="1">'210_活动'!U31</f>
        <v>799.999999999998</v>
      </c>
      <c r="P890" s="15">
        <f ca="1">'212_VIP商店'!L31</f>
        <v>0</v>
      </c>
      <c r="Q890" s="1" t="str">
        <f ca="1" t="shared" si="319"/>
        <v/>
      </c>
      <c r="R890" s="1">
        <f ca="1" t="shared" si="320"/>
        <v>15232200</v>
      </c>
      <c r="S890" s="30"/>
      <c r="T890" s="30"/>
      <c r="U890" s="1" t="str">
        <f ca="1" t="shared" si="321"/>
        <v/>
      </c>
      <c r="V890" s="1">
        <f ca="1" t="shared" si="322"/>
        <v>10057.2</v>
      </c>
      <c r="W890" s="30"/>
      <c r="X890" s="30"/>
      <c r="Z890" s="44">
        <f ca="1" t="shared" si="323"/>
        <v>1728000</v>
      </c>
      <c r="AA890" s="44">
        <f ca="1" t="shared" si="324"/>
        <v>60000</v>
      </c>
      <c r="AB890" s="44">
        <f ca="1" t="shared" si="325"/>
        <v>400000</v>
      </c>
      <c r="AC890" s="44">
        <f ca="1" t="shared" si="326"/>
        <v>50000</v>
      </c>
      <c r="AD890" s="45">
        <f ca="1" t="shared" si="327"/>
        <v>1056</v>
      </c>
      <c r="AE890" s="45">
        <f ca="1" t="shared" si="328"/>
        <v>100</v>
      </c>
      <c r="AF890" s="45">
        <f ca="1" t="shared" si="329"/>
        <v>40</v>
      </c>
      <c r="AG890" s="45">
        <f ca="1" t="shared" si="330"/>
        <v>266.666666666666</v>
      </c>
      <c r="AH890" s="45">
        <f ca="1" t="shared" si="331"/>
        <v>0</v>
      </c>
    </row>
    <row r="891" spans="2:34">
      <c r="B891" s="10">
        <v>11</v>
      </c>
      <c r="C891" s="1">
        <f ca="1">养成规划!V32</f>
        <v>5</v>
      </c>
      <c r="D891" s="1" t="str">
        <f>IF(养成规划!F32="","",养成规划!F32)</f>
        <v/>
      </c>
      <c r="E891" s="1" t="str">
        <f ca="1">IFERROR(C891*OFFSET('107_兵卡等级'!$G$6,MATCH(D891,'107_兵卡等级'!$B$6:$B$205,0)-1,0),"")</f>
        <v/>
      </c>
      <c r="F891" s="1" t="str">
        <f ca="1">IFERROR(C891*OFFSET('107_兵卡等级'!$I$6,MATCH(D891,'107_兵卡等级'!$B$6:$B$205,0)-1,0),"")</f>
        <v/>
      </c>
      <c r="G891" s="15" t="str">
        <f>IF(养成规划!E111="","",养成规划!E111)</f>
        <v/>
      </c>
      <c r="H891" s="1">
        <f ca="1">'206_副本挂机'!F151</f>
        <v>15107040</v>
      </c>
      <c r="I891" s="1">
        <f ca="1">'208_黑市'!L32</f>
        <v>450000</v>
      </c>
      <c r="J891" s="1">
        <f ca="1">'210_活动'!R32</f>
        <v>1600000</v>
      </c>
      <c r="K891" s="1">
        <f ca="1">'211_VIP宝箱'!L32</f>
        <v>365000</v>
      </c>
      <c r="L891" s="15">
        <f ca="1">'206_副本挂机'!I151</f>
        <v>9283.2</v>
      </c>
      <c r="M891" s="15">
        <f ca="1">'202_黑鸦营地'!I81</f>
        <v>918</v>
      </c>
      <c r="N891" s="15">
        <f ca="1">'208_黑市'!O32</f>
        <v>300</v>
      </c>
      <c r="O891" s="15">
        <f ca="1">'210_活动'!U32</f>
        <v>1066.66666666666</v>
      </c>
      <c r="P891" s="15">
        <f ca="1">'212_VIP商店'!L32</f>
        <v>0</v>
      </c>
      <c r="Q891" s="1" t="str">
        <f ca="1" t="shared" si="319"/>
        <v/>
      </c>
      <c r="R891" s="1">
        <f ca="1" t="shared" si="320"/>
        <v>17522040</v>
      </c>
      <c r="S891" s="30"/>
      <c r="T891" s="30"/>
      <c r="U891" s="1" t="str">
        <f ca="1" t="shared" si="321"/>
        <v/>
      </c>
      <c r="V891" s="1">
        <f ca="1" t="shared" si="322"/>
        <v>11567.8666666667</v>
      </c>
      <c r="W891" s="30"/>
      <c r="X891" s="30"/>
      <c r="Z891" s="44">
        <f ca="1" t="shared" si="323"/>
        <v>1779840</v>
      </c>
      <c r="AA891" s="44">
        <f ca="1" t="shared" si="324"/>
        <v>60000</v>
      </c>
      <c r="AB891" s="44">
        <f ca="1" t="shared" si="325"/>
        <v>400000</v>
      </c>
      <c r="AC891" s="44">
        <f ca="1" t="shared" si="326"/>
        <v>50000</v>
      </c>
      <c r="AD891" s="45">
        <f ca="1" t="shared" si="327"/>
        <v>1104</v>
      </c>
      <c r="AE891" s="45">
        <f ca="1" t="shared" si="328"/>
        <v>100</v>
      </c>
      <c r="AF891" s="45">
        <f ca="1" t="shared" si="329"/>
        <v>40</v>
      </c>
      <c r="AG891" s="45">
        <f ca="1" t="shared" si="330"/>
        <v>266.666666666666</v>
      </c>
      <c r="AH891" s="45">
        <f ca="1" t="shared" si="331"/>
        <v>0</v>
      </c>
    </row>
    <row r="892" spans="2:34">
      <c r="B892" s="10">
        <v>12</v>
      </c>
      <c r="C892" s="1">
        <f ca="1">养成规划!V33</f>
        <v>5</v>
      </c>
      <c r="D892" s="1" t="str">
        <f>IF(养成规划!F33="","",养成规划!F33)</f>
        <v/>
      </c>
      <c r="E892" s="1" t="str">
        <f ca="1">IFERROR(C892*OFFSET('107_兵卡等级'!$G$6,MATCH(D892,'107_兵卡等级'!$B$6:$B$205,0)-1,0),"")</f>
        <v/>
      </c>
      <c r="F892" s="1" t="str">
        <f ca="1">IFERROR(C892*OFFSET('107_兵卡等级'!$I$6,MATCH(D892,'107_兵卡等级'!$B$6:$B$205,0)-1,0),"")</f>
        <v/>
      </c>
      <c r="G892" s="15" t="str">
        <f>IF(养成规划!E112="","",养成规划!E112)</f>
        <v/>
      </c>
      <c r="H892" s="1">
        <f ca="1">'206_副本挂机'!F152</f>
        <v>16930080</v>
      </c>
      <c r="I892" s="1">
        <f ca="1">'208_黑市'!L33</f>
        <v>510000</v>
      </c>
      <c r="J892" s="1">
        <f ca="1">'210_活动'!R33</f>
        <v>2000000</v>
      </c>
      <c r="K892" s="1">
        <f ca="1">'211_VIP宝箱'!L33</f>
        <v>415000</v>
      </c>
      <c r="L892" s="15">
        <f ca="1">'206_副本挂机'!I152</f>
        <v>10387.2</v>
      </c>
      <c r="M892" s="15">
        <f ca="1">'202_黑鸦营地'!I82</f>
        <v>1018</v>
      </c>
      <c r="N892" s="15">
        <f ca="1">'208_黑市'!O33</f>
        <v>340</v>
      </c>
      <c r="O892" s="15">
        <f ca="1">'210_活动'!U33</f>
        <v>1333.33333333333</v>
      </c>
      <c r="P892" s="15">
        <f ca="1">'212_VIP商店'!L33</f>
        <v>0</v>
      </c>
      <c r="Q892" s="1" t="str">
        <f ca="1" t="shared" si="319"/>
        <v/>
      </c>
      <c r="R892" s="1">
        <f ca="1" t="shared" si="320"/>
        <v>19855080</v>
      </c>
      <c r="S892" s="30"/>
      <c r="T892" s="30"/>
      <c r="U892" s="1" t="str">
        <f ca="1" t="shared" si="321"/>
        <v/>
      </c>
      <c r="V892" s="1">
        <f ca="1" t="shared" si="322"/>
        <v>13078.5333333333</v>
      </c>
      <c r="W892" s="30"/>
      <c r="X892" s="30"/>
      <c r="Z892" s="44">
        <f ca="1" t="shared" si="323"/>
        <v>1823040</v>
      </c>
      <c r="AA892" s="44">
        <f ca="1" t="shared" si="324"/>
        <v>60000</v>
      </c>
      <c r="AB892" s="44">
        <f ca="1" t="shared" si="325"/>
        <v>400000</v>
      </c>
      <c r="AC892" s="44">
        <f ca="1" t="shared" si="326"/>
        <v>50000</v>
      </c>
      <c r="AD892" s="45">
        <f ca="1" t="shared" si="327"/>
        <v>1104</v>
      </c>
      <c r="AE892" s="45">
        <f ca="1" t="shared" si="328"/>
        <v>100</v>
      </c>
      <c r="AF892" s="45">
        <f ca="1" t="shared" si="329"/>
        <v>40</v>
      </c>
      <c r="AG892" s="45">
        <f ca="1" t="shared" si="330"/>
        <v>266.666666666666</v>
      </c>
      <c r="AH892" s="45">
        <f ca="1" t="shared" si="331"/>
        <v>0</v>
      </c>
    </row>
    <row r="893" spans="2:34">
      <c r="B893" s="10">
        <v>13</v>
      </c>
      <c r="C893" s="1">
        <f ca="1">养成规划!V34</f>
        <v>5</v>
      </c>
      <c r="D893" s="1">
        <f>IF(养成规划!F34="","",养成规划!F34)</f>
        <v>60</v>
      </c>
      <c r="E893" s="1">
        <f ca="1">IFERROR(C893*OFFSET('107_兵卡等级'!$G$6,MATCH(D893,'107_兵卡等级'!$B$6:$B$205,0)-1,0),"")</f>
        <v>40529500</v>
      </c>
      <c r="F893" s="1">
        <f ca="1">IFERROR(C893*OFFSET('107_兵卡等级'!$I$6,MATCH(D893,'107_兵卡等级'!$B$6:$B$205,0)-1,0),"")</f>
        <v>29400</v>
      </c>
      <c r="G893" s="15">
        <f>IF(养成规划!E113="","",养成规划!E113)</f>
        <v>3</v>
      </c>
      <c r="H893" s="1">
        <f ca="1">'206_副本挂机'!F153</f>
        <v>18856800</v>
      </c>
      <c r="I893" s="1">
        <f ca="1">'208_黑市'!L34</f>
        <v>570000</v>
      </c>
      <c r="J893" s="1">
        <f ca="1">'210_活动'!R34</f>
        <v>2400000</v>
      </c>
      <c r="K893" s="1">
        <f ca="1">'211_VIP宝箱'!L34</f>
        <v>465000</v>
      </c>
      <c r="L893" s="15">
        <f ca="1">'206_副本挂机'!I153</f>
        <v>11587.2</v>
      </c>
      <c r="M893" s="15">
        <f ca="1">'202_黑鸦营地'!I83</f>
        <v>1148</v>
      </c>
      <c r="N893" s="15">
        <f ca="1">'208_黑市'!O34</f>
        <v>380</v>
      </c>
      <c r="O893" s="15">
        <f ca="1">'210_活动'!U34</f>
        <v>1600</v>
      </c>
      <c r="P893" s="15">
        <f ca="1">'212_VIP商店'!L34</f>
        <v>0</v>
      </c>
      <c r="Q893" s="1">
        <f ca="1" t="shared" si="319"/>
        <v>40529500</v>
      </c>
      <c r="R893" s="1">
        <f ca="1" t="shared" si="320"/>
        <v>22291800</v>
      </c>
      <c r="S893" s="30"/>
      <c r="T893" s="30"/>
      <c r="U893" s="1">
        <f ca="1" t="shared" si="321"/>
        <v>29400</v>
      </c>
      <c r="V893" s="1">
        <f ca="1" t="shared" si="322"/>
        <v>14715.2</v>
      </c>
      <c r="W893" s="30"/>
      <c r="X893" s="30"/>
      <c r="Z893" s="44">
        <f ca="1" t="shared" si="323"/>
        <v>1926720</v>
      </c>
      <c r="AA893" s="44">
        <f ca="1" t="shared" si="324"/>
        <v>60000</v>
      </c>
      <c r="AB893" s="44">
        <f ca="1" t="shared" si="325"/>
        <v>400000</v>
      </c>
      <c r="AC893" s="44">
        <f ca="1" t="shared" si="326"/>
        <v>50000</v>
      </c>
      <c r="AD893" s="45">
        <f ca="1" t="shared" si="327"/>
        <v>1200</v>
      </c>
      <c r="AE893" s="45">
        <f ca="1" t="shared" si="328"/>
        <v>130</v>
      </c>
      <c r="AF893" s="45">
        <f ca="1" t="shared" si="329"/>
        <v>40</v>
      </c>
      <c r="AG893" s="45">
        <f ca="1" t="shared" si="330"/>
        <v>266.666666666666</v>
      </c>
      <c r="AH893" s="45">
        <f ca="1" t="shared" si="331"/>
        <v>0</v>
      </c>
    </row>
    <row r="894" spans="2:34">
      <c r="B894" s="10">
        <v>14</v>
      </c>
      <c r="C894" s="1">
        <f ca="1">养成规划!V35</f>
        <v>5</v>
      </c>
      <c r="D894" s="1" t="str">
        <f>IF(养成规划!F35="","",养成规划!F35)</f>
        <v/>
      </c>
      <c r="E894" s="1" t="str">
        <f ca="1">IFERROR(C894*OFFSET('107_兵卡等级'!$G$6,MATCH(D894,'107_兵卡等级'!$B$6:$B$205,0)-1,0),"")</f>
        <v/>
      </c>
      <c r="F894" s="1" t="str">
        <f ca="1">IFERROR(C894*OFFSET('107_兵卡等级'!$I$6,MATCH(D894,'107_兵卡等级'!$B$6:$B$205,0)-1,0),"")</f>
        <v/>
      </c>
      <c r="G894" s="15" t="str">
        <f>IF(养成规划!E114="","",养成规划!E114)</f>
        <v/>
      </c>
      <c r="H894" s="1">
        <f ca="1">'206_副本挂机'!F154</f>
        <v>20835360</v>
      </c>
      <c r="I894" s="1">
        <f ca="1">'208_黑市'!L35</f>
        <v>630000</v>
      </c>
      <c r="J894" s="1">
        <f ca="1">'210_活动'!R35</f>
        <v>2800000</v>
      </c>
      <c r="K894" s="1">
        <f ca="1">'211_VIP宝箱'!L35</f>
        <v>525000</v>
      </c>
      <c r="L894" s="15">
        <f ca="1">'206_副本挂机'!I154</f>
        <v>12787.2</v>
      </c>
      <c r="M894" s="15">
        <f ca="1">'202_黑鸦营地'!I84</f>
        <v>1278</v>
      </c>
      <c r="N894" s="15">
        <f ca="1">'208_黑市'!O35</f>
        <v>420</v>
      </c>
      <c r="O894" s="15">
        <f ca="1">'210_活动'!U35</f>
        <v>1866.66666666666</v>
      </c>
      <c r="P894" s="15">
        <f ca="1">'212_VIP商店'!L35</f>
        <v>142.857142857143</v>
      </c>
      <c r="Q894" s="1" t="str">
        <f ca="1" t="shared" si="319"/>
        <v/>
      </c>
      <c r="R894" s="1">
        <f ca="1" t="shared" si="320"/>
        <v>24790360</v>
      </c>
      <c r="S894" s="30"/>
      <c r="T894" s="30"/>
      <c r="U894" s="1" t="str">
        <f ca="1" t="shared" si="321"/>
        <v/>
      </c>
      <c r="V894" s="1">
        <f ca="1" t="shared" si="322"/>
        <v>16494.7238095238</v>
      </c>
      <c r="W894" s="30"/>
      <c r="X894" s="30"/>
      <c r="Z894" s="44">
        <f ca="1" t="shared" si="323"/>
        <v>1978560</v>
      </c>
      <c r="AA894" s="44">
        <f ca="1" t="shared" si="324"/>
        <v>60000</v>
      </c>
      <c r="AB894" s="44">
        <f ca="1" t="shared" si="325"/>
        <v>400000</v>
      </c>
      <c r="AC894" s="44">
        <f ca="1" t="shared" si="326"/>
        <v>60000</v>
      </c>
      <c r="AD894" s="45">
        <f ca="1" t="shared" si="327"/>
        <v>1200</v>
      </c>
      <c r="AE894" s="45">
        <f ca="1" t="shared" si="328"/>
        <v>130</v>
      </c>
      <c r="AF894" s="45">
        <f ca="1" t="shared" si="329"/>
        <v>40</v>
      </c>
      <c r="AG894" s="45">
        <f ca="1" t="shared" si="330"/>
        <v>266.666666666666</v>
      </c>
      <c r="AH894" s="45">
        <f ca="1" t="shared" si="331"/>
        <v>142.857142857143</v>
      </c>
    </row>
    <row r="895" spans="2:34">
      <c r="B895" s="10">
        <v>15</v>
      </c>
      <c r="C895" s="1">
        <f ca="1">养成规划!V36</f>
        <v>5</v>
      </c>
      <c r="D895" s="1" t="str">
        <f>IF(养成规划!F36="","",养成规划!F36)</f>
        <v/>
      </c>
      <c r="E895" s="1" t="str">
        <f ca="1">IFERROR(C895*OFFSET('107_兵卡等级'!$G$6,MATCH(D895,'107_兵卡等级'!$B$6:$B$205,0)-1,0),"")</f>
        <v/>
      </c>
      <c r="F895" s="1" t="str">
        <f ca="1">IFERROR(C895*OFFSET('107_兵卡等级'!$I$6,MATCH(D895,'107_兵卡等级'!$B$6:$B$205,0)-1,0),"")</f>
        <v/>
      </c>
      <c r="G895" s="15" t="str">
        <f>IF(养成规划!E115="","",养成规划!E115)</f>
        <v/>
      </c>
      <c r="H895" s="1">
        <f ca="1">'206_副本挂机'!F155</f>
        <v>22865760</v>
      </c>
      <c r="I895" s="1">
        <f ca="1">'208_黑市'!L36</f>
        <v>750000</v>
      </c>
      <c r="J895" s="1">
        <f ca="1">'210_活动'!R36</f>
        <v>3600000</v>
      </c>
      <c r="K895" s="1">
        <f ca="1">'211_VIP宝箱'!L36</f>
        <v>585000</v>
      </c>
      <c r="L895" s="15">
        <f ca="1">'206_副本挂机'!I155</f>
        <v>14035.2</v>
      </c>
      <c r="M895" s="15">
        <f ca="1">'202_黑鸦营地'!I85</f>
        <v>1408</v>
      </c>
      <c r="N895" s="15">
        <f ca="1">'208_黑市'!O36</f>
        <v>500</v>
      </c>
      <c r="O895" s="15">
        <f ca="1">'210_活动'!U36</f>
        <v>2399.99999999999</v>
      </c>
      <c r="P895" s="15">
        <f ca="1">'212_VIP商店'!L36</f>
        <v>285.714285714286</v>
      </c>
      <c r="Q895" s="1" t="str">
        <f ca="1" t="shared" si="319"/>
        <v/>
      </c>
      <c r="R895" s="1">
        <f ca="1" t="shared" si="320"/>
        <v>27800760</v>
      </c>
      <c r="S895" s="30"/>
      <c r="T895" s="30"/>
      <c r="U895" s="1" t="str">
        <f ca="1" t="shared" si="321"/>
        <v/>
      </c>
      <c r="V895" s="1">
        <f ca="1" t="shared" si="322"/>
        <v>18628.9142857143</v>
      </c>
      <c r="W895" s="30"/>
      <c r="X895" s="30"/>
      <c r="Z895" s="44">
        <f ca="1" t="shared" si="323"/>
        <v>2030400</v>
      </c>
      <c r="AA895" s="44">
        <f ca="1" t="shared" si="324"/>
        <v>120000</v>
      </c>
      <c r="AB895" s="44">
        <f ca="1" t="shared" si="325"/>
        <v>800000</v>
      </c>
      <c r="AC895" s="44">
        <f ca="1" t="shared" si="326"/>
        <v>60000</v>
      </c>
      <c r="AD895" s="45">
        <f ca="1" t="shared" si="327"/>
        <v>1248</v>
      </c>
      <c r="AE895" s="45">
        <f ca="1" t="shared" si="328"/>
        <v>130</v>
      </c>
      <c r="AF895" s="45">
        <f ca="1" t="shared" si="329"/>
        <v>80</v>
      </c>
      <c r="AG895" s="45">
        <f ca="1" t="shared" si="330"/>
        <v>533.333333333332</v>
      </c>
      <c r="AH895" s="45">
        <f ca="1" t="shared" si="331"/>
        <v>142.857142857143</v>
      </c>
    </row>
    <row r="896" spans="2:34">
      <c r="B896" s="10">
        <v>16</v>
      </c>
      <c r="C896" s="1">
        <f ca="1">养成规划!V37</f>
        <v>5</v>
      </c>
      <c r="D896" s="1" t="str">
        <f>IF(养成规划!F37="","",养成规划!F37)</f>
        <v/>
      </c>
      <c r="E896" s="1" t="str">
        <f ca="1">IFERROR(C896*OFFSET('107_兵卡等级'!$G$6,MATCH(D896,'107_兵卡等级'!$B$6:$B$205,0)-1,0),"")</f>
        <v/>
      </c>
      <c r="F896" s="1" t="str">
        <f ca="1">IFERROR(C896*OFFSET('107_兵卡等级'!$I$6,MATCH(D896,'107_兵卡等级'!$B$6:$B$205,0)-1,0),"")</f>
        <v/>
      </c>
      <c r="G896" s="15" t="str">
        <f>IF(养成规划!E116="","",养成规划!E116)</f>
        <v/>
      </c>
      <c r="H896" s="1">
        <f ca="1">'206_副本挂机'!F156</f>
        <v>24939360</v>
      </c>
      <c r="I896" s="1">
        <f ca="1">'208_黑市'!L37</f>
        <v>870000</v>
      </c>
      <c r="J896" s="1">
        <f ca="1">'210_活动'!R37</f>
        <v>4400000</v>
      </c>
      <c r="K896" s="1">
        <f ca="1">'211_VIP宝箱'!L37</f>
        <v>645000</v>
      </c>
      <c r="L896" s="15">
        <f ca="1">'206_副本挂机'!I156</f>
        <v>15283.2</v>
      </c>
      <c r="M896" s="15">
        <f ca="1">'202_黑鸦营地'!I86</f>
        <v>1538</v>
      </c>
      <c r="N896" s="15">
        <f ca="1">'208_黑市'!O37</f>
        <v>580</v>
      </c>
      <c r="O896" s="15">
        <f ca="1">'210_活动'!U37</f>
        <v>2933.33333333333</v>
      </c>
      <c r="P896" s="15">
        <f ca="1">'212_VIP商店'!L37</f>
        <v>428.571428571429</v>
      </c>
      <c r="Q896" s="1" t="str">
        <f ca="1" t="shared" si="319"/>
        <v/>
      </c>
      <c r="R896" s="1">
        <f ca="1" t="shared" si="320"/>
        <v>30854360</v>
      </c>
      <c r="S896" s="30"/>
      <c r="T896" s="30"/>
      <c r="U896" s="1" t="str">
        <f ca="1" t="shared" si="321"/>
        <v/>
      </c>
      <c r="V896" s="1">
        <f ca="1" t="shared" si="322"/>
        <v>20763.1047619048</v>
      </c>
      <c r="W896" s="30"/>
      <c r="X896" s="30"/>
      <c r="Z896" s="44">
        <f ca="1" t="shared" si="323"/>
        <v>2073600</v>
      </c>
      <c r="AA896" s="44">
        <f ca="1" t="shared" si="324"/>
        <v>120000</v>
      </c>
      <c r="AB896" s="44">
        <f ca="1" t="shared" si="325"/>
        <v>800000</v>
      </c>
      <c r="AC896" s="44">
        <f ca="1" t="shared" si="326"/>
        <v>60000</v>
      </c>
      <c r="AD896" s="45">
        <f ca="1" t="shared" si="327"/>
        <v>1248</v>
      </c>
      <c r="AE896" s="45">
        <f ca="1" t="shared" si="328"/>
        <v>130</v>
      </c>
      <c r="AF896" s="45">
        <f ca="1" t="shared" si="329"/>
        <v>80</v>
      </c>
      <c r="AG896" s="45">
        <f ca="1" t="shared" si="330"/>
        <v>533.333333333332</v>
      </c>
      <c r="AH896" s="45">
        <f ca="1" t="shared" si="331"/>
        <v>142.857142857143</v>
      </c>
    </row>
    <row r="897" spans="2:34">
      <c r="B897" s="10">
        <v>17</v>
      </c>
      <c r="C897" s="1">
        <f ca="1">养成规划!V38</f>
        <v>5</v>
      </c>
      <c r="D897" s="1" t="str">
        <f>IF(养成规划!F38="","",养成规划!F38)</f>
        <v/>
      </c>
      <c r="E897" s="1" t="str">
        <f ca="1">IFERROR(C897*OFFSET('107_兵卡等级'!$G$6,MATCH(D897,'107_兵卡等级'!$B$6:$B$205,0)-1,0),"")</f>
        <v/>
      </c>
      <c r="F897" s="1" t="str">
        <f ca="1">IFERROR(C897*OFFSET('107_兵卡等级'!$I$6,MATCH(D897,'107_兵卡等级'!$B$6:$B$205,0)-1,0),"")</f>
        <v/>
      </c>
      <c r="G897" s="15" t="str">
        <f>IF(养成规划!E117="","",养成规划!E117)</f>
        <v/>
      </c>
      <c r="H897" s="1">
        <f ca="1">'206_副本挂机'!F157</f>
        <v>27064800</v>
      </c>
      <c r="I897" s="1">
        <f ca="1">'208_黑市'!L38</f>
        <v>990000</v>
      </c>
      <c r="J897" s="1">
        <f ca="1">'210_活动'!R38</f>
        <v>5200000</v>
      </c>
      <c r="K897" s="1">
        <f ca="1">'211_VIP宝箱'!L38</f>
        <v>705000</v>
      </c>
      <c r="L897" s="15">
        <f ca="1">'206_副本挂机'!I157</f>
        <v>16579.2</v>
      </c>
      <c r="M897" s="15">
        <f ca="1">'202_黑鸦营地'!I87</f>
        <v>1668</v>
      </c>
      <c r="N897" s="15">
        <f ca="1">'208_黑市'!O38</f>
        <v>660</v>
      </c>
      <c r="O897" s="15">
        <f ca="1">'210_活动'!U38</f>
        <v>3466.66666666666</v>
      </c>
      <c r="P897" s="15">
        <f ca="1">'212_VIP商店'!L38</f>
        <v>571.428571428572</v>
      </c>
      <c r="Q897" s="1" t="str">
        <f ca="1" t="shared" ref="Q897:Q928" si="332">E897</f>
        <v/>
      </c>
      <c r="R897" s="1">
        <f ca="1" t="shared" ref="R897:R928" si="333">SUM(H897:K897)</f>
        <v>33959800</v>
      </c>
      <c r="S897" s="30"/>
      <c r="T897" s="30"/>
      <c r="U897" s="1" t="str">
        <f ca="1" t="shared" ref="U897:U928" si="334">F897</f>
        <v/>
      </c>
      <c r="V897" s="1">
        <f ca="1" t="shared" ref="V897:V928" si="335">SUM(L897:P897)</f>
        <v>22945.2952380952</v>
      </c>
      <c r="W897" s="30"/>
      <c r="X897" s="30"/>
      <c r="Z897" s="44">
        <f ca="1" t="shared" si="323"/>
        <v>2125440</v>
      </c>
      <c r="AA897" s="44">
        <f ca="1" t="shared" si="324"/>
        <v>120000</v>
      </c>
      <c r="AB897" s="44">
        <f ca="1" t="shared" si="325"/>
        <v>800000</v>
      </c>
      <c r="AC897" s="44">
        <f ca="1" t="shared" si="326"/>
        <v>60000</v>
      </c>
      <c r="AD897" s="45">
        <f ca="1" t="shared" si="327"/>
        <v>1296</v>
      </c>
      <c r="AE897" s="45">
        <f ca="1" t="shared" si="328"/>
        <v>130</v>
      </c>
      <c r="AF897" s="45">
        <f ca="1" t="shared" si="329"/>
        <v>80</v>
      </c>
      <c r="AG897" s="45">
        <f ca="1" t="shared" si="330"/>
        <v>533.333333333332</v>
      </c>
      <c r="AH897" s="45">
        <f ca="1" t="shared" si="331"/>
        <v>142.857142857143</v>
      </c>
    </row>
    <row r="898" spans="2:34">
      <c r="B898" s="10">
        <v>18</v>
      </c>
      <c r="C898" s="1">
        <f ca="1">养成规划!V39</f>
        <v>5</v>
      </c>
      <c r="D898" s="1" t="str">
        <f>IF(养成规划!F39="","",养成规划!F39)</f>
        <v/>
      </c>
      <c r="E898" s="1" t="str">
        <f ca="1">IFERROR(C898*OFFSET('107_兵卡等级'!$G$6,MATCH(D898,'107_兵卡等级'!$B$6:$B$205,0)-1,0),"")</f>
        <v/>
      </c>
      <c r="F898" s="1" t="str">
        <f ca="1">IFERROR(C898*OFFSET('107_兵卡等级'!$I$6,MATCH(D898,'107_兵卡等级'!$B$6:$B$205,0)-1,0),"")</f>
        <v/>
      </c>
      <c r="G898" s="15" t="str">
        <f>IF(养成规划!E118="","",养成规划!E118)</f>
        <v/>
      </c>
      <c r="H898" s="1">
        <f ca="1">'206_副本挂机'!F158</f>
        <v>29242080</v>
      </c>
      <c r="I898" s="1">
        <f ca="1">'208_黑市'!L39</f>
        <v>1110000</v>
      </c>
      <c r="J898" s="1">
        <f ca="1">'210_活动'!R39</f>
        <v>6000000</v>
      </c>
      <c r="K898" s="1">
        <f ca="1">'211_VIP宝箱'!L39</f>
        <v>765000</v>
      </c>
      <c r="L898" s="15">
        <f ca="1">'206_副本挂机'!I158</f>
        <v>17923.2</v>
      </c>
      <c r="M898" s="15">
        <f ca="1">'202_黑鸦营地'!I88</f>
        <v>1798</v>
      </c>
      <c r="N898" s="15">
        <f ca="1">'208_黑市'!O39</f>
        <v>740</v>
      </c>
      <c r="O898" s="15">
        <f ca="1">'210_活动'!U39</f>
        <v>3999.99999999999</v>
      </c>
      <c r="P898" s="15">
        <f ca="1">'212_VIP商店'!L39</f>
        <v>714.285714285715</v>
      </c>
      <c r="Q898" s="1" t="str">
        <f ca="1" t="shared" si="332"/>
        <v/>
      </c>
      <c r="R898" s="1">
        <f ca="1" t="shared" si="333"/>
        <v>37117080</v>
      </c>
      <c r="S898" s="30"/>
      <c r="T898" s="30"/>
      <c r="U898" s="1" t="str">
        <f ca="1" t="shared" si="334"/>
        <v/>
      </c>
      <c r="V898" s="1">
        <f ca="1" t="shared" si="335"/>
        <v>25175.4857142857</v>
      </c>
      <c r="W898" s="30"/>
      <c r="X898" s="30"/>
      <c r="Z898" s="44">
        <f ca="1" t="shared" ref="Z898:Z929" si="336">(H898-H897)/($B898-$B897)</f>
        <v>2177280</v>
      </c>
      <c r="AA898" s="44">
        <f ca="1" t="shared" ref="AA898:AA929" si="337">(I898-I897)/($B898-$B897)</f>
        <v>120000</v>
      </c>
      <c r="AB898" s="44">
        <f ca="1" t="shared" ref="AB898:AB929" si="338">(J898-J897)/($B898-$B897)</f>
        <v>800000</v>
      </c>
      <c r="AC898" s="44">
        <f ca="1" t="shared" ref="AC898:AC929" si="339">(K898-K897)/($B898-$B897)</f>
        <v>60000</v>
      </c>
      <c r="AD898" s="45">
        <f ca="1" t="shared" ref="AD898:AD929" si="340">(L898-L897)/($B898-$B897)</f>
        <v>1344</v>
      </c>
      <c r="AE898" s="45">
        <f ca="1" t="shared" ref="AE898:AE929" si="341">(M898-M897)/($B898-$B897)</f>
        <v>130</v>
      </c>
      <c r="AF898" s="45">
        <f ca="1" t="shared" ref="AF898:AF929" si="342">(N898-N897)/($B898-$B897)</f>
        <v>80</v>
      </c>
      <c r="AG898" s="45">
        <f ca="1" t="shared" ref="AG898:AG929" si="343">(O898-O897)/($B898-$B897)</f>
        <v>533.333333333332</v>
      </c>
      <c r="AH898" s="45">
        <f ca="1" t="shared" ref="AH898:AH929" si="344">(P898-P897)/($B898-$B897)</f>
        <v>142.857142857143</v>
      </c>
    </row>
    <row r="899" spans="2:34">
      <c r="B899" s="10">
        <v>19</v>
      </c>
      <c r="C899" s="1">
        <f ca="1">养成规划!V40</f>
        <v>5</v>
      </c>
      <c r="D899" s="1" t="str">
        <f>IF(养成规划!F40="","",养成规划!F40)</f>
        <v/>
      </c>
      <c r="E899" s="1" t="str">
        <f ca="1">IFERROR(C899*OFFSET('107_兵卡等级'!$G$6,MATCH(D899,'107_兵卡等级'!$B$6:$B$205,0)-1,0),"")</f>
        <v/>
      </c>
      <c r="F899" s="1" t="str">
        <f ca="1">IFERROR(C899*OFFSET('107_兵卡等级'!$I$6,MATCH(D899,'107_兵卡等级'!$B$6:$B$205,0)-1,0),"")</f>
        <v/>
      </c>
      <c r="G899" s="15" t="str">
        <f>IF(养成规划!E119="","",养成规划!E119)</f>
        <v/>
      </c>
      <c r="H899" s="1">
        <f ca="1">'206_副本挂机'!F159</f>
        <v>31471200</v>
      </c>
      <c r="I899" s="1">
        <f ca="1">'208_黑市'!L40</f>
        <v>1230000</v>
      </c>
      <c r="J899" s="1">
        <f ca="1">'210_活动'!R40</f>
        <v>6800000</v>
      </c>
      <c r="K899" s="1">
        <f ca="1">'211_VIP宝箱'!L40</f>
        <v>825000</v>
      </c>
      <c r="L899" s="15">
        <f ca="1">'206_副本挂机'!I159</f>
        <v>19267.2</v>
      </c>
      <c r="M899" s="15">
        <f ca="1">'202_黑鸦营地'!I89</f>
        <v>1928</v>
      </c>
      <c r="N899" s="15">
        <f ca="1">'208_黑市'!O40</f>
        <v>820</v>
      </c>
      <c r="O899" s="15">
        <f ca="1">'210_活动'!U40</f>
        <v>4533.33333333332</v>
      </c>
      <c r="P899" s="15">
        <f ca="1">'212_VIP商店'!L40</f>
        <v>857.142857142858</v>
      </c>
      <c r="Q899" s="1" t="str">
        <f ca="1" t="shared" si="332"/>
        <v/>
      </c>
      <c r="R899" s="1">
        <f ca="1" t="shared" si="333"/>
        <v>40326200</v>
      </c>
      <c r="S899" s="30"/>
      <c r="T899" s="30"/>
      <c r="U899" s="1" t="str">
        <f ca="1" t="shared" si="334"/>
        <v/>
      </c>
      <c r="V899" s="1">
        <f ca="1" t="shared" si="335"/>
        <v>27405.6761904762</v>
      </c>
      <c r="W899" s="30"/>
      <c r="X899" s="30"/>
      <c r="Z899" s="44">
        <f ca="1" t="shared" si="336"/>
        <v>2229120</v>
      </c>
      <c r="AA899" s="44">
        <f ca="1" t="shared" si="337"/>
        <v>120000</v>
      </c>
      <c r="AB899" s="44">
        <f ca="1" t="shared" si="338"/>
        <v>800000</v>
      </c>
      <c r="AC899" s="44">
        <f ca="1" t="shared" si="339"/>
        <v>60000</v>
      </c>
      <c r="AD899" s="45">
        <f ca="1" t="shared" si="340"/>
        <v>1344</v>
      </c>
      <c r="AE899" s="45">
        <f ca="1" t="shared" si="341"/>
        <v>130</v>
      </c>
      <c r="AF899" s="45">
        <f ca="1" t="shared" si="342"/>
        <v>80</v>
      </c>
      <c r="AG899" s="45">
        <f ca="1" t="shared" si="343"/>
        <v>533.333333333332</v>
      </c>
      <c r="AH899" s="45">
        <f ca="1" t="shared" si="344"/>
        <v>142.857142857143</v>
      </c>
    </row>
    <row r="900" spans="2:34">
      <c r="B900" s="10">
        <v>20</v>
      </c>
      <c r="C900" s="1">
        <f ca="1">养成规划!V41</f>
        <v>5</v>
      </c>
      <c r="D900" s="1" t="str">
        <f>IF(养成规划!F41="","",养成规划!F41)</f>
        <v/>
      </c>
      <c r="E900" s="1" t="str">
        <f ca="1">IFERROR(C900*OFFSET('107_兵卡等级'!$G$6,MATCH(D900,'107_兵卡等级'!$B$6:$B$205,0)-1,0),"")</f>
        <v/>
      </c>
      <c r="F900" s="1" t="str">
        <f ca="1">IFERROR(C900*OFFSET('107_兵卡等级'!$I$6,MATCH(D900,'107_兵卡等级'!$B$6:$B$205,0)-1,0),"")</f>
        <v/>
      </c>
      <c r="G900" s="15" t="str">
        <f>IF(养成规划!E120="","",养成规划!E120)</f>
        <v/>
      </c>
      <c r="H900" s="1">
        <f ca="1">'206_副本挂机'!F160</f>
        <v>33743520</v>
      </c>
      <c r="I900" s="1">
        <f ca="1">'208_黑市'!L41</f>
        <v>1350000</v>
      </c>
      <c r="J900" s="1">
        <f ca="1">'210_活动'!R41</f>
        <v>7600000</v>
      </c>
      <c r="K900" s="1">
        <f ca="1">'211_VIP宝箱'!L41</f>
        <v>895000</v>
      </c>
      <c r="L900" s="15">
        <f ca="1">'206_副本挂机'!I160</f>
        <v>20659.2</v>
      </c>
      <c r="M900" s="15">
        <f ca="1">'202_黑鸦营地'!I90</f>
        <v>2058</v>
      </c>
      <c r="N900" s="15">
        <f ca="1">'208_黑市'!O41</f>
        <v>900</v>
      </c>
      <c r="O900" s="15">
        <f ca="1">'210_活动'!U41</f>
        <v>5066.66666666665</v>
      </c>
      <c r="P900" s="15">
        <f ca="1">'212_VIP商店'!L41</f>
        <v>1000</v>
      </c>
      <c r="Q900" s="1" t="str">
        <f ca="1" t="shared" si="332"/>
        <v/>
      </c>
      <c r="R900" s="1">
        <f ca="1" t="shared" si="333"/>
        <v>43588520</v>
      </c>
      <c r="S900" s="30"/>
      <c r="T900" s="30"/>
      <c r="U900" s="1" t="str">
        <f ca="1" t="shared" si="334"/>
        <v/>
      </c>
      <c r="V900" s="1">
        <f ca="1" t="shared" si="335"/>
        <v>29683.8666666667</v>
      </c>
      <c r="W900" s="30"/>
      <c r="X900" s="30"/>
      <c r="Z900" s="44">
        <f ca="1" t="shared" si="336"/>
        <v>2272320</v>
      </c>
      <c r="AA900" s="44">
        <f ca="1" t="shared" si="337"/>
        <v>120000</v>
      </c>
      <c r="AB900" s="44">
        <f ca="1" t="shared" si="338"/>
        <v>800000</v>
      </c>
      <c r="AC900" s="44">
        <f ca="1" t="shared" si="339"/>
        <v>70000</v>
      </c>
      <c r="AD900" s="45">
        <f ca="1" t="shared" si="340"/>
        <v>1392</v>
      </c>
      <c r="AE900" s="45">
        <f ca="1" t="shared" si="341"/>
        <v>130</v>
      </c>
      <c r="AF900" s="45">
        <f ca="1" t="shared" si="342"/>
        <v>80</v>
      </c>
      <c r="AG900" s="45">
        <f ca="1" t="shared" si="343"/>
        <v>533.333333333332</v>
      </c>
      <c r="AH900" s="45">
        <f ca="1" t="shared" si="344"/>
        <v>142.857142857143</v>
      </c>
    </row>
    <row r="901" spans="2:34">
      <c r="B901" s="10">
        <v>21</v>
      </c>
      <c r="C901" s="1">
        <f ca="1">养成规划!V42</f>
        <v>5</v>
      </c>
      <c r="D901" s="1" t="str">
        <f>IF(养成规划!F42="","",养成规划!F42)</f>
        <v/>
      </c>
      <c r="E901" s="1" t="str">
        <f ca="1">IFERROR(C901*OFFSET('107_兵卡等级'!$G$6,MATCH(D901,'107_兵卡等级'!$B$6:$B$205,0)-1,0),"")</f>
        <v/>
      </c>
      <c r="F901" s="1" t="str">
        <f ca="1">IFERROR(C901*OFFSET('107_兵卡等级'!$I$6,MATCH(D901,'107_兵卡等级'!$B$6:$B$205,0)-1,0),"")</f>
        <v/>
      </c>
      <c r="G901" s="15" t="str">
        <f>IF(养成规划!E121="","",养成规划!E121)</f>
        <v/>
      </c>
      <c r="H901" s="1">
        <f ca="1">'206_副本挂机'!F161</f>
        <v>36067680</v>
      </c>
      <c r="I901" s="1">
        <f ca="1">'208_黑市'!L42</f>
        <v>1470000</v>
      </c>
      <c r="J901" s="1">
        <f ca="1">'210_活动'!R42</f>
        <v>8400000</v>
      </c>
      <c r="K901" s="1">
        <f ca="1">'211_VIP宝箱'!L42</f>
        <v>965000</v>
      </c>
      <c r="L901" s="15">
        <f ca="1">'206_副本挂机'!I161</f>
        <v>22099.2</v>
      </c>
      <c r="M901" s="15">
        <f ca="1">'202_黑鸦营地'!I91</f>
        <v>2188</v>
      </c>
      <c r="N901" s="15">
        <f ca="1">'208_黑市'!O42</f>
        <v>980</v>
      </c>
      <c r="O901" s="15">
        <f ca="1">'210_活动'!U42</f>
        <v>5599.99999999999</v>
      </c>
      <c r="P901" s="15">
        <f ca="1">'212_VIP商店'!L42</f>
        <v>1142.85714285714</v>
      </c>
      <c r="Q901" s="1" t="str">
        <f ca="1" t="shared" si="332"/>
        <v/>
      </c>
      <c r="R901" s="1">
        <f ca="1" t="shared" si="333"/>
        <v>46902680</v>
      </c>
      <c r="S901" s="30"/>
      <c r="T901" s="30"/>
      <c r="U901" s="1" t="str">
        <f ca="1" t="shared" si="334"/>
        <v/>
      </c>
      <c r="V901" s="1">
        <f ca="1" t="shared" si="335"/>
        <v>32010.0571428571</v>
      </c>
      <c r="W901" s="30"/>
      <c r="X901" s="30"/>
      <c r="Z901" s="44">
        <f ca="1" t="shared" si="336"/>
        <v>2324160</v>
      </c>
      <c r="AA901" s="44">
        <f ca="1" t="shared" si="337"/>
        <v>120000</v>
      </c>
      <c r="AB901" s="44">
        <f ca="1" t="shared" si="338"/>
        <v>800000</v>
      </c>
      <c r="AC901" s="44">
        <f ca="1" t="shared" si="339"/>
        <v>70000</v>
      </c>
      <c r="AD901" s="45">
        <f ca="1" t="shared" si="340"/>
        <v>1440</v>
      </c>
      <c r="AE901" s="45">
        <f ca="1" t="shared" si="341"/>
        <v>130</v>
      </c>
      <c r="AF901" s="45">
        <f ca="1" t="shared" si="342"/>
        <v>80</v>
      </c>
      <c r="AG901" s="45">
        <f ca="1" t="shared" si="343"/>
        <v>533.333333333332</v>
      </c>
      <c r="AH901" s="45">
        <f ca="1" t="shared" si="344"/>
        <v>142.857142857143</v>
      </c>
    </row>
    <row r="902" spans="2:34">
      <c r="B902" s="10">
        <v>22</v>
      </c>
      <c r="C902" s="1">
        <f ca="1">养成规划!V43</f>
        <v>5</v>
      </c>
      <c r="D902" s="1" t="str">
        <f>IF(养成规划!F43="","",养成规划!F43)</f>
        <v/>
      </c>
      <c r="E902" s="1" t="str">
        <f ca="1">IFERROR(C902*OFFSET('107_兵卡等级'!$G$6,MATCH(D902,'107_兵卡等级'!$B$6:$B$205,0)-1,0),"")</f>
        <v/>
      </c>
      <c r="F902" s="1" t="str">
        <f ca="1">IFERROR(C902*OFFSET('107_兵卡等级'!$I$6,MATCH(D902,'107_兵卡等级'!$B$6:$B$205,0)-1,0),"")</f>
        <v/>
      </c>
      <c r="G902" s="15" t="str">
        <f>IF(养成规划!E122="","",养成规划!E122)</f>
        <v/>
      </c>
      <c r="H902" s="1">
        <f ca="1">'206_副本挂机'!F162</f>
        <v>38443680</v>
      </c>
      <c r="I902" s="1">
        <f ca="1">'208_黑市'!L43</f>
        <v>1590000</v>
      </c>
      <c r="J902" s="1">
        <f ca="1">'210_活动'!R43</f>
        <v>9200000</v>
      </c>
      <c r="K902" s="1">
        <f ca="1">'211_VIP宝箱'!L43</f>
        <v>1035000</v>
      </c>
      <c r="L902" s="15">
        <f ca="1">'206_副本挂机'!I162</f>
        <v>23539.2</v>
      </c>
      <c r="M902" s="15">
        <f ca="1">'202_黑鸦营地'!I92</f>
        <v>2318</v>
      </c>
      <c r="N902" s="15">
        <f ca="1">'208_黑市'!O43</f>
        <v>1060</v>
      </c>
      <c r="O902" s="15">
        <f ca="1">'210_活动'!U43</f>
        <v>6133.33333333332</v>
      </c>
      <c r="P902" s="15">
        <f ca="1">'212_VIP商店'!L43</f>
        <v>1285.71428571429</v>
      </c>
      <c r="Q902" s="1" t="str">
        <f ca="1" t="shared" si="332"/>
        <v/>
      </c>
      <c r="R902" s="1">
        <f ca="1" t="shared" si="333"/>
        <v>50268680</v>
      </c>
      <c r="S902" s="30"/>
      <c r="T902" s="30"/>
      <c r="U902" s="1" t="str">
        <f ca="1" t="shared" si="334"/>
        <v/>
      </c>
      <c r="V902" s="1">
        <f ca="1" t="shared" si="335"/>
        <v>34336.2476190476</v>
      </c>
      <c r="W902" s="30"/>
      <c r="X902" s="30"/>
      <c r="Z902" s="44">
        <f ca="1" t="shared" si="336"/>
        <v>2376000</v>
      </c>
      <c r="AA902" s="44">
        <f ca="1" t="shared" si="337"/>
        <v>120000</v>
      </c>
      <c r="AB902" s="44">
        <f ca="1" t="shared" si="338"/>
        <v>800000</v>
      </c>
      <c r="AC902" s="44">
        <f ca="1" t="shared" si="339"/>
        <v>70000</v>
      </c>
      <c r="AD902" s="45">
        <f ca="1" t="shared" si="340"/>
        <v>1440</v>
      </c>
      <c r="AE902" s="45">
        <f ca="1" t="shared" si="341"/>
        <v>130</v>
      </c>
      <c r="AF902" s="45">
        <f ca="1" t="shared" si="342"/>
        <v>80</v>
      </c>
      <c r="AG902" s="45">
        <f ca="1" t="shared" si="343"/>
        <v>533.333333333332</v>
      </c>
      <c r="AH902" s="45">
        <f ca="1" t="shared" si="344"/>
        <v>142.857142857143</v>
      </c>
    </row>
    <row r="903" spans="2:34">
      <c r="B903" s="10">
        <v>23</v>
      </c>
      <c r="C903" s="1">
        <f ca="1">养成规划!V44</f>
        <v>5</v>
      </c>
      <c r="D903" s="1" t="str">
        <f>IF(养成规划!F44="","",养成规划!F44)</f>
        <v/>
      </c>
      <c r="E903" s="1" t="str">
        <f ca="1">IFERROR(C903*OFFSET('107_兵卡等级'!$G$6,MATCH(D903,'107_兵卡等级'!$B$6:$B$205,0)-1,0),"")</f>
        <v/>
      </c>
      <c r="F903" s="1" t="str">
        <f ca="1">IFERROR(C903*OFFSET('107_兵卡等级'!$I$6,MATCH(D903,'107_兵卡等级'!$B$6:$B$205,0)-1,0),"")</f>
        <v/>
      </c>
      <c r="G903" s="15">
        <f>IF(养成规划!E123="","",养成规划!E123)</f>
        <v>4</v>
      </c>
      <c r="H903" s="1">
        <f ca="1">'206_副本挂机'!F163</f>
        <v>40871520</v>
      </c>
      <c r="I903" s="1">
        <f ca="1">'208_黑市'!L44</f>
        <v>1710000</v>
      </c>
      <c r="J903" s="1">
        <f ca="1">'210_活动'!R44</f>
        <v>10000000</v>
      </c>
      <c r="K903" s="1">
        <f ca="1">'211_VIP宝箱'!L44</f>
        <v>1105000</v>
      </c>
      <c r="L903" s="15">
        <f ca="1">'206_副本挂机'!I163</f>
        <v>25027.2</v>
      </c>
      <c r="M903" s="15">
        <f ca="1">'202_黑鸦营地'!I93</f>
        <v>2448</v>
      </c>
      <c r="N903" s="15">
        <f ca="1">'208_黑市'!O44</f>
        <v>1140</v>
      </c>
      <c r="O903" s="15">
        <f ca="1">'210_活动'!U44</f>
        <v>6666.66666666665</v>
      </c>
      <c r="P903" s="15">
        <f ca="1">'212_VIP商店'!L44</f>
        <v>1428.57142857143</v>
      </c>
      <c r="Q903" s="1" t="str">
        <f ca="1" t="shared" si="332"/>
        <v/>
      </c>
      <c r="R903" s="1">
        <f ca="1" t="shared" si="333"/>
        <v>53686520</v>
      </c>
      <c r="S903" s="30"/>
      <c r="T903" s="30"/>
      <c r="U903" s="1" t="str">
        <f ca="1" t="shared" si="334"/>
        <v/>
      </c>
      <c r="V903" s="1">
        <f ca="1" t="shared" si="335"/>
        <v>36710.4380952381</v>
      </c>
      <c r="W903" s="30"/>
      <c r="X903" s="30"/>
      <c r="Z903" s="44">
        <f ca="1" t="shared" si="336"/>
        <v>2427840</v>
      </c>
      <c r="AA903" s="44">
        <f ca="1" t="shared" si="337"/>
        <v>120000</v>
      </c>
      <c r="AB903" s="44">
        <f ca="1" t="shared" si="338"/>
        <v>800000</v>
      </c>
      <c r="AC903" s="44">
        <f ca="1" t="shared" si="339"/>
        <v>70000</v>
      </c>
      <c r="AD903" s="45">
        <f ca="1" t="shared" si="340"/>
        <v>1488</v>
      </c>
      <c r="AE903" s="45">
        <f ca="1" t="shared" si="341"/>
        <v>130</v>
      </c>
      <c r="AF903" s="45">
        <f ca="1" t="shared" si="342"/>
        <v>80</v>
      </c>
      <c r="AG903" s="45">
        <f ca="1" t="shared" si="343"/>
        <v>533.333333333332</v>
      </c>
      <c r="AH903" s="45">
        <f ca="1" t="shared" si="344"/>
        <v>142.857142857143</v>
      </c>
    </row>
    <row r="904" spans="2:34">
      <c r="B904" s="10">
        <v>24</v>
      </c>
      <c r="C904" s="1">
        <f ca="1">养成规划!V45</f>
        <v>5</v>
      </c>
      <c r="D904" s="1" t="str">
        <f>IF(养成规划!F45="","",养成规划!F45)</f>
        <v/>
      </c>
      <c r="E904" s="1" t="str">
        <f ca="1">IFERROR(C904*OFFSET('107_兵卡等级'!$G$6,MATCH(D904,'107_兵卡等级'!$B$6:$B$205,0)-1,0),"")</f>
        <v/>
      </c>
      <c r="F904" s="1" t="str">
        <f ca="1">IFERROR(C904*OFFSET('107_兵卡等级'!$I$6,MATCH(D904,'107_兵卡等级'!$B$6:$B$205,0)-1,0),"")</f>
        <v/>
      </c>
      <c r="G904" s="15" t="str">
        <f>IF(养成规划!E124="","",养成规划!E124)</f>
        <v/>
      </c>
      <c r="H904" s="1">
        <f ca="1">'206_副本挂机'!F164</f>
        <v>43299360</v>
      </c>
      <c r="I904" s="1">
        <f ca="1">'208_黑市'!L45</f>
        <v>1830000</v>
      </c>
      <c r="J904" s="1">
        <f ca="1">'210_活动'!R45</f>
        <v>10800000</v>
      </c>
      <c r="K904" s="1">
        <f ca="1">'211_VIP宝箱'!L45</f>
        <v>1175000</v>
      </c>
      <c r="L904" s="15">
        <f ca="1">'206_副本挂机'!I164</f>
        <v>26515.2</v>
      </c>
      <c r="M904" s="15">
        <f ca="1">'202_黑鸦营地'!I94</f>
        <v>2578</v>
      </c>
      <c r="N904" s="15">
        <f ca="1">'208_黑市'!O45</f>
        <v>1220</v>
      </c>
      <c r="O904" s="15">
        <f ca="1">'210_活动'!U45</f>
        <v>7199.99999999998</v>
      </c>
      <c r="P904" s="15">
        <f ca="1">'212_VIP商店'!L45</f>
        <v>1571.42857142857</v>
      </c>
      <c r="Q904" s="1" t="str">
        <f ca="1" t="shared" si="332"/>
        <v/>
      </c>
      <c r="R904" s="1">
        <f ca="1" t="shared" si="333"/>
        <v>57104360</v>
      </c>
      <c r="S904" s="30"/>
      <c r="T904" s="30"/>
      <c r="U904" s="1" t="str">
        <f ca="1" t="shared" si="334"/>
        <v/>
      </c>
      <c r="V904" s="1">
        <f ca="1" t="shared" si="335"/>
        <v>39084.6285714286</v>
      </c>
      <c r="W904" s="30"/>
      <c r="X904" s="30"/>
      <c r="Z904" s="44">
        <f ca="1" t="shared" si="336"/>
        <v>2427840</v>
      </c>
      <c r="AA904" s="44">
        <f ca="1" t="shared" si="337"/>
        <v>120000</v>
      </c>
      <c r="AB904" s="44">
        <f ca="1" t="shared" si="338"/>
        <v>800000</v>
      </c>
      <c r="AC904" s="44">
        <f ca="1" t="shared" si="339"/>
        <v>70000</v>
      </c>
      <c r="AD904" s="45">
        <f ca="1" t="shared" si="340"/>
        <v>1488</v>
      </c>
      <c r="AE904" s="45">
        <f ca="1" t="shared" si="341"/>
        <v>130</v>
      </c>
      <c r="AF904" s="45">
        <f ca="1" t="shared" si="342"/>
        <v>80</v>
      </c>
      <c r="AG904" s="45">
        <f ca="1" t="shared" si="343"/>
        <v>533.333333333332</v>
      </c>
      <c r="AH904" s="45">
        <f ca="1" t="shared" si="344"/>
        <v>142.857142857143</v>
      </c>
    </row>
    <row r="905" spans="2:34">
      <c r="B905" s="10">
        <v>25</v>
      </c>
      <c r="C905" s="1">
        <f ca="1">养成规划!V46</f>
        <v>5</v>
      </c>
      <c r="D905" s="1">
        <f>IF(养成规划!F46="","",养成规划!F46)</f>
        <v>70</v>
      </c>
      <c r="E905" s="1">
        <f ca="1">IFERROR(C905*OFFSET('107_兵卡等级'!$G$6,MATCH(D905,'107_兵卡等级'!$B$6:$B$205,0)-1,0),"")</f>
        <v>90929500</v>
      </c>
      <c r="F905" s="1">
        <f ca="1">IFERROR(C905*OFFSET('107_兵卡等级'!$I$6,MATCH(D905,'107_兵卡等级'!$B$6:$B$205,0)-1,0),"")</f>
        <v>77400</v>
      </c>
      <c r="G905" s="15" t="str">
        <f>IF(养成规划!E125="","",养成规划!E125)</f>
        <v/>
      </c>
      <c r="H905" s="1">
        <f ca="1">'206_副本挂机'!F165</f>
        <v>45779040</v>
      </c>
      <c r="I905" s="1">
        <f ca="1">'208_黑市'!L46</f>
        <v>1950000</v>
      </c>
      <c r="J905" s="1">
        <f ca="1">'210_活动'!R46</f>
        <v>11600000</v>
      </c>
      <c r="K905" s="1">
        <f ca="1">'211_VIP宝箱'!L46</f>
        <v>1245000</v>
      </c>
      <c r="L905" s="15">
        <f ca="1">'206_副本挂机'!I165</f>
        <v>28003.2</v>
      </c>
      <c r="M905" s="15">
        <f ca="1">'202_黑鸦营地'!I95</f>
        <v>2708</v>
      </c>
      <c r="N905" s="15">
        <f ca="1">'208_黑市'!O46</f>
        <v>1300</v>
      </c>
      <c r="O905" s="15">
        <f ca="1">'210_活动'!U46</f>
        <v>7733.33333333331</v>
      </c>
      <c r="P905" s="15">
        <f ca="1">'212_VIP商店'!L46</f>
        <v>1714.28571428572</v>
      </c>
      <c r="Q905" s="1">
        <f ca="1" t="shared" si="332"/>
        <v>90929500</v>
      </c>
      <c r="R905" s="1">
        <f ca="1" t="shared" si="333"/>
        <v>60574040</v>
      </c>
      <c r="S905" s="30"/>
      <c r="T905" s="30"/>
      <c r="U905" s="1">
        <f ca="1" t="shared" si="334"/>
        <v>77400</v>
      </c>
      <c r="V905" s="1">
        <f ca="1" t="shared" si="335"/>
        <v>41458.819047619</v>
      </c>
      <c r="W905" s="30"/>
      <c r="X905" s="30"/>
      <c r="Z905" s="44">
        <f ca="1" t="shared" si="336"/>
        <v>2479680</v>
      </c>
      <c r="AA905" s="44">
        <f ca="1" t="shared" si="337"/>
        <v>120000</v>
      </c>
      <c r="AB905" s="44">
        <f ca="1" t="shared" si="338"/>
        <v>800000</v>
      </c>
      <c r="AC905" s="44">
        <f ca="1" t="shared" si="339"/>
        <v>70000</v>
      </c>
      <c r="AD905" s="45">
        <f ca="1" t="shared" si="340"/>
        <v>1488</v>
      </c>
      <c r="AE905" s="45">
        <f ca="1" t="shared" si="341"/>
        <v>130</v>
      </c>
      <c r="AF905" s="45">
        <f ca="1" t="shared" si="342"/>
        <v>80</v>
      </c>
      <c r="AG905" s="45">
        <f ca="1" t="shared" si="343"/>
        <v>533.333333333332</v>
      </c>
      <c r="AH905" s="45">
        <f ca="1" t="shared" si="344"/>
        <v>142.857142857143</v>
      </c>
    </row>
    <row r="906" spans="2:34">
      <c r="B906" s="10">
        <v>26</v>
      </c>
      <c r="C906" s="1">
        <f ca="1">养成规划!V47</f>
        <v>5</v>
      </c>
      <c r="D906" s="1" t="str">
        <f>IF(养成规划!F47="","",养成规划!F47)</f>
        <v/>
      </c>
      <c r="E906" s="1" t="str">
        <f ca="1">IFERROR(C906*OFFSET('107_兵卡等级'!$G$6,MATCH(D906,'107_兵卡等级'!$B$6:$B$205,0)-1,0),"")</f>
        <v/>
      </c>
      <c r="F906" s="1" t="str">
        <f ca="1">IFERROR(C906*OFFSET('107_兵卡等级'!$I$6,MATCH(D906,'107_兵卡等级'!$B$6:$B$205,0)-1,0),"")</f>
        <v/>
      </c>
      <c r="G906" s="15" t="str">
        <f>IF(养成规划!E126="","",养成规划!E126)</f>
        <v/>
      </c>
      <c r="H906" s="1">
        <f ca="1">'206_副本挂机'!F166</f>
        <v>48301920</v>
      </c>
      <c r="I906" s="1">
        <f ca="1">'208_黑市'!L47</f>
        <v>2070000</v>
      </c>
      <c r="J906" s="1">
        <f ca="1">'210_活动'!R47</f>
        <v>12400000</v>
      </c>
      <c r="K906" s="1">
        <f ca="1">'211_VIP宝箱'!L47</f>
        <v>1315000</v>
      </c>
      <c r="L906" s="15">
        <f ca="1">'206_副本挂机'!I166</f>
        <v>29539.2</v>
      </c>
      <c r="M906" s="15">
        <f ca="1">'202_黑鸦营地'!I96</f>
        <v>2838</v>
      </c>
      <c r="N906" s="15">
        <f ca="1">'208_黑市'!O47</f>
        <v>1380</v>
      </c>
      <c r="O906" s="15">
        <f ca="1">'210_活动'!U47</f>
        <v>8266.66666666665</v>
      </c>
      <c r="P906" s="15">
        <f ca="1">'212_VIP商店'!L47</f>
        <v>1857.14285714286</v>
      </c>
      <c r="Q906" s="1" t="str">
        <f ca="1" t="shared" si="332"/>
        <v/>
      </c>
      <c r="R906" s="1">
        <f ca="1" t="shared" si="333"/>
        <v>64086920</v>
      </c>
      <c r="S906" s="30"/>
      <c r="T906" s="30"/>
      <c r="U906" s="1" t="str">
        <f ca="1" t="shared" si="334"/>
        <v/>
      </c>
      <c r="V906" s="1">
        <f ca="1" t="shared" si="335"/>
        <v>43881.0095238095</v>
      </c>
      <c r="W906" s="30"/>
      <c r="X906" s="30"/>
      <c r="Z906" s="44">
        <f ca="1" t="shared" si="336"/>
        <v>2522880</v>
      </c>
      <c r="AA906" s="44">
        <f ca="1" t="shared" si="337"/>
        <v>120000</v>
      </c>
      <c r="AB906" s="44">
        <f ca="1" t="shared" si="338"/>
        <v>800000</v>
      </c>
      <c r="AC906" s="44">
        <f ca="1" t="shared" si="339"/>
        <v>70000</v>
      </c>
      <c r="AD906" s="45">
        <f ca="1" t="shared" si="340"/>
        <v>1536</v>
      </c>
      <c r="AE906" s="45">
        <f ca="1" t="shared" si="341"/>
        <v>130</v>
      </c>
      <c r="AF906" s="45">
        <f ca="1" t="shared" si="342"/>
        <v>80</v>
      </c>
      <c r="AG906" s="45">
        <f ca="1" t="shared" si="343"/>
        <v>533.333333333331</v>
      </c>
      <c r="AH906" s="45">
        <f ca="1" t="shared" si="344"/>
        <v>142.857142857143</v>
      </c>
    </row>
    <row r="907" spans="2:34">
      <c r="B907" s="10">
        <v>27</v>
      </c>
      <c r="C907" s="1">
        <f ca="1">养成规划!V48</f>
        <v>5</v>
      </c>
      <c r="D907" s="1" t="str">
        <f>IF(养成规划!F48="","",养成规划!F48)</f>
        <v/>
      </c>
      <c r="E907" s="1" t="str">
        <f ca="1">IFERROR(C907*OFFSET('107_兵卡等级'!$G$6,MATCH(D907,'107_兵卡等级'!$B$6:$B$205,0)-1,0),"")</f>
        <v/>
      </c>
      <c r="F907" s="1" t="str">
        <f ca="1">IFERROR(C907*OFFSET('107_兵卡等级'!$I$6,MATCH(D907,'107_兵卡等级'!$B$6:$B$205,0)-1,0),"")</f>
        <v/>
      </c>
      <c r="G907" s="15" t="str">
        <f>IF(养成规划!E127="","",养成规划!E127)</f>
        <v/>
      </c>
      <c r="H907" s="1">
        <f ca="1">'206_副本挂机'!F167</f>
        <v>50876640</v>
      </c>
      <c r="I907" s="1">
        <f ca="1">'208_黑市'!L48</f>
        <v>2190000</v>
      </c>
      <c r="J907" s="1">
        <f ca="1">'210_活动'!R48</f>
        <v>13200000</v>
      </c>
      <c r="K907" s="1">
        <f ca="1">'211_VIP宝箱'!L48</f>
        <v>1385000</v>
      </c>
      <c r="L907" s="15">
        <f ca="1">'206_副本挂机'!I167</f>
        <v>31123.2</v>
      </c>
      <c r="M907" s="15">
        <f ca="1">'202_黑鸦营地'!I97</f>
        <v>2968</v>
      </c>
      <c r="N907" s="15">
        <f ca="1">'208_黑市'!O48</f>
        <v>1460</v>
      </c>
      <c r="O907" s="15">
        <f ca="1">'210_活动'!U48</f>
        <v>8799.99999999998</v>
      </c>
      <c r="P907" s="15">
        <f ca="1">'212_VIP商店'!L48</f>
        <v>2000</v>
      </c>
      <c r="Q907" s="1" t="str">
        <f ca="1" t="shared" si="332"/>
        <v/>
      </c>
      <c r="R907" s="1">
        <f ca="1" t="shared" si="333"/>
        <v>67651640</v>
      </c>
      <c r="S907" s="30"/>
      <c r="T907" s="30"/>
      <c r="U907" s="1" t="str">
        <f ca="1" t="shared" si="334"/>
        <v/>
      </c>
      <c r="V907" s="1">
        <f ca="1" t="shared" si="335"/>
        <v>46351.2</v>
      </c>
      <c r="W907" s="30"/>
      <c r="X907" s="30"/>
      <c r="Z907" s="44">
        <f ca="1" t="shared" si="336"/>
        <v>2574720</v>
      </c>
      <c r="AA907" s="44">
        <f ca="1" t="shared" si="337"/>
        <v>120000</v>
      </c>
      <c r="AB907" s="44">
        <f ca="1" t="shared" si="338"/>
        <v>800000</v>
      </c>
      <c r="AC907" s="44">
        <f ca="1" t="shared" si="339"/>
        <v>70000</v>
      </c>
      <c r="AD907" s="45">
        <f ca="1" t="shared" si="340"/>
        <v>1584</v>
      </c>
      <c r="AE907" s="45">
        <f ca="1" t="shared" si="341"/>
        <v>130</v>
      </c>
      <c r="AF907" s="45">
        <f ca="1" t="shared" si="342"/>
        <v>80</v>
      </c>
      <c r="AG907" s="45">
        <f ca="1" t="shared" si="343"/>
        <v>533.333333333332</v>
      </c>
      <c r="AH907" s="45">
        <f ca="1" t="shared" si="344"/>
        <v>142.857142857143</v>
      </c>
    </row>
    <row r="908" spans="2:34">
      <c r="B908" s="10">
        <v>28</v>
      </c>
      <c r="C908" s="1">
        <f ca="1">养成规划!V49</f>
        <v>5</v>
      </c>
      <c r="D908" s="1" t="str">
        <f>IF(养成规划!F49="","",养成规划!F49)</f>
        <v/>
      </c>
      <c r="E908" s="1" t="str">
        <f ca="1">IFERROR(C908*OFFSET('107_兵卡等级'!$G$6,MATCH(D908,'107_兵卡等级'!$B$6:$B$205,0)-1,0),"")</f>
        <v/>
      </c>
      <c r="F908" s="1" t="str">
        <f ca="1">IFERROR(C908*OFFSET('107_兵卡等级'!$I$6,MATCH(D908,'107_兵卡等级'!$B$6:$B$205,0)-1,0),"")</f>
        <v/>
      </c>
      <c r="G908" s="15" t="str">
        <f>IF(养成规划!E128="","",养成规划!E128)</f>
        <v/>
      </c>
      <c r="H908" s="1">
        <f ca="1">'206_副本挂机'!F168</f>
        <v>53503200</v>
      </c>
      <c r="I908" s="1">
        <f ca="1">'208_黑市'!L49</f>
        <v>2310000</v>
      </c>
      <c r="J908" s="1">
        <f ca="1">'210_活动'!R49</f>
        <v>14000000</v>
      </c>
      <c r="K908" s="1">
        <f ca="1">'211_VIP宝箱'!L49</f>
        <v>1455000</v>
      </c>
      <c r="L908" s="15">
        <f ca="1">'206_副本挂机'!I168</f>
        <v>32707.2</v>
      </c>
      <c r="M908" s="15">
        <f ca="1">'202_黑鸦营地'!I98</f>
        <v>3098</v>
      </c>
      <c r="N908" s="15">
        <f ca="1">'208_黑市'!O49</f>
        <v>1540</v>
      </c>
      <c r="O908" s="15">
        <f ca="1">'210_活动'!U49</f>
        <v>9333.33333333331</v>
      </c>
      <c r="P908" s="15">
        <f ca="1">'212_VIP商店'!L49</f>
        <v>2142.85714285715</v>
      </c>
      <c r="Q908" s="1" t="str">
        <f ca="1" t="shared" si="332"/>
        <v/>
      </c>
      <c r="R908" s="1">
        <f ca="1" t="shared" si="333"/>
        <v>71268200</v>
      </c>
      <c r="S908" s="30"/>
      <c r="T908" s="30"/>
      <c r="U908" s="1" t="str">
        <f ca="1" t="shared" si="334"/>
        <v/>
      </c>
      <c r="V908" s="1">
        <f ca="1" t="shared" si="335"/>
        <v>48821.3904761905</v>
      </c>
      <c r="W908" s="30"/>
      <c r="X908" s="30"/>
      <c r="Z908" s="44">
        <f ca="1" t="shared" si="336"/>
        <v>2626560</v>
      </c>
      <c r="AA908" s="44">
        <f ca="1" t="shared" si="337"/>
        <v>120000</v>
      </c>
      <c r="AB908" s="44">
        <f ca="1" t="shared" si="338"/>
        <v>800000</v>
      </c>
      <c r="AC908" s="44">
        <f ca="1" t="shared" si="339"/>
        <v>70000</v>
      </c>
      <c r="AD908" s="45">
        <f ca="1" t="shared" si="340"/>
        <v>1584</v>
      </c>
      <c r="AE908" s="45">
        <f ca="1" t="shared" si="341"/>
        <v>130</v>
      </c>
      <c r="AF908" s="45">
        <f ca="1" t="shared" si="342"/>
        <v>80</v>
      </c>
      <c r="AG908" s="45">
        <f ca="1" t="shared" si="343"/>
        <v>533.333333333332</v>
      </c>
      <c r="AH908" s="45">
        <f ca="1" t="shared" si="344"/>
        <v>142.857142857143</v>
      </c>
    </row>
    <row r="909" spans="2:34">
      <c r="B909" s="10">
        <v>29</v>
      </c>
      <c r="C909" s="1">
        <f ca="1">养成规划!V50</f>
        <v>5</v>
      </c>
      <c r="D909" s="1" t="str">
        <f>IF(养成规划!F50="","",养成规划!F50)</f>
        <v/>
      </c>
      <c r="E909" s="1" t="str">
        <f ca="1">IFERROR(C909*OFFSET('107_兵卡等级'!$G$6,MATCH(D909,'107_兵卡等级'!$B$6:$B$205,0)-1,0),"")</f>
        <v/>
      </c>
      <c r="F909" s="1" t="str">
        <f ca="1">IFERROR(C909*OFFSET('107_兵卡等级'!$I$6,MATCH(D909,'107_兵卡等级'!$B$6:$B$205,0)-1,0),"")</f>
        <v/>
      </c>
      <c r="G909" s="15" t="str">
        <f>IF(养成规划!E129="","",养成规划!E129)</f>
        <v/>
      </c>
      <c r="H909" s="1">
        <f ca="1">'206_副本挂机'!F169</f>
        <v>56181600</v>
      </c>
      <c r="I909" s="1">
        <f ca="1">'208_黑市'!L50</f>
        <v>2430000</v>
      </c>
      <c r="J909" s="1">
        <f ca="1">'210_活动'!R50</f>
        <v>14800000</v>
      </c>
      <c r="K909" s="1">
        <f ca="1">'211_VIP宝箱'!L50</f>
        <v>1525000</v>
      </c>
      <c r="L909" s="15">
        <f ca="1">'206_副本挂机'!I169</f>
        <v>34339.2</v>
      </c>
      <c r="M909" s="15">
        <f ca="1">'202_黑鸦营地'!I99</f>
        <v>3228</v>
      </c>
      <c r="N909" s="15">
        <f ca="1">'208_黑市'!O50</f>
        <v>1620</v>
      </c>
      <c r="O909" s="15">
        <f ca="1">'210_活动'!U50</f>
        <v>9866.66666666664</v>
      </c>
      <c r="P909" s="15">
        <f ca="1">'212_VIP商店'!L50</f>
        <v>2285.71428571429</v>
      </c>
      <c r="Q909" s="1" t="str">
        <f ca="1" t="shared" si="332"/>
        <v/>
      </c>
      <c r="R909" s="1">
        <f ca="1" t="shared" si="333"/>
        <v>74936600</v>
      </c>
      <c r="S909" s="30"/>
      <c r="T909" s="30"/>
      <c r="U909" s="1" t="str">
        <f ca="1" t="shared" si="334"/>
        <v/>
      </c>
      <c r="V909" s="1">
        <f ca="1" t="shared" si="335"/>
        <v>51339.5809523809</v>
      </c>
      <c r="W909" s="30"/>
      <c r="X909" s="30"/>
      <c r="Z909" s="44">
        <f ca="1" t="shared" si="336"/>
        <v>2678400</v>
      </c>
      <c r="AA909" s="44">
        <f ca="1" t="shared" si="337"/>
        <v>120000</v>
      </c>
      <c r="AB909" s="44">
        <f ca="1" t="shared" si="338"/>
        <v>800000</v>
      </c>
      <c r="AC909" s="44">
        <f ca="1" t="shared" si="339"/>
        <v>70000</v>
      </c>
      <c r="AD909" s="45">
        <f ca="1" t="shared" si="340"/>
        <v>1632</v>
      </c>
      <c r="AE909" s="45">
        <f ca="1" t="shared" si="341"/>
        <v>130</v>
      </c>
      <c r="AF909" s="45">
        <f ca="1" t="shared" si="342"/>
        <v>80</v>
      </c>
      <c r="AG909" s="45">
        <f ca="1" t="shared" si="343"/>
        <v>533.333333333332</v>
      </c>
      <c r="AH909" s="45">
        <f ca="1" t="shared" si="344"/>
        <v>142.857142857143</v>
      </c>
    </row>
    <row r="910" spans="2:34">
      <c r="B910" s="10">
        <v>30</v>
      </c>
      <c r="C910" s="1">
        <f ca="1">养成规划!V51</f>
        <v>5</v>
      </c>
      <c r="D910" s="1" t="str">
        <f>IF(养成规划!F51="","",养成规划!F51)</f>
        <v/>
      </c>
      <c r="E910" s="1" t="str">
        <f ca="1">IFERROR(C910*OFFSET('107_兵卡等级'!$G$6,MATCH(D910,'107_兵卡等级'!$B$6:$B$205,0)-1,0),"")</f>
        <v/>
      </c>
      <c r="F910" s="1" t="str">
        <f ca="1">IFERROR(C910*OFFSET('107_兵卡等级'!$I$6,MATCH(D910,'107_兵卡等级'!$B$6:$B$205,0)-1,0),"")</f>
        <v/>
      </c>
      <c r="G910" s="15" t="str">
        <f>IF(养成规划!E130="","",养成规划!E130)</f>
        <v/>
      </c>
      <c r="H910" s="1">
        <f ca="1">'206_副本挂机'!F170</f>
        <v>58860000</v>
      </c>
      <c r="I910" s="1">
        <f ca="1">'208_黑市'!L51</f>
        <v>2550000</v>
      </c>
      <c r="J910" s="1">
        <f ca="1">'210_活动'!R51</f>
        <v>15600000</v>
      </c>
      <c r="K910" s="1">
        <f ca="1">'211_VIP宝箱'!L51</f>
        <v>1605000</v>
      </c>
      <c r="L910" s="15">
        <f ca="1">'206_副本挂机'!I170</f>
        <v>35971.2</v>
      </c>
      <c r="M910" s="15">
        <f ca="1">'202_黑鸦营地'!I100</f>
        <v>3358</v>
      </c>
      <c r="N910" s="15">
        <f ca="1">'208_黑市'!O51</f>
        <v>1700</v>
      </c>
      <c r="O910" s="15">
        <f ca="1">'210_活动'!U51</f>
        <v>10400</v>
      </c>
      <c r="P910" s="15">
        <f ca="1">'212_VIP商店'!L51</f>
        <v>2428.57142857143</v>
      </c>
      <c r="Q910" s="1" t="str">
        <f ca="1" t="shared" si="332"/>
        <v/>
      </c>
      <c r="R910" s="1">
        <f ca="1" t="shared" si="333"/>
        <v>78615000</v>
      </c>
      <c r="S910" s="30"/>
      <c r="T910" s="30"/>
      <c r="U910" s="1" t="str">
        <f ca="1" t="shared" si="334"/>
        <v/>
      </c>
      <c r="V910" s="1">
        <f ca="1" t="shared" si="335"/>
        <v>53857.7714285714</v>
      </c>
      <c r="W910" s="30"/>
      <c r="X910" s="30"/>
      <c r="Z910" s="44">
        <f ca="1" t="shared" si="336"/>
        <v>2678400</v>
      </c>
      <c r="AA910" s="44">
        <f ca="1" t="shared" si="337"/>
        <v>120000</v>
      </c>
      <c r="AB910" s="44">
        <f ca="1" t="shared" si="338"/>
        <v>800000</v>
      </c>
      <c r="AC910" s="44">
        <f ca="1" t="shared" si="339"/>
        <v>80000</v>
      </c>
      <c r="AD910" s="45">
        <f ca="1" t="shared" si="340"/>
        <v>1632</v>
      </c>
      <c r="AE910" s="45">
        <f ca="1" t="shared" si="341"/>
        <v>130</v>
      </c>
      <c r="AF910" s="45">
        <f ca="1" t="shared" si="342"/>
        <v>80</v>
      </c>
      <c r="AG910" s="45">
        <f ca="1" t="shared" si="343"/>
        <v>533.333333333332</v>
      </c>
      <c r="AH910" s="45">
        <f ca="1" t="shared" si="344"/>
        <v>142.857142857143</v>
      </c>
    </row>
    <row r="911" spans="2:34">
      <c r="B911" s="11">
        <v>35</v>
      </c>
      <c r="C911" s="1">
        <f ca="1">养成规划!V52</f>
        <v>5</v>
      </c>
      <c r="D911" s="1" t="str">
        <f>IF(养成规划!F52="","",养成规划!F52)</f>
        <v/>
      </c>
      <c r="E911" s="1" t="str">
        <f ca="1">IFERROR(C911*OFFSET('107_兵卡等级'!$G$6,MATCH(D911,'107_兵卡等级'!$B$6:$B$205,0)-1,0),"")</f>
        <v/>
      </c>
      <c r="F911" s="1" t="str">
        <f ca="1">IFERROR(C911*OFFSET('107_兵卡等级'!$I$6,MATCH(D911,'107_兵卡等级'!$B$6:$B$205,0)-1,0),"")</f>
        <v/>
      </c>
      <c r="G911" s="15">
        <f>IF(养成规划!E131="","",养成规划!E131)</f>
        <v>5</v>
      </c>
      <c r="H911" s="1">
        <f ca="1">'206_副本挂机'!F171</f>
        <v>73504800</v>
      </c>
      <c r="I911" s="1">
        <f ca="1">'208_黑市'!L52</f>
        <v>3450000</v>
      </c>
      <c r="J911" s="1">
        <f ca="1">'210_活动'!R52</f>
        <v>21600000</v>
      </c>
      <c r="K911" s="1">
        <f ca="1">'211_VIP宝箱'!L52</f>
        <v>2005000</v>
      </c>
      <c r="L911" s="15">
        <f ca="1">'206_副本挂机'!I171</f>
        <v>44851.2</v>
      </c>
      <c r="M911" s="15">
        <f ca="1">'202_黑鸦营地'!I101</f>
        <v>4183</v>
      </c>
      <c r="N911" s="15">
        <f ca="1">'208_黑市'!O52</f>
        <v>2300</v>
      </c>
      <c r="O911" s="15">
        <f ca="1">'210_活动'!U52</f>
        <v>14400</v>
      </c>
      <c r="P911" s="15">
        <f ca="1">'212_VIP商店'!L52</f>
        <v>3142.85714285715</v>
      </c>
      <c r="Q911" s="1" t="str">
        <f ca="1" t="shared" si="332"/>
        <v/>
      </c>
      <c r="R911" s="1">
        <f ca="1" t="shared" si="333"/>
        <v>100559800</v>
      </c>
      <c r="S911" s="30"/>
      <c r="T911" s="30"/>
      <c r="U911" s="1" t="str">
        <f ca="1" t="shared" si="334"/>
        <v/>
      </c>
      <c r="V911" s="1">
        <f ca="1" t="shared" si="335"/>
        <v>68877.0571428571</v>
      </c>
      <c r="W911" s="30"/>
      <c r="X911" s="30"/>
      <c r="Z911" s="44">
        <f ca="1" t="shared" si="336"/>
        <v>2928960</v>
      </c>
      <c r="AA911" s="44">
        <f ca="1" t="shared" si="337"/>
        <v>180000</v>
      </c>
      <c r="AB911" s="44">
        <f ca="1" t="shared" si="338"/>
        <v>1200000</v>
      </c>
      <c r="AC911" s="44">
        <f ca="1" t="shared" si="339"/>
        <v>80000</v>
      </c>
      <c r="AD911" s="45">
        <f ca="1" t="shared" si="340"/>
        <v>1776</v>
      </c>
      <c r="AE911" s="45">
        <f ca="1" t="shared" si="341"/>
        <v>165</v>
      </c>
      <c r="AF911" s="45">
        <f ca="1" t="shared" si="342"/>
        <v>120</v>
      </c>
      <c r="AG911" s="45">
        <f ca="1" t="shared" si="343"/>
        <v>799.999999999998</v>
      </c>
      <c r="AH911" s="45">
        <f ca="1" t="shared" si="344"/>
        <v>142.857142857143</v>
      </c>
    </row>
    <row r="912" spans="2:34">
      <c r="B912" s="11">
        <v>40</v>
      </c>
      <c r="C912" s="1">
        <f ca="1">养成规划!V53</f>
        <v>5</v>
      </c>
      <c r="D912" s="1">
        <f>IF(养成规划!F53="","",养成规划!F53)</f>
        <v>80</v>
      </c>
      <c r="E912" s="1">
        <f ca="1">IFERROR(C912*OFFSET('107_兵卡等级'!$G$6,MATCH(D912,'107_兵卡等级'!$B$6:$B$205,0)-1,0),"")</f>
        <v>182729500</v>
      </c>
      <c r="F912" s="1">
        <f ca="1">IFERROR(C912*OFFSET('107_兵卡等级'!$I$6,MATCH(D912,'107_兵卡等级'!$B$6:$B$205,0)-1,0),"")</f>
        <v>149400</v>
      </c>
      <c r="G912" s="15" t="str">
        <f>IF(养成规划!E132="","",养成规划!E132)</f>
        <v/>
      </c>
      <c r="H912" s="1">
        <f ca="1">'206_副本挂机'!F172</f>
        <v>88884000</v>
      </c>
      <c r="I912" s="1">
        <f ca="1">'208_黑市'!L53</f>
        <v>4350000</v>
      </c>
      <c r="J912" s="1">
        <f ca="1">'210_活动'!R53</f>
        <v>27600000</v>
      </c>
      <c r="K912" s="1">
        <f ca="1">'211_VIP宝箱'!L53</f>
        <v>2405000</v>
      </c>
      <c r="L912" s="15">
        <f ca="1">'206_副本挂机'!I172</f>
        <v>54211.2</v>
      </c>
      <c r="M912" s="15">
        <f ca="1">'202_黑鸦营地'!I102</f>
        <v>5008</v>
      </c>
      <c r="N912" s="15">
        <f ca="1">'208_黑市'!O53</f>
        <v>2900</v>
      </c>
      <c r="O912" s="15">
        <f ca="1">'210_活动'!U53</f>
        <v>18400</v>
      </c>
      <c r="P912" s="15">
        <f ca="1">'212_VIP商店'!L53</f>
        <v>3857.14285714286</v>
      </c>
      <c r="Q912" s="1">
        <f ca="1" t="shared" si="332"/>
        <v>182729500</v>
      </c>
      <c r="R912" s="1">
        <f ca="1" t="shared" si="333"/>
        <v>123239000</v>
      </c>
      <c r="S912" s="30"/>
      <c r="T912" s="30"/>
      <c r="U912" s="1">
        <f ca="1" t="shared" si="334"/>
        <v>149400</v>
      </c>
      <c r="V912" s="1">
        <f ca="1" t="shared" si="335"/>
        <v>84376.3428571428</v>
      </c>
      <c r="W912" s="30"/>
      <c r="X912" s="30"/>
      <c r="Z912" s="44">
        <f ca="1" t="shared" si="336"/>
        <v>3075840</v>
      </c>
      <c r="AA912" s="44">
        <f ca="1" t="shared" si="337"/>
        <v>180000</v>
      </c>
      <c r="AB912" s="44">
        <f ca="1" t="shared" si="338"/>
        <v>1200000</v>
      </c>
      <c r="AC912" s="44">
        <f ca="1" t="shared" si="339"/>
        <v>80000</v>
      </c>
      <c r="AD912" s="45">
        <f ca="1" t="shared" si="340"/>
        <v>1872</v>
      </c>
      <c r="AE912" s="45">
        <f ca="1" t="shared" si="341"/>
        <v>165</v>
      </c>
      <c r="AF912" s="45">
        <f ca="1" t="shared" si="342"/>
        <v>120</v>
      </c>
      <c r="AG912" s="45">
        <f ca="1" t="shared" si="343"/>
        <v>799.999999999998</v>
      </c>
      <c r="AH912" s="45">
        <f ca="1" t="shared" si="344"/>
        <v>142.857142857143</v>
      </c>
    </row>
    <row r="913" spans="2:34">
      <c r="B913" s="11">
        <v>45</v>
      </c>
      <c r="C913" s="1">
        <f ca="1">养成规划!V54</f>
        <v>5</v>
      </c>
      <c r="D913" s="1" t="str">
        <f>IF(养成规划!F54="","",养成规划!F54)</f>
        <v/>
      </c>
      <c r="E913" s="1" t="str">
        <f ca="1">IFERROR(C913*OFFSET('107_兵卡等级'!$G$6,MATCH(D913,'107_兵卡等级'!$B$6:$B$205,0)-1,0),"")</f>
        <v/>
      </c>
      <c r="F913" s="1" t="str">
        <f ca="1">IFERROR(C913*OFFSET('107_兵卡等级'!$I$6,MATCH(D913,'107_兵卡等级'!$B$6:$B$205,0)-1,0),"")</f>
        <v/>
      </c>
      <c r="G913" s="15" t="str">
        <f>IF(养成规划!E133="","",养成规划!E133)</f>
        <v/>
      </c>
      <c r="H913" s="1">
        <f ca="1">'206_副本挂机'!F173</f>
        <v>104997600</v>
      </c>
      <c r="I913" s="1">
        <f ca="1">'208_黑市'!L54</f>
        <v>5250000</v>
      </c>
      <c r="J913" s="1">
        <f ca="1">'210_活动'!R54</f>
        <v>33600000</v>
      </c>
      <c r="K913" s="1">
        <f ca="1">'211_VIP宝箱'!L54</f>
        <v>2805000</v>
      </c>
      <c r="L913" s="15">
        <f ca="1">'206_副本挂机'!I173</f>
        <v>64051.2</v>
      </c>
      <c r="M913" s="15">
        <f ca="1">'202_黑鸦营地'!I103</f>
        <v>6008</v>
      </c>
      <c r="N913" s="15">
        <f ca="1">'208_黑市'!O54</f>
        <v>3500</v>
      </c>
      <c r="O913" s="15">
        <f ca="1">'210_活动'!U54</f>
        <v>22399.9999999999</v>
      </c>
      <c r="P913" s="15">
        <f ca="1">'212_VIP商店'!L54</f>
        <v>4571.42857142858</v>
      </c>
      <c r="Q913" s="1" t="str">
        <f ca="1" t="shared" si="332"/>
        <v/>
      </c>
      <c r="R913" s="1">
        <f ca="1" t="shared" si="333"/>
        <v>146652600</v>
      </c>
      <c r="S913" s="30"/>
      <c r="T913" s="30"/>
      <c r="U913" s="1" t="str">
        <f ca="1" t="shared" si="334"/>
        <v/>
      </c>
      <c r="V913" s="1">
        <f ca="1" t="shared" si="335"/>
        <v>100530.628571429</v>
      </c>
      <c r="W913" s="30"/>
      <c r="X913" s="30"/>
      <c r="Z913" s="44">
        <f ca="1" t="shared" si="336"/>
        <v>3222720</v>
      </c>
      <c r="AA913" s="44">
        <f ca="1" t="shared" si="337"/>
        <v>180000</v>
      </c>
      <c r="AB913" s="44">
        <f ca="1" t="shared" si="338"/>
        <v>1200000</v>
      </c>
      <c r="AC913" s="44">
        <f ca="1" t="shared" si="339"/>
        <v>80000</v>
      </c>
      <c r="AD913" s="45">
        <f ca="1" t="shared" si="340"/>
        <v>1968</v>
      </c>
      <c r="AE913" s="45">
        <f ca="1" t="shared" si="341"/>
        <v>200</v>
      </c>
      <c r="AF913" s="45">
        <f ca="1" t="shared" si="342"/>
        <v>120</v>
      </c>
      <c r="AG913" s="45">
        <f ca="1" t="shared" si="343"/>
        <v>799.999999999998</v>
      </c>
      <c r="AH913" s="45">
        <f ca="1" t="shared" si="344"/>
        <v>142.857142857143</v>
      </c>
    </row>
    <row r="914" spans="2:34">
      <c r="B914" s="11">
        <v>50</v>
      </c>
      <c r="C914" s="1">
        <f ca="1">养成规划!V55</f>
        <v>5</v>
      </c>
      <c r="D914" s="1" t="str">
        <f>IF(养成规划!F55="","",养成规划!F55)</f>
        <v/>
      </c>
      <c r="E914" s="1" t="str">
        <f ca="1">IFERROR(C914*OFFSET('107_兵卡等级'!$G$6,MATCH(D914,'107_兵卡等级'!$B$6:$B$205,0)-1,0),"")</f>
        <v/>
      </c>
      <c r="F914" s="1" t="str">
        <f ca="1">IFERROR(C914*OFFSET('107_兵卡等级'!$I$6,MATCH(D914,'107_兵卡等级'!$B$6:$B$205,0)-1,0),"")</f>
        <v/>
      </c>
      <c r="G914" s="15">
        <f>IF(养成规划!E134="","",养成规划!E134)</f>
        <v>6</v>
      </c>
      <c r="H914" s="1">
        <f ca="1">'206_副本挂机'!F174</f>
        <v>122148000</v>
      </c>
      <c r="I914" s="1">
        <f ca="1">'208_黑市'!L55</f>
        <v>6150000</v>
      </c>
      <c r="J914" s="1">
        <f ca="1">'210_活动'!R55</f>
        <v>39600000</v>
      </c>
      <c r="K914" s="1">
        <f ca="1">'211_VIP宝箱'!L55</f>
        <v>3205000</v>
      </c>
      <c r="L914" s="15">
        <f ca="1">'206_副本挂机'!I174</f>
        <v>74371.2</v>
      </c>
      <c r="M914" s="15">
        <f ca="1">'202_黑鸦营地'!I104</f>
        <v>7008</v>
      </c>
      <c r="N914" s="15">
        <f ca="1">'208_黑市'!O55</f>
        <v>4100</v>
      </c>
      <c r="O914" s="15">
        <f ca="1">'210_活动'!U55</f>
        <v>26399.9999999999</v>
      </c>
      <c r="P914" s="15">
        <f ca="1">'212_VIP商店'!L55</f>
        <v>5285.71428571429</v>
      </c>
      <c r="Q914" s="1" t="str">
        <f ca="1" t="shared" si="332"/>
        <v/>
      </c>
      <c r="R914" s="1">
        <f ca="1" t="shared" si="333"/>
        <v>171103000</v>
      </c>
      <c r="S914" s="30"/>
      <c r="T914" s="30"/>
      <c r="U914" s="1" t="str">
        <f ca="1" t="shared" si="334"/>
        <v/>
      </c>
      <c r="V914" s="1">
        <f ca="1" t="shared" si="335"/>
        <v>117164.914285714</v>
      </c>
      <c r="W914" s="30"/>
      <c r="X914" s="30"/>
      <c r="Z914" s="44">
        <f ca="1" t="shared" si="336"/>
        <v>3430080</v>
      </c>
      <c r="AA914" s="44">
        <f ca="1" t="shared" si="337"/>
        <v>180000</v>
      </c>
      <c r="AB914" s="44">
        <f ca="1" t="shared" si="338"/>
        <v>1200000</v>
      </c>
      <c r="AC914" s="44">
        <f ca="1" t="shared" si="339"/>
        <v>80000</v>
      </c>
      <c r="AD914" s="45">
        <f ca="1" t="shared" si="340"/>
        <v>2064</v>
      </c>
      <c r="AE914" s="45">
        <f ca="1" t="shared" si="341"/>
        <v>200</v>
      </c>
      <c r="AF914" s="45">
        <f ca="1" t="shared" si="342"/>
        <v>120</v>
      </c>
      <c r="AG914" s="45">
        <f ca="1" t="shared" si="343"/>
        <v>799.999999999998</v>
      </c>
      <c r="AH914" s="45">
        <f ca="1" t="shared" si="344"/>
        <v>142.857142857143</v>
      </c>
    </row>
    <row r="915" spans="2:34">
      <c r="B915" s="11">
        <v>55</v>
      </c>
      <c r="C915" s="1">
        <f ca="1">养成规划!V56</f>
        <v>5</v>
      </c>
      <c r="D915" s="1">
        <f>IF(养成规划!F56="","",养成规划!F56)</f>
        <v>90</v>
      </c>
      <c r="E915" s="1">
        <f ca="1">IFERROR(C915*OFFSET('107_兵卡等级'!$G$6,MATCH(D915,'107_兵卡等级'!$B$6:$B$205,0)-1,0),"")</f>
        <v>297329500</v>
      </c>
      <c r="F915" s="1">
        <f ca="1">IFERROR(C915*OFFSET('107_兵卡等级'!$I$6,MATCH(D915,'107_兵卡等级'!$B$6:$B$205,0)-1,0),"")</f>
        <v>229400</v>
      </c>
      <c r="G915" s="15" t="str">
        <f>IF(养成规划!E135="","",养成规划!E135)</f>
        <v/>
      </c>
      <c r="H915" s="1">
        <f ca="1">'206_副本挂机'!F175</f>
        <v>139773600</v>
      </c>
      <c r="I915" s="1">
        <f ca="1">'208_黑市'!L56</f>
        <v>7050000</v>
      </c>
      <c r="J915" s="1">
        <f ca="1">'210_活动'!R56</f>
        <v>45600000</v>
      </c>
      <c r="K915" s="1">
        <f ca="1">'211_VIP宝箱'!L56</f>
        <v>3605000</v>
      </c>
      <c r="L915" s="15">
        <f ca="1">'206_副本挂机'!I175</f>
        <v>85171.2</v>
      </c>
      <c r="M915" s="15">
        <f ca="1">'202_黑鸦营地'!I105</f>
        <v>8083</v>
      </c>
      <c r="N915" s="15">
        <f ca="1">'208_黑市'!O56</f>
        <v>4700</v>
      </c>
      <c r="O915" s="15">
        <f ca="1">'210_活动'!U56</f>
        <v>30399.9999999999</v>
      </c>
      <c r="P915" s="15">
        <f ca="1">'212_VIP商店'!L56</f>
        <v>6000.00000000001</v>
      </c>
      <c r="Q915" s="1">
        <f ca="1" t="shared" si="332"/>
        <v>297329500</v>
      </c>
      <c r="R915" s="1">
        <f ca="1" t="shared" si="333"/>
        <v>196028600</v>
      </c>
      <c r="S915" s="30"/>
      <c r="T915" s="30"/>
      <c r="U915" s="1">
        <f ca="1" t="shared" si="334"/>
        <v>229400</v>
      </c>
      <c r="V915" s="1">
        <f ca="1" t="shared" si="335"/>
        <v>134354.2</v>
      </c>
      <c r="W915" s="30"/>
      <c r="X915" s="30"/>
      <c r="Z915" s="44">
        <f ca="1" t="shared" si="336"/>
        <v>3525120</v>
      </c>
      <c r="AA915" s="44">
        <f ca="1" t="shared" si="337"/>
        <v>180000</v>
      </c>
      <c r="AB915" s="44">
        <f ca="1" t="shared" si="338"/>
        <v>1200000</v>
      </c>
      <c r="AC915" s="44">
        <f ca="1" t="shared" si="339"/>
        <v>80000</v>
      </c>
      <c r="AD915" s="45">
        <f ca="1" t="shared" si="340"/>
        <v>2160</v>
      </c>
      <c r="AE915" s="45">
        <f ca="1" t="shared" si="341"/>
        <v>215</v>
      </c>
      <c r="AF915" s="45">
        <f ca="1" t="shared" si="342"/>
        <v>120</v>
      </c>
      <c r="AG915" s="45">
        <f ca="1" t="shared" si="343"/>
        <v>799.999999999998</v>
      </c>
      <c r="AH915" s="45">
        <f ca="1" t="shared" si="344"/>
        <v>142.857142857143</v>
      </c>
    </row>
    <row r="916" spans="2:34">
      <c r="B916" s="11">
        <v>60</v>
      </c>
      <c r="C916" s="1">
        <f ca="1">养成规划!V57</f>
        <v>5</v>
      </c>
      <c r="D916" s="1" t="str">
        <f>IF(养成规划!F57="","",养成规划!F57)</f>
        <v/>
      </c>
      <c r="E916" s="1" t="str">
        <f ca="1">IFERROR(C916*OFFSET('107_兵卡等级'!$G$6,MATCH(D916,'107_兵卡等级'!$B$6:$B$205,0)-1,0),"")</f>
        <v/>
      </c>
      <c r="F916" s="1" t="str">
        <f ca="1">IFERROR(C916*OFFSET('107_兵卡等级'!$I$6,MATCH(D916,'107_兵卡等级'!$B$6:$B$205,0)-1,0),"")</f>
        <v/>
      </c>
      <c r="G916" s="15" t="str">
        <f>IF(养成规划!E136="","",养成规划!E136)</f>
        <v/>
      </c>
      <c r="H916" s="1">
        <f ca="1">'206_副本挂机'!F176</f>
        <v>157917600</v>
      </c>
      <c r="I916" s="1">
        <f ca="1">'208_黑市'!L57</f>
        <v>7950000</v>
      </c>
      <c r="J916" s="1">
        <f ca="1">'210_活动'!R57</f>
        <v>51600000</v>
      </c>
      <c r="K916" s="1">
        <f ca="1">'211_VIP宝箱'!L57</f>
        <v>4055000</v>
      </c>
      <c r="L916" s="15">
        <f ca="1">'206_副本挂机'!I176</f>
        <v>96211.2</v>
      </c>
      <c r="M916" s="15">
        <f ca="1">'202_黑鸦营地'!I106</f>
        <v>9158</v>
      </c>
      <c r="N916" s="15">
        <f ca="1">'208_黑市'!O57</f>
        <v>5300</v>
      </c>
      <c r="O916" s="15">
        <f ca="1">'210_活动'!U57</f>
        <v>34399.9999999999</v>
      </c>
      <c r="P916" s="15">
        <f ca="1">'212_VIP商店'!L57</f>
        <v>6714.28571428572</v>
      </c>
      <c r="Q916" s="1" t="str">
        <f ca="1" t="shared" si="332"/>
        <v/>
      </c>
      <c r="R916" s="1">
        <f ca="1" t="shared" si="333"/>
        <v>221522600</v>
      </c>
      <c r="S916" s="30"/>
      <c r="T916" s="30"/>
      <c r="U916" s="1" t="str">
        <f ca="1" t="shared" si="334"/>
        <v/>
      </c>
      <c r="V916" s="1">
        <f ca="1" t="shared" si="335"/>
        <v>151783.485714286</v>
      </c>
      <c r="W916" s="30"/>
      <c r="X916" s="30"/>
      <c r="Z916" s="44">
        <f ca="1" t="shared" si="336"/>
        <v>3628800</v>
      </c>
      <c r="AA916" s="44">
        <f ca="1" t="shared" si="337"/>
        <v>180000</v>
      </c>
      <c r="AB916" s="44">
        <f ca="1" t="shared" si="338"/>
        <v>1200000</v>
      </c>
      <c r="AC916" s="44">
        <f ca="1" t="shared" si="339"/>
        <v>90000</v>
      </c>
      <c r="AD916" s="45">
        <f ca="1" t="shared" si="340"/>
        <v>2208</v>
      </c>
      <c r="AE916" s="45">
        <f ca="1" t="shared" si="341"/>
        <v>215</v>
      </c>
      <c r="AF916" s="45">
        <f ca="1" t="shared" si="342"/>
        <v>120</v>
      </c>
      <c r="AG916" s="45">
        <f ca="1" t="shared" si="343"/>
        <v>799.999999999998</v>
      </c>
      <c r="AH916" s="45">
        <f ca="1" t="shared" si="344"/>
        <v>142.857142857143</v>
      </c>
    </row>
    <row r="917" spans="2:34">
      <c r="B917" s="11">
        <v>65</v>
      </c>
      <c r="C917" s="1">
        <f ca="1">养成规划!V58</f>
        <v>5</v>
      </c>
      <c r="D917" s="1" t="str">
        <f>IF(养成规划!F58="","",养成规划!F58)</f>
        <v/>
      </c>
      <c r="E917" s="1" t="str">
        <f ca="1">IFERROR(C917*OFFSET('107_兵卡等级'!$G$6,MATCH(D917,'107_兵卡等级'!$B$6:$B$205,0)-1,0),"")</f>
        <v/>
      </c>
      <c r="F917" s="1" t="str">
        <f ca="1">IFERROR(C917*OFFSET('107_兵卡等级'!$I$6,MATCH(D917,'107_兵卡等级'!$B$6:$B$205,0)-1,0),"")</f>
        <v/>
      </c>
      <c r="G917" s="15" t="str">
        <f>IF(养成规划!E137="","",养成规划!E137)</f>
        <v/>
      </c>
      <c r="H917" s="1">
        <f ca="1">'206_副本挂机'!F177</f>
        <v>176536800</v>
      </c>
      <c r="I917" s="1">
        <f ca="1">'208_黑市'!L58</f>
        <v>9150000</v>
      </c>
      <c r="J917" s="1">
        <f ca="1">'210_活动'!R58</f>
        <v>59600000</v>
      </c>
      <c r="K917" s="1">
        <f ca="1">'211_VIP宝箱'!L58</f>
        <v>4505000</v>
      </c>
      <c r="L917" s="15">
        <f ca="1">'206_副本挂机'!I177</f>
        <v>107491.2</v>
      </c>
      <c r="M917" s="15">
        <f ca="1">'202_黑鸦营地'!I107</f>
        <v>10308</v>
      </c>
      <c r="N917" s="15">
        <f ca="1">'208_黑市'!O58</f>
        <v>6100</v>
      </c>
      <c r="O917" s="15">
        <f ca="1">'210_活动'!U58</f>
        <v>39733.3333333332</v>
      </c>
      <c r="P917" s="15">
        <f ca="1">'212_VIP商店'!L58</f>
        <v>7428.57142857144</v>
      </c>
      <c r="Q917" s="1" t="str">
        <f ca="1" t="shared" si="332"/>
        <v/>
      </c>
      <c r="R917" s="1">
        <f ca="1" t="shared" si="333"/>
        <v>249791800</v>
      </c>
      <c r="S917" s="30"/>
      <c r="T917" s="30"/>
      <c r="U917" s="1" t="str">
        <f ca="1" t="shared" si="334"/>
        <v/>
      </c>
      <c r="V917" s="1">
        <f ca="1" t="shared" si="335"/>
        <v>171061.104761905</v>
      </c>
      <c r="W917" s="30"/>
      <c r="X917" s="30"/>
      <c r="Z917" s="44">
        <f ca="1" t="shared" si="336"/>
        <v>3723840</v>
      </c>
      <c r="AA917" s="44">
        <f ca="1" t="shared" si="337"/>
        <v>240000</v>
      </c>
      <c r="AB917" s="44">
        <f ca="1" t="shared" si="338"/>
        <v>1600000</v>
      </c>
      <c r="AC917" s="44">
        <f ca="1" t="shared" si="339"/>
        <v>90000</v>
      </c>
      <c r="AD917" s="45">
        <f ca="1" t="shared" si="340"/>
        <v>2256</v>
      </c>
      <c r="AE917" s="45">
        <f ca="1" t="shared" si="341"/>
        <v>230</v>
      </c>
      <c r="AF917" s="45">
        <f ca="1" t="shared" si="342"/>
        <v>160</v>
      </c>
      <c r="AG917" s="45">
        <f ca="1" t="shared" si="343"/>
        <v>1066.66666666666</v>
      </c>
      <c r="AH917" s="45">
        <f ca="1" t="shared" si="344"/>
        <v>142.857142857143</v>
      </c>
    </row>
    <row r="918" spans="2:34">
      <c r="B918" s="11">
        <v>70</v>
      </c>
      <c r="C918" s="1">
        <f ca="1">养成规划!V59</f>
        <v>5</v>
      </c>
      <c r="D918" s="1">
        <f>IF(养成规划!F59="","",养成规划!F59)</f>
        <v>100</v>
      </c>
      <c r="E918" s="1">
        <f ca="1">IFERROR(C918*OFFSET('107_兵卡等级'!$G$6,MATCH(D918,'107_兵卡等级'!$B$6:$B$205,0)-1,0),"")</f>
        <v>423929500</v>
      </c>
      <c r="F918" s="1">
        <f ca="1">IFERROR(C918*OFFSET('107_兵卡等级'!$I$6,MATCH(D918,'107_兵卡等级'!$B$6:$B$205,0)-1,0),"")</f>
        <v>317400</v>
      </c>
      <c r="G918" s="15" t="str">
        <f>IF(养成规划!E138="","",养成规划!E138)</f>
        <v/>
      </c>
      <c r="H918" s="1">
        <f ca="1">'206_副本挂机'!F178</f>
        <v>195674400</v>
      </c>
      <c r="I918" s="1">
        <f ca="1">'208_黑市'!L59</f>
        <v>10350000</v>
      </c>
      <c r="J918" s="1">
        <f ca="1">'210_活动'!R59</f>
        <v>67600000</v>
      </c>
      <c r="K918" s="1">
        <f ca="1">'211_VIP宝箱'!L59</f>
        <v>4955000</v>
      </c>
      <c r="L918" s="15">
        <f ca="1">'206_副本挂机'!I178</f>
        <v>119011.2</v>
      </c>
      <c r="M918" s="15">
        <f ca="1">'202_黑鸦营地'!I108</f>
        <v>11458</v>
      </c>
      <c r="N918" s="15">
        <f ca="1">'208_黑市'!O59</f>
        <v>6900</v>
      </c>
      <c r="O918" s="15">
        <f ca="1">'210_活动'!U59</f>
        <v>45066.6666666666</v>
      </c>
      <c r="P918" s="15">
        <f ca="1">'212_VIP商店'!L59</f>
        <v>8142.85714285715</v>
      </c>
      <c r="Q918" s="1">
        <f ca="1" t="shared" si="332"/>
        <v>423929500</v>
      </c>
      <c r="R918" s="1">
        <f ca="1" t="shared" si="333"/>
        <v>278579400</v>
      </c>
      <c r="S918" s="30"/>
      <c r="T918" s="30"/>
      <c r="U918" s="1">
        <f ca="1" t="shared" si="334"/>
        <v>317400</v>
      </c>
      <c r="V918" s="1">
        <f ca="1" t="shared" si="335"/>
        <v>190578.723809524</v>
      </c>
      <c r="W918" s="30"/>
      <c r="X918" s="30"/>
      <c r="Z918" s="44">
        <f ca="1" t="shared" si="336"/>
        <v>3827520</v>
      </c>
      <c r="AA918" s="44">
        <f ca="1" t="shared" si="337"/>
        <v>240000</v>
      </c>
      <c r="AB918" s="44">
        <f ca="1" t="shared" si="338"/>
        <v>1600000</v>
      </c>
      <c r="AC918" s="44">
        <f ca="1" t="shared" si="339"/>
        <v>90000</v>
      </c>
      <c r="AD918" s="45">
        <f ca="1" t="shared" si="340"/>
        <v>2304</v>
      </c>
      <c r="AE918" s="45">
        <f ca="1" t="shared" si="341"/>
        <v>230</v>
      </c>
      <c r="AF918" s="45">
        <f ca="1" t="shared" si="342"/>
        <v>160</v>
      </c>
      <c r="AG918" s="45">
        <f ca="1" t="shared" si="343"/>
        <v>1066.66666666666</v>
      </c>
      <c r="AH918" s="45">
        <f ca="1" t="shared" si="344"/>
        <v>142.857142857143</v>
      </c>
    </row>
    <row r="919" spans="2:34">
      <c r="B919" s="11">
        <v>75</v>
      </c>
      <c r="C919" s="1">
        <f ca="1">养成规划!V60</f>
        <v>5</v>
      </c>
      <c r="D919" s="1" t="str">
        <f>IF(养成规划!F60="","",养成规划!F60)</f>
        <v/>
      </c>
      <c r="E919" s="1" t="str">
        <f ca="1">IFERROR(C919*OFFSET('107_兵卡等级'!$G$6,MATCH(D919,'107_兵卡等级'!$B$6:$B$205,0)-1,0),"")</f>
        <v/>
      </c>
      <c r="F919" s="1" t="str">
        <f ca="1">IFERROR(C919*OFFSET('107_兵卡等级'!$I$6,MATCH(D919,'107_兵卡等级'!$B$6:$B$205,0)-1,0),"")</f>
        <v/>
      </c>
      <c r="G919" s="15">
        <f>IF(养成规划!E139="","",养成规划!E139)</f>
        <v>7</v>
      </c>
      <c r="H919" s="1">
        <f ca="1">'206_副本挂机'!F179</f>
        <v>215287200</v>
      </c>
      <c r="I919" s="1">
        <f ca="1">'208_黑市'!L60</f>
        <v>11550000</v>
      </c>
      <c r="J919" s="1">
        <f ca="1">'210_活动'!R60</f>
        <v>75600000</v>
      </c>
      <c r="K919" s="1">
        <f ca="1">'211_VIP宝箱'!L60</f>
        <v>5405000</v>
      </c>
      <c r="L919" s="15">
        <f ca="1">'206_副本挂机'!I179</f>
        <v>131011.2</v>
      </c>
      <c r="M919" s="15">
        <f ca="1">'202_黑鸦营地'!I109</f>
        <v>12708</v>
      </c>
      <c r="N919" s="15">
        <f ca="1">'208_黑市'!O60</f>
        <v>7700</v>
      </c>
      <c r="O919" s="15">
        <f ca="1">'210_活动'!U60</f>
        <v>50399.9999999999</v>
      </c>
      <c r="P919" s="15">
        <f ca="1">'212_VIP商店'!L60</f>
        <v>8857.14285714287</v>
      </c>
      <c r="Q919" s="1" t="str">
        <f ca="1" t="shared" si="332"/>
        <v/>
      </c>
      <c r="R919" s="1">
        <f ca="1" t="shared" si="333"/>
        <v>307842200</v>
      </c>
      <c r="S919" s="30"/>
      <c r="T919" s="30"/>
      <c r="U919" s="1" t="str">
        <f ca="1" t="shared" si="334"/>
        <v/>
      </c>
      <c r="V919" s="1">
        <f ca="1" t="shared" si="335"/>
        <v>210676.342857143</v>
      </c>
      <c r="W919" s="30"/>
      <c r="X919" s="30"/>
      <c r="Z919" s="44">
        <f ca="1" t="shared" si="336"/>
        <v>3922560</v>
      </c>
      <c r="AA919" s="44">
        <f ca="1" t="shared" si="337"/>
        <v>240000</v>
      </c>
      <c r="AB919" s="44">
        <f ca="1" t="shared" si="338"/>
        <v>1600000</v>
      </c>
      <c r="AC919" s="44">
        <f ca="1" t="shared" si="339"/>
        <v>90000</v>
      </c>
      <c r="AD919" s="45">
        <f ca="1" t="shared" si="340"/>
        <v>2400</v>
      </c>
      <c r="AE919" s="45">
        <f ca="1" t="shared" si="341"/>
        <v>250</v>
      </c>
      <c r="AF919" s="45">
        <f ca="1" t="shared" si="342"/>
        <v>160</v>
      </c>
      <c r="AG919" s="45">
        <f ca="1" t="shared" si="343"/>
        <v>1066.66666666666</v>
      </c>
      <c r="AH919" s="45">
        <f ca="1" t="shared" si="344"/>
        <v>142.857142857143</v>
      </c>
    </row>
    <row r="920" spans="2:34">
      <c r="B920" s="11">
        <v>80</v>
      </c>
      <c r="C920" s="1">
        <f ca="1">养成规划!V61</f>
        <v>5</v>
      </c>
      <c r="D920" s="1" t="str">
        <f>IF(养成规划!F61="","",养成规划!F61)</f>
        <v/>
      </c>
      <c r="E920" s="1" t="str">
        <f ca="1">IFERROR(C920*OFFSET('107_兵卡等级'!$G$6,MATCH(D920,'107_兵卡等级'!$B$6:$B$205,0)-1,0),"")</f>
        <v/>
      </c>
      <c r="F920" s="1" t="str">
        <f ca="1">IFERROR(C920*OFFSET('107_兵卡等级'!$I$6,MATCH(D920,'107_兵卡等级'!$B$6:$B$205,0)-1,0),"")</f>
        <v/>
      </c>
      <c r="G920" s="15" t="str">
        <f>IF(养成规划!E140="","",养成规划!E140)</f>
        <v/>
      </c>
      <c r="H920" s="1">
        <f ca="1">'206_副本挂机'!F180</f>
        <v>235029600</v>
      </c>
      <c r="I920" s="1">
        <f ca="1">'208_黑市'!L61</f>
        <v>12750000</v>
      </c>
      <c r="J920" s="1">
        <f ca="1">'210_活动'!R61</f>
        <v>83600000</v>
      </c>
      <c r="K920" s="1">
        <f ca="1">'211_VIP宝箱'!L61</f>
        <v>5855000</v>
      </c>
      <c r="L920" s="15">
        <f ca="1">'206_副本挂机'!I180</f>
        <v>143011.2</v>
      </c>
      <c r="M920" s="15">
        <f ca="1">'202_黑鸦营地'!I110</f>
        <v>13958</v>
      </c>
      <c r="N920" s="15">
        <f ca="1">'208_黑市'!O61</f>
        <v>8500</v>
      </c>
      <c r="O920" s="15">
        <f ca="1">'210_活动'!U61</f>
        <v>55733.3333333332</v>
      </c>
      <c r="P920" s="15">
        <f ca="1">'212_VIP商店'!L61</f>
        <v>9571.42857142858</v>
      </c>
      <c r="Q920" s="1" t="str">
        <f ca="1" t="shared" si="332"/>
        <v/>
      </c>
      <c r="R920" s="1">
        <f ca="1" t="shared" si="333"/>
        <v>337234600</v>
      </c>
      <c r="S920" s="30"/>
      <c r="T920" s="30"/>
      <c r="U920" s="1" t="str">
        <f ca="1" t="shared" si="334"/>
        <v/>
      </c>
      <c r="V920" s="1">
        <f ca="1" t="shared" si="335"/>
        <v>230773.961904762</v>
      </c>
      <c r="W920" s="30"/>
      <c r="X920" s="30"/>
      <c r="Z920" s="44">
        <f ca="1" t="shared" si="336"/>
        <v>3948480</v>
      </c>
      <c r="AA920" s="44">
        <f ca="1" t="shared" si="337"/>
        <v>240000</v>
      </c>
      <c r="AB920" s="44">
        <f ca="1" t="shared" si="338"/>
        <v>1600000</v>
      </c>
      <c r="AC920" s="44">
        <f ca="1" t="shared" si="339"/>
        <v>90000</v>
      </c>
      <c r="AD920" s="45">
        <f ca="1" t="shared" si="340"/>
        <v>2400</v>
      </c>
      <c r="AE920" s="45">
        <f ca="1" t="shared" si="341"/>
        <v>250</v>
      </c>
      <c r="AF920" s="45">
        <f ca="1" t="shared" si="342"/>
        <v>160</v>
      </c>
      <c r="AG920" s="45">
        <f ca="1" t="shared" si="343"/>
        <v>1066.66666666666</v>
      </c>
      <c r="AH920" s="45">
        <f ca="1" t="shared" si="344"/>
        <v>142.857142857143</v>
      </c>
    </row>
    <row r="921" spans="2:34">
      <c r="B921" s="11">
        <v>85</v>
      </c>
      <c r="C921" s="1">
        <f ca="1">养成规划!V62</f>
        <v>5</v>
      </c>
      <c r="D921" s="1" t="str">
        <f>IF(养成规划!F62="","",养成规划!F62)</f>
        <v/>
      </c>
      <c r="E921" s="1" t="str">
        <f ca="1">IFERROR(C921*OFFSET('107_兵卡等级'!$G$6,MATCH(D921,'107_兵卡等级'!$B$6:$B$205,0)-1,0),"")</f>
        <v/>
      </c>
      <c r="F921" s="1" t="str">
        <f ca="1">IFERROR(C921*OFFSET('107_兵卡等级'!$I$6,MATCH(D921,'107_兵卡等级'!$B$6:$B$205,0)-1,0),"")</f>
        <v/>
      </c>
      <c r="G921" s="15" t="str">
        <f>IF(养成规划!E141="","",养成规划!E141)</f>
        <v/>
      </c>
      <c r="H921" s="1">
        <f ca="1">'206_副本挂机'!F181</f>
        <v>254858400</v>
      </c>
      <c r="I921" s="1">
        <f ca="1">'208_黑市'!L62</f>
        <v>13950000</v>
      </c>
      <c r="J921" s="1">
        <f ca="1">'210_活动'!R62</f>
        <v>91600000</v>
      </c>
      <c r="K921" s="1">
        <f ca="1">'211_VIP宝箱'!L62</f>
        <v>6305000</v>
      </c>
      <c r="L921" s="15">
        <f ca="1">'206_副本挂机'!I181</f>
        <v>155011.2</v>
      </c>
      <c r="M921" s="15">
        <f ca="1">'202_黑鸦营地'!I111</f>
        <v>15283</v>
      </c>
      <c r="N921" s="15">
        <f ca="1">'208_黑市'!O62</f>
        <v>9300</v>
      </c>
      <c r="O921" s="15">
        <f ca="1">'210_活动'!U62</f>
        <v>61066.6666666665</v>
      </c>
      <c r="P921" s="15">
        <f ca="1">'212_VIP商店'!L62</f>
        <v>10285.7142857143</v>
      </c>
      <c r="Q921" s="1" t="str">
        <f ca="1" t="shared" si="332"/>
        <v/>
      </c>
      <c r="R921" s="1">
        <f ca="1" t="shared" si="333"/>
        <v>366713400</v>
      </c>
      <c r="S921" s="30"/>
      <c r="T921" s="30"/>
      <c r="U921" s="1" t="str">
        <f ca="1" t="shared" si="334"/>
        <v/>
      </c>
      <c r="V921" s="1">
        <f ca="1" t="shared" si="335"/>
        <v>250946.580952381</v>
      </c>
      <c r="W921" s="30"/>
      <c r="X921" s="30"/>
      <c r="Z921" s="44">
        <f ca="1" t="shared" si="336"/>
        <v>3965760</v>
      </c>
      <c r="AA921" s="44">
        <f ca="1" t="shared" si="337"/>
        <v>240000</v>
      </c>
      <c r="AB921" s="44">
        <f ca="1" t="shared" si="338"/>
        <v>1600000</v>
      </c>
      <c r="AC921" s="44">
        <f ca="1" t="shared" si="339"/>
        <v>90000</v>
      </c>
      <c r="AD921" s="45">
        <f ca="1" t="shared" si="340"/>
        <v>2400</v>
      </c>
      <c r="AE921" s="45">
        <f ca="1" t="shared" si="341"/>
        <v>265</v>
      </c>
      <c r="AF921" s="45">
        <f ca="1" t="shared" si="342"/>
        <v>160</v>
      </c>
      <c r="AG921" s="45">
        <f ca="1" t="shared" si="343"/>
        <v>1066.66666666666</v>
      </c>
      <c r="AH921" s="45">
        <f ca="1" t="shared" si="344"/>
        <v>142.857142857143</v>
      </c>
    </row>
    <row r="922" spans="2:34">
      <c r="B922" s="11">
        <v>90</v>
      </c>
      <c r="C922" s="1">
        <f ca="1">养成规划!V63</f>
        <v>5</v>
      </c>
      <c r="D922" s="1">
        <f>IF(养成规划!F63="","",养成规划!F63)</f>
        <v>110</v>
      </c>
      <c r="E922" s="1">
        <f ca="1">IFERROR(C922*OFFSET('107_兵卡等级'!$G$6,MATCH(D922,'107_兵卡等级'!$B$6:$B$205,0)-1,0),"")</f>
        <v>598829500</v>
      </c>
      <c r="F922" s="1">
        <f ca="1">IFERROR(C922*OFFSET('107_兵卡等级'!$I$6,MATCH(D922,'107_兵卡等级'!$B$6:$B$205,0)-1,0),"")</f>
        <v>457400</v>
      </c>
      <c r="G922" s="15" t="str">
        <f>IF(养成规划!E142="","",养成规划!E142)</f>
        <v/>
      </c>
      <c r="H922" s="1">
        <f ca="1">'206_副本挂机'!F182</f>
        <v>274773600</v>
      </c>
      <c r="I922" s="1">
        <f ca="1">'208_黑市'!L63</f>
        <v>15150000</v>
      </c>
      <c r="J922" s="1">
        <f ca="1">'210_活动'!R63</f>
        <v>99600000</v>
      </c>
      <c r="K922" s="1">
        <f ca="1">'211_VIP宝箱'!L63</f>
        <v>6805000</v>
      </c>
      <c r="L922" s="15">
        <f ca="1">'206_副本挂机'!I182</f>
        <v>167011.2</v>
      </c>
      <c r="M922" s="15">
        <f ca="1">'202_黑鸦营地'!I112</f>
        <v>16608</v>
      </c>
      <c r="N922" s="15">
        <f ca="1">'208_黑市'!O63</f>
        <v>10100</v>
      </c>
      <c r="O922" s="15">
        <f ca="1">'210_活动'!U63</f>
        <v>66399.9999999998</v>
      </c>
      <c r="P922" s="15">
        <f ca="1">'212_VIP商店'!L63</f>
        <v>11000</v>
      </c>
      <c r="Q922" s="1">
        <f ca="1" t="shared" si="332"/>
        <v>598829500</v>
      </c>
      <c r="R922" s="1">
        <f ca="1" t="shared" si="333"/>
        <v>396328600</v>
      </c>
      <c r="S922" s="30"/>
      <c r="T922" s="30"/>
      <c r="U922" s="1">
        <f ca="1" t="shared" si="334"/>
        <v>457400</v>
      </c>
      <c r="V922" s="1">
        <f ca="1" t="shared" si="335"/>
        <v>271119.2</v>
      </c>
      <c r="W922" s="30"/>
      <c r="X922" s="30"/>
      <c r="Z922" s="44">
        <f ca="1" t="shared" si="336"/>
        <v>3983040</v>
      </c>
      <c r="AA922" s="44">
        <f ca="1" t="shared" si="337"/>
        <v>240000</v>
      </c>
      <c r="AB922" s="44">
        <f ca="1" t="shared" si="338"/>
        <v>1600000</v>
      </c>
      <c r="AC922" s="44">
        <f ca="1" t="shared" si="339"/>
        <v>100000</v>
      </c>
      <c r="AD922" s="45">
        <f ca="1" t="shared" si="340"/>
        <v>2400</v>
      </c>
      <c r="AE922" s="45">
        <f ca="1" t="shared" si="341"/>
        <v>265</v>
      </c>
      <c r="AF922" s="45">
        <f ca="1" t="shared" si="342"/>
        <v>160</v>
      </c>
      <c r="AG922" s="45">
        <f ca="1" t="shared" si="343"/>
        <v>1066.66666666666</v>
      </c>
      <c r="AH922" s="45">
        <f ca="1" t="shared" si="344"/>
        <v>142.857142857143</v>
      </c>
    </row>
    <row r="923" spans="2:34">
      <c r="B923" s="11">
        <v>95</v>
      </c>
      <c r="C923" s="1">
        <f ca="1">养成规划!V64</f>
        <v>5</v>
      </c>
      <c r="D923" s="1" t="str">
        <f>IF(养成规划!F64="","",养成规划!F64)</f>
        <v/>
      </c>
      <c r="E923" s="1" t="str">
        <f ca="1">IFERROR(C923*OFFSET('107_兵卡等级'!$G$6,MATCH(D923,'107_兵卡等级'!$B$6:$B$205,0)-1,0),"")</f>
        <v/>
      </c>
      <c r="F923" s="1" t="str">
        <f ca="1">IFERROR(C923*OFFSET('107_兵卡等级'!$I$6,MATCH(D923,'107_兵卡等级'!$B$6:$B$205,0)-1,0),"")</f>
        <v/>
      </c>
      <c r="G923" s="15" t="str">
        <f>IF(养成规划!E143="","",养成规划!E143)</f>
        <v/>
      </c>
      <c r="H923" s="1">
        <f ca="1">'206_副本挂机'!F183</f>
        <v>294818400</v>
      </c>
      <c r="I923" s="1">
        <f ca="1">'208_黑市'!L64</f>
        <v>16350000</v>
      </c>
      <c r="J923" s="1">
        <f ca="1">'210_活动'!R64</f>
        <v>107600000</v>
      </c>
      <c r="K923" s="1">
        <f ca="1">'211_VIP宝箱'!L64</f>
        <v>7305000</v>
      </c>
      <c r="L923" s="15">
        <f ca="1">'206_副本挂机'!I183</f>
        <v>179251.2</v>
      </c>
      <c r="M923" s="15">
        <f ca="1">'202_黑鸦营地'!I113</f>
        <v>17933</v>
      </c>
      <c r="N923" s="15">
        <f ca="1">'208_黑市'!O64</f>
        <v>10900</v>
      </c>
      <c r="O923" s="15">
        <f ca="1">'210_活动'!U64</f>
        <v>71733.3333333332</v>
      </c>
      <c r="P923" s="15">
        <f ca="1">'212_VIP商店'!L64</f>
        <v>11714.2857142857</v>
      </c>
      <c r="Q923" s="1" t="str">
        <f ca="1" t="shared" si="332"/>
        <v/>
      </c>
      <c r="R923" s="1">
        <f ca="1" t="shared" si="333"/>
        <v>426073400</v>
      </c>
      <c r="S923" s="30"/>
      <c r="T923" s="30"/>
      <c r="U923" s="1" t="str">
        <f ca="1" t="shared" si="334"/>
        <v/>
      </c>
      <c r="V923" s="1">
        <f ca="1" t="shared" si="335"/>
        <v>291531.819047619</v>
      </c>
      <c r="W923" s="30"/>
      <c r="X923" s="30"/>
      <c r="Z923" s="44">
        <f ca="1" t="shared" si="336"/>
        <v>4008960</v>
      </c>
      <c r="AA923" s="44">
        <f ca="1" t="shared" si="337"/>
        <v>240000</v>
      </c>
      <c r="AB923" s="44">
        <f ca="1" t="shared" si="338"/>
        <v>1600000</v>
      </c>
      <c r="AC923" s="44">
        <f ca="1" t="shared" si="339"/>
        <v>100000</v>
      </c>
      <c r="AD923" s="45">
        <f ca="1" t="shared" si="340"/>
        <v>2448</v>
      </c>
      <c r="AE923" s="45">
        <f ca="1" t="shared" si="341"/>
        <v>265</v>
      </c>
      <c r="AF923" s="45">
        <f ca="1" t="shared" si="342"/>
        <v>160</v>
      </c>
      <c r="AG923" s="45">
        <f ca="1" t="shared" si="343"/>
        <v>1066.66666666666</v>
      </c>
      <c r="AH923" s="45">
        <f ca="1" t="shared" si="344"/>
        <v>142.857142857143</v>
      </c>
    </row>
    <row r="924" spans="2:34">
      <c r="B924" s="11">
        <v>100</v>
      </c>
      <c r="C924" s="1">
        <f ca="1">养成规划!V65</f>
        <v>5</v>
      </c>
      <c r="D924" s="1" t="str">
        <f>IF(养成规划!F65="","",养成规划!F65)</f>
        <v/>
      </c>
      <c r="E924" s="1" t="str">
        <f ca="1">IFERROR(C924*OFFSET('107_兵卡等级'!$G$6,MATCH(D924,'107_兵卡等级'!$B$6:$B$205,0)-1,0),"")</f>
        <v/>
      </c>
      <c r="F924" s="1" t="str">
        <f ca="1">IFERROR(C924*OFFSET('107_兵卡等级'!$I$6,MATCH(D924,'107_兵卡等级'!$B$6:$B$205,0)-1,0),"")</f>
        <v/>
      </c>
      <c r="G924" s="15" t="str">
        <f>IF(养成规划!E144="","",养成规划!E144)</f>
        <v/>
      </c>
      <c r="H924" s="1">
        <f ca="1">'206_副本挂机'!F184</f>
        <v>314949600</v>
      </c>
      <c r="I924" s="1">
        <f ca="1">'208_黑市'!L65</f>
        <v>17550000</v>
      </c>
      <c r="J924" s="1">
        <f ca="1">'210_活动'!R65</f>
        <v>115600000</v>
      </c>
      <c r="K924" s="1">
        <f ca="1">'211_VIP宝箱'!L65</f>
        <v>7805000</v>
      </c>
      <c r="L924" s="15">
        <f ca="1">'206_副本挂机'!I184</f>
        <v>191491.2</v>
      </c>
      <c r="M924" s="15">
        <f ca="1">'202_黑鸦营地'!I114</f>
        <v>19258</v>
      </c>
      <c r="N924" s="15">
        <f ca="1">'208_黑市'!O65</f>
        <v>11700</v>
      </c>
      <c r="O924" s="15">
        <f ca="1">'210_活动'!U65</f>
        <v>77066.6666666665</v>
      </c>
      <c r="P924" s="15">
        <f ca="1">'212_VIP商店'!L65</f>
        <v>12428.5714285714</v>
      </c>
      <c r="Q924" s="1" t="str">
        <f ca="1" t="shared" si="332"/>
        <v/>
      </c>
      <c r="R924" s="1">
        <f ca="1" t="shared" si="333"/>
        <v>455904600</v>
      </c>
      <c r="S924" s="30"/>
      <c r="T924" s="30"/>
      <c r="U924" s="1" t="str">
        <f ca="1" t="shared" si="334"/>
        <v/>
      </c>
      <c r="V924" s="1">
        <f ca="1" t="shared" si="335"/>
        <v>311944.438095238</v>
      </c>
      <c r="W924" s="30"/>
      <c r="X924" s="30"/>
      <c r="Z924" s="44">
        <f ca="1" t="shared" si="336"/>
        <v>4026240</v>
      </c>
      <c r="AA924" s="44">
        <f ca="1" t="shared" si="337"/>
        <v>240000</v>
      </c>
      <c r="AB924" s="44">
        <f ca="1" t="shared" si="338"/>
        <v>1600000</v>
      </c>
      <c r="AC924" s="44">
        <f ca="1" t="shared" si="339"/>
        <v>100000</v>
      </c>
      <c r="AD924" s="45">
        <f ca="1" t="shared" si="340"/>
        <v>2448</v>
      </c>
      <c r="AE924" s="45">
        <f ca="1" t="shared" si="341"/>
        <v>265</v>
      </c>
      <c r="AF924" s="45">
        <f ca="1" t="shared" si="342"/>
        <v>160</v>
      </c>
      <c r="AG924" s="45">
        <f ca="1" t="shared" si="343"/>
        <v>1066.66666666666</v>
      </c>
      <c r="AH924" s="45">
        <f ca="1" t="shared" si="344"/>
        <v>142.857142857143</v>
      </c>
    </row>
    <row r="925" spans="2:34">
      <c r="B925" s="11">
        <v>105</v>
      </c>
      <c r="C925" s="1">
        <f ca="1">养成规划!V66</f>
        <v>5</v>
      </c>
      <c r="D925" s="1" t="str">
        <f>IF(养成规划!F66="","",养成规划!F66)</f>
        <v/>
      </c>
      <c r="E925" s="1" t="str">
        <f ca="1">IFERROR(C925*OFFSET('107_兵卡等级'!$G$6,MATCH(D925,'107_兵卡等级'!$B$6:$B$205,0)-1,0),"")</f>
        <v/>
      </c>
      <c r="F925" s="1" t="str">
        <f ca="1">IFERROR(C925*OFFSET('107_兵卡等级'!$I$6,MATCH(D925,'107_兵卡等级'!$B$6:$B$205,0)-1,0),"")</f>
        <v/>
      </c>
      <c r="G925" s="15" t="str">
        <f>IF(养成规划!E145="","",养成规划!E145)</f>
        <v/>
      </c>
      <c r="H925" s="1">
        <f ca="1">'206_副本挂机'!F185</f>
        <v>335167200</v>
      </c>
      <c r="I925" s="1">
        <f ca="1">'208_黑市'!L66</f>
        <v>18750000</v>
      </c>
      <c r="J925" s="1">
        <f ca="1">'210_活动'!R66</f>
        <v>123600000</v>
      </c>
      <c r="K925" s="1">
        <f ca="1">'211_VIP宝箱'!L66</f>
        <v>8305000</v>
      </c>
      <c r="L925" s="15">
        <f ca="1">'206_副本挂机'!I185</f>
        <v>203731.2</v>
      </c>
      <c r="M925" s="15">
        <f ca="1">'202_黑鸦营地'!I115</f>
        <v>20583</v>
      </c>
      <c r="N925" s="15">
        <f ca="1">'208_黑市'!O66</f>
        <v>12500</v>
      </c>
      <c r="O925" s="15">
        <f ca="1">'210_活动'!U66</f>
        <v>82399.9999999998</v>
      </c>
      <c r="P925" s="15">
        <f ca="1">'212_VIP商店'!L66</f>
        <v>13142.8571428572</v>
      </c>
      <c r="Q925" s="1" t="str">
        <f ca="1" t="shared" si="332"/>
        <v/>
      </c>
      <c r="R925" s="1">
        <f ca="1" t="shared" si="333"/>
        <v>485822200</v>
      </c>
      <c r="S925" s="30"/>
      <c r="T925" s="30"/>
      <c r="U925" s="1" t="str">
        <f ca="1" t="shared" si="334"/>
        <v/>
      </c>
      <c r="V925" s="1">
        <f ca="1" t="shared" si="335"/>
        <v>332357.057142857</v>
      </c>
      <c r="W925" s="30"/>
      <c r="X925" s="30"/>
      <c r="Z925" s="44">
        <f ca="1" t="shared" si="336"/>
        <v>4043520</v>
      </c>
      <c r="AA925" s="44">
        <f ca="1" t="shared" si="337"/>
        <v>240000</v>
      </c>
      <c r="AB925" s="44">
        <f ca="1" t="shared" si="338"/>
        <v>1600000</v>
      </c>
      <c r="AC925" s="44">
        <f ca="1" t="shared" si="339"/>
        <v>100000</v>
      </c>
      <c r="AD925" s="45">
        <f ca="1" t="shared" si="340"/>
        <v>2448</v>
      </c>
      <c r="AE925" s="45">
        <f ca="1" t="shared" si="341"/>
        <v>265</v>
      </c>
      <c r="AF925" s="45">
        <f ca="1" t="shared" si="342"/>
        <v>160</v>
      </c>
      <c r="AG925" s="45">
        <f ca="1" t="shared" si="343"/>
        <v>1066.66666666666</v>
      </c>
      <c r="AH925" s="45">
        <f ca="1" t="shared" si="344"/>
        <v>142.857142857143</v>
      </c>
    </row>
    <row r="926" spans="2:34">
      <c r="B926" s="11">
        <v>110</v>
      </c>
      <c r="C926" s="1">
        <f ca="1">养成规划!V67</f>
        <v>5</v>
      </c>
      <c r="D926" s="1" t="str">
        <f>IF(养成规划!F67="","",养成规划!F67)</f>
        <v/>
      </c>
      <c r="E926" s="1" t="str">
        <f ca="1">IFERROR(C926*OFFSET('107_兵卡等级'!$G$6,MATCH(D926,'107_兵卡等级'!$B$6:$B$205,0)-1,0),"")</f>
        <v/>
      </c>
      <c r="F926" s="1" t="str">
        <f ca="1">IFERROR(C926*OFFSET('107_兵卡等级'!$I$6,MATCH(D926,'107_兵卡等级'!$B$6:$B$205,0)-1,0),"")</f>
        <v/>
      </c>
      <c r="G926" s="15" t="str">
        <f>IF(养成规划!E146="","",养成规划!E146)</f>
        <v/>
      </c>
      <c r="H926" s="1">
        <f ca="1">'206_副本挂机'!F186</f>
        <v>355514400</v>
      </c>
      <c r="I926" s="1">
        <f ca="1">'208_黑市'!L67</f>
        <v>19950000</v>
      </c>
      <c r="J926" s="1">
        <f ca="1">'210_活动'!R67</f>
        <v>131600000</v>
      </c>
      <c r="K926" s="1">
        <f ca="1">'211_VIP宝箱'!L67</f>
        <v>8805000</v>
      </c>
      <c r="L926" s="15">
        <f ca="1">'206_副本挂机'!I186</f>
        <v>215971.2</v>
      </c>
      <c r="M926" s="15">
        <f ca="1">'202_黑鸦营地'!I116</f>
        <v>21908</v>
      </c>
      <c r="N926" s="15">
        <f ca="1">'208_黑市'!O67</f>
        <v>13300</v>
      </c>
      <c r="O926" s="15">
        <f ca="1">'210_活动'!U67</f>
        <v>87733.3333333331</v>
      </c>
      <c r="P926" s="15">
        <f ca="1">'212_VIP商店'!L67</f>
        <v>13857.1428571429</v>
      </c>
      <c r="Q926" s="1" t="str">
        <f ca="1" t="shared" si="332"/>
        <v/>
      </c>
      <c r="R926" s="1">
        <f ca="1" t="shared" si="333"/>
        <v>515869400</v>
      </c>
      <c r="S926" s="30"/>
      <c r="T926" s="30"/>
      <c r="U926" s="1" t="str">
        <f ca="1" t="shared" si="334"/>
        <v/>
      </c>
      <c r="V926" s="1">
        <f ca="1" t="shared" si="335"/>
        <v>352769.676190476</v>
      </c>
      <c r="W926" s="30"/>
      <c r="X926" s="30"/>
      <c r="Z926" s="44">
        <f ca="1" t="shared" si="336"/>
        <v>4069440</v>
      </c>
      <c r="AA926" s="44">
        <f ca="1" t="shared" si="337"/>
        <v>240000</v>
      </c>
      <c r="AB926" s="44">
        <f ca="1" t="shared" si="338"/>
        <v>1600000</v>
      </c>
      <c r="AC926" s="44">
        <f ca="1" t="shared" si="339"/>
        <v>100000</v>
      </c>
      <c r="AD926" s="45">
        <f ca="1" t="shared" si="340"/>
        <v>2448</v>
      </c>
      <c r="AE926" s="45">
        <f ca="1" t="shared" si="341"/>
        <v>265</v>
      </c>
      <c r="AF926" s="45">
        <f ca="1" t="shared" si="342"/>
        <v>160</v>
      </c>
      <c r="AG926" s="45">
        <f ca="1" t="shared" si="343"/>
        <v>1066.66666666666</v>
      </c>
      <c r="AH926" s="45">
        <f ca="1" t="shared" si="344"/>
        <v>142.857142857143</v>
      </c>
    </row>
    <row r="927" spans="2:34">
      <c r="B927" s="11">
        <v>115</v>
      </c>
      <c r="C927" s="1">
        <f ca="1">养成规划!V68</f>
        <v>5</v>
      </c>
      <c r="D927" s="1" t="str">
        <f>IF(养成规划!F68="","",养成规划!F68)</f>
        <v/>
      </c>
      <c r="E927" s="1" t="str">
        <f ca="1">IFERROR(C927*OFFSET('107_兵卡等级'!$G$6,MATCH(D927,'107_兵卡等级'!$B$6:$B$205,0)-1,0),"")</f>
        <v/>
      </c>
      <c r="F927" s="1" t="str">
        <f ca="1">IFERROR(C927*OFFSET('107_兵卡等级'!$I$6,MATCH(D927,'107_兵卡等级'!$B$6:$B$205,0)-1,0),"")</f>
        <v/>
      </c>
      <c r="G927" s="15" t="str">
        <f>IF(养成规划!E147="","",养成规划!E147)</f>
        <v/>
      </c>
      <c r="H927" s="1">
        <f ca="1">'206_副本挂机'!F187</f>
        <v>375948000</v>
      </c>
      <c r="I927" s="1">
        <f ca="1">'208_黑市'!L68</f>
        <v>21150000</v>
      </c>
      <c r="J927" s="1">
        <f ca="1">'210_活动'!R68</f>
        <v>139600000</v>
      </c>
      <c r="K927" s="1">
        <f ca="1">'211_VIP宝箱'!L68</f>
        <v>9305000</v>
      </c>
      <c r="L927" s="15">
        <f ca="1">'206_副本挂机'!I187</f>
        <v>228451.2</v>
      </c>
      <c r="M927" s="15">
        <f ca="1">'202_黑鸦营地'!I117</f>
        <v>23233</v>
      </c>
      <c r="N927" s="15">
        <f ca="1">'208_黑市'!O68</f>
        <v>14100</v>
      </c>
      <c r="O927" s="15">
        <f ca="1">'210_活动'!U68</f>
        <v>93066.6666666664</v>
      </c>
      <c r="P927" s="15">
        <f ca="1">'212_VIP商店'!L68</f>
        <v>14571.4285714286</v>
      </c>
      <c r="Q927" s="1" t="str">
        <f ca="1" t="shared" si="332"/>
        <v/>
      </c>
      <c r="R927" s="1">
        <f ca="1" t="shared" si="333"/>
        <v>546003000</v>
      </c>
      <c r="S927" s="30"/>
      <c r="T927" s="30"/>
      <c r="U927" s="1" t="str">
        <f ca="1" t="shared" si="334"/>
        <v/>
      </c>
      <c r="V927" s="1">
        <f ca="1" t="shared" si="335"/>
        <v>373422.295238095</v>
      </c>
      <c r="W927" s="30"/>
      <c r="X927" s="30"/>
      <c r="Z927" s="44">
        <f ca="1" t="shared" si="336"/>
        <v>4086720</v>
      </c>
      <c r="AA927" s="44">
        <f ca="1" t="shared" si="337"/>
        <v>240000</v>
      </c>
      <c r="AB927" s="44">
        <f ca="1" t="shared" si="338"/>
        <v>1600000</v>
      </c>
      <c r="AC927" s="44">
        <f ca="1" t="shared" si="339"/>
        <v>100000</v>
      </c>
      <c r="AD927" s="45">
        <f ca="1" t="shared" si="340"/>
        <v>2496</v>
      </c>
      <c r="AE927" s="45">
        <f ca="1" t="shared" si="341"/>
        <v>265</v>
      </c>
      <c r="AF927" s="45">
        <f ca="1" t="shared" si="342"/>
        <v>160</v>
      </c>
      <c r="AG927" s="45">
        <f ca="1" t="shared" si="343"/>
        <v>1066.66666666666</v>
      </c>
      <c r="AH927" s="45">
        <f ca="1" t="shared" si="344"/>
        <v>142.857142857143</v>
      </c>
    </row>
    <row r="928" spans="2:34">
      <c r="B928" s="11">
        <v>120</v>
      </c>
      <c r="C928" s="1">
        <f ca="1">养成规划!V69</f>
        <v>5</v>
      </c>
      <c r="D928" s="1">
        <f>IF(养成规划!F69="","",养成规划!F69)</f>
        <v>120</v>
      </c>
      <c r="E928" s="1">
        <f ca="1">IFERROR(C928*OFFSET('107_兵卡等级'!$G$6,MATCH(D928,'107_兵卡等级'!$B$6:$B$205,0)-1,0),"")</f>
        <v>825329500</v>
      </c>
      <c r="F928" s="1">
        <f ca="1">IFERROR(C928*OFFSET('107_兵卡等级'!$I$6,MATCH(D928,'107_兵卡等级'!$B$6:$B$205,0)-1,0),"")</f>
        <v>617400</v>
      </c>
      <c r="G928" s="15">
        <f>IF(养成规划!E148="","",养成规划!E148)</f>
        <v>8</v>
      </c>
      <c r="H928" s="1">
        <f ca="1">'206_副本挂机'!F188</f>
        <v>396597600</v>
      </c>
      <c r="I928" s="1">
        <f ca="1">'208_黑市'!L69</f>
        <v>22350000</v>
      </c>
      <c r="J928" s="1">
        <f ca="1">'210_活动'!R69</f>
        <v>147600000</v>
      </c>
      <c r="K928" s="1">
        <f ca="1">'211_VIP宝箱'!L69</f>
        <v>9805000</v>
      </c>
      <c r="L928" s="15">
        <f ca="1">'206_副本挂机'!I188</f>
        <v>240931.2</v>
      </c>
      <c r="M928" s="15">
        <f ca="1">'202_黑鸦营地'!I118</f>
        <v>24558</v>
      </c>
      <c r="N928" s="15">
        <f ca="1">'208_黑市'!O69</f>
        <v>14900</v>
      </c>
      <c r="O928" s="15">
        <f ca="1">'210_活动'!U69</f>
        <v>98399.9999999997</v>
      </c>
      <c r="P928" s="15">
        <f ca="1">'212_VIP商店'!L69</f>
        <v>15285.7142857143</v>
      </c>
      <c r="Q928" s="1">
        <f ca="1" t="shared" si="332"/>
        <v>825329500</v>
      </c>
      <c r="R928" s="1">
        <f ca="1" t="shared" si="333"/>
        <v>576352600</v>
      </c>
      <c r="S928" s="30"/>
      <c r="T928" s="30"/>
      <c r="U928" s="1">
        <f ca="1" t="shared" si="334"/>
        <v>617400</v>
      </c>
      <c r="V928" s="1">
        <f ca="1" t="shared" si="335"/>
        <v>394074.914285714</v>
      </c>
      <c r="W928" s="30"/>
      <c r="X928" s="30"/>
      <c r="Z928" s="44">
        <f ca="1" t="shared" si="336"/>
        <v>4129920</v>
      </c>
      <c r="AA928" s="44">
        <f ca="1" t="shared" si="337"/>
        <v>240000</v>
      </c>
      <c r="AB928" s="44">
        <f ca="1" t="shared" si="338"/>
        <v>1600000</v>
      </c>
      <c r="AC928" s="44">
        <f ca="1" t="shared" si="339"/>
        <v>100000</v>
      </c>
      <c r="AD928" s="45">
        <f ca="1" t="shared" si="340"/>
        <v>2496</v>
      </c>
      <c r="AE928" s="45">
        <f ca="1" t="shared" si="341"/>
        <v>265</v>
      </c>
      <c r="AF928" s="45">
        <f ca="1" t="shared" si="342"/>
        <v>160</v>
      </c>
      <c r="AG928" s="45">
        <f ca="1" t="shared" si="343"/>
        <v>1066.66666666666</v>
      </c>
      <c r="AH928" s="45">
        <f ca="1" t="shared" si="344"/>
        <v>142.857142857143</v>
      </c>
    </row>
    <row r="929" spans="2:34">
      <c r="B929" s="12">
        <v>150</v>
      </c>
      <c r="C929" s="1">
        <f ca="1">养成规划!V70</f>
        <v>5</v>
      </c>
      <c r="D929" s="1">
        <f>IF(养成规划!F70="","",养成规划!F70)</f>
        <v>130</v>
      </c>
      <c r="E929" s="1">
        <f ca="1">IFERROR(C929*OFFSET('107_兵卡等级'!$G$6,MATCH(D929,'107_兵卡等级'!$B$6:$B$205,0)-1,0),"")</f>
        <v>1071929500</v>
      </c>
      <c r="F929" s="1">
        <f ca="1">IFERROR(C929*OFFSET('107_兵卡等级'!$I$6,MATCH(D929,'107_兵卡等级'!$B$6:$B$205,0)-1,0),"")</f>
        <v>785400</v>
      </c>
      <c r="G929" s="15" t="str">
        <f>IF(养成规划!E149="","",养成规划!E149)</f>
        <v/>
      </c>
      <c r="H929" s="1">
        <f ca="1">'206_副本挂机'!F189</f>
        <v>523346400</v>
      </c>
      <c r="I929" s="1">
        <f ca="1">'208_黑市'!L70</f>
        <v>31350000</v>
      </c>
      <c r="J929" s="1">
        <f ca="1">'210_活动'!R70</f>
        <v>207600000</v>
      </c>
      <c r="K929" s="1">
        <f ca="1">'211_VIP宝箱'!L70</f>
        <v>13105000</v>
      </c>
      <c r="L929" s="15">
        <f ca="1">'206_副本挂机'!I189</f>
        <v>317251.2</v>
      </c>
      <c r="M929" s="15">
        <f ca="1">'202_黑鸦营地'!I119</f>
        <v>34458</v>
      </c>
      <c r="N929" s="15">
        <f ca="1">'208_黑市'!O70</f>
        <v>20900</v>
      </c>
      <c r="O929" s="15">
        <f ca="1">'210_活动'!U70</f>
        <v>138400</v>
      </c>
      <c r="P929" s="15">
        <f ca="1">'212_VIP商店'!L70</f>
        <v>19571.4285714286</v>
      </c>
      <c r="Q929" s="1">
        <f ca="1" t="shared" ref="Q929:Q936" si="345">E929</f>
        <v>1071929500</v>
      </c>
      <c r="R929" s="1">
        <f ca="1" t="shared" ref="R929:R936" si="346">SUM(H929:K929)</f>
        <v>775401400</v>
      </c>
      <c r="S929" s="30"/>
      <c r="T929" s="30"/>
      <c r="U929" s="1">
        <f ca="1" t="shared" ref="U929:U936" si="347">F929</f>
        <v>785400</v>
      </c>
      <c r="V929" s="1">
        <f ca="1" t="shared" ref="V929:V936" si="348">SUM(L929:P929)</f>
        <v>530580.628571428</v>
      </c>
      <c r="W929" s="30"/>
      <c r="X929" s="30"/>
      <c r="Z929" s="44">
        <f ca="1" t="shared" si="336"/>
        <v>4224960</v>
      </c>
      <c r="AA929" s="44">
        <f ca="1" t="shared" si="337"/>
        <v>300000</v>
      </c>
      <c r="AB929" s="44">
        <f ca="1" t="shared" si="338"/>
        <v>2000000</v>
      </c>
      <c r="AC929" s="44">
        <f ca="1" t="shared" si="339"/>
        <v>110000</v>
      </c>
      <c r="AD929" s="45">
        <f ca="1" t="shared" si="340"/>
        <v>2544</v>
      </c>
      <c r="AE929" s="45">
        <f ca="1" t="shared" si="341"/>
        <v>330</v>
      </c>
      <c r="AF929" s="45">
        <f ca="1" t="shared" si="342"/>
        <v>200</v>
      </c>
      <c r="AG929" s="45">
        <f ca="1" t="shared" si="343"/>
        <v>1333.33333333333</v>
      </c>
      <c r="AH929" s="45">
        <f ca="1" t="shared" si="344"/>
        <v>142.857142857143</v>
      </c>
    </row>
    <row r="930" spans="2:34">
      <c r="B930" s="12">
        <v>180</v>
      </c>
      <c r="C930" s="1">
        <f ca="1">养成规划!V71</f>
        <v>5</v>
      </c>
      <c r="D930" s="1">
        <f>IF(养成规划!F71="","",养成规划!F71)</f>
        <v>140</v>
      </c>
      <c r="E930" s="1">
        <f ca="1">IFERROR(C930*OFFSET('107_兵卡等级'!$G$6,MATCH(D930,'107_兵卡等级'!$B$6:$B$205,0)-1,0),"")</f>
        <v>1328879500</v>
      </c>
      <c r="F930" s="1">
        <f ca="1">IFERROR(C930*OFFSET('107_兵卡等级'!$I$6,MATCH(D930,'107_兵卡等级'!$B$6:$B$205,0)-1,0),"")</f>
        <v>959400</v>
      </c>
      <c r="G930" s="15">
        <f>IF(养成规划!E150="","",养成规划!E150)</f>
        <v>9</v>
      </c>
      <c r="H930" s="1">
        <f ca="1">'206_副本挂机'!F190</f>
        <v>653205600</v>
      </c>
      <c r="I930" s="1">
        <f ca="1">'208_黑市'!L71</f>
        <v>40350000</v>
      </c>
      <c r="J930" s="1">
        <f ca="1">'210_活动'!R71</f>
        <v>267600000</v>
      </c>
      <c r="K930" s="1">
        <f ca="1">'211_VIP宝箱'!L71</f>
        <v>16405000</v>
      </c>
      <c r="L930" s="15">
        <f ca="1">'206_副本挂机'!I190</f>
        <v>396451.2</v>
      </c>
      <c r="M930" s="15">
        <f ca="1">'202_黑鸦营地'!I120</f>
        <v>44358</v>
      </c>
      <c r="N930" s="15">
        <f ca="1">'208_黑市'!O71</f>
        <v>26900</v>
      </c>
      <c r="O930" s="15">
        <f ca="1">'210_活动'!U71</f>
        <v>178400</v>
      </c>
      <c r="P930" s="15">
        <f ca="1">'212_VIP商店'!L71</f>
        <v>23857.1428571429</v>
      </c>
      <c r="Q930" s="1">
        <f ca="1" t="shared" si="345"/>
        <v>1328879500</v>
      </c>
      <c r="R930" s="1">
        <f ca="1" t="shared" si="346"/>
        <v>977560600</v>
      </c>
      <c r="S930" s="30"/>
      <c r="T930" s="30"/>
      <c r="U930" s="1">
        <f ca="1" t="shared" si="347"/>
        <v>959400</v>
      </c>
      <c r="V930" s="1">
        <f ca="1" t="shared" si="348"/>
        <v>669966.342857142</v>
      </c>
      <c r="W930" s="30"/>
      <c r="X930" s="30"/>
      <c r="Z930" s="44">
        <f ca="1" t="shared" ref="Z930:Z936" si="349">(H930-H929)/($B930-$B929)</f>
        <v>4328640</v>
      </c>
      <c r="AA930" s="44">
        <f ca="1" t="shared" ref="AA930:AA936" si="350">(I930-I929)/($B930-$B929)</f>
        <v>300000</v>
      </c>
      <c r="AB930" s="44">
        <f ca="1" t="shared" ref="AB930:AB936" si="351">(J930-J929)/($B930-$B929)</f>
        <v>2000000</v>
      </c>
      <c r="AC930" s="44">
        <f ca="1" t="shared" ref="AC930:AC936" si="352">(K930-K929)/($B930-$B929)</f>
        <v>110000</v>
      </c>
      <c r="AD930" s="45">
        <f ca="1" t="shared" ref="AD930:AD936" si="353">(L930-L929)/($B930-$B929)</f>
        <v>2640</v>
      </c>
      <c r="AE930" s="45">
        <f ca="1" t="shared" ref="AE930:AE936" si="354">(M930-M929)/($B930-$B929)</f>
        <v>330</v>
      </c>
      <c r="AF930" s="45">
        <f ca="1" t="shared" ref="AF930:AF936" si="355">(N930-N929)/($B930-$B929)</f>
        <v>200</v>
      </c>
      <c r="AG930" s="45">
        <f ca="1" t="shared" ref="AG930:AG936" si="356">(O930-O929)/($B930-$B929)</f>
        <v>1333.33333333333</v>
      </c>
      <c r="AH930" s="45">
        <f ca="1" t="shared" ref="AH930:AH936" si="357">(P930-P929)/($B930-$B929)</f>
        <v>142.857142857143</v>
      </c>
    </row>
    <row r="931" spans="2:34">
      <c r="B931" s="12">
        <v>210</v>
      </c>
      <c r="C931" s="1">
        <f ca="1">养成规划!V72</f>
        <v>5</v>
      </c>
      <c r="D931" s="1">
        <f>IF(养成规划!F72="","",养成规划!F72)</f>
        <v>150</v>
      </c>
      <c r="E931" s="1">
        <f ca="1">IFERROR(C931*OFFSET('107_兵卡等级'!$G$6,MATCH(D931,'107_兵卡等级'!$B$6:$B$205,0)-1,0),"")</f>
        <v>1594829500</v>
      </c>
      <c r="F931" s="1">
        <f ca="1">IFERROR(C931*OFFSET('107_兵卡等级'!$I$6,MATCH(D931,'107_兵卡等级'!$B$6:$B$205,0)-1,0),"")</f>
        <v>1139400</v>
      </c>
      <c r="G931" s="15" t="str">
        <f>IF(养成规划!E151="","",养成规划!E151)</f>
        <v/>
      </c>
      <c r="H931" s="1">
        <f ca="1">'206_副本挂机'!F191</f>
        <v>785916000</v>
      </c>
      <c r="I931" s="1">
        <f ca="1">'208_黑市'!L72</f>
        <v>49350000</v>
      </c>
      <c r="J931" s="1">
        <f ca="1">'210_活动'!R72</f>
        <v>327600000</v>
      </c>
      <c r="K931" s="1">
        <f ca="1">'211_VIP宝箱'!L72</f>
        <v>19705000</v>
      </c>
      <c r="L931" s="15">
        <f ca="1">'206_副本挂机'!I191</f>
        <v>477091.2</v>
      </c>
      <c r="M931" s="15">
        <f ca="1">'202_黑鸦营地'!I121</f>
        <v>54258</v>
      </c>
      <c r="N931" s="15">
        <f ca="1">'208_黑市'!O72</f>
        <v>32900</v>
      </c>
      <c r="O931" s="15">
        <f ca="1">'210_活动'!U72</f>
        <v>218399.999999999</v>
      </c>
      <c r="P931" s="15">
        <f ca="1">'212_VIP商店'!L72</f>
        <v>28142.8571428572</v>
      </c>
      <c r="Q931" s="1">
        <f ca="1" t="shared" si="345"/>
        <v>1594829500</v>
      </c>
      <c r="R931" s="1">
        <f ca="1" t="shared" si="346"/>
        <v>1182571000</v>
      </c>
      <c r="S931" s="30"/>
      <c r="T931" s="30"/>
      <c r="U931" s="1">
        <f ca="1" t="shared" si="347"/>
        <v>1139400</v>
      </c>
      <c r="V931" s="1">
        <f ca="1" t="shared" si="348"/>
        <v>810792.057142857</v>
      </c>
      <c r="W931" s="30"/>
      <c r="X931" s="30"/>
      <c r="Z931" s="44">
        <f ca="1" t="shared" si="349"/>
        <v>4423680</v>
      </c>
      <c r="AA931" s="44">
        <f ca="1" t="shared" si="350"/>
        <v>300000</v>
      </c>
      <c r="AB931" s="44">
        <f ca="1" t="shared" si="351"/>
        <v>2000000</v>
      </c>
      <c r="AC931" s="44">
        <f ca="1" t="shared" si="352"/>
        <v>110000</v>
      </c>
      <c r="AD931" s="45">
        <f ca="1" t="shared" si="353"/>
        <v>2688</v>
      </c>
      <c r="AE931" s="45">
        <f ca="1" t="shared" si="354"/>
        <v>330</v>
      </c>
      <c r="AF931" s="45">
        <f ca="1" t="shared" si="355"/>
        <v>200</v>
      </c>
      <c r="AG931" s="45">
        <f ca="1" t="shared" si="356"/>
        <v>1333.33333333333</v>
      </c>
      <c r="AH931" s="45">
        <f ca="1" t="shared" si="357"/>
        <v>142.857142857143</v>
      </c>
    </row>
    <row r="932" spans="2:34">
      <c r="B932" s="12">
        <v>240</v>
      </c>
      <c r="C932" s="1">
        <f ca="1">养成规划!V73</f>
        <v>5</v>
      </c>
      <c r="D932" s="1">
        <f>IF(养成规划!F73="","",养成规划!F73)</f>
        <v>160</v>
      </c>
      <c r="E932" s="1">
        <f ca="1">IFERROR(C932*OFFSET('107_兵卡等级'!$G$6,MATCH(D932,'107_兵卡等级'!$B$6:$B$205,0)-1,0),"")</f>
        <v>1868129500</v>
      </c>
      <c r="F932" s="1">
        <f ca="1">IFERROR(C932*OFFSET('107_兵卡等级'!$I$6,MATCH(D932,'107_兵卡等级'!$B$6:$B$205,0)-1,0),"")</f>
        <v>1323400</v>
      </c>
      <c r="G932" s="15">
        <f>IF(养成规划!E152="","",养成规划!E152)</f>
        <v>10</v>
      </c>
      <c r="H932" s="1">
        <f ca="1">'206_副本挂机'!F192</f>
        <v>921736800</v>
      </c>
      <c r="I932" s="1">
        <f ca="1">'208_黑市'!L73</f>
        <v>58350000</v>
      </c>
      <c r="J932" s="1">
        <f ca="1">'210_活动'!R73</f>
        <v>387600000</v>
      </c>
      <c r="K932" s="1">
        <f ca="1">'211_VIP宝箱'!L73</f>
        <v>23305000</v>
      </c>
      <c r="L932" s="15">
        <f ca="1">'206_副本挂机'!I192</f>
        <v>559171.2</v>
      </c>
      <c r="M932" s="15">
        <f ca="1">'202_黑鸦营地'!I122</f>
        <v>64158</v>
      </c>
      <c r="N932" s="15">
        <f ca="1">'208_黑市'!O73</f>
        <v>38900</v>
      </c>
      <c r="O932" s="15">
        <f ca="1">'210_活动'!U73</f>
        <v>258399.999999999</v>
      </c>
      <c r="P932" s="15">
        <f ca="1">'212_VIP商店'!L73</f>
        <v>32428.5714285715</v>
      </c>
      <c r="Q932" s="1">
        <f ca="1" t="shared" si="345"/>
        <v>1868129500</v>
      </c>
      <c r="R932" s="1">
        <f ca="1" t="shared" si="346"/>
        <v>1390991800</v>
      </c>
      <c r="S932" s="30"/>
      <c r="T932" s="30"/>
      <c r="U932" s="1">
        <f ca="1" t="shared" si="347"/>
        <v>1323400</v>
      </c>
      <c r="V932" s="1">
        <f ca="1" t="shared" si="348"/>
        <v>953057.771428571</v>
      </c>
      <c r="W932" s="30"/>
      <c r="X932" s="30"/>
      <c r="Z932" s="44">
        <f ca="1" t="shared" si="349"/>
        <v>4527360</v>
      </c>
      <c r="AA932" s="44">
        <f ca="1" t="shared" si="350"/>
        <v>300000</v>
      </c>
      <c r="AB932" s="44">
        <f ca="1" t="shared" si="351"/>
        <v>2000000</v>
      </c>
      <c r="AC932" s="44">
        <f ca="1" t="shared" si="352"/>
        <v>120000</v>
      </c>
      <c r="AD932" s="45">
        <f ca="1" t="shared" si="353"/>
        <v>2736</v>
      </c>
      <c r="AE932" s="45">
        <f ca="1" t="shared" si="354"/>
        <v>330</v>
      </c>
      <c r="AF932" s="45">
        <f ca="1" t="shared" si="355"/>
        <v>200</v>
      </c>
      <c r="AG932" s="45">
        <f ca="1" t="shared" si="356"/>
        <v>1333.33333333333</v>
      </c>
      <c r="AH932" s="45">
        <f ca="1" t="shared" si="357"/>
        <v>142.857142857143</v>
      </c>
    </row>
    <row r="933" spans="2:34">
      <c r="B933" s="12">
        <v>270</v>
      </c>
      <c r="C933" s="1">
        <f ca="1">养成规划!V74</f>
        <v>5</v>
      </c>
      <c r="D933" s="1">
        <f>IF(养成规划!F74="","",养成规划!F74)</f>
        <v>170</v>
      </c>
      <c r="E933" s="1">
        <f ca="1">IFERROR(C933*OFFSET('107_兵卡等级'!$G$6,MATCH(D933,'107_兵卡等级'!$B$6:$B$205,0)-1,0),"")</f>
        <v>2147429500</v>
      </c>
      <c r="F933" s="1">
        <f ca="1">IFERROR(C933*OFFSET('107_兵卡等级'!$I$6,MATCH(D933,'107_兵卡等级'!$B$6:$B$205,0)-1,0),"")</f>
        <v>1511400</v>
      </c>
      <c r="G933" s="15" t="str">
        <f>IF(养成规划!E153="","",养成规划!E153)</f>
        <v/>
      </c>
      <c r="H933" s="1">
        <f ca="1">'206_副本挂机'!F193</f>
        <v>1060408800</v>
      </c>
      <c r="I933" s="1">
        <f ca="1">'208_黑市'!L74</f>
        <v>67350000</v>
      </c>
      <c r="J933" s="1">
        <f ca="1">'210_活动'!R74</f>
        <v>447600000</v>
      </c>
      <c r="K933" s="1">
        <f ca="1">'211_VIP宝箱'!L74</f>
        <v>26905000</v>
      </c>
      <c r="L933" s="15">
        <f ca="1">'206_副本挂机'!I193</f>
        <v>642691.2</v>
      </c>
      <c r="M933" s="15">
        <f ca="1">'202_黑鸦营地'!I123</f>
        <v>74058</v>
      </c>
      <c r="N933" s="15">
        <f ca="1">'208_黑市'!O74</f>
        <v>44900</v>
      </c>
      <c r="O933" s="15">
        <f ca="1">'210_活动'!U74</f>
        <v>298399.999999999</v>
      </c>
      <c r="P933" s="15">
        <f ca="1">'212_VIP商店'!L74</f>
        <v>36714.2857142858</v>
      </c>
      <c r="Q933" s="1">
        <f ca="1" t="shared" si="345"/>
        <v>2147429500</v>
      </c>
      <c r="R933" s="1">
        <f ca="1" t="shared" si="346"/>
        <v>1602263800</v>
      </c>
      <c r="S933" s="30"/>
      <c r="T933" s="30"/>
      <c r="U933" s="1">
        <f ca="1" t="shared" si="347"/>
        <v>1511400</v>
      </c>
      <c r="V933" s="1">
        <f ca="1" t="shared" si="348"/>
        <v>1096763.48571428</v>
      </c>
      <c r="W933" s="30"/>
      <c r="X933" s="30"/>
      <c r="Z933" s="44">
        <f ca="1" t="shared" si="349"/>
        <v>4622400</v>
      </c>
      <c r="AA933" s="44">
        <f ca="1" t="shared" si="350"/>
        <v>300000</v>
      </c>
      <c r="AB933" s="44">
        <f ca="1" t="shared" si="351"/>
        <v>2000000</v>
      </c>
      <c r="AC933" s="44">
        <f ca="1" t="shared" si="352"/>
        <v>120000</v>
      </c>
      <c r="AD933" s="45">
        <f ca="1" t="shared" si="353"/>
        <v>2784</v>
      </c>
      <c r="AE933" s="45">
        <f ca="1" t="shared" si="354"/>
        <v>330</v>
      </c>
      <c r="AF933" s="45">
        <f ca="1" t="shared" si="355"/>
        <v>200</v>
      </c>
      <c r="AG933" s="45">
        <f ca="1" t="shared" si="356"/>
        <v>1333.33333333333</v>
      </c>
      <c r="AH933" s="45">
        <f ca="1" t="shared" si="357"/>
        <v>142.857142857143</v>
      </c>
    </row>
    <row r="934" spans="2:34">
      <c r="B934" s="12">
        <v>300</v>
      </c>
      <c r="C934" s="1">
        <f ca="1">养成规划!V75</f>
        <v>5</v>
      </c>
      <c r="D934" s="1">
        <f>IF(养成规划!F75="","",养成规划!F75)</f>
        <v>180</v>
      </c>
      <c r="E934" s="1">
        <f ca="1">IFERROR(C934*OFFSET('107_兵卡等级'!$G$6,MATCH(D934,'107_兵卡等级'!$B$6:$B$205,0)-1,0),"")</f>
        <v>2432729500</v>
      </c>
      <c r="F934" s="1">
        <f ca="1">IFERROR(C934*OFFSET('107_兵卡等级'!$I$6,MATCH(D934,'107_兵卡等级'!$B$6:$B$205,0)-1,0),"")</f>
        <v>1703400</v>
      </c>
      <c r="G934" s="15">
        <f>IF(养成规划!E154="","",养成规划!E154)</f>
        <v>11</v>
      </c>
      <c r="H934" s="1">
        <f ca="1">'206_副本挂机'!F194</f>
        <v>1202191200</v>
      </c>
      <c r="I934" s="1">
        <f ca="1">'208_黑市'!L75</f>
        <v>76350000</v>
      </c>
      <c r="J934" s="1">
        <f ca="1">'210_活动'!R75</f>
        <v>507600000</v>
      </c>
      <c r="K934" s="1">
        <f ca="1">'211_VIP宝箱'!L75</f>
        <v>30505000</v>
      </c>
      <c r="L934" s="15">
        <f ca="1">'206_副本挂机'!I194</f>
        <v>729091.2</v>
      </c>
      <c r="M934" s="15">
        <f ca="1">'202_黑鸦营地'!I124</f>
        <v>83958</v>
      </c>
      <c r="N934" s="15">
        <f ca="1">'208_黑市'!O75</f>
        <v>50900</v>
      </c>
      <c r="O934" s="15">
        <f ca="1">'210_活动'!U75</f>
        <v>338399.999999999</v>
      </c>
      <c r="P934" s="15">
        <f ca="1">'212_VIP商店'!L75</f>
        <v>41000</v>
      </c>
      <c r="Q934" s="1">
        <f ca="1" t="shared" si="345"/>
        <v>2432729500</v>
      </c>
      <c r="R934" s="1">
        <f ca="1" t="shared" si="346"/>
        <v>1816646200</v>
      </c>
      <c r="S934" s="30"/>
      <c r="T934" s="30"/>
      <c r="U934" s="1">
        <f ca="1" t="shared" si="347"/>
        <v>1703400</v>
      </c>
      <c r="V934" s="1">
        <f ca="1" t="shared" si="348"/>
        <v>1243349.2</v>
      </c>
      <c r="W934" s="30"/>
      <c r="X934" s="30"/>
      <c r="Z934" s="44">
        <f ca="1" t="shared" si="349"/>
        <v>4726080</v>
      </c>
      <c r="AA934" s="44">
        <f ca="1" t="shared" si="350"/>
        <v>300000</v>
      </c>
      <c r="AB934" s="44">
        <f ca="1" t="shared" si="351"/>
        <v>2000000</v>
      </c>
      <c r="AC934" s="44">
        <f ca="1" t="shared" si="352"/>
        <v>120000</v>
      </c>
      <c r="AD934" s="45">
        <f ca="1" t="shared" si="353"/>
        <v>2880</v>
      </c>
      <c r="AE934" s="45">
        <f ca="1" t="shared" si="354"/>
        <v>330</v>
      </c>
      <c r="AF934" s="45">
        <f ca="1" t="shared" si="355"/>
        <v>200</v>
      </c>
      <c r="AG934" s="45">
        <f ca="1" t="shared" si="356"/>
        <v>1333.33333333333</v>
      </c>
      <c r="AH934" s="45">
        <f ca="1" t="shared" si="357"/>
        <v>142.857142857143</v>
      </c>
    </row>
    <row r="935" spans="2:34">
      <c r="B935" s="12">
        <v>330</v>
      </c>
      <c r="C935" s="1">
        <f ca="1">养成规划!V76</f>
        <v>5</v>
      </c>
      <c r="D935" s="1">
        <f>IF(养成规划!F76="","",养成规划!F76)</f>
        <v>190</v>
      </c>
      <c r="E935" s="1">
        <f ca="1">IFERROR(C935*OFFSET('107_兵卡等级'!$G$6,MATCH(D935,'107_兵卡等级'!$B$6:$B$205,0)-1,0),"")</f>
        <v>2724029500</v>
      </c>
      <c r="F935" s="1">
        <f ca="1">IFERROR(C935*OFFSET('107_兵卡等级'!$I$6,MATCH(D935,'107_兵卡等级'!$B$6:$B$205,0)-1,0),"")</f>
        <v>1899400</v>
      </c>
      <c r="G935" s="15" t="str">
        <f>IF(养成规划!E155="","",养成规划!E155)</f>
        <v/>
      </c>
      <c r="H935" s="1">
        <f ca="1">'206_副本挂机'!F195</f>
        <v>1347084000</v>
      </c>
      <c r="I935" s="1">
        <f ca="1">'208_黑市'!L76</f>
        <v>85350000</v>
      </c>
      <c r="J935" s="1">
        <f ca="1">'210_活动'!R76</f>
        <v>567600000</v>
      </c>
      <c r="K935" s="1">
        <f ca="1">'211_VIP宝箱'!L76</f>
        <v>34105000</v>
      </c>
      <c r="L935" s="15">
        <f ca="1">'206_副本挂机'!I195</f>
        <v>816931.2</v>
      </c>
      <c r="M935" s="15">
        <f ca="1">'202_黑鸦营地'!I125</f>
        <v>93858</v>
      </c>
      <c r="N935" s="15">
        <f ca="1">'208_黑市'!O76</f>
        <v>56900</v>
      </c>
      <c r="O935" s="15">
        <f ca="1">'210_活动'!U76</f>
        <v>378399.999999999</v>
      </c>
      <c r="P935" s="15">
        <f ca="1">'212_VIP商店'!L76</f>
        <v>45285.7142857143</v>
      </c>
      <c r="Q935" s="1">
        <f ca="1" t="shared" si="345"/>
        <v>2724029500</v>
      </c>
      <c r="R935" s="1">
        <f ca="1" t="shared" si="346"/>
        <v>2034139000</v>
      </c>
      <c r="S935" s="30"/>
      <c r="T935" s="30"/>
      <c r="U935" s="1">
        <f ca="1" t="shared" si="347"/>
        <v>1899400</v>
      </c>
      <c r="V935" s="1">
        <f ca="1" t="shared" si="348"/>
        <v>1391374.91428571</v>
      </c>
      <c r="W935" s="30"/>
      <c r="X935" s="30"/>
      <c r="Z935" s="44">
        <f ca="1" t="shared" si="349"/>
        <v>4829760</v>
      </c>
      <c r="AA935" s="44">
        <f ca="1" t="shared" si="350"/>
        <v>300000</v>
      </c>
      <c r="AB935" s="44">
        <f ca="1" t="shared" si="351"/>
        <v>2000000</v>
      </c>
      <c r="AC935" s="44">
        <f ca="1" t="shared" si="352"/>
        <v>120000</v>
      </c>
      <c r="AD935" s="45">
        <f ca="1" t="shared" si="353"/>
        <v>2928</v>
      </c>
      <c r="AE935" s="45">
        <f ca="1" t="shared" si="354"/>
        <v>330</v>
      </c>
      <c r="AF935" s="45">
        <f ca="1" t="shared" si="355"/>
        <v>200</v>
      </c>
      <c r="AG935" s="45">
        <f ca="1" t="shared" si="356"/>
        <v>1333.33333333333</v>
      </c>
      <c r="AH935" s="45">
        <f ca="1" t="shared" si="357"/>
        <v>142.857142857143</v>
      </c>
    </row>
    <row r="936" spans="2:34">
      <c r="B936" s="12">
        <v>360</v>
      </c>
      <c r="C936" s="1">
        <f ca="1">养成规划!V77</f>
        <v>5</v>
      </c>
      <c r="D936" s="1">
        <f>IF(养成规划!F77="","",养成规划!F77)</f>
        <v>200</v>
      </c>
      <c r="E936" s="1">
        <f ca="1">IFERROR(C936*OFFSET('107_兵卡等级'!$G$6,MATCH(D936,'107_兵卡等级'!$B$6:$B$205,0)-1,0),"")</f>
        <v>3021329500</v>
      </c>
      <c r="F936" s="1">
        <f ca="1">IFERROR(C936*OFFSET('107_兵卡等级'!$I$6,MATCH(D936,'107_兵卡等级'!$B$6:$B$205,0)-1,0),"")</f>
        <v>2099400</v>
      </c>
      <c r="G936" s="15">
        <f>IF(养成规划!E156="","",养成规划!E156)</f>
        <v>12</v>
      </c>
      <c r="H936" s="1">
        <f ca="1">'206_副本挂机'!F196</f>
        <v>1494828000</v>
      </c>
      <c r="I936" s="1">
        <f ca="1">'208_黑市'!L77</f>
        <v>94350000</v>
      </c>
      <c r="J936" s="1">
        <f ca="1">'210_活动'!R77</f>
        <v>627600000</v>
      </c>
      <c r="K936" s="1">
        <f ca="1">'211_VIP宝箱'!L77</f>
        <v>38005000</v>
      </c>
      <c r="L936" s="15">
        <f ca="1">'206_副本挂机'!I196</f>
        <v>906211.2</v>
      </c>
      <c r="M936" s="15">
        <f ca="1">'202_黑鸦营地'!I126</f>
        <v>103758</v>
      </c>
      <c r="N936" s="15">
        <f ca="1">'208_黑市'!O77</f>
        <v>62900</v>
      </c>
      <c r="O936" s="15">
        <f ca="1">'210_活动'!U77</f>
        <v>418399.999999999</v>
      </c>
      <c r="P936" s="15">
        <f ca="1">'212_VIP商店'!L77</f>
        <v>49571.4285714286</v>
      </c>
      <c r="Q936" s="1">
        <f ca="1" t="shared" si="345"/>
        <v>3021329500</v>
      </c>
      <c r="R936" s="1">
        <f ca="1" t="shared" si="346"/>
        <v>2254783000</v>
      </c>
      <c r="S936" s="30"/>
      <c r="T936" s="30"/>
      <c r="U936" s="1">
        <f ca="1" t="shared" si="347"/>
        <v>2099400</v>
      </c>
      <c r="V936" s="1">
        <f ca="1" t="shared" si="348"/>
        <v>1540840.62857143</v>
      </c>
      <c r="W936" s="30"/>
      <c r="X936" s="30"/>
      <c r="Z936" s="44">
        <f ca="1" t="shared" si="349"/>
        <v>4924800</v>
      </c>
      <c r="AA936" s="44">
        <f ca="1" t="shared" si="350"/>
        <v>300000</v>
      </c>
      <c r="AB936" s="44">
        <f ca="1" t="shared" si="351"/>
        <v>2000000</v>
      </c>
      <c r="AC936" s="44">
        <f ca="1" t="shared" si="352"/>
        <v>130000</v>
      </c>
      <c r="AD936" s="45">
        <f ca="1" t="shared" si="353"/>
        <v>2976</v>
      </c>
      <c r="AE936" s="45">
        <f ca="1" t="shared" si="354"/>
        <v>330</v>
      </c>
      <c r="AF936" s="45">
        <f ca="1" t="shared" si="355"/>
        <v>200</v>
      </c>
      <c r="AG936" s="45">
        <f ca="1" t="shared" si="356"/>
        <v>1333.33333333333</v>
      </c>
      <c r="AH936" s="45">
        <f ca="1" t="shared" si="357"/>
        <v>142.857142857143</v>
      </c>
    </row>
    <row r="938" s="25" customFormat="1" spans="1:3">
      <c r="A938" s="2" t="s">
        <v>704</v>
      </c>
      <c r="B938" s="2"/>
      <c r="C938" s="41" t="s">
        <v>436</v>
      </c>
    </row>
    <row r="940" spans="2:12">
      <c r="B940" s="27" t="s">
        <v>1015</v>
      </c>
      <c r="C940" s="27"/>
      <c r="D940" s="27"/>
      <c r="E940" s="27"/>
      <c r="F940" s="27"/>
      <c r="G940" s="27"/>
      <c r="H940" s="27"/>
      <c r="I940" s="27"/>
      <c r="J940" s="27"/>
      <c r="K940" s="27"/>
      <c r="L940" s="27"/>
    </row>
    <row r="942" spans="2:6">
      <c r="B942" s="1" t="s">
        <v>1016</v>
      </c>
      <c r="E942" s="1">
        <f>总规划!$D$118</f>
        <v>150</v>
      </c>
      <c r="F942" s="1" t="str">
        <f>总规划!$C$118</f>
        <v>1M空经</v>
      </c>
    </row>
    <row r="943" spans="2:5">
      <c r="B943" s="1" t="s">
        <v>1017</v>
      </c>
      <c r="E943" s="14">
        <f>总规划!$Q$142</f>
        <v>0.5</v>
      </c>
    </row>
    <row r="944" spans="2:5">
      <c r="B944" s="1" t="s">
        <v>1018</v>
      </c>
      <c r="E944" s="14">
        <f>总规划!$Q$144</f>
        <v>0.03</v>
      </c>
    </row>
    <row r="945" spans="2:5">
      <c r="B945" s="1" t="s">
        <v>1019</v>
      </c>
      <c r="E945" s="14">
        <f>总规划!$Q$146</f>
        <v>0.2</v>
      </c>
    </row>
    <row r="946" spans="5:5">
      <c r="E946" s="14"/>
    </row>
    <row r="947" spans="2:5">
      <c r="B947" s="29"/>
      <c r="E947" s="14"/>
    </row>
    <row r="948" spans="5:5">
      <c r="E948" s="14"/>
    </row>
    <row r="949" spans="5:5">
      <c r="E949" s="14"/>
    </row>
    <row r="950" spans="5:5">
      <c r="E950" s="14"/>
    </row>
    <row r="951" spans="5:5">
      <c r="E951" s="14"/>
    </row>
    <row r="952" spans="5:5">
      <c r="E952" s="14"/>
    </row>
    <row r="953" spans="5:5">
      <c r="E953" s="14"/>
    </row>
    <row r="954" spans="5:5">
      <c r="E954" s="14"/>
    </row>
    <row r="955" spans="5:5">
      <c r="E955" s="14"/>
    </row>
    <row r="956" spans="5:5">
      <c r="E956" s="14"/>
    </row>
    <row r="957" spans="5:5">
      <c r="E957" s="14"/>
    </row>
    <row r="958" spans="5:5">
      <c r="E958" s="14"/>
    </row>
    <row r="959" spans="5:5">
      <c r="E959" s="14"/>
    </row>
    <row r="960" spans="5:5">
      <c r="E960" s="14"/>
    </row>
    <row r="961" spans="5:5">
      <c r="E961" s="14"/>
    </row>
    <row r="962" spans="5:5">
      <c r="E962" s="14"/>
    </row>
    <row r="963" spans="5:5">
      <c r="E963" s="14"/>
    </row>
    <row r="964" spans="5:5">
      <c r="E964" s="14"/>
    </row>
    <row r="965" spans="5:5">
      <c r="E965" s="14"/>
    </row>
    <row r="966" spans="5:5">
      <c r="E966" s="14"/>
    </row>
    <row r="967" spans="5:5">
      <c r="E967" s="14"/>
    </row>
    <row r="968" spans="5:5">
      <c r="E968" s="14"/>
    </row>
    <row r="969" spans="5:5">
      <c r="E969" s="14"/>
    </row>
    <row r="970" spans="5:5">
      <c r="E970" s="14"/>
    </row>
    <row r="971" spans="5:5">
      <c r="E971" s="14"/>
    </row>
    <row r="972" spans="2:12">
      <c r="B972" s="27" t="s">
        <v>1020</v>
      </c>
      <c r="C972" s="27"/>
      <c r="D972" s="27"/>
      <c r="E972" s="27"/>
      <c r="F972" s="27"/>
      <c r="G972" s="27"/>
      <c r="H972" s="27"/>
      <c r="I972" s="27"/>
      <c r="J972" s="27"/>
      <c r="K972" s="27"/>
      <c r="L972" s="27"/>
    </row>
    <row r="973" spans="5:5">
      <c r="E973" s="14"/>
    </row>
    <row r="974" spans="2:6">
      <c r="B974" s="1" t="s">
        <v>1021</v>
      </c>
      <c r="E974" s="1">
        <f>总规划!$D$119</f>
        <v>100</v>
      </c>
      <c r="F974" s="1" t="str">
        <f>总规划!$C$109</f>
        <v>1k弹药</v>
      </c>
    </row>
    <row r="975" spans="2:5">
      <c r="B975" s="1" t="s">
        <v>1022</v>
      </c>
      <c r="E975" s="14">
        <f>总规划!$R$142</f>
        <v>0.45</v>
      </c>
    </row>
    <row r="976" spans="2:5">
      <c r="B976" s="1" t="s">
        <v>1023</v>
      </c>
      <c r="E976" s="14">
        <f>总规划!$R$144</f>
        <v>0.03</v>
      </c>
    </row>
    <row r="977" spans="2:5">
      <c r="B977" s="1" t="s">
        <v>1024</v>
      </c>
      <c r="E977" s="14">
        <f>总规划!$R$146</f>
        <v>0.2</v>
      </c>
    </row>
    <row r="978" spans="5:5">
      <c r="E978" s="14"/>
    </row>
    <row r="979" spans="5:5">
      <c r="E979" s="14"/>
    </row>
    <row r="980" spans="5:5">
      <c r="E980" s="14"/>
    </row>
    <row r="981" spans="5:5">
      <c r="E981" s="14"/>
    </row>
    <row r="982" spans="5:5">
      <c r="E982" s="14"/>
    </row>
    <row r="983" spans="5:5">
      <c r="E983" s="14"/>
    </row>
    <row r="984" spans="5:5">
      <c r="E984" s="14"/>
    </row>
    <row r="985" spans="5:5">
      <c r="E985" s="14"/>
    </row>
    <row r="986" spans="5:5">
      <c r="E986" s="14"/>
    </row>
    <row r="987" spans="5:5">
      <c r="E987" s="14"/>
    </row>
    <row r="988" spans="5:5">
      <c r="E988" s="14"/>
    </row>
    <row r="989" spans="5:5">
      <c r="E989" s="14"/>
    </row>
    <row r="990" spans="5:5">
      <c r="E990" s="14"/>
    </row>
    <row r="991" spans="5:5">
      <c r="E991" s="14"/>
    </row>
    <row r="992" spans="5:5">
      <c r="E992" s="14"/>
    </row>
    <row r="993" spans="5:5">
      <c r="E993" s="14"/>
    </row>
    <row r="994" spans="5:5">
      <c r="E994" s="14"/>
    </row>
    <row r="995" spans="5:5">
      <c r="E995" s="14"/>
    </row>
    <row r="996" spans="5:5">
      <c r="E996" s="14"/>
    </row>
    <row r="997" spans="5:5">
      <c r="E997" s="14"/>
    </row>
    <row r="998" spans="5:5">
      <c r="E998" s="14"/>
    </row>
    <row r="999" spans="5:5">
      <c r="E999" s="14"/>
    </row>
    <row r="1000" spans="5:5">
      <c r="E1000" s="14"/>
    </row>
    <row r="1001" spans="5:5">
      <c r="E1001" s="14"/>
    </row>
    <row r="1002" spans="5:5">
      <c r="E1002" s="14"/>
    </row>
    <row r="1003" spans="5:5">
      <c r="E1003" s="14"/>
    </row>
    <row r="1004" spans="2:12">
      <c r="B1004" s="27" t="s">
        <v>1025</v>
      </c>
      <c r="C1004" s="27"/>
      <c r="D1004" s="27"/>
      <c r="E1004" s="27"/>
      <c r="F1004" s="27"/>
      <c r="G1004" s="27"/>
      <c r="H1004" s="27"/>
      <c r="I1004" s="27"/>
      <c r="J1004" s="27"/>
      <c r="K1004" s="27"/>
      <c r="L1004" s="27"/>
    </row>
    <row r="1006" spans="2:32">
      <c r="B1006" s="1" t="s">
        <v>382</v>
      </c>
      <c r="C1006" s="1" t="s">
        <v>680</v>
      </c>
      <c r="D1006" s="1" t="s">
        <v>681</v>
      </c>
      <c r="E1006" s="1" t="s">
        <v>1026</v>
      </c>
      <c r="F1006" s="1" t="s">
        <v>1027</v>
      </c>
      <c r="G1006" s="15" t="s">
        <v>688</v>
      </c>
      <c r="H1006" s="1" t="s">
        <v>1028</v>
      </c>
      <c r="I1006" s="1" t="s">
        <v>1029</v>
      </c>
      <c r="J1006" s="1" t="s">
        <v>1030</v>
      </c>
      <c r="K1006" s="1" t="s">
        <v>1031</v>
      </c>
      <c r="L1006" s="15" t="s">
        <v>1032</v>
      </c>
      <c r="M1006" s="15" t="s">
        <v>1033</v>
      </c>
      <c r="N1006" s="15" t="s">
        <v>1034</v>
      </c>
      <c r="O1006" s="15" t="s">
        <v>1035</v>
      </c>
      <c r="P1006" s="1" t="s">
        <v>1036</v>
      </c>
      <c r="Q1006" s="1" t="s">
        <v>1037</v>
      </c>
      <c r="R1006" s="1" t="s">
        <v>753</v>
      </c>
      <c r="S1006" s="1" t="s">
        <v>754</v>
      </c>
      <c r="T1006" s="1" t="s">
        <v>1038</v>
      </c>
      <c r="U1006" s="1" t="s">
        <v>1039</v>
      </c>
      <c r="V1006" s="1" t="s">
        <v>753</v>
      </c>
      <c r="W1006" s="1" t="s">
        <v>754</v>
      </c>
      <c r="Y1006" s="44" t="s">
        <v>1028</v>
      </c>
      <c r="Z1006" s="44" t="s">
        <v>1029</v>
      </c>
      <c r="AA1006" s="44" t="s">
        <v>1030</v>
      </c>
      <c r="AB1006" s="44" t="s">
        <v>1031</v>
      </c>
      <c r="AC1006" s="45" t="s">
        <v>1006</v>
      </c>
      <c r="AD1006" s="45" t="s">
        <v>1008</v>
      </c>
      <c r="AE1006" s="45" t="s">
        <v>1009</v>
      </c>
      <c r="AF1006" s="45" t="s">
        <v>1010</v>
      </c>
    </row>
    <row r="1007" spans="2:32">
      <c r="B1007" s="7">
        <v>0</v>
      </c>
      <c r="C1007" s="1">
        <f ca="1">养成规划!AE6</f>
        <v>0</v>
      </c>
      <c r="D1007" s="1">
        <f>IF(养成规划!O6="","",养成规划!O6)</f>
        <v>0</v>
      </c>
      <c r="E1007" s="1" t="str">
        <f ca="1">IFERROR(C1007*OFFSET('107_兵卡等级'!$T$6,MATCH(D1007,'107_兵卡等级'!$O$6:$O$205,0)-1,0),"")</f>
        <v/>
      </c>
      <c r="F1007" s="1" t="str">
        <f ca="1">IFERROR(C1007*OFFSET('107_兵卡等级'!$I$6,MATCH(D1007,'107_兵卡等级'!$O$6:$O$205,0)-1,0),"")</f>
        <v/>
      </c>
      <c r="G1007" s="15">
        <f>IF(养成规划!E85="","",养成规划!E85)</f>
        <v>0</v>
      </c>
      <c r="H1007" s="1">
        <f ca="1">'206_副本挂机'!W125</f>
        <v>0</v>
      </c>
      <c r="I1007" s="1">
        <f ca="1">'208_黑市'!X6</f>
        <v>0</v>
      </c>
      <c r="J1007" s="1">
        <f ca="1">'210_活动'!AG6</f>
        <v>0</v>
      </c>
      <c r="K1007" s="1">
        <f ca="1">'211_VIP宝箱'!X6</f>
        <v>0</v>
      </c>
      <c r="L1007" s="15">
        <f ca="1">'206_副本挂机'!Z125</f>
        <v>0</v>
      </c>
      <c r="M1007" s="15">
        <f ca="1">'208_黑市'!AA6</f>
        <v>0</v>
      </c>
      <c r="N1007" s="15">
        <f ca="1">'210_活动'!AJ6</f>
        <v>0</v>
      </c>
      <c r="O1007" s="15">
        <f ca="1">'212_VIP商店'!R6</f>
        <v>0</v>
      </c>
      <c r="P1007" s="1" t="str">
        <f ca="1" t="shared" ref="P1007:P1038" si="358">E1007</f>
        <v/>
      </c>
      <c r="Q1007" s="1">
        <f ca="1" t="shared" ref="Q1007:Q1038" si="359">SUM(H1007:K1007)</f>
        <v>0</v>
      </c>
      <c r="R1007" s="30"/>
      <c r="S1007" s="30"/>
      <c r="T1007" s="1" t="str">
        <f ca="1" t="shared" ref="T1007:T1038" si="360">F1007</f>
        <v/>
      </c>
      <c r="U1007" s="1">
        <f ca="1" t="shared" ref="U1007:U1038" si="361">SUM(L1007:O1007)</f>
        <v>0</v>
      </c>
      <c r="V1007" s="30"/>
      <c r="W1007" s="30"/>
      <c r="Y1007" s="44">
        <v>0</v>
      </c>
      <c r="Z1007" s="44">
        <v>0</v>
      </c>
      <c r="AA1007" s="44">
        <v>0</v>
      </c>
      <c r="AB1007" s="44">
        <v>1</v>
      </c>
      <c r="AC1007" s="45">
        <v>0</v>
      </c>
      <c r="AD1007" s="45">
        <v>0</v>
      </c>
      <c r="AE1007" s="45">
        <v>0</v>
      </c>
      <c r="AF1007" s="45">
        <v>0</v>
      </c>
    </row>
    <row r="1008" spans="2:32">
      <c r="B1008" s="7">
        <v>0.1</v>
      </c>
      <c r="C1008" s="1">
        <f ca="1">养成规划!AE7</f>
        <v>0</v>
      </c>
      <c r="D1008" s="1" t="str">
        <f>IF(养成规划!O7="","",养成规划!O7)</f>
        <v/>
      </c>
      <c r="E1008" s="1" t="str">
        <f ca="1">IFERROR(C1008*OFFSET('107_兵卡等级'!$T$6,MATCH(D1008,'107_兵卡等级'!$O$6:$O$205,0)-1,0),"")</f>
        <v/>
      </c>
      <c r="F1008" s="1" t="str">
        <f ca="1">IFERROR(C1008*OFFSET('107_兵卡等级'!$I$6,MATCH(D1008,'107_兵卡等级'!$O$6:$O$205,0)-1,0),"")</f>
        <v/>
      </c>
      <c r="G1008" s="15" t="str">
        <f>IF(养成规划!E86="","",养成规划!E86)</f>
        <v/>
      </c>
      <c r="H1008" s="1">
        <f ca="1">'206_副本挂机'!W126</f>
        <v>0</v>
      </c>
      <c r="I1008" s="1">
        <f ca="1">'208_黑市'!X7</f>
        <v>1500</v>
      </c>
      <c r="J1008" s="1">
        <f ca="1">'210_活动'!AG7</f>
        <v>0</v>
      </c>
      <c r="K1008" s="1">
        <f ca="1">'211_VIP宝箱'!X7</f>
        <v>500</v>
      </c>
      <c r="L1008" s="15">
        <f ca="1">'206_副本挂机'!Z126</f>
        <v>0</v>
      </c>
      <c r="M1008" s="15">
        <f ca="1">'208_黑市'!AA7</f>
        <v>1</v>
      </c>
      <c r="N1008" s="15">
        <f ca="1">'210_活动'!AJ7</f>
        <v>0</v>
      </c>
      <c r="O1008" s="15">
        <f ca="1">'212_VIP商店'!R7</f>
        <v>0</v>
      </c>
      <c r="P1008" s="1" t="str">
        <f ca="1" t="shared" si="358"/>
        <v/>
      </c>
      <c r="Q1008" s="1">
        <f ca="1" t="shared" si="359"/>
        <v>2000</v>
      </c>
      <c r="R1008" s="30"/>
      <c r="S1008" s="30"/>
      <c r="T1008" s="1" t="str">
        <f ca="1" t="shared" si="360"/>
        <v/>
      </c>
      <c r="U1008" s="1">
        <f ca="1" t="shared" si="361"/>
        <v>1</v>
      </c>
      <c r="V1008" s="30"/>
      <c r="W1008" s="30"/>
      <c r="Y1008" s="44">
        <f ca="1" t="shared" ref="Y1008:Y1039" si="362">(H1008-H1007)/($B1008-$B1007)</f>
        <v>0</v>
      </c>
      <c r="Z1008" s="44">
        <f ca="1" t="shared" ref="Z1008:Z1039" si="363">(I1008-I1007)/($B1008-$B1007)</f>
        <v>15000</v>
      </c>
      <c r="AA1008" s="44">
        <f ca="1" t="shared" ref="AA1008:AA1039" si="364">(J1008-J1007)/($B1008-$B1007)</f>
        <v>0</v>
      </c>
      <c r="AB1008" s="44">
        <f ca="1" t="shared" ref="AB1008:AB1039" si="365">(K1008-K1007)/($B1008-$B1007)</f>
        <v>5000</v>
      </c>
      <c r="AC1008" s="45">
        <f ca="1" t="shared" ref="AC1008:AC1039" si="366">(L1008-L1007)/($B1008-$B1007)</f>
        <v>0</v>
      </c>
      <c r="AD1008" s="45">
        <f ca="1" t="shared" ref="AD1008:AD1039" si="367">(M1008-M1007)/($B1008-$B1007)</f>
        <v>10</v>
      </c>
      <c r="AE1008" s="45">
        <f ca="1" t="shared" ref="AE1008:AE1039" si="368">(N1008-N1007)/($B1008-$B1007)</f>
        <v>0</v>
      </c>
      <c r="AF1008" s="45">
        <f ca="1" t="shared" ref="AF1008:AF1039" si="369">(O1008-O1007)/($B1008-$B1007)</f>
        <v>0</v>
      </c>
    </row>
    <row r="1009" spans="2:32">
      <c r="B1009" s="7">
        <v>0.2</v>
      </c>
      <c r="C1009" s="1">
        <f ca="1">养成规划!AE8</f>
        <v>0</v>
      </c>
      <c r="D1009" s="1" t="str">
        <f>IF(养成规划!O8="","",养成规划!O8)</f>
        <v/>
      </c>
      <c r="E1009" s="1" t="str">
        <f ca="1">IFERROR(C1009*OFFSET('107_兵卡等级'!$T$6,MATCH(D1009,'107_兵卡等级'!$O$6:$O$205,0)-1,0),"")</f>
        <v/>
      </c>
      <c r="F1009" s="1" t="str">
        <f ca="1">IFERROR(C1009*OFFSET('107_兵卡等级'!$I$6,MATCH(D1009,'107_兵卡等级'!$O$6:$O$205,0)-1,0),"")</f>
        <v/>
      </c>
      <c r="G1009" s="15" t="str">
        <f>IF(养成规划!E87="","",养成规划!E87)</f>
        <v/>
      </c>
      <c r="H1009" s="1">
        <f ca="1">'206_副本挂机'!W127</f>
        <v>0</v>
      </c>
      <c r="I1009" s="1">
        <f ca="1">'208_黑市'!X8</f>
        <v>3000</v>
      </c>
      <c r="J1009" s="1">
        <f ca="1">'210_活动'!AG8</f>
        <v>0</v>
      </c>
      <c r="K1009" s="1">
        <f ca="1">'211_VIP宝箱'!X8</f>
        <v>1000</v>
      </c>
      <c r="L1009" s="15">
        <f ca="1">'206_副本挂机'!Z127</f>
        <v>0</v>
      </c>
      <c r="M1009" s="15">
        <f ca="1">'208_黑市'!AA8</f>
        <v>2</v>
      </c>
      <c r="N1009" s="15">
        <f ca="1">'210_活动'!AJ8</f>
        <v>0</v>
      </c>
      <c r="O1009" s="15">
        <f ca="1">'212_VIP商店'!R8</f>
        <v>0</v>
      </c>
      <c r="P1009" s="1" t="str">
        <f ca="1" t="shared" si="358"/>
        <v/>
      </c>
      <c r="Q1009" s="1">
        <f ca="1" t="shared" si="359"/>
        <v>4000</v>
      </c>
      <c r="R1009" s="30"/>
      <c r="S1009" s="30"/>
      <c r="T1009" s="1" t="str">
        <f ca="1" t="shared" si="360"/>
        <v/>
      </c>
      <c r="U1009" s="1">
        <f ca="1" t="shared" si="361"/>
        <v>2</v>
      </c>
      <c r="V1009" s="30"/>
      <c r="W1009" s="30"/>
      <c r="Y1009" s="44">
        <f ca="1" t="shared" si="362"/>
        <v>0</v>
      </c>
      <c r="Z1009" s="44">
        <f ca="1" t="shared" si="363"/>
        <v>15000</v>
      </c>
      <c r="AA1009" s="44">
        <f ca="1" t="shared" si="364"/>
        <v>0</v>
      </c>
      <c r="AB1009" s="44">
        <f ca="1" t="shared" si="365"/>
        <v>5000</v>
      </c>
      <c r="AC1009" s="45">
        <f ca="1" t="shared" si="366"/>
        <v>0</v>
      </c>
      <c r="AD1009" s="45">
        <f ca="1" t="shared" si="367"/>
        <v>10</v>
      </c>
      <c r="AE1009" s="45">
        <f ca="1" t="shared" si="368"/>
        <v>0</v>
      </c>
      <c r="AF1009" s="45">
        <f ca="1" t="shared" si="369"/>
        <v>0</v>
      </c>
    </row>
    <row r="1010" spans="2:32">
      <c r="B1010" s="7">
        <v>0.3</v>
      </c>
      <c r="C1010" s="1">
        <f ca="1">养成规划!AE9</f>
        <v>0</v>
      </c>
      <c r="D1010" s="1" t="str">
        <f>IF(养成规划!O9="","",养成规划!O9)</f>
        <v/>
      </c>
      <c r="E1010" s="1" t="str">
        <f ca="1">IFERROR(C1010*OFFSET('107_兵卡等级'!$T$6,MATCH(D1010,'107_兵卡等级'!$O$6:$O$205,0)-1,0),"")</f>
        <v/>
      </c>
      <c r="F1010" s="1" t="str">
        <f ca="1">IFERROR(C1010*OFFSET('107_兵卡等级'!$I$6,MATCH(D1010,'107_兵卡等级'!$O$6:$O$205,0)-1,0),"")</f>
        <v/>
      </c>
      <c r="G1010" s="15" t="str">
        <f>IF(养成规划!E88="","",养成规划!E88)</f>
        <v/>
      </c>
      <c r="H1010" s="1">
        <f ca="1">'206_副本挂机'!W128</f>
        <v>0</v>
      </c>
      <c r="I1010" s="1">
        <f ca="1">'208_黑市'!X9</f>
        <v>4500</v>
      </c>
      <c r="J1010" s="1">
        <f ca="1">'210_活动'!AG9</f>
        <v>0</v>
      </c>
      <c r="K1010" s="1">
        <f ca="1">'211_VIP宝箱'!X9</f>
        <v>1500</v>
      </c>
      <c r="L1010" s="15">
        <f ca="1">'206_副本挂机'!Z128</f>
        <v>0</v>
      </c>
      <c r="M1010" s="15">
        <f ca="1">'208_黑市'!AA9</f>
        <v>3</v>
      </c>
      <c r="N1010" s="15">
        <f ca="1">'210_活动'!AJ9</f>
        <v>0</v>
      </c>
      <c r="O1010" s="15">
        <f ca="1">'212_VIP商店'!R9</f>
        <v>0</v>
      </c>
      <c r="P1010" s="1" t="str">
        <f ca="1" t="shared" si="358"/>
        <v/>
      </c>
      <c r="Q1010" s="1">
        <f ca="1" t="shared" si="359"/>
        <v>6000</v>
      </c>
      <c r="R1010" s="30"/>
      <c r="S1010" s="30"/>
      <c r="T1010" s="1" t="str">
        <f ca="1" t="shared" si="360"/>
        <v/>
      </c>
      <c r="U1010" s="1">
        <f ca="1" t="shared" si="361"/>
        <v>3</v>
      </c>
      <c r="V1010" s="30"/>
      <c r="W1010" s="30"/>
      <c r="Y1010" s="44">
        <f ca="1" t="shared" si="362"/>
        <v>0</v>
      </c>
      <c r="Z1010" s="44">
        <f ca="1" t="shared" si="363"/>
        <v>15000</v>
      </c>
      <c r="AA1010" s="44">
        <f ca="1" t="shared" si="364"/>
        <v>0</v>
      </c>
      <c r="AB1010" s="44">
        <f ca="1" t="shared" si="365"/>
        <v>5000</v>
      </c>
      <c r="AC1010" s="45">
        <f ca="1" t="shared" si="366"/>
        <v>0</v>
      </c>
      <c r="AD1010" s="45">
        <f ca="1" t="shared" si="367"/>
        <v>10</v>
      </c>
      <c r="AE1010" s="45">
        <f ca="1" t="shared" si="368"/>
        <v>0</v>
      </c>
      <c r="AF1010" s="45">
        <f ca="1" t="shared" si="369"/>
        <v>0</v>
      </c>
    </row>
    <row r="1011" spans="2:32">
      <c r="B1011" s="7">
        <v>0.4</v>
      </c>
      <c r="C1011" s="1">
        <f ca="1">养成规划!AE10</f>
        <v>0</v>
      </c>
      <c r="D1011" s="1" t="str">
        <f>IF(养成规划!O10="","",养成规划!O10)</f>
        <v/>
      </c>
      <c r="E1011" s="1" t="str">
        <f ca="1">IFERROR(C1011*OFFSET('107_兵卡等级'!$T$6,MATCH(D1011,'107_兵卡等级'!$O$6:$O$205,0)-1,0),"")</f>
        <v/>
      </c>
      <c r="F1011" s="1" t="str">
        <f ca="1">IFERROR(C1011*OFFSET('107_兵卡等级'!$I$6,MATCH(D1011,'107_兵卡等级'!$O$6:$O$205,0)-1,0),"")</f>
        <v/>
      </c>
      <c r="G1011" s="15" t="str">
        <f>IF(养成规划!E89="","",养成规划!E89)</f>
        <v/>
      </c>
      <c r="H1011" s="1">
        <f ca="1">'206_副本挂机'!W129</f>
        <v>0</v>
      </c>
      <c r="I1011" s="1">
        <f ca="1">'208_黑市'!X10</f>
        <v>6000</v>
      </c>
      <c r="J1011" s="1">
        <f ca="1">'210_活动'!AG10</f>
        <v>0</v>
      </c>
      <c r="K1011" s="1">
        <f ca="1">'211_VIP宝箱'!X10</f>
        <v>2000</v>
      </c>
      <c r="L1011" s="15">
        <f ca="1">'206_副本挂机'!Z129</f>
        <v>0</v>
      </c>
      <c r="M1011" s="15">
        <f ca="1">'208_黑市'!AA10</f>
        <v>4</v>
      </c>
      <c r="N1011" s="15">
        <f ca="1">'210_活动'!AJ10</f>
        <v>0</v>
      </c>
      <c r="O1011" s="15">
        <f ca="1">'212_VIP商店'!R10</f>
        <v>0</v>
      </c>
      <c r="P1011" s="1" t="str">
        <f ca="1" t="shared" si="358"/>
        <v/>
      </c>
      <c r="Q1011" s="1">
        <f ca="1" t="shared" si="359"/>
        <v>8000</v>
      </c>
      <c r="R1011" s="30"/>
      <c r="S1011" s="30"/>
      <c r="T1011" s="1" t="str">
        <f ca="1" t="shared" si="360"/>
        <v/>
      </c>
      <c r="U1011" s="1">
        <f ca="1" t="shared" si="361"/>
        <v>4</v>
      </c>
      <c r="V1011" s="30"/>
      <c r="W1011" s="30"/>
      <c r="Y1011" s="44">
        <f ca="1" t="shared" si="362"/>
        <v>0</v>
      </c>
      <c r="Z1011" s="44">
        <f ca="1" t="shared" si="363"/>
        <v>15000</v>
      </c>
      <c r="AA1011" s="44">
        <f ca="1" t="shared" si="364"/>
        <v>0</v>
      </c>
      <c r="AB1011" s="44">
        <f ca="1" t="shared" si="365"/>
        <v>5000</v>
      </c>
      <c r="AC1011" s="45">
        <f ca="1" t="shared" si="366"/>
        <v>0</v>
      </c>
      <c r="AD1011" s="45">
        <f ca="1" t="shared" si="367"/>
        <v>10</v>
      </c>
      <c r="AE1011" s="45">
        <f ca="1" t="shared" si="368"/>
        <v>0</v>
      </c>
      <c r="AF1011" s="45">
        <f ca="1" t="shared" si="369"/>
        <v>0</v>
      </c>
    </row>
    <row r="1012" spans="2:32">
      <c r="B1012" s="7">
        <v>0.5</v>
      </c>
      <c r="C1012" s="1">
        <f ca="1">养成规划!AE11</f>
        <v>0</v>
      </c>
      <c r="D1012" s="1" t="str">
        <f>IF(养成规划!O11="","",养成规划!O11)</f>
        <v/>
      </c>
      <c r="E1012" s="1" t="str">
        <f ca="1">IFERROR(C1012*OFFSET('107_兵卡等级'!$T$6,MATCH(D1012,'107_兵卡等级'!$O$6:$O$205,0)-1,0),"")</f>
        <v/>
      </c>
      <c r="F1012" s="1" t="str">
        <f ca="1">IFERROR(C1012*OFFSET('107_兵卡等级'!$I$6,MATCH(D1012,'107_兵卡等级'!$O$6:$O$205,0)-1,0),"")</f>
        <v/>
      </c>
      <c r="G1012" s="15" t="str">
        <f>IF(养成规划!E90="","",养成规划!E90)</f>
        <v/>
      </c>
      <c r="H1012" s="1">
        <f ca="1">'206_副本挂机'!W130</f>
        <v>0</v>
      </c>
      <c r="I1012" s="1">
        <f ca="1">'208_黑市'!X11</f>
        <v>7500</v>
      </c>
      <c r="J1012" s="1">
        <f ca="1">'210_活动'!AG11</f>
        <v>0</v>
      </c>
      <c r="K1012" s="1">
        <f ca="1">'211_VIP宝箱'!X11</f>
        <v>2500</v>
      </c>
      <c r="L1012" s="15">
        <f ca="1">'206_副本挂机'!Z130</f>
        <v>0</v>
      </c>
      <c r="M1012" s="15">
        <f ca="1">'208_黑市'!AA11</f>
        <v>5</v>
      </c>
      <c r="N1012" s="15">
        <f ca="1">'210_活动'!AJ11</f>
        <v>0</v>
      </c>
      <c r="O1012" s="15">
        <f ca="1">'212_VIP商店'!R11</f>
        <v>0</v>
      </c>
      <c r="P1012" s="1" t="str">
        <f ca="1" t="shared" si="358"/>
        <v/>
      </c>
      <c r="Q1012" s="1">
        <f ca="1" t="shared" si="359"/>
        <v>10000</v>
      </c>
      <c r="R1012" s="30"/>
      <c r="S1012" s="30"/>
      <c r="T1012" s="1" t="str">
        <f ca="1" t="shared" si="360"/>
        <v/>
      </c>
      <c r="U1012" s="1">
        <f ca="1" t="shared" si="361"/>
        <v>5</v>
      </c>
      <c r="V1012" s="30"/>
      <c r="W1012" s="30"/>
      <c r="Y1012" s="44">
        <f ca="1" t="shared" si="362"/>
        <v>0</v>
      </c>
      <c r="Z1012" s="44">
        <f ca="1" t="shared" si="363"/>
        <v>15000</v>
      </c>
      <c r="AA1012" s="44">
        <f ca="1" t="shared" si="364"/>
        <v>0</v>
      </c>
      <c r="AB1012" s="44">
        <f ca="1" t="shared" si="365"/>
        <v>5000</v>
      </c>
      <c r="AC1012" s="45">
        <f ca="1" t="shared" si="366"/>
        <v>0</v>
      </c>
      <c r="AD1012" s="45">
        <f ca="1" t="shared" si="367"/>
        <v>10</v>
      </c>
      <c r="AE1012" s="45">
        <f ca="1" t="shared" si="368"/>
        <v>0</v>
      </c>
      <c r="AF1012" s="45">
        <f ca="1" t="shared" si="369"/>
        <v>0</v>
      </c>
    </row>
    <row r="1013" spans="2:32">
      <c r="B1013" s="7">
        <v>0.6</v>
      </c>
      <c r="C1013" s="1">
        <f ca="1">养成规划!AE12</f>
        <v>0</v>
      </c>
      <c r="D1013" s="1" t="str">
        <f>IF(养成规划!O12="","",养成规划!O12)</f>
        <v/>
      </c>
      <c r="E1013" s="1" t="str">
        <f ca="1">IFERROR(C1013*OFFSET('107_兵卡等级'!$T$6,MATCH(D1013,'107_兵卡等级'!$O$6:$O$205,0)-1,0),"")</f>
        <v/>
      </c>
      <c r="F1013" s="1" t="str">
        <f ca="1">IFERROR(C1013*OFFSET('107_兵卡等级'!$I$6,MATCH(D1013,'107_兵卡等级'!$O$6:$O$205,0)-1,0),"")</f>
        <v/>
      </c>
      <c r="G1013" s="15" t="str">
        <f>IF(养成规划!E91="","",养成规划!E91)</f>
        <v/>
      </c>
      <c r="H1013" s="1">
        <f ca="1">'206_副本挂机'!W131</f>
        <v>0</v>
      </c>
      <c r="I1013" s="1">
        <f ca="1">'208_黑市'!X12</f>
        <v>9000</v>
      </c>
      <c r="J1013" s="1">
        <f ca="1">'210_活动'!AG12</f>
        <v>0</v>
      </c>
      <c r="K1013" s="1">
        <f ca="1">'211_VIP宝箱'!X12</f>
        <v>3000</v>
      </c>
      <c r="L1013" s="15">
        <f ca="1">'206_副本挂机'!Z131</f>
        <v>0</v>
      </c>
      <c r="M1013" s="15">
        <f ca="1">'208_黑市'!AA12</f>
        <v>6</v>
      </c>
      <c r="N1013" s="15">
        <f ca="1">'210_活动'!AJ12</f>
        <v>0</v>
      </c>
      <c r="O1013" s="15">
        <f ca="1">'212_VIP商店'!R12</f>
        <v>0</v>
      </c>
      <c r="P1013" s="1" t="str">
        <f ca="1" t="shared" si="358"/>
        <v/>
      </c>
      <c r="Q1013" s="1">
        <f ca="1" t="shared" si="359"/>
        <v>12000</v>
      </c>
      <c r="R1013" s="30"/>
      <c r="S1013" s="30"/>
      <c r="T1013" s="1" t="str">
        <f ca="1" t="shared" si="360"/>
        <v/>
      </c>
      <c r="U1013" s="1">
        <f ca="1" t="shared" si="361"/>
        <v>6</v>
      </c>
      <c r="V1013" s="30"/>
      <c r="W1013" s="30"/>
      <c r="Y1013" s="44">
        <f ca="1" t="shared" si="362"/>
        <v>0</v>
      </c>
      <c r="Z1013" s="44">
        <f ca="1" t="shared" si="363"/>
        <v>15000</v>
      </c>
      <c r="AA1013" s="44">
        <f ca="1" t="shared" si="364"/>
        <v>0</v>
      </c>
      <c r="AB1013" s="44">
        <f ca="1" t="shared" si="365"/>
        <v>5000</v>
      </c>
      <c r="AC1013" s="45">
        <f ca="1" t="shared" si="366"/>
        <v>0</v>
      </c>
      <c r="AD1013" s="45">
        <f ca="1" t="shared" si="367"/>
        <v>10</v>
      </c>
      <c r="AE1013" s="45">
        <f ca="1" t="shared" si="368"/>
        <v>0</v>
      </c>
      <c r="AF1013" s="45">
        <f ca="1" t="shared" si="369"/>
        <v>0</v>
      </c>
    </row>
    <row r="1014" spans="2:32">
      <c r="B1014" s="7">
        <v>0.7</v>
      </c>
      <c r="C1014" s="1">
        <f ca="1">养成规划!AE13</f>
        <v>0</v>
      </c>
      <c r="D1014" s="1" t="str">
        <f>IF(养成规划!O13="","",养成规划!O13)</f>
        <v/>
      </c>
      <c r="E1014" s="1" t="str">
        <f ca="1">IFERROR(C1014*OFFSET('107_兵卡等级'!$T$6,MATCH(D1014,'107_兵卡等级'!$O$6:$O$205,0)-1,0),"")</f>
        <v/>
      </c>
      <c r="F1014" s="1" t="str">
        <f ca="1">IFERROR(C1014*OFFSET('107_兵卡等级'!$I$6,MATCH(D1014,'107_兵卡等级'!$O$6:$O$205,0)-1,0),"")</f>
        <v/>
      </c>
      <c r="G1014" s="15" t="str">
        <f>IF(养成规划!E92="","",养成规划!E92)</f>
        <v/>
      </c>
      <c r="H1014" s="1">
        <f ca="1">'206_副本挂机'!W132</f>
        <v>0</v>
      </c>
      <c r="I1014" s="1">
        <f ca="1">'208_黑市'!X13</f>
        <v>10500</v>
      </c>
      <c r="J1014" s="1">
        <f ca="1">'210_活动'!AG13</f>
        <v>0</v>
      </c>
      <c r="K1014" s="1">
        <f ca="1">'211_VIP宝箱'!X13</f>
        <v>3500</v>
      </c>
      <c r="L1014" s="15">
        <f ca="1">'206_副本挂机'!Z132</f>
        <v>0</v>
      </c>
      <c r="M1014" s="15">
        <f ca="1">'208_黑市'!AA13</f>
        <v>7</v>
      </c>
      <c r="N1014" s="15">
        <f ca="1">'210_活动'!AJ13</f>
        <v>0</v>
      </c>
      <c r="O1014" s="15">
        <f ca="1">'212_VIP商店'!R13</f>
        <v>0</v>
      </c>
      <c r="P1014" s="1" t="str">
        <f ca="1" t="shared" si="358"/>
        <v/>
      </c>
      <c r="Q1014" s="1">
        <f ca="1" t="shared" si="359"/>
        <v>14000</v>
      </c>
      <c r="R1014" s="30"/>
      <c r="S1014" s="30"/>
      <c r="T1014" s="1" t="str">
        <f ca="1" t="shared" si="360"/>
        <v/>
      </c>
      <c r="U1014" s="1">
        <f ca="1" t="shared" si="361"/>
        <v>7</v>
      </c>
      <c r="V1014" s="30"/>
      <c r="W1014" s="30"/>
      <c r="Y1014" s="44">
        <f ca="1" t="shared" si="362"/>
        <v>0</v>
      </c>
      <c r="Z1014" s="44">
        <f ca="1" t="shared" si="363"/>
        <v>15000</v>
      </c>
      <c r="AA1014" s="44">
        <f ca="1" t="shared" si="364"/>
        <v>0</v>
      </c>
      <c r="AB1014" s="44">
        <f ca="1" t="shared" si="365"/>
        <v>5000</v>
      </c>
      <c r="AC1014" s="45">
        <f ca="1" t="shared" si="366"/>
        <v>0</v>
      </c>
      <c r="AD1014" s="45">
        <f ca="1" t="shared" si="367"/>
        <v>10</v>
      </c>
      <c r="AE1014" s="45">
        <f ca="1" t="shared" si="368"/>
        <v>0</v>
      </c>
      <c r="AF1014" s="45">
        <f ca="1" t="shared" si="369"/>
        <v>0</v>
      </c>
    </row>
    <row r="1015" spans="2:32">
      <c r="B1015" s="7">
        <v>0.8</v>
      </c>
      <c r="C1015" s="1">
        <f ca="1">养成规划!AE14</f>
        <v>0</v>
      </c>
      <c r="D1015" s="1" t="str">
        <f>IF(养成规划!O14="","",养成规划!O14)</f>
        <v/>
      </c>
      <c r="E1015" s="1" t="str">
        <f ca="1">IFERROR(C1015*OFFSET('107_兵卡等级'!$T$6,MATCH(D1015,'107_兵卡等级'!$O$6:$O$205,0)-1,0),"")</f>
        <v/>
      </c>
      <c r="F1015" s="1" t="str">
        <f ca="1">IFERROR(C1015*OFFSET('107_兵卡等级'!$I$6,MATCH(D1015,'107_兵卡等级'!$O$6:$O$205,0)-1,0),"")</f>
        <v/>
      </c>
      <c r="G1015" s="15" t="str">
        <f>IF(养成规划!E93="","",养成规划!E93)</f>
        <v/>
      </c>
      <c r="H1015" s="1">
        <f ca="1">'206_副本挂机'!W133</f>
        <v>0</v>
      </c>
      <c r="I1015" s="1">
        <f ca="1">'208_黑市'!X14</f>
        <v>12000</v>
      </c>
      <c r="J1015" s="1">
        <f ca="1">'210_活动'!AG14</f>
        <v>0</v>
      </c>
      <c r="K1015" s="1">
        <f ca="1">'211_VIP宝箱'!X14</f>
        <v>4000</v>
      </c>
      <c r="L1015" s="15">
        <f ca="1">'206_副本挂机'!Z133</f>
        <v>0</v>
      </c>
      <c r="M1015" s="15">
        <f ca="1">'208_黑市'!AA14</f>
        <v>8</v>
      </c>
      <c r="N1015" s="15">
        <f ca="1">'210_活动'!AJ14</f>
        <v>0</v>
      </c>
      <c r="O1015" s="15">
        <f ca="1">'212_VIP商店'!R14</f>
        <v>0</v>
      </c>
      <c r="P1015" s="1" t="str">
        <f ca="1" t="shared" si="358"/>
        <v/>
      </c>
      <c r="Q1015" s="1">
        <f ca="1" t="shared" si="359"/>
        <v>16000</v>
      </c>
      <c r="R1015" s="30"/>
      <c r="S1015" s="30"/>
      <c r="T1015" s="1" t="str">
        <f ca="1" t="shared" si="360"/>
        <v/>
      </c>
      <c r="U1015" s="1">
        <f ca="1" t="shared" si="361"/>
        <v>8</v>
      </c>
      <c r="V1015" s="30"/>
      <c r="W1015" s="30"/>
      <c r="Y1015" s="44">
        <f ca="1" t="shared" si="362"/>
        <v>0</v>
      </c>
      <c r="Z1015" s="44">
        <f ca="1" t="shared" si="363"/>
        <v>15000</v>
      </c>
      <c r="AA1015" s="44">
        <f ca="1" t="shared" si="364"/>
        <v>0</v>
      </c>
      <c r="AB1015" s="44">
        <f ca="1" t="shared" si="365"/>
        <v>5000</v>
      </c>
      <c r="AC1015" s="45">
        <f ca="1" t="shared" si="366"/>
        <v>0</v>
      </c>
      <c r="AD1015" s="45">
        <f ca="1" t="shared" si="367"/>
        <v>9.99999999999999</v>
      </c>
      <c r="AE1015" s="45">
        <f ca="1" t="shared" si="368"/>
        <v>0</v>
      </c>
      <c r="AF1015" s="45">
        <f ca="1" t="shared" si="369"/>
        <v>0</v>
      </c>
    </row>
    <row r="1016" spans="2:32">
      <c r="B1016" s="7">
        <v>0.9</v>
      </c>
      <c r="C1016" s="1">
        <f ca="1">养成规划!AE15</f>
        <v>0</v>
      </c>
      <c r="D1016" s="1" t="str">
        <f>IF(养成规划!O15="","",养成规划!O15)</f>
        <v/>
      </c>
      <c r="E1016" s="1" t="str">
        <f ca="1">IFERROR(C1016*OFFSET('107_兵卡等级'!$T$6,MATCH(D1016,'107_兵卡等级'!$O$6:$O$205,0)-1,0),"")</f>
        <v/>
      </c>
      <c r="F1016" s="1" t="str">
        <f ca="1">IFERROR(C1016*OFFSET('107_兵卡等级'!$I$6,MATCH(D1016,'107_兵卡等级'!$O$6:$O$205,0)-1,0),"")</f>
        <v/>
      </c>
      <c r="G1016" s="15" t="str">
        <f>IF(养成规划!E94="","",养成规划!E94)</f>
        <v/>
      </c>
      <c r="H1016" s="1">
        <f ca="1">'206_副本挂机'!W134</f>
        <v>0</v>
      </c>
      <c r="I1016" s="1">
        <f ca="1">'208_黑市'!X15</f>
        <v>13500</v>
      </c>
      <c r="J1016" s="1">
        <f ca="1">'210_活动'!AG15</f>
        <v>0</v>
      </c>
      <c r="K1016" s="1">
        <f ca="1">'211_VIP宝箱'!X15</f>
        <v>4500</v>
      </c>
      <c r="L1016" s="15">
        <f ca="1">'206_副本挂机'!Z134</f>
        <v>0</v>
      </c>
      <c r="M1016" s="15">
        <f ca="1">'208_黑市'!AA15</f>
        <v>9</v>
      </c>
      <c r="N1016" s="15">
        <f ca="1">'210_活动'!AJ15</f>
        <v>0</v>
      </c>
      <c r="O1016" s="15">
        <f ca="1">'212_VIP商店'!R15</f>
        <v>0</v>
      </c>
      <c r="P1016" s="1" t="str">
        <f ca="1" t="shared" si="358"/>
        <v/>
      </c>
      <c r="Q1016" s="1">
        <f ca="1" t="shared" si="359"/>
        <v>18000</v>
      </c>
      <c r="R1016" s="30"/>
      <c r="S1016" s="30"/>
      <c r="T1016" s="1" t="str">
        <f ca="1" t="shared" si="360"/>
        <v/>
      </c>
      <c r="U1016" s="1">
        <f ca="1" t="shared" si="361"/>
        <v>9</v>
      </c>
      <c r="V1016" s="30"/>
      <c r="W1016" s="30"/>
      <c r="Y1016" s="44">
        <f ca="1" t="shared" si="362"/>
        <v>0</v>
      </c>
      <c r="Z1016" s="44">
        <f ca="1" t="shared" si="363"/>
        <v>15000</v>
      </c>
      <c r="AA1016" s="44">
        <f ca="1" t="shared" si="364"/>
        <v>0</v>
      </c>
      <c r="AB1016" s="44">
        <f ca="1" t="shared" si="365"/>
        <v>5000</v>
      </c>
      <c r="AC1016" s="45">
        <f ca="1" t="shared" si="366"/>
        <v>0</v>
      </c>
      <c r="AD1016" s="45">
        <f ca="1" t="shared" si="367"/>
        <v>10</v>
      </c>
      <c r="AE1016" s="45">
        <f ca="1" t="shared" si="368"/>
        <v>0</v>
      </c>
      <c r="AF1016" s="45">
        <f ca="1" t="shared" si="369"/>
        <v>0</v>
      </c>
    </row>
    <row r="1017" spans="2:32">
      <c r="B1017" s="7">
        <v>1</v>
      </c>
      <c r="C1017" s="1">
        <f ca="1">养成规划!AE16</f>
        <v>0</v>
      </c>
      <c r="D1017" s="1" t="str">
        <f>IF(养成规划!O16="","",养成规划!O16)</f>
        <v/>
      </c>
      <c r="E1017" s="1" t="str">
        <f ca="1">IFERROR(C1017*OFFSET('107_兵卡等级'!$T$6,MATCH(D1017,'107_兵卡等级'!$O$6:$O$205,0)-1,0),"")</f>
        <v/>
      </c>
      <c r="F1017" s="1" t="str">
        <f ca="1">IFERROR(C1017*OFFSET('107_兵卡等级'!$I$6,MATCH(D1017,'107_兵卡等级'!$O$6:$O$205,0)-1,0),"")</f>
        <v/>
      </c>
      <c r="G1017" s="15">
        <f>IF(养成规划!E95="","",养成规划!E95)</f>
        <v>1</v>
      </c>
      <c r="H1017" s="1">
        <f ca="1">'206_副本挂机'!W135</f>
        <v>0</v>
      </c>
      <c r="I1017" s="1">
        <f ca="1">'208_黑市'!X16</f>
        <v>15000</v>
      </c>
      <c r="J1017" s="1">
        <f ca="1">'210_活动'!AG16</f>
        <v>0</v>
      </c>
      <c r="K1017" s="1">
        <f ca="1">'211_VIP宝箱'!X16</f>
        <v>5000</v>
      </c>
      <c r="L1017" s="15">
        <f ca="1">'206_副本挂机'!Z135</f>
        <v>0</v>
      </c>
      <c r="M1017" s="15">
        <f ca="1">'208_黑市'!AA16</f>
        <v>10</v>
      </c>
      <c r="N1017" s="15">
        <f ca="1">'210_活动'!AJ16</f>
        <v>0</v>
      </c>
      <c r="O1017" s="15">
        <f ca="1">'212_VIP商店'!R16</f>
        <v>0</v>
      </c>
      <c r="P1017" s="1" t="str">
        <f ca="1" t="shared" si="358"/>
        <v/>
      </c>
      <c r="Q1017" s="1">
        <f ca="1" t="shared" si="359"/>
        <v>20000</v>
      </c>
      <c r="R1017" s="30"/>
      <c r="S1017" s="30"/>
      <c r="T1017" s="1" t="str">
        <f ca="1" t="shared" si="360"/>
        <v/>
      </c>
      <c r="U1017" s="1">
        <f ca="1" t="shared" si="361"/>
        <v>10</v>
      </c>
      <c r="V1017" s="30"/>
      <c r="W1017" s="30"/>
      <c r="Y1017" s="44">
        <f ca="1" t="shared" si="362"/>
        <v>0</v>
      </c>
      <c r="Z1017" s="44">
        <f ca="1" t="shared" si="363"/>
        <v>15000</v>
      </c>
      <c r="AA1017" s="44">
        <f ca="1" t="shared" si="364"/>
        <v>0</v>
      </c>
      <c r="AB1017" s="44">
        <f ca="1" t="shared" si="365"/>
        <v>5000</v>
      </c>
      <c r="AC1017" s="45">
        <f ca="1" t="shared" si="366"/>
        <v>0</v>
      </c>
      <c r="AD1017" s="45">
        <f ca="1" t="shared" si="367"/>
        <v>10</v>
      </c>
      <c r="AE1017" s="45">
        <f ca="1" t="shared" si="368"/>
        <v>0</v>
      </c>
      <c r="AF1017" s="45">
        <f ca="1" t="shared" si="369"/>
        <v>0</v>
      </c>
    </row>
    <row r="1018" spans="2:32">
      <c r="B1018" s="9">
        <v>1.5</v>
      </c>
      <c r="C1018" s="1">
        <f ca="1">养成规划!AE17</f>
        <v>0</v>
      </c>
      <c r="D1018" s="1">
        <f>IF(养成规划!O17="","",养成规划!O17)</f>
        <v>0</v>
      </c>
      <c r="E1018" s="1" t="str">
        <f ca="1">IFERROR(C1018*OFFSET('107_兵卡等级'!$T$6,MATCH(D1018,'107_兵卡等级'!$O$6:$O$205,0)-1,0),"")</f>
        <v/>
      </c>
      <c r="F1018" s="1" t="str">
        <f ca="1">IFERROR(C1018*OFFSET('107_兵卡等级'!$I$6,MATCH(D1018,'107_兵卡等级'!$O$6:$O$205,0)-1,0),"")</f>
        <v/>
      </c>
      <c r="G1018" s="15" t="str">
        <f>IF(养成规划!E96="","",养成规划!E96)</f>
        <v/>
      </c>
      <c r="H1018" s="1">
        <f ca="1">'206_副本挂机'!W136</f>
        <v>17280</v>
      </c>
      <c r="I1018" s="1">
        <f ca="1">'208_黑市'!X17</f>
        <v>22500</v>
      </c>
      <c r="J1018" s="1">
        <f ca="1">'210_活动'!AG17</f>
        <v>0</v>
      </c>
      <c r="K1018" s="1">
        <f ca="1">'211_VIP宝箱'!X17</f>
        <v>7500</v>
      </c>
      <c r="L1018" s="15">
        <f ca="1">'206_副本挂机'!Z136</f>
        <v>0</v>
      </c>
      <c r="M1018" s="15">
        <f ca="1">'208_黑市'!AA17</f>
        <v>15</v>
      </c>
      <c r="N1018" s="15">
        <f ca="1">'210_活动'!AJ17</f>
        <v>0</v>
      </c>
      <c r="O1018" s="15">
        <f ca="1">'212_VIP商店'!R17</f>
        <v>0</v>
      </c>
      <c r="P1018" s="1" t="str">
        <f ca="1" t="shared" si="358"/>
        <v/>
      </c>
      <c r="Q1018" s="1">
        <f ca="1" t="shared" si="359"/>
        <v>47280</v>
      </c>
      <c r="R1018" s="30"/>
      <c r="S1018" s="30"/>
      <c r="T1018" s="1" t="str">
        <f ca="1" t="shared" si="360"/>
        <v/>
      </c>
      <c r="U1018" s="1">
        <f ca="1" t="shared" si="361"/>
        <v>15</v>
      </c>
      <c r="V1018" s="30"/>
      <c r="W1018" s="30"/>
      <c r="Y1018" s="44">
        <f ca="1" t="shared" si="362"/>
        <v>34560</v>
      </c>
      <c r="Z1018" s="44">
        <f ca="1" t="shared" si="363"/>
        <v>15000</v>
      </c>
      <c r="AA1018" s="44">
        <f ca="1" t="shared" si="364"/>
        <v>0</v>
      </c>
      <c r="AB1018" s="44">
        <f ca="1" t="shared" si="365"/>
        <v>5000</v>
      </c>
      <c r="AC1018" s="45">
        <f ca="1" t="shared" si="366"/>
        <v>0</v>
      </c>
      <c r="AD1018" s="45">
        <f ca="1" t="shared" si="367"/>
        <v>10</v>
      </c>
      <c r="AE1018" s="45">
        <f ca="1" t="shared" si="368"/>
        <v>0</v>
      </c>
      <c r="AF1018" s="45">
        <f ca="1" t="shared" si="369"/>
        <v>0</v>
      </c>
    </row>
    <row r="1019" spans="2:32">
      <c r="B1019" s="9">
        <v>2</v>
      </c>
      <c r="C1019" s="1">
        <f ca="1">养成规划!AE18</f>
        <v>1</v>
      </c>
      <c r="D1019" s="1" t="str">
        <f>IF(养成规划!O18="","",养成规划!O18)</f>
        <v/>
      </c>
      <c r="E1019" s="1" t="str">
        <f ca="1">IFERROR(C1019*OFFSET('107_兵卡等级'!$T$6,MATCH(D1019,'107_兵卡等级'!$O$6:$O$205,0)-1,0),"")</f>
        <v/>
      </c>
      <c r="F1019" s="1" t="str">
        <f ca="1">IFERROR(C1019*OFFSET('107_兵卡等级'!$I$6,MATCH(D1019,'107_兵卡等级'!$O$6:$O$205,0)-1,0),"")</f>
        <v/>
      </c>
      <c r="G1019" s="15" t="str">
        <f>IF(养成规划!E97="","",养成规划!E97)</f>
        <v/>
      </c>
      <c r="H1019" s="1">
        <f ca="1">'206_副本挂机'!W137</f>
        <v>73440</v>
      </c>
      <c r="I1019" s="1">
        <f ca="1">'208_黑市'!X18</f>
        <v>30000</v>
      </c>
      <c r="J1019" s="1">
        <f ca="1">'210_活动'!AG18</f>
        <v>0</v>
      </c>
      <c r="K1019" s="1">
        <f ca="1">'211_VIP宝箱'!X18</f>
        <v>12500</v>
      </c>
      <c r="L1019" s="15">
        <f ca="1">'206_副本挂机'!Z137</f>
        <v>24</v>
      </c>
      <c r="M1019" s="15">
        <f ca="1">'208_黑市'!AA18</f>
        <v>20</v>
      </c>
      <c r="N1019" s="15">
        <f ca="1">'210_活动'!AJ18</f>
        <v>0</v>
      </c>
      <c r="O1019" s="15">
        <f ca="1">'212_VIP商店'!R18</f>
        <v>0</v>
      </c>
      <c r="P1019" s="1" t="str">
        <f ca="1" t="shared" si="358"/>
        <v/>
      </c>
      <c r="Q1019" s="1">
        <f ca="1" t="shared" si="359"/>
        <v>115940</v>
      </c>
      <c r="R1019" s="30"/>
      <c r="S1019" s="30"/>
      <c r="T1019" s="1" t="str">
        <f ca="1" t="shared" si="360"/>
        <v/>
      </c>
      <c r="U1019" s="1">
        <f ca="1" t="shared" si="361"/>
        <v>44</v>
      </c>
      <c r="V1019" s="30"/>
      <c r="W1019" s="30"/>
      <c r="Y1019" s="44">
        <f ca="1" t="shared" si="362"/>
        <v>112320</v>
      </c>
      <c r="Z1019" s="44">
        <f ca="1" t="shared" si="363"/>
        <v>15000</v>
      </c>
      <c r="AA1019" s="44">
        <f ca="1" t="shared" si="364"/>
        <v>0</v>
      </c>
      <c r="AB1019" s="44">
        <f ca="1" t="shared" si="365"/>
        <v>10000</v>
      </c>
      <c r="AC1019" s="45">
        <f ca="1" t="shared" si="366"/>
        <v>48</v>
      </c>
      <c r="AD1019" s="45">
        <f ca="1" t="shared" si="367"/>
        <v>10</v>
      </c>
      <c r="AE1019" s="45">
        <f ca="1" t="shared" si="368"/>
        <v>0</v>
      </c>
      <c r="AF1019" s="45">
        <f ca="1" t="shared" si="369"/>
        <v>0</v>
      </c>
    </row>
    <row r="1020" spans="2:32">
      <c r="B1020" s="9">
        <v>2.5</v>
      </c>
      <c r="C1020" s="1">
        <f ca="1">养成规划!AE19</f>
        <v>1</v>
      </c>
      <c r="D1020" s="1">
        <f>IF(养成规划!O19="","",养成规划!O19)</f>
        <v>10</v>
      </c>
      <c r="E1020" s="1">
        <f ca="1">IFERROR(C1020*OFFSET('107_兵卡等级'!$T$6,MATCH(D1020,'107_兵卡等级'!$O$6:$O$205,0)-1,0),"")</f>
        <v>3200</v>
      </c>
      <c r="F1020" s="1">
        <f ca="1">IFERROR(C1020*OFFSET('107_兵卡等级'!$I$6,MATCH(D1020,'107_兵卡等级'!$O$6:$O$205,0)-1,0),"")</f>
        <v>0</v>
      </c>
      <c r="G1020" s="15" t="str">
        <f>IF(养成规划!E98="","",养成规划!E98)</f>
        <v/>
      </c>
      <c r="H1020" s="1">
        <f ca="1">'206_副本挂机'!W138</f>
        <v>168480</v>
      </c>
      <c r="I1020" s="1">
        <f ca="1">'208_黑市'!X19</f>
        <v>37500</v>
      </c>
      <c r="J1020" s="1">
        <f ca="1">'210_活动'!AG19</f>
        <v>0</v>
      </c>
      <c r="K1020" s="1">
        <f ca="1">'211_VIP宝箱'!X19</f>
        <v>17500</v>
      </c>
      <c r="L1020" s="15">
        <f ca="1">'206_副本挂机'!Z138</f>
        <v>72</v>
      </c>
      <c r="M1020" s="15">
        <f ca="1">'208_黑市'!AA19</f>
        <v>25</v>
      </c>
      <c r="N1020" s="15">
        <f ca="1">'210_活动'!AJ19</f>
        <v>0</v>
      </c>
      <c r="O1020" s="15">
        <f ca="1">'212_VIP商店'!R19</f>
        <v>0</v>
      </c>
      <c r="P1020" s="1">
        <f ca="1" t="shared" si="358"/>
        <v>3200</v>
      </c>
      <c r="Q1020" s="1">
        <f ca="1" t="shared" si="359"/>
        <v>223480</v>
      </c>
      <c r="R1020" s="30"/>
      <c r="S1020" s="30"/>
      <c r="T1020" s="1">
        <f ca="1" t="shared" si="360"/>
        <v>0</v>
      </c>
      <c r="U1020" s="1">
        <f ca="1" t="shared" si="361"/>
        <v>97</v>
      </c>
      <c r="V1020" s="30"/>
      <c r="W1020" s="30"/>
      <c r="Y1020" s="44">
        <f ca="1" t="shared" si="362"/>
        <v>190080</v>
      </c>
      <c r="Z1020" s="44">
        <f ca="1" t="shared" si="363"/>
        <v>15000</v>
      </c>
      <c r="AA1020" s="44">
        <f ca="1" t="shared" si="364"/>
        <v>0</v>
      </c>
      <c r="AB1020" s="44">
        <f ca="1" t="shared" si="365"/>
        <v>10000</v>
      </c>
      <c r="AC1020" s="45">
        <f ca="1" t="shared" si="366"/>
        <v>96</v>
      </c>
      <c r="AD1020" s="45">
        <f ca="1" t="shared" si="367"/>
        <v>10</v>
      </c>
      <c r="AE1020" s="45">
        <f ca="1" t="shared" si="368"/>
        <v>0</v>
      </c>
      <c r="AF1020" s="45">
        <f ca="1" t="shared" si="369"/>
        <v>0</v>
      </c>
    </row>
    <row r="1021" spans="2:32">
      <c r="B1021" s="9">
        <v>3</v>
      </c>
      <c r="C1021" s="1">
        <f ca="1">养成规划!AE20</f>
        <v>2</v>
      </c>
      <c r="D1021" s="1">
        <f>IF(养成规划!O20="","",养成规划!O20)</f>
        <v>20</v>
      </c>
      <c r="E1021" s="1">
        <f ca="1">IFERROR(C1021*OFFSET('107_兵卡等级'!$T$6,MATCH(D1021,'107_兵卡等级'!$O$6:$O$205,0)-1,0),"")</f>
        <v>77800</v>
      </c>
      <c r="F1021" s="1">
        <f ca="1">IFERROR(C1021*OFFSET('107_兵卡等级'!$I$6,MATCH(D1021,'107_兵卡等级'!$O$6:$O$205,0)-1,0),"")</f>
        <v>80</v>
      </c>
      <c r="G1021" s="15" t="str">
        <f>IF(养成规划!E99="","",养成规划!E99)</f>
        <v/>
      </c>
      <c r="H1021" s="1">
        <f ca="1">'206_副本挂机'!W139</f>
        <v>336960</v>
      </c>
      <c r="I1021" s="1">
        <f ca="1">'208_黑市'!X20</f>
        <v>45000</v>
      </c>
      <c r="J1021" s="1">
        <f ca="1">'210_活动'!AG20</f>
        <v>0</v>
      </c>
      <c r="K1021" s="1">
        <f ca="1">'211_VIP宝箱'!X20</f>
        <v>22500</v>
      </c>
      <c r="L1021" s="15">
        <f ca="1">'206_副本挂机'!Z139</f>
        <v>168</v>
      </c>
      <c r="M1021" s="15">
        <f ca="1">'208_黑市'!AA20</f>
        <v>30</v>
      </c>
      <c r="N1021" s="15">
        <f ca="1">'210_活动'!AJ20</f>
        <v>0</v>
      </c>
      <c r="O1021" s="15">
        <f ca="1">'212_VIP商店'!R20</f>
        <v>0</v>
      </c>
      <c r="P1021" s="1">
        <f ca="1" t="shared" si="358"/>
        <v>77800</v>
      </c>
      <c r="Q1021" s="1">
        <f ca="1" t="shared" si="359"/>
        <v>404460</v>
      </c>
      <c r="R1021" s="30"/>
      <c r="S1021" s="30"/>
      <c r="T1021" s="1">
        <f ca="1" t="shared" si="360"/>
        <v>80</v>
      </c>
      <c r="U1021" s="1">
        <f ca="1" t="shared" si="361"/>
        <v>198</v>
      </c>
      <c r="V1021" s="30"/>
      <c r="W1021" s="30"/>
      <c r="Y1021" s="44">
        <f ca="1" t="shared" si="362"/>
        <v>336960</v>
      </c>
      <c r="Z1021" s="44">
        <f ca="1" t="shared" si="363"/>
        <v>15000</v>
      </c>
      <c r="AA1021" s="44">
        <f ca="1" t="shared" si="364"/>
        <v>0</v>
      </c>
      <c r="AB1021" s="44">
        <f ca="1" t="shared" si="365"/>
        <v>10000</v>
      </c>
      <c r="AC1021" s="45">
        <f ca="1" t="shared" si="366"/>
        <v>192</v>
      </c>
      <c r="AD1021" s="45">
        <f ca="1" t="shared" si="367"/>
        <v>10</v>
      </c>
      <c r="AE1021" s="45">
        <f ca="1" t="shared" si="368"/>
        <v>0</v>
      </c>
      <c r="AF1021" s="45">
        <f ca="1" t="shared" si="369"/>
        <v>0</v>
      </c>
    </row>
    <row r="1022" spans="2:32">
      <c r="B1022" s="9">
        <v>3.5</v>
      </c>
      <c r="C1022" s="1">
        <f ca="1">养成规划!AE21</f>
        <v>2</v>
      </c>
      <c r="D1022" s="1" t="str">
        <f>IF(养成规划!O21="","",养成规划!O21)</f>
        <v/>
      </c>
      <c r="E1022" s="1" t="str">
        <f ca="1">IFERROR(C1022*OFFSET('107_兵卡等级'!$T$6,MATCH(D1022,'107_兵卡等级'!$O$6:$O$205,0)-1,0),"")</f>
        <v/>
      </c>
      <c r="F1022" s="1" t="str">
        <f ca="1">IFERROR(C1022*OFFSET('107_兵卡等级'!$I$6,MATCH(D1022,'107_兵卡等级'!$O$6:$O$205,0)-1,0),"")</f>
        <v/>
      </c>
      <c r="G1022" s="15" t="str">
        <f>IF(养成规划!E100="","",养成规划!E100)</f>
        <v/>
      </c>
      <c r="H1022" s="1">
        <f ca="1">'206_副本挂机'!W140</f>
        <v>544320</v>
      </c>
      <c r="I1022" s="1">
        <f ca="1">'208_黑市'!X21</f>
        <v>52500</v>
      </c>
      <c r="J1022" s="1">
        <f ca="1">'210_活动'!AG21</f>
        <v>0</v>
      </c>
      <c r="K1022" s="1">
        <f ca="1">'211_VIP宝箱'!X21</f>
        <v>27500</v>
      </c>
      <c r="L1022" s="15">
        <f ca="1">'206_副本挂机'!Z140</f>
        <v>288</v>
      </c>
      <c r="M1022" s="15">
        <f ca="1">'208_黑市'!AA21</f>
        <v>35</v>
      </c>
      <c r="N1022" s="15">
        <f ca="1">'210_活动'!AJ21</f>
        <v>0</v>
      </c>
      <c r="O1022" s="15">
        <f ca="1">'212_VIP商店'!R21</f>
        <v>0</v>
      </c>
      <c r="P1022" s="1" t="str">
        <f ca="1" t="shared" si="358"/>
        <v/>
      </c>
      <c r="Q1022" s="1">
        <f ca="1" t="shared" si="359"/>
        <v>624320</v>
      </c>
      <c r="R1022" s="30"/>
      <c r="S1022" s="30"/>
      <c r="T1022" s="1" t="str">
        <f ca="1" t="shared" si="360"/>
        <v/>
      </c>
      <c r="U1022" s="1">
        <f ca="1" t="shared" si="361"/>
        <v>323</v>
      </c>
      <c r="V1022" s="30"/>
      <c r="W1022" s="30"/>
      <c r="Y1022" s="44">
        <f ca="1" t="shared" si="362"/>
        <v>414720</v>
      </c>
      <c r="Z1022" s="44">
        <f ca="1" t="shared" si="363"/>
        <v>15000</v>
      </c>
      <c r="AA1022" s="44">
        <f ca="1" t="shared" si="364"/>
        <v>0</v>
      </c>
      <c r="AB1022" s="44">
        <f ca="1" t="shared" si="365"/>
        <v>10000</v>
      </c>
      <c r="AC1022" s="45">
        <f ca="1" t="shared" si="366"/>
        <v>240</v>
      </c>
      <c r="AD1022" s="45">
        <f ca="1" t="shared" si="367"/>
        <v>10</v>
      </c>
      <c r="AE1022" s="45">
        <f ca="1" t="shared" si="368"/>
        <v>0</v>
      </c>
      <c r="AF1022" s="45">
        <f ca="1" t="shared" si="369"/>
        <v>0</v>
      </c>
    </row>
    <row r="1023" spans="2:32">
      <c r="B1023" s="9">
        <v>4</v>
      </c>
      <c r="C1023" s="1">
        <f ca="1">养成规划!AE22</f>
        <v>2</v>
      </c>
      <c r="D1023" s="1">
        <f>IF(养成规划!O22="","",养成规划!O22)</f>
        <v>30</v>
      </c>
      <c r="E1023" s="1">
        <f ca="1">IFERROR(C1023*OFFSET('107_兵卡等级'!$T$6,MATCH(D1023,'107_兵卡等级'!$O$6:$O$205,0)-1,0),"")</f>
        <v>791800</v>
      </c>
      <c r="F1023" s="1">
        <f ca="1">IFERROR(C1023*OFFSET('107_兵卡等级'!$I$6,MATCH(D1023,'107_兵卡等级'!$O$6:$O$205,0)-1,0),"")</f>
        <v>560</v>
      </c>
      <c r="G1023" s="15" t="str">
        <f>IF(养成规划!E101="","",养成规划!E101)</f>
        <v/>
      </c>
      <c r="H1023" s="1">
        <f ca="1">'206_副本挂机'!W141</f>
        <v>786240</v>
      </c>
      <c r="I1023" s="1">
        <f ca="1">'208_黑市'!X22</f>
        <v>60000</v>
      </c>
      <c r="J1023" s="1">
        <f ca="1">'210_活动'!AG22</f>
        <v>0</v>
      </c>
      <c r="K1023" s="1">
        <f ca="1">'211_VIP宝箱'!X22</f>
        <v>35000</v>
      </c>
      <c r="L1023" s="15">
        <f ca="1">'206_副本挂机'!Z141</f>
        <v>432</v>
      </c>
      <c r="M1023" s="15">
        <f ca="1">'208_黑市'!AA22</f>
        <v>40</v>
      </c>
      <c r="N1023" s="15">
        <f ca="1">'210_活动'!AJ22</f>
        <v>0</v>
      </c>
      <c r="O1023" s="15">
        <f ca="1">'212_VIP商店'!R22</f>
        <v>0</v>
      </c>
      <c r="P1023" s="1">
        <f ca="1" t="shared" si="358"/>
        <v>791800</v>
      </c>
      <c r="Q1023" s="1">
        <f ca="1" t="shared" si="359"/>
        <v>881240</v>
      </c>
      <c r="R1023" s="30"/>
      <c r="S1023" s="30"/>
      <c r="T1023" s="1">
        <f ca="1" t="shared" si="360"/>
        <v>560</v>
      </c>
      <c r="U1023" s="1">
        <f ca="1" t="shared" si="361"/>
        <v>472</v>
      </c>
      <c r="V1023" s="30"/>
      <c r="W1023" s="30"/>
      <c r="Y1023" s="44">
        <f ca="1" t="shared" si="362"/>
        <v>483840</v>
      </c>
      <c r="Z1023" s="44">
        <f ca="1" t="shared" si="363"/>
        <v>15000</v>
      </c>
      <c r="AA1023" s="44">
        <f ca="1" t="shared" si="364"/>
        <v>0</v>
      </c>
      <c r="AB1023" s="44">
        <f ca="1" t="shared" si="365"/>
        <v>15000</v>
      </c>
      <c r="AC1023" s="45">
        <f ca="1" t="shared" si="366"/>
        <v>288</v>
      </c>
      <c r="AD1023" s="45">
        <f ca="1" t="shared" si="367"/>
        <v>10</v>
      </c>
      <c r="AE1023" s="45">
        <f ca="1" t="shared" si="368"/>
        <v>0</v>
      </c>
      <c r="AF1023" s="45">
        <f ca="1" t="shared" si="369"/>
        <v>0</v>
      </c>
    </row>
    <row r="1024" spans="2:32">
      <c r="B1024" s="9">
        <v>4.5</v>
      </c>
      <c r="C1024" s="1">
        <f ca="1">养成规划!AE23</f>
        <v>2</v>
      </c>
      <c r="D1024" s="1" t="str">
        <f>IF(养成规划!O23="","",养成规划!O23)</f>
        <v/>
      </c>
      <c r="E1024" s="1" t="str">
        <f ca="1">IFERROR(C1024*OFFSET('107_兵卡等级'!$T$6,MATCH(D1024,'107_兵卡等级'!$O$6:$O$205,0)-1,0),"")</f>
        <v/>
      </c>
      <c r="F1024" s="1" t="str">
        <f ca="1">IFERROR(C1024*OFFSET('107_兵卡等级'!$I$6,MATCH(D1024,'107_兵卡等级'!$O$6:$O$205,0)-1,0),"")</f>
        <v/>
      </c>
      <c r="G1024" s="15" t="str">
        <f>IF(养成规划!E102="","",养成规划!E102)</f>
        <v/>
      </c>
      <c r="H1024" s="1">
        <f ca="1">'206_副本挂机'!W142</f>
        <v>1067040</v>
      </c>
      <c r="I1024" s="1">
        <f ca="1">'208_黑市'!X23</f>
        <v>67500</v>
      </c>
      <c r="J1024" s="1">
        <f ca="1">'210_活动'!AG23</f>
        <v>0</v>
      </c>
      <c r="K1024" s="1">
        <f ca="1">'211_VIP宝箱'!X23</f>
        <v>42500</v>
      </c>
      <c r="L1024" s="15">
        <f ca="1">'206_副本挂机'!Z142</f>
        <v>600</v>
      </c>
      <c r="M1024" s="15">
        <f ca="1">'208_黑市'!AA23</f>
        <v>45</v>
      </c>
      <c r="N1024" s="15">
        <f ca="1">'210_活动'!AJ23</f>
        <v>0</v>
      </c>
      <c r="O1024" s="15">
        <f ca="1">'212_VIP商店'!R23</f>
        <v>0</v>
      </c>
      <c r="P1024" s="1" t="str">
        <f ca="1" t="shared" si="358"/>
        <v/>
      </c>
      <c r="Q1024" s="1">
        <f ca="1" t="shared" si="359"/>
        <v>1177040</v>
      </c>
      <c r="R1024" s="30"/>
      <c r="S1024" s="30"/>
      <c r="T1024" s="1" t="str">
        <f ca="1" t="shared" si="360"/>
        <v/>
      </c>
      <c r="U1024" s="1">
        <f ca="1" t="shared" si="361"/>
        <v>645</v>
      </c>
      <c r="V1024" s="30"/>
      <c r="W1024" s="30"/>
      <c r="Y1024" s="44">
        <f ca="1" t="shared" si="362"/>
        <v>561600</v>
      </c>
      <c r="Z1024" s="44">
        <f ca="1" t="shared" si="363"/>
        <v>15000</v>
      </c>
      <c r="AA1024" s="44">
        <f ca="1" t="shared" si="364"/>
        <v>0</v>
      </c>
      <c r="AB1024" s="44">
        <f ca="1" t="shared" si="365"/>
        <v>15000</v>
      </c>
      <c r="AC1024" s="45">
        <f ca="1" t="shared" si="366"/>
        <v>336</v>
      </c>
      <c r="AD1024" s="45">
        <f ca="1" t="shared" si="367"/>
        <v>10</v>
      </c>
      <c r="AE1024" s="45">
        <f ca="1" t="shared" si="368"/>
        <v>0</v>
      </c>
      <c r="AF1024" s="45">
        <f ca="1" t="shared" si="369"/>
        <v>0</v>
      </c>
    </row>
    <row r="1025" spans="2:32">
      <c r="B1025" s="9">
        <v>5</v>
      </c>
      <c r="C1025" s="1">
        <f ca="1">养成规划!AE24</f>
        <v>2</v>
      </c>
      <c r="D1025" s="1" t="str">
        <f>IF(养成规划!O24="","",养成规划!O24)</f>
        <v/>
      </c>
      <c r="E1025" s="1" t="str">
        <f ca="1">IFERROR(C1025*OFFSET('107_兵卡等级'!$T$6,MATCH(D1025,'107_兵卡等级'!$O$6:$O$205,0)-1,0),"")</f>
        <v/>
      </c>
      <c r="F1025" s="1" t="str">
        <f ca="1">IFERROR(C1025*OFFSET('107_兵卡等级'!$I$6,MATCH(D1025,'107_兵卡等级'!$O$6:$O$205,0)-1,0),"")</f>
        <v/>
      </c>
      <c r="G1025" s="15">
        <f>IF(养成规划!E103="","",养成规划!E103)</f>
        <v>2</v>
      </c>
      <c r="H1025" s="1">
        <f ca="1">'206_副本挂机'!W143</f>
        <v>1421280</v>
      </c>
      <c r="I1025" s="1">
        <f ca="1">'208_黑市'!X24</f>
        <v>75000</v>
      </c>
      <c r="J1025" s="1">
        <f ca="1">'210_活动'!AG24</f>
        <v>0</v>
      </c>
      <c r="K1025" s="1">
        <f ca="1">'211_VIP宝箱'!X24</f>
        <v>50000</v>
      </c>
      <c r="L1025" s="15">
        <f ca="1">'206_副本挂机'!Z143</f>
        <v>816</v>
      </c>
      <c r="M1025" s="15">
        <f ca="1">'208_黑市'!AA24</f>
        <v>50</v>
      </c>
      <c r="N1025" s="15">
        <f ca="1">'210_活动'!AJ24</f>
        <v>0</v>
      </c>
      <c r="O1025" s="15">
        <f ca="1">'212_VIP商店'!R24</f>
        <v>0</v>
      </c>
      <c r="P1025" s="1" t="str">
        <f ca="1" t="shared" si="358"/>
        <v/>
      </c>
      <c r="Q1025" s="1">
        <f ca="1" t="shared" si="359"/>
        <v>1546280</v>
      </c>
      <c r="R1025" s="30"/>
      <c r="S1025" s="30"/>
      <c r="T1025" s="1" t="str">
        <f ca="1" t="shared" si="360"/>
        <v/>
      </c>
      <c r="U1025" s="1">
        <f ca="1" t="shared" si="361"/>
        <v>866</v>
      </c>
      <c r="V1025" s="30"/>
      <c r="W1025" s="30"/>
      <c r="Y1025" s="44">
        <f ca="1" t="shared" si="362"/>
        <v>708480</v>
      </c>
      <c r="Z1025" s="44">
        <f ca="1" t="shared" si="363"/>
        <v>15000</v>
      </c>
      <c r="AA1025" s="44">
        <f ca="1" t="shared" si="364"/>
        <v>0</v>
      </c>
      <c r="AB1025" s="44">
        <f ca="1" t="shared" si="365"/>
        <v>15000</v>
      </c>
      <c r="AC1025" s="45">
        <f ca="1" t="shared" si="366"/>
        <v>432</v>
      </c>
      <c r="AD1025" s="45">
        <f ca="1" t="shared" si="367"/>
        <v>10</v>
      </c>
      <c r="AE1025" s="45">
        <f ca="1" t="shared" si="368"/>
        <v>0</v>
      </c>
      <c r="AF1025" s="45">
        <f ca="1" t="shared" si="369"/>
        <v>0</v>
      </c>
    </row>
    <row r="1026" spans="2:32">
      <c r="B1026" s="9">
        <v>5.5</v>
      </c>
      <c r="C1026" s="1">
        <f ca="1">养成规划!AE25</f>
        <v>2</v>
      </c>
      <c r="D1026" s="1" t="str">
        <f>IF(养成规划!O25="","",养成规划!O25)</f>
        <v/>
      </c>
      <c r="E1026" s="1" t="str">
        <f ca="1">IFERROR(C1026*OFFSET('107_兵卡等级'!$T$6,MATCH(D1026,'107_兵卡等级'!$O$6:$O$205,0)-1,0),"")</f>
        <v/>
      </c>
      <c r="F1026" s="1" t="str">
        <f ca="1">IFERROR(C1026*OFFSET('107_兵卡等级'!$I$6,MATCH(D1026,'107_兵卡等级'!$O$6:$O$205,0)-1,0),"")</f>
        <v/>
      </c>
      <c r="G1026" s="15" t="str">
        <f>IF(养成规划!E104="","",养成规划!E104)</f>
        <v/>
      </c>
      <c r="H1026" s="1">
        <f ca="1">'206_副本挂机'!W144</f>
        <v>1775520</v>
      </c>
      <c r="I1026" s="1">
        <f ca="1">'208_黑市'!X25</f>
        <v>82500</v>
      </c>
      <c r="J1026" s="1">
        <f ca="1">'210_活动'!AG25</f>
        <v>0</v>
      </c>
      <c r="K1026" s="1">
        <f ca="1">'211_VIP宝箱'!X25</f>
        <v>57500</v>
      </c>
      <c r="L1026" s="15">
        <f ca="1">'206_副本挂机'!Z144</f>
        <v>1032</v>
      </c>
      <c r="M1026" s="15">
        <f ca="1">'208_黑市'!AA25</f>
        <v>55</v>
      </c>
      <c r="N1026" s="15">
        <f ca="1">'210_活动'!AJ25</f>
        <v>0</v>
      </c>
      <c r="O1026" s="15">
        <f ca="1">'212_VIP商店'!R25</f>
        <v>0</v>
      </c>
      <c r="P1026" s="1" t="str">
        <f ca="1" t="shared" si="358"/>
        <v/>
      </c>
      <c r="Q1026" s="1">
        <f ca="1" t="shared" si="359"/>
        <v>1915520</v>
      </c>
      <c r="R1026" s="30"/>
      <c r="S1026" s="30"/>
      <c r="T1026" s="1" t="str">
        <f ca="1" t="shared" si="360"/>
        <v/>
      </c>
      <c r="U1026" s="1">
        <f ca="1" t="shared" si="361"/>
        <v>1087</v>
      </c>
      <c r="V1026" s="30"/>
      <c r="W1026" s="30"/>
      <c r="Y1026" s="44">
        <f ca="1" t="shared" si="362"/>
        <v>708480</v>
      </c>
      <c r="Z1026" s="44">
        <f ca="1" t="shared" si="363"/>
        <v>15000</v>
      </c>
      <c r="AA1026" s="44">
        <f ca="1" t="shared" si="364"/>
        <v>0</v>
      </c>
      <c r="AB1026" s="44">
        <f ca="1" t="shared" si="365"/>
        <v>15000</v>
      </c>
      <c r="AC1026" s="45">
        <f ca="1" t="shared" si="366"/>
        <v>432</v>
      </c>
      <c r="AD1026" s="45">
        <f ca="1" t="shared" si="367"/>
        <v>10</v>
      </c>
      <c r="AE1026" s="45">
        <f ca="1" t="shared" si="368"/>
        <v>0</v>
      </c>
      <c r="AF1026" s="45">
        <f ca="1" t="shared" si="369"/>
        <v>0</v>
      </c>
    </row>
    <row r="1027" spans="2:32">
      <c r="B1027" s="9">
        <v>6</v>
      </c>
      <c r="C1027" s="1">
        <f ca="1">养成规划!AE26</f>
        <v>2</v>
      </c>
      <c r="D1027" s="1" t="str">
        <f>IF(养成规划!O26="","",养成规划!O26)</f>
        <v/>
      </c>
      <c r="E1027" s="1" t="str">
        <f ca="1">IFERROR(C1027*OFFSET('107_兵卡等级'!$T$6,MATCH(D1027,'107_兵卡等级'!$O$6:$O$205,0)-1,0),"")</f>
        <v/>
      </c>
      <c r="F1027" s="1" t="str">
        <f ca="1">IFERROR(C1027*OFFSET('107_兵卡等级'!$I$6,MATCH(D1027,'107_兵卡等级'!$O$6:$O$205,0)-1,0),"")</f>
        <v/>
      </c>
      <c r="G1027" s="15" t="str">
        <f>IF(养成规划!E105="","",养成规划!E105)</f>
        <v/>
      </c>
      <c r="H1027" s="1">
        <f ca="1">'206_副本挂机'!W145</f>
        <v>2142720</v>
      </c>
      <c r="I1027" s="1">
        <f ca="1">'208_黑市'!X26</f>
        <v>90000</v>
      </c>
      <c r="J1027" s="1">
        <f ca="1">'210_活动'!AG26</f>
        <v>0</v>
      </c>
      <c r="K1027" s="1">
        <f ca="1">'211_VIP宝箱'!X26</f>
        <v>67500</v>
      </c>
      <c r="L1027" s="15">
        <f ca="1">'206_副本挂机'!Z145</f>
        <v>1248</v>
      </c>
      <c r="M1027" s="15">
        <f ca="1">'208_黑市'!AA26</f>
        <v>60</v>
      </c>
      <c r="N1027" s="15">
        <f ca="1">'210_活动'!AJ26</f>
        <v>0</v>
      </c>
      <c r="O1027" s="15">
        <f ca="1">'212_VIP商店'!R26</f>
        <v>0</v>
      </c>
      <c r="P1027" s="1" t="str">
        <f ca="1" t="shared" si="358"/>
        <v/>
      </c>
      <c r="Q1027" s="1">
        <f ca="1" t="shared" si="359"/>
        <v>2300220</v>
      </c>
      <c r="R1027" s="30"/>
      <c r="S1027" s="30"/>
      <c r="T1027" s="1" t="str">
        <f ca="1" t="shared" si="360"/>
        <v/>
      </c>
      <c r="U1027" s="1">
        <f ca="1" t="shared" si="361"/>
        <v>1308</v>
      </c>
      <c r="V1027" s="30"/>
      <c r="W1027" s="30"/>
      <c r="Y1027" s="44">
        <f ca="1" t="shared" si="362"/>
        <v>734400</v>
      </c>
      <c r="Z1027" s="44">
        <f ca="1" t="shared" si="363"/>
        <v>15000</v>
      </c>
      <c r="AA1027" s="44">
        <f ca="1" t="shared" si="364"/>
        <v>0</v>
      </c>
      <c r="AB1027" s="44">
        <f ca="1" t="shared" si="365"/>
        <v>20000</v>
      </c>
      <c r="AC1027" s="45">
        <f ca="1" t="shared" si="366"/>
        <v>432</v>
      </c>
      <c r="AD1027" s="45">
        <f ca="1" t="shared" si="367"/>
        <v>10</v>
      </c>
      <c r="AE1027" s="45">
        <f ca="1" t="shared" si="368"/>
        <v>0</v>
      </c>
      <c r="AF1027" s="45">
        <f ca="1" t="shared" si="369"/>
        <v>0</v>
      </c>
    </row>
    <row r="1028" spans="2:32">
      <c r="B1028" s="9">
        <v>6.5</v>
      </c>
      <c r="C1028" s="1">
        <f ca="1">养成规划!AE27</f>
        <v>2</v>
      </c>
      <c r="D1028" s="1" t="str">
        <f>IF(养成规划!O27="","",养成规划!O27)</f>
        <v/>
      </c>
      <c r="E1028" s="1" t="str">
        <f ca="1">IFERROR(C1028*OFFSET('107_兵卡等级'!$T$6,MATCH(D1028,'107_兵卡等级'!$O$6:$O$205,0)-1,0),"")</f>
        <v/>
      </c>
      <c r="F1028" s="1" t="str">
        <f ca="1">IFERROR(C1028*OFFSET('107_兵卡等级'!$I$6,MATCH(D1028,'107_兵卡等级'!$O$6:$O$205,0)-1,0),"")</f>
        <v/>
      </c>
      <c r="G1028" s="15" t="str">
        <f>IF(养成规划!E106="","",养成规划!E106)</f>
        <v/>
      </c>
      <c r="H1028" s="1">
        <f ca="1">'206_副本挂机'!W146</f>
        <v>2509920</v>
      </c>
      <c r="I1028" s="1">
        <f ca="1">'208_黑市'!X27</f>
        <v>97500</v>
      </c>
      <c r="J1028" s="1">
        <f ca="1">'210_活动'!AG27</f>
        <v>0</v>
      </c>
      <c r="K1028" s="1">
        <f ca="1">'211_VIP宝箱'!X27</f>
        <v>77500</v>
      </c>
      <c r="L1028" s="15">
        <f ca="1">'206_副本挂机'!Z146</f>
        <v>1464</v>
      </c>
      <c r="M1028" s="15">
        <f ca="1">'208_黑市'!AA27</f>
        <v>65</v>
      </c>
      <c r="N1028" s="15">
        <f ca="1">'210_活动'!AJ27</f>
        <v>0</v>
      </c>
      <c r="O1028" s="15">
        <f ca="1">'212_VIP商店'!R27</f>
        <v>0</v>
      </c>
      <c r="P1028" s="1" t="str">
        <f ca="1" t="shared" si="358"/>
        <v/>
      </c>
      <c r="Q1028" s="1">
        <f ca="1" t="shared" si="359"/>
        <v>2684920</v>
      </c>
      <c r="R1028" s="30"/>
      <c r="S1028" s="30"/>
      <c r="T1028" s="1" t="str">
        <f ca="1" t="shared" si="360"/>
        <v/>
      </c>
      <c r="U1028" s="1">
        <f ca="1" t="shared" si="361"/>
        <v>1529</v>
      </c>
      <c r="V1028" s="30"/>
      <c r="W1028" s="30"/>
      <c r="Y1028" s="44">
        <f ca="1" t="shared" si="362"/>
        <v>734400</v>
      </c>
      <c r="Z1028" s="44">
        <f ca="1" t="shared" si="363"/>
        <v>15000</v>
      </c>
      <c r="AA1028" s="44">
        <f ca="1" t="shared" si="364"/>
        <v>0</v>
      </c>
      <c r="AB1028" s="44">
        <f ca="1" t="shared" si="365"/>
        <v>20000</v>
      </c>
      <c r="AC1028" s="45">
        <f ca="1" t="shared" si="366"/>
        <v>432</v>
      </c>
      <c r="AD1028" s="45">
        <f ca="1" t="shared" si="367"/>
        <v>10</v>
      </c>
      <c r="AE1028" s="45">
        <f ca="1" t="shared" si="368"/>
        <v>0</v>
      </c>
      <c r="AF1028" s="45">
        <f ca="1" t="shared" si="369"/>
        <v>0</v>
      </c>
    </row>
    <row r="1029" spans="2:32">
      <c r="B1029" s="9">
        <v>7</v>
      </c>
      <c r="C1029" s="1">
        <f ca="1">养成规划!AE28</f>
        <v>3</v>
      </c>
      <c r="D1029" s="1">
        <f>IF(养成规划!O28="","",养成规划!O28)</f>
        <v>40</v>
      </c>
      <c r="E1029" s="1">
        <f ca="1">IFERROR(C1029*OFFSET('107_兵卡等级'!$T$6,MATCH(D1029,'107_兵卡等级'!$O$6:$O$205,0)-1,0),"")</f>
        <v>4967700</v>
      </c>
      <c r="F1029" s="1">
        <f ca="1">IFERROR(C1029*OFFSET('107_兵卡等级'!$I$6,MATCH(D1029,'107_兵卡等级'!$O$6:$O$205,0)-1,0),"")</f>
        <v>3240</v>
      </c>
      <c r="G1029" s="15" t="str">
        <f>IF(养成规划!E107="","",养成规划!E107)</f>
        <v/>
      </c>
      <c r="H1029" s="1">
        <f ca="1">'206_副本挂机'!W147</f>
        <v>2890080</v>
      </c>
      <c r="I1029" s="1">
        <f ca="1">'208_黑市'!X28</f>
        <v>105000</v>
      </c>
      <c r="J1029" s="1">
        <f ca="1">'210_活动'!AG28</f>
        <v>0</v>
      </c>
      <c r="K1029" s="1">
        <f ca="1">'211_VIP宝箱'!X28</f>
        <v>87500</v>
      </c>
      <c r="L1029" s="15">
        <f ca="1">'206_副本挂机'!Z147</f>
        <v>1704</v>
      </c>
      <c r="M1029" s="15">
        <f ca="1">'208_黑市'!AA28</f>
        <v>70</v>
      </c>
      <c r="N1029" s="15">
        <f ca="1">'210_活动'!AJ28</f>
        <v>0</v>
      </c>
      <c r="O1029" s="15">
        <f ca="1">'212_VIP商店'!R28</f>
        <v>0</v>
      </c>
      <c r="P1029" s="1">
        <f ca="1" t="shared" si="358"/>
        <v>4967700</v>
      </c>
      <c r="Q1029" s="1">
        <f ca="1" t="shared" si="359"/>
        <v>3082580</v>
      </c>
      <c r="R1029" s="72">
        <v>0</v>
      </c>
      <c r="S1029" s="30">
        <f ca="1">P1029-Q1029-R1029</f>
        <v>1885120</v>
      </c>
      <c r="T1029" s="1">
        <f ca="1" t="shared" si="360"/>
        <v>3240</v>
      </c>
      <c r="U1029" s="1">
        <f ca="1" t="shared" si="361"/>
        <v>1774</v>
      </c>
      <c r="V1029" s="30">
        <f>总规划!H392*1000</f>
        <v>0</v>
      </c>
      <c r="W1029" s="30">
        <f ca="1">T1029-U1029-V1029</f>
        <v>1466</v>
      </c>
      <c r="Y1029" s="44">
        <f ca="1" t="shared" si="362"/>
        <v>760320</v>
      </c>
      <c r="Z1029" s="44">
        <f ca="1" t="shared" si="363"/>
        <v>15000</v>
      </c>
      <c r="AA1029" s="44">
        <f ca="1" t="shared" si="364"/>
        <v>0</v>
      </c>
      <c r="AB1029" s="44">
        <f ca="1" t="shared" si="365"/>
        <v>20000</v>
      </c>
      <c r="AC1029" s="45">
        <f ca="1" t="shared" si="366"/>
        <v>480</v>
      </c>
      <c r="AD1029" s="45">
        <f ca="1" t="shared" si="367"/>
        <v>10</v>
      </c>
      <c r="AE1029" s="45">
        <f ca="1" t="shared" si="368"/>
        <v>0</v>
      </c>
      <c r="AF1029" s="45">
        <f ca="1" t="shared" si="369"/>
        <v>0</v>
      </c>
    </row>
    <row r="1030" spans="2:32">
      <c r="B1030" s="10">
        <v>8</v>
      </c>
      <c r="C1030" s="1">
        <f ca="1">养成规划!AE29</f>
        <v>3</v>
      </c>
      <c r="D1030" s="1" t="str">
        <f>IF(养成规划!O29="","",养成规划!O29)</f>
        <v/>
      </c>
      <c r="E1030" s="1" t="str">
        <f ca="1">IFERROR(C1030*OFFSET('107_兵卡等级'!$T$6,MATCH(D1030,'107_兵卡等级'!$O$6:$O$205,0)-1,0),"")</f>
        <v/>
      </c>
      <c r="F1030" s="1" t="str">
        <f ca="1">IFERROR(C1030*OFFSET('107_兵卡等级'!$I$6,MATCH(D1030,'107_兵卡等级'!$O$6:$O$205,0)-1,0),"")</f>
        <v/>
      </c>
      <c r="G1030" s="15" t="str">
        <f>IF(养成规划!E108="","",养成规划!E108)</f>
        <v/>
      </c>
      <c r="H1030" s="1">
        <f ca="1">'206_副本挂机'!W148</f>
        <v>3676320</v>
      </c>
      <c r="I1030" s="1">
        <f ca="1">'208_黑市'!X29</f>
        <v>135000</v>
      </c>
      <c r="J1030" s="1">
        <f ca="1">'210_活动'!AG29</f>
        <v>200000</v>
      </c>
      <c r="K1030" s="1">
        <f ca="1">'211_VIP宝箱'!X29</f>
        <v>107500</v>
      </c>
      <c r="L1030" s="15">
        <f ca="1">'206_副本挂机'!Z148</f>
        <v>2184</v>
      </c>
      <c r="M1030" s="15">
        <f ca="1">'208_黑市'!AA29</f>
        <v>90</v>
      </c>
      <c r="N1030" s="15">
        <f ca="1">'210_活动'!AJ29</f>
        <v>133.333333333333</v>
      </c>
      <c r="O1030" s="15">
        <f ca="1">'212_VIP商店'!R29</f>
        <v>0</v>
      </c>
      <c r="P1030" s="1" t="str">
        <f ca="1" t="shared" si="358"/>
        <v/>
      </c>
      <c r="Q1030" s="1">
        <f ca="1" t="shared" si="359"/>
        <v>4118820</v>
      </c>
      <c r="R1030" s="30"/>
      <c r="S1030" s="30"/>
      <c r="T1030" s="1" t="str">
        <f ca="1" t="shared" si="360"/>
        <v/>
      </c>
      <c r="U1030" s="1">
        <f ca="1" t="shared" si="361"/>
        <v>2407.33333333333</v>
      </c>
      <c r="V1030" s="30"/>
      <c r="W1030" s="30"/>
      <c r="Y1030" s="44">
        <f ca="1" t="shared" si="362"/>
        <v>786240</v>
      </c>
      <c r="Z1030" s="44">
        <f ca="1" t="shared" si="363"/>
        <v>30000</v>
      </c>
      <c r="AA1030" s="44">
        <f ca="1" t="shared" si="364"/>
        <v>200000</v>
      </c>
      <c r="AB1030" s="44">
        <f ca="1" t="shared" si="365"/>
        <v>20000</v>
      </c>
      <c r="AC1030" s="45">
        <f ca="1" t="shared" si="366"/>
        <v>480</v>
      </c>
      <c r="AD1030" s="45">
        <f ca="1" t="shared" si="367"/>
        <v>20</v>
      </c>
      <c r="AE1030" s="45">
        <f ca="1" t="shared" si="368"/>
        <v>133.333333333333</v>
      </c>
      <c r="AF1030" s="45">
        <f ca="1" t="shared" si="369"/>
        <v>0</v>
      </c>
    </row>
    <row r="1031" spans="2:32">
      <c r="B1031" s="10">
        <v>9</v>
      </c>
      <c r="C1031" s="1">
        <f ca="1">养成规划!AE30</f>
        <v>3</v>
      </c>
      <c r="D1031" s="1" t="str">
        <f>IF(养成规划!O30="","",养成规划!O30)</f>
        <v/>
      </c>
      <c r="E1031" s="1" t="str">
        <f ca="1">IFERROR(C1031*OFFSET('107_兵卡等级'!$T$6,MATCH(D1031,'107_兵卡等级'!$O$6:$O$205,0)-1,0),"")</f>
        <v/>
      </c>
      <c r="F1031" s="1" t="str">
        <f ca="1">IFERROR(C1031*OFFSET('107_兵卡等级'!$I$6,MATCH(D1031,'107_兵卡等级'!$O$6:$O$205,0)-1,0),"")</f>
        <v/>
      </c>
      <c r="G1031" s="15" t="str">
        <f>IF(养成规划!E109="","",养成规划!E109)</f>
        <v/>
      </c>
      <c r="H1031" s="1">
        <f ca="1">'206_副本挂机'!W149</f>
        <v>4514400</v>
      </c>
      <c r="I1031" s="1">
        <f ca="1">'208_黑市'!X30</f>
        <v>165000</v>
      </c>
      <c r="J1031" s="1">
        <f ca="1">'210_活动'!AG30</f>
        <v>400000</v>
      </c>
      <c r="K1031" s="1">
        <f ca="1">'211_VIP宝箱'!X30</f>
        <v>132500</v>
      </c>
      <c r="L1031" s="15">
        <f ca="1">'206_副本挂机'!Z149</f>
        <v>2664</v>
      </c>
      <c r="M1031" s="15">
        <f ca="1">'208_黑市'!AA30</f>
        <v>110</v>
      </c>
      <c r="N1031" s="15">
        <f ca="1">'210_活动'!AJ30</f>
        <v>266.666666666667</v>
      </c>
      <c r="O1031" s="15">
        <f ca="1">'212_VIP商店'!R30</f>
        <v>0</v>
      </c>
      <c r="P1031" s="1" t="str">
        <f ca="1" t="shared" si="358"/>
        <v/>
      </c>
      <c r="Q1031" s="1">
        <f ca="1" t="shared" si="359"/>
        <v>5211900</v>
      </c>
      <c r="R1031" s="30"/>
      <c r="S1031" s="30"/>
      <c r="T1031" s="1" t="str">
        <f ca="1" t="shared" si="360"/>
        <v/>
      </c>
      <c r="U1031" s="1">
        <f ca="1" t="shared" si="361"/>
        <v>3040.66666666667</v>
      </c>
      <c r="V1031" s="30"/>
      <c r="W1031" s="30"/>
      <c r="Y1031" s="44">
        <f ca="1" t="shared" si="362"/>
        <v>838080</v>
      </c>
      <c r="Z1031" s="44">
        <f ca="1" t="shared" si="363"/>
        <v>30000</v>
      </c>
      <c r="AA1031" s="44">
        <f ca="1" t="shared" si="364"/>
        <v>200000</v>
      </c>
      <c r="AB1031" s="44">
        <f ca="1" t="shared" si="365"/>
        <v>25000</v>
      </c>
      <c r="AC1031" s="45">
        <f ca="1" t="shared" si="366"/>
        <v>480</v>
      </c>
      <c r="AD1031" s="45">
        <f ca="1" t="shared" si="367"/>
        <v>20</v>
      </c>
      <c r="AE1031" s="45">
        <f ca="1" t="shared" si="368"/>
        <v>133.333333333333</v>
      </c>
      <c r="AF1031" s="45">
        <f ca="1" t="shared" si="369"/>
        <v>0</v>
      </c>
    </row>
    <row r="1032" spans="2:32">
      <c r="B1032" s="10">
        <v>10</v>
      </c>
      <c r="C1032" s="1">
        <f ca="1">养成规划!AE31</f>
        <v>3</v>
      </c>
      <c r="D1032" s="1" t="str">
        <f>IF(养成规划!O31="","",养成规划!O31)</f>
        <v/>
      </c>
      <c r="E1032" s="1" t="str">
        <f ca="1">IFERROR(C1032*OFFSET('107_兵卡等级'!$T$6,MATCH(D1032,'107_兵卡等级'!$O$6:$O$205,0)-1,0),"")</f>
        <v/>
      </c>
      <c r="F1032" s="1" t="str">
        <f ca="1">IFERROR(C1032*OFFSET('107_兵卡等级'!$I$6,MATCH(D1032,'107_兵卡等级'!$O$6:$O$205,0)-1,0),"")</f>
        <v/>
      </c>
      <c r="G1032" s="15" t="str">
        <f>IF(养成规划!E110="","",养成规划!E110)</f>
        <v/>
      </c>
      <c r="H1032" s="1">
        <f ca="1">'206_副本挂机'!W150</f>
        <v>5378400</v>
      </c>
      <c r="I1032" s="1">
        <f ca="1">'208_黑市'!X31</f>
        <v>195000</v>
      </c>
      <c r="J1032" s="1">
        <f ca="1">'210_活动'!AG31</f>
        <v>600000</v>
      </c>
      <c r="K1032" s="1">
        <f ca="1">'211_VIP宝箱'!X31</f>
        <v>157500</v>
      </c>
      <c r="L1032" s="15">
        <f ca="1">'206_副本挂机'!Z150</f>
        <v>3192</v>
      </c>
      <c r="M1032" s="15">
        <f ca="1">'208_黑市'!AA31</f>
        <v>130</v>
      </c>
      <c r="N1032" s="15">
        <f ca="1">'210_活动'!AJ31</f>
        <v>400</v>
      </c>
      <c r="O1032" s="15">
        <f ca="1">'212_VIP商店'!R31</f>
        <v>0</v>
      </c>
      <c r="P1032" s="1" t="str">
        <f ca="1" t="shared" si="358"/>
        <v/>
      </c>
      <c r="Q1032" s="1">
        <f ca="1" t="shared" si="359"/>
        <v>6330900</v>
      </c>
      <c r="R1032" s="30"/>
      <c r="S1032" s="30"/>
      <c r="T1032" s="1" t="str">
        <f ca="1" t="shared" si="360"/>
        <v/>
      </c>
      <c r="U1032" s="1">
        <f ca="1" t="shared" si="361"/>
        <v>3722</v>
      </c>
      <c r="V1032" s="30"/>
      <c r="W1032" s="30"/>
      <c r="Y1032" s="44">
        <f ca="1" t="shared" si="362"/>
        <v>864000</v>
      </c>
      <c r="Z1032" s="44">
        <f ca="1" t="shared" si="363"/>
        <v>30000</v>
      </c>
      <c r="AA1032" s="44">
        <f ca="1" t="shared" si="364"/>
        <v>200000</v>
      </c>
      <c r="AB1032" s="44">
        <f ca="1" t="shared" si="365"/>
        <v>25000</v>
      </c>
      <c r="AC1032" s="45">
        <f ca="1" t="shared" si="366"/>
        <v>528</v>
      </c>
      <c r="AD1032" s="45">
        <f ca="1" t="shared" si="367"/>
        <v>20</v>
      </c>
      <c r="AE1032" s="45">
        <f ca="1" t="shared" si="368"/>
        <v>133.333333333333</v>
      </c>
      <c r="AF1032" s="45">
        <f ca="1" t="shared" si="369"/>
        <v>0</v>
      </c>
    </row>
    <row r="1033" spans="2:32">
      <c r="B1033" s="10">
        <v>11</v>
      </c>
      <c r="C1033" s="1">
        <f ca="1">养成规划!AE32</f>
        <v>3</v>
      </c>
      <c r="D1033" s="1" t="str">
        <f>IF(养成规划!O32="","",养成规划!O32)</f>
        <v/>
      </c>
      <c r="E1033" s="1" t="str">
        <f ca="1">IFERROR(C1033*OFFSET('107_兵卡等级'!$T$6,MATCH(D1033,'107_兵卡等级'!$O$6:$O$205,0)-1,0),"")</f>
        <v/>
      </c>
      <c r="F1033" s="1" t="str">
        <f ca="1">IFERROR(C1033*OFFSET('107_兵卡等级'!$I$6,MATCH(D1033,'107_兵卡等级'!$O$6:$O$205,0)-1,0),"")</f>
        <v/>
      </c>
      <c r="G1033" s="15" t="str">
        <f>IF(养成规划!E111="","",养成规划!E111)</f>
        <v/>
      </c>
      <c r="H1033" s="1">
        <f ca="1">'206_副本挂机'!W151</f>
        <v>6268320</v>
      </c>
      <c r="I1033" s="1">
        <f ca="1">'208_黑市'!X32</f>
        <v>225000</v>
      </c>
      <c r="J1033" s="1">
        <f ca="1">'210_活动'!AG32</f>
        <v>800000</v>
      </c>
      <c r="K1033" s="1">
        <f ca="1">'211_VIP宝箱'!X32</f>
        <v>182500</v>
      </c>
      <c r="L1033" s="15">
        <f ca="1">'206_副本挂机'!Z151</f>
        <v>3720</v>
      </c>
      <c r="M1033" s="15">
        <f ca="1">'208_黑市'!AA32</f>
        <v>150</v>
      </c>
      <c r="N1033" s="15">
        <f ca="1">'210_活动'!AJ32</f>
        <v>533.333333333334</v>
      </c>
      <c r="O1033" s="15">
        <f ca="1">'212_VIP商店'!R32</f>
        <v>0</v>
      </c>
      <c r="P1033" s="1" t="str">
        <f ca="1" t="shared" si="358"/>
        <v/>
      </c>
      <c r="Q1033" s="1">
        <f ca="1" t="shared" si="359"/>
        <v>7475820</v>
      </c>
      <c r="R1033" s="30"/>
      <c r="S1033" s="30"/>
      <c r="T1033" s="1" t="str">
        <f ca="1" t="shared" si="360"/>
        <v/>
      </c>
      <c r="U1033" s="1">
        <f ca="1" t="shared" si="361"/>
        <v>4403.33333333333</v>
      </c>
      <c r="V1033" s="30"/>
      <c r="W1033" s="30"/>
      <c r="Y1033" s="44">
        <f ca="1" t="shared" si="362"/>
        <v>889920</v>
      </c>
      <c r="Z1033" s="44">
        <f ca="1" t="shared" si="363"/>
        <v>30000</v>
      </c>
      <c r="AA1033" s="44">
        <f ca="1" t="shared" si="364"/>
        <v>200000</v>
      </c>
      <c r="AB1033" s="44">
        <f ca="1" t="shared" si="365"/>
        <v>25000</v>
      </c>
      <c r="AC1033" s="45">
        <f ca="1" t="shared" si="366"/>
        <v>528</v>
      </c>
      <c r="AD1033" s="45">
        <f ca="1" t="shared" si="367"/>
        <v>20</v>
      </c>
      <c r="AE1033" s="45">
        <f ca="1" t="shared" si="368"/>
        <v>133.333333333333</v>
      </c>
      <c r="AF1033" s="45">
        <f ca="1" t="shared" si="369"/>
        <v>0</v>
      </c>
    </row>
    <row r="1034" spans="2:32">
      <c r="B1034" s="10">
        <v>12</v>
      </c>
      <c r="C1034" s="1">
        <f ca="1">养成规划!AE33</f>
        <v>3</v>
      </c>
      <c r="D1034" s="1" t="str">
        <f>IF(养成规划!O33="","",养成规划!O33)</f>
        <v/>
      </c>
      <c r="E1034" s="1" t="str">
        <f ca="1">IFERROR(C1034*OFFSET('107_兵卡等级'!$T$6,MATCH(D1034,'107_兵卡等级'!$O$6:$O$205,0)-1,0),"")</f>
        <v/>
      </c>
      <c r="F1034" s="1" t="str">
        <f ca="1">IFERROR(C1034*OFFSET('107_兵卡等级'!$I$6,MATCH(D1034,'107_兵卡等级'!$O$6:$O$205,0)-1,0),"")</f>
        <v/>
      </c>
      <c r="G1034" s="15" t="str">
        <f>IF(养成规划!E112="","",养成规划!E112)</f>
        <v/>
      </c>
      <c r="H1034" s="1">
        <f ca="1">'206_副本挂机'!W152</f>
        <v>7175520</v>
      </c>
      <c r="I1034" s="1">
        <f ca="1">'208_黑市'!X33</f>
        <v>255000</v>
      </c>
      <c r="J1034" s="1">
        <f ca="1">'210_活动'!AG33</f>
        <v>1000000</v>
      </c>
      <c r="K1034" s="1">
        <f ca="1">'211_VIP宝箱'!X33</f>
        <v>207500</v>
      </c>
      <c r="L1034" s="15">
        <f ca="1">'206_副本挂机'!Z152</f>
        <v>4248</v>
      </c>
      <c r="M1034" s="15">
        <f ca="1">'208_黑市'!AA33</f>
        <v>170</v>
      </c>
      <c r="N1034" s="15">
        <f ca="1">'210_活动'!AJ33</f>
        <v>666.666666666667</v>
      </c>
      <c r="O1034" s="15">
        <f ca="1">'212_VIP商店'!R33</f>
        <v>0</v>
      </c>
      <c r="P1034" s="1" t="str">
        <f ca="1" t="shared" si="358"/>
        <v/>
      </c>
      <c r="Q1034" s="1">
        <f ca="1" t="shared" si="359"/>
        <v>8638020</v>
      </c>
      <c r="R1034" s="30"/>
      <c r="S1034" s="30"/>
      <c r="T1034" s="1" t="str">
        <f ca="1" t="shared" si="360"/>
        <v/>
      </c>
      <c r="U1034" s="1">
        <f ca="1" t="shared" si="361"/>
        <v>5084.66666666667</v>
      </c>
      <c r="V1034" s="30"/>
      <c r="W1034" s="30"/>
      <c r="Y1034" s="44">
        <f ca="1" t="shared" si="362"/>
        <v>907200</v>
      </c>
      <c r="Z1034" s="44">
        <f ca="1" t="shared" si="363"/>
        <v>30000</v>
      </c>
      <c r="AA1034" s="44">
        <f ca="1" t="shared" si="364"/>
        <v>200000</v>
      </c>
      <c r="AB1034" s="44">
        <f ca="1" t="shared" si="365"/>
        <v>25000</v>
      </c>
      <c r="AC1034" s="45">
        <f ca="1" t="shared" si="366"/>
        <v>528</v>
      </c>
      <c r="AD1034" s="45">
        <f ca="1" t="shared" si="367"/>
        <v>20</v>
      </c>
      <c r="AE1034" s="45">
        <f ca="1" t="shared" si="368"/>
        <v>133.333333333333</v>
      </c>
      <c r="AF1034" s="45">
        <f ca="1" t="shared" si="369"/>
        <v>0</v>
      </c>
    </row>
    <row r="1035" spans="2:32">
      <c r="B1035" s="10">
        <v>13</v>
      </c>
      <c r="C1035" s="1">
        <f ca="1">养成规划!AE34</f>
        <v>3</v>
      </c>
      <c r="D1035" s="1">
        <f>IF(养成规划!O34="","",养成规划!O34)</f>
        <v>50</v>
      </c>
      <c r="E1035" s="1">
        <f ca="1">IFERROR(C1035*OFFSET('107_兵卡等级'!$T$6,MATCH(D1035,'107_兵卡等级'!$O$6:$O$205,0)-1,0),"")</f>
        <v>12347700</v>
      </c>
      <c r="F1035" s="1">
        <f ca="1">IFERROR(C1035*OFFSET('107_兵卡等级'!$I$6,MATCH(D1035,'107_兵卡等级'!$O$6:$O$205,0)-1,0),"")</f>
        <v>8040</v>
      </c>
      <c r="G1035" s="15">
        <f>IF(养成规划!E113="","",养成规划!E113)</f>
        <v>3</v>
      </c>
      <c r="H1035" s="1">
        <f ca="1">'206_副本挂机'!W153</f>
        <v>8134560</v>
      </c>
      <c r="I1035" s="1">
        <f ca="1">'208_黑市'!X34</f>
        <v>285000</v>
      </c>
      <c r="J1035" s="1">
        <f ca="1">'210_活动'!AG34</f>
        <v>1200000</v>
      </c>
      <c r="K1035" s="1">
        <f ca="1">'211_VIP宝箱'!X34</f>
        <v>232500</v>
      </c>
      <c r="L1035" s="15">
        <f ca="1">'206_副本挂机'!Z153</f>
        <v>4824</v>
      </c>
      <c r="M1035" s="15">
        <f ca="1">'208_黑市'!AA34</f>
        <v>190</v>
      </c>
      <c r="N1035" s="15">
        <f ca="1">'210_活动'!AJ34</f>
        <v>800</v>
      </c>
      <c r="O1035" s="15">
        <f ca="1">'212_VIP商店'!R34</f>
        <v>0</v>
      </c>
      <c r="P1035" s="1">
        <f ca="1" t="shared" si="358"/>
        <v>12347700</v>
      </c>
      <c r="Q1035" s="1">
        <f ca="1" t="shared" si="359"/>
        <v>9852060</v>
      </c>
      <c r="R1035" s="30"/>
      <c r="S1035" s="30"/>
      <c r="T1035" s="1">
        <f ca="1" t="shared" si="360"/>
        <v>8040</v>
      </c>
      <c r="U1035" s="1">
        <f ca="1" t="shared" si="361"/>
        <v>5814</v>
      </c>
      <c r="V1035" s="30"/>
      <c r="W1035" s="30"/>
      <c r="Y1035" s="44">
        <f ca="1" t="shared" si="362"/>
        <v>959040</v>
      </c>
      <c r="Z1035" s="44">
        <f ca="1" t="shared" si="363"/>
        <v>30000</v>
      </c>
      <c r="AA1035" s="44">
        <f ca="1" t="shared" si="364"/>
        <v>200000</v>
      </c>
      <c r="AB1035" s="44">
        <f ca="1" t="shared" si="365"/>
        <v>25000</v>
      </c>
      <c r="AC1035" s="45">
        <f ca="1" t="shared" si="366"/>
        <v>576</v>
      </c>
      <c r="AD1035" s="45">
        <f ca="1" t="shared" si="367"/>
        <v>20</v>
      </c>
      <c r="AE1035" s="45">
        <f ca="1" t="shared" si="368"/>
        <v>133.333333333333</v>
      </c>
      <c r="AF1035" s="45">
        <f ca="1" t="shared" si="369"/>
        <v>0</v>
      </c>
    </row>
    <row r="1036" spans="2:32">
      <c r="B1036" s="10">
        <v>14</v>
      </c>
      <c r="C1036" s="1">
        <f ca="1">养成规划!AE35</f>
        <v>3</v>
      </c>
      <c r="D1036" s="1" t="str">
        <f>IF(养成规划!O35="","",养成规划!O35)</f>
        <v/>
      </c>
      <c r="E1036" s="1" t="str">
        <f ca="1">IFERROR(C1036*OFFSET('107_兵卡等级'!$T$6,MATCH(D1036,'107_兵卡等级'!$O$6:$O$205,0)-1,0),"")</f>
        <v/>
      </c>
      <c r="F1036" s="1" t="str">
        <f ca="1">IFERROR(C1036*OFFSET('107_兵卡等级'!$I$6,MATCH(D1036,'107_兵卡等级'!$O$6:$O$205,0)-1,0),"")</f>
        <v/>
      </c>
      <c r="G1036" s="15" t="str">
        <f>IF(养成规划!E114="","",养成规划!E114)</f>
        <v/>
      </c>
      <c r="H1036" s="1">
        <f ca="1">'206_副本挂机'!W154</f>
        <v>9119520</v>
      </c>
      <c r="I1036" s="1">
        <f ca="1">'208_黑市'!X35</f>
        <v>315000</v>
      </c>
      <c r="J1036" s="1">
        <f ca="1">'210_活动'!AG35</f>
        <v>1400000</v>
      </c>
      <c r="K1036" s="1">
        <f ca="1">'211_VIP宝箱'!X35</f>
        <v>262500</v>
      </c>
      <c r="L1036" s="15">
        <f ca="1">'206_副本挂机'!Z154</f>
        <v>5400</v>
      </c>
      <c r="M1036" s="15">
        <f ca="1">'208_黑市'!AA35</f>
        <v>210</v>
      </c>
      <c r="N1036" s="15">
        <f ca="1">'210_活动'!AJ35</f>
        <v>933.333333333334</v>
      </c>
      <c r="O1036" s="15">
        <f ca="1">'212_VIP商店'!R35</f>
        <v>0</v>
      </c>
      <c r="P1036" s="1" t="str">
        <f ca="1" t="shared" si="358"/>
        <v/>
      </c>
      <c r="Q1036" s="1">
        <f ca="1" t="shared" si="359"/>
        <v>11097020</v>
      </c>
      <c r="R1036" s="30"/>
      <c r="S1036" s="30"/>
      <c r="T1036" s="1" t="str">
        <f ca="1" t="shared" si="360"/>
        <v/>
      </c>
      <c r="U1036" s="1">
        <f ca="1" t="shared" si="361"/>
        <v>6543.33333333333</v>
      </c>
      <c r="V1036" s="30"/>
      <c r="W1036" s="30"/>
      <c r="Y1036" s="44">
        <f ca="1" t="shared" si="362"/>
        <v>984960</v>
      </c>
      <c r="Z1036" s="44">
        <f ca="1" t="shared" si="363"/>
        <v>30000</v>
      </c>
      <c r="AA1036" s="44">
        <f ca="1" t="shared" si="364"/>
        <v>200000</v>
      </c>
      <c r="AB1036" s="44">
        <f ca="1" t="shared" si="365"/>
        <v>30000</v>
      </c>
      <c r="AC1036" s="45">
        <f ca="1" t="shared" si="366"/>
        <v>576</v>
      </c>
      <c r="AD1036" s="45">
        <f ca="1" t="shared" si="367"/>
        <v>20</v>
      </c>
      <c r="AE1036" s="45">
        <f ca="1" t="shared" si="368"/>
        <v>133.333333333333</v>
      </c>
      <c r="AF1036" s="45">
        <f ca="1" t="shared" si="369"/>
        <v>0</v>
      </c>
    </row>
    <row r="1037" spans="2:32">
      <c r="B1037" s="10">
        <v>15</v>
      </c>
      <c r="C1037" s="1">
        <f ca="1">养成规划!AE36</f>
        <v>3</v>
      </c>
      <c r="D1037" s="1" t="str">
        <f>IF(养成规划!O36="","",养成规划!O36)</f>
        <v/>
      </c>
      <c r="E1037" s="1" t="str">
        <f ca="1">IFERROR(C1037*OFFSET('107_兵卡等级'!$T$6,MATCH(D1037,'107_兵卡等级'!$O$6:$O$205,0)-1,0),"")</f>
        <v/>
      </c>
      <c r="F1037" s="1" t="str">
        <f ca="1">IFERROR(C1037*OFFSET('107_兵卡等级'!$I$6,MATCH(D1037,'107_兵卡等级'!$O$6:$O$205,0)-1,0),"")</f>
        <v/>
      </c>
      <c r="G1037" s="15" t="str">
        <f>IF(养成规划!E115="","",养成规划!E115)</f>
        <v/>
      </c>
      <c r="H1037" s="1">
        <f ca="1">'206_副本挂机'!W155</f>
        <v>10130400</v>
      </c>
      <c r="I1037" s="1">
        <f ca="1">'208_黑市'!X36</f>
        <v>375000</v>
      </c>
      <c r="J1037" s="1">
        <f ca="1">'210_活动'!AG36</f>
        <v>1800000</v>
      </c>
      <c r="K1037" s="1">
        <f ca="1">'211_VIP宝箱'!X36</f>
        <v>292500</v>
      </c>
      <c r="L1037" s="15">
        <f ca="1">'206_副本挂机'!Z155</f>
        <v>6024</v>
      </c>
      <c r="M1037" s="15">
        <f ca="1">'208_黑市'!AA36</f>
        <v>250</v>
      </c>
      <c r="N1037" s="15">
        <f ca="1">'210_活动'!AJ36</f>
        <v>1200</v>
      </c>
      <c r="O1037" s="15">
        <f ca="1">'212_VIP商店'!R36</f>
        <v>0</v>
      </c>
      <c r="P1037" s="1" t="str">
        <f ca="1" t="shared" si="358"/>
        <v/>
      </c>
      <c r="Q1037" s="1">
        <f ca="1" t="shared" si="359"/>
        <v>12597900</v>
      </c>
      <c r="R1037" s="30"/>
      <c r="S1037" s="30"/>
      <c r="T1037" s="1" t="str">
        <f ca="1" t="shared" si="360"/>
        <v/>
      </c>
      <c r="U1037" s="1">
        <f ca="1" t="shared" si="361"/>
        <v>7474</v>
      </c>
      <c r="V1037" s="30"/>
      <c r="W1037" s="30"/>
      <c r="Y1037" s="44">
        <f ca="1" t="shared" si="362"/>
        <v>1010880</v>
      </c>
      <c r="Z1037" s="44">
        <f ca="1" t="shared" si="363"/>
        <v>60000</v>
      </c>
      <c r="AA1037" s="44">
        <f ca="1" t="shared" si="364"/>
        <v>400000</v>
      </c>
      <c r="AB1037" s="44">
        <f ca="1" t="shared" si="365"/>
        <v>30000</v>
      </c>
      <c r="AC1037" s="45">
        <f ca="1" t="shared" si="366"/>
        <v>624</v>
      </c>
      <c r="AD1037" s="45">
        <f ca="1" t="shared" si="367"/>
        <v>40</v>
      </c>
      <c r="AE1037" s="45">
        <f ca="1" t="shared" si="368"/>
        <v>266.666666666667</v>
      </c>
      <c r="AF1037" s="45">
        <f ca="1" t="shared" si="369"/>
        <v>0</v>
      </c>
    </row>
    <row r="1038" spans="2:32">
      <c r="B1038" s="10">
        <v>16</v>
      </c>
      <c r="C1038" s="1">
        <f ca="1">养成规划!AE37</f>
        <v>3</v>
      </c>
      <c r="D1038" s="1" t="str">
        <f>IF(养成规划!O37="","",养成规划!O37)</f>
        <v/>
      </c>
      <c r="E1038" s="1" t="str">
        <f ca="1">IFERROR(C1038*OFFSET('107_兵卡等级'!$T$6,MATCH(D1038,'107_兵卡等级'!$O$6:$O$205,0)-1,0),"")</f>
        <v/>
      </c>
      <c r="F1038" s="1" t="str">
        <f ca="1">IFERROR(C1038*OFFSET('107_兵卡等级'!$I$6,MATCH(D1038,'107_兵卡等级'!$O$6:$O$205,0)-1,0),"")</f>
        <v/>
      </c>
      <c r="G1038" s="15" t="str">
        <f>IF(养成规划!E116="","",养成规划!E116)</f>
        <v/>
      </c>
      <c r="H1038" s="1">
        <f ca="1">'206_副本挂机'!W156</f>
        <v>11167200</v>
      </c>
      <c r="I1038" s="1">
        <f ca="1">'208_黑市'!X37</f>
        <v>435000</v>
      </c>
      <c r="J1038" s="1">
        <f ca="1">'210_活动'!AG37</f>
        <v>2200000</v>
      </c>
      <c r="K1038" s="1">
        <f ca="1">'211_VIP宝箱'!X37</f>
        <v>322500</v>
      </c>
      <c r="L1038" s="15">
        <f ca="1">'206_副本挂机'!Z156</f>
        <v>6648</v>
      </c>
      <c r="M1038" s="15">
        <f ca="1">'208_黑市'!AA37</f>
        <v>290</v>
      </c>
      <c r="N1038" s="15">
        <f ca="1">'210_活动'!AJ37</f>
        <v>1466.66666666667</v>
      </c>
      <c r="O1038" s="15">
        <f ca="1">'212_VIP商店'!R37</f>
        <v>0</v>
      </c>
      <c r="P1038" s="1" t="str">
        <f ca="1" t="shared" si="358"/>
        <v/>
      </c>
      <c r="Q1038" s="1">
        <f ca="1" t="shared" si="359"/>
        <v>14124700</v>
      </c>
      <c r="R1038" s="30"/>
      <c r="S1038" s="30"/>
      <c r="T1038" s="1" t="str">
        <f ca="1" t="shared" si="360"/>
        <v/>
      </c>
      <c r="U1038" s="1">
        <f ca="1" t="shared" si="361"/>
        <v>8404.66666666667</v>
      </c>
      <c r="V1038" s="30"/>
      <c r="W1038" s="30"/>
      <c r="Y1038" s="44">
        <f ca="1" t="shared" si="362"/>
        <v>1036800</v>
      </c>
      <c r="Z1038" s="44">
        <f ca="1" t="shared" si="363"/>
        <v>60000</v>
      </c>
      <c r="AA1038" s="44">
        <f ca="1" t="shared" si="364"/>
        <v>400000</v>
      </c>
      <c r="AB1038" s="44">
        <f ca="1" t="shared" si="365"/>
        <v>30000</v>
      </c>
      <c r="AC1038" s="45">
        <f ca="1" t="shared" si="366"/>
        <v>624</v>
      </c>
      <c r="AD1038" s="45">
        <f ca="1" t="shared" si="367"/>
        <v>40</v>
      </c>
      <c r="AE1038" s="45">
        <f ca="1" t="shared" si="368"/>
        <v>266.666666666667</v>
      </c>
      <c r="AF1038" s="45">
        <f ca="1" t="shared" si="369"/>
        <v>0</v>
      </c>
    </row>
    <row r="1039" spans="2:32">
      <c r="B1039" s="10">
        <v>17</v>
      </c>
      <c r="C1039" s="1">
        <f ca="1">养成规划!AE38</f>
        <v>3</v>
      </c>
      <c r="D1039" s="1" t="str">
        <f>IF(养成规划!O38="","",养成规划!O38)</f>
        <v/>
      </c>
      <c r="E1039" s="1" t="str">
        <f ca="1">IFERROR(C1039*OFFSET('107_兵卡等级'!$T$6,MATCH(D1039,'107_兵卡等级'!$O$6:$O$205,0)-1,0),"")</f>
        <v/>
      </c>
      <c r="F1039" s="1" t="str">
        <f ca="1">IFERROR(C1039*OFFSET('107_兵卡等级'!$I$6,MATCH(D1039,'107_兵卡等级'!$O$6:$O$205,0)-1,0),"")</f>
        <v/>
      </c>
      <c r="G1039" s="15" t="str">
        <f>IF(养成规划!E117="","",养成规划!E117)</f>
        <v/>
      </c>
      <c r="H1039" s="1">
        <f ca="1">'206_副本挂机'!W157</f>
        <v>12229920</v>
      </c>
      <c r="I1039" s="1">
        <f ca="1">'208_黑市'!X38</f>
        <v>495000</v>
      </c>
      <c r="J1039" s="1">
        <f ca="1">'210_活动'!AG38</f>
        <v>2600000</v>
      </c>
      <c r="K1039" s="1">
        <f ca="1">'211_VIP宝箱'!X38</f>
        <v>352500</v>
      </c>
      <c r="L1039" s="15">
        <f ca="1">'206_副本挂机'!Z157</f>
        <v>7272</v>
      </c>
      <c r="M1039" s="15">
        <f ca="1">'208_黑市'!AA38</f>
        <v>330</v>
      </c>
      <c r="N1039" s="15">
        <f ca="1">'210_活动'!AJ38</f>
        <v>1733.33333333333</v>
      </c>
      <c r="O1039" s="15">
        <f ca="1">'212_VIP商店'!R38</f>
        <v>0</v>
      </c>
      <c r="P1039" s="1" t="str">
        <f ca="1" t="shared" ref="P1039:P1070" si="370">E1039</f>
        <v/>
      </c>
      <c r="Q1039" s="1">
        <f ca="1" t="shared" ref="Q1039:Q1070" si="371">SUM(H1039:K1039)</f>
        <v>15677420</v>
      </c>
      <c r="R1039" s="30"/>
      <c r="S1039" s="30"/>
      <c r="T1039" s="1" t="str">
        <f ca="1" t="shared" ref="T1039:T1070" si="372">F1039</f>
        <v/>
      </c>
      <c r="U1039" s="1">
        <f ca="1" t="shared" ref="U1039:U1070" si="373">SUM(L1039:O1039)</f>
        <v>9335.33333333333</v>
      </c>
      <c r="V1039" s="30"/>
      <c r="W1039" s="30"/>
      <c r="Y1039" s="44">
        <f ca="1" t="shared" si="362"/>
        <v>1062720</v>
      </c>
      <c r="Z1039" s="44">
        <f ca="1" t="shared" si="363"/>
        <v>60000</v>
      </c>
      <c r="AA1039" s="44">
        <f ca="1" t="shared" si="364"/>
        <v>400000</v>
      </c>
      <c r="AB1039" s="44">
        <f ca="1" t="shared" si="365"/>
        <v>30000</v>
      </c>
      <c r="AC1039" s="45">
        <f ca="1" t="shared" si="366"/>
        <v>624</v>
      </c>
      <c r="AD1039" s="45">
        <f ca="1" t="shared" si="367"/>
        <v>40</v>
      </c>
      <c r="AE1039" s="45">
        <f ca="1" t="shared" si="368"/>
        <v>266.666666666667</v>
      </c>
      <c r="AF1039" s="45">
        <f ca="1" t="shared" si="369"/>
        <v>0</v>
      </c>
    </row>
    <row r="1040" spans="2:32">
      <c r="B1040" s="10">
        <v>18</v>
      </c>
      <c r="C1040" s="1">
        <f ca="1">养成规划!AE39</f>
        <v>3</v>
      </c>
      <c r="D1040" s="1" t="str">
        <f>IF(养成规划!O39="","",养成规划!O39)</f>
        <v/>
      </c>
      <c r="E1040" s="1" t="str">
        <f ca="1">IFERROR(C1040*OFFSET('107_兵卡等级'!$T$6,MATCH(D1040,'107_兵卡等级'!$O$6:$O$205,0)-1,0),"")</f>
        <v/>
      </c>
      <c r="F1040" s="1" t="str">
        <f ca="1">IFERROR(C1040*OFFSET('107_兵卡等级'!$I$6,MATCH(D1040,'107_兵卡等级'!$O$6:$O$205,0)-1,0),"")</f>
        <v/>
      </c>
      <c r="G1040" s="15" t="str">
        <f>IF(养成规划!E118="","",养成规划!E118)</f>
        <v/>
      </c>
      <c r="H1040" s="1">
        <f ca="1">'206_副本挂机'!W158</f>
        <v>13318560</v>
      </c>
      <c r="I1040" s="1">
        <f ca="1">'208_黑市'!X39</f>
        <v>555000</v>
      </c>
      <c r="J1040" s="1">
        <f ca="1">'210_活动'!AG39</f>
        <v>3000000</v>
      </c>
      <c r="K1040" s="1">
        <f ca="1">'211_VIP宝箱'!X39</f>
        <v>382500</v>
      </c>
      <c r="L1040" s="15">
        <f ca="1">'206_副本挂机'!Z158</f>
        <v>7944</v>
      </c>
      <c r="M1040" s="15">
        <f ca="1">'208_黑市'!AA39</f>
        <v>370</v>
      </c>
      <c r="N1040" s="15">
        <f ca="1">'210_活动'!AJ39</f>
        <v>2000</v>
      </c>
      <c r="O1040" s="15">
        <f ca="1">'212_VIP商店'!R39</f>
        <v>0</v>
      </c>
      <c r="P1040" s="1" t="str">
        <f ca="1" t="shared" si="370"/>
        <v/>
      </c>
      <c r="Q1040" s="1">
        <f ca="1" t="shared" si="371"/>
        <v>17256060</v>
      </c>
      <c r="R1040" s="30"/>
      <c r="S1040" s="30"/>
      <c r="T1040" s="1" t="str">
        <f ca="1" t="shared" si="372"/>
        <v/>
      </c>
      <c r="U1040" s="1">
        <f ca="1" t="shared" si="373"/>
        <v>10314</v>
      </c>
      <c r="V1040" s="30"/>
      <c r="W1040" s="30"/>
      <c r="Y1040" s="44">
        <f ca="1" t="shared" ref="Y1040:Y1071" si="374">(H1040-H1039)/($B1040-$B1039)</f>
        <v>1088640</v>
      </c>
      <c r="Z1040" s="44">
        <f ca="1" t="shared" ref="Z1040:Z1071" si="375">(I1040-I1039)/($B1040-$B1039)</f>
        <v>60000</v>
      </c>
      <c r="AA1040" s="44">
        <f ca="1" t="shared" ref="AA1040:AA1071" si="376">(J1040-J1039)/($B1040-$B1039)</f>
        <v>400000</v>
      </c>
      <c r="AB1040" s="44">
        <f ca="1" t="shared" ref="AB1040:AB1071" si="377">(K1040-K1039)/($B1040-$B1039)</f>
        <v>30000</v>
      </c>
      <c r="AC1040" s="45">
        <f ca="1" t="shared" ref="AC1040:AC1071" si="378">(L1040-L1039)/($B1040-$B1039)</f>
        <v>672</v>
      </c>
      <c r="AD1040" s="45">
        <f ca="1" t="shared" ref="AD1040:AD1071" si="379">(M1040-M1039)/($B1040-$B1039)</f>
        <v>40</v>
      </c>
      <c r="AE1040" s="45">
        <f ca="1" t="shared" ref="AE1040:AE1071" si="380">(N1040-N1039)/($B1040-$B1039)</f>
        <v>266.666666666667</v>
      </c>
      <c r="AF1040" s="45">
        <f ca="1" t="shared" ref="AF1040:AF1071" si="381">(O1040-O1039)/($B1040-$B1039)</f>
        <v>0</v>
      </c>
    </row>
    <row r="1041" spans="2:32">
      <c r="B1041" s="10">
        <v>19</v>
      </c>
      <c r="C1041" s="1">
        <f ca="1">养成规划!AE40</f>
        <v>3</v>
      </c>
      <c r="D1041" s="1" t="str">
        <f>IF(养成规划!O40="","",养成规划!O40)</f>
        <v/>
      </c>
      <c r="E1041" s="1" t="str">
        <f ca="1">IFERROR(C1041*OFFSET('107_兵卡等级'!$T$6,MATCH(D1041,'107_兵卡等级'!$O$6:$O$205,0)-1,0),"")</f>
        <v/>
      </c>
      <c r="F1041" s="1" t="str">
        <f ca="1">IFERROR(C1041*OFFSET('107_兵卡等级'!$I$6,MATCH(D1041,'107_兵卡等级'!$O$6:$O$205,0)-1,0),"")</f>
        <v/>
      </c>
      <c r="G1041" s="15" t="str">
        <f>IF(养成规划!E119="","",养成规划!E119)</f>
        <v/>
      </c>
      <c r="H1041" s="1">
        <f ca="1">'206_副本挂机'!W159</f>
        <v>14433120</v>
      </c>
      <c r="I1041" s="1">
        <f ca="1">'208_黑市'!X40</f>
        <v>615000</v>
      </c>
      <c r="J1041" s="1">
        <f ca="1">'210_活动'!AG40</f>
        <v>3400000</v>
      </c>
      <c r="K1041" s="1">
        <f ca="1">'211_VIP宝箱'!X40</f>
        <v>412500</v>
      </c>
      <c r="L1041" s="15">
        <f ca="1">'206_副本挂机'!Z159</f>
        <v>8616</v>
      </c>
      <c r="M1041" s="15">
        <f ca="1">'208_黑市'!AA40</f>
        <v>410</v>
      </c>
      <c r="N1041" s="15">
        <f ca="1">'210_活动'!AJ40</f>
        <v>2266.66666666667</v>
      </c>
      <c r="O1041" s="15">
        <f ca="1">'212_VIP商店'!R40</f>
        <v>0</v>
      </c>
      <c r="P1041" s="1" t="str">
        <f ca="1" t="shared" si="370"/>
        <v/>
      </c>
      <c r="Q1041" s="1">
        <f ca="1" t="shared" si="371"/>
        <v>18860620</v>
      </c>
      <c r="R1041" s="30"/>
      <c r="S1041" s="30"/>
      <c r="T1041" s="1" t="str">
        <f ca="1" t="shared" si="372"/>
        <v/>
      </c>
      <c r="U1041" s="1">
        <f ca="1" t="shared" si="373"/>
        <v>11292.6666666667</v>
      </c>
      <c r="V1041" s="30"/>
      <c r="W1041" s="30"/>
      <c r="Y1041" s="44">
        <f ca="1" t="shared" si="374"/>
        <v>1114560</v>
      </c>
      <c r="Z1041" s="44">
        <f ca="1" t="shared" si="375"/>
        <v>60000</v>
      </c>
      <c r="AA1041" s="44">
        <f ca="1" t="shared" si="376"/>
        <v>400000</v>
      </c>
      <c r="AB1041" s="44">
        <f ca="1" t="shared" si="377"/>
        <v>30000</v>
      </c>
      <c r="AC1041" s="45">
        <f ca="1" t="shared" si="378"/>
        <v>672</v>
      </c>
      <c r="AD1041" s="45">
        <f ca="1" t="shared" si="379"/>
        <v>40</v>
      </c>
      <c r="AE1041" s="45">
        <f ca="1" t="shared" si="380"/>
        <v>266.666666666667</v>
      </c>
      <c r="AF1041" s="45">
        <f ca="1" t="shared" si="381"/>
        <v>0</v>
      </c>
    </row>
    <row r="1042" spans="2:32">
      <c r="B1042" s="10">
        <v>20</v>
      </c>
      <c r="C1042" s="1">
        <f ca="1">养成规划!AE41</f>
        <v>3</v>
      </c>
      <c r="D1042" s="1">
        <f>IF(养成规划!O41="","",养成规划!O41)</f>
        <v>60</v>
      </c>
      <c r="E1042" s="1">
        <f ca="1">IFERROR(C1042*OFFSET('107_兵卡等级'!$T$6,MATCH(D1042,'107_兵卡等级'!$O$6:$O$205,0)-1,0),"")</f>
        <v>24317700</v>
      </c>
      <c r="F1042" s="1">
        <f ca="1">IFERROR(C1042*OFFSET('107_兵卡等级'!$I$6,MATCH(D1042,'107_兵卡等级'!$O$6:$O$205,0)-1,0),"")</f>
        <v>17640</v>
      </c>
      <c r="G1042" s="15" t="str">
        <f>IF(养成规划!E120="","",养成规划!E120)</f>
        <v/>
      </c>
      <c r="H1042" s="1">
        <f ca="1">'206_副本挂机'!W160</f>
        <v>15564960</v>
      </c>
      <c r="I1042" s="1">
        <f ca="1">'208_黑市'!X41</f>
        <v>675000</v>
      </c>
      <c r="J1042" s="1">
        <f ca="1">'210_活动'!AG41</f>
        <v>3800000</v>
      </c>
      <c r="K1042" s="1">
        <f ca="1">'211_VIP宝箱'!X41</f>
        <v>447500</v>
      </c>
      <c r="L1042" s="15">
        <f ca="1">'206_副本挂机'!Z160</f>
        <v>9288</v>
      </c>
      <c r="M1042" s="15">
        <f ca="1">'208_黑市'!AA41</f>
        <v>450</v>
      </c>
      <c r="N1042" s="15">
        <f ca="1">'210_活动'!AJ41</f>
        <v>2533.33333333333</v>
      </c>
      <c r="O1042" s="15">
        <f ca="1">'212_VIP商店'!R41</f>
        <v>0</v>
      </c>
      <c r="P1042" s="1">
        <f ca="1" t="shared" si="370"/>
        <v>24317700</v>
      </c>
      <c r="Q1042" s="1">
        <f ca="1" t="shared" si="371"/>
        <v>20487460</v>
      </c>
      <c r="R1042" s="30"/>
      <c r="S1042" s="30"/>
      <c r="T1042" s="1">
        <f ca="1" t="shared" si="372"/>
        <v>17640</v>
      </c>
      <c r="U1042" s="1">
        <f ca="1" t="shared" si="373"/>
        <v>12271.3333333333</v>
      </c>
      <c r="V1042" s="30"/>
      <c r="W1042" s="30"/>
      <c r="Y1042" s="44">
        <f ca="1" t="shared" si="374"/>
        <v>1131840</v>
      </c>
      <c r="Z1042" s="44">
        <f ca="1" t="shared" si="375"/>
        <v>60000</v>
      </c>
      <c r="AA1042" s="44">
        <f ca="1" t="shared" si="376"/>
        <v>400000</v>
      </c>
      <c r="AB1042" s="44">
        <f ca="1" t="shared" si="377"/>
        <v>35000</v>
      </c>
      <c r="AC1042" s="45">
        <f ca="1" t="shared" si="378"/>
        <v>672</v>
      </c>
      <c r="AD1042" s="45">
        <f ca="1" t="shared" si="379"/>
        <v>40</v>
      </c>
      <c r="AE1042" s="45">
        <f ca="1" t="shared" si="380"/>
        <v>266.666666666667</v>
      </c>
      <c r="AF1042" s="45">
        <f ca="1" t="shared" si="381"/>
        <v>0</v>
      </c>
    </row>
    <row r="1043" spans="2:32">
      <c r="B1043" s="10">
        <v>21</v>
      </c>
      <c r="C1043" s="1">
        <f ca="1">养成规划!AE42</f>
        <v>3</v>
      </c>
      <c r="D1043" s="1" t="str">
        <f>IF(养成规划!O42="","",养成规划!O42)</f>
        <v/>
      </c>
      <c r="E1043" s="1" t="str">
        <f ca="1">IFERROR(C1043*OFFSET('107_兵卡等级'!$T$6,MATCH(D1043,'107_兵卡等级'!$O$6:$O$205,0)-1,0),"")</f>
        <v/>
      </c>
      <c r="F1043" s="1" t="str">
        <f ca="1">IFERROR(C1043*OFFSET('107_兵卡等级'!$I$6,MATCH(D1043,'107_兵卡等级'!$O$6:$O$205,0)-1,0),"")</f>
        <v/>
      </c>
      <c r="G1043" s="15" t="str">
        <f>IF(养成规划!E121="","",养成规划!E121)</f>
        <v/>
      </c>
      <c r="H1043" s="1">
        <f ca="1">'206_副本挂机'!W161</f>
        <v>16722720</v>
      </c>
      <c r="I1043" s="1">
        <f ca="1">'208_黑市'!X42</f>
        <v>735000</v>
      </c>
      <c r="J1043" s="1">
        <f ca="1">'210_活动'!AG42</f>
        <v>4200000</v>
      </c>
      <c r="K1043" s="1">
        <f ca="1">'211_VIP宝箱'!X42</f>
        <v>482500</v>
      </c>
      <c r="L1043" s="15">
        <f ca="1">'206_副本挂机'!Z161</f>
        <v>10008</v>
      </c>
      <c r="M1043" s="15">
        <f ca="1">'208_黑市'!AA42</f>
        <v>490</v>
      </c>
      <c r="N1043" s="15">
        <f ca="1">'210_活动'!AJ42</f>
        <v>2800</v>
      </c>
      <c r="O1043" s="15">
        <f ca="1">'212_VIP商店'!R42</f>
        <v>0</v>
      </c>
      <c r="P1043" s="1" t="str">
        <f ca="1" t="shared" si="370"/>
        <v/>
      </c>
      <c r="Q1043" s="1">
        <f ca="1" t="shared" si="371"/>
        <v>22140220</v>
      </c>
      <c r="R1043" s="30"/>
      <c r="S1043" s="30"/>
      <c r="T1043" s="1" t="str">
        <f ca="1" t="shared" si="372"/>
        <v/>
      </c>
      <c r="U1043" s="1">
        <f ca="1" t="shared" si="373"/>
        <v>13298</v>
      </c>
      <c r="V1043" s="30"/>
      <c r="W1043" s="30"/>
      <c r="Y1043" s="44">
        <f ca="1" t="shared" si="374"/>
        <v>1157760</v>
      </c>
      <c r="Z1043" s="44">
        <f ca="1" t="shared" si="375"/>
        <v>60000</v>
      </c>
      <c r="AA1043" s="44">
        <f ca="1" t="shared" si="376"/>
        <v>400000</v>
      </c>
      <c r="AB1043" s="44">
        <f ca="1" t="shared" si="377"/>
        <v>35000</v>
      </c>
      <c r="AC1043" s="45">
        <f ca="1" t="shared" si="378"/>
        <v>720</v>
      </c>
      <c r="AD1043" s="45">
        <f ca="1" t="shared" si="379"/>
        <v>40</v>
      </c>
      <c r="AE1043" s="45">
        <f ca="1" t="shared" si="380"/>
        <v>266.666666666667</v>
      </c>
      <c r="AF1043" s="45">
        <f ca="1" t="shared" si="381"/>
        <v>0</v>
      </c>
    </row>
    <row r="1044" spans="2:32">
      <c r="B1044" s="10">
        <v>22</v>
      </c>
      <c r="C1044" s="1">
        <f ca="1">养成规划!AE43</f>
        <v>3</v>
      </c>
      <c r="D1044" s="1" t="str">
        <f>IF(养成规划!O43="","",养成规划!O43)</f>
        <v/>
      </c>
      <c r="E1044" s="1" t="str">
        <f ca="1">IFERROR(C1044*OFFSET('107_兵卡等级'!$T$6,MATCH(D1044,'107_兵卡等级'!$O$6:$O$205,0)-1,0),"")</f>
        <v/>
      </c>
      <c r="F1044" s="1" t="str">
        <f ca="1">IFERROR(C1044*OFFSET('107_兵卡等级'!$I$6,MATCH(D1044,'107_兵卡等级'!$O$6:$O$205,0)-1,0),"")</f>
        <v/>
      </c>
      <c r="G1044" s="15" t="str">
        <f>IF(养成规划!E122="","",养成规划!E122)</f>
        <v/>
      </c>
      <c r="H1044" s="1">
        <f ca="1">'206_副本挂机'!W162</f>
        <v>17906400</v>
      </c>
      <c r="I1044" s="1">
        <f ca="1">'208_黑市'!X43</f>
        <v>795000</v>
      </c>
      <c r="J1044" s="1">
        <f ca="1">'210_活动'!AG43</f>
        <v>4600000</v>
      </c>
      <c r="K1044" s="1">
        <f ca="1">'211_VIP宝箱'!X43</f>
        <v>517500</v>
      </c>
      <c r="L1044" s="15">
        <f ca="1">'206_副本挂机'!Z162</f>
        <v>10728</v>
      </c>
      <c r="M1044" s="15">
        <f ca="1">'208_黑市'!AA43</f>
        <v>530</v>
      </c>
      <c r="N1044" s="15">
        <f ca="1">'210_活动'!AJ43</f>
        <v>3066.66666666667</v>
      </c>
      <c r="O1044" s="15">
        <f ca="1">'212_VIP商店'!R43</f>
        <v>0</v>
      </c>
      <c r="P1044" s="1" t="str">
        <f ca="1" t="shared" si="370"/>
        <v/>
      </c>
      <c r="Q1044" s="1">
        <f ca="1" t="shared" si="371"/>
        <v>23818900</v>
      </c>
      <c r="R1044" s="30"/>
      <c r="S1044" s="30"/>
      <c r="T1044" s="1" t="str">
        <f ca="1" t="shared" si="372"/>
        <v/>
      </c>
      <c r="U1044" s="1">
        <f ca="1" t="shared" si="373"/>
        <v>14324.6666666667</v>
      </c>
      <c r="V1044" s="30"/>
      <c r="W1044" s="30"/>
      <c r="Y1044" s="44">
        <f ca="1" t="shared" si="374"/>
        <v>1183680</v>
      </c>
      <c r="Z1044" s="44">
        <f ca="1" t="shared" si="375"/>
        <v>60000</v>
      </c>
      <c r="AA1044" s="44">
        <f ca="1" t="shared" si="376"/>
        <v>400000</v>
      </c>
      <c r="AB1044" s="44">
        <f ca="1" t="shared" si="377"/>
        <v>35000</v>
      </c>
      <c r="AC1044" s="45">
        <f ca="1" t="shared" si="378"/>
        <v>720</v>
      </c>
      <c r="AD1044" s="45">
        <f ca="1" t="shared" si="379"/>
        <v>40</v>
      </c>
      <c r="AE1044" s="45">
        <f ca="1" t="shared" si="380"/>
        <v>266.666666666667</v>
      </c>
      <c r="AF1044" s="45">
        <f ca="1" t="shared" si="381"/>
        <v>0</v>
      </c>
    </row>
    <row r="1045" spans="2:32">
      <c r="B1045" s="10">
        <v>23</v>
      </c>
      <c r="C1045" s="1">
        <f ca="1">养成规划!AE44</f>
        <v>3</v>
      </c>
      <c r="D1045" s="1" t="str">
        <f>IF(养成规划!O44="","",养成规划!O44)</f>
        <v/>
      </c>
      <c r="E1045" s="1" t="str">
        <f ca="1">IFERROR(C1045*OFFSET('107_兵卡等级'!$T$6,MATCH(D1045,'107_兵卡等级'!$O$6:$O$205,0)-1,0),"")</f>
        <v/>
      </c>
      <c r="F1045" s="1" t="str">
        <f ca="1">IFERROR(C1045*OFFSET('107_兵卡等级'!$I$6,MATCH(D1045,'107_兵卡等级'!$O$6:$O$205,0)-1,0),"")</f>
        <v/>
      </c>
      <c r="G1045" s="15">
        <f>IF(养成规划!E123="","",养成规划!E123)</f>
        <v>4</v>
      </c>
      <c r="H1045" s="1">
        <f ca="1">'206_副本挂机'!W163</f>
        <v>19116000</v>
      </c>
      <c r="I1045" s="1">
        <f ca="1">'208_黑市'!X44</f>
        <v>855000</v>
      </c>
      <c r="J1045" s="1">
        <f ca="1">'210_活动'!AG44</f>
        <v>5000000</v>
      </c>
      <c r="K1045" s="1">
        <f ca="1">'211_VIP宝箱'!X44</f>
        <v>552500</v>
      </c>
      <c r="L1045" s="15">
        <f ca="1">'206_副本挂机'!Z163</f>
        <v>11448</v>
      </c>
      <c r="M1045" s="15">
        <f ca="1">'208_黑市'!AA44</f>
        <v>570</v>
      </c>
      <c r="N1045" s="15">
        <f ca="1">'210_活动'!AJ44</f>
        <v>3333.33333333334</v>
      </c>
      <c r="O1045" s="15">
        <f ca="1">'212_VIP商店'!R44</f>
        <v>0</v>
      </c>
      <c r="P1045" s="1" t="str">
        <f ca="1" t="shared" si="370"/>
        <v/>
      </c>
      <c r="Q1045" s="1">
        <f ca="1" t="shared" si="371"/>
        <v>25523500</v>
      </c>
      <c r="R1045" s="30"/>
      <c r="S1045" s="30"/>
      <c r="T1045" s="1" t="str">
        <f ca="1" t="shared" si="372"/>
        <v/>
      </c>
      <c r="U1045" s="1">
        <f ca="1" t="shared" si="373"/>
        <v>15351.3333333333</v>
      </c>
      <c r="V1045" s="30"/>
      <c r="W1045" s="30"/>
      <c r="Y1045" s="44">
        <f ca="1" t="shared" si="374"/>
        <v>1209600</v>
      </c>
      <c r="Z1045" s="44">
        <f ca="1" t="shared" si="375"/>
        <v>60000</v>
      </c>
      <c r="AA1045" s="44">
        <f ca="1" t="shared" si="376"/>
        <v>400000</v>
      </c>
      <c r="AB1045" s="44">
        <f ca="1" t="shared" si="377"/>
        <v>35000</v>
      </c>
      <c r="AC1045" s="45">
        <f ca="1" t="shared" si="378"/>
        <v>720</v>
      </c>
      <c r="AD1045" s="45">
        <f ca="1" t="shared" si="379"/>
        <v>40</v>
      </c>
      <c r="AE1045" s="45">
        <f ca="1" t="shared" si="380"/>
        <v>266.666666666667</v>
      </c>
      <c r="AF1045" s="45">
        <f ca="1" t="shared" si="381"/>
        <v>0</v>
      </c>
    </row>
    <row r="1046" spans="2:32">
      <c r="B1046" s="10">
        <v>24</v>
      </c>
      <c r="C1046" s="1">
        <f ca="1">养成规划!AE45</f>
        <v>3</v>
      </c>
      <c r="D1046" s="1" t="str">
        <f>IF(养成规划!O45="","",养成规划!O45)</f>
        <v/>
      </c>
      <c r="E1046" s="1" t="str">
        <f ca="1">IFERROR(C1046*OFFSET('107_兵卡等级'!$T$6,MATCH(D1046,'107_兵卡等级'!$O$6:$O$205,0)-1,0),"")</f>
        <v/>
      </c>
      <c r="F1046" s="1" t="str">
        <f ca="1">IFERROR(C1046*OFFSET('107_兵卡等级'!$I$6,MATCH(D1046,'107_兵卡等级'!$O$6:$O$205,0)-1,0),"")</f>
        <v/>
      </c>
      <c r="G1046" s="15" t="str">
        <f>IF(养成规划!E124="","",养成规划!E124)</f>
        <v/>
      </c>
      <c r="H1046" s="1">
        <f ca="1">'206_副本挂机'!W164</f>
        <v>20325600</v>
      </c>
      <c r="I1046" s="1">
        <f ca="1">'208_黑市'!X45</f>
        <v>915000</v>
      </c>
      <c r="J1046" s="1">
        <f ca="1">'210_活动'!AG45</f>
        <v>5400000</v>
      </c>
      <c r="K1046" s="1">
        <f ca="1">'211_VIP宝箱'!X45</f>
        <v>587500</v>
      </c>
      <c r="L1046" s="15">
        <f ca="1">'206_副本挂机'!Z164</f>
        <v>12168</v>
      </c>
      <c r="M1046" s="15">
        <f ca="1">'208_黑市'!AA45</f>
        <v>610</v>
      </c>
      <c r="N1046" s="15">
        <f ca="1">'210_活动'!AJ45</f>
        <v>3600</v>
      </c>
      <c r="O1046" s="15">
        <f ca="1">'212_VIP商店'!R45</f>
        <v>0</v>
      </c>
      <c r="P1046" s="1" t="str">
        <f ca="1" t="shared" si="370"/>
        <v/>
      </c>
      <c r="Q1046" s="1">
        <f ca="1" t="shared" si="371"/>
        <v>27228100</v>
      </c>
      <c r="R1046" s="30"/>
      <c r="S1046" s="30"/>
      <c r="T1046" s="1" t="str">
        <f ca="1" t="shared" si="372"/>
        <v/>
      </c>
      <c r="U1046" s="1">
        <f ca="1" t="shared" si="373"/>
        <v>16378</v>
      </c>
      <c r="V1046" s="30"/>
      <c r="W1046" s="30"/>
      <c r="Y1046" s="44">
        <f ca="1" t="shared" si="374"/>
        <v>1209600</v>
      </c>
      <c r="Z1046" s="44">
        <f ca="1" t="shared" si="375"/>
        <v>60000</v>
      </c>
      <c r="AA1046" s="44">
        <f ca="1" t="shared" si="376"/>
        <v>400000</v>
      </c>
      <c r="AB1046" s="44">
        <f ca="1" t="shared" si="377"/>
        <v>35000</v>
      </c>
      <c r="AC1046" s="45">
        <f ca="1" t="shared" si="378"/>
        <v>720</v>
      </c>
      <c r="AD1046" s="45">
        <f ca="1" t="shared" si="379"/>
        <v>40</v>
      </c>
      <c r="AE1046" s="45">
        <f ca="1" t="shared" si="380"/>
        <v>266.666666666667</v>
      </c>
      <c r="AF1046" s="45">
        <f ca="1" t="shared" si="381"/>
        <v>0</v>
      </c>
    </row>
    <row r="1047" spans="2:32">
      <c r="B1047" s="10">
        <v>25</v>
      </c>
      <c r="C1047" s="1">
        <f ca="1">养成规划!AE46</f>
        <v>3</v>
      </c>
      <c r="D1047" s="1" t="str">
        <f>IF(养成规划!O46="","",养成规划!O46)</f>
        <v/>
      </c>
      <c r="E1047" s="1" t="str">
        <f ca="1">IFERROR(C1047*OFFSET('107_兵卡等级'!$T$6,MATCH(D1047,'107_兵卡等级'!$O$6:$O$205,0)-1,0),"")</f>
        <v/>
      </c>
      <c r="F1047" s="1" t="str">
        <f ca="1">IFERROR(C1047*OFFSET('107_兵卡等级'!$I$6,MATCH(D1047,'107_兵卡等级'!$O$6:$O$205,0)-1,0),"")</f>
        <v/>
      </c>
      <c r="G1047" s="15" t="str">
        <f>IF(养成规划!E125="","",养成规划!E125)</f>
        <v/>
      </c>
      <c r="H1047" s="1">
        <f ca="1">'206_副本挂机'!W165</f>
        <v>21561120</v>
      </c>
      <c r="I1047" s="1">
        <f ca="1">'208_黑市'!X46</f>
        <v>975000</v>
      </c>
      <c r="J1047" s="1">
        <f ca="1">'210_活动'!AG46</f>
        <v>5800000</v>
      </c>
      <c r="K1047" s="1">
        <f ca="1">'211_VIP宝箱'!X46</f>
        <v>622500</v>
      </c>
      <c r="L1047" s="15">
        <f ca="1">'206_副本挂机'!Z165</f>
        <v>12888</v>
      </c>
      <c r="M1047" s="15">
        <f ca="1">'208_黑市'!AA46</f>
        <v>650</v>
      </c>
      <c r="N1047" s="15">
        <f ca="1">'210_活动'!AJ46</f>
        <v>3866.66666666667</v>
      </c>
      <c r="O1047" s="15">
        <f ca="1">'212_VIP商店'!R46</f>
        <v>0</v>
      </c>
      <c r="P1047" s="1" t="str">
        <f ca="1" t="shared" si="370"/>
        <v/>
      </c>
      <c r="Q1047" s="1">
        <f ca="1" t="shared" si="371"/>
        <v>28958620</v>
      </c>
      <c r="R1047" s="30"/>
      <c r="S1047" s="30"/>
      <c r="T1047" s="1" t="str">
        <f ca="1" t="shared" si="372"/>
        <v/>
      </c>
      <c r="U1047" s="1">
        <f ca="1" t="shared" si="373"/>
        <v>17404.6666666667</v>
      </c>
      <c r="V1047" s="30"/>
      <c r="W1047" s="30"/>
      <c r="Y1047" s="44">
        <f ca="1" t="shared" si="374"/>
        <v>1235520</v>
      </c>
      <c r="Z1047" s="44">
        <f ca="1" t="shared" si="375"/>
        <v>60000</v>
      </c>
      <c r="AA1047" s="44">
        <f ca="1" t="shared" si="376"/>
        <v>400000</v>
      </c>
      <c r="AB1047" s="44">
        <f ca="1" t="shared" si="377"/>
        <v>35000</v>
      </c>
      <c r="AC1047" s="45">
        <f ca="1" t="shared" si="378"/>
        <v>720</v>
      </c>
      <c r="AD1047" s="45">
        <f ca="1" t="shared" si="379"/>
        <v>40</v>
      </c>
      <c r="AE1047" s="45">
        <f ca="1" t="shared" si="380"/>
        <v>266.666666666667</v>
      </c>
      <c r="AF1047" s="45">
        <f ca="1" t="shared" si="381"/>
        <v>0</v>
      </c>
    </row>
    <row r="1048" spans="2:32">
      <c r="B1048" s="10">
        <v>26</v>
      </c>
      <c r="C1048" s="1">
        <f ca="1">养成规划!AE47</f>
        <v>3</v>
      </c>
      <c r="D1048" s="1" t="str">
        <f>IF(养成规划!O47="","",养成规划!O47)</f>
        <v/>
      </c>
      <c r="E1048" s="1" t="str">
        <f ca="1">IFERROR(C1048*OFFSET('107_兵卡等级'!$T$6,MATCH(D1048,'107_兵卡等级'!$O$6:$O$205,0)-1,0),"")</f>
        <v/>
      </c>
      <c r="F1048" s="1" t="str">
        <f ca="1">IFERROR(C1048*OFFSET('107_兵卡等级'!$I$6,MATCH(D1048,'107_兵卡等级'!$O$6:$O$205,0)-1,0),"")</f>
        <v/>
      </c>
      <c r="G1048" s="15" t="str">
        <f>IF(养成规划!E126="","",养成规划!E126)</f>
        <v/>
      </c>
      <c r="H1048" s="1">
        <f ca="1">'206_副本挂机'!W166</f>
        <v>22822560</v>
      </c>
      <c r="I1048" s="1">
        <f ca="1">'208_黑市'!X47</f>
        <v>1035000</v>
      </c>
      <c r="J1048" s="1">
        <f ca="1">'210_活动'!AG47</f>
        <v>6200000</v>
      </c>
      <c r="K1048" s="1">
        <f ca="1">'211_VIP宝箱'!X47</f>
        <v>657500</v>
      </c>
      <c r="L1048" s="15">
        <f ca="1">'206_副本挂机'!Z166</f>
        <v>13656</v>
      </c>
      <c r="M1048" s="15">
        <f ca="1">'208_黑市'!AA47</f>
        <v>690</v>
      </c>
      <c r="N1048" s="15">
        <f ca="1">'210_活动'!AJ47</f>
        <v>4133.33333333334</v>
      </c>
      <c r="O1048" s="15">
        <f ca="1">'212_VIP商店'!R47</f>
        <v>0</v>
      </c>
      <c r="P1048" s="1" t="str">
        <f ca="1" t="shared" si="370"/>
        <v/>
      </c>
      <c r="Q1048" s="1">
        <f ca="1" t="shared" si="371"/>
        <v>30715060</v>
      </c>
      <c r="R1048" s="30"/>
      <c r="S1048" s="30"/>
      <c r="T1048" s="1" t="str">
        <f ca="1" t="shared" si="372"/>
        <v/>
      </c>
      <c r="U1048" s="1">
        <f ca="1" t="shared" si="373"/>
        <v>18479.3333333333</v>
      </c>
      <c r="V1048" s="30"/>
      <c r="W1048" s="30"/>
      <c r="Y1048" s="44">
        <f ca="1" t="shared" si="374"/>
        <v>1261440</v>
      </c>
      <c r="Z1048" s="44">
        <f ca="1" t="shared" si="375"/>
        <v>60000</v>
      </c>
      <c r="AA1048" s="44">
        <f ca="1" t="shared" si="376"/>
        <v>400000</v>
      </c>
      <c r="AB1048" s="44">
        <f ca="1" t="shared" si="377"/>
        <v>35000</v>
      </c>
      <c r="AC1048" s="45">
        <f ca="1" t="shared" si="378"/>
        <v>768</v>
      </c>
      <c r="AD1048" s="45">
        <f ca="1" t="shared" si="379"/>
        <v>40</v>
      </c>
      <c r="AE1048" s="45">
        <f ca="1" t="shared" si="380"/>
        <v>266.666666666667</v>
      </c>
      <c r="AF1048" s="45">
        <f ca="1" t="shared" si="381"/>
        <v>0</v>
      </c>
    </row>
    <row r="1049" spans="2:32">
      <c r="B1049" s="10">
        <v>27</v>
      </c>
      <c r="C1049" s="1">
        <f ca="1">养成规划!AE48</f>
        <v>3</v>
      </c>
      <c r="D1049" s="1" t="str">
        <f>IF(养成规划!O48="","",养成规划!O48)</f>
        <v/>
      </c>
      <c r="E1049" s="1" t="str">
        <f ca="1">IFERROR(C1049*OFFSET('107_兵卡等级'!$T$6,MATCH(D1049,'107_兵卡等级'!$O$6:$O$205,0)-1,0),"")</f>
        <v/>
      </c>
      <c r="F1049" s="1" t="str">
        <f ca="1">IFERROR(C1049*OFFSET('107_兵卡等级'!$I$6,MATCH(D1049,'107_兵卡等级'!$O$6:$O$205,0)-1,0),"")</f>
        <v/>
      </c>
      <c r="G1049" s="15" t="str">
        <f>IF(养成规划!E127="","",养成规划!E127)</f>
        <v/>
      </c>
      <c r="H1049" s="1">
        <f ca="1">'206_副本挂机'!W167</f>
        <v>24109920</v>
      </c>
      <c r="I1049" s="1">
        <f ca="1">'208_黑市'!X48</f>
        <v>1095000</v>
      </c>
      <c r="J1049" s="1">
        <f ca="1">'210_活动'!AG48</f>
        <v>6600000</v>
      </c>
      <c r="K1049" s="1">
        <f ca="1">'211_VIP宝箱'!X48</f>
        <v>692500</v>
      </c>
      <c r="L1049" s="15">
        <f ca="1">'206_副本挂机'!Z167</f>
        <v>14424</v>
      </c>
      <c r="M1049" s="15">
        <f ca="1">'208_黑市'!AA48</f>
        <v>730</v>
      </c>
      <c r="N1049" s="15">
        <f ca="1">'210_活动'!AJ48</f>
        <v>4400</v>
      </c>
      <c r="O1049" s="15">
        <f ca="1">'212_VIP商店'!R48</f>
        <v>0</v>
      </c>
      <c r="P1049" s="1" t="str">
        <f ca="1" t="shared" si="370"/>
        <v/>
      </c>
      <c r="Q1049" s="1">
        <f ca="1" t="shared" si="371"/>
        <v>32497420</v>
      </c>
      <c r="R1049" s="30"/>
      <c r="S1049" s="30"/>
      <c r="T1049" s="1" t="str">
        <f ca="1" t="shared" si="372"/>
        <v/>
      </c>
      <c r="U1049" s="1">
        <f ca="1" t="shared" si="373"/>
        <v>19554</v>
      </c>
      <c r="V1049" s="30"/>
      <c r="W1049" s="30"/>
      <c r="Y1049" s="44">
        <f ca="1" t="shared" si="374"/>
        <v>1287360</v>
      </c>
      <c r="Z1049" s="44">
        <f ca="1" t="shared" si="375"/>
        <v>60000</v>
      </c>
      <c r="AA1049" s="44">
        <f ca="1" t="shared" si="376"/>
        <v>400000</v>
      </c>
      <c r="AB1049" s="44">
        <f ca="1" t="shared" si="377"/>
        <v>35000</v>
      </c>
      <c r="AC1049" s="45">
        <f ca="1" t="shared" si="378"/>
        <v>768</v>
      </c>
      <c r="AD1049" s="45">
        <f ca="1" t="shared" si="379"/>
        <v>40</v>
      </c>
      <c r="AE1049" s="45">
        <f ca="1" t="shared" si="380"/>
        <v>266.666666666667</v>
      </c>
      <c r="AF1049" s="45">
        <f ca="1" t="shared" si="381"/>
        <v>0</v>
      </c>
    </row>
    <row r="1050" spans="2:32">
      <c r="B1050" s="10">
        <v>28</v>
      </c>
      <c r="C1050" s="1">
        <f ca="1">养成规划!AE49</f>
        <v>3</v>
      </c>
      <c r="D1050" s="1" t="str">
        <f>IF(养成规划!O49="","",养成规划!O49)</f>
        <v/>
      </c>
      <c r="E1050" s="1" t="str">
        <f ca="1">IFERROR(C1050*OFFSET('107_兵卡等级'!$T$6,MATCH(D1050,'107_兵卡等级'!$O$6:$O$205,0)-1,0),"")</f>
        <v/>
      </c>
      <c r="F1050" s="1" t="str">
        <f ca="1">IFERROR(C1050*OFFSET('107_兵卡等级'!$I$6,MATCH(D1050,'107_兵卡等级'!$O$6:$O$205,0)-1,0),"")</f>
        <v/>
      </c>
      <c r="G1050" s="15" t="str">
        <f>IF(养成规划!E128="","",养成规划!E128)</f>
        <v/>
      </c>
      <c r="H1050" s="1">
        <f ca="1">'206_副本挂机'!W168</f>
        <v>25423200</v>
      </c>
      <c r="I1050" s="1">
        <f ca="1">'208_黑市'!X49</f>
        <v>1155000</v>
      </c>
      <c r="J1050" s="1">
        <f ca="1">'210_活动'!AG49</f>
        <v>7000000</v>
      </c>
      <c r="K1050" s="1">
        <f ca="1">'211_VIP宝箱'!X49</f>
        <v>727500</v>
      </c>
      <c r="L1050" s="15">
        <f ca="1">'206_副本挂机'!Z168</f>
        <v>15192</v>
      </c>
      <c r="M1050" s="15">
        <f ca="1">'208_黑市'!AA49</f>
        <v>770</v>
      </c>
      <c r="N1050" s="15">
        <f ca="1">'210_活动'!AJ49</f>
        <v>4666.66666666667</v>
      </c>
      <c r="O1050" s="15">
        <f ca="1">'212_VIP商店'!R49</f>
        <v>0</v>
      </c>
      <c r="P1050" s="1" t="str">
        <f ca="1" t="shared" si="370"/>
        <v/>
      </c>
      <c r="Q1050" s="1">
        <f ca="1" t="shared" si="371"/>
        <v>34305700</v>
      </c>
      <c r="R1050" s="30"/>
      <c r="S1050" s="30"/>
      <c r="T1050" s="1" t="str">
        <f ca="1" t="shared" si="372"/>
        <v/>
      </c>
      <c r="U1050" s="1">
        <f ca="1" t="shared" si="373"/>
        <v>20628.6666666667</v>
      </c>
      <c r="V1050" s="30"/>
      <c r="W1050" s="30"/>
      <c r="Y1050" s="44">
        <f ca="1" t="shared" si="374"/>
        <v>1313280</v>
      </c>
      <c r="Z1050" s="44">
        <f ca="1" t="shared" si="375"/>
        <v>60000</v>
      </c>
      <c r="AA1050" s="44">
        <f ca="1" t="shared" si="376"/>
        <v>400000</v>
      </c>
      <c r="AB1050" s="44">
        <f ca="1" t="shared" si="377"/>
        <v>35000</v>
      </c>
      <c r="AC1050" s="45">
        <f ca="1" t="shared" si="378"/>
        <v>768</v>
      </c>
      <c r="AD1050" s="45">
        <f ca="1" t="shared" si="379"/>
        <v>40</v>
      </c>
      <c r="AE1050" s="45">
        <f ca="1" t="shared" si="380"/>
        <v>266.666666666667</v>
      </c>
      <c r="AF1050" s="45">
        <f ca="1" t="shared" si="381"/>
        <v>0</v>
      </c>
    </row>
    <row r="1051" spans="2:32">
      <c r="B1051" s="10">
        <v>29</v>
      </c>
      <c r="C1051" s="1">
        <f ca="1">养成规划!AE50</f>
        <v>3</v>
      </c>
      <c r="D1051" s="1" t="str">
        <f>IF(养成规划!O50="","",养成规划!O50)</f>
        <v/>
      </c>
      <c r="E1051" s="1" t="str">
        <f ca="1">IFERROR(C1051*OFFSET('107_兵卡等级'!$T$6,MATCH(D1051,'107_兵卡等级'!$O$6:$O$205,0)-1,0),"")</f>
        <v/>
      </c>
      <c r="F1051" s="1" t="str">
        <f ca="1">IFERROR(C1051*OFFSET('107_兵卡等级'!$I$6,MATCH(D1051,'107_兵卡等级'!$O$6:$O$205,0)-1,0),"")</f>
        <v/>
      </c>
      <c r="G1051" s="15" t="str">
        <f>IF(养成规划!E129="","",养成规划!E129)</f>
        <v/>
      </c>
      <c r="H1051" s="1">
        <f ca="1">'206_副本挂机'!W169</f>
        <v>26762400</v>
      </c>
      <c r="I1051" s="1">
        <f ca="1">'208_黑市'!X50</f>
        <v>1215000</v>
      </c>
      <c r="J1051" s="1">
        <f ca="1">'210_活动'!AG50</f>
        <v>7400000</v>
      </c>
      <c r="K1051" s="1">
        <f ca="1">'211_VIP宝箱'!X50</f>
        <v>762500</v>
      </c>
      <c r="L1051" s="15">
        <f ca="1">'206_副本挂机'!Z169</f>
        <v>16008</v>
      </c>
      <c r="M1051" s="15">
        <f ca="1">'208_黑市'!AA50</f>
        <v>810</v>
      </c>
      <c r="N1051" s="15">
        <f ca="1">'210_活动'!AJ50</f>
        <v>4933.33333333334</v>
      </c>
      <c r="O1051" s="15">
        <f ca="1">'212_VIP商店'!R50</f>
        <v>0</v>
      </c>
      <c r="P1051" s="1" t="str">
        <f ca="1" t="shared" si="370"/>
        <v/>
      </c>
      <c r="Q1051" s="1">
        <f ca="1" t="shared" si="371"/>
        <v>36139900</v>
      </c>
      <c r="R1051" s="30"/>
      <c r="S1051" s="30"/>
      <c r="T1051" s="1" t="str">
        <f ca="1" t="shared" si="372"/>
        <v/>
      </c>
      <c r="U1051" s="1">
        <f ca="1" t="shared" si="373"/>
        <v>21751.3333333333</v>
      </c>
      <c r="V1051" s="30"/>
      <c r="W1051" s="30"/>
      <c r="Y1051" s="44">
        <f ca="1" t="shared" si="374"/>
        <v>1339200</v>
      </c>
      <c r="Z1051" s="44">
        <f ca="1" t="shared" si="375"/>
        <v>60000</v>
      </c>
      <c r="AA1051" s="44">
        <f ca="1" t="shared" si="376"/>
        <v>400000</v>
      </c>
      <c r="AB1051" s="44">
        <f ca="1" t="shared" si="377"/>
        <v>35000</v>
      </c>
      <c r="AC1051" s="45">
        <f ca="1" t="shared" si="378"/>
        <v>816</v>
      </c>
      <c r="AD1051" s="45">
        <f ca="1" t="shared" si="379"/>
        <v>40</v>
      </c>
      <c r="AE1051" s="45">
        <f ca="1" t="shared" si="380"/>
        <v>266.666666666667</v>
      </c>
      <c r="AF1051" s="45">
        <f ca="1" t="shared" si="381"/>
        <v>0</v>
      </c>
    </row>
    <row r="1052" spans="2:32">
      <c r="B1052" s="10">
        <v>30</v>
      </c>
      <c r="C1052" s="1">
        <f ca="1">养成规划!AE51</f>
        <v>3</v>
      </c>
      <c r="D1052" s="1">
        <f>IF(养成规划!O51="","",养成规划!O51)</f>
        <v>70</v>
      </c>
      <c r="E1052" s="1">
        <f ca="1">IFERROR(C1052*OFFSET('107_兵卡等级'!$T$6,MATCH(D1052,'107_兵卡等级'!$O$6:$O$205,0)-1,0),"")</f>
        <v>54557700</v>
      </c>
      <c r="F1052" s="1">
        <f ca="1">IFERROR(C1052*OFFSET('107_兵卡等级'!$I$6,MATCH(D1052,'107_兵卡等级'!$O$6:$O$205,0)-1,0),"")</f>
        <v>46440</v>
      </c>
      <c r="G1052" s="15" t="str">
        <f>IF(养成规划!E130="","",养成规划!E130)</f>
        <v/>
      </c>
      <c r="H1052" s="1">
        <f ca="1">'206_副本挂机'!W170</f>
        <v>28101600</v>
      </c>
      <c r="I1052" s="1">
        <f ca="1">'208_黑市'!X51</f>
        <v>1275000</v>
      </c>
      <c r="J1052" s="1">
        <f ca="1">'210_活动'!AG51</f>
        <v>7800000</v>
      </c>
      <c r="K1052" s="1">
        <f ca="1">'211_VIP宝箱'!X51</f>
        <v>802500</v>
      </c>
      <c r="L1052" s="15">
        <f ca="1">'206_副本挂机'!Z170</f>
        <v>16824</v>
      </c>
      <c r="M1052" s="15">
        <f ca="1">'208_黑市'!AA51</f>
        <v>850</v>
      </c>
      <c r="N1052" s="15">
        <f ca="1">'210_活动'!AJ51</f>
        <v>5200</v>
      </c>
      <c r="O1052" s="15">
        <f ca="1">'212_VIP商店'!R51</f>
        <v>71.4285714285714</v>
      </c>
      <c r="P1052" s="1">
        <f ca="1" t="shared" si="370"/>
        <v>54557700</v>
      </c>
      <c r="Q1052" s="1">
        <f ca="1" t="shared" si="371"/>
        <v>37979100</v>
      </c>
      <c r="R1052" s="30"/>
      <c r="S1052" s="30"/>
      <c r="T1052" s="1">
        <f ca="1" t="shared" si="372"/>
        <v>46440</v>
      </c>
      <c r="U1052" s="1">
        <f ca="1" t="shared" si="373"/>
        <v>22945.4285714286</v>
      </c>
      <c r="V1052" s="30"/>
      <c r="W1052" s="30"/>
      <c r="Y1052" s="44">
        <f ca="1" t="shared" si="374"/>
        <v>1339200</v>
      </c>
      <c r="Z1052" s="44">
        <f ca="1" t="shared" si="375"/>
        <v>60000</v>
      </c>
      <c r="AA1052" s="44">
        <f ca="1" t="shared" si="376"/>
        <v>400000</v>
      </c>
      <c r="AB1052" s="44">
        <f ca="1" t="shared" si="377"/>
        <v>40000</v>
      </c>
      <c r="AC1052" s="45">
        <f ca="1" t="shared" si="378"/>
        <v>816</v>
      </c>
      <c r="AD1052" s="45">
        <f ca="1" t="shared" si="379"/>
        <v>40</v>
      </c>
      <c r="AE1052" s="45">
        <f ca="1" t="shared" si="380"/>
        <v>266.666666666667</v>
      </c>
      <c r="AF1052" s="45">
        <f ca="1" t="shared" si="381"/>
        <v>71.4285714285714</v>
      </c>
    </row>
    <row r="1053" spans="2:32">
      <c r="B1053" s="11">
        <v>35</v>
      </c>
      <c r="C1053" s="1">
        <f ca="1">养成规划!AE52</f>
        <v>3</v>
      </c>
      <c r="D1053" s="1" t="str">
        <f>IF(养成规划!O52="","",养成规划!O52)</f>
        <v/>
      </c>
      <c r="E1053" s="1" t="str">
        <f ca="1">IFERROR(C1053*OFFSET('107_兵卡等级'!$T$6,MATCH(D1053,'107_兵卡等级'!$O$6:$O$205,0)-1,0),"")</f>
        <v/>
      </c>
      <c r="F1053" s="1" t="str">
        <f ca="1">IFERROR(C1053*OFFSET('107_兵卡等级'!$I$6,MATCH(D1053,'107_兵卡等级'!$O$6:$O$205,0)-1,0),"")</f>
        <v/>
      </c>
      <c r="G1053" s="15">
        <f>IF(养成规划!E131="","",养成规划!E131)</f>
        <v>5</v>
      </c>
      <c r="H1053" s="1">
        <f ca="1">'206_副本挂机'!W171</f>
        <v>35402400</v>
      </c>
      <c r="I1053" s="1">
        <f ca="1">'208_黑市'!X52</f>
        <v>1725000</v>
      </c>
      <c r="J1053" s="1">
        <f ca="1">'210_活动'!AG52</f>
        <v>10800000</v>
      </c>
      <c r="K1053" s="1">
        <f ca="1">'211_VIP宝箱'!X52</f>
        <v>1002500</v>
      </c>
      <c r="L1053" s="15">
        <f ca="1">'206_副本挂机'!Z171</f>
        <v>21144</v>
      </c>
      <c r="M1053" s="15">
        <f ca="1">'208_黑市'!AA52</f>
        <v>1150</v>
      </c>
      <c r="N1053" s="15">
        <f ca="1">'210_活动'!AJ52</f>
        <v>7200</v>
      </c>
      <c r="O1053" s="15">
        <f ca="1">'212_VIP商店'!R52</f>
        <v>428.571428571428</v>
      </c>
      <c r="P1053" s="1" t="str">
        <f ca="1" t="shared" si="370"/>
        <v/>
      </c>
      <c r="Q1053" s="1">
        <f ca="1" t="shared" si="371"/>
        <v>48929900</v>
      </c>
      <c r="R1053" s="30"/>
      <c r="S1053" s="30"/>
      <c r="T1053" s="1" t="str">
        <f ca="1" t="shared" si="372"/>
        <v/>
      </c>
      <c r="U1053" s="1">
        <f ca="1" t="shared" si="373"/>
        <v>29922.5714285714</v>
      </c>
      <c r="V1053" s="30"/>
      <c r="W1053" s="30"/>
      <c r="Y1053" s="44">
        <f ca="1" t="shared" si="374"/>
        <v>1460160</v>
      </c>
      <c r="Z1053" s="44">
        <f ca="1" t="shared" si="375"/>
        <v>90000</v>
      </c>
      <c r="AA1053" s="44">
        <f ca="1" t="shared" si="376"/>
        <v>600000</v>
      </c>
      <c r="AB1053" s="44">
        <f ca="1" t="shared" si="377"/>
        <v>40000</v>
      </c>
      <c r="AC1053" s="45">
        <f ca="1" t="shared" si="378"/>
        <v>864</v>
      </c>
      <c r="AD1053" s="45">
        <f ca="1" t="shared" si="379"/>
        <v>60</v>
      </c>
      <c r="AE1053" s="45">
        <f ca="1" t="shared" si="380"/>
        <v>400</v>
      </c>
      <c r="AF1053" s="45">
        <f ca="1" t="shared" si="381"/>
        <v>71.4285714285714</v>
      </c>
    </row>
    <row r="1054" spans="2:32">
      <c r="B1054" s="11">
        <v>40</v>
      </c>
      <c r="C1054" s="1">
        <f ca="1">养成规划!AE53</f>
        <v>3</v>
      </c>
      <c r="D1054" s="1" t="str">
        <f>IF(养成规划!O53="","",养成规划!O53)</f>
        <v/>
      </c>
      <c r="E1054" s="1" t="str">
        <f ca="1">IFERROR(C1054*OFFSET('107_兵卡等级'!$T$6,MATCH(D1054,'107_兵卡等级'!$O$6:$O$205,0)-1,0),"")</f>
        <v/>
      </c>
      <c r="F1054" s="1" t="str">
        <f ca="1">IFERROR(C1054*OFFSET('107_兵卡等级'!$I$6,MATCH(D1054,'107_兵卡等级'!$O$6:$O$205,0)-1,0),"")</f>
        <v/>
      </c>
      <c r="G1054" s="15" t="str">
        <f>IF(养成规划!E132="","",养成规划!E132)</f>
        <v/>
      </c>
      <c r="H1054" s="1">
        <f ca="1">'206_副本挂机'!W172</f>
        <v>43092000</v>
      </c>
      <c r="I1054" s="1">
        <f ca="1">'208_黑市'!X53</f>
        <v>2175000</v>
      </c>
      <c r="J1054" s="1">
        <f ca="1">'210_活动'!AG53</f>
        <v>13800000</v>
      </c>
      <c r="K1054" s="1">
        <f ca="1">'211_VIP宝箱'!X53</f>
        <v>1202500</v>
      </c>
      <c r="L1054" s="15">
        <f ca="1">'206_副本挂机'!Z172</f>
        <v>25704</v>
      </c>
      <c r="M1054" s="15">
        <f ca="1">'208_黑市'!AA53</f>
        <v>1450</v>
      </c>
      <c r="N1054" s="15">
        <f ca="1">'210_活动'!AJ53</f>
        <v>9200.00000000001</v>
      </c>
      <c r="O1054" s="15">
        <f ca="1">'212_VIP商店'!R53</f>
        <v>785.714285714285</v>
      </c>
      <c r="P1054" s="1" t="str">
        <f ca="1" t="shared" si="370"/>
        <v/>
      </c>
      <c r="Q1054" s="1">
        <f ca="1" t="shared" si="371"/>
        <v>60269500</v>
      </c>
      <c r="R1054" s="30"/>
      <c r="S1054" s="30"/>
      <c r="T1054" s="1" t="str">
        <f ca="1" t="shared" si="372"/>
        <v/>
      </c>
      <c r="U1054" s="1">
        <f ca="1" t="shared" si="373"/>
        <v>37139.7142857143</v>
      </c>
      <c r="V1054" s="30"/>
      <c r="W1054" s="30"/>
      <c r="Y1054" s="44">
        <f ca="1" t="shared" si="374"/>
        <v>1537920</v>
      </c>
      <c r="Z1054" s="44">
        <f ca="1" t="shared" si="375"/>
        <v>90000</v>
      </c>
      <c r="AA1054" s="44">
        <f ca="1" t="shared" si="376"/>
        <v>600000</v>
      </c>
      <c r="AB1054" s="44">
        <f ca="1" t="shared" si="377"/>
        <v>40000</v>
      </c>
      <c r="AC1054" s="45">
        <f ca="1" t="shared" si="378"/>
        <v>912</v>
      </c>
      <c r="AD1054" s="45">
        <f ca="1" t="shared" si="379"/>
        <v>60</v>
      </c>
      <c r="AE1054" s="45">
        <f ca="1" t="shared" si="380"/>
        <v>400</v>
      </c>
      <c r="AF1054" s="45">
        <f ca="1" t="shared" si="381"/>
        <v>71.4285714285714</v>
      </c>
    </row>
    <row r="1055" spans="2:32">
      <c r="B1055" s="11">
        <v>45</v>
      </c>
      <c r="C1055" s="1">
        <f ca="1">养成规划!AE54</f>
        <v>3</v>
      </c>
      <c r="D1055" s="1">
        <f>IF(养成规划!O54="","",养成规划!O54)</f>
        <v>80</v>
      </c>
      <c r="E1055" s="1">
        <f ca="1">IFERROR(C1055*OFFSET('107_兵卡等级'!$T$6,MATCH(D1055,'107_兵卡等级'!$O$6:$O$205,0)-1,0),"")</f>
        <v>109637700</v>
      </c>
      <c r="F1055" s="1">
        <f ca="1">IFERROR(C1055*OFFSET('107_兵卡等级'!$I$6,MATCH(D1055,'107_兵卡等级'!$O$6:$O$205,0)-1,0),"")</f>
        <v>89640</v>
      </c>
      <c r="G1055" s="15" t="str">
        <f>IF(养成规划!E133="","",养成规划!E133)</f>
        <v/>
      </c>
      <c r="H1055" s="1">
        <f ca="1">'206_副本挂机'!W173</f>
        <v>51127200</v>
      </c>
      <c r="I1055" s="1">
        <f ca="1">'208_黑市'!X54</f>
        <v>2625000</v>
      </c>
      <c r="J1055" s="1">
        <f ca="1">'210_活动'!AG54</f>
        <v>16800000</v>
      </c>
      <c r="K1055" s="1">
        <f ca="1">'211_VIP宝箱'!X54</f>
        <v>1402500</v>
      </c>
      <c r="L1055" s="15">
        <f ca="1">'206_副本挂机'!Z173</f>
        <v>30504</v>
      </c>
      <c r="M1055" s="15">
        <f ca="1">'208_黑市'!AA54</f>
        <v>1750</v>
      </c>
      <c r="N1055" s="15">
        <f ca="1">'210_活动'!AJ54</f>
        <v>11200</v>
      </c>
      <c r="O1055" s="15">
        <f ca="1">'212_VIP商店'!R54</f>
        <v>1142.85714285714</v>
      </c>
      <c r="P1055" s="1">
        <f ca="1" t="shared" si="370"/>
        <v>109637700</v>
      </c>
      <c r="Q1055" s="1">
        <f ca="1" t="shared" si="371"/>
        <v>71954700</v>
      </c>
      <c r="R1055" s="30"/>
      <c r="S1055" s="30"/>
      <c r="T1055" s="1">
        <f ca="1" t="shared" si="372"/>
        <v>89640</v>
      </c>
      <c r="U1055" s="1">
        <f ca="1" t="shared" si="373"/>
        <v>44596.8571428572</v>
      </c>
      <c r="V1055" s="30"/>
      <c r="W1055" s="30"/>
      <c r="Y1055" s="44">
        <f ca="1" t="shared" si="374"/>
        <v>1607040</v>
      </c>
      <c r="Z1055" s="44">
        <f ca="1" t="shared" si="375"/>
        <v>90000</v>
      </c>
      <c r="AA1055" s="44">
        <f ca="1" t="shared" si="376"/>
        <v>600000</v>
      </c>
      <c r="AB1055" s="44">
        <f ca="1" t="shared" si="377"/>
        <v>40000</v>
      </c>
      <c r="AC1055" s="45">
        <f ca="1" t="shared" si="378"/>
        <v>960</v>
      </c>
      <c r="AD1055" s="45">
        <f ca="1" t="shared" si="379"/>
        <v>60</v>
      </c>
      <c r="AE1055" s="45">
        <f ca="1" t="shared" si="380"/>
        <v>400</v>
      </c>
      <c r="AF1055" s="45">
        <f ca="1" t="shared" si="381"/>
        <v>71.4285714285714</v>
      </c>
    </row>
    <row r="1056" spans="2:32">
      <c r="B1056" s="11">
        <v>50</v>
      </c>
      <c r="C1056" s="1">
        <f ca="1">养成规划!AE55</f>
        <v>3</v>
      </c>
      <c r="D1056" s="1" t="str">
        <f>IF(养成规划!O55="","",养成规划!O55)</f>
        <v/>
      </c>
      <c r="E1056" s="1" t="str">
        <f ca="1">IFERROR(C1056*OFFSET('107_兵卡等级'!$T$6,MATCH(D1056,'107_兵卡等级'!$O$6:$O$205,0)-1,0),"")</f>
        <v/>
      </c>
      <c r="F1056" s="1" t="str">
        <f ca="1">IFERROR(C1056*OFFSET('107_兵卡等级'!$I$6,MATCH(D1056,'107_兵卡等级'!$O$6:$O$205,0)-1,0),"")</f>
        <v/>
      </c>
      <c r="G1056" s="15">
        <f>IF(养成规划!E134="","",养成规划!E134)</f>
        <v>6</v>
      </c>
      <c r="H1056" s="1">
        <f ca="1">'206_副本挂机'!W174</f>
        <v>59680800</v>
      </c>
      <c r="I1056" s="1">
        <f ca="1">'208_黑市'!X55</f>
        <v>3075000</v>
      </c>
      <c r="J1056" s="1">
        <f ca="1">'210_活动'!AG55</f>
        <v>19800000</v>
      </c>
      <c r="K1056" s="1">
        <f ca="1">'211_VIP宝箱'!X55</f>
        <v>1602500</v>
      </c>
      <c r="L1056" s="15">
        <f ca="1">'206_副本挂机'!Z174</f>
        <v>35544</v>
      </c>
      <c r="M1056" s="15">
        <f ca="1">'208_黑市'!AA55</f>
        <v>2050</v>
      </c>
      <c r="N1056" s="15">
        <f ca="1">'210_活动'!AJ55</f>
        <v>13200</v>
      </c>
      <c r="O1056" s="15">
        <f ca="1">'212_VIP商店'!R55</f>
        <v>1500</v>
      </c>
      <c r="P1056" s="1" t="str">
        <f ca="1" t="shared" si="370"/>
        <v/>
      </c>
      <c r="Q1056" s="1">
        <f ca="1" t="shared" si="371"/>
        <v>84158300</v>
      </c>
      <c r="R1056" s="30"/>
      <c r="S1056" s="30"/>
      <c r="T1056" s="1" t="str">
        <f ca="1" t="shared" si="372"/>
        <v/>
      </c>
      <c r="U1056" s="1">
        <f ca="1" t="shared" si="373"/>
        <v>52294</v>
      </c>
      <c r="V1056" s="30"/>
      <c r="W1056" s="30"/>
      <c r="Y1056" s="44">
        <f ca="1" t="shared" si="374"/>
        <v>1710720</v>
      </c>
      <c r="Z1056" s="44">
        <f ca="1" t="shared" si="375"/>
        <v>90000</v>
      </c>
      <c r="AA1056" s="44">
        <f ca="1" t="shared" si="376"/>
        <v>600000</v>
      </c>
      <c r="AB1056" s="44">
        <f ca="1" t="shared" si="377"/>
        <v>40000</v>
      </c>
      <c r="AC1056" s="45">
        <f ca="1" t="shared" si="378"/>
        <v>1008</v>
      </c>
      <c r="AD1056" s="45">
        <f ca="1" t="shared" si="379"/>
        <v>60</v>
      </c>
      <c r="AE1056" s="45">
        <f ca="1" t="shared" si="380"/>
        <v>400</v>
      </c>
      <c r="AF1056" s="45">
        <f ca="1" t="shared" si="381"/>
        <v>71.4285714285714</v>
      </c>
    </row>
    <row r="1057" spans="2:32">
      <c r="B1057" s="11">
        <v>55</v>
      </c>
      <c r="C1057" s="1">
        <f ca="1">养成规划!AE56</f>
        <v>3</v>
      </c>
      <c r="D1057" s="1" t="str">
        <f>IF(养成规划!O56="","",养成规划!O56)</f>
        <v/>
      </c>
      <c r="E1057" s="1" t="str">
        <f ca="1">IFERROR(C1057*OFFSET('107_兵卡等级'!$T$6,MATCH(D1057,'107_兵卡等级'!$O$6:$O$205,0)-1,0),"")</f>
        <v/>
      </c>
      <c r="F1057" s="1" t="str">
        <f ca="1">IFERROR(C1057*OFFSET('107_兵卡等级'!$I$6,MATCH(D1057,'107_兵卡等级'!$O$6:$O$205,0)-1,0),"")</f>
        <v/>
      </c>
      <c r="G1057" s="15" t="str">
        <f>IF(养成规划!E135="","",养成规划!E135)</f>
        <v/>
      </c>
      <c r="H1057" s="1">
        <f ca="1">'206_副本挂机'!W175</f>
        <v>68493600</v>
      </c>
      <c r="I1057" s="1">
        <f ca="1">'208_黑市'!X56</f>
        <v>3525000</v>
      </c>
      <c r="J1057" s="1">
        <f ca="1">'210_活动'!AG56</f>
        <v>22800000</v>
      </c>
      <c r="K1057" s="1">
        <f ca="1">'211_VIP宝箱'!X56</f>
        <v>1802500</v>
      </c>
      <c r="L1057" s="15">
        <f ca="1">'206_副本挂机'!Z175</f>
        <v>40824</v>
      </c>
      <c r="M1057" s="15">
        <f ca="1">'208_黑市'!AA56</f>
        <v>2350</v>
      </c>
      <c r="N1057" s="15">
        <f ca="1">'210_活动'!AJ56</f>
        <v>15200</v>
      </c>
      <c r="O1057" s="15">
        <f ca="1">'212_VIP商店'!R56</f>
        <v>1857.14285714286</v>
      </c>
      <c r="P1057" s="1" t="str">
        <f ca="1" t="shared" si="370"/>
        <v/>
      </c>
      <c r="Q1057" s="1">
        <f ca="1" t="shared" si="371"/>
        <v>96621100</v>
      </c>
      <c r="R1057" s="30"/>
      <c r="S1057" s="30"/>
      <c r="T1057" s="1" t="str">
        <f ca="1" t="shared" si="372"/>
        <v/>
      </c>
      <c r="U1057" s="1">
        <f ca="1" t="shared" si="373"/>
        <v>60231.1428571429</v>
      </c>
      <c r="V1057" s="30"/>
      <c r="W1057" s="30"/>
      <c r="Y1057" s="44">
        <f ca="1" t="shared" si="374"/>
        <v>1762560</v>
      </c>
      <c r="Z1057" s="44">
        <f ca="1" t="shared" si="375"/>
        <v>90000</v>
      </c>
      <c r="AA1057" s="44">
        <f ca="1" t="shared" si="376"/>
        <v>600000</v>
      </c>
      <c r="AB1057" s="44">
        <f ca="1" t="shared" si="377"/>
        <v>40000</v>
      </c>
      <c r="AC1057" s="45">
        <f ca="1" t="shared" si="378"/>
        <v>1056</v>
      </c>
      <c r="AD1057" s="45">
        <f ca="1" t="shared" si="379"/>
        <v>60</v>
      </c>
      <c r="AE1057" s="45">
        <f ca="1" t="shared" si="380"/>
        <v>400</v>
      </c>
      <c r="AF1057" s="45">
        <f ca="1" t="shared" si="381"/>
        <v>71.4285714285714</v>
      </c>
    </row>
    <row r="1058" spans="2:32">
      <c r="B1058" s="11">
        <v>60</v>
      </c>
      <c r="C1058" s="1">
        <f ca="1">养成规划!AE57</f>
        <v>3</v>
      </c>
      <c r="D1058" s="1">
        <f>IF(养成规划!O57="","",养成规划!O57)</f>
        <v>90</v>
      </c>
      <c r="E1058" s="1">
        <f ca="1">IFERROR(C1058*OFFSET('107_兵卡等级'!$T$6,MATCH(D1058,'107_兵卡等级'!$O$6:$O$205,0)-1,0),"")</f>
        <v>178397700</v>
      </c>
      <c r="F1058" s="1">
        <f ca="1">IFERROR(C1058*OFFSET('107_兵卡等级'!$I$6,MATCH(D1058,'107_兵卡等级'!$O$6:$O$205,0)-1,0),"")</f>
        <v>137640</v>
      </c>
      <c r="G1058" s="15" t="str">
        <f>IF(养成规划!E136="","",养成规划!E136)</f>
        <v/>
      </c>
      <c r="H1058" s="1">
        <f ca="1">'206_副本挂机'!W176</f>
        <v>77565600</v>
      </c>
      <c r="I1058" s="1">
        <f ca="1">'208_黑市'!X57</f>
        <v>3975000</v>
      </c>
      <c r="J1058" s="1">
        <f ca="1">'210_活动'!AG57</f>
        <v>25800000</v>
      </c>
      <c r="K1058" s="1">
        <f ca="1">'211_VIP宝箱'!X57</f>
        <v>2027500</v>
      </c>
      <c r="L1058" s="15">
        <f ca="1">'206_副本挂机'!Z176</f>
        <v>46344</v>
      </c>
      <c r="M1058" s="15">
        <f ca="1">'208_黑市'!AA57</f>
        <v>2650</v>
      </c>
      <c r="N1058" s="15">
        <f ca="1">'210_活动'!AJ57</f>
        <v>17200</v>
      </c>
      <c r="O1058" s="15">
        <f ca="1">'212_VIP商店'!R57</f>
        <v>2214.28571428571</v>
      </c>
      <c r="P1058" s="1">
        <f ca="1" t="shared" si="370"/>
        <v>178397700</v>
      </c>
      <c r="Q1058" s="1">
        <f ca="1" t="shared" si="371"/>
        <v>109368100</v>
      </c>
      <c r="R1058" s="30"/>
      <c r="S1058" s="30"/>
      <c r="T1058" s="1">
        <f ca="1" t="shared" si="372"/>
        <v>137640</v>
      </c>
      <c r="U1058" s="1">
        <f ca="1" t="shared" si="373"/>
        <v>68408.2857142857</v>
      </c>
      <c r="V1058" s="30"/>
      <c r="W1058" s="30"/>
      <c r="Y1058" s="44">
        <f ca="1" t="shared" si="374"/>
        <v>1814400</v>
      </c>
      <c r="Z1058" s="44">
        <f ca="1" t="shared" si="375"/>
        <v>90000</v>
      </c>
      <c r="AA1058" s="44">
        <f ca="1" t="shared" si="376"/>
        <v>600000</v>
      </c>
      <c r="AB1058" s="44">
        <f ca="1" t="shared" si="377"/>
        <v>45000</v>
      </c>
      <c r="AC1058" s="45">
        <f ca="1" t="shared" si="378"/>
        <v>1104</v>
      </c>
      <c r="AD1058" s="45">
        <f ca="1" t="shared" si="379"/>
        <v>60</v>
      </c>
      <c r="AE1058" s="45">
        <f ca="1" t="shared" si="380"/>
        <v>400</v>
      </c>
      <c r="AF1058" s="45">
        <f ca="1" t="shared" si="381"/>
        <v>71.4285714285714</v>
      </c>
    </row>
    <row r="1059" spans="2:32">
      <c r="B1059" s="11">
        <v>65</v>
      </c>
      <c r="C1059" s="1">
        <f ca="1">养成规划!AE58</f>
        <v>3</v>
      </c>
      <c r="D1059" s="1" t="str">
        <f>IF(养成规划!O58="","",养成规划!O58)</f>
        <v/>
      </c>
      <c r="E1059" s="1" t="str">
        <f ca="1">IFERROR(C1059*OFFSET('107_兵卡等级'!$T$6,MATCH(D1059,'107_兵卡等级'!$O$6:$O$205,0)-1,0),"")</f>
        <v/>
      </c>
      <c r="F1059" s="1" t="str">
        <f ca="1">IFERROR(C1059*OFFSET('107_兵卡等级'!$I$6,MATCH(D1059,'107_兵卡等级'!$O$6:$O$205,0)-1,0),"")</f>
        <v/>
      </c>
      <c r="G1059" s="15" t="str">
        <f>IF(养成规划!E137="","",养成规划!E137)</f>
        <v/>
      </c>
      <c r="H1059" s="1">
        <f ca="1">'206_副本挂机'!W177</f>
        <v>86853600</v>
      </c>
      <c r="I1059" s="1">
        <f ca="1">'208_黑市'!X58</f>
        <v>4575000</v>
      </c>
      <c r="J1059" s="1">
        <f ca="1">'210_活动'!AG58</f>
        <v>29800000</v>
      </c>
      <c r="K1059" s="1">
        <f ca="1">'211_VIP宝箱'!X58</f>
        <v>2252500</v>
      </c>
      <c r="L1059" s="15">
        <f ca="1">'206_副本挂机'!Z177</f>
        <v>51864</v>
      </c>
      <c r="M1059" s="15">
        <f ca="1">'208_黑市'!AA58</f>
        <v>3050</v>
      </c>
      <c r="N1059" s="15">
        <f ca="1">'210_活动'!AJ58</f>
        <v>19866.6666666667</v>
      </c>
      <c r="O1059" s="15">
        <f ca="1">'212_VIP商店'!R58</f>
        <v>2571.42857142857</v>
      </c>
      <c r="P1059" s="1" t="str">
        <f ca="1" t="shared" si="370"/>
        <v/>
      </c>
      <c r="Q1059" s="1">
        <f ca="1" t="shared" si="371"/>
        <v>123481100</v>
      </c>
      <c r="R1059" s="30"/>
      <c r="S1059" s="30"/>
      <c r="T1059" s="1" t="str">
        <f ca="1" t="shared" si="372"/>
        <v/>
      </c>
      <c r="U1059" s="1">
        <f ca="1" t="shared" si="373"/>
        <v>77352.0952380952</v>
      </c>
      <c r="V1059" s="30"/>
      <c r="W1059" s="30"/>
      <c r="Y1059" s="44">
        <f ca="1" t="shared" si="374"/>
        <v>1857600</v>
      </c>
      <c r="Z1059" s="44">
        <f ca="1" t="shared" si="375"/>
        <v>120000</v>
      </c>
      <c r="AA1059" s="44">
        <f ca="1" t="shared" si="376"/>
        <v>800000</v>
      </c>
      <c r="AB1059" s="44">
        <f ca="1" t="shared" si="377"/>
        <v>45000</v>
      </c>
      <c r="AC1059" s="45">
        <f ca="1" t="shared" si="378"/>
        <v>1104</v>
      </c>
      <c r="AD1059" s="45">
        <f ca="1" t="shared" si="379"/>
        <v>80</v>
      </c>
      <c r="AE1059" s="45">
        <f ca="1" t="shared" si="380"/>
        <v>533.333333333334</v>
      </c>
      <c r="AF1059" s="45">
        <f ca="1" t="shared" si="381"/>
        <v>71.4285714285714</v>
      </c>
    </row>
    <row r="1060" spans="2:32">
      <c r="B1060" s="11">
        <v>70</v>
      </c>
      <c r="C1060" s="1">
        <f ca="1">养成规划!AE59</f>
        <v>3</v>
      </c>
      <c r="D1060" s="1" t="str">
        <f>IF(养成规划!O59="","",养成规划!O59)</f>
        <v/>
      </c>
      <c r="E1060" s="1" t="str">
        <f ca="1">IFERROR(C1060*OFFSET('107_兵卡等级'!$T$6,MATCH(D1060,'107_兵卡等级'!$O$6:$O$205,0)-1,0),"")</f>
        <v/>
      </c>
      <c r="F1060" s="1" t="str">
        <f ca="1">IFERROR(C1060*OFFSET('107_兵卡等级'!$I$6,MATCH(D1060,'107_兵卡等级'!$O$6:$O$205,0)-1,0),"")</f>
        <v/>
      </c>
      <c r="G1060" s="15" t="str">
        <f>IF(养成规划!E138="","",养成规划!E138)</f>
        <v/>
      </c>
      <c r="H1060" s="1">
        <f ca="1">'206_副本挂机'!W178</f>
        <v>96400800</v>
      </c>
      <c r="I1060" s="1">
        <f ca="1">'208_黑市'!X59</f>
        <v>5175000</v>
      </c>
      <c r="J1060" s="1">
        <f ca="1">'210_活动'!AG59</f>
        <v>33800000</v>
      </c>
      <c r="K1060" s="1">
        <f ca="1">'211_VIP宝箱'!X59</f>
        <v>2477500</v>
      </c>
      <c r="L1060" s="15">
        <f ca="1">'206_副本挂机'!Z178</f>
        <v>57624</v>
      </c>
      <c r="M1060" s="15">
        <f ca="1">'208_黑市'!AA59</f>
        <v>3450</v>
      </c>
      <c r="N1060" s="15">
        <f ca="1">'210_活动'!AJ59</f>
        <v>22533.3333333333</v>
      </c>
      <c r="O1060" s="15">
        <f ca="1">'212_VIP商店'!R59</f>
        <v>2928.57142857143</v>
      </c>
      <c r="P1060" s="1" t="str">
        <f ca="1" t="shared" si="370"/>
        <v/>
      </c>
      <c r="Q1060" s="1">
        <f ca="1" t="shared" si="371"/>
        <v>137853300</v>
      </c>
      <c r="R1060" s="30"/>
      <c r="S1060" s="30"/>
      <c r="T1060" s="1" t="str">
        <f ca="1" t="shared" si="372"/>
        <v/>
      </c>
      <c r="U1060" s="1">
        <f ca="1" t="shared" si="373"/>
        <v>86535.9047619048</v>
      </c>
      <c r="V1060" s="30"/>
      <c r="W1060" s="30"/>
      <c r="Y1060" s="44">
        <f ca="1" t="shared" si="374"/>
        <v>1909440</v>
      </c>
      <c r="Z1060" s="44">
        <f ca="1" t="shared" si="375"/>
        <v>120000</v>
      </c>
      <c r="AA1060" s="44">
        <f ca="1" t="shared" si="376"/>
        <v>800000</v>
      </c>
      <c r="AB1060" s="44">
        <f ca="1" t="shared" si="377"/>
        <v>45000</v>
      </c>
      <c r="AC1060" s="45">
        <f ca="1" t="shared" si="378"/>
        <v>1152</v>
      </c>
      <c r="AD1060" s="45">
        <f ca="1" t="shared" si="379"/>
        <v>80</v>
      </c>
      <c r="AE1060" s="45">
        <f ca="1" t="shared" si="380"/>
        <v>533.333333333334</v>
      </c>
      <c r="AF1060" s="45">
        <f ca="1" t="shared" si="381"/>
        <v>71.4285714285714</v>
      </c>
    </row>
    <row r="1061" spans="2:32">
      <c r="B1061" s="11">
        <v>75</v>
      </c>
      <c r="C1061" s="1">
        <f ca="1">养成规划!AE60</f>
        <v>3</v>
      </c>
      <c r="D1061" s="1" t="str">
        <f>IF(养成规划!O60="","",养成规划!O60)</f>
        <v/>
      </c>
      <c r="E1061" s="1" t="str">
        <f ca="1">IFERROR(C1061*OFFSET('107_兵卡等级'!$T$6,MATCH(D1061,'107_兵卡等级'!$O$6:$O$205,0)-1,0),"")</f>
        <v/>
      </c>
      <c r="F1061" s="1" t="str">
        <f ca="1">IFERROR(C1061*OFFSET('107_兵卡等级'!$I$6,MATCH(D1061,'107_兵卡等级'!$O$6:$O$205,0)-1,0),"")</f>
        <v/>
      </c>
      <c r="G1061" s="15">
        <f>IF(养成规划!E139="","",养成规划!E139)</f>
        <v>7</v>
      </c>
      <c r="H1061" s="1">
        <f ca="1">'206_副本挂机'!W179</f>
        <v>106207200</v>
      </c>
      <c r="I1061" s="1">
        <f ca="1">'208_黑市'!X60</f>
        <v>5775000</v>
      </c>
      <c r="J1061" s="1">
        <f ca="1">'210_活动'!AG60</f>
        <v>37800000</v>
      </c>
      <c r="K1061" s="1">
        <f ca="1">'211_VIP宝箱'!X60</f>
        <v>2702500</v>
      </c>
      <c r="L1061" s="15">
        <f ca="1">'206_副本挂机'!Z179</f>
        <v>63624</v>
      </c>
      <c r="M1061" s="15">
        <f ca="1">'208_黑市'!AA60</f>
        <v>3850</v>
      </c>
      <c r="N1061" s="15">
        <f ca="1">'210_活动'!AJ60</f>
        <v>25200</v>
      </c>
      <c r="O1061" s="15">
        <f ca="1">'212_VIP商店'!R60</f>
        <v>3285.71428571428</v>
      </c>
      <c r="P1061" s="1" t="str">
        <f ca="1" t="shared" si="370"/>
        <v/>
      </c>
      <c r="Q1061" s="1">
        <f ca="1" t="shared" si="371"/>
        <v>152484700</v>
      </c>
      <c r="R1061" s="30"/>
      <c r="S1061" s="30"/>
      <c r="T1061" s="1" t="str">
        <f ca="1" t="shared" si="372"/>
        <v/>
      </c>
      <c r="U1061" s="1">
        <f ca="1" t="shared" si="373"/>
        <v>95959.7142857143</v>
      </c>
      <c r="V1061" s="30"/>
      <c r="W1061" s="30"/>
      <c r="Y1061" s="44">
        <f ca="1" t="shared" si="374"/>
        <v>1961280</v>
      </c>
      <c r="Z1061" s="44">
        <f ca="1" t="shared" si="375"/>
        <v>120000</v>
      </c>
      <c r="AA1061" s="44">
        <f ca="1" t="shared" si="376"/>
        <v>800000</v>
      </c>
      <c r="AB1061" s="44">
        <f ca="1" t="shared" si="377"/>
        <v>45000</v>
      </c>
      <c r="AC1061" s="45">
        <f ca="1" t="shared" si="378"/>
        <v>1200</v>
      </c>
      <c r="AD1061" s="45">
        <f ca="1" t="shared" si="379"/>
        <v>80</v>
      </c>
      <c r="AE1061" s="45">
        <f ca="1" t="shared" si="380"/>
        <v>533.333333333334</v>
      </c>
      <c r="AF1061" s="45">
        <f ca="1" t="shared" si="381"/>
        <v>71.4285714285714</v>
      </c>
    </row>
    <row r="1062" spans="2:32">
      <c r="B1062" s="11">
        <v>80</v>
      </c>
      <c r="C1062" s="1">
        <f ca="1">养成规划!AE61</f>
        <v>3</v>
      </c>
      <c r="D1062" s="1" t="str">
        <f>IF(养成规划!O61="","",养成规划!O61)</f>
        <v/>
      </c>
      <c r="E1062" s="1" t="str">
        <f ca="1">IFERROR(C1062*OFFSET('107_兵卡等级'!$T$6,MATCH(D1062,'107_兵卡等级'!$O$6:$O$205,0)-1,0),"")</f>
        <v/>
      </c>
      <c r="F1062" s="1" t="str">
        <f ca="1">IFERROR(C1062*OFFSET('107_兵卡等级'!$I$6,MATCH(D1062,'107_兵卡等级'!$O$6:$O$205,0)-1,0),"")</f>
        <v/>
      </c>
      <c r="G1062" s="15" t="str">
        <f>IF(养成规划!E140="","",养成规划!E140)</f>
        <v/>
      </c>
      <c r="H1062" s="1">
        <f ca="1">'206_副本挂机'!W180</f>
        <v>116056800</v>
      </c>
      <c r="I1062" s="1">
        <f ca="1">'208_黑市'!X61</f>
        <v>6375000</v>
      </c>
      <c r="J1062" s="1">
        <f ca="1">'210_活动'!AG61</f>
        <v>41800000</v>
      </c>
      <c r="K1062" s="1">
        <f ca="1">'211_VIP宝箱'!X61</f>
        <v>2927500</v>
      </c>
      <c r="L1062" s="15">
        <f ca="1">'206_副本挂机'!Z180</f>
        <v>69624</v>
      </c>
      <c r="M1062" s="15">
        <f ca="1">'208_黑市'!AA61</f>
        <v>4250</v>
      </c>
      <c r="N1062" s="15">
        <f ca="1">'210_活动'!AJ61</f>
        <v>27866.6666666667</v>
      </c>
      <c r="O1062" s="15">
        <f ca="1">'212_VIP商店'!R61</f>
        <v>3642.85714285714</v>
      </c>
      <c r="P1062" s="1" t="str">
        <f ca="1" t="shared" si="370"/>
        <v/>
      </c>
      <c r="Q1062" s="1">
        <f ca="1" t="shared" si="371"/>
        <v>167159300</v>
      </c>
      <c r="R1062" s="30"/>
      <c r="S1062" s="30"/>
      <c r="T1062" s="1" t="str">
        <f ca="1" t="shared" si="372"/>
        <v/>
      </c>
      <c r="U1062" s="1">
        <f ca="1" t="shared" si="373"/>
        <v>105383.523809524</v>
      </c>
      <c r="V1062" s="30"/>
      <c r="W1062" s="30"/>
      <c r="Y1062" s="44">
        <f ca="1" t="shared" si="374"/>
        <v>1969920</v>
      </c>
      <c r="Z1062" s="44">
        <f ca="1" t="shared" si="375"/>
        <v>120000</v>
      </c>
      <c r="AA1062" s="44">
        <f ca="1" t="shared" si="376"/>
        <v>800000</v>
      </c>
      <c r="AB1062" s="44">
        <f ca="1" t="shared" si="377"/>
        <v>45000</v>
      </c>
      <c r="AC1062" s="45">
        <f ca="1" t="shared" si="378"/>
        <v>1200</v>
      </c>
      <c r="AD1062" s="45">
        <f ca="1" t="shared" si="379"/>
        <v>80</v>
      </c>
      <c r="AE1062" s="45">
        <f ca="1" t="shared" si="380"/>
        <v>533.333333333334</v>
      </c>
      <c r="AF1062" s="45">
        <f ca="1" t="shared" si="381"/>
        <v>71.4285714285714</v>
      </c>
    </row>
    <row r="1063" spans="2:32">
      <c r="B1063" s="11">
        <v>85</v>
      </c>
      <c r="C1063" s="1">
        <f ca="1">养成规划!AE62</f>
        <v>3</v>
      </c>
      <c r="D1063" s="1" t="str">
        <f>IF(养成规划!O62="","",养成规划!O62)</f>
        <v/>
      </c>
      <c r="E1063" s="1" t="str">
        <f ca="1">IFERROR(C1063*OFFSET('107_兵卡等级'!$T$6,MATCH(D1063,'107_兵卡等级'!$O$6:$O$205,0)-1,0),"")</f>
        <v/>
      </c>
      <c r="F1063" s="1" t="str">
        <f ca="1">IFERROR(C1063*OFFSET('107_兵卡等级'!$I$6,MATCH(D1063,'107_兵卡等级'!$O$6:$O$205,0)-1,0),"")</f>
        <v/>
      </c>
      <c r="G1063" s="15" t="str">
        <f>IF(养成规划!E141="","",养成规划!E141)</f>
        <v/>
      </c>
      <c r="H1063" s="1">
        <f ca="1">'206_副本挂机'!W181</f>
        <v>125949600</v>
      </c>
      <c r="I1063" s="1">
        <f ca="1">'208_黑市'!X62</f>
        <v>6975000</v>
      </c>
      <c r="J1063" s="1">
        <f ca="1">'210_活动'!AG62</f>
        <v>45800000</v>
      </c>
      <c r="K1063" s="1">
        <f ca="1">'211_VIP宝箱'!X62</f>
        <v>3152500</v>
      </c>
      <c r="L1063" s="15">
        <f ca="1">'206_副本挂机'!Z181</f>
        <v>75624</v>
      </c>
      <c r="M1063" s="15">
        <f ca="1">'208_黑市'!AA62</f>
        <v>4650</v>
      </c>
      <c r="N1063" s="15">
        <f ca="1">'210_活动'!AJ62</f>
        <v>30533.3333333333</v>
      </c>
      <c r="O1063" s="15">
        <f ca="1">'212_VIP商店'!R62</f>
        <v>4000</v>
      </c>
      <c r="P1063" s="1" t="str">
        <f ca="1" t="shared" si="370"/>
        <v/>
      </c>
      <c r="Q1063" s="1">
        <f ca="1" t="shared" si="371"/>
        <v>181877100</v>
      </c>
      <c r="R1063" s="30"/>
      <c r="S1063" s="30"/>
      <c r="T1063" s="1" t="str">
        <f ca="1" t="shared" si="372"/>
        <v/>
      </c>
      <c r="U1063" s="1">
        <f ca="1" t="shared" si="373"/>
        <v>114807.333333333</v>
      </c>
      <c r="V1063" s="30"/>
      <c r="W1063" s="30"/>
      <c r="Y1063" s="44">
        <f ca="1" t="shared" si="374"/>
        <v>1978560</v>
      </c>
      <c r="Z1063" s="44">
        <f ca="1" t="shared" si="375"/>
        <v>120000</v>
      </c>
      <c r="AA1063" s="44">
        <f ca="1" t="shared" si="376"/>
        <v>800000</v>
      </c>
      <c r="AB1063" s="44">
        <f ca="1" t="shared" si="377"/>
        <v>45000</v>
      </c>
      <c r="AC1063" s="45">
        <f ca="1" t="shared" si="378"/>
        <v>1200</v>
      </c>
      <c r="AD1063" s="45">
        <f ca="1" t="shared" si="379"/>
        <v>80</v>
      </c>
      <c r="AE1063" s="45">
        <f ca="1" t="shared" si="380"/>
        <v>533.333333333334</v>
      </c>
      <c r="AF1063" s="45">
        <f ca="1" t="shared" si="381"/>
        <v>71.4285714285714</v>
      </c>
    </row>
    <row r="1064" spans="2:32">
      <c r="B1064" s="11">
        <v>90</v>
      </c>
      <c r="C1064" s="1">
        <f ca="1">养成规划!AE63</f>
        <v>3</v>
      </c>
      <c r="D1064" s="1">
        <f>IF(养成规划!O63="","",养成规划!O63)</f>
        <v>100</v>
      </c>
      <c r="E1064" s="1">
        <f ca="1">IFERROR(C1064*OFFSET('107_兵卡等级'!$T$6,MATCH(D1064,'107_兵卡等级'!$O$6:$O$205,0)-1,0),"")</f>
        <v>254357700</v>
      </c>
      <c r="F1064" s="1">
        <f ca="1">IFERROR(C1064*OFFSET('107_兵卡等级'!$I$6,MATCH(D1064,'107_兵卡等级'!$O$6:$O$205,0)-1,0),"")</f>
        <v>190440</v>
      </c>
      <c r="G1064" s="15" t="str">
        <f>IF(养成规划!E142="","",养成规划!E142)</f>
        <v/>
      </c>
      <c r="H1064" s="1">
        <f ca="1">'206_副本挂机'!W182</f>
        <v>135885600</v>
      </c>
      <c r="I1064" s="1">
        <f ca="1">'208_黑市'!X63</f>
        <v>7575000</v>
      </c>
      <c r="J1064" s="1">
        <f ca="1">'210_活动'!AG63</f>
        <v>49800000</v>
      </c>
      <c r="K1064" s="1">
        <f ca="1">'211_VIP宝箱'!X63</f>
        <v>3402500</v>
      </c>
      <c r="L1064" s="15">
        <f ca="1">'206_副本挂机'!Z182</f>
        <v>81624</v>
      </c>
      <c r="M1064" s="15">
        <f ca="1">'208_黑市'!AA63</f>
        <v>5050</v>
      </c>
      <c r="N1064" s="15">
        <f ca="1">'210_活动'!AJ63</f>
        <v>33200</v>
      </c>
      <c r="O1064" s="15">
        <f ca="1">'212_VIP商店'!R63</f>
        <v>4357.14285714285</v>
      </c>
      <c r="P1064" s="1">
        <f ca="1" t="shared" si="370"/>
        <v>254357700</v>
      </c>
      <c r="Q1064" s="1">
        <f ca="1" t="shared" si="371"/>
        <v>196663100</v>
      </c>
      <c r="R1064" s="30"/>
      <c r="S1064" s="30"/>
      <c r="T1064" s="1">
        <f ca="1" t="shared" si="372"/>
        <v>190440</v>
      </c>
      <c r="U1064" s="1">
        <f ca="1" t="shared" si="373"/>
        <v>124231.142857143</v>
      </c>
      <c r="V1064" s="30"/>
      <c r="W1064" s="30"/>
      <c r="Y1064" s="44">
        <f ca="1" t="shared" si="374"/>
        <v>1987200</v>
      </c>
      <c r="Z1064" s="44">
        <f ca="1" t="shared" si="375"/>
        <v>120000</v>
      </c>
      <c r="AA1064" s="44">
        <f ca="1" t="shared" si="376"/>
        <v>800000</v>
      </c>
      <c r="AB1064" s="44">
        <f ca="1" t="shared" si="377"/>
        <v>50000</v>
      </c>
      <c r="AC1064" s="45">
        <f ca="1" t="shared" si="378"/>
        <v>1200</v>
      </c>
      <c r="AD1064" s="45">
        <f ca="1" t="shared" si="379"/>
        <v>80</v>
      </c>
      <c r="AE1064" s="45">
        <f ca="1" t="shared" si="380"/>
        <v>533.333333333334</v>
      </c>
      <c r="AF1064" s="45">
        <f ca="1" t="shared" si="381"/>
        <v>71.4285714285714</v>
      </c>
    </row>
    <row r="1065" spans="2:32">
      <c r="B1065" s="11">
        <v>95</v>
      </c>
      <c r="C1065" s="1">
        <f ca="1">养成规划!AE64</f>
        <v>3</v>
      </c>
      <c r="D1065" s="1" t="str">
        <f>IF(养成规划!O64="","",养成规划!O64)</f>
        <v/>
      </c>
      <c r="E1065" s="1" t="str">
        <f ca="1">IFERROR(C1065*OFFSET('107_兵卡等级'!$T$6,MATCH(D1065,'107_兵卡等级'!$O$6:$O$205,0)-1,0),"")</f>
        <v/>
      </c>
      <c r="F1065" s="1" t="str">
        <f ca="1">IFERROR(C1065*OFFSET('107_兵卡等级'!$I$6,MATCH(D1065,'107_兵卡等级'!$O$6:$O$205,0)-1,0),"")</f>
        <v/>
      </c>
      <c r="G1065" s="15" t="str">
        <f>IF(养成规划!E143="","",养成规划!E143)</f>
        <v/>
      </c>
      <c r="H1065" s="1">
        <f ca="1">'206_副本挂机'!W183</f>
        <v>145908000</v>
      </c>
      <c r="I1065" s="1">
        <f ca="1">'208_黑市'!X64</f>
        <v>8175000</v>
      </c>
      <c r="J1065" s="1">
        <f ca="1">'210_活动'!AG64</f>
        <v>53800000</v>
      </c>
      <c r="K1065" s="1">
        <f ca="1">'211_VIP宝箱'!X64</f>
        <v>3652500</v>
      </c>
      <c r="L1065" s="15">
        <f ca="1">'206_副本挂机'!Z183</f>
        <v>87624</v>
      </c>
      <c r="M1065" s="15">
        <f ca="1">'208_黑市'!AA64</f>
        <v>5450</v>
      </c>
      <c r="N1065" s="15">
        <f ca="1">'210_活动'!AJ64</f>
        <v>35866.6666666667</v>
      </c>
      <c r="O1065" s="15">
        <f ca="1">'212_VIP商店'!R64</f>
        <v>4714.28571428571</v>
      </c>
      <c r="P1065" s="1" t="str">
        <f ca="1" t="shared" si="370"/>
        <v/>
      </c>
      <c r="Q1065" s="1">
        <f ca="1" t="shared" si="371"/>
        <v>211535500</v>
      </c>
      <c r="R1065" s="30"/>
      <c r="S1065" s="30"/>
      <c r="T1065" s="1" t="str">
        <f ca="1" t="shared" si="372"/>
        <v/>
      </c>
      <c r="U1065" s="1">
        <f ca="1" t="shared" si="373"/>
        <v>133654.952380952</v>
      </c>
      <c r="V1065" s="30"/>
      <c r="W1065" s="30"/>
      <c r="Y1065" s="44">
        <f ca="1" t="shared" si="374"/>
        <v>2004480</v>
      </c>
      <c r="Z1065" s="44">
        <f ca="1" t="shared" si="375"/>
        <v>120000</v>
      </c>
      <c r="AA1065" s="44">
        <f ca="1" t="shared" si="376"/>
        <v>800000</v>
      </c>
      <c r="AB1065" s="44">
        <f ca="1" t="shared" si="377"/>
        <v>50000</v>
      </c>
      <c r="AC1065" s="45">
        <f ca="1" t="shared" si="378"/>
        <v>1200</v>
      </c>
      <c r="AD1065" s="45">
        <f ca="1" t="shared" si="379"/>
        <v>80</v>
      </c>
      <c r="AE1065" s="45">
        <f ca="1" t="shared" si="380"/>
        <v>533.333333333334</v>
      </c>
      <c r="AF1065" s="45">
        <f ca="1" t="shared" si="381"/>
        <v>71.4285714285714</v>
      </c>
    </row>
    <row r="1066" spans="2:32">
      <c r="B1066" s="11">
        <v>100</v>
      </c>
      <c r="C1066" s="1">
        <f ca="1">养成规划!AE65</f>
        <v>3</v>
      </c>
      <c r="D1066" s="1" t="str">
        <f>IF(养成规划!O65="","",养成规划!O65)</f>
        <v/>
      </c>
      <c r="E1066" s="1" t="str">
        <f ca="1">IFERROR(C1066*OFFSET('107_兵卡等级'!$T$6,MATCH(D1066,'107_兵卡等级'!$O$6:$O$205,0)-1,0),"")</f>
        <v/>
      </c>
      <c r="F1066" s="1" t="str">
        <f ca="1">IFERROR(C1066*OFFSET('107_兵卡等级'!$I$6,MATCH(D1066,'107_兵卡等级'!$O$6:$O$205,0)-1,0),"")</f>
        <v/>
      </c>
      <c r="G1066" s="15" t="str">
        <f>IF(养成规划!E144="","",养成规划!E144)</f>
        <v/>
      </c>
      <c r="H1066" s="1">
        <f ca="1">'206_副本挂机'!W184</f>
        <v>155973600</v>
      </c>
      <c r="I1066" s="1">
        <f ca="1">'208_黑市'!X65</f>
        <v>8775000</v>
      </c>
      <c r="J1066" s="1">
        <f ca="1">'210_活动'!AG65</f>
        <v>57800000</v>
      </c>
      <c r="K1066" s="1">
        <f ca="1">'211_VIP宝箱'!X65</f>
        <v>3902500</v>
      </c>
      <c r="L1066" s="15">
        <f ca="1">'206_副本挂机'!Z184</f>
        <v>93624</v>
      </c>
      <c r="M1066" s="15">
        <f ca="1">'208_黑市'!AA65</f>
        <v>5850</v>
      </c>
      <c r="N1066" s="15">
        <f ca="1">'210_活动'!AJ65</f>
        <v>38533.3333333334</v>
      </c>
      <c r="O1066" s="15">
        <f ca="1">'212_VIP商店'!R65</f>
        <v>5071.42857142857</v>
      </c>
      <c r="P1066" s="1" t="str">
        <f ca="1" t="shared" si="370"/>
        <v/>
      </c>
      <c r="Q1066" s="1">
        <f ca="1" t="shared" si="371"/>
        <v>226451100</v>
      </c>
      <c r="R1066" s="30"/>
      <c r="S1066" s="30"/>
      <c r="T1066" s="1" t="str">
        <f ca="1" t="shared" si="372"/>
        <v/>
      </c>
      <c r="U1066" s="1">
        <f ca="1" t="shared" si="373"/>
        <v>143078.761904762</v>
      </c>
      <c r="V1066" s="30"/>
      <c r="W1066" s="30"/>
      <c r="Y1066" s="44">
        <f ca="1" t="shared" si="374"/>
        <v>2013120</v>
      </c>
      <c r="Z1066" s="44">
        <f ca="1" t="shared" si="375"/>
        <v>120000</v>
      </c>
      <c r="AA1066" s="44">
        <f ca="1" t="shared" si="376"/>
        <v>800000</v>
      </c>
      <c r="AB1066" s="44">
        <f ca="1" t="shared" si="377"/>
        <v>50000</v>
      </c>
      <c r="AC1066" s="45">
        <f ca="1" t="shared" si="378"/>
        <v>1200</v>
      </c>
      <c r="AD1066" s="45">
        <f ca="1" t="shared" si="379"/>
        <v>80</v>
      </c>
      <c r="AE1066" s="45">
        <f ca="1" t="shared" si="380"/>
        <v>533.333333333334</v>
      </c>
      <c r="AF1066" s="45">
        <f ca="1" t="shared" si="381"/>
        <v>71.4285714285714</v>
      </c>
    </row>
    <row r="1067" spans="2:32">
      <c r="B1067" s="11">
        <v>105</v>
      </c>
      <c r="C1067" s="1">
        <f ca="1">养成规划!AE66</f>
        <v>3</v>
      </c>
      <c r="D1067" s="1" t="str">
        <f>IF(养成规划!O66="","",养成规划!O66)</f>
        <v/>
      </c>
      <c r="E1067" s="1" t="str">
        <f ca="1">IFERROR(C1067*OFFSET('107_兵卡等级'!$T$6,MATCH(D1067,'107_兵卡等级'!$O$6:$O$205,0)-1,0),"")</f>
        <v/>
      </c>
      <c r="F1067" s="1" t="str">
        <f ca="1">IFERROR(C1067*OFFSET('107_兵卡等级'!$I$6,MATCH(D1067,'107_兵卡等级'!$O$6:$O$205,0)-1,0),"")</f>
        <v/>
      </c>
      <c r="G1067" s="15" t="str">
        <f>IF(养成规划!E145="","",养成规划!E145)</f>
        <v/>
      </c>
      <c r="H1067" s="1">
        <f ca="1">'206_副本挂机'!W185</f>
        <v>166082400</v>
      </c>
      <c r="I1067" s="1">
        <f ca="1">'208_黑市'!X66</f>
        <v>9375000</v>
      </c>
      <c r="J1067" s="1">
        <f ca="1">'210_活动'!AG66</f>
        <v>61800000</v>
      </c>
      <c r="K1067" s="1">
        <f ca="1">'211_VIP宝箱'!X66</f>
        <v>4152500</v>
      </c>
      <c r="L1067" s="15">
        <f ca="1">'206_副本挂机'!Z185</f>
        <v>99624</v>
      </c>
      <c r="M1067" s="15">
        <f ca="1">'208_黑市'!AA66</f>
        <v>6250</v>
      </c>
      <c r="N1067" s="15">
        <f ca="1">'210_活动'!AJ66</f>
        <v>41200</v>
      </c>
      <c r="O1067" s="15">
        <f ca="1">'212_VIP商店'!R66</f>
        <v>5428.57142857142</v>
      </c>
      <c r="P1067" s="1" t="str">
        <f ca="1" t="shared" si="370"/>
        <v/>
      </c>
      <c r="Q1067" s="1">
        <f ca="1" t="shared" si="371"/>
        <v>241409900</v>
      </c>
      <c r="R1067" s="30"/>
      <c r="S1067" s="30"/>
      <c r="T1067" s="1" t="str">
        <f ca="1" t="shared" si="372"/>
        <v/>
      </c>
      <c r="U1067" s="1">
        <f ca="1" t="shared" si="373"/>
        <v>152502.571428571</v>
      </c>
      <c r="V1067" s="30"/>
      <c r="W1067" s="30"/>
      <c r="Y1067" s="44">
        <f ca="1" t="shared" si="374"/>
        <v>2021760</v>
      </c>
      <c r="Z1067" s="44">
        <f ca="1" t="shared" si="375"/>
        <v>120000</v>
      </c>
      <c r="AA1067" s="44">
        <f ca="1" t="shared" si="376"/>
        <v>800000</v>
      </c>
      <c r="AB1067" s="44">
        <f ca="1" t="shared" si="377"/>
        <v>50000</v>
      </c>
      <c r="AC1067" s="45">
        <f ca="1" t="shared" si="378"/>
        <v>1200</v>
      </c>
      <c r="AD1067" s="45">
        <f ca="1" t="shared" si="379"/>
        <v>80</v>
      </c>
      <c r="AE1067" s="45">
        <f ca="1" t="shared" si="380"/>
        <v>533.333333333334</v>
      </c>
      <c r="AF1067" s="45">
        <f ca="1" t="shared" si="381"/>
        <v>71.4285714285714</v>
      </c>
    </row>
    <row r="1068" spans="2:32">
      <c r="B1068" s="11">
        <v>110</v>
      </c>
      <c r="C1068" s="1">
        <f ca="1">养成规划!AE67</f>
        <v>3</v>
      </c>
      <c r="D1068" s="1" t="str">
        <f>IF(养成规划!O67="","",养成规划!O67)</f>
        <v/>
      </c>
      <c r="E1068" s="1" t="str">
        <f ca="1">IFERROR(C1068*OFFSET('107_兵卡等级'!$T$6,MATCH(D1068,'107_兵卡等级'!$O$6:$O$205,0)-1,0),"")</f>
        <v/>
      </c>
      <c r="F1068" s="1" t="str">
        <f ca="1">IFERROR(C1068*OFFSET('107_兵卡等级'!$I$6,MATCH(D1068,'107_兵卡等级'!$O$6:$O$205,0)-1,0),"")</f>
        <v/>
      </c>
      <c r="G1068" s="15" t="str">
        <f>IF(养成规划!E146="","",养成规划!E146)</f>
        <v/>
      </c>
      <c r="H1068" s="1">
        <f ca="1">'206_副本挂机'!W186</f>
        <v>176234400</v>
      </c>
      <c r="I1068" s="1">
        <f ca="1">'208_黑市'!X67</f>
        <v>9975000</v>
      </c>
      <c r="J1068" s="1">
        <f ca="1">'210_活动'!AG67</f>
        <v>65800000</v>
      </c>
      <c r="K1068" s="1">
        <f ca="1">'211_VIP宝箱'!X67</f>
        <v>4402500</v>
      </c>
      <c r="L1068" s="15">
        <f ca="1">'206_副本挂机'!Z186</f>
        <v>105624</v>
      </c>
      <c r="M1068" s="15">
        <f ca="1">'208_黑市'!AA67</f>
        <v>6650</v>
      </c>
      <c r="N1068" s="15">
        <f ca="1">'210_活动'!AJ67</f>
        <v>43866.6666666667</v>
      </c>
      <c r="O1068" s="15">
        <f ca="1">'212_VIP商店'!R67</f>
        <v>5785.71428571428</v>
      </c>
      <c r="P1068" s="1" t="str">
        <f ca="1" t="shared" si="370"/>
        <v/>
      </c>
      <c r="Q1068" s="1">
        <f ca="1" t="shared" si="371"/>
        <v>256411900</v>
      </c>
      <c r="R1068" s="30"/>
      <c r="S1068" s="30"/>
      <c r="T1068" s="1" t="str">
        <f ca="1" t="shared" si="372"/>
        <v/>
      </c>
      <c r="U1068" s="1">
        <f ca="1" t="shared" si="373"/>
        <v>161926.380952381</v>
      </c>
      <c r="V1068" s="30"/>
      <c r="W1068" s="30"/>
      <c r="Y1068" s="44">
        <f ca="1" t="shared" si="374"/>
        <v>2030400</v>
      </c>
      <c r="Z1068" s="44">
        <f ca="1" t="shared" si="375"/>
        <v>120000</v>
      </c>
      <c r="AA1068" s="44">
        <f ca="1" t="shared" si="376"/>
        <v>800000</v>
      </c>
      <c r="AB1068" s="44">
        <f ca="1" t="shared" si="377"/>
        <v>50000</v>
      </c>
      <c r="AC1068" s="45">
        <f ca="1" t="shared" si="378"/>
        <v>1200</v>
      </c>
      <c r="AD1068" s="45">
        <f ca="1" t="shared" si="379"/>
        <v>80</v>
      </c>
      <c r="AE1068" s="45">
        <f ca="1" t="shared" si="380"/>
        <v>533.333333333334</v>
      </c>
      <c r="AF1068" s="45">
        <f ca="1" t="shared" si="381"/>
        <v>71.4285714285714</v>
      </c>
    </row>
    <row r="1069" spans="2:32">
      <c r="B1069" s="11">
        <v>115</v>
      </c>
      <c r="C1069" s="1">
        <f ca="1">养成规划!AE68</f>
        <v>3</v>
      </c>
      <c r="D1069" s="1" t="str">
        <f>IF(养成规划!O68="","",养成规划!O68)</f>
        <v/>
      </c>
      <c r="E1069" s="1" t="str">
        <f ca="1">IFERROR(C1069*OFFSET('107_兵卡等级'!$T$6,MATCH(D1069,'107_兵卡等级'!$O$6:$O$205,0)-1,0),"")</f>
        <v/>
      </c>
      <c r="F1069" s="1" t="str">
        <f ca="1">IFERROR(C1069*OFFSET('107_兵卡等级'!$I$6,MATCH(D1069,'107_兵卡等级'!$O$6:$O$205,0)-1,0),"")</f>
        <v/>
      </c>
      <c r="G1069" s="15" t="str">
        <f>IF(养成规划!E147="","",养成规划!E147)</f>
        <v/>
      </c>
      <c r="H1069" s="1">
        <f ca="1">'206_副本挂机'!W187</f>
        <v>186429600</v>
      </c>
      <c r="I1069" s="1">
        <f ca="1">'208_黑市'!X68</f>
        <v>10575000</v>
      </c>
      <c r="J1069" s="1">
        <f ca="1">'210_活动'!AG68</f>
        <v>69800000</v>
      </c>
      <c r="K1069" s="1">
        <f ca="1">'211_VIP宝箱'!X68</f>
        <v>4652500</v>
      </c>
      <c r="L1069" s="15">
        <f ca="1">'206_副本挂机'!Z187</f>
        <v>111864</v>
      </c>
      <c r="M1069" s="15">
        <f ca="1">'208_黑市'!AA68</f>
        <v>7050</v>
      </c>
      <c r="N1069" s="15">
        <f ca="1">'210_活动'!AJ68</f>
        <v>46533.3333333334</v>
      </c>
      <c r="O1069" s="15">
        <f ca="1">'212_VIP商店'!R68</f>
        <v>6142.85714285714</v>
      </c>
      <c r="P1069" s="1" t="str">
        <f ca="1" t="shared" si="370"/>
        <v/>
      </c>
      <c r="Q1069" s="1">
        <f ca="1" t="shared" si="371"/>
        <v>271457100</v>
      </c>
      <c r="R1069" s="30"/>
      <c r="S1069" s="30"/>
      <c r="T1069" s="1" t="str">
        <f ca="1" t="shared" si="372"/>
        <v/>
      </c>
      <c r="U1069" s="1">
        <f ca="1" t="shared" si="373"/>
        <v>171590.190476191</v>
      </c>
      <c r="V1069" s="30"/>
      <c r="W1069" s="30"/>
      <c r="Y1069" s="44">
        <f ca="1" t="shared" si="374"/>
        <v>2039040</v>
      </c>
      <c r="Z1069" s="44">
        <f ca="1" t="shared" si="375"/>
        <v>120000</v>
      </c>
      <c r="AA1069" s="44">
        <f ca="1" t="shared" si="376"/>
        <v>800000</v>
      </c>
      <c r="AB1069" s="44">
        <f ca="1" t="shared" si="377"/>
        <v>50000</v>
      </c>
      <c r="AC1069" s="45">
        <f ca="1" t="shared" si="378"/>
        <v>1248</v>
      </c>
      <c r="AD1069" s="45">
        <f ca="1" t="shared" si="379"/>
        <v>80</v>
      </c>
      <c r="AE1069" s="45">
        <f ca="1" t="shared" si="380"/>
        <v>533.333333333334</v>
      </c>
      <c r="AF1069" s="45">
        <f ca="1" t="shared" si="381"/>
        <v>71.4285714285714</v>
      </c>
    </row>
    <row r="1070" spans="2:32">
      <c r="B1070" s="11">
        <v>120</v>
      </c>
      <c r="C1070" s="1">
        <f ca="1">养成规划!AE69</f>
        <v>3</v>
      </c>
      <c r="D1070" s="1">
        <f>IF(养成规划!O69="","",养成规划!O69)</f>
        <v>110</v>
      </c>
      <c r="E1070" s="1">
        <f ca="1">IFERROR(C1070*OFFSET('107_兵卡等级'!$T$6,MATCH(D1070,'107_兵卡等级'!$O$6:$O$205,0)-1,0),"")</f>
        <v>359297700</v>
      </c>
      <c r="F1070" s="1">
        <f ca="1">IFERROR(C1070*OFFSET('107_兵卡等级'!$I$6,MATCH(D1070,'107_兵卡等级'!$O$6:$O$205,0)-1,0),"")</f>
        <v>274440</v>
      </c>
      <c r="G1070" s="15">
        <f>IF(养成规划!E148="","",养成规划!E148)</f>
        <v>8</v>
      </c>
      <c r="H1070" s="1">
        <f ca="1">'206_副本挂机'!W188</f>
        <v>196754400</v>
      </c>
      <c r="I1070" s="1">
        <f ca="1">'208_黑市'!X69</f>
        <v>11175000</v>
      </c>
      <c r="J1070" s="1">
        <f ca="1">'210_活动'!AG69</f>
        <v>73800000</v>
      </c>
      <c r="K1070" s="1">
        <f ca="1">'211_VIP宝箱'!X69</f>
        <v>4902500</v>
      </c>
      <c r="L1070" s="15">
        <f ca="1">'206_副本挂机'!Z188</f>
        <v>118104</v>
      </c>
      <c r="M1070" s="15">
        <f ca="1">'208_黑市'!AA69</f>
        <v>7450</v>
      </c>
      <c r="N1070" s="15">
        <f ca="1">'210_活动'!AJ69</f>
        <v>49200</v>
      </c>
      <c r="O1070" s="15">
        <f ca="1">'212_VIP商店'!R69</f>
        <v>6500</v>
      </c>
      <c r="P1070" s="1">
        <f ca="1" t="shared" si="370"/>
        <v>359297700</v>
      </c>
      <c r="Q1070" s="1">
        <f ca="1" t="shared" si="371"/>
        <v>286631900</v>
      </c>
      <c r="R1070" s="30"/>
      <c r="S1070" s="30"/>
      <c r="T1070" s="1">
        <f ca="1" t="shared" si="372"/>
        <v>274440</v>
      </c>
      <c r="U1070" s="1">
        <f ca="1" t="shared" si="373"/>
        <v>181254</v>
      </c>
      <c r="V1070" s="30"/>
      <c r="W1070" s="30"/>
      <c r="Y1070" s="44">
        <f ca="1" t="shared" si="374"/>
        <v>2064960</v>
      </c>
      <c r="Z1070" s="44">
        <f ca="1" t="shared" si="375"/>
        <v>120000</v>
      </c>
      <c r="AA1070" s="44">
        <f ca="1" t="shared" si="376"/>
        <v>800000</v>
      </c>
      <c r="AB1070" s="44">
        <f ca="1" t="shared" si="377"/>
        <v>50000</v>
      </c>
      <c r="AC1070" s="45">
        <f ca="1" t="shared" si="378"/>
        <v>1248</v>
      </c>
      <c r="AD1070" s="45">
        <f ca="1" t="shared" si="379"/>
        <v>80</v>
      </c>
      <c r="AE1070" s="45">
        <f ca="1" t="shared" si="380"/>
        <v>533.333333333334</v>
      </c>
      <c r="AF1070" s="45">
        <f ca="1" t="shared" si="381"/>
        <v>71.4285714285714</v>
      </c>
    </row>
    <row r="1071" spans="2:32">
      <c r="B1071" s="12">
        <v>150</v>
      </c>
      <c r="C1071" s="1">
        <f ca="1">养成规划!AE70</f>
        <v>3</v>
      </c>
      <c r="D1071" s="1">
        <f>IF(养成规划!O70="","",养成规划!O70)</f>
        <v>120</v>
      </c>
      <c r="E1071" s="1">
        <f ca="1">IFERROR(C1071*OFFSET('107_兵卡等级'!$T$6,MATCH(D1071,'107_兵卡等级'!$O$6:$O$205,0)-1,0),"")</f>
        <v>495197700</v>
      </c>
      <c r="F1071" s="1">
        <f ca="1">IFERROR(C1071*OFFSET('107_兵卡等级'!$I$6,MATCH(D1071,'107_兵卡等级'!$O$6:$O$205,0)-1,0),"")</f>
        <v>370440</v>
      </c>
      <c r="G1071" s="15" t="str">
        <f>IF(养成规划!E149="","",养成规划!E149)</f>
        <v/>
      </c>
      <c r="H1071" s="1">
        <f ca="1">'206_副本挂机'!W189</f>
        <v>259999200</v>
      </c>
      <c r="I1071" s="1">
        <f ca="1">'208_黑市'!X70</f>
        <v>15675000</v>
      </c>
      <c r="J1071" s="1">
        <f ca="1">'210_活动'!AG70</f>
        <v>103800000</v>
      </c>
      <c r="K1071" s="1">
        <f ca="1">'211_VIP宝箱'!X70</f>
        <v>6552500</v>
      </c>
      <c r="L1071" s="15">
        <f ca="1">'206_副本挂机'!Z189</f>
        <v>155544</v>
      </c>
      <c r="M1071" s="15">
        <f ca="1">'208_黑市'!AA70</f>
        <v>10450</v>
      </c>
      <c r="N1071" s="15">
        <f ca="1">'210_活动'!AJ70</f>
        <v>69200.0000000001</v>
      </c>
      <c r="O1071" s="15">
        <f ca="1">'212_VIP商店'!R70</f>
        <v>8642.85714285714</v>
      </c>
      <c r="P1071" s="1">
        <f ca="1" t="shared" ref="P1071:P1078" si="382">E1071</f>
        <v>495197700</v>
      </c>
      <c r="Q1071" s="1">
        <f ca="1" t="shared" ref="Q1071:Q1078" si="383">SUM(H1071:K1071)</f>
        <v>386026700</v>
      </c>
      <c r="R1071" s="30"/>
      <c r="S1071" s="30"/>
      <c r="T1071" s="1">
        <f ca="1" t="shared" ref="T1071:T1078" si="384">F1071</f>
        <v>370440</v>
      </c>
      <c r="U1071" s="1">
        <f ca="1" t="shared" ref="U1071:U1078" si="385">SUM(L1071:O1071)</f>
        <v>243836.857142857</v>
      </c>
      <c r="V1071" s="30"/>
      <c r="W1071" s="30"/>
      <c r="Y1071" s="44">
        <f ca="1" t="shared" si="374"/>
        <v>2108160</v>
      </c>
      <c r="Z1071" s="44">
        <f ca="1" t="shared" si="375"/>
        <v>150000</v>
      </c>
      <c r="AA1071" s="44">
        <f ca="1" t="shared" si="376"/>
        <v>1000000</v>
      </c>
      <c r="AB1071" s="44">
        <f ca="1" t="shared" si="377"/>
        <v>55000</v>
      </c>
      <c r="AC1071" s="45">
        <f ca="1" t="shared" si="378"/>
        <v>1248</v>
      </c>
      <c r="AD1071" s="45">
        <f ca="1" t="shared" si="379"/>
        <v>100</v>
      </c>
      <c r="AE1071" s="45">
        <f ca="1" t="shared" si="380"/>
        <v>666.666666666667</v>
      </c>
      <c r="AF1071" s="45">
        <f ca="1" t="shared" si="381"/>
        <v>71.4285714285714</v>
      </c>
    </row>
    <row r="1072" spans="2:32">
      <c r="B1072" s="12">
        <v>180</v>
      </c>
      <c r="C1072" s="1">
        <f ca="1">养成规划!AE71</f>
        <v>3</v>
      </c>
      <c r="D1072" s="1">
        <f>IF(养成规划!O71="","",养成规划!O71)</f>
        <v>130</v>
      </c>
      <c r="E1072" s="1">
        <f ca="1">IFERROR(C1072*OFFSET('107_兵卡等级'!$T$6,MATCH(D1072,'107_兵卡等级'!$O$6:$O$205,0)-1,0),"")</f>
        <v>643157700</v>
      </c>
      <c r="F1072" s="1">
        <f ca="1">IFERROR(C1072*OFFSET('107_兵卡等级'!$I$6,MATCH(D1072,'107_兵卡等级'!$O$6:$O$205,0)-1,0),"")</f>
        <v>471240</v>
      </c>
      <c r="G1072" s="15">
        <f>IF(养成规划!E150="","",养成规划!E150)</f>
        <v>9</v>
      </c>
      <c r="H1072" s="1">
        <f ca="1">'206_副本挂机'!W190</f>
        <v>324799200</v>
      </c>
      <c r="I1072" s="1">
        <f ca="1">'208_黑市'!X71</f>
        <v>20175000</v>
      </c>
      <c r="J1072" s="1">
        <f ca="1">'210_活动'!AG71</f>
        <v>133800000</v>
      </c>
      <c r="K1072" s="1">
        <f ca="1">'211_VIP宝箱'!X71</f>
        <v>8202500</v>
      </c>
      <c r="L1072" s="15">
        <f ca="1">'206_副本挂机'!Z190</f>
        <v>194424</v>
      </c>
      <c r="M1072" s="15">
        <f ca="1">'208_黑市'!AA71</f>
        <v>13450</v>
      </c>
      <c r="N1072" s="15">
        <f ca="1">'210_活动'!AJ71</f>
        <v>89200.0000000001</v>
      </c>
      <c r="O1072" s="15">
        <f ca="1">'212_VIP商店'!R71</f>
        <v>10785.7142857143</v>
      </c>
      <c r="P1072" s="1">
        <f ca="1" t="shared" si="382"/>
        <v>643157700</v>
      </c>
      <c r="Q1072" s="1">
        <f ca="1" t="shared" si="383"/>
        <v>486976700</v>
      </c>
      <c r="R1072" s="30"/>
      <c r="S1072" s="30"/>
      <c r="T1072" s="1">
        <f ca="1" t="shared" si="384"/>
        <v>471240</v>
      </c>
      <c r="U1072" s="1">
        <f ca="1" t="shared" si="385"/>
        <v>307859.714285714</v>
      </c>
      <c r="V1072" s="30"/>
      <c r="W1072" s="30"/>
      <c r="Y1072" s="44">
        <f ca="1" t="shared" ref="Y1072:Y1078" si="386">(H1072-H1071)/($B1072-$B1071)</f>
        <v>2160000</v>
      </c>
      <c r="Z1072" s="44">
        <f ca="1" t="shared" ref="Z1072:Z1078" si="387">(I1072-I1071)/($B1072-$B1071)</f>
        <v>150000</v>
      </c>
      <c r="AA1072" s="44">
        <f ca="1" t="shared" ref="AA1072:AA1078" si="388">(J1072-J1071)/($B1072-$B1071)</f>
        <v>1000000</v>
      </c>
      <c r="AB1072" s="44">
        <f ca="1" t="shared" ref="AB1072:AB1078" si="389">(K1072-K1071)/($B1072-$B1071)</f>
        <v>55000</v>
      </c>
      <c r="AC1072" s="45">
        <f ca="1" t="shared" ref="AC1072:AC1078" si="390">(L1072-L1071)/($B1072-$B1071)</f>
        <v>1296</v>
      </c>
      <c r="AD1072" s="45">
        <f ca="1" t="shared" ref="AD1072:AD1078" si="391">(M1072-M1071)/($B1072-$B1071)</f>
        <v>100</v>
      </c>
      <c r="AE1072" s="45">
        <f ca="1" t="shared" ref="AE1072:AE1078" si="392">(N1072-N1071)/($B1072-$B1071)</f>
        <v>666.666666666667</v>
      </c>
      <c r="AF1072" s="45">
        <f ca="1" t="shared" ref="AF1072:AF1078" si="393">(O1072-O1071)/($B1072-$B1071)</f>
        <v>71.4285714285714</v>
      </c>
    </row>
    <row r="1073" spans="2:32">
      <c r="B1073" s="12">
        <v>210</v>
      </c>
      <c r="C1073" s="1">
        <f ca="1">养成规划!AE72</f>
        <v>3</v>
      </c>
      <c r="D1073" s="1">
        <f>IF(养成规划!O72="","",养成规划!O72)</f>
        <v>140</v>
      </c>
      <c r="E1073" s="1">
        <f ca="1">IFERROR(C1073*OFFSET('107_兵卡等级'!$T$6,MATCH(D1073,'107_兵卡等级'!$O$6:$O$205,0)-1,0),"")</f>
        <v>797327700</v>
      </c>
      <c r="F1073" s="1">
        <f ca="1">IFERROR(C1073*OFFSET('107_兵卡等级'!$I$6,MATCH(D1073,'107_兵卡等级'!$O$6:$O$205,0)-1,0),"")</f>
        <v>575640</v>
      </c>
      <c r="G1073" s="15" t="str">
        <f>IF(养成规划!E151="","",养成规划!E151)</f>
        <v/>
      </c>
      <c r="H1073" s="1">
        <f ca="1">'206_副本挂机'!W191</f>
        <v>391154400</v>
      </c>
      <c r="I1073" s="1">
        <f ca="1">'208_黑市'!X72</f>
        <v>24675000</v>
      </c>
      <c r="J1073" s="1">
        <f ca="1">'210_活动'!AG72</f>
        <v>163800000</v>
      </c>
      <c r="K1073" s="1">
        <f ca="1">'211_VIP宝箱'!X72</f>
        <v>9852500</v>
      </c>
      <c r="L1073" s="15">
        <f ca="1">'206_副本挂机'!Z191</f>
        <v>234744</v>
      </c>
      <c r="M1073" s="15">
        <f ca="1">'208_黑市'!AA72</f>
        <v>16450</v>
      </c>
      <c r="N1073" s="15">
        <f ca="1">'210_活动'!AJ72</f>
        <v>109200</v>
      </c>
      <c r="O1073" s="15">
        <f ca="1">'212_VIP商店'!R72</f>
        <v>12928.5714285714</v>
      </c>
      <c r="P1073" s="1">
        <f ca="1" t="shared" si="382"/>
        <v>797327700</v>
      </c>
      <c r="Q1073" s="1">
        <f ca="1" t="shared" si="383"/>
        <v>589481900</v>
      </c>
      <c r="R1073" s="30"/>
      <c r="S1073" s="30"/>
      <c r="T1073" s="1">
        <f ca="1" t="shared" si="384"/>
        <v>575640</v>
      </c>
      <c r="U1073" s="1">
        <f ca="1" t="shared" si="385"/>
        <v>373322.571428571</v>
      </c>
      <c r="V1073" s="30"/>
      <c r="W1073" s="30"/>
      <c r="Y1073" s="44">
        <f ca="1" t="shared" si="386"/>
        <v>2211840</v>
      </c>
      <c r="Z1073" s="44">
        <f ca="1" t="shared" si="387"/>
        <v>150000</v>
      </c>
      <c r="AA1073" s="44">
        <f ca="1" t="shared" si="388"/>
        <v>1000000</v>
      </c>
      <c r="AB1073" s="44">
        <f ca="1" t="shared" si="389"/>
        <v>55000</v>
      </c>
      <c r="AC1073" s="45">
        <f ca="1" t="shared" si="390"/>
        <v>1344</v>
      </c>
      <c r="AD1073" s="45">
        <f ca="1" t="shared" si="391"/>
        <v>100</v>
      </c>
      <c r="AE1073" s="45">
        <f ca="1" t="shared" si="392"/>
        <v>666.666666666667</v>
      </c>
      <c r="AF1073" s="45">
        <f ca="1" t="shared" si="393"/>
        <v>71.4285714285714</v>
      </c>
    </row>
    <row r="1074" spans="2:32">
      <c r="B1074" s="12">
        <v>240</v>
      </c>
      <c r="C1074" s="1">
        <f ca="1">养成规划!AE73</f>
        <v>3</v>
      </c>
      <c r="D1074" s="1">
        <f>IF(养成规划!O73="","",养成规划!O73)</f>
        <v>150</v>
      </c>
      <c r="E1074" s="1">
        <f ca="1">IFERROR(C1074*OFFSET('107_兵卡等级'!$T$6,MATCH(D1074,'107_兵卡等级'!$O$6:$O$205,0)-1,0),"")</f>
        <v>956897700</v>
      </c>
      <c r="F1074" s="1">
        <f ca="1">IFERROR(C1074*OFFSET('107_兵卡等级'!$I$6,MATCH(D1074,'107_兵卡等级'!$O$6:$O$205,0)-1,0),"")</f>
        <v>683640</v>
      </c>
      <c r="G1074" s="15">
        <f>IF(养成规划!E152="","",养成规划!E152)</f>
        <v>10</v>
      </c>
      <c r="H1074" s="1">
        <f ca="1">'206_副本挂机'!W192</f>
        <v>459064800</v>
      </c>
      <c r="I1074" s="1">
        <f ca="1">'208_黑市'!X73</f>
        <v>29175000</v>
      </c>
      <c r="J1074" s="1">
        <f ca="1">'210_活动'!AG73</f>
        <v>193800000</v>
      </c>
      <c r="K1074" s="1">
        <f ca="1">'211_VIP宝箱'!X73</f>
        <v>11652500</v>
      </c>
      <c r="L1074" s="15">
        <f ca="1">'206_副本挂机'!Z192</f>
        <v>275064</v>
      </c>
      <c r="M1074" s="15">
        <f ca="1">'208_黑市'!AA73</f>
        <v>19450</v>
      </c>
      <c r="N1074" s="15">
        <f ca="1">'210_活动'!AJ73</f>
        <v>129200</v>
      </c>
      <c r="O1074" s="15">
        <f ca="1">'212_VIP商店'!R73</f>
        <v>15071.4285714286</v>
      </c>
      <c r="P1074" s="1">
        <f ca="1" t="shared" si="382"/>
        <v>956897700</v>
      </c>
      <c r="Q1074" s="1">
        <f ca="1" t="shared" si="383"/>
        <v>693692300</v>
      </c>
      <c r="R1074" s="30"/>
      <c r="S1074" s="30"/>
      <c r="T1074" s="1">
        <f ca="1" t="shared" si="384"/>
        <v>683640</v>
      </c>
      <c r="U1074" s="1">
        <f ca="1" t="shared" si="385"/>
        <v>438785.428571429</v>
      </c>
      <c r="V1074" s="30"/>
      <c r="W1074" s="30"/>
      <c r="Y1074" s="44">
        <f ca="1" t="shared" si="386"/>
        <v>2263680</v>
      </c>
      <c r="Z1074" s="44">
        <f ca="1" t="shared" si="387"/>
        <v>150000</v>
      </c>
      <c r="AA1074" s="44">
        <f ca="1" t="shared" si="388"/>
        <v>1000000</v>
      </c>
      <c r="AB1074" s="44">
        <f ca="1" t="shared" si="389"/>
        <v>60000</v>
      </c>
      <c r="AC1074" s="45">
        <f ca="1" t="shared" si="390"/>
        <v>1344</v>
      </c>
      <c r="AD1074" s="45">
        <f ca="1" t="shared" si="391"/>
        <v>100</v>
      </c>
      <c r="AE1074" s="45">
        <f ca="1" t="shared" si="392"/>
        <v>666.666666666667</v>
      </c>
      <c r="AF1074" s="45">
        <f ca="1" t="shared" si="393"/>
        <v>71.4285714285714</v>
      </c>
    </row>
    <row r="1075" spans="2:32">
      <c r="B1075" s="12">
        <v>270</v>
      </c>
      <c r="C1075" s="1">
        <f ca="1">养成规划!AE74</f>
        <v>3</v>
      </c>
      <c r="D1075" s="1">
        <f>IF(养成规划!O74="","",养成规划!O74)</f>
        <v>160</v>
      </c>
      <c r="E1075" s="1">
        <f ca="1">IFERROR(C1075*OFFSET('107_兵卡等级'!$T$6,MATCH(D1075,'107_兵卡等级'!$O$6:$O$205,0)-1,0),"")</f>
        <v>1120877700</v>
      </c>
      <c r="F1075" s="1">
        <f ca="1">IFERROR(C1075*OFFSET('107_兵卡等级'!$I$6,MATCH(D1075,'107_兵卡等级'!$O$6:$O$205,0)-1,0),"")</f>
        <v>794040</v>
      </c>
      <c r="G1075" s="15" t="str">
        <f>IF(养成规划!E153="","",养成规划!E153)</f>
        <v/>
      </c>
      <c r="H1075" s="1">
        <f ca="1">'206_副本挂机'!W193</f>
        <v>528271200</v>
      </c>
      <c r="I1075" s="1">
        <f ca="1">'208_黑市'!X74</f>
        <v>33675000</v>
      </c>
      <c r="J1075" s="1">
        <f ca="1">'210_活动'!AG74</f>
        <v>223800000</v>
      </c>
      <c r="K1075" s="1">
        <f ca="1">'211_VIP宝箱'!X74</f>
        <v>13452500</v>
      </c>
      <c r="L1075" s="15">
        <f ca="1">'206_副本挂机'!Z193</f>
        <v>316824</v>
      </c>
      <c r="M1075" s="15">
        <f ca="1">'208_黑市'!AA74</f>
        <v>22450</v>
      </c>
      <c r="N1075" s="15">
        <f ca="1">'210_活动'!AJ74</f>
        <v>149200</v>
      </c>
      <c r="O1075" s="15">
        <f ca="1">'212_VIP商店'!R74</f>
        <v>17214.2857142857</v>
      </c>
      <c r="P1075" s="1">
        <f ca="1" t="shared" si="382"/>
        <v>1120877700</v>
      </c>
      <c r="Q1075" s="1">
        <f ca="1" t="shared" si="383"/>
        <v>799198700</v>
      </c>
      <c r="R1075" s="30"/>
      <c r="S1075" s="30"/>
      <c r="T1075" s="1">
        <f ca="1" t="shared" si="384"/>
        <v>794040</v>
      </c>
      <c r="U1075" s="1">
        <f ca="1" t="shared" si="385"/>
        <v>505688.285714286</v>
      </c>
      <c r="V1075" s="30"/>
      <c r="W1075" s="30"/>
      <c r="Y1075" s="44">
        <f ca="1" t="shared" si="386"/>
        <v>2306880</v>
      </c>
      <c r="Z1075" s="44">
        <f ca="1" t="shared" si="387"/>
        <v>150000</v>
      </c>
      <c r="AA1075" s="44">
        <f ca="1" t="shared" si="388"/>
        <v>1000000</v>
      </c>
      <c r="AB1075" s="44">
        <f ca="1" t="shared" si="389"/>
        <v>60000</v>
      </c>
      <c r="AC1075" s="45">
        <f ca="1" t="shared" si="390"/>
        <v>1392</v>
      </c>
      <c r="AD1075" s="45">
        <f ca="1" t="shared" si="391"/>
        <v>100</v>
      </c>
      <c r="AE1075" s="45">
        <f ca="1" t="shared" si="392"/>
        <v>666.666666666667</v>
      </c>
      <c r="AF1075" s="45">
        <f ca="1" t="shared" si="393"/>
        <v>71.4285714285714</v>
      </c>
    </row>
    <row r="1076" spans="2:32">
      <c r="B1076" s="12">
        <v>300</v>
      </c>
      <c r="C1076" s="1">
        <f ca="1">养成规划!AE75</f>
        <v>3</v>
      </c>
      <c r="D1076" s="1">
        <f>IF(养成规划!O75="","",养成规划!O75)</f>
        <v>170</v>
      </c>
      <c r="E1076" s="1">
        <f ca="1">IFERROR(C1076*OFFSET('107_兵卡等级'!$T$6,MATCH(D1076,'107_兵卡等级'!$O$6:$O$205,0)-1,0),"")</f>
        <v>1288457700</v>
      </c>
      <c r="F1076" s="1">
        <f ca="1">IFERROR(C1076*OFFSET('107_兵卡等级'!$I$6,MATCH(D1076,'107_兵卡等级'!$O$6:$O$205,0)-1,0),"")</f>
        <v>906840</v>
      </c>
      <c r="G1076" s="15">
        <f>IF(养成规划!E154="","",养成规划!E154)</f>
        <v>11</v>
      </c>
      <c r="H1076" s="1">
        <f ca="1">'206_副本挂机'!W194</f>
        <v>599032800</v>
      </c>
      <c r="I1076" s="1">
        <f ca="1">'208_黑市'!X75</f>
        <v>38175000</v>
      </c>
      <c r="J1076" s="1">
        <f ca="1">'210_活动'!AG75</f>
        <v>253800000</v>
      </c>
      <c r="K1076" s="1">
        <f ca="1">'211_VIP宝箱'!X75</f>
        <v>15252500</v>
      </c>
      <c r="L1076" s="15">
        <f ca="1">'206_副本挂机'!Z194</f>
        <v>360024</v>
      </c>
      <c r="M1076" s="15">
        <f ca="1">'208_黑市'!AA75</f>
        <v>25450</v>
      </c>
      <c r="N1076" s="15">
        <f ca="1">'210_活动'!AJ75</f>
        <v>169200</v>
      </c>
      <c r="O1076" s="15">
        <f ca="1">'212_VIP商店'!R75</f>
        <v>19357.1428571428</v>
      </c>
      <c r="P1076" s="1">
        <f ca="1" t="shared" si="382"/>
        <v>1288457700</v>
      </c>
      <c r="Q1076" s="1">
        <f ca="1" t="shared" si="383"/>
        <v>906260300</v>
      </c>
      <c r="R1076" s="30"/>
      <c r="S1076" s="30"/>
      <c r="T1076" s="1">
        <f ca="1" t="shared" si="384"/>
        <v>906840</v>
      </c>
      <c r="U1076" s="1">
        <f ca="1" t="shared" si="385"/>
        <v>574031.142857143</v>
      </c>
      <c r="V1076" s="30"/>
      <c r="W1076" s="30"/>
      <c r="Y1076" s="44">
        <f ca="1" t="shared" si="386"/>
        <v>2358720</v>
      </c>
      <c r="Z1076" s="44">
        <f ca="1" t="shared" si="387"/>
        <v>150000</v>
      </c>
      <c r="AA1076" s="44">
        <f ca="1" t="shared" si="388"/>
        <v>1000000</v>
      </c>
      <c r="AB1076" s="44">
        <f ca="1" t="shared" si="389"/>
        <v>60000</v>
      </c>
      <c r="AC1076" s="45">
        <f ca="1" t="shared" si="390"/>
        <v>1440</v>
      </c>
      <c r="AD1076" s="45">
        <f ca="1" t="shared" si="391"/>
        <v>100</v>
      </c>
      <c r="AE1076" s="45">
        <f ca="1" t="shared" si="392"/>
        <v>666.666666666667</v>
      </c>
      <c r="AF1076" s="45">
        <f ca="1" t="shared" si="393"/>
        <v>71.4285714285714</v>
      </c>
    </row>
    <row r="1077" spans="2:32">
      <c r="B1077" s="12">
        <v>330</v>
      </c>
      <c r="C1077" s="1">
        <f ca="1">养成规划!AE76</f>
        <v>3</v>
      </c>
      <c r="D1077" s="1">
        <f>IF(养成规划!O76="","",养成规划!O76)</f>
        <v>180</v>
      </c>
      <c r="E1077" s="1">
        <f ca="1">IFERROR(C1077*OFFSET('107_兵卡等级'!$T$6,MATCH(D1077,'107_兵卡等级'!$O$6:$O$205,0)-1,0),"")</f>
        <v>1459637700</v>
      </c>
      <c r="F1077" s="1">
        <f ca="1">IFERROR(C1077*OFFSET('107_兵卡等级'!$I$6,MATCH(D1077,'107_兵卡等级'!$O$6:$O$205,0)-1,0),"")</f>
        <v>1022040</v>
      </c>
      <c r="G1077" s="15" t="str">
        <f>IF(养成规划!E155="","",养成规划!E155)</f>
        <v/>
      </c>
      <c r="H1077" s="1">
        <f ca="1">'206_副本挂机'!W195</f>
        <v>671349600</v>
      </c>
      <c r="I1077" s="1">
        <f ca="1">'208_黑市'!X76</f>
        <v>42675000</v>
      </c>
      <c r="J1077" s="1">
        <f ca="1">'210_活动'!AG76</f>
        <v>283800000</v>
      </c>
      <c r="K1077" s="1">
        <f ca="1">'211_VIP宝箱'!X76</f>
        <v>17052500</v>
      </c>
      <c r="L1077" s="15">
        <f ca="1">'206_副本挂机'!Z195</f>
        <v>403224</v>
      </c>
      <c r="M1077" s="15">
        <f ca="1">'208_黑市'!AA76</f>
        <v>28450</v>
      </c>
      <c r="N1077" s="15">
        <f ca="1">'210_活动'!AJ76</f>
        <v>189200</v>
      </c>
      <c r="O1077" s="15">
        <f ca="1">'212_VIP商店'!R76</f>
        <v>21500</v>
      </c>
      <c r="P1077" s="1">
        <f ca="1" t="shared" si="382"/>
        <v>1459637700</v>
      </c>
      <c r="Q1077" s="1">
        <f ca="1" t="shared" si="383"/>
        <v>1014877100</v>
      </c>
      <c r="R1077" s="30"/>
      <c r="S1077" s="30"/>
      <c r="T1077" s="1">
        <f ca="1" t="shared" si="384"/>
        <v>1022040</v>
      </c>
      <c r="U1077" s="1">
        <f ca="1" t="shared" si="385"/>
        <v>642374</v>
      </c>
      <c r="V1077" s="30"/>
      <c r="W1077" s="30"/>
      <c r="Y1077" s="44">
        <f ca="1" t="shared" si="386"/>
        <v>2410560</v>
      </c>
      <c r="Z1077" s="44">
        <f ca="1" t="shared" si="387"/>
        <v>150000</v>
      </c>
      <c r="AA1077" s="44">
        <f ca="1" t="shared" si="388"/>
        <v>1000000</v>
      </c>
      <c r="AB1077" s="44">
        <f ca="1" t="shared" si="389"/>
        <v>60000</v>
      </c>
      <c r="AC1077" s="45">
        <f ca="1" t="shared" si="390"/>
        <v>1440</v>
      </c>
      <c r="AD1077" s="45">
        <f ca="1" t="shared" si="391"/>
        <v>100</v>
      </c>
      <c r="AE1077" s="45">
        <f ca="1" t="shared" si="392"/>
        <v>666.666666666667</v>
      </c>
      <c r="AF1077" s="45">
        <f ca="1" t="shared" si="393"/>
        <v>71.4285714285714</v>
      </c>
    </row>
    <row r="1078" spans="2:32">
      <c r="B1078" s="12">
        <v>360</v>
      </c>
      <c r="C1078" s="1">
        <f ca="1">养成规划!AE77</f>
        <v>3</v>
      </c>
      <c r="D1078" s="1">
        <f>IF(养成规划!O77="","",养成规划!O77)</f>
        <v>185</v>
      </c>
      <c r="E1078" s="1">
        <f ca="1">IFERROR(C1078*OFFSET('107_兵卡等级'!$T$6,MATCH(D1078,'107_兵卡等级'!$O$6:$O$205,0)-1,0),"")</f>
        <v>1546577700</v>
      </c>
      <c r="F1078" s="1">
        <f ca="1">IFERROR(C1078*OFFSET('107_兵卡等级'!$I$6,MATCH(D1078,'107_兵卡等级'!$O$6:$O$205,0)-1,0),"")</f>
        <v>1139640</v>
      </c>
      <c r="G1078" s="15">
        <f>IF(养成规划!E156="","",养成规划!E156)</f>
        <v>12</v>
      </c>
      <c r="H1078" s="1">
        <f ca="1">'206_副本挂机'!W196</f>
        <v>745221600</v>
      </c>
      <c r="I1078" s="1">
        <f ca="1">'208_黑市'!X77</f>
        <v>47175000</v>
      </c>
      <c r="J1078" s="1">
        <f ca="1">'210_活动'!AG77</f>
        <v>313800000</v>
      </c>
      <c r="K1078" s="1">
        <f ca="1">'211_VIP宝箱'!X77</f>
        <v>19002500</v>
      </c>
      <c r="L1078" s="15">
        <f ca="1">'206_副本挂机'!Z196</f>
        <v>447864</v>
      </c>
      <c r="M1078" s="15">
        <f ca="1">'208_黑市'!AA77</f>
        <v>31450</v>
      </c>
      <c r="N1078" s="15">
        <f ca="1">'210_活动'!AJ77</f>
        <v>209200</v>
      </c>
      <c r="O1078" s="15">
        <f ca="1">'212_VIP商店'!R77</f>
        <v>23642.8571428571</v>
      </c>
      <c r="P1078" s="1">
        <f ca="1" t="shared" si="382"/>
        <v>1546577700</v>
      </c>
      <c r="Q1078" s="1">
        <f ca="1" t="shared" si="383"/>
        <v>1125199100</v>
      </c>
      <c r="R1078" s="30"/>
      <c r="S1078" s="30"/>
      <c r="T1078" s="1">
        <f ca="1" t="shared" si="384"/>
        <v>1139640</v>
      </c>
      <c r="U1078" s="1">
        <f ca="1" t="shared" si="385"/>
        <v>712156.857142857</v>
      </c>
      <c r="V1078" s="30"/>
      <c r="W1078" s="30"/>
      <c r="Y1078" s="44">
        <f ca="1" t="shared" si="386"/>
        <v>2462400</v>
      </c>
      <c r="Z1078" s="44">
        <f ca="1" t="shared" si="387"/>
        <v>150000</v>
      </c>
      <c r="AA1078" s="44">
        <f ca="1" t="shared" si="388"/>
        <v>1000000</v>
      </c>
      <c r="AB1078" s="44">
        <f ca="1" t="shared" si="389"/>
        <v>65000</v>
      </c>
      <c r="AC1078" s="45">
        <f ca="1" t="shared" si="390"/>
        <v>1488</v>
      </c>
      <c r="AD1078" s="45">
        <f ca="1" t="shared" si="391"/>
        <v>100</v>
      </c>
      <c r="AE1078" s="45">
        <f ca="1" t="shared" si="392"/>
        <v>666.666666666667</v>
      </c>
      <c r="AF1078" s="45">
        <f ca="1" t="shared" si="393"/>
        <v>71.4285714285714</v>
      </c>
    </row>
    <row r="1079" spans="2:32">
      <c r="B1079" s="12">
        <v>390</v>
      </c>
      <c r="C1079" s="1">
        <f ca="1">养成规划!AE78</f>
        <v>3</v>
      </c>
      <c r="D1079" s="1">
        <f>IF(养成规划!O78="","",养成规划!O78)</f>
        <v>190</v>
      </c>
      <c r="E1079" s="1">
        <f ca="1">IFERROR(C1079*OFFSET('107_兵卡等级'!$T$6,MATCH(D1079,'107_兵卡等级'!$O$6:$O$205,0)-1,0),"")</f>
        <v>1634417700</v>
      </c>
      <c r="F1079" s="1">
        <f ca="1">IFERROR(C1079*OFFSET('107_兵卡等级'!$I$6,MATCH(D1079,'107_兵卡等级'!$O$6:$O$205,0)-1,0),"")</f>
        <v>1139640</v>
      </c>
      <c r="G1079" s="15" t="str">
        <f>IF(养成规划!E157="","",养成规划!E157)</f>
        <v/>
      </c>
      <c r="H1079" s="1">
        <f ca="1">H1078+(H1078-H1077)/($B1078-$B1077)*($B1079-$B1078)</f>
        <v>819093600</v>
      </c>
      <c r="I1079" s="1">
        <f ca="1" t="shared" ref="I1079:O1079" si="394">I1078+(I1078-I1077)/($B1078-$B1077)*($B1079-$B1078)</f>
        <v>51675000</v>
      </c>
      <c r="J1079" s="1">
        <f ca="1" t="shared" si="394"/>
        <v>343800000</v>
      </c>
      <c r="K1079" s="1">
        <f ca="1" t="shared" si="394"/>
        <v>20952500</v>
      </c>
      <c r="L1079" s="15">
        <f ca="1" t="shared" si="394"/>
        <v>492504</v>
      </c>
      <c r="M1079" s="15">
        <f ca="1" t="shared" si="394"/>
        <v>34450</v>
      </c>
      <c r="N1079" s="15">
        <f ca="1" t="shared" si="394"/>
        <v>229200</v>
      </c>
      <c r="O1079" s="15">
        <f ca="1" t="shared" si="394"/>
        <v>25785.7142857143</v>
      </c>
      <c r="P1079" s="1">
        <f ca="1" t="shared" ref="P1079:P1080" si="395">E1079</f>
        <v>1634417700</v>
      </c>
      <c r="Q1079" s="1">
        <f ca="1" t="shared" ref="Q1079:Q1080" si="396">SUM(H1079:K1079)</f>
        <v>1235521100</v>
      </c>
      <c r="R1079" s="30"/>
      <c r="S1079" s="30"/>
      <c r="T1079" s="1">
        <f ca="1" t="shared" ref="T1079:T1080" si="397">F1079</f>
        <v>1139640</v>
      </c>
      <c r="U1079" s="1">
        <f ca="1" t="shared" ref="U1079:U1080" si="398">SUM(L1079:O1079)</f>
        <v>781939.714285714</v>
      </c>
      <c r="V1079" s="30"/>
      <c r="W1079" s="30"/>
      <c r="Y1079" s="44">
        <f ca="1" t="shared" ref="Y1079:Y1080" si="399">(H1079-H1078)/($B1079-$B1078)</f>
        <v>2462400</v>
      </c>
      <c r="Z1079" s="44">
        <f ca="1" t="shared" ref="Z1079:Z1080" si="400">(I1079-I1078)/($B1079-$B1078)</f>
        <v>150000</v>
      </c>
      <c r="AA1079" s="44">
        <f ca="1" t="shared" ref="AA1079:AA1080" si="401">(J1079-J1078)/($B1079-$B1078)</f>
        <v>1000000</v>
      </c>
      <c r="AB1079" s="44">
        <f ca="1" t="shared" ref="AB1079:AB1080" si="402">(K1079-K1078)/($B1079-$B1078)</f>
        <v>65000</v>
      </c>
      <c r="AC1079" s="45">
        <f ca="1" t="shared" ref="AC1079:AC1080" si="403">(L1079-L1078)/($B1079-$B1078)</f>
        <v>1488</v>
      </c>
      <c r="AD1079" s="45">
        <f ca="1" t="shared" ref="AD1079:AF1080" si="404">(M1079-M1078)/($B1079-$B1078)</f>
        <v>100</v>
      </c>
      <c r="AE1079" s="45">
        <f ca="1" t="shared" si="404"/>
        <v>666.666666666667</v>
      </c>
      <c r="AF1079" s="45">
        <f ca="1" t="shared" si="404"/>
        <v>71.4285714285714</v>
      </c>
    </row>
    <row r="1080" spans="2:32">
      <c r="B1080" s="12">
        <v>430</v>
      </c>
      <c r="C1080" s="1">
        <f ca="1">养成规划!AE79</f>
        <v>3</v>
      </c>
      <c r="D1080" s="1">
        <f>IF(养成规划!O79="","",养成规划!O79)</f>
        <v>200</v>
      </c>
      <c r="E1080" s="1">
        <f ca="1">IFERROR(C1080*OFFSET('107_兵卡等级'!$T$6,MATCH(D1080,'107_兵卡等级'!$O$6:$O$205,0)-1,0),"")</f>
        <v>1812797700</v>
      </c>
      <c r="F1080" s="1">
        <f ca="1">IFERROR(C1080*OFFSET('107_兵卡等级'!$I$6,MATCH(D1080,'107_兵卡等级'!$O$6:$O$205,0)-1,0),"")</f>
        <v>1259640</v>
      </c>
      <c r="G1080" s="15" t="str">
        <f>IF(养成规划!E158="","",养成规划!E158)</f>
        <v/>
      </c>
      <c r="H1080" s="1">
        <f ca="1">H1079+(H1079-H1078)/($B1079-$B1078)*($B1080-$B1079)</f>
        <v>917589600</v>
      </c>
      <c r="I1080" s="1">
        <f ca="1" t="shared" ref="I1080" si="405">I1079+(I1079-I1078)/($B1079-$B1078)*($B1080-$B1079)</f>
        <v>57675000</v>
      </c>
      <c r="J1080" s="1">
        <f ca="1" t="shared" ref="J1080" si="406">J1079+(J1079-J1078)/($B1079-$B1078)*($B1080-$B1079)</f>
        <v>383800000</v>
      </c>
      <c r="K1080" s="1">
        <f ca="1" t="shared" ref="K1080" si="407">K1079+(K1079-K1078)/($B1079-$B1078)*($B1080-$B1079)</f>
        <v>23552500</v>
      </c>
      <c r="L1080" s="15">
        <f ca="1" t="shared" ref="L1080" si="408">L1079+(L1079-L1078)/($B1079-$B1078)*($B1080-$B1079)</f>
        <v>552024</v>
      </c>
      <c r="M1080" s="15">
        <f ca="1" t="shared" ref="M1080" si="409">M1079+(M1079-M1078)/($B1079-$B1078)*($B1080-$B1079)</f>
        <v>38450</v>
      </c>
      <c r="N1080" s="15">
        <f ca="1" t="shared" ref="N1080" si="410">N1079+(N1079-N1078)/($B1079-$B1078)*($B1080-$B1079)</f>
        <v>255866.666666667</v>
      </c>
      <c r="O1080" s="15">
        <f ca="1" t="shared" ref="O1080" si="411">O1079+(O1079-O1078)/($B1079-$B1078)*($B1080-$B1079)</f>
        <v>28642.8571428571</v>
      </c>
      <c r="P1080" s="1">
        <f ca="1" t="shared" si="395"/>
        <v>1812797700</v>
      </c>
      <c r="Q1080" s="1">
        <f ca="1" t="shared" si="396"/>
        <v>1382617100</v>
      </c>
      <c r="R1080" s="30"/>
      <c r="S1080" s="30"/>
      <c r="T1080" s="1">
        <f ca="1" t="shared" si="397"/>
        <v>1259640</v>
      </c>
      <c r="U1080" s="1">
        <f ca="1" t="shared" si="398"/>
        <v>874983.523809524</v>
      </c>
      <c r="V1080" s="30"/>
      <c r="W1080" s="30"/>
      <c r="Y1080" s="44">
        <f ca="1" t="shared" si="399"/>
        <v>2462400</v>
      </c>
      <c r="Z1080" s="44">
        <f ca="1" t="shared" si="400"/>
        <v>150000</v>
      </c>
      <c r="AA1080" s="44">
        <f ca="1" t="shared" si="401"/>
        <v>1000000</v>
      </c>
      <c r="AB1080" s="44">
        <f ca="1" t="shared" si="402"/>
        <v>65000</v>
      </c>
      <c r="AC1080" s="45">
        <f ca="1" t="shared" si="403"/>
        <v>1488</v>
      </c>
      <c r="AD1080" s="45">
        <f ca="1" t="shared" si="404"/>
        <v>100</v>
      </c>
      <c r="AE1080" s="45">
        <f ca="1" t="shared" si="404"/>
        <v>666.666666666666</v>
      </c>
      <c r="AF1080" s="45">
        <f ca="1" t="shared" si="404"/>
        <v>71.4285714285714</v>
      </c>
    </row>
    <row r="1082" s="25" customFormat="1" spans="1:5">
      <c r="A1082" s="2" t="s">
        <v>455</v>
      </c>
      <c r="B1082" s="2"/>
      <c r="C1082" s="41" t="s">
        <v>436</v>
      </c>
      <c r="E1082" s="26" t="s">
        <v>1040</v>
      </c>
    </row>
    <row r="1084" spans="2:12">
      <c r="B1084" s="27" t="s">
        <v>1041</v>
      </c>
      <c r="C1084" s="27"/>
      <c r="D1084" s="27"/>
      <c r="E1084" s="27"/>
      <c r="F1084" s="27"/>
      <c r="G1084" s="27"/>
      <c r="H1084" s="27"/>
      <c r="I1084" s="27"/>
      <c r="J1084" s="27"/>
      <c r="K1084" s="27"/>
      <c r="L1084" s="27"/>
    </row>
    <row r="1086" spans="2:12">
      <c r="B1086" s="1" t="s">
        <v>1042</v>
      </c>
      <c r="E1086" s="1">
        <f>总规划!$D$108</f>
        <v>300</v>
      </c>
      <c r="F1086" s="1" t="str">
        <f>总规划!$C$108</f>
        <v>1M陆经</v>
      </c>
      <c r="H1086" s="1" t="s">
        <v>1016</v>
      </c>
      <c r="K1086" s="1">
        <f>总规划!$D$118</f>
        <v>150</v>
      </c>
      <c r="L1086" s="1" t="str">
        <f>总规划!$C$118</f>
        <v>1M空经</v>
      </c>
    </row>
    <row r="1087" spans="2:12">
      <c r="B1087" s="1" t="s">
        <v>994</v>
      </c>
      <c r="E1087" s="1">
        <f>总规划!$D$109</f>
        <v>200</v>
      </c>
      <c r="F1087" s="1" t="str">
        <f>总规划!$C$109</f>
        <v>1k弹药</v>
      </c>
      <c r="H1087" s="1" t="s">
        <v>1043</v>
      </c>
      <c r="K1087" s="1">
        <f>总规划!$D$119</f>
        <v>100</v>
      </c>
      <c r="L1087" s="1" t="str">
        <f>总规划!$C$119</f>
        <v>1k空弹</v>
      </c>
    </row>
    <row r="1089" spans="2:6">
      <c r="B1089" s="1" t="s">
        <v>1044</v>
      </c>
      <c r="E1089" s="30">
        <v>50</v>
      </c>
      <c r="F1089" s="1" t="s">
        <v>1045</v>
      </c>
    </row>
    <row r="1090" spans="2:6">
      <c r="B1090" s="1" t="s">
        <v>1046</v>
      </c>
      <c r="E1090" s="30">
        <v>5</v>
      </c>
      <c r="F1090" s="1" t="s">
        <v>1047</v>
      </c>
    </row>
    <row r="1092" spans="2:12">
      <c r="B1092" s="1" t="s">
        <v>1048</v>
      </c>
      <c r="E1092" s="5">
        <f>E1086*1000000/E1089</f>
        <v>6000000</v>
      </c>
      <c r="F1092" s="1" t="s">
        <v>1049</v>
      </c>
      <c r="H1092" s="1" t="s">
        <v>1048</v>
      </c>
      <c r="K1092" s="5">
        <f>E1092</f>
        <v>6000000</v>
      </c>
      <c r="L1092" s="1" t="s">
        <v>1049</v>
      </c>
    </row>
    <row r="1093" spans="2:12">
      <c r="B1093" s="1" t="s">
        <v>1050</v>
      </c>
      <c r="E1093" s="5">
        <f>E1087*1000/E1090</f>
        <v>40000</v>
      </c>
      <c r="F1093" s="1" t="s">
        <v>379</v>
      </c>
      <c r="H1093" s="1" t="s">
        <v>1050</v>
      </c>
      <c r="K1093" s="5">
        <f>E1093</f>
        <v>40000</v>
      </c>
      <c r="L1093" s="1" t="s">
        <v>379</v>
      </c>
    </row>
    <row r="1095" spans="2:12">
      <c r="B1095" s="27" t="s">
        <v>1051</v>
      </c>
      <c r="C1095" s="27"/>
      <c r="D1095" s="27"/>
      <c r="E1095" s="27"/>
      <c r="F1095" s="27"/>
      <c r="G1095" s="27"/>
      <c r="H1095" s="27"/>
      <c r="I1095" s="27"/>
      <c r="J1095" s="27"/>
      <c r="K1095" s="27"/>
      <c r="L1095" s="27"/>
    </row>
    <row r="1097" spans="2:12">
      <c r="B1097" s="1" t="s">
        <v>455</v>
      </c>
      <c r="C1097" s="1" t="s">
        <v>1052</v>
      </c>
      <c r="D1097" s="1" t="s">
        <v>809</v>
      </c>
      <c r="E1097" s="1" t="s">
        <v>1053</v>
      </c>
      <c r="F1097" s="1" t="s">
        <v>809</v>
      </c>
      <c r="H1097" s="1" t="s">
        <v>455</v>
      </c>
      <c r="I1097" s="1" t="s">
        <v>1054</v>
      </c>
      <c r="J1097" s="1" t="s">
        <v>809</v>
      </c>
      <c r="K1097" s="1" t="s">
        <v>1055</v>
      </c>
      <c r="L1097" s="1" t="s">
        <v>809</v>
      </c>
    </row>
    <row r="1098" spans="2:11">
      <c r="B1098" s="1">
        <v>0</v>
      </c>
      <c r="C1098" s="51">
        <v>1e-5</v>
      </c>
      <c r="E1098" s="51">
        <v>5e-5</v>
      </c>
      <c r="H1098" s="1">
        <v>0</v>
      </c>
      <c r="I1098" s="51">
        <v>1e-5</v>
      </c>
      <c r="K1098" s="51">
        <v>5e-5</v>
      </c>
    </row>
    <row r="1099" spans="2:14">
      <c r="B1099" s="1">
        <v>10</v>
      </c>
      <c r="C1099" s="51">
        <v>0.0001</v>
      </c>
      <c r="D1099" s="48">
        <f t="shared" ref="D1099:D1118" si="412">C1099/C1098</f>
        <v>10</v>
      </c>
      <c r="E1099" s="51">
        <v>0.0002</v>
      </c>
      <c r="F1099" s="48">
        <f t="shared" ref="F1099:F1118" si="413">E1099/E1098</f>
        <v>4</v>
      </c>
      <c r="H1099" s="1">
        <v>10</v>
      </c>
      <c r="I1099" s="51">
        <v>0.0001</v>
      </c>
      <c r="J1099" s="48">
        <f t="shared" ref="J1099:J1118" si="414">I1099/I1098</f>
        <v>10</v>
      </c>
      <c r="K1099" s="51">
        <v>0.0002</v>
      </c>
      <c r="L1099" s="48">
        <f t="shared" ref="L1099:L1118" si="415">K1099/K1098</f>
        <v>4</v>
      </c>
      <c r="N1099" s="13"/>
    </row>
    <row r="1100" spans="2:12">
      <c r="B1100" s="1">
        <v>20</v>
      </c>
      <c r="C1100" s="51">
        <v>0.001</v>
      </c>
      <c r="D1100" s="48">
        <f t="shared" si="412"/>
        <v>10</v>
      </c>
      <c r="E1100" s="51">
        <v>0.001</v>
      </c>
      <c r="F1100" s="48">
        <f t="shared" si="413"/>
        <v>5</v>
      </c>
      <c r="H1100" s="1">
        <v>20</v>
      </c>
      <c r="I1100" s="51">
        <v>0.001</v>
      </c>
      <c r="J1100" s="48">
        <f t="shared" si="414"/>
        <v>10</v>
      </c>
      <c r="K1100" s="51">
        <v>0.001</v>
      </c>
      <c r="L1100" s="48">
        <f t="shared" si="415"/>
        <v>5</v>
      </c>
    </row>
    <row r="1101" spans="2:12">
      <c r="B1101" s="1">
        <v>30</v>
      </c>
      <c r="C1101" s="51">
        <v>0.01</v>
      </c>
      <c r="D1101" s="48">
        <f t="shared" si="412"/>
        <v>10</v>
      </c>
      <c r="E1101" s="51">
        <v>0.006</v>
      </c>
      <c r="F1101" s="48">
        <f t="shared" si="413"/>
        <v>6</v>
      </c>
      <c r="H1101" s="1">
        <v>30</v>
      </c>
      <c r="I1101" s="51">
        <v>0.01</v>
      </c>
      <c r="J1101" s="48">
        <f t="shared" si="414"/>
        <v>10</v>
      </c>
      <c r="K1101" s="51">
        <v>0.006</v>
      </c>
      <c r="L1101" s="48">
        <f t="shared" si="415"/>
        <v>6</v>
      </c>
    </row>
    <row r="1102" spans="2:12">
      <c r="B1102" s="1">
        <v>40</v>
      </c>
      <c r="C1102" s="51">
        <v>0.03</v>
      </c>
      <c r="D1102" s="48">
        <f t="shared" si="412"/>
        <v>3</v>
      </c>
      <c r="E1102" s="51">
        <v>0.02</v>
      </c>
      <c r="F1102" s="48">
        <f t="shared" si="413"/>
        <v>3.33333333333333</v>
      </c>
      <c r="H1102" s="1">
        <v>40</v>
      </c>
      <c r="I1102" s="51">
        <v>0.03</v>
      </c>
      <c r="J1102" s="48">
        <f t="shared" si="414"/>
        <v>3</v>
      </c>
      <c r="K1102" s="51">
        <v>0.02</v>
      </c>
      <c r="L1102" s="48">
        <f t="shared" si="415"/>
        <v>3.33333333333333</v>
      </c>
    </row>
    <row r="1103" spans="2:12">
      <c r="B1103" s="1">
        <v>50</v>
      </c>
      <c r="C1103" s="51">
        <v>0.05</v>
      </c>
      <c r="D1103" s="48">
        <f t="shared" si="412"/>
        <v>1.66666666666667</v>
      </c>
      <c r="E1103" s="51">
        <v>0.04</v>
      </c>
      <c r="F1103" s="48">
        <f t="shared" si="413"/>
        <v>2</v>
      </c>
      <c r="H1103" s="1">
        <v>50</v>
      </c>
      <c r="I1103" s="51">
        <v>0.05</v>
      </c>
      <c r="J1103" s="48">
        <f t="shared" si="414"/>
        <v>1.66666666666667</v>
      </c>
      <c r="K1103" s="51">
        <v>0.04</v>
      </c>
      <c r="L1103" s="48">
        <f t="shared" si="415"/>
        <v>2</v>
      </c>
    </row>
    <row r="1104" spans="2:12">
      <c r="B1104" s="1">
        <v>60</v>
      </c>
      <c r="C1104" s="51">
        <v>0.08</v>
      </c>
      <c r="D1104" s="48">
        <f t="shared" si="412"/>
        <v>1.6</v>
      </c>
      <c r="E1104" s="51">
        <v>0.08</v>
      </c>
      <c r="F1104" s="48">
        <f t="shared" si="413"/>
        <v>2</v>
      </c>
      <c r="H1104" s="1">
        <v>60</v>
      </c>
      <c r="I1104" s="51">
        <v>0.08</v>
      </c>
      <c r="J1104" s="48">
        <f t="shared" si="414"/>
        <v>1.6</v>
      </c>
      <c r="K1104" s="51">
        <v>0.08</v>
      </c>
      <c r="L1104" s="48">
        <f t="shared" si="415"/>
        <v>2</v>
      </c>
    </row>
    <row r="1105" spans="2:12">
      <c r="B1105" s="1">
        <v>70</v>
      </c>
      <c r="C1105" s="56">
        <v>0.24</v>
      </c>
      <c r="D1105" s="48">
        <f t="shared" si="412"/>
        <v>3</v>
      </c>
      <c r="E1105" s="56">
        <v>0.24</v>
      </c>
      <c r="F1105" s="48">
        <f t="shared" si="413"/>
        <v>3</v>
      </c>
      <c r="H1105" s="1">
        <v>70</v>
      </c>
      <c r="I1105" s="56">
        <v>0.24</v>
      </c>
      <c r="J1105" s="48">
        <f t="shared" si="414"/>
        <v>3</v>
      </c>
      <c r="K1105" s="56">
        <v>0.24</v>
      </c>
      <c r="L1105" s="48">
        <f t="shared" si="415"/>
        <v>3</v>
      </c>
    </row>
    <row r="1106" spans="2:12">
      <c r="B1106" s="1">
        <v>80</v>
      </c>
      <c r="C1106" s="56">
        <v>0.36</v>
      </c>
      <c r="D1106" s="48">
        <f t="shared" si="412"/>
        <v>1.5</v>
      </c>
      <c r="E1106" s="56">
        <v>0.36</v>
      </c>
      <c r="F1106" s="48">
        <f t="shared" si="413"/>
        <v>1.5</v>
      </c>
      <c r="H1106" s="1">
        <v>80</v>
      </c>
      <c r="I1106" s="56">
        <v>0.36</v>
      </c>
      <c r="J1106" s="48">
        <f t="shared" si="414"/>
        <v>1.5</v>
      </c>
      <c r="K1106" s="56">
        <v>0.36</v>
      </c>
      <c r="L1106" s="48">
        <f t="shared" si="415"/>
        <v>1.5</v>
      </c>
    </row>
    <row r="1107" spans="2:12">
      <c r="B1107" s="1">
        <v>90</v>
      </c>
      <c r="C1107" s="56">
        <v>0.4</v>
      </c>
      <c r="D1107" s="48">
        <f t="shared" si="412"/>
        <v>1.11111111111111</v>
      </c>
      <c r="E1107" s="56">
        <v>0.4</v>
      </c>
      <c r="F1107" s="48">
        <f t="shared" si="413"/>
        <v>1.11111111111111</v>
      </c>
      <c r="H1107" s="1">
        <v>90</v>
      </c>
      <c r="I1107" s="56">
        <v>0.4</v>
      </c>
      <c r="J1107" s="48">
        <f t="shared" si="414"/>
        <v>1.11111111111111</v>
      </c>
      <c r="K1107" s="56">
        <v>0.4</v>
      </c>
      <c r="L1107" s="48">
        <f t="shared" si="415"/>
        <v>1.11111111111111</v>
      </c>
    </row>
    <row r="1108" spans="2:12">
      <c r="B1108" s="1">
        <v>100</v>
      </c>
      <c r="C1108" s="56">
        <v>0.44</v>
      </c>
      <c r="D1108" s="48">
        <f t="shared" si="412"/>
        <v>1.1</v>
      </c>
      <c r="E1108" s="56">
        <v>0.44</v>
      </c>
      <c r="F1108" s="48">
        <f t="shared" si="413"/>
        <v>1.1</v>
      </c>
      <c r="H1108" s="1">
        <v>100</v>
      </c>
      <c r="I1108" s="56">
        <v>0.44</v>
      </c>
      <c r="J1108" s="48">
        <f t="shared" si="414"/>
        <v>1.1</v>
      </c>
      <c r="K1108" s="56">
        <v>0.44</v>
      </c>
      <c r="L1108" s="48">
        <f t="shared" si="415"/>
        <v>1.1</v>
      </c>
    </row>
    <row r="1109" spans="2:12">
      <c r="B1109" s="1">
        <v>110</v>
      </c>
      <c r="C1109" s="56">
        <v>0.7</v>
      </c>
      <c r="D1109" s="48">
        <f t="shared" si="412"/>
        <v>1.59090909090909</v>
      </c>
      <c r="E1109" s="56">
        <v>0.7</v>
      </c>
      <c r="F1109" s="48">
        <f t="shared" si="413"/>
        <v>1.59090909090909</v>
      </c>
      <c r="H1109" s="1">
        <v>110</v>
      </c>
      <c r="I1109" s="56">
        <v>0.7</v>
      </c>
      <c r="J1109" s="48">
        <f t="shared" si="414"/>
        <v>1.59090909090909</v>
      </c>
      <c r="K1109" s="56">
        <v>0.7</v>
      </c>
      <c r="L1109" s="48">
        <f t="shared" si="415"/>
        <v>1.59090909090909</v>
      </c>
    </row>
    <row r="1110" spans="2:12">
      <c r="B1110" s="1">
        <v>120</v>
      </c>
      <c r="C1110" s="56">
        <v>0.8</v>
      </c>
      <c r="D1110" s="48">
        <f t="shared" si="412"/>
        <v>1.14285714285714</v>
      </c>
      <c r="E1110" s="56">
        <v>0.8</v>
      </c>
      <c r="F1110" s="48">
        <f t="shared" si="413"/>
        <v>1.14285714285714</v>
      </c>
      <c r="H1110" s="1">
        <v>120</v>
      </c>
      <c r="I1110" s="56">
        <v>0.8</v>
      </c>
      <c r="J1110" s="48">
        <f t="shared" si="414"/>
        <v>1.14285714285714</v>
      </c>
      <c r="K1110" s="56">
        <v>0.8</v>
      </c>
      <c r="L1110" s="48">
        <f t="shared" si="415"/>
        <v>1.14285714285714</v>
      </c>
    </row>
    <row r="1111" spans="2:12">
      <c r="B1111" s="1">
        <v>130</v>
      </c>
      <c r="C1111" s="56">
        <v>0.84</v>
      </c>
      <c r="D1111" s="48">
        <f t="shared" si="412"/>
        <v>1.05</v>
      </c>
      <c r="E1111" s="56">
        <v>0.84</v>
      </c>
      <c r="F1111" s="48">
        <f t="shared" si="413"/>
        <v>1.05</v>
      </c>
      <c r="H1111" s="1">
        <v>130</v>
      </c>
      <c r="I1111" s="56">
        <v>0.84</v>
      </c>
      <c r="J1111" s="48">
        <f t="shared" si="414"/>
        <v>1.05</v>
      </c>
      <c r="K1111" s="56">
        <v>0.84</v>
      </c>
      <c r="L1111" s="48">
        <f t="shared" si="415"/>
        <v>1.05</v>
      </c>
    </row>
    <row r="1112" spans="2:12">
      <c r="B1112" s="1">
        <v>140</v>
      </c>
      <c r="C1112" s="56">
        <v>0.87</v>
      </c>
      <c r="D1112" s="48">
        <f t="shared" si="412"/>
        <v>1.03571428571429</v>
      </c>
      <c r="E1112" s="56">
        <v>0.87</v>
      </c>
      <c r="F1112" s="48">
        <f t="shared" si="413"/>
        <v>1.03571428571429</v>
      </c>
      <c r="H1112" s="1">
        <v>140</v>
      </c>
      <c r="I1112" s="56">
        <v>0.87</v>
      </c>
      <c r="J1112" s="48">
        <f t="shared" si="414"/>
        <v>1.03571428571429</v>
      </c>
      <c r="K1112" s="56">
        <v>0.87</v>
      </c>
      <c r="L1112" s="48">
        <f t="shared" si="415"/>
        <v>1.03571428571429</v>
      </c>
    </row>
    <row r="1113" spans="2:12">
      <c r="B1113" s="1">
        <v>150</v>
      </c>
      <c r="C1113" s="56">
        <v>0.9</v>
      </c>
      <c r="D1113" s="48">
        <f t="shared" si="412"/>
        <v>1.03448275862069</v>
      </c>
      <c r="E1113" s="56">
        <v>0.9</v>
      </c>
      <c r="F1113" s="48">
        <f t="shared" si="413"/>
        <v>1.03448275862069</v>
      </c>
      <c r="H1113" s="1">
        <v>150</v>
      </c>
      <c r="I1113" s="56">
        <v>0.9</v>
      </c>
      <c r="J1113" s="48">
        <f t="shared" si="414"/>
        <v>1.03448275862069</v>
      </c>
      <c r="K1113" s="56">
        <v>0.9</v>
      </c>
      <c r="L1113" s="48">
        <f t="shared" si="415"/>
        <v>1.03448275862069</v>
      </c>
    </row>
    <row r="1114" spans="2:12">
      <c r="B1114" s="1">
        <v>160</v>
      </c>
      <c r="C1114" s="56">
        <v>0.92</v>
      </c>
      <c r="D1114" s="48">
        <f t="shared" si="412"/>
        <v>1.02222222222222</v>
      </c>
      <c r="E1114" s="56">
        <v>0.92</v>
      </c>
      <c r="F1114" s="48">
        <f t="shared" si="413"/>
        <v>1.02222222222222</v>
      </c>
      <c r="H1114" s="1">
        <v>160</v>
      </c>
      <c r="I1114" s="56">
        <v>0.92</v>
      </c>
      <c r="J1114" s="48">
        <f t="shared" si="414"/>
        <v>1.02222222222222</v>
      </c>
      <c r="K1114" s="56">
        <v>0.92</v>
      </c>
      <c r="L1114" s="48">
        <f t="shared" si="415"/>
        <v>1.02222222222222</v>
      </c>
    </row>
    <row r="1115" spans="2:12">
      <c r="B1115" s="1">
        <v>170</v>
      </c>
      <c r="C1115" s="56">
        <v>0.94</v>
      </c>
      <c r="D1115" s="48">
        <f t="shared" si="412"/>
        <v>1.02173913043478</v>
      </c>
      <c r="E1115" s="56">
        <v>0.94</v>
      </c>
      <c r="F1115" s="48">
        <f t="shared" si="413"/>
        <v>1.02173913043478</v>
      </c>
      <c r="H1115" s="1">
        <v>170</v>
      </c>
      <c r="I1115" s="56">
        <v>0.94</v>
      </c>
      <c r="J1115" s="48">
        <f t="shared" si="414"/>
        <v>1.02173913043478</v>
      </c>
      <c r="K1115" s="56">
        <v>0.94</v>
      </c>
      <c r="L1115" s="48">
        <f t="shared" si="415"/>
        <v>1.02173913043478</v>
      </c>
    </row>
    <row r="1116" spans="2:12">
      <c r="B1116" s="1">
        <v>180</v>
      </c>
      <c r="C1116" s="56">
        <v>0.96</v>
      </c>
      <c r="D1116" s="48">
        <f t="shared" si="412"/>
        <v>1.02127659574468</v>
      </c>
      <c r="E1116" s="56">
        <v>0.96</v>
      </c>
      <c r="F1116" s="48">
        <f t="shared" si="413"/>
        <v>1.02127659574468</v>
      </c>
      <c r="H1116" s="1">
        <v>180</v>
      </c>
      <c r="I1116" s="56">
        <v>0.96</v>
      </c>
      <c r="J1116" s="48">
        <f t="shared" si="414"/>
        <v>1.02127659574468</v>
      </c>
      <c r="K1116" s="56">
        <v>0.96</v>
      </c>
      <c r="L1116" s="48">
        <f t="shared" si="415"/>
        <v>1.02127659574468</v>
      </c>
    </row>
    <row r="1117" spans="2:12">
      <c r="B1117" s="1">
        <v>190</v>
      </c>
      <c r="C1117" s="56">
        <v>0.98</v>
      </c>
      <c r="D1117" s="48">
        <f t="shared" si="412"/>
        <v>1.02083333333333</v>
      </c>
      <c r="E1117" s="56">
        <v>0.98</v>
      </c>
      <c r="F1117" s="48">
        <f t="shared" si="413"/>
        <v>1.02083333333333</v>
      </c>
      <c r="H1117" s="1">
        <v>190</v>
      </c>
      <c r="I1117" s="56">
        <v>0.98</v>
      </c>
      <c r="J1117" s="48">
        <f t="shared" si="414"/>
        <v>1.02083333333333</v>
      </c>
      <c r="K1117" s="56">
        <v>0.98</v>
      </c>
      <c r="L1117" s="48">
        <f t="shared" si="415"/>
        <v>1.02083333333333</v>
      </c>
    </row>
    <row r="1118" spans="2:12">
      <c r="B1118" s="1">
        <v>200</v>
      </c>
      <c r="C1118" s="56">
        <v>1</v>
      </c>
      <c r="D1118" s="48">
        <f t="shared" si="412"/>
        <v>1.02040816326531</v>
      </c>
      <c r="E1118" s="56">
        <v>1</v>
      </c>
      <c r="F1118" s="48">
        <f t="shared" si="413"/>
        <v>1.02040816326531</v>
      </c>
      <c r="H1118" s="1">
        <v>200</v>
      </c>
      <c r="I1118" s="56">
        <v>1</v>
      </c>
      <c r="J1118" s="48">
        <f t="shared" si="414"/>
        <v>1.02040816326531</v>
      </c>
      <c r="K1118" s="56">
        <v>1</v>
      </c>
      <c r="L1118" s="48">
        <f t="shared" si="415"/>
        <v>1.02040816326531</v>
      </c>
    </row>
    <row r="1121" s="25" customFormat="1" spans="1:5">
      <c r="A1121" s="2" t="s">
        <v>458</v>
      </c>
      <c r="B1121" s="2"/>
      <c r="C1121" s="41" t="s">
        <v>436</v>
      </c>
      <c r="E1121" s="41"/>
    </row>
    <row r="1123" spans="2:12">
      <c r="B1123" s="27" t="s">
        <v>1056</v>
      </c>
      <c r="C1123" s="27"/>
      <c r="D1123" s="27"/>
      <c r="E1123" s="27"/>
      <c r="F1123" s="27"/>
      <c r="G1123" s="27"/>
      <c r="H1123" s="27"/>
      <c r="I1123" s="27"/>
      <c r="J1123" s="27"/>
      <c r="K1123" s="27"/>
      <c r="L1123" s="27"/>
    </row>
    <row r="1125" spans="2:6">
      <c r="B1125" s="1" t="s">
        <v>1057</v>
      </c>
      <c r="E1125" s="1">
        <f>总规划!$D$120</f>
        <v>30</v>
      </c>
      <c r="F1125" s="1" t="str">
        <f>总规划!$C$110</f>
        <v>1k零件</v>
      </c>
    </row>
    <row r="1126" spans="2:5">
      <c r="B1126" s="1" t="s">
        <v>1058</v>
      </c>
      <c r="E1126" s="42">
        <f>总规划!$I$140</f>
        <v>0.023</v>
      </c>
    </row>
    <row r="1127" spans="2:5">
      <c r="B1127" s="1" t="s">
        <v>1059</v>
      </c>
      <c r="E1127" s="42">
        <f>总规划!$I$141</f>
        <v>0.09</v>
      </c>
    </row>
    <row r="1128" spans="2:5">
      <c r="B1128" s="1" t="s">
        <v>1060</v>
      </c>
      <c r="E1128" s="42">
        <f>总规划!$I$142</f>
        <v>0.023</v>
      </c>
    </row>
    <row r="1129" spans="2:5">
      <c r="B1129" s="1" t="s">
        <v>1061</v>
      </c>
      <c r="E1129" s="42">
        <f>总规划!$I$143</f>
        <v>0.15</v>
      </c>
    </row>
    <row r="1130" spans="2:5">
      <c r="B1130" s="1" t="s">
        <v>1062</v>
      </c>
      <c r="E1130" s="42">
        <f>总规划!$I$144</f>
        <v>0.03</v>
      </c>
    </row>
    <row r="1131" spans="2:5">
      <c r="B1131" s="1" t="s">
        <v>1063</v>
      </c>
      <c r="E1131" s="42">
        <f>总规划!$I$146</f>
        <v>0.25</v>
      </c>
    </row>
    <row r="1132" spans="5:5">
      <c r="E1132" s="8"/>
    </row>
    <row r="1133" spans="5:5">
      <c r="E1133" s="8"/>
    </row>
    <row r="1134" spans="5:5">
      <c r="E1134" s="8"/>
    </row>
    <row r="1135" spans="5:5">
      <c r="E1135" s="8"/>
    </row>
    <row r="1136" spans="5:5">
      <c r="E1136" s="8"/>
    </row>
    <row r="1137" spans="5:5">
      <c r="E1137" s="8"/>
    </row>
    <row r="1138" spans="5:5">
      <c r="E1138" s="8"/>
    </row>
    <row r="1139" spans="5:5">
      <c r="E1139" s="8"/>
    </row>
    <row r="1140" spans="5:5">
      <c r="E1140" s="8"/>
    </row>
    <row r="1141" spans="5:5">
      <c r="E1141" s="8"/>
    </row>
    <row r="1142" spans="5:5">
      <c r="E1142" s="8"/>
    </row>
    <row r="1143" spans="5:5">
      <c r="E1143" s="8"/>
    </row>
    <row r="1144" spans="5:5">
      <c r="E1144" s="8"/>
    </row>
    <row r="1145" spans="5:5">
      <c r="E1145" s="8"/>
    </row>
    <row r="1146" spans="5:5">
      <c r="E1146" s="8"/>
    </row>
    <row r="1147" spans="5:5">
      <c r="E1147" s="8"/>
    </row>
    <row r="1148" spans="5:5">
      <c r="E1148" s="8"/>
    </row>
    <row r="1149" spans="5:5">
      <c r="E1149" s="8"/>
    </row>
    <row r="1150" spans="5:5">
      <c r="E1150" s="8"/>
    </row>
    <row r="1151" spans="5:5">
      <c r="E1151" s="8"/>
    </row>
    <row r="1152" spans="5:5">
      <c r="E1152" s="8"/>
    </row>
    <row r="1153" spans="5:5">
      <c r="E1153" s="8"/>
    </row>
    <row r="1154" spans="5:5">
      <c r="E1154" s="8"/>
    </row>
    <row r="1155" spans="5:5">
      <c r="E1155" s="8"/>
    </row>
    <row r="1156" spans="5:5">
      <c r="E1156" s="8"/>
    </row>
    <row r="1157" spans="5:5">
      <c r="E1157" s="8"/>
    </row>
    <row r="1158" spans="2:12">
      <c r="B1158" s="27" t="s">
        <v>1064</v>
      </c>
      <c r="C1158" s="27"/>
      <c r="D1158" s="27"/>
      <c r="E1158" s="27"/>
      <c r="F1158" s="27"/>
      <c r="G1158" s="27"/>
      <c r="H1158" s="27"/>
      <c r="I1158" s="27"/>
      <c r="J1158" s="27"/>
      <c r="K1158" s="27"/>
      <c r="L1158" s="27"/>
    </row>
    <row r="1160" spans="2:26">
      <c r="B1160" s="1" t="s">
        <v>382</v>
      </c>
      <c r="C1160" s="1" t="s">
        <v>678</v>
      </c>
      <c r="D1160" s="1" t="s">
        <v>457</v>
      </c>
      <c r="E1160" s="1" t="s">
        <v>1065</v>
      </c>
      <c r="F1160" s="15" t="s">
        <v>1066</v>
      </c>
      <c r="G1160" s="15" t="s">
        <v>1067</v>
      </c>
      <c r="H1160" s="15" t="s">
        <v>1068</v>
      </c>
      <c r="I1160" s="15" t="s">
        <v>1069</v>
      </c>
      <c r="J1160" s="15" t="s">
        <v>1070</v>
      </c>
      <c r="K1160" s="15" t="s">
        <v>1071</v>
      </c>
      <c r="L1160" s="15" t="s">
        <v>1072</v>
      </c>
      <c r="M1160" s="15" t="s">
        <v>1073</v>
      </c>
      <c r="N1160" s="1" t="s">
        <v>1074</v>
      </c>
      <c r="O1160" s="1" t="s">
        <v>1075</v>
      </c>
      <c r="P1160" s="1" t="s">
        <v>753</v>
      </c>
      <c r="Q1160" s="1" t="s">
        <v>754</v>
      </c>
      <c r="S1160" s="45" t="s">
        <v>1066</v>
      </c>
      <c r="T1160" s="45" t="s">
        <v>1067</v>
      </c>
      <c r="U1160" s="45" t="s">
        <v>1068</v>
      </c>
      <c r="V1160" s="45" t="s">
        <v>1069</v>
      </c>
      <c r="W1160" s="45" t="s">
        <v>1070</v>
      </c>
      <c r="X1160" s="45" t="s">
        <v>1071</v>
      </c>
      <c r="Y1160" s="45" t="s">
        <v>1072</v>
      </c>
      <c r="Z1160" s="45" t="s">
        <v>1073</v>
      </c>
    </row>
    <row r="1161" spans="2:26">
      <c r="B1161" s="7">
        <v>0</v>
      </c>
      <c r="C1161" s="1">
        <f ca="1">IF(养成规划!E6="",INDIRECT(ADDRESS(ROW()-1,COLUMN())),养成规划!E6)</f>
        <v>1</v>
      </c>
      <c r="D1161" s="1">
        <f>IF(养成规划!H6="","",养成规划!H6)</f>
        <v>0</v>
      </c>
      <c r="E1161" s="1" t="str">
        <f ca="1" t="shared" ref="E1161:E1192" si="416">IFERROR(C1161*OFFSET($H$1360,MATCH(D1161,$B$1360:$B$1384,0)-1,0),"")</f>
        <v/>
      </c>
      <c r="F1161" s="15">
        <f ca="1">'204_军官任务'!U6</f>
        <v>0</v>
      </c>
      <c r="G1161" s="15">
        <f>'205_每日任务'!N6</f>
        <v>0</v>
      </c>
      <c r="H1161" s="15">
        <f ca="1">'206_副本挂机'!N125</f>
        <v>0</v>
      </c>
      <c r="I1161" s="15">
        <f ca="1">'207_空投'!M6</f>
        <v>0</v>
      </c>
      <c r="J1161" s="15">
        <f ca="1">'208_黑市'!R6</f>
        <v>0</v>
      </c>
      <c r="K1161" s="15">
        <f ca="1">'210_活动'!X6</f>
        <v>0</v>
      </c>
      <c r="L1161" s="15">
        <f ca="1">'211_VIP宝箱'!O6</f>
        <v>0</v>
      </c>
      <c r="M1161" s="15">
        <f ca="1">'212_VIP商店'!O6</f>
        <v>0</v>
      </c>
      <c r="N1161" s="1" t="str">
        <f ca="1" t="shared" ref="N1161:N1192" si="417">E1161</f>
        <v/>
      </c>
      <c r="O1161" s="1">
        <f ca="1" t="shared" ref="O1161:O1192" si="418">SUM(F1161:L1161)</f>
        <v>0</v>
      </c>
      <c r="P1161" s="30"/>
      <c r="Q1161" s="30"/>
      <c r="S1161" s="45">
        <v>0</v>
      </c>
      <c r="T1161" s="45">
        <v>0</v>
      </c>
      <c r="U1161" s="45">
        <v>0</v>
      </c>
      <c r="V1161" s="45">
        <v>0</v>
      </c>
      <c r="W1161" s="45">
        <v>0</v>
      </c>
      <c r="X1161" s="45">
        <v>0</v>
      </c>
      <c r="Y1161" s="45">
        <v>0</v>
      </c>
      <c r="Z1161" s="45">
        <v>0</v>
      </c>
    </row>
    <row r="1162" spans="2:26">
      <c r="B1162" s="7">
        <v>0.1</v>
      </c>
      <c r="C1162" s="1">
        <f ca="1">IF(养成规划!E7="",INDIRECT(ADDRESS(ROW()-1,COLUMN())),养成规划!E7)</f>
        <v>2</v>
      </c>
      <c r="D1162" s="1" t="str">
        <f>IF(养成规划!H7="","",养成规划!H7)</f>
        <v/>
      </c>
      <c r="E1162" s="1" t="str">
        <f ca="1" t="shared" si="416"/>
        <v/>
      </c>
      <c r="F1162" s="15">
        <f ca="1">'204_军官任务'!U7</f>
        <v>0</v>
      </c>
      <c r="G1162" s="15">
        <f>'205_每日任务'!N7</f>
        <v>18</v>
      </c>
      <c r="H1162" s="15">
        <f ca="1">'206_副本挂机'!N126</f>
        <v>0</v>
      </c>
      <c r="I1162" s="15">
        <f ca="1">'207_空投'!M7</f>
        <v>3.99999999999999</v>
      </c>
      <c r="J1162" s="15">
        <f ca="1">'208_黑市'!R7</f>
        <v>0.6</v>
      </c>
      <c r="K1162" s="15">
        <f ca="1">'210_活动'!X7</f>
        <v>0</v>
      </c>
      <c r="L1162" s="15">
        <f ca="1">'211_VIP宝箱'!O7</f>
        <v>0</v>
      </c>
      <c r="M1162" s="15">
        <f ca="1">'212_VIP商店'!O7</f>
        <v>0</v>
      </c>
      <c r="N1162" s="1" t="str">
        <f ca="1" t="shared" si="417"/>
        <v/>
      </c>
      <c r="O1162" s="1">
        <f ca="1" t="shared" si="418"/>
        <v>22.6</v>
      </c>
      <c r="P1162" s="30"/>
      <c r="Q1162" s="30"/>
      <c r="S1162" s="45">
        <f ca="1" t="shared" ref="S1162:S1193" si="419">(F1162-F1161)/($B1162-$B1161)</f>
        <v>0</v>
      </c>
      <c r="T1162" s="45">
        <f t="shared" ref="T1162:T1193" si="420">(G1162-G1161)/($B1162-$B1161)</f>
        <v>180</v>
      </c>
      <c r="U1162" s="45">
        <f ca="1" t="shared" ref="U1162:U1193" si="421">(H1162-H1161)/($B1162-$B1161)</f>
        <v>0</v>
      </c>
      <c r="V1162" s="45">
        <f ca="1" t="shared" ref="V1162:V1193" si="422">(I1162-I1161)/($B1162-$B1161)</f>
        <v>39.9999999999999</v>
      </c>
      <c r="W1162" s="45">
        <f ca="1" t="shared" ref="W1162:W1193" si="423">(J1162-J1161)/($B1162-$B1161)</f>
        <v>6</v>
      </c>
      <c r="X1162" s="45">
        <f ca="1" t="shared" ref="X1162:X1193" si="424">(K1162-K1161)/($B1162-$B1161)</f>
        <v>0</v>
      </c>
      <c r="Y1162" s="45">
        <f ca="1" t="shared" ref="Y1162:Y1193" si="425">(L1162-L1161)/($B1162-$B1161)</f>
        <v>0</v>
      </c>
      <c r="Z1162" s="45">
        <f ca="1" t="shared" ref="Z1162:Z1193" si="426">(M1162-M1161)/($B1162-$B1161)</f>
        <v>0</v>
      </c>
    </row>
    <row r="1163" spans="2:26">
      <c r="B1163" s="7">
        <v>0.2</v>
      </c>
      <c r="C1163" s="1">
        <f ca="1">IF(养成规划!E8="",INDIRECT(ADDRESS(ROW()-1,COLUMN())),养成规划!E8)</f>
        <v>2</v>
      </c>
      <c r="D1163" s="1" t="str">
        <f>IF(养成规划!H8="","",养成规划!H8)</f>
        <v/>
      </c>
      <c r="E1163" s="1" t="str">
        <f ca="1" t="shared" si="416"/>
        <v/>
      </c>
      <c r="F1163" s="15">
        <f ca="1">'204_军官任务'!U8</f>
        <v>0</v>
      </c>
      <c r="G1163" s="15">
        <f>'205_每日任务'!N8</f>
        <v>36</v>
      </c>
      <c r="H1163" s="15">
        <f ca="1">'206_副本挂机'!N127</f>
        <v>0.068076</v>
      </c>
      <c r="I1163" s="15">
        <f ca="1">'207_空投'!M8</f>
        <v>7.99999999999998</v>
      </c>
      <c r="J1163" s="15">
        <f ca="1">'208_黑市'!R8</f>
        <v>1.2</v>
      </c>
      <c r="K1163" s="15">
        <f ca="1">'210_活动'!X8</f>
        <v>0</v>
      </c>
      <c r="L1163" s="15">
        <f ca="1">'211_VIP宝箱'!O8</f>
        <v>0</v>
      </c>
      <c r="M1163" s="15">
        <f ca="1">'212_VIP商店'!O8</f>
        <v>0</v>
      </c>
      <c r="N1163" s="1" t="str">
        <f ca="1" t="shared" si="417"/>
        <v/>
      </c>
      <c r="O1163" s="1">
        <f ca="1" t="shared" si="418"/>
        <v>45.268076</v>
      </c>
      <c r="P1163" s="30"/>
      <c r="Q1163" s="30"/>
      <c r="S1163" s="45">
        <f ca="1" t="shared" si="419"/>
        <v>0</v>
      </c>
      <c r="T1163" s="45">
        <f t="shared" si="420"/>
        <v>180</v>
      </c>
      <c r="U1163" s="45">
        <f ca="1" t="shared" si="421"/>
        <v>0.68076</v>
      </c>
      <c r="V1163" s="45">
        <f ca="1" t="shared" si="422"/>
        <v>39.9999999999999</v>
      </c>
      <c r="W1163" s="45">
        <f ca="1" t="shared" si="423"/>
        <v>6</v>
      </c>
      <c r="X1163" s="45">
        <f ca="1" t="shared" si="424"/>
        <v>0</v>
      </c>
      <c r="Y1163" s="45">
        <f ca="1" t="shared" si="425"/>
        <v>0</v>
      </c>
      <c r="Z1163" s="45">
        <f ca="1" t="shared" si="426"/>
        <v>0</v>
      </c>
    </row>
    <row r="1164" spans="2:26">
      <c r="B1164" s="7">
        <v>0.3</v>
      </c>
      <c r="C1164" s="1">
        <f ca="1">IF(养成规划!E9="",INDIRECT(ADDRESS(ROW()-1,COLUMN())),养成规划!E9)</f>
        <v>2</v>
      </c>
      <c r="D1164" s="1" t="str">
        <f>IF(养成规划!H9="","",养成规划!H9)</f>
        <v/>
      </c>
      <c r="E1164" s="1" t="str">
        <f ca="1" t="shared" si="416"/>
        <v/>
      </c>
      <c r="F1164" s="15">
        <f ca="1">'204_军官任务'!U9</f>
        <v>0</v>
      </c>
      <c r="G1164" s="15">
        <f>'205_每日任务'!N9</f>
        <v>54</v>
      </c>
      <c r="H1164" s="15">
        <f ca="1">'206_副本挂机'!N128</f>
        <v>0.136152</v>
      </c>
      <c r="I1164" s="15">
        <f ca="1">'207_空投'!M9</f>
        <v>12</v>
      </c>
      <c r="J1164" s="15">
        <f ca="1">'208_黑市'!R9</f>
        <v>1.8</v>
      </c>
      <c r="K1164" s="15">
        <f ca="1">'210_活动'!X9</f>
        <v>0</v>
      </c>
      <c r="L1164" s="15">
        <f ca="1">'211_VIP宝箱'!O9</f>
        <v>0</v>
      </c>
      <c r="M1164" s="15">
        <f ca="1">'212_VIP商店'!O9</f>
        <v>0</v>
      </c>
      <c r="N1164" s="1" t="str">
        <f ca="1" t="shared" si="417"/>
        <v/>
      </c>
      <c r="O1164" s="1">
        <f ca="1" t="shared" si="418"/>
        <v>67.936152</v>
      </c>
      <c r="P1164" s="30"/>
      <c r="Q1164" s="30"/>
      <c r="S1164" s="45">
        <f ca="1" t="shared" si="419"/>
        <v>0</v>
      </c>
      <c r="T1164" s="45">
        <f t="shared" si="420"/>
        <v>180</v>
      </c>
      <c r="U1164" s="45">
        <f ca="1" t="shared" si="421"/>
        <v>0.68076</v>
      </c>
      <c r="V1164" s="45">
        <f ca="1" t="shared" si="422"/>
        <v>39.9999999999999</v>
      </c>
      <c r="W1164" s="45">
        <f ca="1" t="shared" si="423"/>
        <v>6</v>
      </c>
      <c r="X1164" s="45">
        <f ca="1" t="shared" si="424"/>
        <v>0</v>
      </c>
      <c r="Y1164" s="45">
        <f ca="1" t="shared" si="425"/>
        <v>0</v>
      </c>
      <c r="Z1164" s="45">
        <f ca="1" t="shared" si="426"/>
        <v>0</v>
      </c>
    </row>
    <row r="1165" spans="2:26">
      <c r="B1165" s="7">
        <v>0.4</v>
      </c>
      <c r="C1165" s="1">
        <f ca="1">IF(养成规划!E10="",INDIRECT(ADDRESS(ROW()-1,COLUMN())),养成规划!E10)</f>
        <v>3</v>
      </c>
      <c r="D1165" s="1" t="str">
        <f>IF(养成规划!H10="","",养成规划!H10)</f>
        <v/>
      </c>
      <c r="E1165" s="1" t="str">
        <f ca="1" t="shared" si="416"/>
        <v/>
      </c>
      <c r="F1165" s="15">
        <f ca="1">'204_军官任务'!U10</f>
        <v>0</v>
      </c>
      <c r="G1165" s="15">
        <f>'205_每日任务'!N10</f>
        <v>72</v>
      </c>
      <c r="H1165" s="15">
        <f ca="1">'206_副本挂机'!N129</f>
        <v>0.272304</v>
      </c>
      <c r="I1165" s="15">
        <f ca="1">'207_空投'!M10</f>
        <v>18</v>
      </c>
      <c r="J1165" s="15">
        <f ca="1">'208_黑市'!R10</f>
        <v>2.4</v>
      </c>
      <c r="K1165" s="15">
        <f ca="1">'210_活动'!X10</f>
        <v>0</v>
      </c>
      <c r="L1165" s="15">
        <f ca="1">'211_VIP宝箱'!O10</f>
        <v>0</v>
      </c>
      <c r="M1165" s="15">
        <f ca="1">'212_VIP商店'!O10</f>
        <v>0</v>
      </c>
      <c r="N1165" s="1" t="str">
        <f ca="1" t="shared" si="417"/>
        <v/>
      </c>
      <c r="O1165" s="1">
        <f ca="1" t="shared" si="418"/>
        <v>92.672304</v>
      </c>
      <c r="P1165" s="30"/>
      <c r="Q1165" s="30"/>
      <c r="S1165" s="45">
        <f ca="1" t="shared" si="419"/>
        <v>0</v>
      </c>
      <c r="T1165" s="45">
        <f t="shared" si="420"/>
        <v>180</v>
      </c>
      <c r="U1165" s="45">
        <f ca="1" t="shared" si="421"/>
        <v>1.36152</v>
      </c>
      <c r="V1165" s="45">
        <f ca="1" t="shared" si="422"/>
        <v>60</v>
      </c>
      <c r="W1165" s="45">
        <f ca="1" t="shared" si="423"/>
        <v>6</v>
      </c>
      <c r="X1165" s="45">
        <f ca="1" t="shared" si="424"/>
        <v>0</v>
      </c>
      <c r="Y1165" s="45">
        <f ca="1" t="shared" si="425"/>
        <v>0</v>
      </c>
      <c r="Z1165" s="45">
        <f ca="1" t="shared" si="426"/>
        <v>0</v>
      </c>
    </row>
    <row r="1166" spans="2:26">
      <c r="B1166" s="7">
        <v>0.5</v>
      </c>
      <c r="C1166" s="1">
        <f ca="1">IF(养成规划!E11="",INDIRECT(ADDRESS(ROW()-1,COLUMN())),养成规划!E11)</f>
        <v>3</v>
      </c>
      <c r="D1166" s="1">
        <f>IF(养成规划!H11="","",养成规划!H11)</f>
        <v>101</v>
      </c>
      <c r="E1166" s="1">
        <f ca="1" t="shared" si="416"/>
        <v>360</v>
      </c>
      <c r="F1166" s="15">
        <f ca="1">'204_军官任务'!U11</f>
        <v>0</v>
      </c>
      <c r="G1166" s="15">
        <f>'205_每日任务'!N11</f>
        <v>90</v>
      </c>
      <c r="H1166" s="15">
        <f ca="1">'206_副本挂机'!N130</f>
        <v>0.408456</v>
      </c>
      <c r="I1166" s="15">
        <f ca="1">'207_空投'!M11</f>
        <v>24</v>
      </c>
      <c r="J1166" s="15">
        <f ca="1">'208_黑市'!R11</f>
        <v>3</v>
      </c>
      <c r="K1166" s="15">
        <f ca="1">'210_活动'!X11</f>
        <v>0</v>
      </c>
      <c r="L1166" s="15">
        <f ca="1">'211_VIP宝箱'!O11</f>
        <v>0</v>
      </c>
      <c r="M1166" s="15">
        <f ca="1">'212_VIP商店'!O11</f>
        <v>0</v>
      </c>
      <c r="N1166" s="1">
        <f ca="1" t="shared" si="417"/>
        <v>360</v>
      </c>
      <c r="O1166" s="1">
        <f ca="1" t="shared" si="418"/>
        <v>117.408456</v>
      </c>
      <c r="P1166" s="30"/>
      <c r="Q1166" s="30"/>
      <c r="S1166" s="45">
        <f ca="1" t="shared" si="419"/>
        <v>0</v>
      </c>
      <c r="T1166" s="45">
        <f t="shared" si="420"/>
        <v>180</v>
      </c>
      <c r="U1166" s="45">
        <f ca="1" t="shared" si="421"/>
        <v>1.36152</v>
      </c>
      <c r="V1166" s="45">
        <f ca="1" t="shared" si="422"/>
        <v>60</v>
      </c>
      <c r="W1166" s="45">
        <f ca="1" t="shared" si="423"/>
        <v>6</v>
      </c>
      <c r="X1166" s="45">
        <f ca="1" t="shared" si="424"/>
        <v>0</v>
      </c>
      <c r="Y1166" s="45">
        <f ca="1" t="shared" si="425"/>
        <v>0</v>
      </c>
      <c r="Z1166" s="45">
        <f ca="1" t="shared" si="426"/>
        <v>0</v>
      </c>
    </row>
    <row r="1167" spans="2:26">
      <c r="B1167" s="7">
        <v>0.6</v>
      </c>
      <c r="C1167" s="1">
        <f ca="1">IF(养成规划!E12="",INDIRECT(ADDRESS(ROW()-1,COLUMN())),养成规划!E12)</f>
        <v>3</v>
      </c>
      <c r="D1167" s="1" t="str">
        <f>IF(养成规划!H12="","",养成规划!H12)</f>
        <v/>
      </c>
      <c r="E1167" s="1" t="str">
        <f ca="1" t="shared" si="416"/>
        <v/>
      </c>
      <c r="F1167" s="15">
        <f ca="1">'204_军官任务'!U12</f>
        <v>0</v>
      </c>
      <c r="G1167" s="15">
        <f>'205_每日任务'!N12</f>
        <v>108</v>
      </c>
      <c r="H1167" s="15">
        <f ca="1">'206_副本挂机'!N131</f>
        <v>0.612684</v>
      </c>
      <c r="I1167" s="15">
        <f ca="1">'207_空投'!M12</f>
        <v>30</v>
      </c>
      <c r="J1167" s="15">
        <f ca="1">'208_黑市'!R12</f>
        <v>3.6</v>
      </c>
      <c r="K1167" s="15">
        <f ca="1">'210_活动'!X12</f>
        <v>0</v>
      </c>
      <c r="L1167" s="15">
        <f ca="1">'211_VIP宝箱'!O12</f>
        <v>0</v>
      </c>
      <c r="M1167" s="15">
        <f ca="1">'212_VIP商店'!O12</f>
        <v>0</v>
      </c>
      <c r="N1167" s="1" t="str">
        <f ca="1" t="shared" si="417"/>
        <v/>
      </c>
      <c r="O1167" s="1">
        <f ca="1" t="shared" si="418"/>
        <v>142.212684</v>
      </c>
      <c r="P1167" s="30"/>
      <c r="Q1167" s="30"/>
      <c r="S1167" s="45">
        <f ca="1" t="shared" si="419"/>
        <v>0</v>
      </c>
      <c r="T1167" s="45">
        <f t="shared" si="420"/>
        <v>180</v>
      </c>
      <c r="U1167" s="45">
        <f ca="1" t="shared" si="421"/>
        <v>2.04228</v>
      </c>
      <c r="V1167" s="45">
        <f ca="1" t="shared" si="422"/>
        <v>60</v>
      </c>
      <c r="W1167" s="45">
        <f ca="1" t="shared" si="423"/>
        <v>6</v>
      </c>
      <c r="X1167" s="45">
        <f ca="1" t="shared" si="424"/>
        <v>0</v>
      </c>
      <c r="Y1167" s="45">
        <f ca="1" t="shared" si="425"/>
        <v>0</v>
      </c>
      <c r="Z1167" s="45">
        <f ca="1" t="shared" si="426"/>
        <v>0</v>
      </c>
    </row>
    <row r="1168" spans="2:26">
      <c r="B1168" s="7">
        <v>0.7</v>
      </c>
      <c r="C1168" s="1">
        <f ca="1">IF(养成规划!E13="",INDIRECT(ADDRESS(ROW()-1,COLUMN())),养成规划!E13)</f>
        <v>3</v>
      </c>
      <c r="D1168" s="1" t="str">
        <f>IF(养成规划!H13="","",养成规划!H13)</f>
        <v/>
      </c>
      <c r="E1168" s="1" t="str">
        <f ca="1" t="shared" si="416"/>
        <v/>
      </c>
      <c r="F1168" s="15">
        <f ca="1">'204_军官任务'!U13</f>
        <v>0</v>
      </c>
      <c r="G1168" s="15">
        <f>'205_每日任务'!N13</f>
        <v>126</v>
      </c>
      <c r="H1168" s="15">
        <f ca="1">'206_副本挂机'!N132</f>
        <v>0.816912</v>
      </c>
      <c r="I1168" s="15">
        <f ca="1">'207_空投'!M13</f>
        <v>36</v>
      </c>
      <c r="J1168" s="15">
        <f ca="1">'208_黑市'!R13</f>
        <v>4.2</v>
      </c>
      <c r="K1168" s="15">
        <f ca="1">'210_活动'!X13</f>
        <v>0</v>
      </c>
      <c r="L1168" s="15">
        <f ca="1">'211_VIP宝箱'!O13</f>
        <v>0</v>
      </c>
      <c r="M1168" s="15">
        <f ca="1">'212_VIP商店'!O13</f>
        <v>0</v>
      </c>
      <c r="N1168" s="1" t="str">
        <f ca="1" t="shared" si="417"/>
        <v/>
      </c>
      <c r="O1168" s="1">
        <f ca="1" t="shared" si="418"/>
        <v>167.016912</v>
      </c>
      <c r="P1168" s="30"/>
      <c r="Q1168" s="30"/>
      <c r="S1168" s="45">
        <f ca="1" t="shared" si="419"/>
        <v>0</v>
      </c>
      <c r="T1168" s="45">
        <f t="shared" si="420"/>
        <v>180</v>
      </c>
      <c r="U1168" s="45">
        <f ca="1" t="shared" si="421"/>
        <v>2.04228</v>
      </c>
      <c r="V1168" s="45">
        <f ca="1" t="shared" si="422"/>
        <v>60</v>
      </c>
      <c r="W1168" s="45">
        <f ca="1" t="shared" si="423"/>
        <v>6.00000000000001</v>
      </c>
      <c r="X1168" s="45">
        <f ca="1" t="shared" si="424"/>
        <v>0</v>
      </c>
      <c r="Y1168" s="45">
        <f ca="1" t="shared" si="425"/>
        <v>0</v>
      </c>
      <c r="Z1168" s="45">
        <f ca="1" t="shared" si="426"/>
        <v>0</v>
      </c>
    </row>
    <row r="1169" spans="2:26">
      <c r="B1169" s="7">
        <v>0.8</v>
      </c>
      <c r="C1169" s="1">
        <f ca="1">IF(养成规划!E14="",INDIRECT(ADDRESS(ROW()-1,COLUMN())),养成规划!E14)</f>
        <v>3</v>
      </c>
      <c r="D1169" s="1" t="str">
        <f>IF(养成规划!H14="","",养成规划!H14)</f>
        <v/>
      </c>
      <c r="E1169" s="1" t="str">
        <f ca="1" t="shared" si="416"/>
        <v/>
      </c>
      <c r="F1169" s="15">
        <f ca="1">'204_军官任务'!U14</f>
        <v>0</v>
      </c>
      <c r="G1169" s="15">
        <f>'205_每日任务'!N14</f>
        <v>144</v>
      </c>
      <c r="H1169" s="15">
        <f ca="1">'206_副本挂机'!N133</f>
        <v>1.091412</v>
      </c>
      <c r="I1169" s="15">
        <f ca="1">'207_空投'!M14</f>
        <v>42</v>
      </c>
      <c r="J1169" s="15">
        <f ca="1">'208_黑市'!R14</f>
        <v>4.8</v>
      </c>
      <c r="K1169" s="15">
        <f ca="1">'210_活动'!X14</f>
        <v>0</v>
      </c>
      <c r="L1169" s="15">
        <f ca="1">'211_VIP宝箱'!O14</f>
        <v>0</v>
      </c>
      <c r="M1169" s="15">
        <f ca="1">'212_VIP商店'!O14</f>
        <v>0</v>
      </c>
      <c r="N1169" s="1" t="str">
        <f ca="1" t="shared" si="417"/>
        <v/>
      </c>
      <c r="O1169" s="1">
        <f ca="1" t="shared" si="418"/>
        <v>191.891412</v>
      </c>
      <c r="P1169" s="30"/>
      <c r="Q1169" s="30"/>
      <c r="S1169" s="45">
        <f ca="1" t="shared" si="419"/>
        <v>0</v>
      </c>
      <c r="T1169" s="45">
        <f t="shared" si="420"/>
        <v>180</v>
      </c>
      <c r="U1169" s="45">
        <f ca="1" t="shared" si="421"/>
        <v>2.745</v>
      </c>
      <c r="V1169" s="45">
        <f ca="1" t="shared" si="422"/>
        <v>60</v>
      </c>
      <c r="W1169" s="45">
        <f ca="1" t="shared" si="423"/>
        <v>5.99999999999999</v>
      </c>
      <c r="X1169" s="45">
        <f ca="1" t="shared" si="424"/>
        <v>0</v>
      </c>
      <c r="Y1169" s="45">
        <f ca="1" t="shared" si="425"/>
        <v>0</v>
      </c>
      <c r="Z1169" s="45">
        <f ca="1" t="shared" si="426"/>
        <v>0</v>
      </c>
    </row>
    <row r="1170" spans="2:26">
      <c r="B1170" s="7">
        <v>0.9</v>
      </c>
      <c r="C1170" s="1">
        <f ca="1">IF(养成规划!E15="",INDIRECT(ADDRESS(ROW()-1,COLUMN())),养成规划!E15)</f>
        <v>3</v>
      </c>
      <c r="D1170" s="1" t="str">
        <f>IF(养成规划!H15="","",养成规划!H15)</f>
        <v/>
      </c>
      <c r="E1170" s="1" t="str">
        <f ca="1" t="shared" si="416"/>
        <v/>
      </c>
      <c r="F1170" s="15">
        <f ca="1">'204_军官任务'!U15</f>
        <v>0</v>
      </c>
      <c r="G1170" s="15">
        <f>'205_每日任务'!N15</f>
        <v>162</v>
      </c>
      <c r="H1170" s="15">
        <f ca="1">'206_副本挂机'!N134</f>
        <v>1.365912</v>
      </c>
      <c r="I1170" s="15">
        <f ca="1">'207_空投'!M15</f>
        <v>48</v>
      </c>
      <c r="J1170" s="15">
        <f ca="1">'208_黑市'!R15</f>
        <v>5.4</v>
      </c>
      <c r="K1170" s="15">
        <f ca="1">'210_活动'!X15</f>
        <v>0</v>
      </c>
      <c r="L1170" s="15">
        <f ca="1">'211_VIP宝箱'!O15</f>
        <v>0</v>
      </c>
      <c r="M1170" s="15">
        <f ca="1">'212_VIP商店'!O15</f>
        <v>0</v>
      </c>
      <c r="N1170" s="1" t="str">
        <f ca="1" t="shared" si="417"/>
        <v/>
      </c>
      <c r="O1170" s="1">
        <f ca="1" t="shared" si="418"/>
        <v>216.765912</v>
      </c>
      <c r="P1170" s="30"/>
      <c r="Q1170" s="30"/>
      <c r="S1170" s="45">
        <f ca="1" t="shared" si="419"/>
        <v>0</v>
      </c>
      <c r="T1170" s="45">
        <f t="shared" si="420"/>
        <v>180</v>
      </c>
      <c r="U1170" s="45">
        <f ca="1" t="shared" si="421"/>
        <v>2.745</v>
      </c>
      <c r="V1170" s="45">
        <f ca="1" t="shared" si="422"/>
        <v>60</v>
      </c>
      <c r="W1170" s="45">
        <f ca="1" t="shared" si="423"/>
        <v>6</v>
      </c>
      <c r="X1170" s="45">
        <f ca="1" t="shared" si="424"/>
        <v>0</v>
      </c>
      <c r="Y1170" s="45">
        <f ca="1" t="shared" si="425"/>
        <v>0</v>
      </c>
      <c r="Z1170" s="45">
        <f ca="1" t="shared" si="426"/>
        <v>0</v>
      </c>
    </row>
    <row r="1171" spans="2:26">
      <c r="B1171" s="7">
        <v>1</v>
      </c>
      <c r="C1171" s="1">
        <f ca="1">IF(养成规划!E16="",INDIRECT(ADDRESS(ROW()-1,COLUMN())),养成规划!E16)</f>
        <v>4</v>
      </c>
      <c r="D1171" s="1">
        <f>IF(养成规划!H16="","",养成规划!H16)</f>
        <v>102</v>
      </c>
      <c r="E1171" s="1">
        <f ca="1" t="shared" si="416"/>
        <v>1680</v>
      </c>
      <c r="F1171" s="15">
        <f ca="1">'204_军官任务'!U16</f>
        <v>0</v>
      </c>
      <c r="G1171" s="15">
        <f>'205_每日任务'!N16</f>
        <v>180</v>
      </c>
      <c r="H1171" s="15">
        <f ca="1">'206_副本挂机'!N135</f>
        <v>1.708488</v>
      </c>
      <c r="I1171" s="15">
        <f ca="1">'207_空投'!M16</f>
        <v>56</v>
      </c>
      <c r="J1171" s="15">
        <f ca="1">'208_黑市'!R16</f>
        <v>6</v>
      </c>
      <c r="K1171" s="15">
        <f ca="1">'210_活动'!X16</f>
        <v>0</v>
      </c>
      <c r="L1171" s="15">
        <f ca="1">'211_VIP宝箱'!O16</f>
        <v>0</v>
      </c>
      <c r="M1171" s="15">
        <f ca="1">'212_VIP商店'!O16</f>
        <v>0</v>
      </c>
      <c r="N1171" s="1">
        <f ca="1" t="shared" si="417"/>
        <v>1680</v>
      </c>
      <c r="O1171" s="1">
        <f ca="1" t="shared" si="418"/>
        <v>243.708488</v>
      </c>
      <c r="P1171" s="30"/>
      <c r="Q1171" s="30"/>
      <c r="S1171" s="45">
        <f ca="1" t="shared" si="419"/>
        <v>0</v>
      </c>
      <c r="T1171" s="45">
        <f t="shared" si="420"/>
        <v>180</v>
      </c>
      <c r="U1171" s="45">
        <f ca="1" t="shared" si="421"/>
        <v>3.42576</v>
      </c>
      <c r="V1171" s="45">
        <f ca="1" t="shared" si="422"/>
        <v>80.0000000000002</v>
      </c>
      <c r="W1171" s="45">
        <f ca="1" t="shared" si="423"/>
        <v>6</v>
      </c>
      <c r="X1171" s="45">
        <f ca="1" t="shared" si="424"/>
        <v>0</v>
      </c>
      <c r="Y1171" s="45">
        <f ca="1" t="shared" si="425"/>
        <v>0</v>
      </c>
      <c r="Z1171" s="45">
        <f ca="1" t="shared" si="426"/>
        <v>0</v>
      </c>
    </row>
    <row r="1172" spans="2:26">
      <c r="B1172" s="9">
        <v>1.5</v>
      </c>
      <c r="C1172" s="1">
        <f ca="1">IF(养成规划!E17="",INDIRECT(ADDRESS(ROW()-1,COLUMN())),养成规划!E17)</f>
        <v>4</v>
      </c>
      <c r="D1172" s="1" t="str">
        <f>IF(养成规划!H17="","",养成规划!H17)</f>
        <v/>
      </c>
      <c r="E1172" s="1" t="str">
        <f ca="1" t="shared" si="416"/>
        <v/>
      </c>
      <c r="F1172" s="15">
        <f ca="1">'204_军官任务'!U17</f>
        <v>0</v>
      </c>
      <c r="G1172" s="15">
        <f>'205_每日任务'!N17</f>
        <v>270</v>
      </c>
      <c r="H1172" s="15">
        <f ca="1">'206_副本挂机'!N136</f>
        <v>3.586068</v>
      </c>
      <c r="I1172" s="15">
        <f ca="1">'207_空投'!M17</f>
        <v>96</v>
      </c>
      <c r="J1172" s="15">
        <f ca="1">'208_黑市'!R17</f>
        <v>9</v>
      </c>
      <c r="K1172" s="15">
        <f ca="1">'210_活动'!X17</f>
        <v>0</v>
      </c>
      <c r="L1172" s="15">
        <f ca="1">'211_VIP宝箱'!O17</f>
        <v>0</v>
      </c>
      <c r="M1172" s="15">
        <f ca="1">'212_VIP商店'!O17</f>
        <v>0</v>
      </c>
      <c r="N1172" s="1" t="str">
        <f ca="1" t="shared" si="417"/>
        <v/>
      </c>
      <c r="O1172" s="1">
        <f ca="1" t="shared" si="418"/>
        <v>378.586068</v>
      </c>
      <c r="P1172" s="30"/>
      <c r="Q1172" s="30"/>
      <c r="S1172" s="45">
        <f ca="1" t="shared" si="419"/>
        <v>0</v>
      </c>
      <c r="T1172" s="45">
        <f t="shared" si="420"/>
        <v>180</v>
      </c>
      <c r="U1172" s="45">
        <f ca="1" t="shared" si="421"/>
        <v>3.75516</v>
      </c>
      <c r="V1172" s="45">
        <f ca="1" t="shared" si="422"/>
        <v>80.0000000000001</v>
      </c>
      <c r="W1172" s="45">
        <f ca="1" t="shared" si="423"/>
        <v>6</v>
      </c>
      <c r="X1172" s="45">
        <f ca="1" t="shared" si="424"/>
        <v>0</v>
      </c>
      <c r="Y1172" s="45">
        <f ca="1" t="shared" si="425"/>
        <v>0</v>
      </c>
      <c r="Z1172" s="45">
        <f ca="1" t="shared" si="426"/>
        <v>0</v>
      </c>
    </row>
    <row r="1173" spans="2:26">
      <c r="B1173" s="9">
        <v>2</v>
      </c>
      <c r="C1173" s="1">
        <f ca="1">IF(养成规划!E18="",INDIRECT(ADDRESS(ROW()-1,COLUMN())),养成规划!E18)</f>
        <v>4</v>
      </c>
      <c r="D1173" s="1" t="str">
        <f>IF(养成规划!H18="","",养成规划!H18)</f>
        <v/>
      </c>
      <c r="E1173" s="1" t="str">
        <f ca="1" t="shared" si="416"/>
        <v/>
      </c>
      <c r="F1173" s="15">
        <f ca="1">'204_军官任务'!U18</f>
        <v>0</v>
      </c>
      <c r="G1173" s="15">
        <f>'205_每日任务'!N18</f>
        <v>360</v>
      </c>
      <c r="H1173" s="15">
        <f ca="1">'206_副本挂机'!N137</f>
        <v>5.639328</v>
      </c>
      <c r="I1173" s="15">
        <f ca="1">'207_空投'!M18</f>
        <v>136</v>
      </c>
      <c r="J1173" s="15">
        <f ca="1">'208_黑市'!R18</f>
        <v>12</v>
      </c>
      <c r="K1173" s="15">
        <f ca="1">'210_活动'!X18</f>
        <v>0</v>
      </c>
      <c r="L1173" s="15">
        <f ca="1">'211_VIP宝箱'!O18</f>
        <v>0</v>
      </c>
      <c r="M1173" s="15">
        <f ca="1">'212_VIP商店'!O18</f>
        <v>0</v>
      </c>
      <c r="N1173" s="1" t="str">
        <f ca="1" t="shared" si="417"/>
        <v/>
      </c>
      <c r="O1173" s="1">
        <f ca="1" t="shared" si="418"/>
        <v>513.639328</v>
      </c>
      <c r="P1173" s="30"/>
      <c r="Q1173" s="30"/>
      <c r="S1173" s="45">
        <f ca="1" t="shared" si="419"/>
        <v>0</v>
      </c>
      <c r="T1173" s="45">
        <f t="shared" si="420"/>
        <v>180</v>
      </c>
      <c r="U1173" s="45">
        <f ca="1" t="shared" si="421"/>
        <v>4.10652</v>
      </c>
      <c r="V1173" s="45">
        <f ca="1" t="shared" si="422"/>
        <v>80.0000000000001</v>
      </c>
      <c r="W1173" s="45">
        <f ca="1" t="shared" si="423"/>
        <v>6</v>
      </c>
      <c r="X1173" s="45">
        <f ca="1" t="shared" si="424"/>
        <v>0</v>
      </c>
      <c r="Y1173" s="45">
        <f ca="1" t="shared" si="425"/>
        <v>0</v>
      </c>
      <c r="Z1173" s="45">
        <f ca="1" t="shared" si="426"/>
        <v>0</v>
      </c>
    </row>
    <row r="1174" spans="2:26">
      <c r="B1174" s="9">
        <v>2.5</v>
      </c>
      <c r="C1174" s="1">
        <f ca="1">IF(养成规划!E19="",INDIRECT(ADDRESS(ROW()-1,COLUMN())),养成规划!E19)</f>
        <v>4</v>
      </c>
      <c r="D1174" s="1" t="str">
        <f>IF(养成规划!H19="","",养成规划!H19)</f>
        <v/>
      </c>
      <c r="E1174" s="1" t="str">
        <f ca="1" t="shared" si="416"/>
        <v/>
      </c>
      <c r="F1174" s="15">
        <f ca="1">'204_军官任务'!U19</f>
        <v>0</v>
      </c>
      <c r="G1174" s="15">
        <f>'205_每日任务'!N19</f>
        <v>450</v>
      </c>
      <c r="H1174" s="15">
        <f ca="1">'206_副本挂机'!N138</f>
        <v>7.868268</v>
      </c>
      <c r="I1174" s="15">
        <f ca="1">'207_空投'!M19</f>
        <v>176</v>
      </c>
      <c r="J1174" s="15">
        <f ca="1">'208_黑市'!R19</f>
        <v>15</v>
      </c>
      <c r="K1174" s="15">
        <f ca="1">'210_活动'!X19</f>
        <v>0</v>
      </c>
      <c r="L1174" s="15">
        <f ca="1">'211_VIP宝箱'!O19</f>
        <v>0</v>
      </c>
      <c r="M1174" s="15">
        <f ca="1">'212_VIP商店'!O19</f>
        <v>0</v>
      </c>
      <c r="N1174" s="1" t="str">
        <f ca="1" t="shared" si="417"/>
        <v/>
      </c>
      <c r="O1174" s="1">
        <f ca="1" t="shared" si="418"/>
        <v>648.868268</v>
      </c>
      <c r="P1174" s="30"/>
      <c r="Q1174" s="30"/>
      <c r="S1174" s="45">
        <f ca="1" t="shared" si="419"/>
        <v>0</v>
      </c>
      <c r="T1174" s="45">
        <f t="shared" si="420"/>
        <v>180</v>
      </c>
      <c r="U1174" s="45">
        <f ca="1" t="shared" si="421"/>
        <v>4.45788</v>
      </c>
      <c r="V1174" s="45">
        <f ca="1" t="shared" si="422"/>
        <v>80.0000000000001</v>
      </c>
      <c r="W1174" s="45">
        <f ca="1" t="shared" si="423"/>
        <v>6</v>
      </c>
      <c r="X1174" s="45">
        <f ca="1" t="shared" si="424"/>
        <v>0</v>
      </c>
      <c r="Y1174" s="45">
        <f ca="1" t="shared" si="425"/>
        <v>0</v>
      </c>
      <c r="Z1174" s="45">
        <f ca="1" t="shared" si="426"/>
        <v>0</v>
      </c>
    </row>
    <row r="1175" spans="2:26">
      <c r="B1175" s="9">
        <v>3</v>
      </c>
      <c r="C1175" s="1">
        <f ca="1">IF(养成规划!E20="",INDIRECT(ADDRESS(ROW()-1,COLUMN())),养成规划!E20)</f>
        <v>4</v>
      </c>
      <c r="D1175" s="1" t="str">
        <f>IF(养成规划!H20="","",养成规划!H20)</f>
        <v/>
      </c>
      <c r="E1175" s="1" t="str">
        <f ca="1" t="shared" si="416"/>
        <v/>
      </c>
      <c r="F1175" s="15">
        <f ca="1">'204_军官任务'!U20</f>
        <v>0</v>
      </c>
      <c r="G1175" s="15">
        <f>'205_每日任务'!N20</f>
        <v>540</v>
      </c>
      <c r="H1175" s="15">
        <f ca="1">'206_副本挂机'!N139</f>
        <v>10.437588</v>
      </c>
      <c r="I1175" s="15">
        <f ca="1">'207_空投'!M20</f>
        <v>216</v>
      </c>
      <c r="J1175" s="15">
        <f ca="1">'208_黑市'!R20</f>
        <v>18</v>
      </c>
      <c r="K1175" s="15">
        <f ca="1">'210_活动'!X20</f>
        <v>0</v>
      </c>
      <c r="L1175" s="15">
        <f ca="1">'211_VIP宝箱'!O20</f>
        <v>0</v>
      </c>
      <c r="M1175" s="15">
        <f ca="1">'212_VIP商店'!O20</f>
        <v>0</v>
      </c>
      <c r="N1175" s="1" t="str">
        <f ca="1" t="shared" si="417"/>
        <v/>
      </c>
      <c r="O1175" s="1">
        <f ca="1" t="shared" si="418"/>
        <v>784.437588</v>
      </c>
      <c r="P1175" s="30"/>
      <c r="Q1175" s="30"/>
      <c r="S1175" s="45">
        <f ca="1" t="shared" si="419"/>
        <v>0</v>
      </c>
      <c r="T1175" s="45">
        <f t="shared" si="420"/>
        <v>180</v>
      </c>
      <c r="U1175" s="45">
        <f ca="1" t="shared" si="421"/>
        <v>5.13864</v>
      </c>
      <c r="V1175" s="45">
        <f ca="1" t="shared" si="422"/>
        <v>80.0000000000001</v>
      </c>
      <c r="W1175" s="45">
        <f ca="1" t="shared" si="423"/>
        <v>6</v>
      </c>
      <c r="X1175" s="45">
        <f ca="1" t="shared" si="424"/>
        <v>0</v>
      </c>
      <c r="Y1175" s="45">
        <f ca="1" t="shared" si="425"/>
        <v>0</v>
      </c>
      <c r="Z1175" s="45">
        <f ca="1" t="shared" si="426"/>
        <v>0</v>
      </c>
    </row>
    <row r="1176" spans="2:26">
      <c r="B1176" s="9">
        <v>3.5</v>
      </c>
      <c r="C1176" s="1">
        <f ca="1">IF(养成规划!E21="",INDIRECT(ADDRESS(ROW()-1,COLUMN())),养成规划!E21)</f>
        <v>4</v>
      </c>
      <c r="D1176" s="1" t="str">
        <f>IF(养成规划!H21="","",养成规划!H21)</f>
        <v/>
      </c>
      <c r="E1176" s="1" t="str">
        <f ca="1" t="shared" si="416"/>
        <v/>
      </c>
      <c r="F1176" s="15">
        <f ca="1">'204_军官任务'!U21</f>
        <v>0</v>
      </c>
      <c r="G1176" s="15">
        <f>'205_每日任务'!N21</f>
        <v>630</v>
      </c>
      <c r="H1176" s="15">
        <f ca="1">'206_副本挂机'!N140</f>
        <v>13.182588</v>
      </c>
      <c r="I1176" s="15">
        <f ca="1">'207_空投'!M21</f>
        <v>256</v>
      </c>
      <c r="J1176" s="15">
        <f ca="1">'208_黑市'!R21</f>
        <v>21</v>
      </c>
      <c r="K1176" s="15">
        <f ca="1">'210_活动'!X21</f>
        <v>0</v>
      </c>
      <c r="L1176" s="15">
        <f ca="1">'211_VIP宝箱'!O21</f>
        <v>0</v>
      </c>
      <c r="M1176" s="15">
        <f ca="1">'212_VIP商店'!O21</f>
        <v>0</v>
      </c>
      <c r="N1176" s="1" t="str">
        <f ca="1" t="shared" si="417"/>
        <v/>
      </c>
      <c r="O1176" s="1">
        <f ca="1" t="shared" si="418"/>
        <v>920.182588</v>
      </c>
      <c r="P1176" s="30"/>
      <c r="Q1176" s="30"/>
      <c r="S1176" s="45">
        <f ca="1" t="shared" si="419"/>
        <v>0</v>
      </c>
      <c r="T1176" s="45">
        <f t="shared" si="420"/>
        <v>180</v>
      </c>
      <c r="U1176" s="45">
        <f ca="1" t="shared" si="421"/>
        <v>5.49</v>
      </c>
      <c r="V1176" s="45">
        <f ca="1" t="shared" si="422"/>
        <v>80.0000000000001</v>
      </c>
      <c r="W1176" s="45">
        <f ca="1" t="shared" si="423"/>
        <v>6</v>
      </c>
      <c r="X1176" s="45">
        <f ca="1" t="shared" si="424"/>
        <v>0</v>
      </c>
      <c r="Y1176" s="45">
        <f ca="1" t="shared" si="425"/>
        <v>0</v>
      </c>
      <c r="Z1176" s="45">
        <f ca="1" t="shared" si="426"/>
        <v>0</v>
      </c>
    </row>
    <row r="1177" spans="2:26">
      <c r="B1177" s="9">
        <v>4</v>
      </c>
      <c r="C1177" s="1">
        <f ca="1">IF(养成规划!E22="",INDIRECT(ADDRESS(ROW()-1,COLUMN())),养成规划!E22)</f>
        <v>4</v>
      </c>
      <c r="D1177" s="1" t="str">
        <f>IF(养成规划!H22="","",养成规划!H22)</f>
        <v/>
      </c>
      <c r="E1177" s="1" t="str">
        <f ca="1" t="shared" si="416"/>
        <v/>
      </c>
      <c r="F1177" s="15">
        <f ca="1">'204_军官任务'!U22</f>
        <v>0</v>
      </c>
      <c r="G1177" s="15">
        <f>'205_每日任务'!N22</f>
        <v>720</v>
      </c>
      <c r="H1177" s="15">
        <f ca="1">'206_副本挂机'!N141</f>
        <v>16.092288</v>
      </c>
      <c r="I1177" s="15">
        <f ca="1">'207_空投'!M22</f>
        <v>316</v>
      </c>
      <c r="J1177" s="15">
        <f ca="1">'208_黑市'!R22</f>
        <v>24</v>
      </c>
      <c r="K1177" s="15">
        <f ca="1">'210_活动'!X22</f>
        <v>0</v>
      </c>
      <c r="L1177" s="15">
        <f ca="1">'211_VIP宝箱'!O22</f>
        <v>0</v>
      </c>
      <c r="M1177" s="15">
        <f ca="1">'212_VIP商店'!O22</f>
        <v>0</v>
      </c>
      <c r="N1177" s="1" t="str">
        <f ca="1" t="shared" si="417"/>
        <v/>
      </c>
      <c r="O1177" s="1">
        <f ca="1" t="shared" si="418"/>
        <v>1076.092288</v>
      </c>
      <c r="P1177" s="30"/>
      <c r="Q1177" s="30"/>
      <c r="S1177" s="45">
        <f ca="1" t="shared" si="419"/>
        <v>0</v>
      </c>
      <c r="T1177" s="45">
        <f t="shared" si="420"/>
        <v>180</v>
      </c>
      <c r="U1177" s="45">
        <f ca="1" t="shared" si="421"/>
        <v>5.8194</v>
      </c>
      <c r="V1177" s="45">
        <f ca="1" t="shared" si="422"/>
        <v>120</v>
      </c>
      <c r="W1177" s="45">
        <f ca="1" t="shared" si="423"/>
        <v>6</v>
      </c>
      <c r="X1177" s="45">
        <f ca="1" t="shared" si="424"/>
        <v>0</v>
      </c>
      <c r="Y1177" s="45">
        <f ca="1" t="shared" si="425"/>
        <v>0</v>
      </c>
      <c r="Z1177" s="45">
        <f ca="1" t="shared" si="426"/>
        <v>0</v>
      </c>
    </row>
    <row r="1178" spans="2:26">
      <c r="B1178" s="9">
        <v>4.5</v>
      </c>
      <c r="C1178" s="1">
        <f ca="1">IF(养成规划!E23="",INDIRECT(ADDRESS(ROW()-1,COLUMN())),养成规划!E23)</f>
        <v>4</v>
      </c>
      <c r="D1178" s="1" t="str">
        <f>IF(养成规划!H23="","",养成规划!H23)</f>
        <v/>
      </c>
      <c r="E1178" s="1" t="str">
        <f ca="1" t="shared" si="416"/>
        <v/>
      </c>
      <c r="F1178" s="15">
        <f ca="1">'204_军官任务'!U23</f>
        <v>0</v>
      </c>
      <c r="G1178" s="15">
        <f>'205_每日任务'!N23</f>
        <v>810</v>
      </c>
      <c r="H1178" s="15">
        <f ca="1">'206_副本挂机'!N142</f>
        <v>19.177668</v>
      </c>
      <c r="I1178" s="15">
        <f ca="1">'207_空投'!M23</f>
        <v>376</v>
      </c>
      <c r="J1178" s="15">
        <f ca="1">'208_黑市'!R23</f>
        <v>27</v>
      </c>
      <c r="K1178" s="15">
        <f ca="1">'210_活动'!X23</f>
        <v>0</v>
      </c>
      <c r="L1178" s="15">
        <f ca="1">'211_VIP宝箱'!O23</f>
        <v>0</v>
      </c>
      <c r="M1178" s="15">
        <f ca="1">'212_VIP商店'!O23</f>
        <v>0</v>
      </c>
      <c r="N1178" s="1" t="str">
        <f ca="1" t="shared" si="417"/>
        <v/>
      </c>
      <c r="O1178" s="1">
        <f ca="1" t="shared" si="418"/>
        <v>1232.177668</v>
      </c>
      <c r="P1178" s="30"/>
      <c r="Q1178" s="30"/>
      <c r="S1178" s="45">
        <f ca="1" t="shared" si="419"/>
        <v>0</v>
      </c>
      <c r="T1178" s="45">
        <f t="shared" si="420"/>
        <v>180</v>
      </c>
      <c r="U1178" s="45">
        <f ca="1" t="shared" si="421"/>
        <v>6.17076</v>
      </c>
      <c r="V1178" s="45">
        <f ca="1" t="shared" si="422"/>
        <v>120</v>
      </c>
      <c r="W1178" s="45">
        <f ca="1" t="shared" si="423"/>
        <v>6</v>
      </c>
      <c r="X1178" s="45">
        <f ca="1" t="shared" si="424"/>
        <v>0</v>
      </c>
      <c r="Y1178" s="45">
        <f ca="1" t="shared" si="425"/>
        <v>0</v>
      </c>
      <c r="Z1178" s="45">
        <f ca="1" t="shared" si="426"/>
        <v>0</v>
      </c>
    </row>
    <row r="1179" spans="2:26">
      <c r="B1179" s="9">
        <v>5</v>
      </c>
      <c r="C1179" s="1">
        <f ca="1">IF(养成规划!E24="",INDIRECT(ADDRESS(ROW()-1,COLUMN())),养成规划!E24)</f>
        <v>4</v>
      </c>
      <c r="D1179" s="1">
        <f>IF(养成规划!H24="","",养成规划!H24)</f>
        <v>103</v>
      </c>
      <c r="E1179" s="1">
        <f ca="1" t="shared" si="416"/>
        <v>4080</v>
      </c>
      <c r="F1179" s="15">
        <f ca="1">'204_军官任务'!U24</f>
        <v>0</v>
      </c>
      <c r="G1179" s="15">
        <f>'205_每日任务'!N24</f>
        <v>900</v>
      </c>
      <c r="H1179" s="15">
        <f ca="1">'206_副本挂机'!N143</f>
        <v>22.603428</v>
      </c>
      <c r="I1179" s="15">
        <f ca="1">'207_空投'!M24</f>
        <v>436</v>
      </c>
      <c r="J1179" s="15">
        <f ca="1">'208_黑市'!R24</f>
        <v>30</v>
      </c>
      <c r="K1179" s="15">
        <f ca="1">'210_活动'!X24</f>
        <v>0</v>
      </c>
      <c r="L1179" s="15">
        <f ca="1">'211_VIP宝箱'!O24</f>
        <v>0</v>
      </c>
      <c r="M1179" s="15">
        <f ca="1">'212_VIP商店'!O24</f>
        <v>0</v>
      </c>
      <c r="N1179" s="1">
        <f ca="1" t="shared" si="417"/>
        <v>4080</v>
      </c>
      <c r="O1179" s="1">
        <f ca="1" t="shared" si="418"/>
        <v>1388.603428</v>
      </c>
      <c r="P1179" s="30"/>
      <c r="Q1179" s="30"/>
      <c r="S1179" s="45">
        <f ca="1" t="shared" si="419"/>
        <v>0</v>
      </c>
      <c r="T1179" s="45">
        <f t="shared" si="420"/>
        <v>180</v>
      </c>
      <c r="U1179" s="45">
        <f ca="1" t="shared" si="421"/>
        <v>6.85152</v>
      </c>
      <c r="V1179" s="45">
        <f ca="1" t="shared" si="422"/>
        <v>120</v>
      </c>
      <c r="W1179" s="45">
        <f ca="1" t="shared" si="423"/>
        <v>6</v>
      </c>
      <c r="X1179" s="45">
        <f ca="1" t="shared" si="424"/>
        <v>0</v>
      </c>
      <c r="Y1179" s="45">
        <f ca="1" t="shared" si="425"/>
        <v>0</v>
      </c>
      <c r="Z1179" s="45">
        <f ca="1" t="shared" si="426"/>
        <v>0</v>
      </c>
    </row>
    <row r="1180" spans="2:26">
      <c r="B1180" s="9">
        <v>5.5</v>
      </c>
      <c r="C1180" s="1">
        <f ca="1">IF(养成规划!E25="",INDIRECT(ADDRESS(ROW()-1,COLUMN())),养成规划!E25)</f>
        <v>4</v>
      </c>
      <c r="D1180" s="1" t="str">
        <f>IF(养成规划!H25="","",养成规划!H25)</f>
        <v/>
      </c>
      <c r="E1180" s="1" t="str">
        <f ca="1" t="shared" si="416"/>
        <v/>
      </c>
      <c r="F1180" s="15">
        <f ca="1">'204_军官任务'!U25</f>
        <v>0</v>
      </c>
      <c r="G1180" s="15">
        <f>'205_每日任务'!N25</f>
        <v>990</v>
      </c>
      <c r="H1180" s="15">
        <f ca="1">'206_副本挂机'!N144</f>
        <v>26.029188</v>
      </c>
      <c r="I1180" s="15">
        <f ca="1">'207_空投'!M25</f>
        <v>496</v>
      </c>
      <c r="J1180" s="15">
        <f ca="1">'208_黑市'!R25</f>
        <v>33</v>
      </c>
      <c r="K1180" s="15">
        <f ca="1">'210_活动'!X25</f>
        <v>0</v>
      </c>
      <c r="L1180" s="15">
        <f ca="1">'211_VIP宝箱'!O25</f>
        <v>0</v>
      </c>
      <c r="M1180" s="15">
        <f ca="1">'212_VIP商店'!O25</f>
        <v>0</v>
      </c>
      <c r="N1180" s="1" t="str">
        <f ca="1" t="shared" si="417"/>
        <v/>
      </c>
      <c r="O1180" s="1">
        <f ca="1" t="shared" si="418"/>
        <v>1545.029188</v>
      </c>
      <c r="P1180" s="30"/>
      <c r="Q1180" s="30"/>
      <c r="S1180" s="45">
        <f ca="1" t="shared" si="419"/>
        <v>0</v>
      </c>
      <c r="T1180" s="45">
        <f t="shared" si="420"/>
        <v>180</v>
      </c>
      <c r="U1180" s="45">
        <f ca="1" t="shared" si="421"/>
        <v>6.85152</v>
      </c>
      <c r="V1180" s="45">
        <f ca="1" t="shared" si="422"/>
        <v>120</v>
      </c>
      <c r="W1180" s="45">
        <f ca="1" t="shared" si="423"/>
        <v>6</v>
      </c>
      <c r="X1180" s="45">
        <f ca="1" t="shared" si="424"/>
        <v>0</v>
      </c>
      <c r="Y1180" s="45">
        <f ca="1" t="shared" si="425"/>
        <v>0</v>
      </c>
      <c r="Z1180" s="45">
        <f ca="1" t="shared" si="426"/>
        <v>0</v>
      </c>
    </row>
    <row r="1181" spans="2:26">
      <c r="B1181" s="9">
        <v>6</v>
      </c>
      <c r="C1181" s="1">
        <f ca="1">IF(养成规划!E26="",INDIRECT(ADDRESS(ROW()-1,COLUMN())),养成规划!E26)</f>
        <v>4</v>
      </c>
      <c r="D1181" s="1" t="str">
        <f>IF(养成规划!H26="","",养成规划!H26)</f>
        <v/>
      </c>
      <c r="E1181" s="1" t="str">
        <f ca="1" t="shared" si="416"/>
        <v/>
      </c>
      <c r="F1181" s="15">
        <f ca="1">'204_军官任务'!U26</f>
        <v>0</v>
      </c>
      <c r="G1181" s="15">
        <f>'205_每日任务'!N26</f>
        <v>1080</v>
      </c>
      <c r="H1181" s="15">
        <f ca="1">'206_副本挂机'!N145</f>
        <v>29.630628</v>
      </c>
      <c r="I1181" s="15">
        <f ca="1">'207_空投'!M26</f>
        <v>556</v>
      </c>
      <c r="J1181" s="15">
        <f ca="1">'208_黑市'!R26</f>
        <v>36</v>
      </c>
      <c r="K1181" s="15">
        <f ca="1">'210_活动'!X26</f>
        <v>0</v>
      </c>
      <c r="L1181" s="15">
        <f ca="1">'211_VIP宝箱'!O26</f>
        <v>0</v>
      </c>
      <c r="M1181" s="15">
        <f ca="1">'212_VIP商店'!O26</f>
        <v>0</v>
      </c>
      <c r="N1181" s="1" t="str">
        <f ca="1" t="shared" si="417"/>
        <v/>
      </c>
      <c r="O1181" s="1">
        <f ca="1" t="shared" si="418"/>
        <v>1701.630628</v>
      </c>
      <c r="P1181" s="30"/>
      <c r="Q1181" s="30"/>
      <c r="S1181" s="45">
        <f ca="1" t="shared" si="419"/>
        <v>0</v>
      </c>
      <c r="T1181" s="45">
        <f t="shared" si="420"/>
        <v>180</v>
      </c>
      <c r="U1181" s="45">
        <f ca="1" t="shared" si="421"/>
        <v>7.20288000000001</v>
      </c>
      <c r="V1181" s="45">
        <f ca="1" t="shared" si="422"/>
        <v>120</v>
      </c>
      <c r="W1181" s="45">
        <f ca="1" t="shared" si="423"/>
        <v>6</v>
      </c>
      <c r="X1181" s="45">
        <f ca="1" t="shared" si="424"/>
        <v>0</v>
      </c>
      <c r="Y1181" s="45">
        <f ca="1" t="shared" si="425"/>
        <v>0</v>
      </c>
      <c r="Z1181" s="45">
        <f ca="1" t="shared" si="426"/>
        <v>0</v>
      </c>
    </row>
    <row r="1182" spans="2:26">
      <c r="B1182" s="9">
        <v>6.5</v>
      </c>
      <c r="C1182" s="1">
        <f ca="1">IF(养成规划!E27="",INDIRECT(ADDRESS(ROW()-1,COLUMN())),养成规划!E27)</f>
        <v>4</v>
      </c>
      <c r="D1182" s="1" t="str">
        <f>IF(养成规划!H27="","",养成规划!H27)</f>
        <v/>
      </c>
      <c r="E1182" s="1" t="str">
        <f ca="1" t="shared" si="416"/>
        <v/>
      </c>
      <c r="F1182" s="15">
        <f ca="1">'204_军官任务'!U27</f>
        <v>0</v>
      </c>
      <c r="G1182" s="15">
        <f>'205_每日任务'!N27</f>
        <v>1170</v>
      </c>
      <c r="H1182" s="15">
        <f ca="1">'206_副本挂机'!N146</f>
        <v>33.232068</v>
      </c>
      <c r="I1182" s="15">
        <f ca="1">'207_空投'!M27</f>
        <v>616</v>
      </c>
      <c r="J1182" s="15">
        <f ca="1">'208_黑市'!R27</f>
        <v>39</v>
      </c>
      <c r="K1182" s="15">
        <f ca="1">'210_活动'!X27</f>
        <v>0</v>
      </c>
      <c r="L1182" s="15">
        <f ca="1">'211_VIP宝箱'!O27</f>
        <v>0</v>
      </c>
      <c r="M1182" s="15">
        <f ca="1">'212_VIP商店'!O27</f>
        <v>0</v>
      </c>
      <c r="N1182" s="1" t="str">
        <f ca="1" t="shared" si="417"/>
        <v/>
      </c>
      <c r="O1182" s="1">
        <f ca="1" t="shared" si="418"/>
        <v>1858.232068</v>
      </c>
      <c r="P1182" s="30"/>
      <c r="Q1182" s="30"/>
      <c r="S1182" s="45">
        <f ca="1" t="shared" si="419"/>
        <v>0</v>
      </c>
      <c r="T1182" s="45">
        <f t="shared" si="420"/>
        <v>180</v>
      </c>
      <c r="U1182" s="45">
        <f ca="1" t="shared" si="421"/>
        <v>7.20288</v>
      </c>
      <c r="V1182" s="45">
        <f ca="1" t="shared" si="422"/>
        <v>120</v>
      </c>
      <c r="W1182" s="45">
        <f ca="1" t="shared" si="423"/>
        <v>6</v>
      </c>
      <c r="X1182" s="45">
        <f ca="1" t="shared" si="424"/>
        <v>0</v>
      </c>
      <c r="Y1182" s="45">
        <f ca="1" t="shared" si="425"/>
        <v>0</v>
      </c>
      <c r="Z1182" s="45">
        <f ca="1" t="shared" si="426"/>
        <v>0</v>
      </c>
    </row>
    <row r="1183" spans="2:26">
      <c r="B1183" s="9">
        <v>7</v>
      </c>
      <c r="C1183" s="1">
        <f ca="1">IF(养成规划!E28="",INDIRECT(ADDRESS(ROW()-1,COLUMN())),养成规划!E28)</f>
        <v>5</v>
      </c>
      <c r="D1183" s="1">
        <f>IF(养成规划!H28="","",养成规划!H28)</f>
        <v>201</v>
      </c>
      <c r="E1183" s="1">
        <f ca="1" t="shared" si="416"/>
        <v>6600</v>
      </c>
      <c r="F1183" s="15">
        <f ca="1">'204_军官任务'!U28</f>
        <v>8.28</v>
      </c>
      <c r="G1183" s="15">
        <f>'205_每日任务'!N28</f>
        <v>1260</v>
      </c>
      <c r="H1183" s="15">
        <f ca="1">'206_副本挂机'!N147</f>
        <v>36.998208</v>
      </c>
      <c r="I1183" s="15">
        <f ca="1">'207_空投'!M28</f>
        <v>676</v>
      </c>
      <c r="J1183" s="15">
        <f ca="1">'208_黑市'!R28</f>
        <v>42</v>
      </c>
      <c r="K1183" s="15">
        <f ca="1">'210_活动'!X28</f>
        <v>0</v>
      </c>
      <c r="L1183" s="15">
        <f ca="1">'211_VIP宝箱'!O28</f>
        <v>0</v>
      </c>
      <c r="M1183" s="15">
        <f ca="1">'212_VIP商店'!O28</f>
        <v>0</v>
      </c>
      <c r="N1183" s="1">
        <f ca="1" t="shared" si="417"/>
        <v>6600</v>
      </c>
      <c r="O1183" s="1">
        <f ca="1" t="shared" si="418"/>
        <v>2023.278208</v>
      </c>
      <c r="P1183" s="30">
        <f ca="1">总规划!I236*1000+总规划!C236/900*18.3</f>
        <v>2556.9525</v>
      </c>
      <c r="Q1183" s="30">
        <f ca="1">N1183-O1183-P1183</f>
        <v>2019.769292</v>
      </c>
      <c r="S1183" s="45">
        <f ca="1" t="shared" si="419"/>
        <v>16.56</v>
      </c>
      <c r="T1183" s="45">
        <f t="shared" si="420"/>
        <v>180</v>
      </c>
      <c r="U1183" s="45">
        <f ca="1" t="shared" si="421"/>
        <v>7.53228000000001</v>
      </c>
      <c r="V1183" s="45">
        <f ca="1" t="shared" si="422"/>
        <v>120</v>
      </c>
      <c r="W1183" s="45">
        <f ca="1" t="shared" si="423"/>
        <v>6</v>
      </c>
      <c r="X1183" s="45">
        <f ca="1" t="shared" si="424"/>
        <v>0</v>
      </c>
      <c r="Y1183" s="45">
        <f ca="1" t="shared" si="425"/>
        <v>0</v>
      </c>
      <c r="Z1183" s="45">
        <f ca="1" t="shared" si="426"/>
        <v>0</v>
      </c>
    </row>
    <row r="1184" spans="2:26">
      <c r="B1184" s="10">
        <v>8</v>
      </c>
      <c r="C1184" s="1">
        <f ca="1">IF(养成规划!E29="",INDIRECT(ADDRESS(ROW()-1,COLUMN())),养成规划!E29)</f>
        <v>5</v>
      </c>
      <c r="D1184" s="1" t="str">
        <f>IF(养成规划!H29="","",养成规划!H29)</f>
        <v/>
      </c>
      <c r="E1184" s="1" t="str">
        <f ca="1" t="shared" si="416"/>
        <v/>
      </c>
      <c r="F1184" s="15">
        <f ca="1">'204_军官任务'!U29</f>
        <v>24.84</v>
      </c>
      <c r="G1184" s="15">
        <f>'205_每日任务'!N29</f>
        <v>1440</v>
      </c>
      <c r="H1184" s="15">
        <f ca="1">'206_副本挂机'!N148</f>
        <v>44.881848</v>
      </c>
      <c r="I1184" s="15">
        <f ca="1">'207_空投'!M29</f>
        <v>796</v>
      </c>
      <c r="J1184" s="15">
        <f ca="1">'208_黑市'!R29</f>
        <v>54</v>
      </c>
      <c r="K1184" s="15">
        <f ca="1">'210_活动'!X29</f>
        <v>100</v>
      </c>
      <c r="L1184" s="15">
        <f ca="1">'211_VIP宝箱'!O29</f>
        <v>0</v>
      </c>
      <c r="M1184" s="15">
        <f ca="1">'212_VIP商店'!O29</f>
        <v>0</v>
      </c>
      <c r="N1184" s="1" t="str">
        <f ca="1" t="shared" si="417"/>
        <v/>
      </c>
      <c r="O1184" s="1">
        <f ca="1" t="shared" si="418"/>
        <v>2459.721848</v>
      </c>
      <c r="P1184" s="30"/>
      <c r="Q1184" s="30"/>
      <c r="S1184" s="45">
        <f ca="1" t="shared" si="419"/>
        <v>16.56</v>
      </c>
      <c r="T1184" s="45">
        <f t="shared" si="420"/>
        <v>180</v>
      </c>
      <c r="U1184" s="45">
        <f ca="1" t="shared" si="421"/>
        <v>7.88364</v>
      </c>
      <c r="V1184" s="45">
        <f ca="1" t="shared" si="422"/>
        <v>120</v>
      </c>
      <c r="W1184" s="45">
        <f ca="1" t="shared" si="423"/>
        <v>12</v>
      </c>
      <c r="X1184" s="45">
        <f ca="1" t="shared" si="424"/>
        <v>100</v>
      </c>
      <c r="Y1184" s="45">
        <f ca="1" t="shared" si="425"/>
        <v>0</v>
      </c>
      <c r="Z1184" s="45">
        <f ca="1" t="shared" si="426"/>
        <v>0</v>
      </c>
    </row>
    <row r="1185" spans="2:26">
      <c r="B1185" s="10">
        <v>9</v>
      </c>
      <c r="C1185" s="1">
        <f ca="1">IF(养成规划!E30="",INDIRECT(ADDRESS(ROW()-1,COLUMN())),养成规划!E30)</f>
        <v>5</v>
      </c>
      <c r="D1185" s="1" t="str">
        <f>IF(养成规划!H30="","",养成规划!H30)</f>
        <v/>
      </c>
      <c r="E1185" s="1" t="str">
        <f ca="1" t="shared" si="416"/>
        <v/>
      </c>
      <c r="F1185" s="15">
        <f ca="1">'204_军官任务'!U30</f>
        <v>41.4</v>
      </c>
      <c r="G1185" s="15">
        <f>'205_每日任务'!N30</f>
        <v>1620</v>
      </c>
      <c r="H1185" s="15">
        <f ca="1">'206_副本挂机'!N149</f>
        <v>53.446248</v>
      </c>
      <c r="I1185" s="15">
        <f ca="1">'207_空投'!M30</f>
        <v>916</v>
      </c>
      <c r="J1185" s="15">
        <f ca="1">'208_黑市'!R30</f>
        <v>66</v>
      </c>
      <c r="K1185" s="15">
        <f ca="1">'210_活动'!X30</f>
        <v>200</v>
      </c>
      <c r="L1185" s="15">
        <f ca="1">'211_VIP宝箱'!O30</f>
        <v>18.3</v>
      </c>
      <c r="M1185" s="15">
        <f ca="1">'212_VIP商店'!O30</f>
        <v>0</v>
      </c>
      <c r="N1185" s="1" t="str">
        <f ca="1" t="shared" si="417"/>
        <v/>
      </c>
      <c r="O1185" s="1">
        <f ca="1" t="shared" si="418"/>
        <v>2915.146248</v>
      </c>
      <c r="P1185" s="30"/>
      <c r="Q1185" s="30"/>
      <c r="S1185" s="45">
        <f ca="1" t="shared" si="419"/>
        <v>16.56</v>
      </c>
      <c r="T1185" s="45">
        <f t="shared" si="420"/>
        <v>180</v>
      </c>
      <c r="U1185" s="45">
        <f ca="1" t="shared" si="421"/>
        <v>8.5644</v>
      </c>
      <c r="V1185" s="45">
        <f ca="1" t="shared" si="422"/>
        <v>120</v>
      </c>
      <c r="W1185" s="45">
        <f ca="1" t="shared" si="423"/>
        <v>12</v>
      </c>
      <c r="X1185" s="45">
        <f ca="1" t="shared" si="424"/>
        <v>100</v>
      </c>
      <c r="Y1185" s="45">
        <f ca="1" t="shared" si="425"/>
        <v>18.3</v>
      </c>
      <c r="Z1185" s="45">
        <f ca="1" t="shared" si="426"/>
        <v>0</v>
      </c>
    </row>
    <row r="1186" spans="2:26">
      <c r="B1186" s="10">
        <v>10</v>
      </c>
      <c r="C1186" s="1">
        <f ca="1">IF(养成规划!E31="",INDIRECT(ADDRESS(ROW()-1,COLUMN())),养成规划!E31)</f>
        <v>5</v>
      </c>
      <c r="D1186" s="1" t="str">
        <f>IF(养成规划!H31="","",养成规划!H31)</f>
        <v/>
      </c>
      <c r="E1186" s="1" t="str">
        <f ca="1" t="shared" si="416"/>
        <v/>
      </c>
      <c r="F1186" s="15">
        <f ca="1">'204_军官任务'!U31</f>
        <v>57.96</v>
      </c>
      <c r="G1186" s="15">
        <f>'205_每日任务'!N31</f>
        <v>1800</v>
      </c>
      <c r="H1186" s="15">
        <f ca="1">'206_副本挂机'!N150</f>
        <v>62.362008</v>
      </c>
      <c r="I1186" s="15">
        <f ca="1">'207_空投'!M31</f>
        <v>1036</v>
      </c>
      <c r="J1186" s="15">
        <f ca="1">'208_黑市'!R31</f>
        <v>78</v>
      </c>
      <c r="K1186" s="15">
        <f ca="1">'210_活动'!X31</f>
        <v>300</v>
      </c>
      <c r="L1186" s="15">
        <f ca="1">'211_VIP宝箱'!O31</f>
        <v>36.6</v>
      </c>
      <c r="M1186" s="15">
        <f ca="1">'212_VIP商店'!O31</f>
        <v>0</v>
      </c>
      <c r="N1186" s="1" t="str">
        <f ca="1" t="shared" si="417"/>
        <v/>
      </c>
      <c r="O1186" s="1">
        <f ca="1" t="shared" si="418"/>
        <v>3370.922008</v>
      </c>
      <c r="P1186" s="30"/>
      <c r="Q1186" s="30"/>
      <c r="S1186" s="45">
        <f ca="1" t="shared" si="419"/>
        <v>16.56</v>
      </c>
      <c r="T1186" s="45">
        <f t="shared" si="420"/>
        <v>180</v>
      </c>
      <c r="U1186" s="45">
        <f ca="1" t="shared" si="421"/>
        <v>8.91576</v>
      </c>
      <c r="V1186" s="45">
        <f ca="1" t="shared" si="422"/>
        <v>120</v>
      </c>
      <c r="W1186" s="45">
        <f ca="1" t="shared" si="423"/>
        <v>12</v>
      </c>
      <c r="X1186" s="45">
        <f ca="1" t="shared" si="424"/>
        <v>100</v>
      </c>
      <c r="Y1186" s="45">
        <f ca="1" t="shared" si="425"/>
        <v>18.3</v>
      </c>
      <c r="Z1186" s="45">
        <f ca="1" t="shared" si="426"/>
        <v>0</v>
      </c>
    </row>
    <row r="1187" spans="2:26">
      <c r="B1187" s="10">
        <v>11</v>
      </c>
      <c r="C1187" s="1">
        <f ca="1">IF(养成规划!E32="",INDIRECT(ADDRESS(ROW()-1,COLUMN())),养成规划!E32)</f>
        <v>5</v>
      </c>
      <c r="D1187" s="1">
        <f>IF(养成规划!H32="","",养成规划!H32)</f>
        <v>202</v>
      </c>
      <c r="E1187" s="1">
        <f ca="1" t="shared" si="416"/>
        <v>9600</v>
      </c>
      <c r="F1187" s="15">
        <f ca="1">'204_军官任务'!U32</f>
        <v>74.52</v>
      </c>
      <c r="G1187" s="15">
        <f>'205_每日任务'!N32</f>
        <v>1980</v>
      </c>
      <c r="H1187" s="15">
        <f ca="1">'206_副本挂机'!N151</f>
        <v>71.607168</v>
      </c>
      <c r="I1187" s="15">
        <f ca="1">'207_空投'!M32</f>
        <v>1156</v>
      </c>
      <c r="J1187" s="15">
        <f ca="1">'208_黑市'!R32</f>
        <v>90</v>
      </c>
      <c r="K1187" s="15">
        <f ca="1">'210_活动'!X32</f>
        <v>400</v>
      </c>
      <c r="L1187" s="15">
        <f ca="1">'211_VIP宝箱'!O32</f>
        <v>54.9</v>
      </c>
      <c r="M1187" s="15">
        <f ca="1">'212_VIP商店'!O32</f>
        <v>0</v>
      </c>
      <c r="N1187" s="1">
        <f ca="1" t="shared" si="417"/>
        <v>9600</v>
      </c>
      <c r="O1187" s="1">
        <f ca="1" t="shared" si="418"/>
        <v>3827.027168</v>
      </c>
      <c r="P1187" s="30"/>
      <c r="Q1187" s="30"/>
      <c r="S1187" s="45">
        <f ca="1" t="shared" si="419"/>
        <v>16.56</v>
      </c>
      <c r="T1187" s="45">
        <f t="shared" si="420"/>
        <v>180</v>
      </c>
      <c r="U1187" s="45">
        <f ca="1" t="shared" si="421"/>
        <v>9.24516000000001</v>
      </c>
      <c r="V1187" s="45">
        <f ca="1" t="shared" si="422"/>
        <v>120</v>
      </c>
      <c r="W1187" s="45">
        <f ca="1" t="shared" si="423"/>
        <v>12</v>
      </c>
      <c r="X1187" s="45">
        <f ca="1" t="shared" si="424"/>
        <v>100</v>
      </c>
      <c r="Y1187" s="45">
        <f ca="1" t="shared" si="425"/>
        <v>18.3</v>
      </c>
      <c r="Z1187" s="45">
        <f ca="1" t="shared" si="426"/>
        <v>0</v>
      </c>
    </row>
    <row r="1188" spans="2:26">
      <c r="B1188" s="10">
        <v>12</v>
      </c>
      <c r="C1188" s="1">
        <f ca="1">IF(养成规划!E33="",INDIRECT(ADDRESS(ROW()-1,COLUMN())),养成规划!E33)</f>
        <v>5</v>
      </c>
      <c r="D1188" s="1" t="str">
        <f>IF(养成规划!H33="","",养成规划!H33)</f>
        <v/>
      </c>
      <c r="E1188" s="1" t="str">
        <f ca="1" t="shared" si="416"/>
        <v/>
      </c>
      <c r="F1188" s="15">
        <f ca="1">'204_军官任务'!U33</f>
        <v>91.08</v>
      </c>
      <c r="G1188" s="15">
        <f>'205_每日任务'!N33</f>
        <v>2160</v>
      </c>
      <c r="H1188" s="15">
        <f ca="1">'206_副本挂机'!N152</f>
        <v>81.203688</v>
      </c>
      <c r="I1188" s="15">
        <f ca="1">'207_空投'!M33</f>
        <v>1276</v>
      </c>
      <c r="J1188" s="15">
        <f ca="1">'208_黑市'!R33</f>
        <v>102</v>
      </c>
      <c r="K1188" s="15">
        <f ca="1">'210_活动'!X33</f>
        <v>500</v>
      </c>
      <c r="L1188" s="15">
        <f ca="1">'211_VIP宝箱'!O33</f>
        <v>73.2</v>
      </c>
      <c r="M1188" s="15">
        <f ca="1">'212_VIP商店'!O33</f>
        <v>0</v>
      </c>
      <c r="N1188" s="1" t="str">
        <f ca="1" t="shared" si="417"/>
        <v/>
      </c>
      <c r="O1188" s="1">
        <f ca="1" t="shared" si="418"/>
        <v>4283.483688</v>
      </c>
      <c r="P1188" s="30"/>
      <c r="Q1188" s="30"/>
      <c r="S1188" s="45">
        <f ca="1" t="shared" si="419"/>
        <v>16.56</v>
      </c>
      <c r="T1188" s="45">
        <f t="shared" si="420"/>
        <v>180</v>
      </c>
      <c r="U1188" s="45">
        <f ca="1" t="shared" si="421"/>
        <v>9.59651999999998</v>
      </c>
      <c r="V1188" s="45">
        <f ca="1" t="shared" si="422"/>
        <v>120</v>
      </c>
      <c r="W1188" s="45">
        <f ca="1" t="shared" si="423"/>
        <v>12</v>
      </c>
      <c r="X1188" s="45">
        <f ca="1" t="shared" si="424"/>
        <v>100</v>
      </c>
      <c r="Y1188" s="45">
        <f ca="1" t="shared" si="425"/>
        <v>18.3</v>
      </c>
      <c r="Z1188" s="45">
        <f ca="1" t="shared" si="426"/>
        <v>0</v>
      </c>
    </row>
    <row r="1189" spans="2:26">
      <c r="B1189" s="10">
        <v>13</v>
      </c>
      <c r="C1189" s="1">
        <f ca="1">IF(养成规划!E34="",INDIRECT(ADDRESS(ROW()-1,COLUMN())),养成规划!E34)</f>
        <v>5</v>
      </c>
      <c r="D1189" s="1" t="str">
        <f>IF(养成规划!H34="","",养成规划!H34)</f>
        <v/>
      </c>
      <c r="E1189" s="1" t="str">
        <f ca="1" t="shared" si="416"/>
        <v/>
      </c>
      <c r="F1189" s="15">
        <f ca="1">'204_军官任务'!U34</f>
        <v>107.64</v>
      </c>
      <c r="G1189" s="15">
        <f>'205_每日任务'!N34</f>
        <v>2340</v>
      </c>
      <c r="H1189" s="15">
        <f ca="1">'206_副本挂机'!N153</f>
        <v>91.480968</v>
      </c>
      <c r="I1189" s="15">
        <f ca="1">'207_空投'!M34</f>
        <v>1396</v>
      </c>
      <c r="J1189" s="15">
        <f ca="1">'208_黑市'!R34</f>
        <v>114</v>
      </c>
      <c r="K1189" s="15">
        <f ca="1">'210_活动'!X34</f>
        <v>600</v>
      </c>
      <c r="L1189" s="15">
        <f ca="1">'211_VIP宝箱'!O34</f>
        <v>91.5</v>
      </c>
      <c r="M1189" s="15">
        <f ca="1">'212_VIP商店'!O34</f>
        <v>0</v>
      </c>
      <c r="N1189" s="1" t="str">
        <f ca="1" t="shared" si="417"/>
        <v/>
      </c>
      <c r="O1189" s="1">
        <f ca="1" t="shared" si="418"/>
        <v>4740.620968</v>
      </c>
      <c r="P1189" s="30"/>
      <c r="Q1189" s="30"/>
      <c r="S1189" s="45">
        <f ca="1" t="shared" si="419"/>
        <v>16.56</v>
      </c>
      <c r="T1189" s="45">
        <f t="shared" si="420"/>
        <v>180</v>
      </c>
      <c r="U1189" s="45">
        <f ca="1" t="shared" si="421"/>
        <v>10.27728</v>
      </c>
      <c r="V1189" s="45">
        <f ca="1" t="shared" si="422"/>
        <v>120</v>
      </c>
      <c r="W1189" s="45">
        <f ca="1" t="shared" si="423"/>
        <v>12</v>
      </c>
      <c r="X1189" s="45">
        <f ca="1" t="shared" si="424"/>
        <v>100</v>
      </c>
      <c r="Y1189" s="45">
        <f ca="1" t="shared" si="425"/>
        <v>18.3</v>
      </c>
      <c r="Z1189" s="45">
        <f ca="1" t="shared" si="426"/>
        <v>0</v>
      </c>
    </row>
    <row r="1190" spans="2:26">
      <c r="B1190" s="10">
        <v>14</v>
      </c>
      <c r="C1190" s="1">
        <f ca="1">IF(养成规划!E35="",INDIRECT(ADDRESS(ROW()-1,COLUMN())),养成规划!E35)</f>
        <v>5</v>
      </c>
      <c r="D1190" s="1" t="str">
        <f>IF(养成规划!H35="","",养成规划!H35)</f>
        <v/>
      </c>
      <c r="E1190" s="1" t="str">
        <f ca="1" t="shared" si="416"/>
        <v/>
      </c>
      <c r="F1190" s="15">
        <f ca="1">'204_军官任务'!U35</f>
        <v>124.2</v>
      </c>
      <c r="G1190" s="15">
        <f>'205_每日任务'!N35</f>
        <v>2520</v>
      </c>
      <c r="H1190" s="15">
        <f ca="1">'206_副本挂机'!N154</f>
        <v>102.109608</v>
      </c>
      <c r="I1190" s="15">
        <f ca="1">'207_空投'!M35</f>
        <v>1516</v>
      </c>
      <c r="J1190" s="15">
        <f ca="1">'208_黑市'!R35</f>
        <v>126</v>
      </c>
      <c r="K1190" s="15">
        <f ca="1">'210_活动'!X35</f>
        <v>700</v>
      </c>
      <c r="L1190" s="15">
        <f ca="1">'211_VIP宝箱'!O35</f>
        <v>109.8</v>
      </c>
      <c r="M1190" s="15">
        <f ca="1">'212_VIP商店'!O35</f>
        <v>0</v>
      </c>
      <c r="N1190" s="1" t="str">
        <f ca="1" t="shared" si="417"/>
        <v/>
      </c>
      <c r="O1190" s="1">
        <f ca="1" t="shared" si="418"/>
        <v>5198.109608</v>
      </c>
      <c r="P1190" s="30"/>
      <c r="Q1190" s="30"/>
      <c r="S1190" s="45">
        <f ca="1" t="shared" si="419"/>
        <v>16.56</v>
      </c>
      <c r="T1190" s="45">
        <f t="shared" si="420"/>
        <v>180</v>
      </c>
      <c r="U1190" s="45">
        <f ca="1" t="shared" si="421"/>
        <v>10.62864</v>
      </c>
      <c r="V1190" s="45">
        <f ca="1" t="shared" si="422"/>
        <v>120</v>
      </c>
      <c r="W1190" s="45">
        <f ca="1" t="shared" si="423"/>
        <v>12</v>
      </c>
      <c r="X1190" s="45">
        <f ca="1" t="shared" si="424"/>
        <v>100</v>
      </c>
      <c r="Y1190" s="45">
        <f ca="1" t="shared" si="425"/>
        <v>18.3</v>
      </c>
      <c r="Z1190" s="45">
        <f ca="1" t="shared" si="426"/>
        <v>0</v>
      </c>
    </row>
    <row r="1191" spans="2:26">
      <c r="B1191" s="10">
        <v>15</v>
      </c>
      <c r="C1191" s="1">
        <f ca="1">IF(养成规划!E36="",INDIRECT(ADDRESS(ROW()-1,COLUMN())),养成规划!E36)</f>
        <v>5</v>
      </c>
      <c r="D1191" s="1" t="str">
        <f>IF(养成规划!H36="","",养成规划!H36)</f>
        <v/>
      </c>
      <c r="E1191" s="1" t="str">
        <f ca="1" t="shared" si="416"/>
        <v/>
      </c>
      <c r="F1191" s="15">
        <f ca="1">'204_军官任务'!U36</f>
        <v>140.76</v>
      </c>
      <c r="G1191" s="15">
        <f>'205_每日任务'!N36</f>
        <v>2700</v>
      </c>
      <c r="H1191" s="15">
        <f ca="1">'206_副本挂机'!N155</f>
        <v>113.089608</v>
      </c>
      <c r="I1191" s="15">
        <f ca="1">'207_空投'!M36</f>
        <v>1636</v>
      </c>
      <c r="J1191" s="15">
        <f ca="1">'208_黑市'!R36</f>
        <v>150</v>
      </c>
      <c r="K1191" s="15">
        <f ca="1">'210_活动'!X36</f>
        <v>900</v>
      </c>
      <c r="L1191" s="15">
        <f ca="1">'211_VIP宝箱'!O36</f>
        <v>128.1</v>
      </c>
      <c r="M1191" s="15">
        <f ca="1">'212_VIP商店'!O36</f>
        <v>0</v>
      </c>
      <c r="N1191" s="1" t="str">
        <f ca="1" t="shared" si="417"/>
        <v/>
      </c>
      <c r="O1191" s="1">
        <f ca="1" t="shared" si="418"/>
        <v>5767.949608</v>
      </c>
      <c r="P1191" s="30"/>
      <c r="Q1191" s="30"/>
      <c r="S1191" s="45">
        <f ca="1" t="shared" si="419"/>
        <v>16.56</v>
      </c>
      <c r="T1191" s="45">
        <f t="shared" si="420"/>
        <v>180</v>
      </c>
      <c r="U1191" s="45">
        <f ca="1" t="shared" si="421"/>
        <v>10.98</v>
      </c>
      <c r="V1191" s="45">
        <f ca="1" t="shared" si="422"/>
        <v>120</v>
      </c>
      <c r="W1191" s="45">
        <f ca="1" t="shared" si="423"/>
        <v>24</v>
      </c>
      <c r="X1191" s="45">
        <f ca="1" t="shared" si="424"/>
        <v>200</v>
      </c>
      <c r="Y1191" s="45">
        <f ca="1" t="shared" si="425"/>
        <v>18.3</v>
      </c>
      <c r="Z1191" s="45">
        <f ca="1" t="shared" si="426"/>
        <v>0</v>
      </c>
    </row>
    <row r="1192" spans="2:26">
      <c r="B1192" s="10">
        <v>16</v>
      </c>
      <c r="C1192" s="1">
        <f ca="1">IF(养成规划!E37="",INDIRECT(ADDRESS(ROW()-1,COLUMN())),养成规划!E37)</f>
        <v>5</v>
      </c>
      <c r="D1192" s="1">
        <f>IF(养成规划!H37="","",养成规划!H37)</f>
        <v>203</v>
      </c>
      <c r="E1192" s="1">
        <f ca="1" t="shared" si="416"/>
        <v>14100</v>
      </c>
      <c r="F1192" s="15">
        <f ca="1">'204_军官任务'!U37</f>
        <v>157.32</v>
      </c>
      <c r="G1192" s="15">
        <f>'205_每日任务'!N37</f>
        <v>2880</v>
      </c>
      <c r="H1192" s="15">
        <f ca="1">'206_副本挂机'!N156</f>
        <v>124.399008</v>
      </c>
      <c r="I1192" s="15">
        <f ca="1">'207_空投'!M37</f>
        <v>1756</v>
      </c>
      <c r="J1192" s="15">
        <f ca="1">'208_黑市'!R37</f>
        <v>174</v>
      </c>
      <c r="K1192" s="15">
        <f ca="1">'210_活动'!X37</f>
        <v>1100</v>
      </c>
      <c r="L1192" s="15">
        <f ca="1">'211_VIP宝箱'!O37</f>
        <v>146.4</v>
      </c>
      <c r="M1192" s="15">
        <f ca="1">'212_VIP商店'!O37</f>
        <v>0</v>
      </c>
      <c r="N1192" s="1">
        <f ca="1" t="shared" si="417"/>
        <v>14100</v>
      </c>
      <c r="O1192" s="1">
        <f ca="1" t="shared" si="418"/>
        <v>6338.119008</v>
      </c>
      <c r="P1192" s="30"/>
      <c r="Q1192" s="30"/>
      <c r="S1192" s="45">
        <f ca="1" t="shared" si="419"/>
        <v>16.56</v>
      </c>
      <c r="T1192" s="45">
        <f t="shared" si="420"/>
        <v>180</v>
      </c>
      <c r="U1192" s="45">
        <f ca="1" t="shared" si="421"/>
        <v>11.3094</v>
      </c>
      <c r="V1192" s="45">
        <f ca="1" t="shared" si="422"/>
        <v>120</v>
      </c>
      <c r="W1192" s="45">
        <f ca="1" t="shared" si="423"/>
        <v>24</v>
      </c>
      <c r="X1192" s="45">
        <f ca="1" t="shared" si="424"/>
        <v>200</v>
      </c>
      <c r="Y1192" s="45">
        <f ca="1" t="shared" si="425"/>
        <v>18.3</v>
      </c>
      <c r="Z1192" s="45">
        <f ca="1" t="shared" si="426"/>
        <v>0</v>
      </c>
    </row>
    <row r="1193" spans="2:26">
      <c r="B1193" s="10">
        <v>17</v>
      </c>
      <c r="C1193" s="1">
        <f ca="1">IF(养成规划!E38="",INDIRECT(ADDRESS(ROW()-1,COLUMN())),养成规划!E38)</f>
        <v>5</v>
      </c>
      <c r="D1193" s="1" t="str">
        <f>IF(养成规划!H38="","",养成规划!H38)</f>
        <v/>
      </c>
      <c r="E1193" s="1" t="str">
        <f ca="1" t="shared" ref="E1193:E1224" si="427">IFERROR(C1193*OFFSET($H$1360,MATCH(D1193,$B$1360:$B$1384,0)-1,0),"")</f>
        <v/>
      </c>
      <c r="F1193" s="15">
        <f ca="1">'204_军官任务'!U38</f>
        <v>173.88</v>
      </c>
      <c r="G1193" s="15">
        <f>'205_每日任务'!N38</f>
        <v>3060</v>
      </c>
      <c r="H1193" s="15">
        <f ca="1">'206_副本挂机'!N157</f>
        <v>136.059768</v>
      </c>
      <c r="I1193" s="15">
        <f ca="1">'207_空投'!M38</f>
        <v>1876</v>
      </c>
      <c r="J1193" s="15">
        <f ca="1">'208_黑市'!R38</f>
        <v>198</v>
      </c>
      <c r="K1193" s="15">
        <f ca="1">'210_活动'!X38</f>
        <v>1300</v>
      </c>
      <c r="L1193" s="15">
        <f ca="1">'211_VIP宝箱'!O38</f>
        <v>164.7</v>
      </c>
      <c r="M1193" s="15">
        <f ca="1">'212_VIP商店'!O38</f>
        <v>0</v>
      </c>
      <c r="N1193" s="1" t="str">
        <f ca="1" t="shared" ref="N1193:N1224" si="428">E1193</f>
        <v/>
      </c>
      <c r="O1193" s="1">
        <f ca="1" t="shared" ref="O1193:O1224" si="429">SUM(F1193:L1193)</f>
        <v>6908.639768</v>
      </c>
      <c r="P1193" s="30"/>
      <c r="Q1193" s="30"/>
      <c r="S1193" s="45">
        <f ca="1" t="shared" si="419"/>
        <v>16.56</v>
      </c>
      <c r="T1193" s="45">
        <f t="shared" si="420"/>
        <v>180</v>
      </c>
      <c r="U1193" s="45">
        <f ca="1" t="shared" si="421"/>
        <v>11.66076</v>
      </c>
      <c r="V1193" s="45">
        <f ca="1" t="shared" si="422"/>
        <v>120</v>
      </c>
      <c r="W1193" s="45">
        <f ca="1" t="shared" si="423"/>
        <v>24</v>
      </c>
      <c r="X1193" s="45">
        <f ca="1" t="shared" si="424"/>
        <v>200</v>
      </c>
      <c r="Y1193" s="45">
        <f ca="1" t="shared" si="425"/>
        <v>18.3</v>
      </c>
      <c r="Z1193" s="45">
        <f ca="1" t="shared" si="426"/>
        <v>0</v>
      </c>
    </row>
    <row r="1194" spans="2:26">
      <c r="B1194" s="10">
        <v>18</v>
      </c>
      <c r="C1194" s="1">
        <f ca="1">IF(养成规划!E39="",INDIRECT(ADDRESS(ROW()-1,COLUMN())),养成规划!E39)</f>
        <v>5</v>
      </c>
      <c r="D1194" s="1" t="str">
        <f>IF(养成规划!H39="","",养成规划!H39)</f>
        <v/>
      </c>
      <c r="E1194" s="1" t="str">
        <f ca="1" t="shared" si="427"/>
        <v/>
      </c>
      <c r="F1194" s="15">
        <f ca="1">'204_军官任务'!U39</f>
        <v>190.44</v>
      </c>
      <c r="G1194" s="15">
        <f>'205_每日任务'!N39</f>
        <v>3240</v>
      </c>
      <c r="H1194" s="15">
        <f ca="1">'206_副本挂机'!N158</f>
        <v>148.049928</v>
      </c>
      <c r="I1194" s="15">
        <f ca="1">'207_空投'!M39</f>
        <v>1996</v>
      </c>
      <c r="J1194" s="15">
        <f ca="1">'208_黑市'!R39</f>
        <v>222</v>
      </c>
      <c r="K1194" s="15">
        <f ca="1">'210_活动'!X39</f>
        <v>1500</v>
      </c>
      <c r="L1194" s="15">
        <f ca="1">'211_VIP宝箱'!O39</f>
        <v>183</v>
      </c>
      <c r="M1194" s="15">
        <f ca="1">'212_VIP商店'!O39</f>
        <v>0</v>
      </c>
      <c r="N1194" s="1" t="str">
        <f ca="1" t="shared" si="428"/>
        <v/>
      </c>
      <c r="O1194" s="1">
        <f ca="1" t="shared" si="429"/>
        <v>7479.489928</v>
      </c>
      <c r="P1194" s="30"/>
      <c r="Q1194" s="30"/>
      <c r="S1194" s="45">
        <f ca="1" t="shared" ref="S1194:S1225" si="430">(F1194-F1193)/($B1194-$B1193)</f>
        <v>16.56</v>
      </c>
      <c r="T1194" s="45">
        <f t="shared" ref="T1194:T1225" si="431">(G1194-G1193)/($B1194-$B1193)</f>
        <v>180</v>
      </c>
      <c r="U1194" s="45">
        <f ca="1" t="shared" ref="U1194:U1225" si="432">(H1194-H1193)/($B1194-$B1193)</f>
        <v>11.99016</v>
      </c>
      <c r="V1194" s="45">
        <f ca="1" t="shared" ref="V1194:V1225" si="433">(I1194-I1193)/($B1194-$B1193)</f>
        <v>120</v>
      </c>
      <c r="W1194" s="45">
        <f ca="1" t="shared" ref="W1194:W1225" si="434">(J1194-J1193)/($B1194-$B1193)</f>
        <v>24</v>
      </c>
      <c r="X1194" s="45">
        <f ca="1" t="shared" ref="X1194:X1225" si="435">(K1194-K1193)/($B1194-$B1193)</f>
        <v>200</v>
      </c>
      <c r="Y1194" s="45">
        <f ca="1" t="shared" ref="Y1194:Y1225" si="436">(L1194-L1193)/($B1194-$B1193)</f>
        <v>18.3</v>
      </c>
      <c r="Z1194" s="45">
        <f ca="1" t="shared" ref="Z1194:Z1225" si="437">(M1194-M1193)/($B1194-$B1193)</f>
        <v>0</v>
      </c>
    </row>
    <row r="1195" spans="2:26">
      <c r="B1195" s="10">
        <v>19</v>
      </c>
      <c r="C1195" s="1">
        <f ca="1">IF(养成规划!E40="",INDIRECT(ADDRESS(ROW()-1,COLUMN())),养成规划!E40)</f>
        <v>5</v>
      </c>
      <c r="D1195" s="1" t="str">
        <f>IF(养成规划!H40="","",养成规划!H40)</f>
        <v/>
      </c>
      <c r="E1195" s="1" t="str">
        <f ca="1" t="shared" si="427"/>
        <v/>
      </c>
      <c r="F1195" s="15">
        <f ca="1">'204_军官任务'!U40</f>
        <v>207</v>
      </c>
      <c r="G1195" s="15">
        <f>'205_每日任务'!N40</f>
        <v>3420</v>
      </c>
      <c r="H1195" s="15">
        <f ca="1">'206_副本挂机'!N159</f>
        <v>160.391448</v>
      </c>
      <c r="I1195" s="15">
        <f ca="1">'207_空投'!M40</f>
        <v>2116</v>
      </c>
      <c r="J1195" s="15">
        <f ca="1">'208_黑市'!R40</f>
        <v>246</v>
      </c>
      <c r="K1195" s="15">
        <f ca="1">'210_活动'!X40</f>
        <v>1700</v>
      </c>
      <c r="L1195" s="15">
        <f ca="1">'211_VIP宝箱'!O40</f>
        <v>201.3</v>
      </c>
      <c r="M1195" s="15">
        <f ca="1">'212_VIP商店'!O40</f>
        <v>0</v>
      </c>
      <c r="N1195" s="1" t="str">
        <f ca="1" t="shared" si="428"/>
        <v/>
      </c>
      <c r="O1195" s="1">
        <f ca="1" t="shared" si="429"/>
        <v>8050.691448</v>
      </c>
      <c r="P1195" s="30"/>
      <c r="Q1195" s="30"/>
      <c r="S1195" s="45">
        <f ca="1" t="shared" si="430"/>
        <v>16.56</v>
      </c>
      <c r="T1195" s="45">
        <f t="shared" si="431"/>
        <v>180</v>
      </c>
      <c r="U1195" s="45">
        <f ca="1" t="shared" si="432"/>
        <v>12.34152</v>
      </c>
      <c r="V1195" s="45">
        <f ca="1" t="shared" si="433"/>
        <v>120</v>
      </c>
      <c r="W1195" s="45">
        <f ca="1" t="shared" si="434"/>
        <v>24</v>
      </c>
      <c r="X1195" s="45">
        <f ca="1" t="shared" si="435"/>
        <v>200</v>
      </c>
      <c r="Y1195" s="45">
        <f ca="1" t="shared" si="436"/>
        <v>18.3</v>
      </c>
      <c r="Z1195" s="45">
        <f ca="1" t="shared" si="437"/>
        <v>0</v>
      </c>
    </row>
    <row r="1196" spans="2:26">
      <c r="B1196" s="10">
        <v>20</v>
      </c>
      <c r="C1196" s="1">
        <f ca="1">IF(养成规划!E41="",INDIRECT(ADDRESS(ROW()-1,COLUMN())),养成规划!E41)</f>
        <v>5</v>
      </c>
      <c r="D1196" s="1" t="str">
        <f>IF(养成规划!H41="","",养成规划!H41)</f>
        <v/>
      </c>
      <c r="E1196" s="1" t="str">
        <f ca="1" t="shared" si="427"/>
        <v/>
      </c>
      <c r="F1196" s="15">
        <f ca="1">'204_军官任务'!U41</f>
        <v>223.56</v>
      </c>
      <c r="G1196" s="15">
        <f>'205_每日任务'!N41</f>
        <v>3600</v>
      </c>
      <c r="H1196" s="15">
        <f ca="1">'206_副本挂机'!N160</f>
        <v>173.084328</v>
      </c>
      <c r="I1196" s="15">
        <f ca="1">'207_空投'!M41</f>
        <v>2316</v>
      </c>
      <c r="J1196" s="15">
        <f ca="1">'208_黑市'!R41</f>
        <v>270</v>
      </c>
      <c r="K1196" s="15">
        <f ca="1">'210_活动'!X41</f>
        <v>1900</v>
      </c>
      <c r="L1196" s="15">
        <f ca="1">'211_VIP宝箱'!O41</f>
        <v>219.6</v>
      </c>
      <c r="M1196" s="15">
        <f ca="1">'212_VIP商店'!O41</f>
        <v>107.142857142857</v>
      </c>
      <c r="N1196" s="1" t="str">
        <f ca="1" t="shared" si="428"/>
        <v/>
      </c>
      <c r="O1196" s="1">
        <f ca="1" t="shared" si="429"/>
        <v>8702.244328</v>
      </c>
      <c r="P1196" s="30"/>
      <c r="Q1196" s="30"/>
      <c r="S1196" s="45">
        <f ca="1" t="shared" si="430"/>
        <v>16.56</v>
      </c>
      <c r="T1196" s="45">
        <f t="shared" si="431"/>
        <v>180</v>
      </c>
      <c r="U1196" s="45">
        <f ca="1" t="shared" si="432"/>
        <v>12.69288</v>
      </c>
      <c r="V1196" s="45">
        <f ca="1" t="shared" si="433"/>
        <v>200</v>
      </c>
      <c r="W1196" s="45">
        <f ca="1" t="shared" si="434"/>
        <v>24</v>
      </c>
      <c r="X1196" s="45">
        <f ca="1" t="shared" si="435"/>
        <v>200</v>
      </c>
      <c r="Y1196" s="45">
        <f ca="1" t="shared" si="436"/>
        <v>18.3</v>
      </c>
      <c r="Z1196" s="45">
        <f ca="1" t="shared" si="437"/>
        <v>107.142857142857</v>
      </c>
    </row>
    <row r="1197" spans="2:26">
      <c r="B1197" s="10">
        <v>21</v>
      </c>
      <c r="C1197" s="1">
        <f ca="1">IF(养成规划!E42="",INDIRECT(ADDRESS(ROW()-1,COLUMN())),养成规划!E42)</f>
        <v>5</v>
      </c>
      <c r="D1197" s="1">
        <f>IF(养成规划!H42="","",养成规划!H42)</f>
        <v>204</v>
      </c>
      <c r="E1197" s="1">
        <f ca="1" t="shared" si="427"/>
        <v>20100</v>
      </c>
      <c r="F1197" s="15">
        <f ca="1">'204_军官任务'!U42</f>
        <v>240.12</v>
      </c>
      <c r="G1197" s="15">
        <f>'205_每日任务'!N42</f>
        <v>3780</v>
      </c>
      <c r="H1197" s="15">
        <f ca="1">'206_副本挂机'!N161</f>
        <v>186.106608</v>
      </c>
      <c r="I1197" s="15">
        <f ca="1">'207_空投'!M42</f>
        <v>2516</v>
      </c>
      <c r="J1197" s="15">
        <f ca="1">'208_黑市'!R42</f>
        <v>294</v>
      </c>
      <c r="K1197" s="15">
        <f ca="1">'210_活动'!X42</f>
        <v>2100</v>
      </c>
      <c r="L1197" s="15">
        <f ca="1">'211_VIP宝箱'!O42</f>
        <v>237.9</v>
      </c>
      <c r="M1197" s="15">
        <f ca="1">'212_VIP商店'!O42</f>
        <v>214.285714285714</v>
      </c>
      <c r="N1197" s="1">
        <f ca="1" t="shared" si="428"/>
        <v>20100</v>
      </c>
      <c r="O1197" s="1">
        <f ca="1" t="shared" si="429"/>
        <v>9354.126608</v>
      </c>
      <c r="P1197" s="30"/>
      <c r="Q1197" s="30"/>
      <c r="S1197" s="45">
        <f ca="1" t="shared" si="430"/>
        <v>16.56</v>
      </c>
      <c r="T1197" s="45">
        <f t="shared" si="431"/>
        <v>180</v>
      </c>
      <c r="U1197" s="45">
        <f ca="1" t="shared" si="432"/>
        <v>13.02228</v>
      </c>
      <c r="V1197" s="45">
        <f ca="1" t="shared" si="433"/>
        <v>200</v>
      </c>
      <c r="W1197" s="45">
        <f ca="1" t="shared" si="434"/>
        <v>24</v>
      </c>
      <c r="X1197" s="45">
        <f ca="1" t="shared" si="435"/>
        <v>200</v>
      </c>
      <c r="Y1197" s="45">
        <f ca="1" t="shared" si="436"/>
        <v>18.3</v>
      </c>
      <c r="Z1197" s="45">
        <f ca="1" t="shared" si="437"/>
        <v>107.142857142857</v>
      </c>
    </row>
    <row r="1198" spans="2:26">
      <c r="B1198" s="10">
        <v>22</v>
      </c>
      <c r="C1198" s="1">
        <f ca="1">IF(养成规划!E43="",INDIRECT(ADDRESS(ROW()-1,COLUMN())),养成规划!E43)</f>
        <v>5</v>
      </c>
      <c r="D1198" s="1" t="str">
        <f>IF(养成规划!H43="","",养成规划!H43)</f>
        <v/>
      </c>
      <c r="E1198" s="1" t="str">
        <f ca="1" t="shared" si="427"/>
        <v/>
      </c>
      <c r="F1198" s="15">
        <f ca="1">'204_军官任务'!U43</f>
        <v>256.68</v>
      </c>
      <c r="G1198" s="15">
        <f>'205_每日任务'!N43</f>
        <v>3960</v>
      </c>
      <c r="H1198" s="15">
        <f ca="1">'206_副本挂机'!N162</f>
        <v>199.480248</v>
      </c>
      <c r="I1198" s="15">
        <f ca="1">'207_空投'!M43</f>
        <v>2716</v>
      </c>
      <c r="J1198" s="15">
        <f ca="1">'208_黑市'!R43</f>
        <v>318</v>
      </c>
      <c r="K1198" s="15">
        <f ca="1">'210_活动'!X43</f>
        <v>2300</v>
      </c>
      <c r="L1198" s="15">
        <f ca="1">'211_VIP宝箱'!O43</f>
        <v>256.2</v>
      </c>
      <c r="M1198" s="15">
        <f ca="1">'212_VIP商店'!O43</f>
        <v>321.428571428571</v>
      </c>
      <c r="N1198" s="1" t="str">
        <f ca="1" t="shared" si="428"/>
        <v/>
      </c>
      <c r="O1198" s="1">
        <f ca="1" t="shared" si="429"/>
        <v>10006.360248</v>
      </c>
      <c r="P1198" s="30"/>
      <c r="Q1198" s="30"/>
      <c r="S1198" s="45">
        <f ca="1" t="shared" si="430"/>
        <v>16.56</v>
      </c>
      <c r="T1198" s="45">
        <f t="shared" si="431"/>
        <v>180</v>
      </c>
      <c r="U1198" s="45">
        <f ca="1" t="shared" si="432"/>
        <v>13.37364</v>
      </c>
      <c r="V1198" s="45">
        <f ca="1" t="shared" si="433"/>
        <v>200</v>
      </c>
      <c r="W1198" s="45">
        <f ca="1" t="shared" si="434"/>
        <v>24</v>
      </c>
      <c r="X1198" s="45">
        <f ca="1" t="shared" si="435"/>
        <v>200</v>
      </c>
      <c r="Y1198" s="45">
        <f ca="1" t="shared" si="436"/>
        <v>18.3</v>
      </c>
      <c r="Z1198" s="45">
        <f ca="1" t="shared" si="437"/>
        <v>107.142857142857</v>
      </c>
    </row>
    <row r="1199" spans="2:26">
      <c r="B1199" s="10">
        <v>23</v>
      </c>
      <c r="C1199" s="1">
        <f ca="1">IF(养成规划!E44="",INDIRECT(ADDRESS(ROW()-1,COLUMN())),养成规划!E44)</f>
        <v>5</v>
      </c>
      <c r="D1199" s="1" t="str">
        <f>IF(养成规划!H44="","",养成规划!H44)</f>
        <v/>
      </c>
      <c r="E1199" s="1" t="str">
        <f ca="1" t="shared" si="427"/>
        <v/>
      </c>
      <c r="F1199" s="15">
        <f ca="1">'204_军官任务'!U44</f>
        <v>273.24</v>
      </c>
      <c r="G1199" s="15">
        <f>'205_每日任务'!N44</f>
        <v>4140</v>
      </c>
      <c r="H1199" s="15">
        <f ca="1">'206_副本挂机'!N163</f>
        <v>213.205248</v>
      </c>
      <c r="I1199" s="15">
        <f ca="1">'207_空投'!M44</f>
        <v>2916</v>
      </c>
      <c r="J1199" s="15">
        <f ca="1">'208_黑市'!R44</f>
        <v>342</v>
      </c>
      <c r="K1199" s="15">
        <f ca="1">'210_活动'!X44</f>
        <v>2500</v>
      </c>
      <c r="L1199" s="15">
        <f ca="1">'211_VIP宝箱'!O44</f>
        <v>274.5</v>
      </c>
      <c r="M1199" s="15">
        <f ca="1">'212_VIP商店'!O44</f>
        <v>428.571428571428</v>
      </c>
      <c r="N1199" s="1" t="str">
        <f ca="1" t="shared" si="428"/>
        <v/>
      </c>
      <c r="O1199" s="1">
        <f ca="1" t="shared" si="429"/>
        <v>10658.945248</v>
      </c>
      <c r="P1199" s="30"/>
      <c r="Q1199" s="30"/>
      <c r="S1199" s="45">
        <f ca="1" t="shared" si="430"/>
        <v>16.56</v>
      </c>
      <c r="T1199" s="45">
        <f t="shared" si="431"/>
        <v>180</v>
      </c>
      <c r="U1199" s="45">
        <f ca="1" t="shared" si="432"/>
        <v>13.725</v>
      </c>
      <c r="V1199" s="45">
        <f ca="1" t="shared" si="433"/>
        <v>200</v>
      </c>
      <c r="W1199" s="45">
        <f ca="1" t="shared" si="434"/>
        <v>24</v>
      </c>
      <c r="X1199" s="45">
        <f ca="1" t="shared" si="435"/>
        <v>200</v>
      </c>
      <c r="Y1199" s="45">
        <f ca="1" t="shared" si="436"/>
        <v>18.3</v>
      </c>
      <c r="Z1199" s="45">
        <f ca="1" t="shared" si="437"/>
        <v>107.142857142857</v>
      </c>
    </row>
    <row r="1200" spans="2:26">
      <c r="B1200" s="10">
        <v>24</v>
      </c>
      <c r="C1200" s="1">
        <f ca="1">IF(养成规划!E45="",INDIRECT(ADDRESS(ROW()-1,COLUMN())),养成规划!E45)</f>
        <v>5</v>
      </c>
      <c r="D1200" s="1" t="str">
        <f>IF(养成规划!H45="","",养成规划!H45)</f>
        <v/>
      </c>
      <c r="E1200" s="1" t="str">
        <f ca="1" t="shared" si="427"/>
        <v/>
      </c>
      <c r="F1200" s="15">
        <f ca="1">'204_军官任务'!U45</f>
        <v>289.8</v>
      </c>
      <c r="G1200" s="15">
        <f>'205_每日任务'!N45</f>
        <v>4320</v>
      </c>
      <c r="H1200" s="15">
        <f ca="1">'206_副本挂机'!N164</f>
        <v>226.930248</v>
      </c>
      <c r="I1200" s="15">
        <f ca="1">'207_空投'!M45</f>
        <v>3116</v>
      </c>
      <c r="J1200" s="15">
        <f ca="1">'208_黑市'!R45</f>
        <v>366</v>
      </c>
      <c r="K1200" s="15">
        <f ca="1">'210_活动'!X45</f>
        <v>2700</v>
      </c>
      <c r="L1200" s="15">
        <f ca="1">'211_VIP宝箱'!O45</f>
        <v>292.8</v>
      </c>
      <c r="M1200" s="15">
        <f ca="1">'212_VIP商店'!O45</f>
        <v>535.714285714285</v>
      </c>
      <c r="N1200" s="1" t="str">
        <f ca="1" t="shared" si="428"/>
        <v/>
      </c>
      <c r="O1200" s="1">
        <f ca="1" t="shared" si="429"/>
        <v>11311.530248</v>
      </c>
      <c r="P1200" s="30"/>
      <c r="Q1200" s="30"/>
      <c r="S1200" s="45">
        <f ca="1" t="shared" si="430"/>
        <v>16.56</v>
      </c>
      <c r="T1200" s="45">
        <f t="shared" si="431"/>
        <v>180</v>
      </c>
      <c r="U1200" s="45">
        <f ca="1" t="shared" si="432"/>
        <v>13.725</v>
      </c>
      <c r="V1200" s="45">
        <f ca="1" t="shared" si="433"/>
        <v>200</v>
      </c>
      <c r="W1200" s="45">
        <f ca="1" t="shared" si="434"/>
        <v>24</v>
      </c>
      <c r="X1200" s="45">
        <f ca="1" t="shared" si="435"/>
        <v>200</v>
      </c>
      <c r="Y1200" s="45">
        <f ca="1" t="shared" si="436"/>
        <v>18.3</v>
      </c>
      <c r="Z1200" s="45">
        <f ca="1" t="shared" si="437"/>
        <v>107.142857142857</v>
      </c>
    </row>
    <row r="1201" spans="2:26">
      <c r="B1201" s="10">
        <v>25</v>
      </c>
      <c r="C1201" s="1">
        <f ca="1">IF(养成规划!E46="",INDIRECT(ADDRESS(ROW()-1,COLUMN())),养成规划!E46)</f>
        <v>5</v>
      </c>
      <c r="D1201" s="1" t="str">
        <f>IF(养成规划!H46="","",养成规划!H46)</f>
        <v/>
      </c>
      <c r="E1201" s="1" t="str">
        <f ca="1" t="shared" si="427"/>
        <v/>
      </c>
      <c r="F1201" s="15">
        <f ca="1">'204_军官任务'!U46</f>
        <v>306.36</v>
      </c>
      <c r="G1201" s="15">
        <f>'205_每日任务'!N46</f>
        <v>4500</v>
      </c>
      <c r="H1201" s="15">
        <f ca="1">'206_副本挂机'!N165</f>
        <v>241.336008</v>
      </c>
      <c r="I1201" s="15">
        <f ca="1">'207_空投'!M46</f>
        <v>3316</v>
      </c>
      <c r="J1201" s="15">
        <f ca="1">'208_黑市'!R46</f>
        <v>390</v>
      </c>
      <c r="K1201" s="15">
        <f ca="1">'210_活动'!X46</f>
        <v>2900</v>
      </c>
      <c r="L1201" s="15">
        <f ca="1">'211_VIP宝箱'!O46</f>
        <v>311.1</v>
      </c>
      <c r="M1201" s="15">
        <f ca="1">'212_VIP商店'!O46</f>
        <v>642.857142857142</v>
      </c>
      <c r="N1201" s="1" t="str">
        <f ca="1" t="shared" si="428"/>
        <v/>
      </c>
      <c r="O1201" s="1">
        <f ca="1" t="shared" si="429"/>
        <v>11964.796008</v>
      </c>
      <c r="P1201" s="30"/>
      <c r="Q1201" s="30"/>
      <c r="S1201" s="45">
        <f ca="1" t="shared" si="430"/>
        <v>16.56</v>
      </c>
      <c r="T1201" s="45">
        <f t="shared" si="431"/>
        <v>180</v>
      </c>
      <c r="U1201" s="45">
        <f ca="1" t="shared" si="432"/>
        <v>14.40576</v>
      </c>
      <c r="V1201" s="45">
        <f ca="1" t="shared" si="433"/>
        <v>200</v>
      </c>
      <c r="W1201" s="45">
        <f ca="1" t="shared" si="434"/>
        <v>24</v>
      </c>
      <c r="X1201" s="45">
        <f ca="1" t="shared" si="435"/>
        <v>200</v>
      </c>
      <c r="Y1201" s="45">
        <f ca="1" t="shared" si="436"/>
        <v>18.3</v>
      </c>
      <c r="Z1201" s="45">
        <f ca="1" t="shared" si="437"/>
        <v>107.142857142857</v>
      </c>
    </row>
    <row r="1202" spans="2:26">
      <c r="B1202" s="10">
        <v>26</v>
      </c>
      <c r="C1202" s="1">
        <f ca="1">IF(养成规划!E47="",INDIRECT(ADDRESS(ROW()-1,COLUMN())),养成规划!E47)</f>
        <v>5</v>
      </c>
      <c r="D1202" s="1" t="str">
        <f>IF(养成规划!H47="","",养成规划!H47)</f>
        <v/>
      </c>
      <c r="E1202" s="1" t="str">
        <f ca="1" t="shared" si="427"/>
        <v/>
      </c>
      <c r="F1202" s="15">
        <f ca="1">'204_军官任务'!U47</f>
        <v>322.92</v>
      </c>
      <c r="G1202" s="15">
        <f>'205_每日任务'!N47</f>
        <v>4680</v>
      </c>
      <c r="H1202" s="15">
        <f ca="1">'206_副本挂机'!N166</f>
        <v>256.422528</v>
      </c>
      <c r="I1202" s="15">
        <f ca="1">'207_空投'!M47</f>
        <v>3516</v>
      </c>
      <c r="J1202" s="15">
        <f ca="1">'208_黑市'!R47</f>
        <v>414</v>
      </c>
      <c r="K1202" s="15">
        <f ca="1">'210_活动'!X47</f>
        <v>3100</v>
      </c>
      <c r="L1202" s="15">
        <f ca="1">'211_VIP宝箱'!O47</f>
        <v>329.4</v>
      </c>
      <c r="M1202" s="15">
        <f ca="1">'212_VIP商店'!O47</f>
        <v>749.999999999999</v>
      </c>
      <c r="N1202" s="1" t="str">
        <f ca="1" t="shared" si="428"/>
        <v/>
      </c>
      <c r="O1202" s="1">
        <f ca="1" t="shared" si="429"/>
        <v>12618.742528</v>
      </c>
      <c r="P1202" s="30"/>
      <c r="Q1202" s="30"/>
      <c r="S1202" s="45">
        <f ca="1" t="shared" si="430"/>
        <v>16.56</v>
      </c>
      <c r="T1202" s="45">
        <f t="shared" si="431"/>
        <v>180</v>
      </c>
      <c r="U1202" s="45">
        <f ca="1" t="shared" si="432"/>
        <v>15.08652</v>
      </c>
      <c r="V1202" s="45">
        <f ca="1" t="shared" si="433"/>
        <v>200</v>
      </c>
      <c r="W1202" s="45">
        <f ca="1" t="shared" si="434"/>
        <v>24</v>
      </c>
      <c r="X1202" s="45">
        <f ca="1" t="shared" si="435"/>
        <v>200</v>
      </c>
      <c r="Y1202" s="45">
        <f ca="1" t="shared" si="436"/>
        <v>18.3</v>
      </c>
      <c r="Z1202" s="45">
        <f ca="1" t="shared" si="437"/>
        <v>107.142857142857</v>
      </c>
    </row>
    <row r="1203" spans="2:26">
      <c r="B1203" s="10">
        <v>27</v>
      </c>
      <c r="C1203" s="1">
        <f ca="1">IF(养成规划!E48="",INDIRECT(ADDRESS(ROW()-1,COLUMN())),养成规划!E48)</f>
        <v>5</v>
      </c>
      <c r="D1203" s="1">
        <f>IF(养成规划!H48="","",养成规划!H48)</f>
        <v>205</v>
      </c>
      <c r="E1203" s="1">
        <f ca="1" t="shared" si="427"/>
        <v>27600</v>
      </c>
      <c r="F1203" s="15">
        <f ca="1">'204_军官任务'!U48</f>
        <v>339.48</v>
      </c>
      <c r="G1203" s="15">
        <f>'205_每日任务'!N48</f>
        <v>4860</v>
      </c>
      <c r="H1203" s="15">
        <f ca="1">'206_副本挂机'!N167</f>
        <v>272.189808</v>
      </c>
      <c r="I1203" s="15">
        <f ca="1">'207_空投'!M48</f>
        <v>3716</v>
      </c>
      <c r="J1203" s="15">
        <f ca="1">'208_黑市'!R48</f>
        <v>438</v>
      </c>
      <c r="K1203" s="15">
        <f ca="1">'210_活动'!X48</f>
        <v>3300</v>
      </c>
      <c r="L1203" s="15">
        <f ca="1">'211_VIP宝箱'!O48</f>
        <v>347.7</v>
      </c>
      <c r="M1203" s="15">
        <f ca="1">'212_VIP商店'!O48</f>
        <v>857.142857142856</v>
      </c>
      <c r="N1203" s="1">
        <f ca="1" t="shared" si="428"/>
        <v>27600</v>
      </c>
      <c r="O1203" s="1">
        <f ca="1" t="shared" si="429"/>
        <v>13273.369808</v>
      </c>
      <c r="P1203" s="30"/>
      <c r="Q1203" s="30"/>
      <c r="S1203" s="45">
        <f ca="1" t="shared" si="430"/>
        <v>16.56</v>
      </c>
      <c r="T1203" s="45">
        <f t="shared" si="431"/>
        <v>180</v>
      </c>
      <c r="U1203" s="45">
        <f ca="1" t="shared" si="432"/>
        <v>15.76728</v>
      </c>
      <c r="V1203" s="45">
        <f ca="1" t="shared" si="433"/>
        <v>200</v>
      </c>
      <c r="W1203" s="45">
        <f ca="1" t="shared" si="434"/>
        <v>24</v>
      </c>
      <c r="X1203" s="45">
        <f ca="1" t="shared" si="435"/>
        <v>200</v>
      </c>
      <c r="Y1203" s="45">
        <f ca="1" t="shared" si="436"/>
        <v>18.3</v>
      </c>
      <c r="Z1203" s="45">
        <f ca="1" t="shared" si="437"/>
        <v>107.142857142857</v>
      </c>
    </row>
    <row r="1204" spans="2:26">
      <c r="B1204" s="10">
        <v>28</v>
      </c>
      <c r="C1204" s="1">
        <f ca="1">IF(养成规划!E49="",INDIRECT(ADDRESS(ROW()-1,COLUMN())),养成规划!E49)</f>
        <v>5</v>
      </c>
      <c r="D1204" s="1" t="str">
        <f>IF(养成规划!H49="","",养成规划!H49)</f>
        <v/>
      </c>
      <c r="E1204" s="1" t="str">
        <f ca="1" t="shared" si="427"/>
        <v/>
      </c>
      <c r="F1204" s="15">
        <f ca="1">'204_军官任务'!U49</f>
        <v>367.08</v>
      </c>
      <c r="G1204" s="15">
        <f>'205_每日任务'!N49</f>
        <v>5040</v>
      </c>
      <c r="H1204" s="15">
        <f ca="1">'206_副本挂机'!N168</f>
        <v>288.659808</v>
      </c>
      <c r="I1204" s="15">
        <f ca="1">'207_空投'!M49</f>
        <v>3916</v>
      </c>
      <c r="J1204" s="15">
        <f ca="1">'208_黑市'!R49</f>
        <v>462</v>
      </c>
      <c r="K1204" s="15">
        <f ca="1">'210_活动'!X49</f>
        <v>3500</v>
      </c>
      <c r="L1204" s="15">
        <f ca="1">'211_VIP宝箱'!O49</f>
        <v>366</v>
      </c>
      <c r="M1204" s="15">
        <f ca="1">'212_VIP商店'!O49</f>
        <v>964.285714285713</v>
      </c>
      <c r="N1204" s="1" t="str">
        <f ca="1" t="shared" si="428"/>
        <v/>
      </c>
      <c r="O1204" s="1">
        <f ca="1" t="shared" si="429"/>
        <v>13939.739808</v>
      </c>
      <c r="P1204" s="30"/>
      <c r="Q1204" s="30"/>
      <c r="S1204" s="45">
        <f ca="1" t="shared" si="430"/>
        <v>27.6</v>
      </c>
      <c r="T1204" s="45">
        <f t="shared" si="431"/>
        <v>180</v>
      </c>
      <c r="U1204" s="45">
        <f ca="1" t="shared" si="432"/>
        <v>16.47</v>
      </c>
      <c r="V1204" s="45">
        <f ca="1" t="shared" si="433"/>
        <v>200</v>
      </c>
      <c r="W1204" s="45">
        <f ca="1" t="shared" si="434"/>
        <v>24</v>
      </c>
      <c r="X1204" s="45">
        <f ca="1" t="shared" si="435"/>
        <v>200</v>
      </c>
      <c r="Y1204" s="45">
        <f ca="1" t="shared" si="436"/>
        <v>18.3</v>
      </c>
      <c r="Z1204" s="45">
        <f ca="1" t="shared" si="437"/>
        <v>107.142857142857</v>
      </c>
    </row>
    <row r="1205" spans="2:26">
      <c r="B1205" s="10">
        <v>29</v>
      </c>
      <c r="C1205" s="1">
        <f ca="1">IF(养成规划!E50="",INDIRECT(ADDRESS(ROW()-1,COLUMN())),养成规划!E50)</f>
        <v>5</v>
      </c>
      <c r="D1205" s="1">
        <f>IF(养成规划!H50="","",养成规划!H50)</f>
        <v>301</v>
      </c>
      <c r="E1205" s="1">
        <f ca="1" t="shared" si="427"/>
        <v>30600</v>
      </c>
      <c r="F1205" s="15">
        <f ca="1">'204_军官任务'!U50</f>
        <v>394.68</v>
      </c>
      <c r="G1205" s="15">
        <f>'205_每日任务'!N50</f>
        <v>5220</v>
      </c>
      <c r="H1205" s="15">
        <f ca="1">'206_副本挂机'!N169</f>
        <v>305.810568</v>
      </c>
      <c r="I1205" s="15">
        <f ca="1">'207_空投'!M50</f>
        <v>4116</v>
      </c>
      <c r="J1205" s="15">
        <f ca="1">'208_黑市'!R50</f>
        <v>486</v>
      </c>
      <c r="K1205" s="15">
        <f ca="1">'210_活动'!X50</f>
        <v>3700</v>
      </c>
      <c r="L1205" s="15">
        <f ca="1">'211_VIP宝箱'!O50</f>
        <v>384.3</v>
      </c>
      <c r="M1205" s="15">
        <f ca="1">'212_VIP商店'!O50</f>
        <v>1071.42857142857</v>
      </c>
      <c r="N1205" s="1">
        <f ca="1" t="shared" si="428"/>
        <v>30600</v>
      </c>
      <c r="O1205" s="1">
        <f ca="1" t="shared" si="429"/>
        <v>14606.790568</v>
      </c>
      <c r="P1205" s="30"/>
      <c r="Q1205" s="30"/>
      <c r="S1205" s="45">
        <f ca="1" t="shared" si="430"/>
        <v>27.6</v>
      </c>
      <c r="T1205" s="45">
        <f t="shared" si="431"/>
        <v>180</v>
      </c>
      <c r="U1205" s="45">
        <f ca="1" t="shared" si="432"/>
        <v>17.15076</v>
      </c>
      <c r="V1205" s="45">
        <f ca="1" t="shared" si="433"/>
        <v>200</v>
      </c>
      <c r="W1205" s="45">
        <f ca="1" t="shared" si="434"/>
        <v>24</v>
      </c>
      <c r="X1205" s="45">
        <f ca="1" t="shared" si="435"/>
        <v>200</v>
      </c>
      <c r="Y1205" s="45">
        <f ca="1" t="shared" si="436"/>
        <v>18.3</v>
      </c>
      <c r="Z1205" s="45">
        <f ca="1" t="shared" si="437"/>
        <v>107.142857142857</v>
      </c>
    </row>
    <row r="1206" spans="2:26">
      <c r="B1206" s="10">
        <v>30</v>
      </c>
      <c r="C1206" s="1">
        <f ca="1">IF(养成规划!E51="",INDIRECT(ADDRESS(ROW()-1,COLUMN())),养成规划!E51)</f>
        <v>5</v>
      </c>
      <c r="D1206" s="1">
        <f>IF(养成规划!H51="","",养成规划!H51)</f>
        <v>302</v>
      </c>
      <c r="E1206" s="1">
        <f ca="1" t="shared" si="427"/>
        <v>36600</v>
      </c>
      <c r="F1206" s="15">
        <f ca="1">'204_军官任务'!U51</f>
        <v>422.28</v>
      </c>
      <c r="G1206" s="15">
        <f>'205_每日任务'!N51</f>
        <v>5400</v>
      </c>
      <c r="H1206" s="15">
        <f ca="1">'206_副本挂机'!N170</f>
        <v>322.961328</v>
      </c>
      <c r="I1206" s="15">
        <f ca="1">'207_空投'!M51</f>
        <v>4316</v>
      </c>
      <c r="J1206" s="15">
        <f ca="1">'208_黑市'!R51</f>
        <v>510</v>
      </c>
      <c r="K1206" s="15">
        <f ca="1">'210_活动'!X51</f>
        <v>3900</v>
      </c>
      <c r="L1206" s="15">
        <f ca="1">'211_VIP宝箱'!O51</f>
        <v>420.9</v>
      </c>
      <c r="M1206" s="15">
        <f ca="1">'212_VIP商店'!O51</f>
        <v>1178.57142857143</v>
      </c>
      <c r="N1206" s="1">
        <f ca="1" t="shared" si="428"/>
        <v>36600</v>
      </c>
      <c r="O1206" s="1">
        <f ca="1" t="shared" si="429"/>
        <v>15292.141328</v>
      </c>
      <c r="P1206" s="30"/>
      <c r="Q1206" s="30"/>
      <c r="S1206" s="45">
        <f ca="1" t="shared" si="430"/>
        <v>27.6</v>
      </c>
      <c r="T1206" s="45">
        <f t="shared" si="431"/>
        <v>180</v>
      </c>
      <c r="U1206" s="45">
        <f ca="1" t="shared" si="432"/>
        <v>17.15076</v>
      </c>
      <c r="V1206" s="45">
        <f ca="1" t="shared" si="433"/>
        <v>200</v>
      </c>
      <c r="W1206" s="45">
        <f ca="1" t="shared" si="434"/>
        <v>24</v>
      </c>
      <c r="X1206" s="45">
        <f ca="1" t="shared" si="435"/>
        <v>200</v>
      </c>
      <c r="Y1206" s="45">
        <f ca="1" t="shared" si="436"/>
        <v>36.6</v>
      </c>
      <c r="Z1206" s="45">
        <f ca="1" t="shared" si="437"/>
        <v>107.142857142857</v>
      </c>
    </row>
    <row r="1207" spans="2:26">
      <c r="B1207" s="11">
        <v>35</v>
      </c>
      <c r="C1207" s="1">
        <f ca="1">IF(养成规划!E52="",INDIRECT(ADDRESS(ROW()-1,COLUMN())),养成规划!E52)</f>
        <v>5</v>
      </c>
      <c r="D1207" s="1">
        <f>IF(养成规划!H52="","",养成规划!H52)</f>
        <v>303</v>
      </c>
      <c r="E1207" s="1">
        <f ca="1" t="shared" si="427"/>
        <v>45600</v>
      </c>
      <c r="F1207" s="15">
        <f ca="1">'204_军官任务'!U52</f>
        <v>560.28</v>
      </c>
      <c r="G1207" s="15">
        <f>'205_每日任务'!N52</f>
        <v>6300</v>
      </c>
      <c r="H1207" s="15">
        <f ca="1">'206_副本挂机'!N171</f>
        <v>425.843928</v>
      </c>
      <c r="I1207" s="15">
        <f ca="1">'207_空投'!M52</f>
        <v>5316</v>
      </c>
      <c r="J1207" s="15">
        <f ca="1">'208_黑市'!R52</f>
        <v>690</v>
      </c>
      <c r="K1207" s="15">
        <f ca="1">'210_活动'!X52</f>
        <v>5400</v>
      </c>
      <c r="L1207" s="15">
        <f ca="1">'211_VIP宝箱'!O52</f>
        <v>603.9</v>
      </c>
      <c r="M1207" s="15">
        <f ca="1">'212_VIP商店'!O52</f>
        <v>1714.28571428571</v>
      </c>
      <c r="N1207" s="1">
        <f ca="1" t="shared" si="428"/>
        <v>45600</v>
      </c>
      <c r="O1207" s="1">
        <f ca="1" t="shared" si="429"/>
        <v>19296.023928</v>
      </c>
      <c r="P1207" s="30"/>
      <c r="Q1207" s="30"/>
      <c r="S1207" s="45">
        <f ca="1" t="shared" si="430"/>
        <v>27.6</v>
      </c>
      <c r="T1207" s="45">
        <f t="shared" si="431"/>
        <v>180</v>
      </c>
      <c r="U1207" s="45">
        <f ca="1" t="shared" si="432"/>
        <v>20.57652</v>
      </c>
      <c r="V1207" s="45">
        <f ca="1" t="shared" si="433"/>
        <v>200</v>
      </c>
      <c r="W1207" s="45">
        <f ca="1" t="shared" si="434"/>
        <v>36</v>
      </c>
      <c r="X1207" s="45">
        <f ca="1" t="shared" si="435"/>
        <v>300</v>
      </c>
      <c r="Y1207" s="45">
        <f ca="1" t="shared" si="436"/>
        <v>36.6</v>
      </c>
      <c r="Z1207" s="45">
        <f ca="1" t="shared" si="437"/>
        <v>107.142857142857</v>
      </c>
    </row>
    <row r="1208" spans="2:26">
      <c r="B1208" s="11">
        <v>40</v>
      </c>
      <c r="C1208" s="1">
        <f ca="1">IF(养成规划!E53="",INDIRECT(ADDRESS(ROW()-1,COLUMN())),养成规划!E53)</f>
        <v>5</v>
      </c>
      <c r="D1208" s="1" t="str">
        <f>IF(养成规划!H53="","",养成规划!H53)</f>
        <v/>
      </c>
      <c r="E1208" s="1" t="str">
        <f ca="1" t="shared" si="427"/>
        <v/>
      </c>
      <c r="F1208" s="15">
        <f ca="1">'204_军官任务'!U53</f>
        <v>698.28</v>
      </c>
      <c r="G1208" s="15">
        <f>'205_每日任务'!N53</f>
        <v>7200</v>
      </c>
      <c r="H1208" s="15">
        <f ca="1">'206_副本挂机'!N172</f>
        <v>539.047728</v>
      </c>
      <c r="I1208" s="15">
        <f ca="1">'207_空投'!M53</f>
        <v>6316</v>
      </c>
      <c r="J1208" s="15">
        <f ca="1">'208_黑市'!R53</f>
        <v>870</v>
      </c>
      <c r="K1208" s="15">
        <f ca="1">'210_活动'!X53</f>
        <v>6900</v>
      </c>
      <c r="L1208" s="15">
        <f ca="1">'211_VIP宝箱'!O53</f>
        <v>786.9</v>
      </c>
      <c r="M1208" s="15">
        <f ca="1">'212_VIP商店'!O53</f>
        <v>2250</v>
      </c>
      <c r="N1208" s="1" t="str">
        <f ca="1" t="shared" si="428"/>
        <v/>
      </c>
      <c r="O1208" s="1">
        <f ca="1" t="shared" si="429"/>
        <v>23310.227728</v>
      </c>
      <c r="P1208" s="30"/>
      <c r="Q1208" s="30"/>
      <c r="S1208" s="45">
        <f ca="1" t="shared" si="430"/>
        <v>27.6</v>
      </c>
      <c r="T1208" s="45">
        <f t="shared" si="431"/>
        <v>180</v>
      </c>
      <c r="U1208" s="45">
        <f ca="1" t="shared" si="432"/>
        <v>22.64076</v>
      </c>
      <c r="V1208" s="45">
        <f ca="1" t="shared" si="433"/>
        <v>200</v>
      </c>
      <c r="W1208" s="45">
        <f ca="1" t="shared" si="434"/>
        <v>36</v>
      </c>
      <c r="X1208" s="45">
        <f ca="1" t="shared" si="435"/>
        <v>300</v>
      </c>
      <c r="Y1208" s="45">
        <f ca="1" t="shared" si="436"/>
        <v>36.6</v>
      </c>
      <c r="Z1208" s="45">
        <f ca="1" t="shared" si="437"/>
        <v>107.142857142857</v>
      </c>
    </row>
    <row r="1209" spans="2:26">
      <c r="B1209" s="11">
        <v>45</v>
      </c>
      <c r="C1209" s="1">
        <f ca="1">IF(养成规划!E54="",INDIRECT(ADDRESS(ROW()-1,COLUMN())),养成规划!E54)</f>
        <v>5</v>
      </c>
      <c r="D1209" s="1">
        <f>IF(养成规划!H54="","",养成规划!H54)</f>
        <v>304</v>
      </c>
      <c r="E1209" s="1">
        <f ca="1" t="shared" si="427"/>
        <v>59100</v>
      </c>
      <c r="F1209" s="15">
        <f ca="1">'204_军官任务'!U54</f>
        <v>836.28</v>
      </c>
      <c r="G1209" s="15">
        <f>'205_每日任务'!N54</f>
        <v>8100</v>
      </c>
      <c r="H1209" s="15">
        <f ca="1">'206_副本挂机'!N173</f>
        <v>662.572728</v>
      </c>
      <c r="I1209" s="15">
        <f ca="1">'207_空投'!M54</f>
        <v>7316</v>
      </c>
      <c r="J1209" s="15">
        <f ca="1">'208_黑市'!R54</f>
        <v>1050</v>
      </c>
      <c r="K1209" s="15">
        <f ca="1">'210_活动'!X54</f>
        <v>8400</v>
      </c>
      <c r="L1209" s="15">
        <f ca="1">'211_VIP宝箱'!O54</f>
        <v>969.9</v>
      </c>
      <c r="M1209" s="15">
        <f ca="1">'212_VIP商店'!O54</f>
        <v>2785.71428571428</v>
      </c>
      <c r="N1209" s="1">
        <f ca="1" t="shared" si="428"/>
        <v>59100</v>
      </c>
      <c r="O1209" s="1">
        <f ca="1" t="shared" si="429"/>
        <v>27334.752728</v>
      </c>
      <c r="P1209" s="30"/>
      <c r="Q1209" s="30"/>
      <c r="S1209" s="45">
        <f ca="1" t="shared" si="430"/>
        <v>27.6</v>
      </c>
      <c r="T1209" s="45">
        <f t="shared" si="431"/>
        <v>180</v>
      </c>
      <c r="U1209" s="45">
        <f ca="1" t="shared" si="432"/>
        <v>24.705</v>
      </c>
      <c r="V1209" s="45">
        <f ca="1" t="shared" si="433"/>
        <v>200</v>
      </c>
      <c r="W1209" s="45">
        <f ca="1" t="shared" si="434"/>
        <v>36</v>
      </c>
      <c r="X1209" s="45">
        <f ca="1" t="shared" si="435"/>
        <v>300</v>
      </c>
      <c r="Y1209" s="45">
        <f ca="1" t="shared" si="436"/>
        <v>36.6</v>
      </c>
      <c r="Z1209" s="45">
        <f ca="1" t="shared" si="437"/>
        <v>107.142857142857</v>
      </c>
    </row>
    <row r="1210" spans="2:26">
      <c r="B1210" s="11">
        <v>50</v>
      </c>
      <c r="C1210" s="1">
        <f ca="1">IF(养成规划!E55="",INDIRECT(ADDRESS(ROW()-1,COLUMN())),养成规划!E55)</f>
        <v>5</v>
      </c>
      <c r="D1210" s="1" t="str">
        <f>IF(养成规划!H55="","",养成规划!H55)</f>
        <v/>
      </c>
      <c r="E1210" s="1" t="str">
        <f ca="1" t="shared" si="427"/>
        <v/>
      </c>
      <c r="F1210" s="15">
        <f ca="1">'204_军官任务'!U55</f>
        <v>974.28</v>
      </c>
      <c r="G1210" s="15">
        <f>'205_每日任务'!N55</f>
        <v>9000</v>
      </c>
      <c r="H1210" s="15">
        <f ca="1">'206_副本挂机'!N174</f>
        <v>799.822728</v>
      </c>
      <c r="I1210" s="15">
        <f ca="1">'207_空投'!M55</f>
        <v>8316</v>
      </c>
      <c r="J1210" s="15">
        <f ca="1">'208_黑市'!R55</f>
        <v>1230</v>
      </c>
      <c r="K1210" s="15">
        <f ca="1">'210_活动'!X55</f>
        <v>9900</v>
      </c>
      <c r="L1210" s="15">
        <f ca="1">'211_VIP宝箱'!O55</f>
        <v>1152.9</v>
      </c>
      <c r="M1210" s="15">
        <f ca="1">'212_VIP商店'!O55</f>
        <v>3321.42857142857</v>
      </c>
      <c r="N1210" s="1" t="str">
        <f ca="1" t="shared" si="428"/>
        <v/>
      </c>
      <c r="O1210" s="1">
        <f ca="1" t="shared" si="429"/>
        <v>31373.002728</v>
      </c>
      <c r="P1210" s="30"/>
      <c r="Q1210" s="30"/>
      <c r="S1210" s="45">
        <f ca="1" t="shared" si="430"/>
        <v>27.6</v>
      </c>
      <c r="T1210" s="45">
        <f t="shared" si="431"/>
        <v>180</v>
      </c>
      <c r="U1210" s="45">
        <f ca="1" t="shared" si="432"/>
        <v>27.45</v>
      </c>
      <c r="V1210" s="45">
        <f ca="1" t="shared" si="433"/>
        <v>200</v>
      </c>
      <c r="W1210" s="45">
        <f ca="1" t="shared" si="434"/>
        <v>36</v>
      </c>
      <c r="X1210" s="45">
        <f ca="1" t="shared" si="435"/>
        <v>300</v>
      </c>
      <c r="Y1210" s="45">
        <f ca="1" t="shared" si="436"/>
        <v>36.6</v>
      </c>
      <c r="Z1210" s="45">
        <f ca="1" t="shared" si="437"/>
        <v>107.142857142857</v>
      </c>
    </row>
    <row r="1211" spans="2:26">
      <c r="B1211" s="11">
        <v>55</v>
      </c>
      <c r="C1211" s="1">
        <f ca="1">IF(养成规划!E56="",INDIRECT(ADDRESS(ROW()-1,COLUMN())),养成规划!E56)</f>
        <v>5</v>
      </c>
      <c r="D1211" s="1" t="str">
        <f>IF(养成规划!H56="","",养成规划!H56)</f>
        <v/>
      </c>
      <c r="E1211" s="1" t="str">
        <f ca="1" t="shared" si="427"/>
        <v/>
      </c>
      <c r="F1211" s="15">
        <f ca="1">'204_军官任务'!U56</f>
        <v>1112.28</v>
      </c>
      <c r="G1211" s="15">
        <f>'205_每日任务'!N56</f>
        <v>9900</v>
      </c>
      <c r="H1211" s="15">
        <f ca="1">'206_副本挂机'!N175</f>
        <v>943.880328</v>
      </c>
      <c r="I1211" s="15">
        <f ca="1">'207_空投'!M56</f>
        <v>9316</v>
      </c>
      <c r="J1211" s="15">
        <f ca="1">'208_黑市'!R56</f>
        <v>1410</v>
      </c>
      <c r="K1211" s="15">
        <f ca="1">'210_活动'!X56</f>
        <v>11400</v>
      </c>
      <c r="L1211" s="15">
        <f ca="1">'211_VIP宝箱'!O56</f>
        <v>1335.9</v>
      </c>
      <c r="M1211" s="15">
        <f ca="1">'212_VIP商店'!O56</f>
        <v>3857.14285714285</v>
      </c>
      <c r="N1211" s="1" t="str">
        <f ca="1" t="shared" si="428"/>
        <v/>
      </c>
      <c r="O1211" s="1">
        <f ca="1" t="shared" si="429"/>
        <v>35418.060328</v>
      </c>
      <c r="P1211" s="30"/>
      <c r="Q1211" s="30"/>
      <c r="S1211" s="45">
        <f ca="1" t="shared" si="430"/>
        <v>27.6</v>
      </c>
      <c r="T1211" s="45">
        <f t="shared" si="431"/>
        <v>180</v>
      </c>
      <c r="U1211" s="45">
        <f ca="1" t="shared" si="432"/>
        <v>28.81152</v>
      </c>
      <c r="V1211" s="45">
        <f ca="1" t="shared" si="433"/>
        <v>200</v>
      </c>
      <c r="W1211" s="45">
        <f ca="1" t="shared" si="434"/>
        <v>36</v>
      </c>
      <c r="X1211" s="45">
        <f ca="1" t="shared" si="435"/>
        <v>300</v>
      </c>
      <c r="Y1211" s="45">
        <f ca="1" t="shared" si="436"/>
        <v>36.6</v>
      </c>
      <c r="Z1211" s="45">
        <f ca="1" t="shared" si="437"/>
        <v>107.142857142857</v>
      </c>
    </row>
    <row r="1212" spans="2:26">
      <c r="B1212" s="11">
        <v>60</v>
      </c>
      <c r="C1212" s="1">
        <f ca="1">IF(养成规划!E57="",INDIRECT(ADDRESS(ROW()-1,COLUMN())),养成规划!E57)</f>
        <v>5</v>
      </c>
      <c r="D1212" s="1">
        <f>IF(养成规划!H57="","",养成规划!H57)</f>
        <v>305</v>
      </c>
      <c r="E1212" s="1">
        <f ca="1" t="shared" si="427"/>
        <v>77100</v>
      </c>
      <c r="F1212" s="15">
        <f ca="1">'204_军官任务'!U57</f>
        <v>1250.28</v>
      </c>
      <c r="G1212" s="15">
        <f>'205_每日任务'!N57</f>
        <v>10800</v>
      </c>
      <c r="H1212" s="15">
        <f ca="1">'206_副本挂机'!N176</f>
        <v>1094.855328</v>
      </c>
      <c r="I1212" s="15">
        <f ca="1">'207_空投'!M57</f>
        <v>10316</v>
      </c>
      <c r="J1212" s="15">
        <f ca="1">'208_黑市'!R57</f>
        <v>1590</v>
      </c>
      <c r="K1212" s="15">
        <f ca="1">'210_活动'!X57</f>
        <v>12900</v>
      </c>
      <c r="L1212" s="15">
        <f ca="1">'211_VIP宝箱'!O57</f>
        <v>1518.9</v>
      </c>
      <c r="M1212" s="15">
        <f ca="1">'212_VIP商店'!O57</f>
        <v>4523.57142857142</v>
      </c>
      <c r="N1212" s="1">
        <f ca="1" t="shared" si="428"/>
        <v>77100</v>
      </c>
      <c r="O1212" s="1">
        <f ca="1" t="shared" si="429"/>
        <v>39470.035328</v>
      </c>
      <c r="P1212" s="30"/>
      <c r="Q1212" s="30"/>
      <c r="S1212" s="45">
        <f ca="1" t="shared" si="430"/>
        <v>27.6</v>
      </c>
      <c r="T1212" s="45">
        <f t="shared" si="431"/>
        <v>180</v>
      </c>
      <c r="U1212" s="45">
        <f ca="1" t="shared" si="432"/>
        <v>30.195</v>
      </c>
      <c r="V1212" s="45">
        <f ca="1" t="shared" si="433"/>
        <v>200</v>
      </c>
      <c r="W1212" s="45">
        <f ca="1" t="shared" si="434"/>
        <v>36</v>
      </c>
      <c r="X1212" s="45">
        <f ca="1" t="shared" si="435"/>
        <v>300</v>
      </c>
      <c r="Y1212" s="45">
        <f ca="1" t="shared" si="436"/>
        <v>36.6</v>
      </c>
      <c r="Z1212" s="45">
        <f ca="1" t="shared" si="437"/>
        <v>133.285714285714</v>
      </c>
    </row>
    <row r="1213" spans="2:26">
      <c r="B1213" s="11">
        <v>65</v>
      </c>
      <c r="C1213" s="1">
        <f ca="1">IF(养成规划!E58="",INDIRECT(ADDRESS(ROW()-1,COLUMN())),养成规划!E58)</f>
        <v>5</v>
      </c>
      <c r="D1213" s="1" t="str">
        <f>IF(养成规划!H58="","",养成规划!H58)</f>
        <v/>
      </c>
      <c r="E1213" s="1" t="str">
        <f ca="1" t="shared" si="427"/>
        <v/>
      </c>
      <c r="F1213" s="15">
        <f ca="1">'204_军官任务'!U58</f>
        <v>1388.28</v>
      </c>
      <c r="G1213" s="15">
        <f>'205_每日任务'!N58</f>
        <v>11700</v>
      </c>
      <c r="H1213" s="15">
        <f ca="1">'206_副本挂机'!N177</f>
        <v>1252.637928</v>
      </c>
      <c r="I1213" s="15">
        <f ca="1">'207_空投'!M58</f>
        <v>11316</v>
      </c>
      <c r="J1213" s="15">
        <f ca="1">'208_黑市'!R58</f>
        <v>1830</v>
      </c>
      <c r="K1213" s="15">
        <f ca="1">'210_活动'!X58</f>
        <v>14900</v>
      </c>
      <c r="L1213" s="15">
        <f ca="1">'211_VIP宝箱'!O58</f>
        <v>1701.9</v>
      </c>
      <c r="M1213" s="15">
        <f ca="1">'212_VIP商店'!O58</f>
        <v>5189.99999999999</v>
      </c>
      <c r="N1213" s="1" t="str">
        <f ca="1" t="shared" si="428"/>
        <v/>
      </c>
      <c r="O1213" s="1">
        <f ca="1" t="shared" si="429"/>
        <v>44088.817928</v>
      </c>
      <c r="P1213" s="30"/>
      <c r="Q1213" s="30"/>
      <c r="S1213" s="45">
        <f ca="1" t="shared" si="430"/>
        <v>27.6</v>
      </c>
      <c r="T1213" s="45">
        <f t="shared" si="431"/>
        <v>180</v>
      </c>
      <c r="U1213" s="45">
        <f ca="1" t="shared" si="432"/>
        <v>31.55652</v>
      </c>
      <c r="V1213" s="45">
        <f ca="1" t="shared" si="433"/>
        <v>200</v>
      </c>
      <c r="W1213" s="45">
        <f ca="1" t="shared" si="434"/>
        <v>48</v>
      </c>
      <c r="X1213" s="45">
        <f ca="1" t="shared" si="435"/>
        <v>400</v>
      </c>
      <c r="Y1213" s="45">
        <f ca="1" t="shared" si="436"/>
        <v>36.6</v>
      </c>
      <c r="Z1213" s="45">
        <f ca="1" t="shared" si="437"/>
        <v>133.285714285714</v>
      </c>
    </row>
    <row r="1214" spans="2:26">
      <c r="B1214" s="11">
        <v>70</v>
      </c>
      <c r="C1214" s="1">
        <f ca="1">IF(养成规划!E59="",INDIRECT(ADDRESS(ROW()-1,COLUMN())),养成规划!E59)</f>
        <v>5</v>
      </c>
      <c r="D1214" s="1" t="str">
        <f>IF(养成规划!H59="","",养成规划!H59)</f>
        <v/>
      </c>
      <c r="E1214" s="1" t="str">
        <f ca="1" t="shared" si="427"/>
        <v/>
      </c>
      <c r="F1214" s="15">
        <f ca="1">'204_军官任务'!U59</f>
        <v>1526.28</v>
      </c>
      <c r="G1214" s="15">
        <f>'205_每日任务'!N59</f>
        <v>12600</v>
      </c>
      <c r="H1214" s="15">
        <f ca="1">'206_副本挂机'!N178</f>
        <v>1417.337928</v>
      </c>
      <c r="I1214" s="15">
        <f ca="1">'207_空投'!M59</f>
        <v>12316</v>
      </c>
      <c r="J1214" s="15">
        <f ca="1">'208_黑市'!R59</f>
        <v>2070</v>
      </c>
      <c r="K1214" s="15">
        <f ca="1">'210_活动'!X59</f>
        <v>16900</v>
      </c>
      <c r="L1214" s="15">
        <f ca="1">'211_VIP宝箱'!O59</f>
        <v>1884.9</v>
      </c>
      <c r="M1214" s="15">
        <f ca="1">'212_VIP商店'!O59</f>
        <v>5856.42857142856</v>
      </c>
      <c r="N1214" s="1" t="str">
        <f ca="1" t="shared" si="428"/>
        <v/>
      </c>
      <c r="O1214" s="1">
        <f ca="1" t="shared" si="429"/>
        <v>48714.517928</v>
      </c>
      <c r="P1214" s="30"/>
      <c r="Q1214" s="30"/>
      <c r="S1214" s="45">
        <f ca="1" t="shared" si="430"/>
        <v>27.6</v>
      </c>
      <c r="T1214" s="45">
        <f t="shared" si="431"/>
        <v>180</v>
      </c>
      <c r="U1214" s="45">
        <f ca="1" t="shared" si="432"/>
        <v>32.94</v>
      </c>
      <c r="V1214" s="45">
        <f ca="1" t="shared" si="433"/>
        <v>200</v>
      </c>
      <c r="W1214" s="45">
        <f ca="1" t="shared" si="434"/>
        <v>48</v>
      </c>
      <c r="X1214" s="45">
        <f ca="1" t="shared" si="435"/>
        <v>400</v>
      </c>
      <c r="Y1214" s="45">
        <f ca="1" t="shared" si="436"/>
        <v>36.6</v>
      </c>
      <c r="Z1214" s="45">
        <f ca="1" t="shared" si="437"/>
        <v>133.285714285714</v>
      </c>
    </row>
    <row r="1215" spans="2:26">
      <c r="B1215" s="11">
        <v>75</v>
      </c>
      <c r="C1215" s="1">
        <f ca="1">IF(养成规划!E60="",INDIRECT(ADDRESS(ROW()-1,COLUMN())),养成规划!E60)</f>
        <v>5</v>
      </c>
      <c r="D1215" s="1" t="str">
        <f>IF(养成规划!H60="","",养成规划!H60)</f>
        <v/>
      </c>
      <c r="E1215" s="1" t="str">
        <f ca="1" t="shared" si="427"/>
        <v/>
      </c>
      <c r="F1215" s="15">
        <f ca="1">'204_军官任务'!U60</f>
        <v>1664.28</v>
      </c>
      <c r="G1215" s="15">
        <f>'205_每日任务'!N60</f>
        <v>13500</v>
      </c>
      <c r="H1215" s="15">
        <f ca="1">'206_副本挂机'!N179</f>
        <v>1588.845528</v>
      </c>
      <c r="I1215" s="15">
        <f ca="1">'207_空投'!M60</f>
        <v>13316</v>
      </c>
      <c r="J1215" s="15">
        <f ca="1">'208_黑市'!R60</f>
        <v>2310</v>
      </c>
      <c r="K1215" s="15">
        <f ca="1">'210_活动'!X60</f>
        <v>18900</v>
      </c>
      <c r="L1215" s="15">
        <f ca="1">'211_VIP宝箱'!O60</f>
        <v>2067.9</v>
      </c>
      <c r="M1215" s="15">
        <f ca="1">'212_VIP商店'!O60</f>
        <v>6522.85714285713</v>
      </c>
      <c r="N1215" s="1" t="str">
        <f ca="1" t="shared" si="428"/>
        <v/>
      </c>
      <c r="O1215" s="1">
        <f ca="1" t="shared" si="429"/>
        <v>53347.025528</v>
      </c>
      <c r="P1215" s="30"/>
      <c r="Q1215" s="30"/>
      <c r="S1215" s="45">
        <f ca="1" t="shared" si="430"/>
        <v>27.6</v>
      </c>
      <c r="T1215" s="45">
        <f t="shared" si="431"/>
        <v>180</v>
      </c>
      <c r="U1215" s="45">
        <f ca="1" t="shared" si="432"/>
        <v>34.30152</v>
      </c>
      <c r="V1215" s="45">
        <f ca="1" t="shared" si="433"/>
        <v>200</v>
      </c>
      <c r="W1215" s="45">
        <f ca="1" t="shared" si="434"/>
        <v>48</v>
      </c>
      <c r="X1215" s="45">
        <f ca="1" t="shared" si="435"/>
        <v>400</v>
      </c>
      <c r="Y1215" s="45">
        <f ca="1" t="shared" si="436"/>
        <v>36.6</v>
      </c>
      <c r="Z1215" s="45">
        <f ca="1" t="shared" si="437"/>
        <v>133.285714285714</v>
      </c>
    </row>
    <row r="1216" spans="2:26">
      <c r="B1216" s="11">
        <v>80</v>
      </c>
      <c r="C1216" s="1">
        <f ca="1">IF(养成规划!E61="",INDIRECT(ADDRESS(ROW()-1,COLUMN())),养成规划!E61)</f>
        <v>5</v>
      </c>
      <c r="D1216" s="1" t="str">
        <f>IF(养成规划!H61="","",养成规划!H61)</f>
        <v/>
      </c>
      <c r="E1216" s="1" t="str">
        <f ca="1" t="shared" si="427"/>
        <v/>
      </c>
      <c r="F1216" s="15">
        <f ca="1">'204_军官任务'!U61</f>
        <v>1802.28</v>
      </c>
      <c r="G1216" s="15">
        <f>'205_每日任务'!N61</f>
        <v>14400</v>
      </c>
      <c r="H1216" s="15">
        <f ca="1">'206_副本挂机'!N180</f>
        <v>1763.756928</v>
      </c>
      <c r="I1216" s="15">
        <f ca="1">'207_空投'!M61</f>
        <v>14316</v>
      </c>
      <c r="J1216" s="15">
        <f ca="1">'208_黑市'!R61</f>
        <v>2550</v>
      </c>
      <c r="K1216" s="15">
        <f ca="1">'210_活动'!X61</f>
        <v>20900</v>
      </c>
      <c r="L1216" s="15">
        <f ca="1">'211_VIP宝箱'!O61</f>
        <v>2250.9</v>
      </c>
      <c r="M1216" s="15">
        <f ca="1">'212_VIP商店'!O61</f>
        <v>7189.2857142857</v>
      </c>
      <c r="N1216" s="1" t="str">
        <f ca="1" t="shared" si="428"/>
        <v/>
      </c>
      <c r="O1216" s="1">
        <f ca="1" t="shared" si="429"/>
        <v>57982.936928</v>
      </c>
      <c r="P1216" s="30"/>
      <c r="Q1216" s="30"/>
      <c r="S1216" s="45">
        <f ca="1" t="shared" si="430"/>
        <v>27.6</v>
      </c>
      <c r="T1216" s="45">
        <f t="shared" si="431"/>
        <v>180</v>
      </c>
      <c r="U1216" s="45">
        <f ca="1" t="shared" si="432"/>
        <v>34.98228</v>
      </c>
      <c r="V1216" s="45">
        <f ca="1" t="shared" si="433"/>
        <v>200</v>
      </c>
      <c r="W1216" s="45">
        <f ca="1" t="shared" si="434"/>
        <v>48</v>
      </c>
      <c r="X1216" s="45">
        <f ca="1" t="shared" si="435"/>
        <v>400</v>
      </c>
      <c r="Y1216" s="45">
        <f ca="1" t="shared" si="436"/>
        <v>36.6</v>
      </c>
      <c r="Z1216" s="45">
        <f ca="1" t="shared" si="437"/>
        <v>133.285714285714</v>
      </c>
    </row>
    <row r="1217" spans="2:26">
      <c r="B1217" s="11">
        <v>85</v>
      </c>
      <c r="C1217" s="1">
        <f ca="1">IF(养成规划!E62="",INDIRECT(ADDRESS(ROW()-1,COLUMN())),养成规划!E62)</f>
        <v>5</v>
      </c>
      <c r="D1217" s="1">
        <f>IF(养成规划!H62="","",养成规划!H62)</f>
        <v>306</v>
      </c>
      <c r="E1217" s="1">
        <f ca="1" t="shared" si="427"/>
        <v>104100</v>
      </c>
      <c r="F1217" s="15">
        <f ca="1">'204_军官任务'!U62</f>
        <v>1940.28</v>
      </c>
      <c r="G1217" s="15">
        <f>'205_每日任务'!N62</f>
        <v>15300</v>
      </c>
      <c r="H1217" s="15">
        <f ca="1">'206_副本挂机'!N181</f>
        <v>1942.181928</v>
      </c>
      <c r="I1217" s="15">
        <f ca="1">'207_空投'!M62</f>
        <v>15316</v>
      </c>
      <c r="J1217" s="15">
        <f ca="1">'208_黑市'!R62</f>
        <v>2790</v>
      </c>
      <c r="K1217" s="15">
        <f ca="1">'210_活动'!X62</f>
        <v>22900</v>
      </c>
      <c r="L1217" s="15">
        <f ca="1">'211_VIP宝箱'!O62</f>
        <v>2433.9</v>
      </c>
      <c r="M1217" s="15">
        <f ca="1">'212_VIP商店'!O62</f>
        <v>7855.71428571427</v>
      </c>
      <c r="N1217" s="1">
        <f ca="1" t="shared" si="428"/>
        <v>104100</v>
      </c>
      <c r="O1217" s="1">
        <f ca="1" t="shared" si="429"/>
        <v>62622.361928</v>
      </c>
      <c r="P1217" s="30"/>
      <c r="Q1217" s="30"/>
      <c r="S1217" s="45">
        <f ca="1" t="shared" si="430"/>
        <v>27.6</v>
      </c>
      <c r="T1217" s="45">
        <f t="shared" si="431"/>
        <v>180</v>
      </c>
      <c r="U1217" s="45">
        <f ca="1" t="shared" si="432"/>
        <v>35.685</v>
      </c>
      <c r="V1217" s="45">
        <f ca="1" t="shared" si="433"/>
        <v>200</v>
      </c>
      <c r="W1217" s="45">
        <f ca="1" t="shared" si="434"/>
        <v>48</v>
      </c>
      <c r="X1217" s="45">
        <f ca="1" t="shared" si="435"/>
        <v>400</v>
      </c>
      <c r="Y1217" s="45">
        <f ca="1" t="shared" si="436"/>
        <v>36.6</v>
      </c>
      <c r="Z1217" s="45">
        <f ca="1" t="shared" si="437"/>
        <v>133.285714285714</v>
      </c>
    </row>
    <row r="1218" spans="2:26">
      <c r="B1218" s="11">
        <v>90</v>
      </c>
      <c r="C1218" s="1">
        <f ca="1">IF(养成规划!E63="",INDIRECT(ADDRESS(ROW()-1,COLUMN())),养成规划!E63)</f>
        <v>5</v>
      </c>
      <c r="D1218" s="1" t="str">
        <f>IF(养成规划!H63="","",养成规划!H63)</f>
        <v/>
      </c>
      <c r="E1218" s="1" t="str">
        <f ca="1" t="shared" si="427"/>
        <v/>
      </c>
      <c r="F1218" s="15">
        <f ca="1">'204_军官任务'!U63</f>
        <v>2078.28</v>
      </c>
      <c r="G1218" s="15">
        <f>'205_每日任务'!N63</f>
        <v>16200</v>
      </c>
      <c r="H1218" s="15">
        <f ca="1">'206_副本挂机'!N182</f>
        <v>2124.010728</v>
      </c>
      <c r="I1218" s="15">
        <f ca="1">'207_空投'!M63</f>
        <v>16816</v>
      </c>
      <c r="J1218" s="15">
        <f ca="1">'208_黑市'!R63</f>
        <v>3030</v>
      </c>
      <c r="K1218" s="15">
        <f ca="1">'210_活动'!X63</f>
        <v>24900</v>
      </c>
      <c r="L1218" s="15">
        <f ca="1">'211_VIP宝箱'!O63</f>
        <v>2708.4</v>
      </c>
      <c r="M1218" s="15">
        <f ca="1">'212_VIP商店'!O63</f>
        <v>8522.14285714284</v>
      </c>
      <c r="N1218" s="1" t="str">
        <f ca="1" t="shared" si="428"/>
        <v/>
      </c>
      <c r="O1218" s="1">
        <f ca="1" t="shared" si="429"/>
        <v>67856.690728</v>
      </c>
      <c r="P1218" s="30"/>
      <c r="Q1218" s="30"/>
      <c r="S1218" s="45">
        <f ca="1" t="shared" si="430"/>
        <v>27.6</v>
      </c>
      <c r="T1218" s="45">
        <f t="shared" si="431"/>
        <v>180</v>
      </c>
      <c r="U1218" s="45">
        <f ca="1" t="shared" si="432"/>
        <v>36.36576</v>
      </c>
      <c r="V1218" s="45">
        <f ca="1" t="shared" si="433"/>
        <v>300</v>
      </c>
      <c r="W1218" s="45">
        <f ca="1" t="shared" si="434"/>
        <v>48</v>
      </c>
      <c r="X1218" s="45">
        <f ca="1" t="shared" si="435"/>
        <v>400</v>
      </c>
      <c r="Y1218" s="45">
        <f ca="1" t="shared" si="436"/>
        <v>54.9</v>
      </c>
      <c r="Z1218" s="45">
        <f ca="1" t="shared" si="437"/>
        <v>133.285714285714</v>
      </c>
    </row>
    <row r="1219" spans="2:26">
      <c r="B1219" s="11">
        <v>95</v>
      </c>
      <c r="C1219" s="1">
        <f ca="1">IF(养成规划!E64="",INDIRECT(ADDRESS(ROW()-1,COLUMN())),养成规划!E64)</f>
        <v>5</v>
      </c>
      <c r="D1219" s="1" t="str">
        <f>IF(养成规划!H64="","",养成规划!H64)</f>
        <v/>
      </c>
      <c r="E1219" s="1" t="str">
        <f ca="1" t="shared" si="427"/>
        <v/>
      </c>
      <c r="F1219" s="15">
        <f ca="1">'204_军官任务'!U64</f>
        <v>2308.28</v>
      </c>
      <c r="G1219" s="15">
        <f>'205_每日任务'!N64</f>
        <v>17100</v>
      </c>
      <c r="H1219" s="15">
        <f ca="1">'206_副本挂机'!N183</f>
        <v>2309.243328</v>
      </c>
      <c r="I1219" s="15">
        <f ca="1">'207_空投'!M64</f>
        <v>18316</v>
      </c>
      <c r="J1219" s="15">
        <f ca="1">'208_黑市'!R64</f>
        <v>3270</v>
      </c>
      <c r="K1219" s="15">
        <f ca="1">'210_活动'!X64</f>
        <v>26900</v>
      </c>
      <c r="L1219" s="15">
        <f ca="1">'211_VIP宝箱'!O64</f>
        <v>2982.9</v>
      </c>
      <c r="M1219" s="15">
        <f ca="1">'212_VIP商店'!O64</f>
        <v>9188.57142857141</v>
      </c>
      <c r="N1219" s="1" t="str">
        <f ca="1" t="shared" si="428"/>
        <v/>
      </c>
      <c r="O1219" s="1">
        <f ca="1" t="shared" si="429"/>
        <v>73186.423328</v>
      </c>
      <c r="P1219" s="30"/>
      <c r="Q1219" s="30"/>
      <c r="S1219" s="45">
        <f ca="1" t="shared" si="430"/>
        <v>46</v>
      </c>
      <c r="T1219" s="45">
        <f t="shared" si="431"/>
        <v>180</v>
      </c>
      <c r="U1219" s="45">
        <f ca="1" t="shared" si="432"/>
        <v>37.04652</v>
      </c>
      <c r="V1219" s="45">
        <f ca="1" t="shared" si="433"/>
        <v>300</v>
      </c>
      <c r="W1219" s="45">
        <f ca="1" t="shared" si="434"/>
        <v>48</v>
      </c>
      <c r="X1219" s="45">
        <f ca="1" t="shared" si="435"/>
        <v>400</v>
      </c>
      <c r="Y1219" s="45">
        <f ca="1" t="shared" si="436"/>
        <v>54.9</v>
      </c>
      <c r="Z1219" s="45">
        <f ca="1" t="shared" si="437"/>
        <v>133.285714285714</v>
      </c>
    </row>
    <row r="1220" spans="2:26">
      <c r="B1220" s="11">
        <v>100</v>
      </c>
      <c r="C1220" s="1">
        <f ca="1">IF(养成规划!E65="",INDIRECT(ADDRESS(ROW()-1,COLUMN())),养成规划!E65)</f>
        <v>5</v>
      </c>
      <c r="D1220" s="1" t="str">
        <f>IF(养成规划!H65="","",养成规划!H65)</f>
        <v/>
      </c>
      <c r="E1220" s="1" t="str">
        <f ca="1" t="shared" si="427"/>
        <v/>
      </c>
      <c r="F1220" s="15">
        <f ca="1">'204_军官任务'!U65</f>
        <v>2538.28</v>
      </c>
      <c r="G1220" s="15">
        <f>'205_每日任务'!N65</f>
        <v>18000</v>
      </c>
      <c r="H1220" s="15">
        <f ca="1">'206_副本挂机'!N184</f>
        <v>2497.879728</v>
      </c>
      <c r="I1220" s="15">
        <f ca="1">'207_空投'!M65</f>
        <v>19816</v>
      </c>
      <c r="J1220" s="15">
        <f ca="1">'208_黑市'!R65</f>
        <v>3510</v>
      </c>
      <c r="K1220" s="15">
        <f ca="1">'210_活动'!X65</f>
        <v>28900</v>
      </c>
      <c r="L1220" s="15">
        <f ca="1">'211_VIP宝箱'!O65</f>
        <v>3257.4</v>
      </c>
      <c r="M1220" s="15">
        <f ca="1">'212_VIP商店'!O65</f>
        <v>9854.99999999998</v>
      </c>
      <c r="N1220" s="1" t="str">
        <f ca="1" t="shared" si="428"/>
        <v/>
      </c>
      <c r="O1220" s="1">
        <f ca="1" t="shared" si="429"/>
        <v>78519.559728</v>
      </c>
      <c r="P1220" s="30"/>
      <c r="Q1220" s="30"/>
      <c r="S1220" s="45">
        <f ca="1" t="shared" si="430"/>
        <v>46</v>
      </c>
      <c r="T1220" s="45">
        <f t="shared" si="431"/>
        <v>180</v>
      </c>
      <c r="U1220" s="45">
        <f ca="1" t="shared" si="432"/>
        <v>37.7272800000001</v>
      </c>
      <c r="V1220" s="45">
        <f ca="1" t="shared" si="433"/>
        <v>300</v>
      </c>
      <c r="W1220" s="45">
        <f ca="1" t="shared" si="434"/>
        <v>48</v>
      </c>
      <c r="X1220" s="45">
        <f ca="1" t="shared" si="435"/>
        <v>400</v>
      </c>
      <c r="Y1220" s="45">
        <f ca="1" t="shared" si="436"/>
        <v>54.9</v>
      </c>
      <c r="Z1220" s="45">
        <f ca="1" t="shared" si="437"/>
        <v>133.285714285714</v>
      </c>
    </row>
    <row r="1221" spans="2:26">
      <c r="B1221" s="11">
        <v>105</v>
      </c>
      <c r="C1221" s="1">
        <f ca="1">IF(养成规划!E66="",INDIRECT(ADDRESS(ROW()-1,COLUMN())),养成规划!E66)</f>
        <v>5</v>
      </c>
      <c r="D1221" s="1" t="str">
        <f>IF(养成规划!H66="","",养成规划!H66)</f>
        <v/>
      </c>
      <c r="E1221" s="1" t="str">
        <f ca="1" t="shared" si="427"/>
        <v/>
      </c>
      <c r="F1221" s="15">
        <f ca="1">'204_军官任务'!U66</f>
        <v>2768.28</v>
      </c>
      <c r="G1221" s="15">
        <f>'205_每日任务'!N66</f>
        <v>18900</v>
      </c>
      <c r="H1221" s="15">
        <f ca="1">'206_副本挂机'!N185</f>
        <v>2690.029728</v>
      </c>
      <c r="I1221" s="15">
        <f ca="1">'207_空投'!M66</f>
        <v>21316</v>
      </c>
      <c r="J1221" s="15">
        <f ca="1">'208_黑市'!R66</f>
        <v>3750</v>
      </c>
      <c r="K1221" s="15">
        <f ca="1">'210_活动'!X66</f>
        <v>30900</v>
      </c>
      <c r="L1221" s="15">
        <f ca="1">'211_VIP宝箱'!O66</f>
        <v>3531.9</v>
      </c>
      <c r="M1221" s="15">
        <f ca="1">'212_VIP商店'!O66</f>
        <v>10521.4285714286</v>
      </c>
      <c r="N1221" s="1" t="str">
        <f ca="1" t="shared" si="428"/>
        <v/>
      </c>
      <c r="O1221" s="1">
        <f ca="1" t="shared" si="429"/>
        <v>83856.209728</v>
      </c>
      <c r="P1221" s="30"/>
      <c r="Q1221" s="30"/>
      <c r="S1221" s="45">
        <f ca="1" t="shared" si="430"/>
        <v>46</v>
      </c>
      <c r="T1221" s="45">
        <f t="shared" si="431"/>
        <v>180</v>
      </c>
      <c r="U1221" s="45">
        <f ca="1" t="shared" si="432"/>
        <v>38.43</v>
      </c>
      <c r="V1221" s="45">
        <f ca="1" t="shared" si="433"/>
        <v>300</v>
      </c>
      <c r="W1221" s="45">
        <f ca="1" t="shared" si="434"/>
        <v>48</v>
      </c>
      <c r="X1221" s="45">
        <f ca="1" t="shared" si="435"/>
        <v>400</v>
      </c>
      <c r="Y1221" s="45">
        <f ca="1" t="shared" si="436"/>
        <v>54.9</v>
      </c>
      <c r="Z1221" s="45">
        <f ca="1" t="shared" si="437"/>
        <v>133.285714285714</v>
      </c>
    </row>
    <row r="1222" spans="2:26">
      <c r="B1222" s="11">
        <v>110</v>
      </c>
      <c r="C1222" s="1">
        <f ca="1">IF(养成规划!E67="",INDIRECT(ADDRESS(ROW()-1,COLUMN())),养成规划!E67)</f>
        <v>5</v>
      </c>
      <c r="D1222" s="1" t="str">
        <f>IF(养成规划!H67="","",养成规划!H67)</f>
        <v/>
      </c>
      <c r="E1222" s="1" t="str">
        <f ca="1" t="shared" si="427"/>
        <v/>
      </c>
      <c r="F1222" s="15">
        <f ca="1">'204_军官任务'!U67</f>
        <v>2998.28</v>
      </c>
      <c r="G1222" s="15">
        <f>'205_每日任务'!N67</f>
        <v>19800</v>
      </c>
      <c r="H1222" s="15">
        <f ca="1">'206_副本挂机'!N186</f>
        <v>2885.583528</v>
      </c>
      <c r="I1222" s="15">
        <f ca="1">'207_空投'!M67</f>
        <v>22816</v>
      </c>
      <c r="J1222" s="15">
        <f ca="1">'208_黑市'!R67</f>
        <v>3990</v>
      </c>
      <c r="K1222" s="15">
        <f ca="1">'210_活动'!X67</f>
        <v>32900</v>
      </c>
      <c r="L1222" s="15">
        <f ca="1">'211_VIP宝箱'!O67</f>
        <v>3806.4</v>
      </c>
      <c r="M1222" s="15">
        <f ca="1">'212_VIP商店'!O67</f>
        <v>11187.8571428571</v>
      </c>
      <c r="N1222" s="1" t="str">
        <f ca="1" t="shared" si="428"/>
        <v/>
      </c>
      <c r="O1222" s="1">
        <f ca="1" t="shared" si="429"/>
        <v>89196.263528</v>
      </c>
      <c r="P1222" s="30"/>
      <c r="Q1222" s="30"/>
      <c r="S1222" s="45">
        <f ca="1" t="shared" si="430"/>
        <v>46</v>
      </c>
      <c r="T1222" s="45">
        <f t="shared" si="431"/>
        <v>180</v>
      </c>
      <c r="U1222" s="45">
        <f ca="1" t="shared" si="432"/>
        <v>39.11076</v>
      </c>
      <c r="V1222" s="45">
        <f ca="1" t="shared" si="433"/>
        <v>300</v>
      </c>
      <c r="W1222" s="45">
        <f ca="1" t="shared" si="434"/>
        <v>48</v>
      </c>
      <c r="X1222" s="45">
        <f ca="1" t="shared" si="435"/>
        <v>400</v>
      </c>
      <c r="Y1222" s="45">
        <f ca="1" t="shared" si="436"/>
        <v>54.9</v>
      </c>
      <c r="Z1222" s="45">
        <f ca="1" t="shared" si="437"/>
        <v>133.285714285714</v>
      </c>
    </row>
    <row r="1223" spans="2:26">
      <c r="B1223" s="11">
        <v>115</v>
      </c>
      <c r="C1223" s="1">
        <f ca="1">IF(养成规划!E68="",INDIRECT(ADDRESS(ROW()-1,COLUMN())),养成规划!E68)</f>
        <v>5</v>
      </c>
      <c r="D1223" s="1">
        <f>IF(养成规划!H68="","",养成规划!H68)</f>
        <v>307</v>
      </c>
      <c r="E1223" s="1">
        <f ca="1" t="shared" si="427"/>
        <v>141600</v>
      </c>
      <c r="F1223" s="15">
        <f ca="1">'204_军官任务'!U68</f>
        <v>3228.28</v>
      </c>
      <c r="G1223" s="15">
        <f>'205_每日任务'!N68</f>
        <v>20700</v>
      </c>
      <c r="H1223" s="15">
        <f ca="1">'206_副本挂机'!N187</f>
        <v>3084.541128</v>
      </c>
      <c r="I1223" s="15">
        <f ca="1">'207_空投'!M68</f>
        <v>24316</v>
      </c>
      <c r="J1223" s="15">
        <f ca="1">'208_黑市'!R68</f>
        <v>4230</v>
      </c>
      <c r="K1223" s="15">
        <f ca="1">'210_活动'!X68</f>
        <v>34900</v>
      </c>
      <c r="L1223" s="15">
        <f ca="1">'211_VIP宝箱'!O68</f>
        <v>4080.9</v>
      </c>
      <c r="M1223" s="15">
        <f ca="1">'212_VIP商店'!O68</f>
        <v>11854.2857142857</v>
      </c>
      <c r="N1223" s="1">
        <f ca="1" t="shared" si="428"/>
        <v>141600</v>
      </c>
      <c r="O1223" s="1">
        <f ca="1" t="shared" si="429"/>
        <v>94539.721128</v>
      </c>
      <c r="P1223" s="30"/>
      <c r="Q1223" s="30"/>
      <c r="S1223" s="45">
        <f ca="1" t="shared" si="430"/>
        <v>46</v>
      </c>
      <c r="T1223" s="45">
        <f t="shared" si="431"/>
        <v>180</v>
      </c>
      <c r="U1223" s="45">
        <f ca="1" t="shared" si="432"/>
        <v>39.7915199999999</v>
      </c>
      <c r="V1223" s="45">
        <f ca="1" t="shared" si="433"/>
        <v>300</v>
      </c>
      <c r="W1223" s="45">
        <f ca="1" t="shared" si="434"/>
        <v>48</v>
      </c>
      <c r="X1223" s="45">
        <f ca="1" t="shared" si="435"/>
        <v>400</v>
      </c>
      <c r="Y1223" s="45">
        <f ca="1" t="shared" si="436"/>
        <v>54.9</v>
      </c>
      <c r="Z1223" s="45">
        <f ca="1" t="shared" si="437"/>
        <v>133.285714285714</v>
      </c>
    </row>
    <row r="1224" spans="2:26">
      <c r="B1224" s="11">
        <v>120</v>
      </c>
      <c r="C1224" s="1">
        <f ca="1">IF(养成规划!E69="",INDIRECT(ADDRESS(ROW()-1,COLUMN())),养成规划!E69)</f>
        <v>5</v>
      </c>
      <c r="D1224" s="1">
        <f>IF(养成规划!H69="","",养成规划!H69)</f>
        <v>401</v>
      </c>
      <c r="E1224" s="1">
        <f ca="1" t="shared" si="427"/>
        <v>146100</v>
      </c>
      <c r="F1224" s="15">
        <f ca="1">'204_军官任务'!U69</f>
        <v>3458.28</v>
      </c>
      <c r="G1224" s="15">
        <f>'205_每日任务'!N69</f>
        <v>21600</v>
      </c>
      <c r="H1224" s="15">
        <f ca="1">'206_副本挂机'!N188</f>
        <v>3290.416128</v>
      </c>
      <c r="I1224" s="15">
        <f ca="1">'207_空投'!M69</f>
        <v>25816</v>
      </c>
      <c r="J1224" s="15">
        <f ca="1">'208_黑市'!R69</f>
        <v>4470</v>
      </c>
      <c r="K1224" s="15">
        <f ca="1">'210_活动'!X69</f>
        <v>36900</v>
      </c>
      <c r="L1224" s="15">
        <f ca="1">'211_VIP宝箱'!O69</f>
        <v>4355.4</v>
      </c>
      <c r="M1224" s="15">
        <f ca="1">'212_VIP商店'!O69</f>
        <v>12520.7142857143</v>
      </c>
      <c r="N1224" s="1">
        <f ca="1" t="shared" si="428"/>
        <v>146100</v>
      </c>
      <c r="O1224" s="1">
        <f ca="1" t="shared" si="429"/>
        <v>99890.096128</v>
      </c>
      <c r="P1224" s="30"/>
      <c r="Q1224" s="30"/>
      <c r="S1224" s="45">
        <f ca="1" t="shared" si="430"/>
        <v>46</v>
      </c>
      <c r="T1224" s="45">
        <f t="shared" si="431"/>
        <v>180</v>
      </c>
      <c r="U1224" s="45">
        <f ca="1" t="shared" si="432"/>
        <v>41.175</v>
      </c>
      <c r="V1224" s="45">
        <f ca="1" t="shared" si="433"/>
        <v>300</v>
      </c>
      <c r="W1224" s="45">
        <f ca="1" t="shared" si="434"/>
        <v>48</v>
      </c>
      <c r="X1224" s="45">
        <f ca="1" t="shared" si="435"/>
        <v>400</v>
      </c>
      <c r="Y1224" s="45">
        <f ca="1" t="shared" si="436"/>
        <v>54.8999999999999</v>
      </c>
      <c r="Z1224" s="45">
        <f ca="1" t="shared" si="437"/>
        <v>133.285714285714</v>
      </c>
    </row>
    <row r="1225" spans="2:26">
      <c r="B1225" s="12">
        <v>150</v>
      </c>
      <c r="C1225" s="1">
        <f ca="1">IF(养成规划!E70="",INDIRECT(ADDRESS(ROW()-1,COLUMN())),养成规划!E70)</f>
        <v>5</v>
      </c>
      <c r="D1225" s="1">
        <f>IF(养成规划!H70="","",养成规划!H70)</f>
        <v>403</v>
      </c>
      <c r="E1225" s="1">
        <f ca="1" t="shared" ref="E1225:E1232" si="438">IFERROR(C1225*OFFSET($H$1360,MATCH(D1225,$B$1360:$B$1384,0)-1,0),"")</f>
        <v>173100</v>
      </c>
      <c r="F1225" s="15">
        <f ca="1">'204_军官任务'!U70</f>
        <v>4838.28</v>
      </c>
      <c r="G1225" s="15">
        <f>'205_每日任务'!N70</f>
        <v>27000</v>
      </c>
      <c r="H1225" s="15">
        <f ca="1">'206_副本挂机'!N189</f>
        <v>4628.438928</v>
      </c>
      <c r="I1225" s="15">
        <f ca="1">'207_空投'!M70</f>
        <v>34816</v>
      </c>
      <c r="J1225" s="15">
        <f ca="1">'208_黑市'!R70</f>
        <v>6270</v>
      </c>
      <c r="K1225" s="15">
        <f ca="1">'210_活动'!X70</f>
        <v>51900</v>
      </c>
      <c r="L1225" s="15">
        <f ca="1">'211_VIP宝箱'!O70</f>
        <v>6002.4</v>
      </c>
      <c r="M1225" s="15">
        <f ca="1">'212_VIP商店'!O70</f>
        <v>16519.2857142857</v>
      </c>
      <c r="N1225" s="1">
        <f ca="1" t="shared" ref="N1225:N1232" si="439">E1225</f>
        <v>173100</v>
      </c>
      <c r="O1225" s="1">
        <f ca="1" t="shared" ref="O1225:O1232" si="440">SUM(F1225:L1225)</f>
        <v>135455.118928</v>
      </c>
      <c r="P1225" s="30"/>
      <c r="Q1225" s="30"/>
      <c r="S1225" s="45">
        <f ca="1" t="shared" si="430"/>
        <v>46</v>
      </c>
      <c r="T1225" s="45">
        <f t="shared" si="431"/>
        <v>180</v>
      </c>
      <c r="U1225" s="45">
        <f ca="1" t="shared" si="432"/>
        <v>44.60076</v>
      </c>
      <c r="V1225" s="45">
        <f ca="1" t="shared" si="433"/>
        <v>300</v>
      </c>
      <c r="W1225" s="45">
        <f ca="1" t="shared" si="434"/>
        <v>60</v>
      </c>
      <c r="X1225" s="45">
        <f ca="1" t="shared" si="435"/>
        <v>500</v>
      </c>
      <c r="Y1225" s="45">
        <f ca="1" t="shared" si="436"/>
        <v>54.9</v>
      </c>
      <c r="Z1225" s="45">
        <f ca="1" t="shared" si="437"/>
        <v>133.285714285714</v>
      </c>
    </row>
    <row r="1226" spans="2:26">
      <c r="B1226" s="12">
        <v>180</v>
      </c>
      <c r="C1226" s="1">
        <f ca="1">IF(养成规划!E71="",INDIRECT(ADDRESS(ROW()-1,COLUMN())),养成规划!E71)</f>
        <v>5</v>
      </c>
      <c r="D1226" s="1">
        <f>IF(养成规划!H71="","",养成规划!H71)</f>
        <v>405</v>
      </c>
      <c r="E1226" s="1">
        <f ca="1" t="shared" si="438"/>
        <v>236100</v>
      </c>
      <c r="F1226" s="15">
        <f ca="1">'204_军官任务'!U71</f>
        <v>6218.28</v>
      </c>
      <c r="G1226" s="15">
        <f>'205_每日任务'!N71</f>
        <v>32400</v>
      </c>
      <c r="H1226" s="15">
        <f ca="1">'206_副本挂机'!N190</f>
        <v>6069.234528</v>
      </c>
      <c r="I1226" s="15">
        <f ca="1">'207_空投'!M71</f>
        <v>43816</v>
      </c>
      <c r="J1226" s="15">
        <f ca="1">'208_黑市'!R71</f>
        <v>8070</v>
      </c>
      <c r="K1226" s="15">
        <f ca="1">'210_活动'!X71</f>
        <v>66900</v>
      </c>
      <c r="L1226" s="15">
        <f ca="1">'211_VIP宝箱'!O71</f>
        <v>7649.4</v>
      </c>
      <c r="M1226" s="15">
        <f ca="1">'212_VIP商店'!O71</f>
        <v>20517.8571428571</v>
      </c>
      <c r="N1226" s="1">
        <f ca="1" t="shared" si="439"/>
        <v>236100</v>
      </c>
      <c r="O1226" s="1">
        <f ca="1" t="shared" si="440"/>
        <v>171122.914528</v>
      </c>
      <c r="P1226" s="30"/>
      <c r="Q1226" s="30"/>
      <c r="S1226" s="45">
        <f ca="1" t="shared" ref="S1226:S1232" si="441">(F1226-F1225)/($B1226-$B1225)</f>
        <v>46</v>
      </c>
      <c r="T1226" s="45">
        <f t="shared" ref="T1226:T1232" si="442">(G1226-G1225)/($B1226-$B1225)</f>
        <v>180</v>
      </c>
      <c r="U1226" s="45">
        <f ca="1" t="shared" ref="U1226:U1232" si="443">(H1226-H1225)/($B1226-$B1225)</f>
        <v>48.02652</v>
      </c>
      <c r="V1226" s="45">
        <f ca="1" t="shared" ref="V1226:V1232" si="444">(I1226-I1225)/($B1226-$B1225)</f>
        <v>300</v>
      </c>
      <c r="W1226" s="45">
        <f ca="1" t="shared" ref="W1226:W1232" si="445">(J1226-J1225)/($B1226-$B1225)</f>
        <v>60</v>
      </c>
      <c r="X1226" s="45">
        <f ca="1" t="shared" ref="X1226:X1232" si="446">(K1226-K1225)/($B1226-$B1225)</f>
        <v>500</v>
      </c>
      <c r="Y1226" s="45">
        <f ca="1" t="shared" ref="Y1226:Y1232" si="447">(L1226-L1225)/($B1226-$B1225)</f>
        <v>54.9</v>
      </c>
      <c r="Z1226" s="45">
        <f ca="1" t="shared" ref="Z1226:Z1232" si="448">(M1226-M1225)/($B1226-$B1225)</f>
        <v>133.285714285714</v>
      </c>
    </row>
    <row r="1227" spans="2:26">
      <c r="B1227" s="12">
        <v>210</v>
      </c>
      <c r="C1227" s="1">
        <f ca="1">IF(养成规划!E72="",INDIRECT(ADDRESS(ROW()-1,COLUMN())),养成规划!E72)</f>
        <v>5</v>
      </c>
      <c r="D1227" s="1">
        <f>IF(养成规划!H72="","",养成规划!H72)</f>
        <v>406</v>
      </c>
      <c r="E1227" s="1">
        <f ca="1" t="shared" si="438"/>
        <v>281100</v>
      </c>
      <c r="F1227" s="15">
        <f ca="1">'204_军官任务'!U72</f>
        <v>7598.28</v>
      </c>
      <c r="G1227" s="15">
        <f>'205_每日任务'!N72</f>
        <v>37800</v>
      </c>
      <c r="H1227" s="15">
        <f ca="1">'206_副本挂机'!N191</f>
        <v>7612.802928</v>
      </c>
      <c r="I1227" s="15">
        <f ca="1">'207_空投'!M72</f>
        <v>52816</v>
      </c>
      <c r="J1227" s="15">
        <f ca="1">'208_黑市'!R72</f>
        <v>9870</v>
      </c>
      <c r="K1227" s="15">
        <f ca="1">'210_活动'!X72</f>
        <v>81900</v>
      </c>
      <c r="L1227" s="15">
        <f ca="1">'211_VIP宝箱'!O72</f>
        <v>9296.4</v>
      </c>
      <c r="M1227" s="15">
        <f ca="1">'212_VIP商店'!O72</f>
        <v>24516.4285714285</v>
      </c>
      <c r="N1227" s="1">
        <f ca="1" t="shared" si="439"/>
        <v>281100</v>
      </c>
      <c r="O1227" s="1">
        <f ca="1" t="shared" si="440"/>
        <v>206893.482928</v>
      </c>
      <c r="P1227" s="30"/>
      <c r="Q1227" s="30"/>
      <c r="S1227" s="45">
        <f ca="1" t="shared" si="441"/>
        <v>46</v>
      </c>
      <c r="T1227" s="45">
        <f t="shared" si="442"/>
        <v>180</v>
      </c>
      <c r="U1227" s="45">
        <f ca="1" t="shared" si="443"/>
        <v>51.45228</v>
      </c>
      <c r="V1227" s="45">
        <f ca="1" t="shared" si="444"/>
        <v>300</v>
      </c>
      <c r="W1227" s="45">
        <f ca="1" t="shared" si="445"/>
        <v>60</v>
      </c>
      <c r="X1227" s="45">
        <f ca="1" t="shared" si="446"/>
        <v>500</v>
      </c>
      <c r="Y1227" s="45">
        <f ca="1" t="shared" si="447"/>
        <v>54.9</v>
      </c>
      <c r="Z1227" s="45">
        <f ca="1" t="shared" si="448"/>
        <v>133.285714285714</v>
      </c>
    </row>
    <row r="1228" spans="2:26">
      <c r="B1228" s="12">
        <v>240</v>
      </c>
      <c r="C1228" s="1">
        <f ca="1">IF(养成规划!E73="",INDIRECT(ADDRESS(ROW()-1,COLUMN())),养成规划!E73)</f>
        <v>5</v>
      </c>
      <c r="D1228" s="1">
        <f>IF(养成规划!H73="","",养成规划!H73)</f>
        <v>407</v>
      </c>
      <c r="E1228" s="1">
        <f ca="1" t="shared" si="438"/>
        <v>341100</v>
      </c>
      <c r="F1228" s="15">
        <f ca="1">'204_军官任务'!U73</f>
        <v>8978.28</v>
      </c>
      <c r="G1228" s="15">
        <f>'205_每日任务'!N73</f>
        <v>43200</v>
      </c>
      <c r="H1228" s="15">
        <f ca="1">'206_副本挂机'!N192</f>
        <v>9259.802928</v>
      </c>
      <c r="I1228" s="15">
        <f ca="1">'207_空投'!M73</f>
        <v>61816</v>
      </c>
      <c r="J1228" s="15">
        <f ca="1">'208_黑市'!R73</f>
        <v>11670</v>
      </c>
      <c r="K1228" s="15">
        <f ca="1">'210_活动'!X73</f>
        <v>96900</v>
      </c>
      <c r="L1228" s="15">
        <f ca="1">'211_VIP宝箱'!O73</f>
        <v>10943.4</v>
      </c>
      <c r="M1228" s="15">
        <f ca="1">'212_VIP商店'!O73</f>
        <v>28514.9999999999</v>
      </c>
      <c r="N1228" s="1">
        <f ca="1" t="shared" si="439"/>
        <v>341100</v>
      </c>
      <c r="O1228" s="1">
        <f ca="1" t="shared" si="440"/>
        <v>242767.482928</v>
      </c>
      <c r="P1228" s="30"/>
      <c r="Q1228" s="30"/>
      <c r="S1228" s="45">
        <f ca="1" t="shared" si="441"/>
        <v>46</v>
      </c>
      <c r="T1228" s="45">
        <f t="shared" si="442"/>
        <v>180</v>
      </c>
      <c r="U1228" s="45">
        <f ca="1" t="shared" si="443"/>
        <v>54.9</v>
      </c>
      <c r="V1228" s="45">
        <f ca="1" t="shared" si="444"/>
        <v>300</v>
      </c>
      <c r="W1228" s="45">
        <f ca="1" t="shared" si="445"/>
        <v>60</v>
      </c>
      <c r="X1228" s="45">
        <f ca="1" t="shared" si="446"/>
        <v>500</v>
      </c>
      <c r="Y1228" s="45">
        <f ca="1" t="shared" si="447"/>
        <v>54.9</v>
      </c>
      <c r="Z1228" s="45">
        <f ca="1" t="shared" si="448"/>
        <v>133.285714285714</v>
      </c>
    </row>
    <row r="1229" spans="2:26">
      <c r="B1229" s="12">
        <v>270</v>
      </c>
      <c r="C1229" s="1">
        <f ca="1">IF(养成规划!E74="",INDIRECT(ADDRESS(ROW()-1,COLUMN())),养成规划!E74)</f>
        <v>5</v>
      </c>
      <c r="D1229" s="1">
        <f>IF(养成规划!H74="","",养成规划!H74)</f>
        <v>408</v>
      </c>
      <c r="E1229" s="1">
        <f ca="1" t="shared" si="438"/>
        <v>416100</v>
      </c>
      <c r="F1229" s="15">
        <f ca="1">'204_军官任务'!U74</f>
        <v>10358.28</v>
      </c>
      <c r="G1229" s="15">
        <f>'205_每日任务'!N74</f>
        <v>48600</v>
      </c>
      <c r="H1229" s="15">
        <f ca="1">'206_副本挂机'!N193</f>
        <v>11009.575728</v>
      </c>
      <c r="I1229" s="15">
        <f ca="1">'207_空投'!M74</f>
        <v>70816</v>
      </c>
      <c r="J1229" s="15">
        <f ca="1">'208_黑市'!R74</f>
        <v>13470</v>
      </c>
      <c r="K1229" s="15">
        <f ca="1">'210_活动'!X74</f>
        <v>111900</v>
      </c>
      <c r="L1229" s="15">
        <f ca="1">'211_VIP宝箱'!O74</f>
        <v>12590.4</v>
      </c>
      <c r="M1229" s="15">
        <f ca="1">'212_VIP商店'!O74</f>
        <v>32513.5714285714</v>
      </c>
      <c r="N1229" s="1">
        <f ca="1" t="shared" si="439"/>
        <v>416100</v>
      </c>
      <c r="O1229" s="1">
        <f ca="1" t="shared" si="440"/>
        <v>278744.255728</v>
      </c>
      <c r="P1229" s="30"/>
      <c r="Q1229" s="30"/>
      <c r="S1229" s="45">
        <f ca="1" t="shared" si="441"/>
        <v>46</v>
      </c>
      <c r="T1229" s="45">
        <f t="shared" si="442"/>
        <v>180</v>
      </c>
      <c r="U1229" s="45">
        <f ca="1" t="shared" si="443"/>
        <v>58.32576</v>
      </c>
      <c r="V1229" s="45">
        <f ca="1" t="shared" si="444"/>
        <v>300</v>
      </c>
      <c r="W1229" s="45">
        <f ca="1" t="shared" si="445"/>
        <v>60</v>
      </c>
      <c r="X1229" s="45">
        <f ca="1" t="shared" si="446"/>
        <v>500</v>
      </c>
      <c r="Y1229" s="45">
        <f ca="1" t="shared" si="447"/>
        <v>54.9</v>
      </c>
      <c r="Z1229" s="45">
        <f ca="1" t="shared" si="448"/>
        <v>133.285714285714</v>
      </c>
    </row>
    <row r="1230" spans="2:26">
      <c r="B1230" s="12">
        <v>300</v>
      </c>
      <c r="C1230" s="1">
        <f ca="1">IF(养成规划!E75="",INDIRECT(ADDRESS(ROW()-1,COLUMN())),养成规划!E75)</f>
        <v>5</v>
      </c>
      <c r="D1230" s="1">
        <f>IF(养成规划!H75="","",养成规划!H75)</f>
        <v>409</v>
      </c>
      <c r="E1230" s="1">
        <f ca="1" t="shared" si="438"/>
        <v>521100</v>
      </c>
      <c r="F1230" s="15">
        <f ca="1">'204_军官任务'!U75</f>
        <v>11738.28</v>
      </c>
      <c r="G1230" s="15">
        <f>'205_每日任务'!N75</f>
        <v>54000</v>
      </c>
      <c r="H1230" s="15">
        <f ca="1">'206_副本挂机'!N194</f>
        <v>12862.121328</v>
      </c>
      <c r="I1230" s="15">
        <f ca="1">'207_空投'!M75</f>
        <v>79816</v>
      </c>
      <c r="J1230" s="15">
        <f ca="1">'208_黑市'!R75</f>
        <v>15270</v>
      </c>
      <c r="K1230" s="15">
        <f ca="1">'210_活动'!X75</f>
        <v>126900</v>
      </c>
      <c r="L1230" s="15">
        <f ca="1">'211_VIP宝箱'!O75</f>
        <v>14237.4</v>
      </c>
      <c r="M1230" s="15">
        <f ca="1">'212_VIP商店'!O75</f>
        <v>36512.1428571428</v>
      </c>
      <c r="N1230" s="1">
        <f ca="1" t="shared" si="439"/>
        <v>521100</v>
      </c>
      <c r="O1230" s="1">
        <f ca="1" t="shared" si="440"/>
        <v>314823.801328</v>
      </c>
      <c r="P1230" s="30"/>
      <c r="Q1230" s="30"/>
      <c r="S1230" s="45">
        <f ca="1" t="shared" si="441"/>
        <v>46</v>
      </c>
      <c r="T1230" s="45">
        <f t="shared" si="442"/>
        <v>180</v>
      </c>
      <c r="U1230" s="45">
        <f ca="1" t="shared" si="443"/>
        <v>61.75152</v>
      </c>
      <c r="V1230" s="45">
        <f ca="1" t="shared" si="444"/>
        <v>300</v>
      </c>
      <c r="W1230" s="45">
        <f ca="1" t="shared" si="445"/>
        <v>60</v>
      </c>
      <c r="X1230" s="45">
        <f ca="1" t="shared" si="446"/>
        <v>500</v>
      </c>
      <c r="Y1230" s="45">
        <f ca="1" t="shared" si="447"/>
        <v>54.9</v>
      </c>
      <c r="Z1230" s="45">
        <f ca="1" t="shared" si="448"/>
        <v>133.285714285714</v>
      </c>
    </row>
    <row r="1231" spans="2:26">
      <c r="B1231" s="12">
        <v>330</v>
      </c>
      <c r="C1231" s="1">
        <f ca="1">IF(养成规划!E76="",INDIRECT(ADDRESS(ROW()-1,COLUMN())),养成规划!E76)</f>
        <v>5</v>
      </c>
      <c r="D1231" s="1" t="str">
        <f>IF(养成规划!H76="","",养成规划!H76)</f>
        <v/>
      </c>
      <c r="E1231" s="1" t="str">
        <f ca="1" t="shared" si="438"/>
        <v/>
      </c>
      <c r="F1231" s="15">
        <f ca="1">'204_军官任务'!U76</f>
        <v>13118.28</v>
      </c>
      <c r="G1231" s="15">
        <f>'205_每日任务'!N76</f>
        <v>59400</v>
      </c>
      <c r="H1231" s="15">
        <f ca="1">'206_副本挂机'!N195</f>
        <v>14817.439728</v>
      </c>
      <c r="I1231" s="15">
        <f ca="1">'207_空投'!M76</f>
        <v>88816</v>
      </c>
      <c r="J1231" s="15">
        <f ca="1">'208_黑市'!R76</f>
        <v>17070</v>
      </c>
      <c r="K1231" s="15">
        <f ca="1">'210_活动'!X76</f>
        <v>141900</v>
      </c>
      <c r="L1231" s="15">
        <f ca="1">'211_VIP宝箱'!O76</f>
        <v>15884.4</v>
      </c>
      <c r="M1231" s="15">
        <f ca="1">'212_VIP商店'!O76</f>
        <v>40510.7142857142</v>
      </c>
      <c r="N1231" s="1" t="str">
        <f ca="1" t="shared" si="439"/>
        <v/>
      </c>
      <c r="O1231" s="1">
        <f ca="1" t="shared" si="440"/>
        <v>351006.119728</v>
      </c>
      <c r="P1231" s="30"/>
      <c r="Q1231" s="30"/>
      <c r="S1231" s="45">
        <f ca="1" t="shared" si="441"/>
        <v>46</v>
      </c>
      <c r="T1231" s="45">
        <f t="shared" si="442"/>
        <v>180</v>
      </c>
      <c r="U1231" s="45">
        <f ca="1" t="shared" si="443"/>
        <v>65.1772799999999</v>
      </c>
      <c r="V1231" s="45">
        <f ca="1" t="shared" si="444"/>
        <v>300</v>
      </c>
      <c r="W1231" s="45">
        <f ca="1" t="shared" si="445"/>
        <v>60</v>
      </c>
      <c r="X1231" s="45">
        <f ca="1" t="shared" si="446"/>
        <v>500</v>
      </c>
      <c r="Y1231" s="45">
        <f ca="1" t="shared" si="447"/>
        <v>54.9</v>
      </c>
      <c r="Z1231" s="45">
        <f ca="1" t="shared" si="448"/>
        <v>133.285714285714</v>
      </c>
    </row>
    <row r="1232" spans="2:26">
      <c r="B1232" s="12">
        <v>360</v>
      </c>
      <c r="C1232" s="1">
        <f ca="1">IF(养成规划!E77="",INDIRECT(ADDRESS(ROW()-1,COLUMN())),养成规划!E77)</f>
        <v>5</v>
      </c>
      <c r="D1232" s="1">
        <f>IF(养成规划!H77="","",养成规划!H77)</f>
        <v>410</v>
      </c>
      <c r="E1232" s="1">
        <f ca="1" t="shared" si="438"/>
        <v>671100</v>
      </c>
      <c r="F1232" s="15">
        <f ca="1">'204_军官任务'!U77</f>
        <v>14498.28</v>
      </c>
      <c r="G1232" s="15">
        <f>'205_每日任务'!N77</f>
        <v>64800</v>
      </c>
      <c r="H1232" s="15">
        <f ca="1">'206_副本挂机'!N196</f>
        <v>16876.189728</v>
      </c>
      <c r="I1232" s="15">
        <f ca="1">'207_空投'!M77</f>
        <v>97816</v>
      </c>
      <c r="J1232" s="15">
        <f ca="1">'208_黑市'!R77</f>
        <v>18870</v>
      </c>
      <c r="K1232" s="15">
        <f ca="1">'210_活动'!X77</f>
        <v>156900</v>
      </c>
      <c r="L1232" s="15">
        <f ca="1">'211_VIP宝箱'!O77</f>
        <v>17531.4</v>
      </c>
      <c r="M1232" s="15">
        <f ca="1">'212_VIP商店'!O77</f>
        <v>44509.2857142856</v>
      </c>
      <c r="N1232" s="1">
        <f ca="1" t="shared" si="439"/>
        <v>671100</v>
      </c>
      <c r="O1232" s="1">
        <f ca="1" t="shared" si="440"/>
        <v>387291.869728</v>
      </c>
      <c r="P1232" s="30"/>
      <c r="Q1232" s="30"/>
      <c r="S1232" s="45">
        <f ca="1" t="shared" si="441"/>
        <v>46</v>
      </c>
      <c r="T1232" s="45">
        <f t="shared" si="442"/>
        <v>180</v>
      </c>
      <c r="U1232" s="45">
        <f ca="1" t="shared" si="443"/>
        <v>68.6250000000001</v>
      </c>
      <c r="V1232" s="45">
        <f ca="1" t="shared" si="444"/>
        <v>300</v>
      </c>
      <c r="W1232" s="45">
        <f ca="1" t="shared" si="445"/>
        <v>60</v>
      </c>
      <c r="X1232" s="45">
        <f ca="1" t="shared" si="446"/>
        <v>500</v>
      </c>
      <c r="Y1232" s="45">
        <f ca="1" t="shared" si="447"/>
        <v>54.9000000000001</v>
      </c>
      <c r="Z1232" s="45">
        <f ca="1" t="shared" si="448"/>
        <v>133.285714285714</v>
      </c>
    </row>
    <row r="1234" s="25" customFormat="1" spans="1:5">
      <c r="A1234" s="2" t="s">
        <v>462</v>
      </c>
      <c r="B1234" s="2"/>
      <c r="C1234" s="41" t="s">
        <v>436</v>
      </c>
      <c r="E1234" s="41"/>
    </row>
    <row r="1236" spans="2:12">
      <c r="B1236" s="27" t="s">
        <v>1076</v>
      </c>
      <c r="C1236" s="27"/>
      <c r="D1236" s="27"/>
      <c r="E1236" s="27"/>
      <c r="F1236" s="27"/>
      <c r="G1236" s="27"/>
      <c r="H1236" s="27"/>
      <c r="I1236" s="27"/>
      <c r="J1236" s="27"/>
      <c r="K1236" s="27"/>
      <c r="L1236" s="27"/>
    </row>
    <row r="1238" spans="2:6">
      <c r="B1238" s="1" t="s">
        <v>1077</v>
      </c>
      <c r="E1238" s="1">
        <f>总规划!$D$120</f>
        <v>30</v>
      </c>
      <c r="F1238" s="1" t="str">
        <f>总规划!$C$110</f>
        <v>1k零件</v>
      </c>
    </row>
    <row r="1239" spans="2:5">
      <c r="B1239" s="1" t="s">
        <v>1078</v>
      </c>
      <c r="E1239" s="42">
        <f>总规划!$S$141</f>
        <v>0.09</v>
      </c>
    </row>
    <row r="1240" spans="2:5">
      <c r="B1240" s="1" t="s">
        <v>1079</v>
      </c>
      <c r="E1240" s="42">
        <f>总规划!$S$142</f>
        <v>0.05</v>
      </c>
    </row>
    <row r="1241" spans="2:5">
      <c r="B1241" s="1" t="s">
        <v>1080</v>
      </c>
      <c r="E1241" s="42">
        <f>总规划!$S$143</f>
        <v>0.15</v>
      </c>
    </row>
    <row r="1242" spans="2:5">
      <c r="B1242" s="1" t="s">
        <v>1081</v>
      </c>
      <c r="E1242" s="42">
        <f>总规划!$S$144</f>
        <v>0.03</v>
      </c>
    </row>
    <row r="1243" spans="2:5">
      <c r="B1243" s="1" t="s">
        <v>1082</v>
      </c>
      <c r="E1243" s="42">
        <f>总规划!$S$146</f>
        <v>0.25</v>
      </c>
    </row>
    <row r="1244" spans="5:5">
      <c r="E1244" s="8"/>
    </row>
    <row r="1245" spans="5:5">
      <c r="E1245" s="8"/>
    </row>
    <row r="1246" spans="5:5">
      <c r="E1246" s="8"/>
    </row>
    <row r="1247" spans="5:5">
      <c r="E1247" s="8"/>
    </row>
    <row r="1248" spans="5:5">
      <c r="E1248" s="8"/>
    </row>
    <row r="1249" spans="5:5">
      <c r="E1249" s="8"/>
    </row>
    <row r="1250" spans="5:5">
      <c r="E1250" s="8"/>
    </row>
    <row r="1251" spans="5:5">
      <c r="E1251" s="8"/>
    </row>
    <row r="1252" spans="5:5">
      <c r="E1252" s="8"/>
    </row>
    <row r="1253" spans="5:5">
      <c r="E1253" s="8"/>
    </row>
    <row r="1254" spans="5:5">
      <c r="E1254" s="8"/>
    </row>
    <row r="1255" spans="5:5">
      <c r="E1255" s="8"/>
    </row>
    <row r="1256" spans="5:5">
      <c r="E1256" s="8"/>
    </row>
    <row r="1257" spans="5:5">
      <c r="E1257" s="8"/>
    </row>
    <row r="1258" spans="5:5">
      <c r="E1258" s="8"/>
    </row>
    <row r="1259" spans="5:5">
      <c r="E1259" s="8"/>
    </row>
    <row r="1260" spans="5:5">
      <c r="E1260" s="8"/>
    </row>
    <row r="1261" spans="5:5">
      <c r="E1261" s="8"/>
    </row>
    <row r="1262" spans="5:5">
      <c r="E1262" s="8"/>
    </row>
    <row r="1263" spans="5:5">
      <c r="E1263" s="8"/>
    </row>
    <row r="1264" spans="5:5">
      <c r="E1264" s="8"/>
    </row>
    <row r="1265" spans="5:5">
      <c r="E1265" s="8"/>
    </row>
    <row r="1266" spans="5:5">
      <c r="E1266" s="8"/>
    </row>
    <row r="1267" spans="5:5">
      <c r="E1267" s="8"/>
    </row>
    <row r="1268" spans="5:5">
      <c r="E1268" s="8"/>
    </row>
    <row r="1269" spans="5:5">
      <c r="E1269" s="8"/>
    </row>
    <row r="1270" spans="2:12">
      <c r="B1270" s="27" t="s">
        <v>1083</v>
      </c>
      <c r="C1270" s="27"/>
      <c r="D1270" s="27"/>
      <c r="E1270" s="27"/>
      <c r="F1270" s="27"/>
      <c r="G1270" s="27"/>
      <c r="H1270" s="27"/>
      <c r="I1270" s="27"/>
      <c r="J1270" s="27"/>
      <c r="K1270" s="27"/>
      <c r="L1270" s="27"/>
    </row>
    <row r="1272" spans="2:22">
      <c r="B1272" s="1" t="s">
        <v>382</v>
      </c>
      <c r="C1272" s="1" t="s">
        <v>678</v>
      </c>
      <c r="D1272" s="1" t="s">
        <v>457</v>
      </c>
      <c r="E1272" s="1" t="s">
        <v>1084</v>
      </c>
      <c r="F1272" s="15" t="s">
        <v>1085</v>
      </c>
      <c r="G1272" s="15" t="s">
        <v>1086</v>
      </c>
      <c r="H1272" s="15" t="s">
        <v>1087</v>
      </c>
      <c r="I1272" s="15" t="s">
        <v>1088</v>
      </c>
      <c r="J1272" s="15" t="s">
        <v>1089</v>
      </c>
      <c r="K1272" s="15" t="s">
        <v>1090</v>
      </c>
      <c r="L1272" s="1" t="s">
        <v>1091</v>
      </c>
      <c r="M1272" s="1" t="s">
        <v>1092</v>
      </c>
      <c r="N1272" s="1" t="s">
        <v>753</v>
      </c>
      <c r="O1272" s="1" t="s">
        <v>754</v>
      </c>
      <c r="Q1272" s="45" t="s">
        <v>1085</v>
      </c>
      <c r="R1272" s="45" t="s">
        <v>1086</v>
      </c>
      <c r="S1272" s="45" t="s">
        <v>1087</v>
      </c>
      <c r="T1272" s="45" t="s">
        <v>1088</v>
      </c>
      <c r="U1272" s="45" t="s">
        <v>1089</v>
      </c>
      <c r="V1272" s="45" t="s">
        <v>1090</v>
      </c>
    </row>
    <row r="1273" spans="2:22">
      <c r="B1273" s="7">
        <v>0</v>
      </c>
      <c r="C1273" s="1">
        <f ca="1">IF(养成规划!N6="",INDIRECT(ADDRESS(ROW()-1,COLUMN())),养成规划!N6)</f>
        <v>0</v>
      </c>
      <c r="D1273" s="1">
        <f>IF(养成规划!Q6="","",养成规划!Q6)</f>
        <v>0</v>
      </c>
      <c r="E1273" s="1" t="str">
        <f ca="1">IFERROR(C1273*OFFSET($R$1360,MATCH(D1273,$L$1360:$L$1384,0)-1,0),"")</f>
        <v/>
      </c>
      <c r="F1273" s="15">
        <f>'205_每日任务'!Q6</f>
        <v>0</v>
      </c>
      <c r="G1273" s="15">
        <f ca="1">'206_副本挂机'!AC125</f>
        <v>0</v>
      </c>
      <c r="H1273" s="15">
        <f ca="1">'207_空投'!P6</f>
        <v>0</v>
      </c>
      <c r="I1273" s="15">
        <f ca="1">'208_黑市'!AD6</f>
        <v>0</v>
      </c>
      <c r="J1273" s="15">
        <f ca="1">'210_活动'!AM6</f>
        <v>0</v>
      </c>
      <c r="K1273" s="15">
        <f ca="1">'212_VIP商店'!U6</f>
        <v>0</v>
      </c>
      <c r="L1273" s="1" t="str">
        <f ca="1" t="shared" ref="L1273:L1304" si="449">E1273</f>
        <v/>
      </c>
      <c r="M1273" s="1">
        <f ca="1" t="shared" ref="M1273:M1304" si="450">SUM(F1273:J1273)</f>
        <v>0</v>
      </c>
      <c r="N1273" s="30"/>
      <c r="O1273" s="30"/>
      <c r="Q1273" s="45">
        <v>0</v>
      </c>
      <c r="R1273" s="45">
        <v>0</v>
      </c>
      <c r="S1273" s="45">
        <v>0</v>
      </c>
      <c r="T1273" s="45">
        <v>0</v>
      </c>
      <c r="U1273" s="45">
        <v>0</v>
      </c>
      <c r="V1273" s="45">
        <v>0</v>
      </c>
    </row>
    <row r="1274" spans="2:22">
      <c r="B1274" s="7">
        <v>0.1</v>
      </c>
      <c r="C1274" s="1">
        <f ca="1">IF(养成规划!N7="",INDIRECT(ADDRESS(ROW()-1,COLUMN())),养成规划!N7)</f>
        <v>0</v>
      </c>
      <c r="D1274" s="1" t="str">
        <f>IF(养成规划!Q7="","",养成规划!Q7)</f>
        <v/>
      </c>
      <c r="E1274" s="1" t="str">
        <f ca="1" t="shared" ref="E1274:E1337" si="451">IFERROR(C1274*OFFSET($R$1360,MATCH(D1274,$L$1360:$L$1384,0)-1,0),"")</f>
        <v/>
      </c>
      <c r="F1274" s="15">
        <f>'205_每日任务'!Q7</f>
        <v>9</v>
      </c>
      <c r="G1274" s="15">
        <f ca="1">'206_副本挂机'!AC126</f>
        <v>0</v>
      </c>
      <c r="H1274" s="15">
        <f ca="1">'207_空投'!P7</f>
        <v>2</v>
      </c>
      <c r="I1274" s="15">
        <f ca="1">'208_黑市'!AD7</f>
        <v>0.3</v>
      </c>
      <c r="J1274" s="15">
        <f ca="1">'210_活动'!AM7</f>
        <v>0</v>
      </c>
      <c r="K1274" s="15">
        <f ca="1">'212_VIP商店'!U7</f>
        <v>0</v>
      </c>
      <c r="L1274" s="1" t="str">
        <f ca="1" t="shared" si="449"/>
        <v/>
      </c>
      <c r="M1274" s="1">
        <f ca="1" t="shared" si="450"/>
        <v>11.3</v>
      </c>
      <c r="N1274" s="30"/>
      <c r="O1274" s="30"/>
      <c r="Q1274" s="45">
        <f t="shared" ref="Q1274:Q1305" si="452">(F1274-F1273)/($B1274-$B1273)</f>
        <v>90</v>
      </c>
      <c r="R1274" s="45">
        <f ca="1" t="shared" ref="R1274:R1305" si="453">(G1274-G1273)/($B1274-$B1273)</f>
        <v>0</v>
      </c>
      <c r="S1274" s="45">
        <f ca="1" t="shared" ref="S1274:S1305" si="454">(H1274-H1273)/($B1274-$B1273)</f>
        <v>20</v>
      </c>
      <c r="T1274" s="45">
        <f ca="1" t="shared" ref="T1274:T1305" si="455">(I1274-I1273)/($B1274-$B1273)</f>
        <v>3</v>
      </c>
      <c r="U1274" s="45">
        <f ca="1" t="shared" ref="U1274:U1305" si="456">(J1274-J1273)/($B1274-$B1273)</f>
        <v>0</v>
      </c>
      <c r="V1274" s="45">
        <f ca="1" t="shared" ref="V1274:V1305" si="457">(K1274-K1273)/($B1274-$B1273)</f>
        <v>0</v>
      </c>
    </row>
    <row r="1275" spans="2:22">
      <c r="B1275" s="7">
        <v>0.2</v>
      </c>
      <c r="C1275" s="1">
        <f ca="1">IF(养成规划!N8="",INDIRECT(ADDRESS(ROW()-1,COLUMN())),养成规划!N8)</f>
        <v>0</v>
      </c>
      <c r="D1275" s="1" t="str">
        <f>IF(养成规划!Q8="","",养成规划!Q8)</f>
        <v/>
      </c>
      <c r="E1275" s="1" t="str">
        <f ca="1" t="shared" si="451"/>
        <v/>
      </c>
      <c r="F1275" s="15">
        <f>'205_每日任务'!Q8</f>
        <v>18</v>
      </c>
      <c r="G1275" s="15">
        <f ca="1">'206_副本挂机'!AC127</f>
        <v>0</v>
      </c>
      <c r="H1275" s="15">
        <f ca="1">'207_空投'!P8</f>
        <v>3.99999999999999</v>
      </c>
      <c r="I1275" s="15">
        <f ca="1">'208_黑市'!AD8</f>
        <v>0.6</v>
      </c>
      <c r="J1275" s="15">
        <f ca="1">'210_活动'!AM8</f>
        <v>0</v>
      </c>
      <c r="K1275" s="15">
        <f ca="1">'212_VIP商店'!U8</f>
        <v>0</v>
      </c>
      <c r="L1275" s="1" t="str">
        <f ca="1" t="shared" si="449"/>
        <v/>
      </c>
      <c r="M1275" s="1">
        <f ca="1" t="shared" si="450"/>
        <v>22.6</v>
      </c>
      <c r="N1275" s="30"/>
      <c r="O1275" s="30"/>
      <c r="Q1275" s="45">
        <f t="shared" si="452"/>
        <v>90</v>
      </c>
      <c r="R1275" s="45">
        <f ca="1" t="shared" si="453"/>
        <v>0</v>
      </c>
      <c r="S1275" s="45">
        <f ca="1" t="shared" si="454"/>
        <v>20</v>
      </c>
      <c r="T1275" s="45">
        <f ca="1" t="shared" si="455"/>
        <v>3</v>
      </c>
      <c r="U1275" s="45">
        <f ca="1" t="shared" si="456"/>
        <v>0</v>
      </c>
      <c r="V1275" s="45">
        <f ca="1" t="shared" si="457"/>
        <v>0</v>
      </c>
    </row>
    <row r="1276" spans="2:22">
      <c r="B1276" s="7">
        <v>0.3</v>
      </c>
      <c r="C1276" s="1">
        <f ca="1">IF(养成规划!N9="",INDIRECT(ADDRESS(ROW()-1,COLUMN())),养成规划!N9)</f>
        <v>0</v>
      </c>
      <c r="D1276" s="1" t="str">
        <f>IF(养成规划!Q9="","",养成规划!Q9)</f>
        <v/>
      </c>
      <c r="E1276" s="1" t="str">
        <f ca="1" t="shared" si="451"/>
        <v/>
      </c>
      <c r="F1276" s="15">
        <f>'205_每日任务'!Q9</f>
        <v>27</v>
      </c>
      <c r="G1276" s="15">
        <f ca="1">'206_副本挂机'!AC128</f>
        <v>0</v>
      </c>
      <c r="H1276" s="15">
        <f ca="1">'207_空投'!P9</f>
        <v>5.99999999999999</v>
      </c>
      <c r="I1276" s="15">
        <f ca="1">'208_黑市'!AD9</f>
        <v>0.9</v>
      </c>
      <c r="J1276" s="15">
        <f ca="1">'210_活动'!AM9</f>
        <v>0</v>
      </c>
      <c r="K1276" s="15">
        <f ca="1">'212_VIP商店'!U9</f>
        <v>0</v>
      </c>
      <c r="L1276" s="1" t="str">
        <f ca="1" t="shared" si="449"/>
        <v/>
      </c>
      <c r="M1276" s="1">
        <f ca="1" t="shared" si="450"/>
        <v>33.9</v>
      </c>
      <c r="N1276" s="30"/>
      <c r="O1276" s="30"/>
      <c r="Q1276" s="45">
        <f t="shared" si="452"/>
        <v>90</v>
      </c>
      <c r="R1276" s="45">
        <f ca="1" t="shared" si="453"/>
        <v>0</v>
      </c>
      <c r="S1276" s="45">
        <f ca="1" t="shared" si="454"/>
        <v>20</v>
      </c>
      <c r="T1276" s="45">
        <f ca="1" t="shared" si="455"/>
        <v>3</v>
      </c>
      <c r="U1276" s="45">
        <f ca="1" t="shared" si="456"/>
        <v>0</v>
      </c>
      <c r="V1276" s="45">
        <f ca="1" t="shared" si="457"/>
        <v>0</v>
      </c>
    </row>
    <row r="1277" spans="2:22">
      <c r="B1277" s="7">
        <v>0.4</v>
      </c>
      <c r="C1277" s="1">
        <f ca="1">IF(养成规划!N10="",INDIRECT(ADDRESS(ROW()-1,COLUMN())),养成规划!N10)</f>
        <v>0</v>
      </c>
      <c r="D1277" s="1" t="str">
        <f>IF(养成规划!Q10="","",养成规划!Q10)</f>
        <v/>
      </c>
      <c r="E1277" s="1" t="str">
        <f ca="1" t="shared" si="451"/>
        <v/>
      </c>
      <c r="F1277" s="15">
        <f>'205_每日任务'!Q10</f>
        <v>36</v>
      </c>
      <c r="G1277" s="15">
        <f ca="1">'206_副本挂机'!AC129</f>
        <v>0</v>
      </c>
      <c r="H1277" s="15">
        <f ca="1">'207_空投'!P10</f>
        <v>8.99999999999999</v>
      </c>
      <c r="I1277" s="15">
        <f ca="1">'208_黑市'!AD10</f>
        <v>1.2</v>
      </c>
      <c r="J1277" s="15">
        <f ca="1">'210_活动'!AM10</f>
        <v>0</v>
      </c>
      <c r="K1277" s="15">
        <f ca="1">'212_VIP商店'!U10</f>
        <v>0</v>
      </c>
      <c r="L1277" s="1" t="str">
        <f ca="1" t="shared" si="449"/>
        <v/>
      </c>
      <c r="M1277" s="1">
        <f ca="1" t="shared" si="450"/>
        <v>46.2</v>
      </c>
      <c r="N1277" s="30"/>
      <c r="O1277" s="30"/>
      <c r="Q1277" s="45">
        <f t="shared" si="452"/>
        <v>90</v>
      </c>
      <c r="R1277" s="45">
        <f ca="1" t="shared" si="453"/>
        <v>0</v>
      </c>
      <c r="S1277" s="45">
        <f ca="1" t="shared" si="454"/>
        <v>30</v>
      </c>
      <c r="T1277" s="45">
        <f ca="1" t="shared" si="455"/>
        <v>3</v>
      </c>
      <c r="U1277" s="45">
        <f ca="1" t="shared" si="456"/>
        <v>0</v>
      </c>
      <c r="V1277" s="45">
        <f ca="1" t="shared" si="457"/>
        <v>0</v>
      </c>
    </row>
    <row r="1278" spans="2:22">
      <c r="B1278" s="7">
        <v>0.5</v>
      </c>
      <c r="C1278" s="1">
        <f ca="1">IF(养成规划!N11="",INDIRECT(ADDRESS(ROW()-1,COLUMN())),养成规划!N11)</f>
        <v>0</v>
      </c>
      <c r="D1278" s="1" t="str">
        <f>IF(养成规划!Q11="","",养成规划!Q11)</f>
        <v/>
      </c>
      <c r="E1278" s="1" t="str">
        <f ca="1" t="shared" si="451"/>
        <v/>
      </c>
      <c r="F1278" s="15">
        <f>'205_每日任务'!Q11</f>
        <v>45</v>
      </c>
      <c r="G1278" s="15">
        <f ca="1">'206_副本挂机'!AC130</f>
        <v>0</v>
      </c>
      <c r="H1278" s="15">
        <f ca="1">'207_空投'!P11</f>
        <v>12</v>
      </c>
      <c r="I1278" s="15">
        <f ca="1">'208_黑市'!AD11</f>
        <v>1.5</v>
      </c>
      <c r="J1278" s="15">
        <f ca="1">'210_活动'!AM11</f>
        <v>0</v>
      </c>
      <c r="K1278" s="15">
        <f ca="1">'212_VIP商店'!U11</f>
        <v>0</v>
      </c>
      <c r="L1278" s="1" t="str">
        <f ca="1" t="shared" si="449"/>
        <v/>
      </c>
      <c r="M1278" s="1">
        <f ca="1" t="shared" si="450"/>
        <v>58.5</v>
      </c>
      <c r="N1278" s="30"/>
      <c r="O1278" s="30"/>
      <c r="Q1278" s="45">
        <f t="shared" si="452"/>
        <v>90</v>
      </c>
      <c r="R1278" s="45">
        <f ca="1" t="shared" si="453"/>
        <v>0</v>
      </c>
      <c r="S1278" s="45">
        <f ca="1" t="shared" si="454"/>
        <v>30</v>
      </c>
      <c r="T1278" s="45">
        <f ca="1" t="shared" si="455"/>
        <v>3</v>
      </c>
      <c r="U1278" s="45">
        <f ca="1" t="shared" si="456"/>
        <v>0</v>
      </c>
      <c r="V1278" s="45">
        <f ca="1" t="shared" si="457"/>
        <v>0</v>
      </c>
    </row>
    <row r="1279" spans="2:22">
      <c r="B1279" s="7">
        <v>0.6</v>
      </c>
      <c r="C1279" s="1">
        <f ca="1">IF(养成规划!N12="",INDIRECT(ADDRESS(ROW()-1,COLUMN())),养成规划!N12)</f>
        <v>0</v>
      </c>
      <c r="D1279" s="1" t="str">
        <f>IF(养成规划!Q12="","",养成规划!Q12)</f>
        <v/>
      </c>
      <c r="E1279" s="1" t="str">
        <f ca="1" t="shared" si="451"/>
        <v/>
      </c>
      <c r="F1279" s="15">
        <f>'205_每日任务'!Q12</f>
        <v>54</v>
      </c>
      <c r="G1279" s="15">
        <f ca="1">'206_副本挂机'!AC131</f>
        <v>0</v>
      </c>
      <c r="H1279" s="15">
        <f ca="1">'207_空投'!P12</f>
        <v>15</v>
      </c>
      <c r="I1279" s="15">
        <f ca="1">'208_黑市'!AD12</f>
        <v>1.8</v>
      </c>
      <c r="J1279" s="15">
        <f ca="1">'210_活动'!AM12</f>
        <v>0</v>
      </c>
      <c r="K1279" s="15">
        <f ca="1">'212_VIP商店'!U12</f>
        <v>0</v>
      </c>
      <c r="L1279" s="1" t="str">
        <f ca="1" t="shared" si="449"/>
        <v/>
      </c>
      <c r="M1279" s="1">
        <f ca="1" t="shared" si="450"/>
        <v>70.8</v>
      </c>
      <c r="N1279" s="30"/>
      <c r="O1279" s="30"/>
      <c r="Q1279" s="45">
        <f t="shared" si="452"/>
        <v>90</v>
      </c>
      <c r="R1279" s="45">
        <f ca="1" t="shared" si="453"/>
        <v>0</v>
      </c>
      <c r="S1279" s="45">
        <f ca="1" t="shared" si="454"/>
        <v>30</v>
      </c>
      <c r="T1279" s="45">
        <f ca="1" t="shared" si="455"/>
        <v>3</v>
      </c>
      <c r="U1279" s="45">
        <f ca="1" t="shared" si="456"/>
        <v>0</v>
      </c>
      <c r="V1279" s="45">
        <f ca="1" t="shared" si="457"/>
        <v>0</v>
      </c>
    </row>
    <row r="1280" spans="2:22">
      <c r="B1280" s="7">
        <v>0.7</v>
      </c>
      <c r="C1280" s="1">
        <f ca="1">IF(养成规划!N13="",INDIRECT(ADDRESS(ROW()-1,COLUMN())),养成规划!N13)</f>
        <v>0</v>
      </c>
      <c r="D1280" s="1" t="str">
        <f>IF(养成规划!Q13="","",养成规划!Q13)</f>
        <v/>
      </c>
      <c r="E1280" s="1" t="str">
        <f ca="1" t="shared" si="451"/>
        <v/>
      </c>
      <c r="F1280" s="15">
        <f>'205_每日任务'!Q13</f>
        <v>63</v>
      </c>
      <c r="G1280" s="15">
        <f ca="1">'206_副本挂机'!AC132</f>
        <v>0</v>
      </c>
      <c r="H1280" s="15">
        <f ca="1">'207_空投'!P13</f>
        <v>18</v>
      </c>
      <c r="I1280" s="15">
        <f ca="1">'208_黑市'!AD13</f>
        <v>2.1</v>
      </c>
      <c r="J1280" s="15">
        <f ca="1">'210_活动'!AM13</f>
        <v>0</v>
      </c>
      <c r="K1280" s="15">
        <f ca="1">'212_VIP商店'!U13</f>
        <v>0</v>
      </c>
      <c r="L1280" s="1" t="str">
        <f ca="1" t="shared" si="449"/>
        <v/>
      </c>
      <c r="M1280" s="1">
        <f ca="1" t="shared" si="450"/>
        <v>83.1</v>
      </c>
      <c r="N1280" s="30"/>
      <c r="O1280" s="30"/>
      <c r="Q1280" s="45">
        <f t="shared" si="452"/>
        <v>90</v>
      </c>
      <c r="R1280" s="45">
        <f ca="1" t="shared" si="453"/>
        <v>0</v>
      </c>
      <c r="S1280" s="45">
        <f ca="1" t="shared" si="454"/>
        <v>30</v>
      </c>
      <c r="T1280" s="45">
        <f ca="1" t="shared" si="455"/>
        <v>3</v>
      </c>
      <c r="U1280" s="45">
        <f ca="1" t="shared" si="456"/>
        <v>0</v>
      </c>
      <c r="V1280" s="45">
        <f ca="1" t="shared" si="457"/>
        <v>0</v>
      </c>
    </row>
    <row r="1281" spans="2:22">
      <c r="B1281" s="7">
        <v>0.8</v>
      </c>
      <c r="C1281" s="1">
        <f ca="1">IF(养成规划!N14="",INDIRECT(ADDRESS(ROW()-1,COLUMN())),养成规划!N14)</f>
        <v>0</v>
      </c>
      <c r="D1281" s="1" t="str">
        <f>IF(养成规划!Q14="","",养成规划!Q14)</f>
        <v/>
      </c>
      <c r="E1281" s="1" t="str">
        <f ca="1" t="shared" si="451"/>
        <v/>
      </c>
      <c r="F1281" s="15">
        <f>'205_每日任务'!Q14</f>
        <v>72</v>
      </c>
      <c r="G1281" s="15">
        <f ca="1">'206_副本挂机'!AC133</f>
        <v>0</v>
      </c>
      <c r="H1281" s="15">
        <f ca="1">'207_空投'!P14</f>
        <v>21</v>
      </c>
      <c r="I1281" s="15">
        <f ca="1">'208_黑市'!AD14</f>
        <v>2.4</v>
      </c>
      <c r="J1281" s="15">
        <f ca="1">'210_活动'!AM14</f>
        <v>0</v>
      </c>
      <c r="K1281" s="15">
        <f ca="1">'212_VIP商店'!U14</f>
        <v>0</v>
      </c>
      <c r="L1281" s="1" t="str">
        <f ca="1" t="shared" si="449"/>
        <v/>
      </c>
      <c r="M1281" s="1">
        <f ca="1" t="shared" si="450"/>
        <v>95.4</v>
      </c>
      <c r="N1281" s="30"/>
      <c r="O1281" s="30"/>
      <c r="Q1281" s="45">
        <f t="shared" si="452"/>
        <v>89.9999999999999</v>
      </c>
      <c r="R1281" s="45">
        <f ca="1" t="shared" si="453"/>
        <v>0</v>
      </c>
      <c r="S1281" s="45">
        <f ca="1" t="shared" si="454"/>
        <v>30</v>
      </c>
      <c r="T1281" s="45">
        <f ca="1" t="shared" si="455"/>
        <v>3</v>
      </c>
      <c r="U1281" s="45">
        <f ca="1" t="shared" si="456"/>
        <v>0</v>
      </c>
      <c r="V1281" s="45">
        <f ca="1" t="shared" si="457"/>
        <v>0</v>
      </c>
    </row>
    <row r="1282" spans="2:22">
      <c r="B1282" s="7">
        <v>0.9</v>
      </c>
      <c r="C1282" s="1">
        <f ca="1">IF(养成规划!N15="",INDIRECT(ADDRESS(ROW()-1,COLUMN())),养成规划!N15)</f>
        <v>0</v>
      </c>
      <c r="D1282" s="1" t="str">
        <f>IF(养成规划!Q15="","",养成规划!Q15)</f>
        <v/>
      </c>
      <c r="E1282" s="1" t="str">
        <f ca="1" t="shared" si="451"/>
        <v/>
      </c>
      <c r="F1282" s="15">
        <f>'205_每日任务'!Q15</f>
        <v>81</v>
      </c>
      <c r="G1282" s="15">
        <f ca="1">'206_副本挂机'!AC134</f>
        <v>0</v>
      </c>
      <c r="H1282" s="15">
        <f ca="1">'207_空投'!P15</f>
        <v>24</v>
      </c>
      <c r="I1282" s="15">
        <f ca="1">'208_黑市'!AD15</f>
        <v>2.7</v>
      </c>
      <c r="J1282" s="15">
        <f ca="1">'210_活动'!AM15</f>
        <v>0</v>
      </c>
      <c r="K1282" s="15">
        <f ca="1">'212_VIP商店'!U15</f>
        <v>0</v>
      </c>
      <c r="L1282" s="1" t="str">
        <f ca="1" t="shared" si="449"/>
        <v/>
      </c>
      <c r="M1282" s="1">
        <f ca="1" t="shared" si="450"/>
        <v>107.7</v>
      </c>
      <c r="N1282" s="30"/>
      <c r="O1282" s="30"/>
      <c r="Q1282" s="45">
        <f t="shared" si="452"/>
        <v>90</v>
      </c>
      <c r="R1282" s="45">
        <f ca="1" t="shared" si="453"/>
        <v>0</v>
      </c>
      <c r="S1282" s="45">
        <f ca="1" t="shared" si="454"/>
        <v>30</v>
      </c>
      <c r="T1282" s="45">
        <f ca="1" t="shared" si="455"/>
        <v>3</v>
      </c>
      <c r="U1282" s="45">
        <f ca="1" t="shared" si="456"/>
        <v>0</v>
      </c>
      <c r="V1282" s="45">
        <f ca="1" t="shared" si="457"/>
        <v>0</v>
      </c>
    </row>
    <row r="1283" spans="2:22">
      <c r="B1283" s="7">
        <v>1</v>
      </c>
      <c r="C1283" s="1">
        <f ca="1">IF(养成规划!N16="",INDIRECT(ADDRESS(ROW()-1,COLUMN())),养成规划!N16)</f>
        <v>0</v>
      </c>
      <c r="D1283" s="1" t="str">
        <f>IF(养成规划!Q16="","",养成规划!Q16)</f>
        <v/>
      </c>
      <c r="E1283" s="1" t="str">
        <f ca="1" t="shared" si="451"/>
        <v/>
      </c>
      <c r="F1283" s="15">
        <f>'205_每日任务'!Q16</f>
        <v>90</v>
      </c>
      <c r="G1283" s="15">
        <f ca="1">'206_副本挂机'!AC135</f>
        <v>0</v>
      </c>
      <c r="H1283" s="15">
        <f ca="1">'207_空投'!P16</f>
        <v>28</v>
      </c>
      <c r="I1283" s="15">
        <f ca="1">'208_黑市'!AD16</f>
        <v>3</v>
      </c>
      <c r="J1283" s="15">
        <f ca="1">'210_活动'!AM16</f>
        <v>0</v>
      </c>
      <c r="K1283" s="15">
        <f ca="1">'212_VIP商店'!U16</f>
        <v>0</v>
      </c>
      <c r="L1283" s="1" t="str">
        <f ca="1" t="shared" si="449"/>
        <v/>
      </c>
      <c r="M1283" s="1">
        <f ca="1" t="shared" si="450"/>
        <v>121</v>
      </c>
      <c r="N1283" s="30"/>
      <c r="O1283" s="30"/>
      <c r="Q1283" s="45">
        <f t="shared" si="452"/>
        <v>90</v>
      </c>
      <c r="R1283" s="45">
        <f ca="1" t="shared" si="453"/>
        <v>0</v>
      </c>
      <c r="S1283" s="45">
        <f ca="1" t="shared" si="454"/>
        <v>40.0000000000001</v>
      </c>
      <c r="T1283" s="45">
        <f ca="1" t="shared" si="455"/>
        <v>3</v>
      </c>
      <c r="U1283" s="45">
        <f ca="1" t="shared" si="456"/>
        <v>0</v>
      </c>
      <c r="V1283" s="45">
        <f ca="1" t="shared" si="457"/>
        <v>0</v>
      </c>
    </row>
    <row r="1284" spans="2:22">
      <c r="B1284" s="9">
        <v>1.5</v>
      </c>
      <c r="C1284" s="1">
        <f ca="1">IF(养成规划!N17="",INDIRECT(ADDRESS(ROW()-1,COLUMN())),养成规划!N17)</f>
        <v>0</v>
      </c>
      <c r="D1284" s="1" t="str">
        <f>IF(养成规划!Q17="","",养成规划!Q17)</f>
        <v/>
      </c>
      <c r="E1284" s="1" t="str">
        <f ca="1" t="shared" si="451"/>
        <v/>
      </c>
      <c r="F1284" s="15">
        <f>'205_每日任务'!Q17</f>
        <v>135</v>
      </c>
      <c r="G1284" s="15">
        <f ca="1">'206_副本挂机'!AC136</f>
        <v>0</v>
      </c>
      <c r="H1284" s="15">
        <f ca="1">'207_空投'!P17</f>
        <v>48</v>
      </c>
      <c r="I1284" s="15">
        <f ca="1">'208_黑市'!AD17</f>
        <v>4.5</v>
      </c>
      <c r="J1284" s="15">
        <f ca="1">'210_活动'!AM17</f>
        <v>0</v>
      </c>
      <c r="K1284" s="15">
        <f ca="1">'212_VIP商店'!U17</f>
        <v>0</v>
      </c>
      <c r="L1284" s="1" t="str">
        <f ca="1" t="shared" si="449"/>
        <v/>
      </c>
      <c r="M1284" s="1">
        <f ca="1" t="shared" si="450"/>
        <v>187.5</v>
      </c>
      <c r="N1284" s="30"/>
      <c r="O1284" s="30"/>
      <c r="Q1284" s="45">
        <f t="shared" si="452"/>
        <v>90</v>
      </c>
      <c r="R1284" s="45">
        <f ca="1" t="shared" si="453"/>
        <v>0</v>
      </c>
      <c r="S1284" s="45">
        <f ca="1" t="shared" si="454"/>
        <v>40</v>
      </c>
      <c r="T1284" s="45">
        <f ca="1" t="shared" si="455"/>
        <v>3</v>
      </c>
      <c r="U1284" s="45">
        <f ca="1" t="shared" si="456"/>
        <v>0</v>
      </c>
      <c r="V1284" s="45">
        <f ca="1" t="shared" si="457"/>
        <v>0</v>
      </c>
    </row>
    <row r="1285" spans="2:22">
      <c r="B1285" s="9">
        <v>2</v>
      </c>
      <c r="C1285" s="1">
        <f ca="1">IF(养成规划!N18="",INDIRECT(ADDRESS(ROW()-1,COLUMN())),养成规划!N18)</f>
        <v>1</v>
      </c>
      <c r="D1285" s="1">
        <f>IF(养成规划!Q18="","",养成规划!Q18)</f>
        <v>0</v>
      </c>
      <c r="E1285" s="1" t="str">
        <f ca="1" t="shared" si="451"/>
        <v/>
      </c>
      <c r="F1285" s="15">
        <f>'205_每日任务'!Q18</f>
        <v>180</v>
      </c>
      <c r="G1285" s="15">
        <f ca="1">'206_副本挂机'!AC137</f>
        <v>0</v>
      </c>
      <c r="H1285" s="15">
        <f ca="1">'207_空投'!P18</f>
        <v>68</v>
      </c>
      <c r="I1285" s="15">
        <f ca="1">'208_黑市'!AD18</f>
        <v>6</v>
      </c>
      <c r="J1285" s="15">
        <f ca="1">'210_活动'!AM18</f>
        <v>0</v>
      </c>
      <c r="K1285" s="15">
        <f ca="1">'212_VIP商店'!U18</f>
        <v>0</v>
      </c>
      <c r="L1285" s="1" t="str">
        <f ca="1" t="shared" si="449"/>
        <v/>
      </c>
      <c r="M1285" s="1">
        <f ca="1" t="shared" si="450"/>
        <v>254</v>
      </c>
      <c r="N1285" s="30"/>
      <c r="O1285" s="30"/>
      <c r="Q1285" s="45">
        <f t="shared" si="452"/>
        <v>90</v>
      </c>
      <c r="R1285" s="45">
        <f ca="1" t="shared" si="453"/>
        <v>0</v>
      </c>
      <c r="S1285" s="45">
        <f ca="1" t="shared" si="454"/>
        <v>40.0000000000001</v>
      </c>
      <c r="T1285" s="45">
        <f ca="1" t="shared" si="455"/>
        <v>3</v>
      </c>
      <c r="U1285" s="45">
        <f ca="1" t="shared" si="456"/>
        <v>0</v>
      </c>
      <c r="V1285" s="45">
        <f ca="1" t="shared" si="457"/>
        <v>0</v>
      </c>
    </row>
    <row r="1286" spans="2:22">
      <c r="B1286" s="9">
        <v>2.5</v>
      </c>
      <c r="C1286" s="1">
        <f ca="1">IF(养成规划!N19="",INDIRECT(ADDRESS(ROW()-1,COLUMN())),养成规划!N19)</f>
        <v>1</v>
      </c>
      <c r="D1286" s="1" t="str">
        <f>IF(养成规划!Q19="","",养成规划!Q19)</f>
        <v/>
      </c>
      <c r="E1286" s="1" t="str">
        <f ca="1" t="shared" si="451"/>
        <v/>
      </c>
      <c r="F1286" s="15">
        <f>'205_每日任务'!Q19</f>
        <v>225</v>
      </c>
      <c r="G1286" s="15">
        <f ca="1">'206_副本挂机'!AC138</f>
        <v>0</v>
      </c>
      <c r="H1286" s="15">
        <f ca="1">'207_空投'!P19</f>
        <v>88.0000000000001</v>
      </c>
      <c r="I1286" s="15">
        <f ca="1">'208_黑市'!AD19</f>
        <v>7.5</v>
      </c>
      <c r="J1286" s="15">
        <f ca="1">'210_活动'!AM19</f>
        <v>0</v>
      </c>
      <c r="K1286" s="15">
        <f ca="1">'212_VIP商店'!U19</f>
        <v>0</v>
      </c>
      <c r="L1286" s="1" t="str">
        <f ca="1" t="shared" si="449"/>
        <v/>
      </c>
      <c r="M1286" s="1">
        <f ca="1" t="shared" si="450"/>
        <v>320.5</v>
      </c>
      <c r="N1286" s="30"/>
      <c r="O1286" s="30"/>
      <c r="Q1286" s="45">
        <f t="shared" si="452"/>
        <v>90</v>
      </c>
      <c r="R1286" s="45">
        <f ca="1" t="shared" si="453"/>
        <v>0</v>
      </c>
      <c r="S1286" s="45">
        <f ca="1" t="shared" si="454"/>
        <v>40.0000000000001</v>
      </c>
      <c r="T1286" s="45">
        <f ca="1" t="shared" si="455"/>
        <v>3</v>
      </c>
      <c r="U1286" s="45">
        <f ca="1" t="shared" si="456"/>
        <v>0</v>
      </c>
      <c r="V1286" s="45">
        <f ca="1" t="shared" si="457"/>
        <v>0</v>
      </c>
    </row>
    <row r="1287" spans="2:22">
      <c r="B1287" s="9">
        <v>3</v>
      </c>
      <c r="C1287" s="1">
        <f ca="1">IF(养成规划!N20="",INDIRECT(ADDRESS(ROW()-1,COLUMN())),养成规划!N20)</f>
        <v>2</v>
      </c>
      <c r="D1287" s="1">
        <f>IF(养成规划!Q20="","",养成规划!Q20)</f>
        <v>101</v>
      </c>
      <c r="E1287" s="1">
        <f ca="1" t="shared" si="451"/>
        <v>240</v>
      </c>
      <c r="F1287" s="15">
        <f>'205_每日任务'!Q20</f>
        <v>270</v>
      </c>
      <c r="G1287" s="15">
        <f ca="1">'206_副本挂机'!AC139</f>
        <v>0</v>
      </c>
      <c r="H1287" s="15">
        <f ca="1">'207_空投'!P20</f>
        <v>108</v>
      </c>
      <c r="I1287" s="15">
        <f ca="1">'208_黑市'!AD20</f>
        <v>9</v>
      </c>
      <c r="J1287" s="15">
        <f ca="1">'210_活动'!AM20</f>
        <v>0</v>
      </c>
      <c r="K1287" s="15">
        <f ca="1">'212_VIP商店'!U20</f>
        <v>0</v>
      </c>
      <c r="L1287" s="1">
        <f ca="1" t="shared" si="449"/>
        <v>240</v>
      </c>
      <c r="M1287" s="1">
        <f ca="1" t="shared" si="450"/>
        <v>387</v>
      </c>
      <c r="N1287" s="30"/>
      <c r="O1287" s="30"/>
      <c r="Q1287" s="45">
        <f t="shared" si="452"/>
        <v>90</v>
      </c>
      <c r="R1287" s="45">
        <f ca="1" t="shared" si="453"/>
        <v>0</v>
      </c>
      <c r="S1287" s="45">
        <f ca="1" t="shared" si="454"/>
        <v>40.0000000000001</v>
      </c>
      <c r="T1287" s="45">
        <f ca="1" t="shared" si="455"/>
        <v>3</v>
      </c>
      <c r="U1287" s="45">
        <f ca="1" t="shared" si="456"/>
        <v>0</v>
      </c>
      <c r="V1287" s="45">
        <f ca="1" t="shared" si="457"/>
        <v>0</v>
      </c>
    </row>
    <row r="1288" spans="2:22">
      <c r="B1288" s="9">
        <v>3.5</v>
      </c>
      <c r="C1288" s="1">
        <f ca="1">IF(养成规划!N21="",INDIRECT(ADDRESS(ROW()-1,COLUMN())),养成规划!N21)</f>
        <v>2</v>
      </c>
      <c r="D1288" s="1" t="str">
        <f>IF(养成规划!Q21="","",养成规划!Q21)</f>
        <v/>
      </c>
      <c r="E1288" s="1" t="str">
        <f ca="1" t="shared" si="451"/>
        <v/>
      </c>
      <c r="F1288" s="15">
        <f>'205_每日任务'!Q21</f>
        <v>315</v>
      </c>
      <c r="G1288" s="15">
        <f ca="1">'206_副本挂机'!AC140</f>
        <v>0</v>
      </c>
      <c r="H1288" s="15">
        <f ca="1">'207_空投'!P21</f>
        <v>128</v>
      </c>
      <c r="I1288" s="15">
        <f ca="1">'208_黑市'!AD21</f>
        <v>10.5</v>
      </c>
      <c r="J1288" s="15">
        <f ca="1">'210_活动'!AM21</f>
        <v>0</v>
      </c>
      <c r="K1288" s="15">
        <f ca="1">'212_VIP商店'!U21</f>
        <v>0</v>
      </c>
      <c r="L1288" s="1" t="str">
        <f ca="1" t="shared" si="449"/>
        <v/>
      </c>
      <c r="M1288" s="1">
        <f ca="1" t="shared" si="450"/>
        <v>453.5</v>
      </c>
      <c r="N1288" s="30"/>
      <c r="O1288" s="30"/>
      <c r="Q1288" s="45">
        <f t="shared" si="452"/>
        <v>90</v>
      </c>
      <c r="R1288" s="45">
        <f ca="1" t="shared" si="453"/>
        <v>0</v>
      </c>
      <c r="S1288" s="45">
        <f ca="1" t="shared" si="454"/>
        <v>40</v>
      </c>
      <c r="T1288" s="45">
        <f ca="1" t="shared" si="455"/>
        <v>3</v>
      </c>
      <c r="U1288" s="45">
        <f ca="1" t="shared" si="456"/>
        <v>0</v>
      </c>
      <c r="V1288" s="45">
        <f ca="1" t="shared" si="457"/>
        <v>0</v>
      </c>
    </row>
    <row r="1289" spans="2:22">
      <c r="B1289" s="9">
        <v>4</v>
      </c>
      <c r="C1289" s="1">
        <f ca="1">IF(养成规划!N22="",INDIRECT(ADDRESS(ROW()-1,COLUMN())),养成规划!N22)</f>
        <v>2</v>
      </c>
      <c r="D1289" s="1">
        <f>IF(养成规划!Q22="","",养成规划!Q22)</f>
        <v>102</v>
      </c>
      <c r="E1289" s="1">
        <f ca="1" t="shared" si="451"/>
        <v>840</v>
      </c>
      <c r="F1289" s="15">
        <f>'205_每日任务'!Q22</f>
        <v>360</v>
      </c>
      <c r="G1289" s="15">
        <f ca="1">'206_副本挂机'!AC141</f>
        <v>0</v>
      </c>
      <c r="H1289" s="15">
        <f ca="1">'207_空投'!P22</f>
        <v>158</v>
      </c>
      <c r="I1289" s="15">
        <f ca="1">'208_黑市'!AD22</f>
        <v>12</v>
      </c>
      <c r="J1289" s="15">
        <f ca="1">'210_活动'!AM22</f>
        <v>0</v>
      </c>
      <c r="K1289" s="15">
        <f ca="1">'212_VIP商店'!U22</f>
        <v>0</v>
      </c>
      <c r="L1289" s="1">
        <f ca="1" t="shared" si="449"/>
        <v>840</v>
      </c>
      <c r="M1289" s="1">
        <f ca="1" t="shared" si="450"/>
        <v>530</v>
      </c>
      <c r="N1289" s="30"/>
      <c r="O1289" s="30"/>
      <c r="Q1289" s="45">
        <f t="shared" si="452"/>
        <v>90</v>
      </c>
      <c r="R1289" s="45">
        <f ca="1" t="shared" si="453"/>
        <v>0</v>
      </c>
      <c r="S1289" s="45">
        <f ca="1" t="shared" si="454"/>
        <v>60</v>
      </c>
      <c r="T1289" s="45">
        <f ca="1" t="shared" si="455"/>
        <v>3</v>
      </c>
      <c r="U1289" s="45">
        <f ca="1" t="shared" si="456"/>
        <v>0</v>
      </c>
      <c r="V1289" s="45">
        <f ca="1" t="shared" si="457"/>
        <v>0</v>
      </c>
    </row>
    <row r="1290" spans="2:22">
      <c r="B1290" s="9">
        <v>4.5</v>
      </c>
      <c r="C1290" s="1">
        <f ca="1">IF(养成规划!N23="",INDIRECT(ADDRESS(ROW()-1,COLUMN())),养成规划!N23)</f>
        <v>2</v>
      </c>
      <c r="D1290" s="1" t="str">
        <f>IF(养成规划!Q23="","",养成规划!Q23)</f>
        <v/>
      </c>
      <c r="E1290" s="1" t="str">
        <f ca="1" t="shared" si="451"/>
        <v/>
      </c>
      <c r="F1290" s="15">
        <f>'205_每日任务'!Q23</f>
        <v>405</v>
      </c>
      <c r="G1290" s="15">
        <f ca="1">'206_副本挂机'!AC142</f>
        <v>0</v>
      </c>
      <c r="H1290" s="15">
        <f ca="1">'207_空投'!P23</f>
        <v>188</v>
      </c>
      <c r="I1290" s="15">
        <f ca="1">'208_黑市'!AD23</f>
        <v>13.5</v>
      </c>
      <c r="J1290" s="15">
        <f ca="1">'210_活动'!AM23</f>
        <v>0</v>
      </c>
      <c r="K1290" s="15">
        <f ca="1">'212_VIP商店'!U23</f>
        <v>0</v>
      </c>
      <c r="L1290" s="1" t="str">
        <f ca="1" t="shared" si="449"/>
        <v/>
      </c>
      <c r="M1290" s="1">
        <f ca="1" t="shared" si="450"/>
        <v>606.5</v>
      </c>
      <c r="N1290" s="30"/>
      <c r="O1290" s="30"/>
      <c r="Q1290" s="45">
        <f t="shared" si="452"/>
        <v>90</v>
      </c>
      <c r="R1290" s="45">
        <f ca="1" t="shared" si="453"/>
        <v>0</v>
      </c>
      <c r="S1290" s="45">
        <f ca="1" t="shared" si="454"/>
        <v>60</v>
      </c>
      <c r="T1290" s="45">
        <f ca="1" t="shared" si="455"/>
        <v>3</v>
      </c>
      <c r="U1290" s="45">
        <f ca="1" t="shared" si="456"/>
        <v>0</v>
      </c>
      <c r="V1290" s="45">
        <f ca="1" t="shared" si="457"/>
        <v>0</v>
      </c>
    </row>
    <row r="1291" spans="2:22">
      <c r="B1291" s="9">
        <v>5</v>
      </c>
      <c r="C1291" s="1">
        <f ca="1">IF(养成规划!N24="",INDIRECT(ADDRESS(ROW()-1,COLUMN())),养成规划!N24)</f>
        <v>2</v>
      </c>
      <c r="D1291" s="1" t="str">
        <f>IF(养成规划!Q24="","",养成规划!Q24)</f>
        <v/>
      </c>
      <c r="E1291" s="1" t="str">
        <f ca="1" t="shared" si="451"/>
        <v/>
      </c>
      <c r="F1291" s="15">
        <f>'205_每日任务'!Q24</f>
        <v>450</v>
      </c>
      <c r="G1291" s="15">
        <f ca="1">'206_副本挂机'!AC143</f>
        <v>0</v>
      </c>
      <c r="H1291" s="15">
        <f ca="1">'207_空投'!P24</f>
        <v>218</v>
      </c>
      <c r="I1291" s="15">
        <f ca="1">'208_黑市'!AD24</f>
        <v>15</v>
      </c>
      <c r="J1291" s="15">
        <f ca="1">'210_活动'!AM24</f>
        <v>0</v>
      </c>
      <c r="K1291" s="15">
        <f ca="1">'212_VIP商店'!U24</f>
        <v>0</v>
      </c>
      <c r="L1291" s="1" t="str">
        <f ca="1" t="shared" si="449"/>
        <v/>
      </c>
      <c r="M1291" s="1">
        <f ca="1" t="shared" si="450"/>
        <v>683</v>
      </c>
      <c r="N1291" s="30"/>
      <c r="O1291" s="30"/>
      <c r="Q1291" s="45">
        <f t="shared" si="452"/>
        <v>90</v>
      </c>
      <c r="R1291" s="45">
        <f ca="1" t="shared" si="453"/>
        <v>0</v>
      </c>
      <c r="S1291" s="45">
        <f ca="1" t="shared" si="454"/>
        <v>60</v>
      </c>
      <c r="T1291" s="45">
        <f ca="1" t="shared" si="455"/>
        <v>3</v>
      </c>
      <c r="U1291" s="45">
        <f ca="1" t="shared" si="456"/>
        <v>0</v>
      </c>
      <c r="V1291" s="45">
        <f ca="1" t="shared" si="457"/>
        <v>0</v>
      </c>
    </row>
    <row r="1292" spans="2:22">
      <c r="B1292" s="9">
        <v>5.5</v>
      </c>
      <c r="C1292" s="1">
        <f ca="1">IF(养成规划!N25="",INDIRECT(ADDRESS(ROW()-1,COLUMN())),养成规划!N25)</f>
        <v>2</v>
      </c>
      <c r="D1292" s="1" t="str">
        <f>IF(养成规划!Q25="","",养成规划!Q25)</f>
        <v/>
      </c>
      <c r="E1292" s="1" t="str">
        <f ca="1" t="shared" si="451"/>
        <v/>
      </c>
      <c r="F1292" s="15">
        <f>'205_每日任务'!Q25</f>
        <v>495</v>
      </c>
      <c r="G1292" s="15">
        <f ca="1">'206_副本挂机'!AC144</f>
        <v>0</v>
      </c>
      <c r="H1292" s="15">
        <f ca="1">'207_空投'!P25</f>
        <v>248</v>
      </c>
      <c r="I1292" s="15">
        <f ca="1">'208_黑市'!AD25</f>
        <v>16.5</v>
      </c>
      <c r="J1292" s="15">
        <f ca="1">'210_活动'!AM25</f>
        <v>0</v>
      </c>
      <c r="K1292" s="15">
        <f ca="1">'212_VIP商店'!U25</f>
        <v>0</v>
      </c>
      <c r="L1292" s="1" t="str">
        <f ca="1" t="shared" si="449"/>
        <v/>
      </c>
      <c r="M1292" s="1">
        <f ca="1" t="shared" si="450"/>
        <v>759.5</v>
      </c>
      <c r="N1292" s="30"/>
      <c r="O1292" s="30"/>
      <c r="Q1292" s="45">
        <f t="shared" si="452"/>
        <v>90</v>
      </c>
      <c r="R1292" s="45">
        <f ca="1" t="shared" si="453"/>
        <v>0</v>
      </c>
      <c r="S1292" s="45">
        <f ca="1" t="shared" si="454"/>
        <v>60</v>
      </c>
      <c r="T1292" s="45">
        <f ca="1" t="shared" si="455"/>
        <v>3</v>
      </c>
      <c r="U1292" s="45">
        <f ca="1" t="shared" si="456"/>
        <v>0</v>
      </c>
      <c r="V1292" s="45">
        <f ca="1" t="shared" si="457"/>
        <v>0</v>
      </c>
    </row>
    <row r="1293" spans="2:22">
      <c r="B1293" s="9">
        <v>6</v>
      </c>
      <c r="C1293" s="1">
        <f ca="1">IF(养成规划!N26="",INDIRECT(ADDRESS(ROW()-1,COLUMN())),养成规划!N26)</f>
        <v>2</v>
      </c>
      <c r="D1293" s="1" t="str">
        <f>IF(养成规划!Q26="","",养成规划!Q26)</f>
        <v/>
      </c>
      <c r="E1293" s="1" t="str">
        <f ca="1" t="shared" si="451"/>
        <v/>
      </c>
      <c r="F1293" s="15">
        <f>'205_每日任务'!Q26</f>
        <v>540</v>
      </c>
      <c r="G1293" s="15">
        <f ca="1">'206_副本挂机'!AC145</f>
        <v>6.66666666666661</v>
      </c>
      <c r="H1293" s="15">
        <f ca="1">'207_空投'!P26</f>
        <v>278</v>
      </c>
      <c r="I1293" s="15">
        <f ca="1">'208_黑市'!AD26</f>
        <v>18</v>
      </c>
      <c r="J1293" s="15">
        <f ca="1">'210_活动'!AM26</f>
        <v>0</v>
      </c>
      <c r="K1293" s="15">
        <f ca="1">'212_VIP商店'!U26</f>
        <v>0</v>
      </c>
      <c r="L1293" s="1" t="str">
        <f ca="1" t="shared" si="449"/>
        <v/>
      </c>
      <c r="M1293" s="1">
        <f ca="1" t="shared" si="450"/>
        <v>842.666666666667</v>
      </c>
      <c r="N1293" s="30"/>
      <c r="O1293" s="30"/>
      <c r="Q1293" s="45">
        <f t="shared" si="452"/>
        <v>90</v>
      </c>
      <c r="R1293" s="45">
        <f ca="1" t="shared" si="453"/>
        <v>13.3333333333332</v>
      </c>
      <c r="S1293" s="45">
        <f ca="1" t="shared" si="454"/>
        <v>60</v>
      </c>
      <c r="T1293" s="45">
        <f ca="1" t="shared" si="455"/>
        <v>3</v>
      </c>
      <c r="U1293" s="45">
        <f ca="1" t="shared" si="456"/>
        <v>0</v>
      </c>
      <c r="V1293" s="45">
        <f ca="1" t="shared" si="457"/>
        <v>0</v>
      </c>
    </row>
    <row r="1294" spans="2:22">
      <c r="B1294" s="9">
        <v>6.5</v>
      </c>
      <c r="C1294" s="1">
        <f ca="1">IF(养成规划!N27="",INDIRECT(ADDRESS(ROW()-1,COLUMN())),养成规划!N27)</f>
        <v>2</v>
      </c>
      <c r="D1294" s="1" t="str">
        <f>IF(养成规划!Q27="","",养成规划!Q27)</f>
        <v/>
      </c>
      <c r="E1294" s="1" t="str">
        <f ca="1" t="shared" si="451"/>
        <v/>
      </c>
      <c r="F1294" s="15">
        <f>'205_每日任务'!Q27</f>
        <v>585</v>
      </c>
      <c r="G1294" s="15">
        <f ca="1">'206_副本挂机'!AC146</f>
        <v>13.3333333333332</v>
      </c>
      <c r="H1294" s="15">
        <f ca="1">'207_空投'!P27</f>
        <v>308</v>
      </c>
      <c r="I1294" s="15">
        <f ca="1">'208_黑市'!AD27</f>
        <v>19.5</v>
      </c>
      <c r="J1294" s="15">
        <f ca="1">'210_活动'!AM27</f>
        <v>0</v>
      </c>
      <c r="K1294" s="15">
        <f ca="1">'212_VIP商店'!U27</f>
        <v>0</v>
      </c>
      <c r="L1294" s="1" t="str">
        <f ca="1" t="shared" si="449"/>
        <v/>
      </c>
      <c r="M1294" s="1">
        <f ca="1" t="shared" si="450"/>
        <v>925.833333333333</v>
      </c>
      <c r="N1294" s="30"/>
      <c r="O1294" s="30"/>
      <c r="Q1294" s="45">
        <f t="shared" si="452"/>
        <v>90</v>
      </c>
      <c r="R1294" s="45">
        <f ca="1" t="shared" si="453"/>
        <v>13.3333333333332</v>
      </c>
      <c r="S1294" s="45">
        <f ca="1" t="shared" si="454"/>
        <v>60</v>
      </c>
      <c r="T1294" s="45">
        <f ca="1" t="shared" si="455"/>
        <v>3</v>
      </c>
      <c r="U1294" s="45">
        <f ca="1" t="shared" si="456"/>
        <v>0</v>
      </c>
      <c r="V1294" s="45">
        <f ca="1" t="shared" si="457"/>
        <v>0</v>
      </c>
    </row>
    <row r="1295" spans="2:22">
      <c r="B1295" s="9">
        <v>7</v>
      </c>
      <c r="C1295" s="1">
        <f ca="1">IF(养成规划!N28="",INDIRECT(ADDRESS(ROW()-1,COLUMN())),养成规划!N28)</f>
        <v>3</v>
      </c>
      <c r="D1295" s="1">
        <f>IF(养成规划!Q28="","",养成规划!Q28)</f>
        <v>103</v>
      </c>
      <c r="E1295" s="1">
        <f ca="1" t="shared" si="451"/>
        <v>3060</v>
      </c>
      <c r="F1295" s="15">
        <f>'205_每日任务'!Q28</f>
        <v>630</v>
      </c>
      <c r="G1295" s="15">
        <f ca="1">'206_副本挂机'!AC147</f>
        <v>19.9999999999998</v>
      </c>
      <c r="H1295" s="15">
        <f ca="1">'207_空投'!P28</f>
        <v>338</v>
      </c>
      <c r="I1295" s="15">
        <f ca="1">'208_黑市'!AD28</f>
        <v>21</v>
      </c>
      <c r="J1295" s="15">
        <f ca="1">'210_活动'!AM28</f>
        <v>0</v>
      </c>
      <c r="K1295" s="15">
        <f ca="1">'212_VIP商店'!U28</f>
        <v>0</v>
      </c>
      <c r="L1295" s="1">
        <f ca="1" t="shared" si="449"/>
        <v>3060</v>
      </c>
      <c r="M1295" s="1">
        <f ca="1" t="shared" si="450"/>
        <v>1009</v>
      </c>
      <c r="N1295" s="72">
        <v>0</v>
      </c>
      <c r="O1295" s="30">
        <f ca="1">L1295-M1295-N1295</f>
        <v>2051</v>
      </c>
      <c r="Q1295" s="45">
        <f t="shared" si="452"/>
        <v>90</v>
      </c>
      <c r="R1295" s="45">
        <f ca="1" t="shared" si="453"/>
        <v>13.3333333333332</v>
      </c>
      <c r="S1295" s="45">
        <f ca="1" t="shared" si="454"/>
        <v>60</v>
      </c>
      <c r="T1295" s="45">
        <f ca="1" t="shared" si="455"/>
        <v>3</v>
      </c>
      <c r="U1295" s="45">
        <f ca="1" t="shared" si="456"/>
        <v>0</v>
      </c>
      <c r="V1295" s="45">
        <f ca="1" t="shared" si="457"/>
        <v>0</v>
      </c>
    </row>
    <row r="1296" spans="2:22">
      <c r="B1296" s="10">
        <v>8</v>
      </c>
      <c r="C1296" s="1">
        <f ca="1">IF(养成规划!N29="",INDIRECT(ADDRESS(ROW()-1,COLUMN())),养成规划!N29)</f>
        <v>3</v>
      </c>
      <c r="D1296" s="1" t="str">
        <f>IF(养成规划!Q29="","",养成规划!Q29)</f>
        <v/>
      </c>
      <c r="E1296" s="1" t="str">
        <f ca="1" t="shared" si="451"/>
        <v/>
      </c>
      <c r="F1296" s="15">
        <f>'205_每日任务'!Q29</f>
        <v>720</v>
      </c>
      <c r="G1296" s="15">
        <f ca="1">'206_副本挂机'!AC148</f>
        <v>33.333333333333</v>
      </c>
      <c r="H1296" s="15">
        <f ca="1">'207_空投'!P29</f>
        <v>398</v>
      </c>
      <c r="I1296" s="15">
        <f ca="1">'208_黑市'!AD29</f>
        <v>27</v>
      </c>
      <c r="J1296" s="15">
        <f ca="1">'210_活动'!AM29</f>
        <v>50</v>
      </c>
      <c r="K1296" s="15">
        <f ca="1">'212_VIP商店'!U29</f>
        <v>0</v>
      </c>
      <c r="L1296" s="1" t="str">
        <f ca="1" t="shared" si="449"/>
        <v/>
      </c>
      <c r="M1296" s="1">
        <f ca="1" t="shared" si="450"/>
        <v>1228.33333333333</v>
      </c>
      <c r="N1296" s="30"/>
      <c r="O1296" s="30"/>
      <c r="Q1296" s="45">
        <f t="shared" si="452"/>
        <v>90</v>
      </c>
      <c r="R1296" s="45">
        <f ca="1" t="shared" si="453"/>
        <v>13.3333333333332</v>
      </c>
      <c r="S1296" s="45">
        <f ca="1" t="shared" si="454"/>
        <v>60</v>
      </c>
      <c r="T1296" s="45">
        <f ca="1" t="shared" si="455"/>
        <v>6</v>
      </c>
      <c r="U1296" s="45">
        <f ca="1" t="shared" si="456"/>
        <v>50</v>
      </c>
      <c r="V1296" s="45">
        <f ca="1" t="shared" si="457"/>
        <v>0</v>
      </c>
    </row>
    <row r="1297" spans="2:22">
      <c r="B1297" s="10">
        <v>9</v>
      </c>
      <c r="C1297" s="1">
        <f ca="1">IF(养成规划!N30="",INDIRECT(ADDRESS(ROW()-1,COLUMN())),养成规划!N30)</f>
        <v>3</v>
      </c>
      <c r="D1297" s="1" t="str">
        <f>IF(养成规划!Q30="","",养成规划!Q30)</f>
        <v/>
      </c>
      <c r="E1297" s="1" t="str">
        <f ca="1" t="shared" si="451"/>
        <v/>
      </c>
      <c r="F1297" s="15">
        <f>'205_每日任务'!Q30</f>
        <v>810</v>
      </c>
      <c r="G1297" s="15">
        <f ca="1">'206_副本挂机'!AC149</f>
        <v>46.6666666666663</v>
      </c>
      <c r="H1297" s="15">
        <f ca="1">'207_空投'!P30</f>
        <v>458</v>
      </c>
      <c r="I1297" s="15">
        <f ca="1">'208_黑市'!AD30</f>
        <v>33</v>
      </c>
      <c r="J1297" s="15">
        <f ca="1">'210_活动'!AM30</f>
        <v>100</v>
      </c>
      <c r="K1297" s="15">
        <f ca="1">'212_VIP商店'!U30</f>
        <v>0</v>
      </c>
      <c r="L1297" s="1" t="str">
        <f ca="1" t="shared" si="449"/>
        <v/>
      </c>
      <c r="M1297" s="1">
        <f ca="1" t="shared" si="450"/>
        <v>1447.66666666667</v>
      </c>
      <c r="N1297" s="30"/>
      <c r="O1297" s="30"/>
      <c r="Q1297" s="45">
        <f t="shared" si="452"/>
        <v>90</v>
      </c>
      <c r="R1297" s="45">
        <f ca="1" t="shared" si="453"/>
        <v>13.3333333333332</v>
      </c>
      <c r="S1297" s="45">
        <f ca="1" t="shared" si="454"/>
        <v>60</v>
      </c>
      <c r="T1297" s="45">
        <f ca="1" t="shared" si="455"/>
        <v>6</v>
      </c>
      <c r="U1297" s="45">
        <f ca="1" t="shared" si="456"/>
        <v>50</v>
      </c>
      <c r="V1297" s="45">
        <f ca="1" t="shared" si="457"/>
        <v>0</v>
      </c>
    </row>
    <row r="1298" spans="2:22">
      <c r="B1298" s="10">
        <v>10</v>
      </c>
      <c r="C1298" s="1">
        <f ca="1">IF(养成规划!N31="",INDIRECT(ADDRESS(ROW()-1,COLUMN())),养成规划!N31)</f>
        <v>3</v>
      </c>
      <c r="D1298" s="1" t="str">
        <f>IF(养成规划!Q31="","",养成规划!Q31)</f>
        <v/>
      </c>
      <c r="E1298" s="1" t="str">
        <f ca="1" t="shared" si="451"/>
        <v/>
      </c>
      <c r="F1298" s="15">
        <f>'205_每日任务'!Q31</f>
        <v>900</v>
      </c>
      <c r="G1298" s="15">
        <f ca="1">'206_副本挂机'!AC150</f>
        <v>59.9999999999995</v>
      </c>
      <c r="H1298" s="15">
        <f ca="1">'207_空投'!P31</f>
        <v>518</v>
      </c>
      <c r="I1298" s="15">
        <f ca="1">'208_黑市'!AD31</f>
        <v>39</v>
      </c>
      <c r="J1298" s="15">
        <f ca="1">'210_活动'!AM31</f>
        <v>150</v>
      </c>
      <c r="K1298" s="15">
        <f ca="1">'212_VIP商店'!U31</f>
        <v>0</v>
      </c>
      <c r="L1298" s="1" t="str">
        <f ca="1" t="shared" si="449"/>
        <v/>
      </c>
      <c r="M1298" s="1">
        <f ca="1" t="shared" si="450"/>
        <v>1667</v>
      </c>
      <c r="N1298" s="30"/>
      <c r="O1298" s="30"/>
      <c r="Q1298" s="45">
        <f t="shared" si="452"/>
        <v>90</v>
      </c>
      <c r="R1298" s="45">
        <f ca="1" t="shared" si="453"/>
        <v>13.3333333333332</v>
      </c>
      <c r="S1298" s="45">
        <f ca="1" t="shared" si="454"/>
        <v>60</v>
      </c>
      <c r="T1298" s="45">
        <f ca="1" t="shared" si="455"/>
        <v>6</v>
      </c>
      <c r="U1298" s="45">
        <f ca="1" t="shared" si="456"/>
        <v>50</v>
      </c>
      <c r="V1298" s="45">
        <f ca="1" t="shared" si="457"/>
        <v>0</v>
      </c>
    </row>
    <row r="1299" spans="2:22">
      <c r="B1299" s="10">
        <v>11</v>
      </c>
      <c r="C1299" s="1">
        <f ca="1">IF(养成规划!N32="",INDIRECT(ADDRESS(ROW()-1,COLUMN())),养成规划!N32)</f>
        <v>3</v>
      </c>
      <c r="D1299" s="1">
        <f>IF(养成规划!Q32="","",养成规划!Q32)</f>
        <v>202</v>
      </c>
      <c r="E1299" s="1">
        <f ca="1" t="shared" si="451"/>
        <v>5760</v>
      </c>
      <c r="F1299" s="15">
        <f>'205_每日任务'!Q32</f>
        <v>990</v>
      </c>
      <c r="G1299" s="15">
        <f ca="1">'206_副本挂机'!AC151</f>
        <v>73.3333333333327</v>
      </c>
      <c r="H1299" s="15">
        <f ca="1">'207_空投'!P32</f>
        <v>578</v>
      </c>
      <c r="I1299" s="15">
        <f ca="1">'208_黑市'!AD32</f>
        <v>45</v>
      </c>
      <c r="J1299" s="15">
        <f ca="1">'210_活动'!AM32</f>
        <v>200</v>
      </c>
      <c r="K1299" s="15">
        <f ca="1">'212_VIP商店'!U32</f>
        <v>0</v>
      </c>
      <c r="L1299" s="1">
        <f ca="1" t="shared" si="449"/>
        <v>5760</v>
      </c>
      <c r="M1299" s="1">
        <f ca="1" t="shared" si="450"/>
        <v>1886.33333333333</v>
      </c>
      <c r="N1299" s="30"/>
      <c r="O1299" s="30"/>
      <c r="Q1299" s="45">
        <f t="shared" si="452"/>
        <v>90</v>
      </c>
      <c r="R1299" s="45">
        <f ca="1" t="shared" si="453"/>
        <v>13.3333333333332</v>
      </c>
      <c r="S1299" s="45">
        <f ca="1" t="shared" si="454"/>
        <v>60</v>
      </c>
      <c r="T1299" s="45">
        <f ca="1" t="shared" si="455"/>
        <v>6</v>
      </c>
      <c r="U1299" s="45">
        <f ca="1" t="shared" si="456"/>
        <v>50</v>
      </c>
      <c r="V1299" s="45">
        <f ca="1" t="shared" si="457"/>
        <v>0</v>
      </c>
    </row>
    <row r="1300" spans="2:22">
      <c r="B1300" s="10">
        <v>12</v>
      </c>
      <c r="C1300" s="1">
        <f ca="1">IF(养成规划!N33="",INDIRECT(ADDRESS(ROW()-1,COLUMN())),养成规划!N33)</f>
        <v>3</v>
      </c>
      <c r="D1300" s="1" t="str">
        <f>IF(养成规划!Q33="","",养成规划!Q33)</f>
        <v/>
      </c>
      <c r="E1300" s="1" t="str">
        <f ca="1" t="shared" si="451"/>
        <v/>
      </c>
      <c r="F1300" s="15">
        <f>'205_每日任务'!Q33</f>
        <v>1080</v>
      </c>
      <c r="G1300" s="15">
        <f ca="1">'206_副本挂机'!AC152</f>
        <v>86.6666666666659</v>
      </c>
      <c r="H1300" s="15">
        <f ca="1">'207_空投'!P33</f>
        <v>638</v>
      </c>
      <c r="I1300" s="15">
        <f ca="1">'208_黑市'!AD33</f>
        <v>51</v>
      </c>
      <c r="J1300" s="15">
        <f ca="1">'210_活动'!AM33</f>
        <v>250</v>
      </c>
      <c r="K1300" s="15">
        <f ca="1">'212_VIP商店'!U33</f>
        <v>0</v>
      </c>
      <c r="L1300" s="1" t="str">
        <f ca="1" t="shared" si="449"/>
        <v/>
      </c>
      <c r="M1300" s="1">
        <f ca="1" t="shared" si="450"/>
        <v>2105.66666666667</v>
      </c>
      <c r="N1300" s="30"/>
      <c r="O1300" s="30"/>
      <c r="Q1300" s="45">
        <f t="shared" si="452"/>
        <v>90</v>
      </c>
      <c r="R1300" s="45">
        <f ca="1" t="shared" si="453"/>
        <v>13.3333333333332</v>
      </c>
      <c r="S1300" s="45">
        <f ca="1" t="shared" si="454"/>
        <v>60</v>
      </c>
      <c r="T1300" s="45">
        <f ca="1" t="shared" si="455"/>
        <v>6</v>
      </c>
      <c r="U1300" s="45">
        <f ca="1" t="shared" si="456"/>
        <v>50</v>
      </c>
      <c r="V1300" s="45">
        <f ca="1" t="shared" si="457"/>
        <v>0</v>
      </c>
    </row>
    <row r="1301" spans="2:22">
      <c r="B1301" s="10">
        <v>13</v>
      </c>
      <c r="C1301" s="1">
        <f ca="1">IF(养成规划!N34="",INDIRECT(ADDRESS(ROW()-1,COLUMN())),养成规划!N34)</f>
        <v>3</v>
      </c>
      <c r="D1301" s="1" t="str">
        <f>IF(养成规划!Q34="","",养成规划!Q34)</f>
        <v/>
      </c>
      <c r="E1301" s="1" t="str">
        <f ca="1" t="shared" si="451"/>
        <v/>
      </c>
      <c r="F1301" s="15">
        <f>'205_每日任务'!Q34</f>
        <v>1170</v>
      </c>
      <c r="G1301" s="15">
        <f ca="1">'206_副本挂机'!AC153</f>
        <v>99.9999999999991</v>
      </c>
      <c r="H1301" s="15">
        <f ca="1">'207_空投'!P34</f>
        <v>698</v>
      </c>
      <c r="I1301" s="15">
        <f ca="1">'208_黑市'!AD34</f>
        <v>57</v>
      </c>
      <c r="J1301" s="15">
        <f ca="1">'210_活动'!AM34</f>
        <v>300</v>
      </c>
      <c r="K1301" s="15">
        <f ca="1">'212_VIP商店'!U34</f>
        <v>0</v>
      </c>
      <c r="L1301" s="1" t="str">
        <f ca="1" t="shared" si="449"/>
        <v/>
      </c>
      <c r="M1301" s="1">
        <f ca="1" t="shared" si="450"/>
        <v>2325</v>
      </c>
      <c r="N1301" s="30"/>
      <c r="O1301" s="30"/>
      <c r="Q1301" s="45">
        <f t="shared" si="452"/>
        <v>90</v>
      </c>
      <c r="R1301" s="45">
        <f ca="1" t="shared" si="453"/>
        <v>13.3333333333332</v>
      </c>
      <c r="S1301" s="45">
        <f ca="1" t="shared" si="454"/>
        <v>60</v>
      </c>
      <c r="T1301" s="45">
        <f ca="1" t="shared" si="455"/>
        <v>6</v>
      </c>
      <c r="U1301" s="45">
        <f ca="1" t="shared" si="456"/>
        <v>50</v>
      </c>
      <c r="V1301" s="45">
        <f ca="1" t="shared" si="457"/>
        <v>0</v>
      </c>
    </row>
    <row r="1302" spans="2:22">
      <c r="B1302" s="10">
        <v>14</v>
      </c>
      <c r="C1302" s="1">
        <f ca="1">IF(养成规划!N35="",INDIRECT(ADDRESS(ROW()-1,COLUMN())),养成规划!N35)</f>
        <v>3</v>
      </c>
      <c r="D1302" s="1" t="str">
        <f>IF(养成规划!Q35="","",养成规划!Q35)</f>
        <v/>
      </c>
      <c r="E1302" s="1" t="str">
        <f ca="1" t="shared" si="451"/>
        <v/>
      </c>
      <c r="F1302" s="15">
        <f>'205_每日任务'!Q35</f>
        <v>1260</v>
      </c>
      <c r="G1302" s="15">
        <f ca="1">'206_副本挂机'!AC154</f>
        <v>116.666666666666</v>
      </c>
      <c r="H1302" s="15">
        <f ca="1">'207_空投'!P35</f>
        <v>758</v>
      </c>
      <c r="I1302" s="15">
        <f ca="1">'208_黑市'!AD35</f>
        <v>63</v>
      </c>
      <c r="J1302" s="15">
        <f ca="1">'210_活动'!AM35</f>
        <v>350</v>
      </c>
      <c r="K1302" s="15">
        <f ca="1">'212_VIP商店'!U35</f>
        <v>0</v>
      </c>
      <c r="L1302" s="1" t="str">
        <f ca="1" t="shared" si="449"/>
        <v/>
      </c>
      <c r="M1302" s="1">
        <f ca="1" t="shared" si="450"/>
        <v>2547.66666666667</v>
      </c>
      <c r="N1302" s="30"/>
      <c r="O1302" s="30"/>
      <c r="Q1302" s="45">
        <f t="shared" si="452"/>
        <v>90</v>
      </c>
      <c r="R1302" s="45">
        <f ca="1" t="shared" si="453"/>
        <v>16.6666666666667</v>
      </c>
      <c r="S1302" s="45">
        <f ca="1" t="shared" si="454"/>
        <v>60</v>
      </c>
      <c r="T1302" s="45">
        <f ca="1" t="shared" si="455"/>
        <v>6</v>
      </c>
      <c r="U1302" s="45">
        <f ca="1" t="shared" si="456"/>
        <v>50</v>
      </c>
      <c r="V1302" s="45">
        <f ca="1" t="shared" si="457"/>
        <v>0</v>
      </c>
    </row>
    <row r="1303" spans="2:22">
      <c r="B1303" s="10">
        <v>15</v>
      </c>
      <c r="C1303" s="1">
        <f ca="1">IF(养成规划!N36="",INDIRECT(ADDRESS(ROW()-1,COLUMN())),养成规划!N36)</f>
        <v>3</v>
      </c>
      <c r="D1303" s="1" t="str">
        <f>IF(养成规划!Q36="","",养成规划!Q36)</f>
        <v/>
      </c>
      <c r="E1303" s="1" t="str">
        <f ca="1" t="shared" si="451"/>
        <v/>
      </c>
      <c r="F1303" s="15">
        <f>'205_每日任务'!Q36</f>
        <v>1350</v>
      </c>
      <c r="G1303" s="15">
        <f ca="1">'206_副本挂机'!AC155</f>
        <v>133.333333333333</v>
      </c>
      <c r="H1303" s="15">
        <f ca="1">'207_空投'!P36</f>
        <v>818</v>
      </c>
      <c r="I1303" s="15">
        <f ca="1">'208_黑市'!AD36</f>
        <v>75</v>
      </c>
      <c r="J1303" s="15">
        <f ca="1">'210_活动'!AM36</f>
        <v>450</v>
      </c>
      <c r="K1303" s="15">
        <f ca="1">'212_VIP商店'!U36</f>
        <v>0</v>
      </c>
      <c r="L1303" s="1" t="str">
        <f ca="1" t="shared" si="449"/>
        <v/>
      </c>
      <c r="M1303" s="1">
        <f ca="1" t="shared" si="450"/>
        <v>2826.33333333333</v>
      </c>
      <c r="N1303" s="30"/>
      <c r="O1303" s="30"/>
      <c r="Q1303" s="45">
        <f t="shared" si="452"/>
        <v>90</v>
      </c>
      <c r="R1303" s="45">
        <f ca="1" t="shared" si="453"/>
        <v>16.6666666666667</v>
      </c>
      <c r="S1303" s="45">
        <f ca="1" t="shared" si="454"/>
        <v>60</v>
      </c>
      <c r="T1303" s="45">
        <f ca="1" t="shared" si="455"/>
        <v>12</v>
      </c>
      <c r="U1303" s="45">
        <f ca="1" t="shared" si="456"/>
        <v>100</v>
      </c>
      <c r="V1303" s="45">
        <f ca="1" t="shared" si="457"/>
        <v>0</v>
      </c>
    </row>
    <row r="1304" spans="2:22">
      <c r="B1304" s="10">
        <v>16</v>
      </c>
      <c r="C1304" s="1">
        <f ca="1">IF(养成规划!N37="",INDIRECT(ADDRESS(ROW()-1,COLUMN())),养成规划!N37)</f>
        <v>3</v>
      </c>
      <c r="D1304" s="1">
        <f>IF(养成规划!Q37="","",养成规划!Q37)</f>
        <v>203</v>
      </c>
      <c r="E1304" s="1">
        <f ca="1" t="shared" si="451"/>
        <v>8460</v>
      </c>
      <c r="F1304" s="15">
        <f>'205_每日任务'!Q37</f>
        <v>1440</v>
      </c>
      <c r="G1304" s="15">
        <f ca="1">'206_副本挂机'!AC156</f>
        <v>149.999999999999</v>
      </c>
      <c r="H1304" s="15">
        <f ca="1">'207_空投'!P37</f>
        <v>878</v>
      </c>
      <c r="I1304" s="15">
        <f ca="1">'208_黑市'!AD37</f>
        <v>87</v>
      </c>
      <c r="J1304" s="15">
        <f ca="1">'210_活动'!AM37</f>
        <v>550</v>
      </c>
      <c r="K1304" s="15">
        <f ca="1">'212_VIP商店'!U37</f>
        <v>0</v>
      </c>
      <c r="L1304" s="1">
        <f ca="1" t="shared" si="449"/>
        <v>8460</v>
      </c>
      <c r="M1304" s="1">
        <f ca="1" t="shared" si="450"/>
        <v>3105</v>
      </c>
      <c r="N1304" s="30"/>
      <c r="O1304" s="30"/>
      <c r="Q1304" s="45">
        <f t="shared" si="452"/>
        <v>90</v>
      </c>
      <c r="R1304" s="45">
        <f ca="1" t="shared" si="453"/>
        <v>16.6666666666667</v>
      </c>
      <c r="S1304" s="45">
        <f ca="1" t="shared" si="454"/>
        <v>60</v>
      </c>
      <c r="T1304" s="45">
        <f ca="1" t="shared" si="455"/>
        <v>12</v>
      </c>
      <c r="U1304" s="45">
        <f ca="1" t="shared" si="456"/>
        <v>100</v>
      </c>
      <c r="V1304" s="45">
        <f ca="1" t="shared" si="457"/>
        <v>0</v>
      </c>
    </row>
    <row r="1305" spans="2:22">
      <c r="B1305" s="10">
        <v>17</v>
      </c>
      <c r="C1305" s="1">
        <f ca="1">IF(养成规划!N38="",INDIRECT(ADDRESS(ROW()-1,COLUMN())),养成规划!N38)</f>
        <v>3</v>
      </c>
      <c r="D1305" s="1" t="str">
        <f>IF(养成规划!Q38="","",养成规划!Q38)</f>
        <v/>
      </c>
      <c r="E1305" s="1" t="str">
        <f ca="1" t="shared" si="451"/>
        <v/>
      </c>
      <c r="F1305" s="15">
        <f>'205_每日任务'!Q38</f>
        <v>1530</v>
      </c>
      <c r="G1305" s="15">
        <f ca="1">'206_副本挂机'!AC157</f>
        <v>166.666666666666</v>
      </c>
      <c r="H1305" s="15">
        <f ca="1">'207_空投'!P38</f>
        <v>938</v>
      </c>
      <c r="I1305" s="15">
        <f ca="1">'208_黑市'!AD38</f>
        <v>99</v>
      </c>
      <c r="J1305" s="15">
        <f ca="1">'210_活动'!AM38</f>
        <v>650</v>
      </c>
      <c r="K1305" s="15">
        <f ca="1">'212_VIP商店'!U38</f>
        <v>0</v>
      </c>
      <c r="L1305" s="1" t="str">
        <f ca="1" t="shared" ref="L1305:L1336" si="458">E1305</f>
        <v/>
      </c>
      <c r="M1305" s="1">
        <f ca="1" t="shared" ref="M1305:M1336" si="459">SUM(F1305:J1305)</f>
        <v>3383.66666666667</v>
      </c>
      <c r="N1305" s="30"/>
      <c r="O1305" s="30"/>
      <c r="Q1305" s="45">
        <f t="shared" si="452"/>
        <v>90</v>
      </c>
      <c r="R1305" s="45">
        <f ca="1" t="shared" si="453"/>
        <v>16.6666666666667</v>
      </c>
      <c r="S1305" s="45">
        <f ca="1" t="shared" si="454"/>
        <v>60</v>
      </c>
      <c r="T1305" s="45">
        <f ca="1" t="shared" si="455"/>
        <v>12</v>
      </c>
      <c r="U1305" s="45">
        <f ca="1" t="shared" si="456"/>
        <v>100</v>
      </c>
      <c r="V1305" s="45">
        <f ca="1" t="shared" si="457"/>
        <v>0</v>
      </c>
    </row>
    <row r="1306" spans="2:22">
      <c r="B1306" s="10">
        <v>18</v>
      </c>
      <c r="C1306" s="1">
        <f ca="1">IF(养成规划!N39="",INDIRECT(ADDRESS(ROW()-1,COLUMN())),养成规划!N39)</f>
        <v>3</v>
      </c>
      <c r="D1306" s="1" t="str">
        <f>IF(养成规划!Q39="","",养成规划!Q39)</f>
        <v/>
      </c>
      <c r="E1306" s="1" t="str">
        <f ca="1" t="shared" si="451"/>
        <v/>
      </c>
      <c r="F1306" s="15">
        <f>'205_每日任务'!Q39</f>
        <v>1620</v>
      </c>
      <c r="G1306" s="15">
        <f ca="1">'206_副本挂机'!AC158</f>
        <v>183.333333333333</v>
      </c>
      <c r="H1306" s="15">
        <f ca="1">'207_空投'!P39</f>
        <v>998</v>
      </c>
      <c r="I1306" s="15">
        <f ca="1">'208_黑市'!AD39</f>
        <v>111</v>
      </c>
      <c r="J1306" s="15">
        <f ca="1">'210_活动'!AM39</f>
        <v>750</v>
      </c>
      <c r="K1306" s="15">
        <f ca="1">'212_VIP商店'!U39</f>
        <v>0</v>
      </c>
      <c r="L1306" s="1" t="str">
        <f ca="1" t="shared" si="458"/>
        <v/>
      </c>
      <c r="M1306" s="1">
        <f ca="1" t="shared" si="459"/>
        <v>3662.33333333333</v>
      </c>
      <c r="N1306" s="30"/>
      <c r="O1306" s="30"/>
      <c r="Q1306" s="45">
        <f t="shared" ref="Q1306:Q1337" si="460">(F1306-F1305)/($B1306-$B1305)</f>
        <v>90</v>
      </c>
      <c r="R1306" s="45">
        <f ca="1" t="shared" ref="R1306:R1337" si="461">(G1306-G1305)/($B1306-$B1305)</f>
        <v>16.6666666666667</v>
      </c>
      <c r="S1306" s="45">
        <f ca="1" t="shared" ref="S1306:S1337" si="462">(H1306-H1305)/($B1306-$B1305)</f>
        <v>60</v>
      </c>
      <c r="T1306" s="45">
        <f ca="1" t="shared" ref="T1306:T1337" si="463">(I1306-I1305)/($B1306-$B1305)</f>
        <v>12</v>
      </c>
      <c r="U1306" s="45">
        <f ca="1" t="shared" ref="U1306:U1337" si="464">(J1306-J1305)/($B1306-$B1305)</f>
        <v>100</v>
      </c>
      <c r="V1306" s="45">
        <f ca="1" t="shared" ref="V1306:V1337" si="465">(K1306-K1305)/($B1306-$B1305)</f>
        <v>0</v>
      </c>
    </row>
    <row r="1307" spans="2:22">
      <c r="B1307" s="10">
        <v>19</v>
      </c>
      <c r="C1307" s="1">
        <f ca="1">IF(养成规划!N40="",INDIRECT(ADDRESS(ROW()-1,COLUMN())),养成规划!N40)</f>
        <v>3</v>
      </c>
      <c r="D1307" s="1" t="str">
        <f>IF(养成规划!Q40="","",养成规划!Q40)</f>
        <v/>
      </c>
      <c r="E1307" s="1" t="str">
        <f ca="1" t="shared" si="451"/>
        <v/>
      </c>
      <c r="F1307" s="15">
        <f>'205_每日任务'!Q40</f>
        <v>1710</v>
      </c>
      <c r="G1307" s="15">
        <f ca="1">'206_副本挂机'!AC159</f>
        <v>199.999999999999</v>
      </c>
      <c r="H1307" s="15">
        <f ca="1">'207_空投'!P40</f>
        <v>1058</v>
      </c>
      <c r="I1307" s="15">
        <f ca="1">'208_黑市'!AD40</f>
        <v>123</v>
      </c>
      <c r="J1307" s="15">
        <f ca="1">'210_活动'!AM40</f>
        <v>850</v>
      </c>
      <c r="K1307" s="15">
        <f ca="1">'212_VIP商店'!U40</f>
        <v>0</v>
      </c>
      <c r="L1307" s="1" t="str">
        <f ca="1" t="shared" si="458"/>
        <v/>
      </c>
      <c r="M1307" s="1">
        <f ca="1" t="shared" si="459"/>
        <v>3941</v>
      </c>
      <c r="N1307" s="30"/>
      <c r="O1307" s="30"/>
      <c r="Q1307" s="45">
        <f t="shared" si="460"/>
        <v>90</v>
      </c>
      <c r="R1307" s="45">
        <f ca="1" t="shared" si="461"/>
        <v>16.6666666666667</v>
      </c>
      <c r="S1307" s="45">
        <f ca="1" t="shared" si="462"/>
        <v>59.9999999999999</v>
      </c>
      <c r="T1307" s="45">
        <f ca="1" t="shared" si="463"/>
        <v>12</v>
      </c>
      <c r="U1307" s="45">
        <f ca="1" t="shared" si="464"/>
        <v>100</v>
      </c>
      <c r="V1307" s="45">
        <f ca="1" t="shared" si="465"/>
        <v>0</v>
      </c>
    </row>
    <row r="1308" spans="2:22">
      <c r="B1308" s="10">
        <v>20</v>
      </c>
      <c r="C1308" s="1">
        <f ca="1">IF(养成规划!N41="",INDIRECT(ADDRESS(ROW()-1,COLUMN())),养成规划!N41)</f>
        <v>3</v>
      </c>
      <c r="D1308" s="1" t="str">
        <f>IF(养成规划!Q41="","",养成规划!Q41)</f>
        <v/>
      </c>
      <c r="E1308" s="1" t="str">
        <f ca="1" t="shared" si="451"/>
        <v/>
      </c>
      <c r="F1308" s="15">
        <f>'205_每日任务'!Q41</f>
        <v>1800</v>
      </c>
      <c r="G1308" s="15">
        <f ca="1">'206_副本挂机'!AC160</f>
        <v>216.666666666666</v>
      </c>
      <c r="H1308" s="15">
        <f ca="1">'207_空投'!P41</f>
        <v>1158</v>
      </c>
      <c r="I1308" s="15">
        <f ca="1">'208_黑市'!AD41</f>
        <v>135</v>
      </c>
      <c r="J1308" s="15">
        <f ca="1">'210_活动'!AM41</f>
        <v>950</v>
      </c>
      <c r="K1308" s="15">
        <f ca="1">'212_VIP商店'!U41</f>
        <v>0</v>
      </c>
      <c r="L1308" s="1" t="str">
        <f ca="1" t="shared" si="458"/>
        <v/>
      </c>
      <c r="M1308" s="1">
        <f ca="1" t="shared" si="459"/>
        <v>4259.66666666667</v>
      </c>
      <c r="N1308" s="30"/>
      <c r="O1308" s="30"/>
      <c r="Q1308" s="45">
        <f t="shared" si="460"/>
        <v>90</v>
      </c>
      <c r="R1308" s="45">
        <f ca="1" t="shared" si="461"/>
        <v>16.6666666666667</v>
      </c>
      <c r="S1308" s="45">
        <f ca="1" t="shared" si="462"/>
        <v>100</v>
      </c>
      <c r="T1308" s="45">
        <f ca="1" t="shared" si="463"/>
        <v>12</v>
      </c>
      <c r="U1308" s="45">
        <f ca="1" t="shared" si="464"/>
        <v>100</v>
      </c>
      <c r="V1308" s="45">
        <f ca="1" t="shared" si="465"/>
        <v>0</v>
      </c>
    </row>
    <row r="1309" spans="2:22">
      <c r="B1309" s="10">
        <v>21</v>
      </c>
      <c r="C1309" s="1">
        <f ca="1">IF(养成规划!N42="",INDIRECT(ADDRESS(ROW()-1,COLUMN())),养成规划!N42)</f>
        <v>3</v>
      </c>
      <c r="D1309" s="1">
        <f>IF(养成规划!Q42="","",养成规划!Q42)</f>
        <v>204</v>
      </c>
      <c r="E1309" s="1">
        <f ca="1" t="shared" si="451"/>
        <v>12060</v>
      </c>
      <c r="F1309" s="15">
        <f>'205_每日任务'!Q42</f>
        <v>1890</v>
      </c>
      <c r="G1309" s="15">
        <f ca="1">'206_副本挂机'!AC161</f>
        <v>233.333333333333</v>
      </c>
      <c r="H1309" s="15">
        <f ca="1">'207_空投'!P42</f>
        <v>1258</v>
      </c>
      <c r="I1309" s="15">
        <f ca="1">'208_黑市'!AD42</f>
        <v>147</v>
      </c>
      <c r="J1309" s="15">
        <f ca="1">'210_活动'!AM42</f>
        <v>1050</v>
      </c>
      <c r="K1309" s="15">
        <f ca="1">'212_VIP商店'!U42</f>
        <v>0</v>
      </c>
      <c r="L1309" s="1">
        <f ca="1" t="shared" si="458"/>
        <v>12060</v>
      </c>
      <c r="M1309" s="1">
        <f ca="1" t="shared" si="459"/>
        <v>4578.33333333333</v>
      </c>
      <c r="N1309" s="30"/>
      <c r="O1309" s="30"/>
      <c r="Q1309" s="45">
        <f t="shared" si="460"/>
        <v>90</v>
      </c>
      <c r="R1309" s="45">
        <f ca="1" t="shared" si="461"/>
        <v>16.6666666666667</v>
      </c>
      <c r="S1309" s="45">
        <f ca="1" t="shared" si="462"/>
        <v>100</v>
      </c>
      <c r="T1309" s="45">
        <f ca="1" t="shared" si="463"/>
        <v>12</v>
      </c>
      <c r="U1309" s="45">
        <f ca="1" t="shared" si="464"/>
        <v>100</v>
      </c>
      <c r="V1309" s="45">
        <f ca="1" t="shared" si="465"/>
        <v>0</v>
      </c>
    </row>
    <row r="1310" spans="2:22">
      <c r="B1310" s="10">
        <v>22</v>
      </c>
      <c r="C1310" s="1">
        <f ca="1">IF(养成规划!N43="",INDIRECT(ADDRESS(ROW()-1,COLUMN())),养成规划!N43)</f>
        <v>3</v>
      </c>
      <c r="D1310" s="1" t="str">
        <f>IF(养成规划!Q43="","",养成规划!Q43)</f>
        <v/>
      </c>
      <c r="E1310" s="1" t="str">
        <f ca="1" t="shared" si="451"/>
        <v/>
      </c>
      <c r="F1310" s="15">
        <f>'205_每日任务'!Q43</f>
        <v>1980</v>
      </c>
      <c r="G1310" s="15">
        <f ca="1">'206_副本挂机'!AC162</f>
        <v>249.999999999999</v>
      </c>
      <c r="H1310" s="15">
        <f ca="1">'207_空投'!P43</f>
        <v>1358</v>
      </c>
      <c r="I1310" s="15">
        <f ca="1">'208_黑市'!AD43</f>
        <v>159</v>
      </c>
      <c r="J1310" s="15">
        <f ca="1">'210_活动'!AM43</f>
        <v>1150</v>
      </c>
      <c r="K1310" s="15">
        <f ca="1">'212_VIP商店'!U43</f>
        <v>0</v>
      </c>
      <c r="L1310" s="1" t="str">
        <f ca="1" t="shared" si="458"/>
        <v/>
      </c>
      <c r="M1310" s="1">
        <f ca="1" t="shared" si="459"/>
        <v>4897</v>
      </c>
      <c r="N1310" s="30"/>
      <c r="O1310" s="30"/>
      <c r="Q1310" s="45">
        <f t="shared" si="460"/>
        <v>90</v>
      </c>
      <c r="R1310" s="45">
        <f ca="1" t="shared" si="461"/>
        <v>16.6666666666667</v>
      </c>
      <c r="S1310" s="45">
        <f ca="1" t="shared" si="462"/>
        <v>100</v>
      </c>
      <c r="T1310" s="45">
        <f ca="1" t="shared" si="463"/>
        <v>12</v>
      </c>
      <c r="U1310" s="45">
        <f ca="1" t="shared" si="464"/>
        <v>100</v>
      </c>
      <c r="V1310" s="45">
        <f ca="1" t="shared" si="465"/>
        <v>0</v>
      </c>
    </row>
    <row r="1311" spans="2:22">
      <c r="B1311" s="10">
        <v>23</v>
      </c>
      <c r="C1311" s="1">
        <f ca="1">IF(养成规划!N44="",INDIRECT(ADDRESS(ROW()-1,COLUMN())),养成规划!N44)</f>
        <v>3</v>
      </c>
      <c r="D1311" s="1" t="str">
        <f>IF(养成规划!Q44="","",养成规划!Q44)</f>
        <v/>
      </c>
      <c r="E1311" s="1" t="str">
        <f ca="1" t="shared" si="451"/>
        <v/>
      </c>
      <c r="F1311" s="15">
        <f>'205_每日任务'!Q44</f>
        <v>2070</v>
      </c>
      <c r="G1311" s="15">
        <f ca="1">'206_副本挂机'!AC163</f>
        <v>266.666666666666</v>
      </c>
      <c r="H1311" s="15">
        <f ca="1">'207_空投'!P44</f>
        <v>1458</v>
      </c>
      <c r="I1311" s="15">
        <f ca="1">'208_黑市'!AD44</f>
        <v>171</v>
      </c>
      <c r="J1311" s="15">
        <f ca="1">'210_活动'!AM44</f>
        <v>1250</v>
      </c>
      <c r="K1311" s="15">
        <f ca="1">'212_VIP商店'!U44</f>
        <v>0</v>
      </c>
      <c r="L1311" s="1" t="str">
        <f ca="1" t="shared" si="458"/>
        <v/>
      </c>
      <c r="M1311" s="1">
        <f ca="1" t="shared" si="459"/>
        <v>5215.66666666667</v>
      </c>
      <c r="N1311" s="30"/>
      <c r="O1311" s="30"/>
      <c r="Q1311" s="45">
        <f t="shared" si="460"/>
        <v>90</v>
      </c>
      <c r="R1311" s="45">
        <f ca="1" t="shared" si="461"/>
        <v>16.6666666666667</v>
      </c>
      <c r="S1311" s="45">
        <f ca="1" t="shared" si="462"/>
        <v>100</v>
      </c>
      <c r="T1311" s="45">
        <f ca="1" t="shared" si="463"/>
        <v>12</v>
      </c>
      <c r="U1311" s="45">
        <f ca="1" t="shared" si="464"/>
        <v>100</v>
      </c>
      <c r="V1311" s="45">
        <f ca="1" t="shared" si="465"/>
        <v>0</v>
      </c>
    </row>
    <row r="1312" spans="2:22">
      <c r="B1312" s="10">
        <v>24</v>
      </c>
      <c r="C1312" s="1">
        <f ca="1">IF(养成规划!N45="",INDIRECT(ADDRESS(ROW()-1,COLUMN())),养成规划!N45)</f>
        <v>3</v>
      </c>
      <c r="D1312" s="1" t="str">
        <f>IF(养成规划!Q45="","",养成规划!Q45)</f>
        <v/>
      </c>
      <c r="E1312" s="1" t="str">
        <f ca="1" t="shared" si="451"/>
        <v/>
      </c>
      <c r="F1312" s="15">
        <f>'205_每日任务'!Q45</f>
        <v>2160</v>
      </c>
      <c r="G1312" s="15">
        <f ca="1">'206_副本挂机'!AC164</f>
        <v>283.333333333333</v>
      </c>
      <c r="H1312" s="15">
        <f ca="1">'207_空投'!P45</f>
        <v>1558</v>
      </c>
      <c r="I1312" s="15">
        <f ca="1">'208_黑市'!AD45</f>
        <v>183</v>
      </c>
      <c r="J1312" s="15">
        <f ca="1">'210_活动'!AM45</f>
        <v>1350</v>
      </c>
      <c r="K1312" s="15">
        <f ca="1">'212_VIP商店'!U45</f>
        <v>0</v>
      </c>
      <c r="L1312" s="1" t="str">
        <f ca="1" t="shared" si="458"/>
        <v/>
      </c>
      <c r="M1312" s="1">
        <f ca="1" t="shared" si="459"/>
        <v>5534.33333333333</v>
      </c>
      <c r="N1312" s="30"/>
      <c r="O1312" s="30"/>
      <c r="Q1312" s="45">
        <f t="shared" si="460"/>
        <v>90</v>
      </c>
      <c r="R1312" s="45">
        <f ca="1" t="shared" si="461"/>
        <v>16.6666666666667</v>
      </c>
      <c r="S1312" s="45">
        <f ca="1" t="shared" si="462"/>
        <v>100</v>
      </c>
      <c r="T1312" s="45">
        <f ca="1" t="shared" si="463"/>
        <v>12</v>
      </c>
      <c r="U1312" s="45">
        <f ca="1" t="shared" si="464"/>
        <v>100</v>
      </c>
      <c r="V1312" s="45">
        <f ca="1" t="shared" si="465"/>
        <v>0</v>
      </c>
    </row>
    <row r="1313" spans="2:22">
      <c r="B1313" s="10">
        <v>25</v>
      </c>
      <c r="C1313" s="1">
        <f ca="1">IF(养成规划!N46="",INDIRECT(ADDRESS(ROW()-1,COLUMN())),养成规划!N46)</f>
        <v>3</v>
      </c>
      <c r="D1313" s="1" t="str">
        <f>IF(养成规划!Q46="","",养成规划!Q46)</f>
        <v/>
      </c>
      <c r="E1313" s="1" t="str">
        <f ca="1" t="shared" si="451"/>
        <v/>
      </c>
      <c r="F1313" s="15">
        <f>'205_每日任务'!Q46</f>
        <v>2250</v>
      </c>
      <c r="G1313" s="15">
        <f ca="1">'206_副本挂机'!AC165</f>
        <v>299.999999999999</v>
      </c>
      <c r="H1313" s="15">
        <f ca="1">'207_空投'!P46</f>
        <v>1658</v>
      </c>
      <c r="I1313" s="15">
        <f ca="1">'208_黑市'!AD46</f>
        <v>195</v>
      </c>
      <c r="J1313" s="15">
        <f ca="1">'210_活动'!AM46</f>
        <v>1450</v>
      </c>
      <c r="K1313" s="15">
        <f ca="1">'212_VIP商店'!U46</f>
        <v>0</v>
      </c>
      <c r="L1313" s="1" t="str">
        <f ca="1" t="shared" si="458"/>
        <v/>
      </c>
      <c r="M1313" s="1">
        <f ca="1" t="shared" si="459"/>
        <v>5853</v>
      </c>
      <c r="N1313" s="30"/>
      <c r="O1313" s="30"/>
      <c r="Q1313" s="45">
        <f t="shared" si="460"/>
        <v>90</v>
      </c>
      <c r="R1313" s="45">
        <f ca="1" t="shared" si="461"/>
        <v>16.6666666666667</v>
      </c>
      <c r="S1313" s="45">
        <f ca="1" t="shared" si="462"/>
        <v>100</v>
      </c>
      <c r="T1313" s="45">
        <f ca="1" t="shared" si="463"/>
        <v>12</v>
      </c>
      <c r="U1313" s="45">
        <f ca="1" t="shared" si="464"/>
        <v>100</v>
      </c>
      <c r="V1313" s="45">
        <f ca="1" t="shared" si="465"/>
        <v>0</v>
      </c>
    </row>
    <row r="1314" spans="2:22">
      <c r="B1314" s="10">
        <v>26</v>
      </c>
      <c r="C1314" s="1">
        <f ca="1">IF(养成规划!N47="",INDIRECT(ADDRESS(ROW()-1,COLUMN())),养成规划!N47)</f>
        <v>3</v>
      </c>
      <c r="D1314" s="1" t="str">
        <f>IF(养成规划!Q47="","",养成规划!Q47)</f>
        <v/>
      </c>
      <c r="E1314" s="1" t="str">
        <f ca="1" t="shared" si="451"/>
        <v/>
      </c>
      <c r="F1314" s="15">
        <f>'205_每日任务'!Q47</f>
        <v>2340</v>
      </c>
      <c r="G1314" s="15">
        <f ca="1">'206_副本挂机'!AC166</f>
        <v>316.666666666666</v>
      </c>
      <c r="H1314" s="15">
        <f ca="1">'207_空投'!P47</f>
        <v>1758</v>
      </c>
      <c r="I1314" s="15">
        <f ca="1">'208_黑市'!AD47</f>
        <v>207</v>
      </c>
      <c r="J1314" s="15">
        <f ca="1">'210_活动'!AM47</f>
        <v>1550</v>
      </c>
      <c r="K1314" s="15">
        <f ca="1">'212_VIP商店'!U47</f>
        <v>0</v>
      </c>
      <c r="L1314" s="1" t="str">
        <f ca="1" t="shared" si="458"/>
        <v/>
      </c>
      <c r="M1314" s="1">
        <f ca="1" t="shared" si="459"/>
        <v>6171.66666666667</v>
      </c>
      <c r="N1314" s="30"/>
      <c r="O1314" s="30"/>
      <c r="Q1314" s="45">
        <f t="shared" si="460"/>
        <v>90</v>
      </c>
      <c r="R1314" s="45">
        <f ca="1" t="shared" si="461"/>
        <v>16.6666666666667</v>
      </c>
      <c r="S1314" s="45">
        <f ca="1" t="shared" si="462"/>
        <v>100</v>
      </c>
      <c r="T1314" s="45">
        <f ca="1" t="shared" si="463"/>
        <v>12</v>
      </c>
      <c r="U1314" s="45">
        <f ca="1" t="shared" si="464"/>
        <v>100</v>
      </c>
      <c r="V1314" s="45">
        <f ca="1" t="shared" si="465"/>
        <v>0</v>
      </c>
    </row>
    <row r="1315" spans="2:22">
      <c r="B1315" s="10">
        <v>27</v>
      </c>
      <c r="C1315" s="1">
        <f ca="1">IF(养成规划!N48="",INDIRECT(ADDRESS(ROW()-1,COLUMN())),养成规划!N48)</f>
        <v>3</v>
      </c>
      <c r="D1315" s="1">
        <f>IF(养成规划!Q48="","",养成规划!Q48)</f>
        <v>205</v>
      </c>
      <c r="E1315" s="1">
        <f ca="1" t="shared" si="451"/>
        <v>16560</v>
      </c>
      <c r="F1315" s="15">
        <f>'205_每日任务'!Q48</f>
        <v>2430</v>
      </c>
      <c r="G1315" s="15">
        <f ca="1">'206_副本挂机'!AC167</f>
        <v>333.333333333333</v>
      </c>
      <c r="H1315" s="15">
        <f ca="1">'207_空投'!P48</f>
        <v>1858</v>
      </c>
      <c r="I1315" s="15">
        <f ca="1">'208_黑市'!AD48</f>
        <v>219</v>
      </c>
      <c r="J1315" s="15">
        <f ca="1">'210_活动'!AM48</f>
        <v>1650</v>
      </c>
      <c r="K1315" s="15">
        <f ca="1">'212_VIP商店'!U48</f>
        <v>0</v>
      </c>
      <c r="L1315" s="1">
        <f ca="1" t="shared" si="458"/>
        <v>16560</v>
      </c>
      <c r="M1315" s="1">
        <f ca="1" t="shared" si="459"/>
        <v>6490.33333333333</v>
      </c>
      <c r="N1315" s="30"/>
      <c r="O1315" s="30"/>
      <c r="Q1315" s="45">
        <f t="shared" si="460"/>
        <v>90</v>
      </c>
      <c r="R1315" s="45">
        <f ca="1" t="shared" si="461"/>
        <v>16.6666666666667</v>
      </c>
      <c r="S1315" s="45">
        <f ca="1" t="shared" si="462"/>
        <v>100</v>
      </c>
      <c r="T1315" s="45">
        <f ca="1" t="shared" si="463"/>
        <v>12</v>
      </c>
      <c r="U1315" s="45">
        <f ca="1" t="shared" si="464"/>
        <v>100</v>
      </c>
      <c r="V1315" s="45">
        <f ca="1" t="shared" si="465"/>
        <v>0</v>
      </c>
    </row>
    <row r="1316" spans="2:22">
      <c r="B1316" s="10">
        <v>28</v>
      </c>
      <c r="C1316" s="1">
        <f ca="1">IF(养成规划!N49="",INDIRECT(ADDRESS(ROW()-1,COLUMN())),养成规划!N49)</f>
        <v>3</v>
      </c>
      <c r="D1316" s="1" t="str">
        <f>IF(养成规划!Q49="","",养成规划!Q49)</f>
        <v/>
      </c>
      <c r="E1316" s="1" t="str">
        <f ca="1" t="shared" si="451"/>
        <v/>
      </c>
      <c r="F1316" s="15">
        <f>'205_每日任务'!Q49</f>
        <v>2520</v>
      </c>
      <c r="G1316" s="15">
        <f ca="1">'206_副本挂机'!AC168</f>
        <v>349.999999999999</v>
      </c>
      <c r="H1316" s="15">
        <f ca="1">'207_空投'!P49</f>
        <v>1958</v>
      </c>
      <c r="I1316" s="15">
        <f ca="1">'208_黑市'!AD49</f>
        <v>231</v>
      </c>
      <c r="J1316" s="15">
        <f ca="1">'210_活动'!AM49</f>
        <v>1750</v>
      </c>
      <c r="K1316" s="15">
        <f ca="1">'212_VIP商店'!U49</f>
        <v>0</v>
      </c>
      <c r="L1316" s="1" t="str">
        <f ca="1" t="shared" si="458"/>
        <v/>
      </c>
      <c r="M1316" s="1">
        <f ca="1" t="shared" si="459"/>
        <v>6809</v>
      </c>
      <c r="N1316" s="30"/>
      <c r="O1316" s="30"/>
      <c r="Q1316" s="45">
        <f t="shared" si="460"/>
        <v>90</v>
      </c>
      <c r="R1316" s="45">
        <f ca="1" t="shared" si="461"/>
        <v>16.6666666666667</v>
      </c>
      <c r="S1316" s="45">
        <f ca="1" t="shared" si="462"/>
        <v>100</v>
      </c>
      <c r="T1316" s="45">
        <f ca="1" t="shared" si="463"/>
        <v>12</v>
      </c>
      <c r="U1316" s="45">
        <f ca="1" t="shared" si="464"/>
        <v>100</v>
      </c>
      <c r="V1316" s="45">
        <f ca="1" t="shared" si="465"/>
        <v>0</v>
      </c>
    </row>
    <row r="1317" spans="2:22">
      <c r="B1317" s="10">
        <v>29</v>
      </c>
      <c r="C1317" s="1">
        <f ca="1">IF(养成规划!N50="",INDIRECT(ADDRESS(ROW()-1,COLUMN())),养成规划!N50)</f>
        <v>3</v>
      </c>
      <c r="D1317" s="1">
        <f>IF(养成规划!Q50="","",养成规划!Q50)</f>
        <v>301</v>
      </c>
      <c r="E1317" s="1">
        <f ca="1" t="shared" si="451"/>
        <v>18360</v>
      </c>
      <c r="F1317" s="15">
        <f>'205_每日任务'!Q50</f>
        <v>2610</v>
      </c>
      <c r="G1317" s="15">
        <f ca="1">'206_副本挂机'!AC169</f>
        <v>366.666666666666</v>
      </c>
      <c r="H1317" s="15">
        <f ca="1">'207_空投'!P50</f>
        <v>2058</v>
      </c>
      <c r="I1317" s="15">
        <f ca="1">'208_黑市'!AD50</f>
        <v>243</v>
      </c>
      <c r="J1317" s="15">
        <f ca="1">'210_活动'!AM50</f>
        <v>1850</v>
      </c>
      <c r="K1317" s="15">
        <f ca="1">'212_VIP商店'!U50</f>
        <v>0</v>
      </c>
      <c r="L1317" s="1">
        <f ca="1" t="shared" si="458"/>
        <v>18360</v>
      </c>
      <c r="M1317" s="1">
        <f ca="1" t="shared" si="459"/>
        <v>7127.66666666667</v>
      </c>
      <c r="N1317" s="30"/>
      <c r="O1317" s="30"/>
      <c r="Q1317" s="45">
        <f t="shared" si="460"/>
        <v>90</v>
      </c>
      <c r="R1317" s="45">
        <f ca="1" t="shared" si="461"/>
        <v>16.6666666666667</v>
      </c>
      <c r="S1317" s="45">
        <f ca="1" t="shared" si="462"/>
        <v>100</v>
      </c>
      <c r="T1317" s="45">
        <f ca="1" t="shared" si="463"/>
        <v>12</v>
      </c>
      <c r="U1317" s="45">
        <f ca="1" t="shared" si="464"/>
        <v>100</v>
      </c>
      <c r="V1317" s="45">
        <f ca="1" t="shared" si="465"/>
        <v>0</v>
      </c>
    </row>
    <row r="1318" spans="2:22">
      <c r="B1318" s="10">
        <v>30</v>
      </c>
      <c r="C1318" s="1">
        <f ca="1">IF(养成规划!N51="",INDIRECT(ADDRESS(ROW()-1,COLUMN())),养成规划!N51)</f>
        <v>3</v>
      </c>
      <c r="D1318" s="1">
        <f>IF(养成规划!Q51="","",养成规划!Q51)</f>
        <v>302</v>
      </c>
      <c r="E1318" s="1">
        <f ca="1" t="shared" si="451"/>
        <v>21960</v>
      </c>
      <c r="F1318" s="15">
        <f>'205_每日任务'!Q51</f>
        <v>2700</v>
      </c>
      <c r="G1318" s="15">
        <f ca="1">'206_副本挂机'!AC170</f>
        <v>383.333333333333</v>
      </c>
      <c r="H1318" s="15">
        <f ca="1">'207_空投'!P51</f>
        <v>2158</v>
      </c>
      <c r="I1318" s="15">
        <f ca="1">'208_黑市'!AD51</f>
        <v>255</v>
      </c>
      <c r="J1318" s="15">
        <f ca="1">'210_活动'!AM51</f>
        <v>1950</v>
      </c>
      <c r="K1318" s="15">
        <f ca="1">'212_VIP商店'!U51</f>
        <v>0</v>
      </c>
      <c r="L1318" s="1">
        <f ca="1" t="shared" si="458"/>
        <v>21960</v>
      </c>
      <c r="M1318" s="1">
        <f ca="1" t="shared" si="459"/>
        <v>7446.33333333333</v>
      </c>
      <c r="N1318" s="30"/>
      <c r="O1318" s="30"/>
      <c r="Q1318" s="45">
        <f t="shared" si="460"/>
        <v>90</v>
      </c>
      <c r="R1318" s="45">
        <f ca="1" t="shared" si="461"/>
        <v>16.6666666666667</v>
      </c>
      <c r="S1318" s="45">
        <f ca="1" t="shared" si="462"/>
        <v>100</v>
      </c>
      <c r="T1318" s="45">
        <f ca="1" t="shared" si="463"/>
        <v>12</v>
      </c>
      <c r="U1318" s="45">
        <f ca="1" t="shared" si="464"/>
        <v>100</v>
      </c>
      <c r="V1318" s="45">
        <f ca="1" t="shared" si="465"/>
        <v>0</v>
      </c>
    </row>
    <row r="1319" spans="2:22">
      <c r="B1319" s="11">
        <v>35</v>
      </c>
      <c r="C1319" s="1">
        <f ca="1">IF(养成规划!N52="",INDIRECT(ADDRESS(ROW()-1,COLUMN())),养成规划!N52)</f>
        <v>3</v>
      </c>
      <c r="D1319" s="1">
        <f>IF(养成规划!Q52="","",养成规划!Q52)</f>
        <v>303</v>
      </c>
      <c r="E1319" s="1">
        <f ca="1" t="shared" si="451"/>
        <v>27360</v>
      </c>
      <c r="F1319" s="15">
        <f>'205_每日任务'!Q52</f>
        <v>3150</v>
      </c>
      <c r="G1319" s="15">
        <f ca="1">'206_副本挂机'!AC171</f>
        <v>466.666666666666</v>
      </c>
      <c r="H1319" s="15">
        <f ca="1">'207_空投'!P52</f>
        <v>2658</v>
      </c>
      <c r="I1319" s="15">
        <f ca="1">'208_黑市'!AD52</f>
        <v>345</v>
      </c>
      <c r="J1319" s="15">
        <f ca="1">'210_活动'!AM52</f>
        <v>2700</v>
      </c>
      <c r="K1319" s="15">
        <f ca="1">'212_VIP商店'!U52</f>
        <v>0</v>
      </c>
      <c r="L1319" s="1">
        <f ca="1" t="shared" si="458"/>
        <v>27360</v>
      </c>
      <c r="M1319" s="1">
        <f ca="1" t="shared" si="459"/>
        <v>9319.66666666667</v>
      </c>
      <c r="N1319" s="30"/>
      <c r="O1319" s="30"/>
      <c r="Q1319" s="45">
        <f t="shared" si="460"/>
        <v>90</v>
      </c>
      <c r="R1319" s="45">
        <f ca="1" t="shared" si="461"/>
        <v>16.6666666666667</v>
      </c>
      <c r="S1319" s="45">
        <f ca="1" t="shared" si="462"/>
        <v>100</v>
      </c>
      <c r="T1319" s="45">
        <f ca="1" t="shared" si="463"/>
        <v>18</v>
      </c>
      <c r="U1319" s="45">
        <f ca="1" t="shared" si="464"/>
        <v>150</v>
      </c>
      <c r="V1319" s="45">
        <f ca="1" t="shared" si="465"/>
        <v>0</v>
      </c>
    </row>
    <row r="1320" spans="2:22">
      <c r="B1320" s="11">
        <v>40</v>
      </c>
      <c r="C1320" s="1">
        <f ca="1">IF(养成规划!N53="",INDIRECT(ADDRESS(ROW()-1,COLUMN())),养成规划!N53)</f>
        <v>3</v>
      </c>
      <c r="D1320" s="1" t="str">
        <f>IF(养成规划!Q53="","",养成规划!Q53)</f>
        <v/>
      </c>
      <c r="E1320" s="1" t="str">
        <f ca="1" t="shared" si="451"/>
        <v/>
      </c>
      <c r="F1320" s="15">
        <f>'205_每日任务'!Q53</f>
        <v>3600</v>
      </c>
      <c r="G1320" s="15">
        <f ca="1">'206_副本挂机'!AC172</f>
        <v>550</v>
      </c>
      <c r="H1320" s="15">
        <f ca="1">'207_空投'!P53</f>
        <v>3158</v>
      </c>
      <c r="I1320" s="15">
        <f ca="1">'208_黑市'!AD53</f>
        <v>435</v>
      </c>
      <c r="J1320" s="15">
        <f ca="1">'210_活动'!AM53</f>
        <v>3450</v>
      </c>
      <c r="K1320" s="15">
        <f ca="1">'212_VIP商店'!U53</f>
        <v>0</v>
      </c>
      <c r="L1320" s="1" t="str">
        <f ca="1" t="shared" si="458"/>
        <v/>
      </c>
      <c r="M1320" s="1">
        <f ca="1" t="shared" si="459"/>
        <v>11193</v>
      </c>
      <c r="N1320" s="30"/>
      <c r="O1320" s="30"/>
      <c r="Q1320" s="45">
        <f t="shared" si="460"/>
        <v>90</v>
      </c>
      <c r="R1320" s="45">
        <f ca="1" t="shared" si="461"/>
        <v>16.6666666666667</v>
      </c>
      <c r="S1320" s="45">
        <f ca="1" t="shared" si="462"/>
        <v>100</v>
      </c>
      <c r="T1320" s="45">
        <f ca="1" t="shared" si="463"/>
        <v>18</v>
      </c>
      <c r="U1320" s="45">
        <f ca="1" t="shared" si="464"/>
        <v>150</v>
      </c>
      <c r="V1320" s="45">
        <f ca="1" t="shared" si="465"/>
        <v>0</v>
      </c>
    </row>
    <row r="1321" spans="2:22">
      <c r="B1321" s="11">
        <v>45</v>
      </c>
      <c r="C1321" s="1">
        <f ca="1">IF(养成规划!N54="",INDIRECT(ADDRESS(ROW()-1,COLUMN())),养成规划!N54)</f>
        <v>3</v>
      </c>
      <c r="D1321" s="1">
        <f>IF(养成规划!Q54="","",养成规划!Q54)</f>
        <v>304</v>
      </c>
      <c r="E1321" s="1">
        <f ca="1" t="shared" si="451"/>
        <v>35460</v>
      </c>
      <c r="F1321" s="15">
        <f>'205_每日任务'!Q54</f>
        <v>4050</v>
      </c>
      <c r="G1321" s="15">
        <f ca="1">'206_副本挂机'!AC173</f>
        <v>633.333333333333</v>
      </c>
      <c r="H1321" s="15">
        <f ca="1">'207_空投'!P54</f>
        <v>3658</v>
      </c>
      <c r="I1321" s="15">
        <f ca="1">'208_黑市'!AD54</f>
        <v>525</v>
      </c>
      <c r="J1321" s="15">
        <f ca="1">'210_活动'!AM54</f>
        <v>4200</v>
      </c>
      <c r="K1321" s="15">
        <f ca="1">'212_VIP商店'!U54</f>
        <v>0</v>
      </c>
      <c r="L1321" s="1">
        <f ca="1" t="shared" si="458"/>
        <v>35460</v>
      </c>
      <c r="M1321" s="1">
        <f ca="1" t="shared" si="459"/>
        <v>13066.3333333333</v>
      </c>
      <c r="N1321" s="30"/>
      <c r="O1321" s="30"/>
      <c r="Q1321" s="45">
        <f t="shared" si="460"/>
        <v>90</v>
      </c>
      <c r="R1321" s="45">
        <f ca="1" t="shared" si="461"/>
        <v>16.6666666666667</v>
      </c>
      <c r="S1321" s="45">
        <f ca="1" t="shared" si="462"/>
        <v>100</v>
      </c>
      <c r="T1321" s="45">
        <f ca="1" t="shared" si="463"/>
        <v>18</v>
      </c>
      <c r="U1321" s="45">
        <f ca="1" t="shared" si="464"/>
        <v>150</v>
      </c>
      <c r="V1321" s="45">
        <f ca="1" t="shared" si="465"/>
        <v>0</v>
      </c>
    </row>
    <row r="1322" spans="2:22">
      <c r="B1322" s="11">
        <v>50</v>
      </c>
      <c r="C1322" s="1">
        <f ca="1">IF(养成规划!N55="",INDIRECT(ADDRESS(ROW()-1,COLUMN())),养成规划!N55)</f>
        <v>3</v>
      </c>
      <c r="D1322" s="1" t="str">
        <f>IF(养成规划!Q55="","",养成规划!Q55)</f>
        <v/>
      </c>
      <c r="E1322" s="1" t="str">
        <f ca="1" t="shared" si="451"/>
        <v/>
      </c>
      <c r="F1322" s="15">
        <f>'205_每日任务'!Q55</f>
        <v>4500</v>
      </c>
      <c r="G1322" s="15">
        <f ca="1">'206_副本挂机'!AC174</f>
        <v>716.666666666667</v>
      </c>
      <c r="H1322" s="15">
        <f ca="1">'207_空投'!P55</f>
        <v>4158</v>
      </c>
      <c r="I1322" s="15">
        <f ca="1">'208_黑市'!AD55</f>
        <v>615</v>
      </c>
      <c r="J1322" s="15">
        <f ca="1">'210_活动'!AM55</f>
        <v>4950</v>
      </c>
      <c r="K1322" s="15">
        <f ca="1">'212_VIP商店'!U55</f>
        <v>0</v>
      </c>
      <c r="L1322" s="1" t="str">
        <f ca="1" t="shared" si="458"/>
        <v/>
      </c>
      <c r="M1322" s="1">
        <f ca="1" t="shared" si="459"/>
        <v>14939.6666666667</v>
      </c>
      <c r="N1322" s="30"/>
      <c r="O1322" s="30"/>
      <c r="Q1322" s="45">
        <f t="shared" si="460"/>
        <v>90</v>
      </c>
      <c r="R1322" s="45">
        <f ca="1" t="shared" si="461"/>
        <v>16.6666666666667</v>
      </c>
      <c r="S1322" s="45">
        <f ca="1" t="shared" si="462"/>
        <v>100</v>
      </c>
      <c r="T1322" s="45">
        <f ca="1" t="shared" si="463"/>
        <v>18</v>
      </c>
      <c r="U1322" s="45">
        <f ca="1" t="shared" si="464"/>
        <v>150</v>
      </c>
      <c r="V1322" s="45">
        <f ca="1" t="shared" si="465"/>
        <v>0</v>
      </c>
    </row>
    <row r="1323" spans="2:22">
      <c r="B1323" s="11">
        <v>55</v>
      </c>
      <c r="C1323" s="1">
        <f ca="1">IF(养成规划!N56="",INDIRECT(ADDRESS(ROW()-1,COLUMN())),养成规划!N56)</f>
        <v>3</v>
      </c>
      <c r="D1323" s="1" t="str">
        <f>IF(养成规划!Q56="","",养成规划!Q56)</f>
        <v/>
      </c>
      <c r="E1323" s="1" t="str">
        <f ca="1" t="shared" si="451"/>
        <v/>
      </c>
      <c r="F1323" s="15">
        <f>'205_每日任务'!Q56</f>
        <v>4950</v>
      </c>
      <c r="G1323" s="15">
        <f ca="1">'206_副本挂机'!AC175</f>
        <v>883.333333333334</v>
      </c>
      <c r="H1323" s="15">
        <f ca="1">'207_空投'!P56</f>
        <v>4658</v>
      </c>
      <c r="I1323" s="15">
        <f ca="1">'208_黑市'!AD56</f>
        <v>705</v>
      </c>
      <c r="J1323" s="15">
        <f ca="1">'210_活动'!AM56</f>
        <v>5700</v>
      </c>
      <c r="K1323" s="15">
        <f ca="1">'212_VIP商店'!U56</f>
        <v>0</v>
      </c>
      <c r="L1323" s="1" t="str">
        <f ca="1" t="shared" si="458"/>
        <v/>
      </c>
      <c r="M1323" s="1">
        <f ca="1" t="shared" si="459"/>
        <v>16896.3333333333</v>
      </c>
      <c r="N1323" s="30"/>
      <c r="O1323" s="30"/>
      <c r="Q1323" s="45">
        <f t="shared" si="460"/>
        <v>90</v>
      </c>
      <c r="R1323" s="45">
        <f ca="1" t="shared" si="461"/>
        <v>33.3333333333334</v>
      </c>
      <c r="S1323" s="45">
        <f ca="1" t="shared" si="462"/>
        <v>100</v>
      </c>
      <c r="T1323" s="45">
        <f ca="1" t="shared" si="463"/>
        <v>18</v>
      </c>
      <c r="U1323" s="45">
        <f ca="1" t="shared" si="464"/>
        <v>150</v>
      </c>
      <c r="V1323" s="45">
        <f ca="1" t="shared" si="465"/>
        <v>0</v>
      </c>
    </row>
    <row r="1324" spans="2:22">
      <c r="B1324" s="11">
        <v>60</v>
      </c>
      <c r="C1324" s="1">
        <f ca="1">IF(养成规划!N57="",INDIRECT(ADDRESS(ROW()-1,COLUMN())),养成规划!N57)</f>
        <v>3</v>
      </c>
      <c r="D1324" s="1">
        <f>IF(养成规划!Q57="","",养成规划!Q57)</f>
        <v>305</v>
      </c>
      <c r="E1324" s="1">
        <f ca="1" t="shared" si="451"/>
        <v>46260</v>
      </c>
      <c r="F1324" s="15">
        <f>'205_每日任务'!Q57</f>
        <v>5400</v>
      </c>
      <c r="G1324" s="15">
        <f ca="1">'206_副本挂机'!AC176</f>
        <v>1050</v>
      </c>
      <c r="H1324" s="15">
        <f ca="1">'207_空投'!P57</f>
        <v>5158</v>
      </c>
      <c r="I1324" s="15">
        <f ca="1">'208_黑市'!AD57</f>
        <v>795</v>
      </c>
      <c r="J1324" s="15">
        <f ca="1">'210_活动'!AM57</f>
        <v>6450</v>
      </c>
      <c r="K1324" s="15">
        <f ca="1">'212_VIP商店'!U57</f>
        <v>321.428571428572</v>
      </c>
      <c r="L1324" s="1">
        <f ca="1" t="shared" si="458"/>
        <v>46260</v>
      </c>
      <c r="M1324" s="1">
        <f ca="1" t="shared" si="459"/>
        <v>18853</v>
      </c>
      <c r="N1324" s="30"/>
      <c r="O1324" s="30"/>
      <c r="Q1324" s="45">
        <f t="shared" si="460"/>
        <v>90</v>
      </c>
      <c r="R1324" s="45">
        <f ca="1" t="shared" si="461"/>
        <v>33.3333333333334</v>
      </c>
      <c r="S1324" s="45">
        <f ca="1" t="shared" si="462"/>
        <v>100</v>
      </c>
      <c r="T1324" s="45">
        <f ca="1" t="shared" si="463"/>
        <v>18</v>
      </c>
      <c r="U1324" s="45">
        <f ca="1" t="shared" si="464"/>
        <v>150</v>
      </c>
      <c r="V1324" s="45">
        <f ca="1" t="shared" si="465"/>
        <v>64.2857142857143</v>
      </c>
    </row>
    <row r="1325" spans="2:22">
      <c r="B1325" s="11">
        <v>65</v>
      </c>
      <c r="C1325" s="1">
        <f ca="1">IF(养成规划!N58="",INDIRECT(ADDRESS(ROW()-1,COLUMN())),养成规划!N58)</f>
        <v>3</v>
      </c>
      <c r="D1325" s="1" t="str">
        <f>IF(养成规划!Q58="","",养成规划!Q58)</f>
        <v/>
      </c>
      <c r="E1325" s="1" t="str">
        <f ca="1" t="shared" si="451"/>
        <v/>
      </c>
      <c r="F1325" s="15">
        <f>'205_每日任务'!Q58</f>
        <v>5850</v>
      </c>
      <c r="G1325" s="15">
        <f ca="1">'206_副本挂机'!AC177</f>
        <v>1216.66666666667</v>
      </c>
      <c r="H1325" s="15">
        <f ca="1">'207_空投'!P58</f>
        <v>5658</v>
      </c>
      <c r="I1325" s="15">
        <f ca="1">'208_黑市'!AD58</f>
        <v>915</v>
      </c>
      <c r="J1325" s="15">
        <f ca="1">'210_活动'!AM58</f>
        <v>7450</v>
      </c>
      <c r="K1325" s="15">
        <f ca="1">'212_VIP商店'!U58</f>
        <v>642.857142857143</v>
      </c>
      <c r="L1325" s="1" t="str">
        <f ca="1" t="shared" si="458"/>
        <v/>
      </c>
      <c r="M1325" s="1">
        <f ca="1" t="shared" si="459"/>
        <v>21089.6666666667</v>
      </c>
      <c r="N1325" s="30"/>
      <c r="O1325" s="30"/>
      <c r="Q1325" s="45">
        <f t="shared" si="460"/>
        <v>90</v>
      </c>
      <c r="R1325" s="45">
        <f ca="1" t="shared" si="461"/>
        <v>33.3333333333334</v>
      </c>
      <c r="S1325" s="45">
        <f ca="1" t="shared" si="462"/>
        <v>100</v>
      </c>
      <c r="T1325" s="45">
        <f ca="1" t="shared" si="463"/>
        <v>24</v>
      </c>
      <c r="U1325" s="45">
        <f ca="1" t="shared" si="464"/>
        <v>200</v>
      </c>
      <c r="V1325" s="45">
        <f ca="1" t="shared" si="465"/>
        <v>64.2857142857143</v>
      </c>
    </row>
    <row r="1326" spans="2:22">
      <c r="B1326" s="11">
        <v>70</v>
      </c>
      <c r="C1326" s="1">
        <f ca="1">IF(养成规划!N59="",INDIRECT(ADDRESS(ROW()-1,COLUMN())),养成规划!N59)</f>
        <v>3</v>
      </c>
      <c r="D1326" s="1" t="str">
        <f>IF(养成规划!Q59="","",养成规划!Q59)</f>
        <v/>
      </c>
      <c r="E1326" s="1" t="str">
        <f ca="1" t="shared" si="451"/>
        <v/>
      </c>
      <c r="F1326" s="15">
        <f>'205_每日任务'!Q59</f>
        <v>6300</v>
      </c>
      <c r="G1326" s="15">
        <f ca="1">'206_副本挂机'!AC178</f>
        <v>1383.33333333333</v>
      </c>
      <c r="H1326" s="15">
        <f ca="1">'207_空投'!P59</f>
        <v>6158</v>
      </c>
      <c r="I1326" s="15">
        <f ca="1">'208_黑市'!AD59</f>
        <v>1035</v>
      </c>
      <c r="J1326" s="15">
        <f ca="1">'210_活动'!AM59</f>
        <v>8450</v>
      </c>
      <c r="K1326" s="15">
        <f ca="1">'212_VIP商店'!U59</f>
        <v>964.285714285715</v>
      </c>
      <c r="L1326" s="1" t="str">
        <f ca="1" t="shared" si="458"/>
        <v/>
      </c>
      <c r="M1326" s="1">
        <f ca="1" t="shared" si="459"/>
        <v>23326.3333333333</v>
      </c>
      <c r="N1326" s="30"/>
      <c r="O1326" s="30"/>
      <c r="Q1326" s="45">
        <f t="shared" si="460"/>
        <v>90</v>
      </c>
      <c r="R1326" s="45">
        <f ca="1" t="shared" si="461"/>
        <v>33.3333333333334</v>
      </c>
      <c r="S1326" s="45">
        <f ca="1" t="shared" si="462"/>
        <v>100</v>
      </c>
      <c r="T1326" s="45">
        <f ca="1" t="shared" si="463"/>
        <v>24</v>
      </c>
      <c r="U1326" s="45">
        <f ca="1" t="shared" si="464"/>
        <v>200</v>
      </c>
      <c r="V1326" s="45">
        <f ca="1" t="shared" si="465"/>
        <v>64.2857142857143</v>
      </c>
    </row>
    <row r="1327" spans="2:22">
      <c r="B1327" s="11">
        <v>75</v>
      </c>
      <c r="C1327" s="1">
        <f ca="1">IF(养成规划!N60="",INDIRECT(ADDRESS(ROW()-1,COLUMN())),养成规划!N60)</f>
        <v>3</v>
      </c>
      <c r="D1327" s="1" t="str">
        <f>IF(养成规划!Q60="","",养成规划!Q60)</f>
        <v/>
      </c>
      <c r="E1327" s="1" t="str">
        <f ca="1" t="shared" si="451"/>
        <v/>
      </c>
      <c r="F1327" s="15">
        <f>'205_每日任务'!Q60</f>
        <v>6750</v>
      </c>
      <c r="G1327" s="15">
        <f ca="1">'206_副本挂机'!AC179</f>
        <v>1550</v>
      </c>
      <c r="H1327" s="15">
        <f ca="1">'207_空投'!P60</f>
        <v>6658</v>
      </c>
      <c r="I1327" s="15">
        <f ca="1">'208_黑市'!AD60</f>
        <v>1155</v>
      </c>
      <c r="J1327" s="15">
        <f ca="1">'210_活动'!AM60</f>
        <v>9450</v>
      </c>
      <c r="K1327" s="15">
        <f ca="1">'212_VIP商店'!U60</f>
        <v>1285.71428571429</v>
      </c>
      <c r="L1327" s="1" t="str">
        <f ca="1" t="shared" si="458"/>
        <v/>
      </c>
      <c r="M1327" s="1">
        <f ca="1" t="shared" si="459"/>
        <v>25563</v>
      </c>
      <c r="N1327" s="30"/>
      <c r="O1327" s="30"/>
      <c r="Q1327" s="45">
        <f t="shared" si="460"/>
        <v>90</v>
      </c>
      <c r="R1327" s="45">
        <f ca="1" t="shared" si="461"/>
        <v>33.3333333333334</v>
      </c>
      <c r="S1327" s="45">
        <f ca="1" t="shared" si="462"/>
        <v>100</v>
      </c>
      <c r="T1327" s="45">
        <f ca="1" t="shared" si="463"/>
        <v>24</v>
      </c>
      <c r="U1327" s="45">
        <f ca="1" t="shared" si="464"/>
        <v>200</v>
      </c>
      <c r="V1327" s="45">
        <f ca="1" t="shared" si="465"/>
        <v>64.2857142857143</v>
      </c>
    </row>
    <row r="1328" spans="2:22">
      <c r="B1328" s="11">
        <v>80</v>
      </c>
      <c r="C1328" s="1">
        <f ca="1">IF(养成规划!N61="",INDIRECT(ADDRESS(ROW()-1,COLUMN())),养成规划!N61)</f>
        <v>3</v>
      </c>
      <c r="D1328" s="1" t="str">
        <f>IF(养成规划!Q61="","",养成规划!Q61)</f>
        <v/>
      </c>
      <c r="E1328" s="1" t="str">
        <f ca="1" t="shared" si="451"/>
        <v/>
      </c>
      <c r="F1328" s="15">
        <f>'205_每日任务'!Q61</f>
        <v>7200</v>
      </c>
      <c r="G1328" s="15">
        <f ca="1">'206_副本挂机'!AC180</f>
        <v>1716.66666666667</v>
      </c>
      <c r="H1328" s="15">
        <f ca="1">'207_空投'!P61</f>
        <v>7158</v>
      </c>
      <c r="I1328" s="15">
        <f ca="1">'208_黑市'!AD61</f>
        <v>1275</v>
      </c>
      <c r="J1328" s="15">
        <f ca="1">'210_活动'!AM61</f>
        <v>10450</v>
      </c>
      <c r="K1328" s="15">
        <f ca="1">'212_VIP商店'!U61</f>
        <v>1607.14285714286</v>
      </c>
      <c r="L1328" s="1" t="str">
        <f ca="1" t="shared" si="458"/>
        <v/>
      </c>
      <c r="M1328" s="1">
        <f ca="1" t="shared" si="459"/>
        <v>27799.6666666667</v>
      </c>
      <c r="N1328" s="30"/>
      <c r="O1328" s="30"/>
      <c r="Q1328" s="45">
        <f t="shared" si="460"/>
        <v>90</v>
      </c>
      <c r="R1328" s="45">
        <f ca="1" t="shared" si="461"/>
        <v>33.3333333333334</v>
      </c>
      <c r="S1328" s="45">
        <f ca="1" t="shared" si="462"/>
        <v>100</v>
      </c>
      <c r="T1328" s="45">
        <f ca="1" t="shared" si="463"/>
        <v>24</v>
      </c>
      <c r="U1328" s="45">
        <f ca="1" t="shared" si="464"/>
        <v>200</v>
      </c>
      <c r="V1328" s="45">
        <f ca="1" t="shared" si="465"/>
        <v>64.2857142857143</v>
      </c>
    </row>
    <row r="1329" spans="2:22">
      <c r="B1329" s="11">
        <v>85</v>
      </c>
      <c r="C1329" s="1">
        <f ca="1">IF(养成规划!N62="",INDIRECT(ADDRESS(ROW()-1,COLUMN())),养成规划!N62)</f>
        <v>3</v>
      </c>
      <c r="D1329" s="1">
        <f>IF(养成规划!Q62="","",养成规划!Q62)</f>
        <v>306</v>
      </c>
      <c r="E1329" s="1">
        <f ca="1" t="shared" si="451"/>
        <v>62460</v>
      </c>
      <c r="F1329" s="15">
        <f>'205_每日任务'!Q62</f>
        <v>7650</v>
      </c>
      <c r="G1329" s="15">
        <f ca="1">'206_副本挂机'!AC181</f>
        <v>1883.33333333334</v>
      </c>
      <c r="H1329" s="15">
        <f ca="1">'207_空投'!P62</f>
        <v>7658</v>
      </c>
      <c r="I1329" s="15">
        <f ca="1">'208_黑市'!AD62</f>
        <v>1395</v>
      </c>
      <c r="J1329" s="15">
        <f ca="1">'210_活动'!AM62</f>
        <v>11450</v>
      </c>
      <c r="K1329" s="15">
        <f ca="1">'212_VIP商店'!U62</f>
        <v>1928.57142857143</v>
      </c>
      <c r="L1329" s="1">
        <f ca="1" t="shared" si="458"/>
        <v>62460</v>
      </c>
      <c r="M1329" s="1">
        <f ca="1" t="shared" si="459"/>
        <v>30036.3333333333</v>
      </c>
      <c r="N1329" s="30"/>
      <c r="O1329" s="30"/>
      <c r="Q1329" s="45">
        <f t="shared" si="460"/>
        <v>90</v>
      </c>
      <c r="R1329" s="45">
        <f ca="1" t="shared" si="461"/>
        <v>33.3333333333334</v>
      </c>
      <c r="S1329" s="45">
        <f ca="1" t="shared" si="462"/>
        <v>100</v>
      </c>
      <c r="T1329" s="45">
        <f ca="1" t="shared" si="463"/>
        <v>24</v>
      </c>
      <c r="U1329" s="45">
        <f ca="1" t="shared" si="464"/>
        <v>200</v>
      </c>
      <c r="V1329" s="45">
        <f ca="1" t="shared" si="465"/>
        <v>64.2857142857143</v>
      </c>
    </row>
    <row r="1330" spans="2:22">
      <c r="B1330" s="11">
        <v>90</v>
      </c>
      <c r="C1330" s="1">
        <f ca="1">IF(养成规划!N63="",INDIRECT(ADDRESS(ROW()-1,COLUMN())),养成规划!N63)</f>
        <v>3</v>
      </c>
      <c r="D1330" s="1" t="str">
        <f>IF(养成规划!Q63="","",养成规划!Q63)</f>
        <v/>
      </c>
      <c r="E1330" s="1" t="str">
        <f ca="1" t="shared" si="451"/>
        <v/>
      </c>
      <c r="F1330" s="15">
        <f>'205_每日任务'!Q63</f>
        <v>8100</v>
      </c>
      <c r="G1330" s="15">
        <f ca="1">'206_副本挂机'!AC182</f>
        <v>2050</v>
      </c>
      <c r="H1330" s="15">
        <f ca="1">'207_空投'!P63</f>
        <v>8408</v>
      </c>
      <c r="I1330" s="15">
        <f ca="1">'208_黑市'!AD63</f>
        <v>1515</v>
      </c>
      <c r="J1330" s="15">
        <f ca="1">'210_活动'!AM63</f>
        <v>12450</v>
      </c>
      <c r="K1330" s="15">
        <f ca="1">'212_VIP商店'!U63</f>
        <v>2250</v>
      </c>
      <c r="L1330" s="1" t="str">
        <f ca="1" t="shared" si="458"/>
        <v/>
      </c>
      <c r="M1330" s="1">
        <f ca="1" t="shared" si="459"/>
        <v>32523</v>
      </c>
      <c r="N1330" s="30"/>
      <c r="O1330" s="30"/>
      <c r="Q1330" s="45">
        <f t="shared" si="460"/>
        <v>90</v>
      </c>
      <c r="R1330" s="45">
        <f ca="1" t="shared" si="461"/>
        <v>33.3333333333334</v>
      </c>
      <c r="S1330" s="45">
        <f ca="1" t="shared" si="462"/>
        <v>150</v>
      </c>
      <c r="T1330" s="45">
        <f ca="1" t="shared" si="463"/>
        <v>24</v>
      </c>
      <c r="U1330" s="45">
        <f ca="1" t="shared" si="464"/>
        <v>200</v>
      </c>
      <c r="V1330" s="45">
        <f ca="1" t="shared" si="465"/>
        <v>64.2857142857143</v>
      </c>
    </row>
    <row r="1331" spans="2:22">
      <c r="B1331" s="11">
        <v>95</v>
      </c>
      <c r="C1331" s="1">
        <f ca="1">IF(养成规划!N64="",INDIRECT(ADDRESS(ROW()-1,COLUMN())),养成规划!N64)</f>
        <v>3</v>
      </c>
      <c r="D1331" s="1" t="str">
        <f>IF(养成规划!Q64="","",养成规划!Q64)</f>
        <v/>
      </c>
      <c r="E1331" s="1" t="str">
        <f ca="1" t="shared" si="451"/>
        <v/>
      </c>
      <c r="F1331" s="15">
        <f>'205_每日任务'!Q64</f>
        <v>8550</v>
      </c>
      <c r="G1331" s="15">
        <f ca="1">'206_副本挂机'!AC183</f>
        <v>2216.66666666667</v>
      </c>
      <c r="H1331" s="15">
        <f ca="1">'207_空投'!P64</f>
        <v>9158</v>
      </c>
      <c r="I1331" s="15">
        <f ca="1">'208_黑市'!AD64</f>
        <v>1635</v>
      </c>
      <c r="J1331" s="15">
        <f ca="1">'210_活动'!AM64</f>
        <v>13450</v>
      </c>
      <c r="K1331" s="15">
        <f ca="1">'212_VIP商店'!U64</f>
        <v>2571.42857142857</v>
      </c>
      <c r="L1331" s="1" t="str">
        <f ca="1" t="shared" si="458"/>
        <v/>
      </c>
      <c r="M1331" s="1">
        <f ca="1" t="shared" si="459"/>
        <v>35009.6666666667</v>
      </c>
      <c r="N1331" s="30"/>
      <c r="O1331" s="30"/>
      <c r="Q1331" s="45">
        <f t="shared" si="460"/>
        <v>90</v>
      </c>
      <c r="R1331" s="45">
        <f ca="1" t="shared" si="461"/>
        <v>33.3333333333334</v>
      </c>
      <c r="S1331" s="45">
        <f ca="1" t="shared" si="462"/>
        <v>150</v>
      </c>
      <c r="T1331" s="45">
        <f ca="1" t="shared" si="463"/>
        <v>24</v>
      </c>
      <c r="U1331" s="45">
        <f ca="1" t="shared" si="464"/>
        <v>200</v>
      </c>
      <c r="V1331" s="45">
        <f ca="1" t="shared" si="465"/>
        <v>64.2857142857143</v>
      </c>
    </row>
    <row r="1332" spans="2:22">
      <c r="B1332" s="11">
        <v>100</v>
      </c>
      <c r="C1332" s="1">
        <f ca="1">IF(养成规划!N65="",INDIRECT(ADDRESS(ROW()-1,COLUMN())),养成规划!N65)</f>
        <v>3</v>
      </c>
      <c r="D1332" s="1" t="str">
        <f>IF(养成规划!Q65="","",养成规划!Q65)</f>
        <v/>
      </c>
      <c r="E1332" s="1" t="str">
        <f ca="1" t="shared" si="451"/>
        <v/>
      </c>
      <c r="F1332" s="15">
        <f>'205_每日任务'!Q65</f>
        <v>9000</v>
      </c>
      <c r="G1332" s="15">
        <f ca="1">'206_副本挂机'!AC184</f>
        <v>2383.33333333334</v>
      </c>
      <c r="H1332" s="15">
        <f ca="1">'207_空投'!P65</f>
        <v>9908</v>
      </c>
      <c r="I1332" s="15">
        <f ca="1">'208_黑市'!AD65</f>
        <v>1755</v>
      </c>
      <c r="J1332" s="15">
        <f ca="1">'210_活动'!AM65</f>
        <v>14450</v>
      </c>
      <c r="K1332" s="15">
        <f ca="1">'212_VIP商店'!U65</f>
        <v>2892.85714285714</v>
      </c>
      <c r="L1332" s="1" t="str">
        <f ca="1" t="shared" si="458"/>
        <v/>
      </c>
      <c r="M1332" s="1">
        <f ca="1" t="shared" si="459"/>
        <v>37496.3333333333</v>
      </c>
      <c r="N1332" s="30"/>
      <c r="O1332" s="30"/>
      <c r="Q1332" s="45">
        <f t="shared" si="460"/>
        <v>90</v>
      </c>
      <c r="R1332" s="45">
        <f ca="1" t="shared" si="461"/>
        <v>33.3333333333334</v>
      </c>
      <c r="S1332" s="45">
        <f ca="1" t="shared" si="462"/>
        <v>150</v>
      </c>
      <c r="T1332" s="45">
        <f ca="1" t="shared" si="463"/>
        <v>24</v>
      </c>
      <c r="U1332" s="45">
        <f ca="1" t="shared" si="464"/>
        <v>200</v>
      </c>
      <c r="V1332" s="45">
        <f ca="1" t="shared" si="465"/>
        <v>64.2857142857143</v>
      </c>
    </row>
    <row r="1333" spans="2:22">
      <c r="B1333" s="11">
        <v>105</v>
      </c>
      <c r="C1333" s="1">
        <f ca="1">IF(养成规划!N66="",INDIRECT(ADDRESS(ROW()-1,COLUMN())),养成规划!N66)</f>
        <v>3</v>
      </c>
      <c r="D1333" s="1" t="str">
        <f>IF(养成规划!Q66="","",养成规划!Q66)</f>
        <v/>
      </c>
      <c r="E1333" s="1" t="str">
        <f ca="1" t="shared" si="451"/>
        <v/>
      </c>
      <c r="F1333" s="15">
        <f>'205_每日任务'!Q66</f>
        <v>9450</v>
      </c>
      <c r="G1333" s="15">
        <f ca="1">'206_副本挂机'!AC185</f>
        <v>2550</v>
      </c>
      <c r="H1333" s="15">
        <f ca="1">'207_空投'!P66</f>
        <v>10658</v>
      </c>
      <c r="I1333" s="15">
        <f ca="1">'208_黑市'!AD66</f>
        <v>1875</v>
      </c>
      <c r="J1333" s="15">
        <f ca="1">'210_活动'!AM66</f>
        <v>15450</v>
      </c>
      <c r="K1333" s="15">
        <f ca="1">'212_VIP商店'!U66</f>
        <v>3214.28571428572</v>
      </c>
      <c r="L1333" s="1" t="str">
        <f ca="1" t="shared" si="458"/>
        <v/>
      </c>
      <c r="M1333" s="1">
        <f ca="1" t="shared" si="459"/>
        <v>39983</v>
      </c>
      <c r="N1333" s="30"/>
      <c r="O1333" s="30"/>
      <c r="Q1333" s="45">
        <f t="shared" si="460"/>
        <v>90</v>
      </c>
      <c r="R1333" s="45">
        <f ca="1" t="shared" si="461"/>
        <v>33.3333333333334</v>
      </c>
      <c r="S1333" s="45">
        <f ca="1" t="shared" si="462"/>
        <v>150</v>
      </c>
      <c r="T1333" s="45">
        <f ca="1" t="shared" si="463"/>
        <v>24</v>
      </c>
      <c r="U1333" s="45">
        <f ca="1" t="shared" si="464"/>
        <v>200</v>
      </c>
      <c r="V1333" s="45">
        <f ca="1" t="shared" si="465"/>
        <v>64.2857142857143</v>
      </c>
    </row>
    <row r="1334" spans="2:22">
      <c r="B1334" s="11">
        <v>110</v>
      </c>
      <c r="C1334" s="1">
        <f ca="1">IF(养成规划!N67="",INDIRECT(ADDRESS(ROW()-1,COLUMN())),养成规划!N67)</f>
        <v>3</v>
      </c>
      <c r="D1334" s="1" t="str">
        <f>IF(养成规划!Q67="","",养成规划!Q67)</f>
        <v/>
      </c>
      <c r="E1334" s="1" t="str">
        <f ca="1" t="shared" si="451"/>
        <v/>
      </c>
      <c r="F1334" s="15">
        <f>'205_每日任务'!Q67</f>
        <v>9900</v>
      </c>
      <c r="G1334" s="15">
        <f ca="1">'206_副本挂机'!AC186</f>
        <v>2716.66666666667</v>
      </c>
      <c r="H1334" s="15">
        <f ca="1">'207_空投'!P67</f>
        <v>11408</v>
      </c>
      <c r="I1334" s="15">
        <f ca="1">'208_黑市'!AD67</f>
        <v>1995</v>
      </c>
      <c r="J1334" s="15">
        <f ca="1">'210_活动'!AM67</f>
        <v>16450</v>
      </c>
      <c r="K1334" s="15">
        <f ca="1">'212_VIP商店'!U67</f>
        <v>3535.71428571429</v>
      </c>
      <c r="L1334" s="1" t="str">
        <f ca="1" t="shared" si="458"/>
        <v/>
      </c>
      <c r="M1334" s="1">
        <f ca="1" t="shared" si="459"/>
        <v>42469.6666666667</v>
      </c>
      <c r="N1334" s="30"/>
      <c r="O1334" s="30"/>
      <c r="Q1334" s="45">
        <f t="shared" si="460"/>
        <v>90</v>
      </c>
      <c r="R1334" s="45">
        <f ca="1" t="shared" si="461"/>
        <v>33.3333333333334</v>
      </c>
      <c r="S1334" s="45">
        <f ca="1" t="shared" si="462"/>
        <v>150</v>
      </c>
      <c r="T1334" s="45">
        <f ca="1" t="shared" si="463"/>
        <v>24</v>
      </c>
      <c r="U1334" s="45">
        <f ca="1" t="shared" si="464"/>
        <v>200</v>
      </c>
      <c r="V1334" s="45">
        <f ca="1" t="shared" si="465"/>
        <v>64.2857142857143</v>
      </c>
    </row>
    <row r="1335" spans="2:22">
      <c r="B1335" s="11">
        <v>115</v>
      </c>
      <c r="C1335" s="1">
        <f ca="1">IF(养成规划!N68="",INDIRECT(ADDRESS(ROW()-1,COLUMN())),养成规划!N68)</f>
        <v>3</v>
      </c>
      <c r="D1335" s="1" t="str">
        <f>IF(养成规划!Q68="","",养成规划!Q68)</f>
        <v/>
      </c>
      <c r="E1335" s="1" t="str">
        <f ca="1" t="shared" si="451"/>
        <v/>
      </c>
      <c r="F1335" s="15">
        <f>'205_每日任务'!Q68</f>
        <v>10350</v>
      </c>
      <c r="G1335" s="15">
        <f ca="1">'206_副本挂机'!AC187</f>
        <v>2883.33333333334</v>
      </c>
      <c r="H1335" s="15">
        <f ca="1">'207_空投'!P68</f>
        <v>12158</v>
      </c>
      <c r="I1335" s="15">
        <f ca="1">'208_黑市'!AD68</f>
        <v>2115</v>
      </c>
      <c r="J1335" s="15">
        <f ca="1">'210_活动'!AM68</f>
        <v>17450</v>
      </c>
      <c r="K1335" s="15">
        <f ca="1">'212_VIP商店'!U68</f>
        <v>3857.14285714286</v>
      </c>
      <c r="L1335" s="1" t="str">
        <f ca="1" t="shared" si="458"/>
        <v/>
      </c>
      <c r="M1335" s="1">
        <f ca="1" t="shared" si="459"/>
        <v>44956.3333333333</v>
      </c>
      <c r="N1335" s="30"/>
      <c r="O1335" s="30"/>
      <c r="Q1335" s="45">
        <f t="shared" si="460"/>
        <v>90</v>
      </c>
      <c r="R1335" s="45">
        <f ca="1" t="shared" si="461"/>
        <v>33.3333333333334</v>
      </c>
      <c r="S1335" s="45">
        <f ca="1" t="shared" si="462"/>
        <v>150</v>
      </c>
      <c r="T1335" s="45">
        <f ca="1" t="shared" si="463"/>
        <v>24</v>
      </c>
      <c r="U1335" s="45">
        <f ca="1" t="shared" si="464"/>
        <v>200</v>
      </c>
      <c r="V1335" s="45">
        <f ca="1" t="shared" si="465"/>
        <v>64.2857142857143</v>
      </c>
    </row>
    <row r="1336" spans="2:22">
      <c r="B1336" s="11">
        <v>120</v>
      </c>
      <c r="C1336" s="1">
        <f ca="1">IF(养成规划!N69="",INDIRECT(ADDRESS(ROW()-1,COLUMN())),养成规划!N69)</f>
        <v>3</v>
      </c>
      <c r="D1336" s="1">
        <f>IF(养成规划!Q69="","",养成规划!Q69)</f>
        <v>307</v>
      </c>
      <c r="E1336" s="1">
        <f ca="1" t="shared" si="451"/>
        <v>84960</v>
      </c>
      <c r="F1336" s="15">
        <f>'205_每日任务'!Q69</f>
        <v>10800</v>
      </c>
      <c r="G1336" s="15">
        <f ca="1">'206_副本挂机'!AC188</f>
        <v>3050</v>
      </c>
      <c r="H1336" s="15">
        <f ca="1">'207_空投'!P69</f>
        <v>12908</v>
      </c>
      <c r="I1336" s="15">
        <f ca="1">'208_黑市'!AD69</f>
        <v>2235</v>
      </c>
      <c r="J1336" s="15">
        <f ca="1">'210_活动'!AM69</f>
        <v>18450</v>
      </c>
      <c r="K1336" s="15">
        <f ca="1">'212_VIP商店'!U69</f>
        <v>4178.57142857143</v>
      </c>
      <c r="L1336" s="1">
        <f ca="1" t="shared" si="458"/>
        <v>84960</v>
      </c>
      <c r="M1336" s="1">
        <f ca="1" t="shared" si="459"/>
        <v>47443</v>
      </c>
      <c r="N1336" s="30"/>
      <c r="O1336" s="30"/>
      <c r="Q1336" s="45">
        <f t="shared" si="460"/>
        <v>90</v>
      </c>
      <c r="R1336" s="45">
        <f ca="1" t="shared" si="461"/>
        <v>33.3333333333334</v>
      </c>
      <c r="S1336" s="45">
        <f ca="1" t="shared" si="462"/>
        <v>150</v>
      </c>
      <c r="T1336" s="45">
        <f ca="1" t="shared" si="463"/>
        <v>24</v>
      </c>
      <c r="U1336" s="45">
        <f ca="1" t="shared" si="464"/>
        <v>200</v>
      </c>
      <c r="V1336" s="45">
        <f ca="1" t="shared" si="465"/>
        <v>64.2857142857143</v>
      </c>
    </row>
    <row r="1337" spans="2:22">
      <c r="B1337" s="12">
        <v>150</v>
      </c>
      <c r="C1337" s="1">
        <f ca="1">IF(养成规划!N70="",INDIRECT(ADDRESS(ROW()-1,COLUMN())),养成规划!N70)</f>
        <v>3</v>
      </c>
      <c r="D1337" s="1">
        <f>IF(养成规划!Q70="","",养成规划!Q70)</f>
        <v>401</v>
      </c>
      <c r="E1337" s="1">
        <f ca="1" t="shared" si="451"/>
        <v>87660</v>
      </c>
      <c r="F1337" s="15">
        <f>'205_每日任务'!Q70</f>
        <v>13500</v>
      </c>
      <c r="G1337" s="15">
        <f ca="1">'206_副本挂机'!AC189</f>
        <v>4176.60000000001</v>
      </c>
      <c r="H1337" s="15">
        <f ca="1">'207_空投'!P70</f>
        <v>17408</v>
      </c>
      <c r="I1337" s="15">
        <f ca="1">'208_黑市'!AD70</f>
        <v>3135</v>
      </c>
      <c r="J1337" s="15">
        <f ca="1">'210_活动'!AM70</f>
        <v>25950</v>
      </c>
      <c r="K1337" s="15">
        <f ca="1">'212_VIP商店'!U70</f>
        <v>6107.14285714286</v>
      </c>
      <c r="L1337" s="1">
        <f ca="1" t="shared" ref="L1337:L1344" si="466">E1337</f>
        <v>87660</v>
      </c>
      <c r="M1337" s="1">
        <f ca="1" t="shared" ref="M1337:M1344" si="467">SUM(F1337:J1337)</f>
        <v>64169.6</v>
      </c>
      <c r="N1337" s="30"/>
      <c r="O1337" s="30"/>
      <c r="Q1337" s="45">
        <f t="shared" si="460"/>
        <v>90</v>
      </c>
      <c r="R1337" s="45">
        <f ca="1" t="shared" si="461"/>
        <v>37.5533333333334</v>
      </c>
      <c r="S1337" s="45">
        <f ca="1" t="shared" si="462"/>
        <v>150</v>
      </c>
      <c r="T1337" s="45">
        <f ca="1" t="shared" si="463"/>
        <v>30</v>
      </c>
      <c r="U1337" s="45">
        <f ca="1" t="shared" si="464"/>
        <v>250</v>
      </c>
      <c r="V1337" s="45">
        <f ca="1" t="shared" si="465"/>
        <v>64.2857142857143</v>
      </c>
    </row>
    <row r="1338" spans="2:22">
      <c r="B1338" s="12">
        <v>180</v>
      </c>
      <c r="C1338" s="1">
        <f ca="1">IF(养成规划!N71="",INDIRECT(ADDRESS(ROW()-1,COLUMN())),养成规划!N71)</f>
        <v>3</v>
      </c>
      <c r="D1338" s="1">
        <f>IF(养成规划!Q71="","",养成规划!Q71)</f>
        <v>402</v>
      </c>
      <c r="E1338" s="1">
        <f ca="1" t="shared" ref="E1338:E1344" si="468">IFERROR(C1338*OFFSET($R$1360,MATCH(D1338,$L$1360:$L$1384,0)-1,0),"")</f>
        <v>93060</v>
      </c>
      <c r="F1338" s="15">
        <f>'205_每日任务'!Q71</f>
        <v>16200</v>
      </c>
      <c r="G1338" s="15">
        <f ca="1">'206_副本挂机'!AC190</f>
        <v>5303.20000000001</v>
      </c>
      <c r="H1338" s="15">
        <f ca="1">'207_空投'!P71</f>
        <v>21908</v>
      </c>
      <c r="I1338" s="15">
        <f ca="1">'208_黑市'!AD71</f>
        <v>4035</v>
      </c>
      <c r="J1338" s="15">
        <f ca="1">'210_活动'!AM71</f>
        <v>33450</v>
      </c>
      <c r="K1338" s="15">
        <f ca="1">'212_VIP商店'!U71</f>
        <v>8035.71428571429</v>
      </c>
      <c r="L1338" s="1">
        <f ca="1" t="shared" si="466"/>
        <v>93060</v>
      </c>
      <c r="M1338" s="1">
        <f ca="1" t="shared" si="467"/>
        <v>80896.2</v>
      </c>
      <c r="N1338" s="30"/>
      <c r="O1338" s="30"/>
      <c r="Q1338" s="45">
        <f t="shared" ref="Q1338:Q1344" si="469">(F1338-F1337)/($B1338-$B1337)</f>
        <v>90</v>
      </c>
      <c r="R1338" s="45">
        <f ca="1" t="shared" ref="R1338:R1344" si="470">(G1338-G1337)/($B1338-$B1337)</f>
        <v>37.5533333333334</v>
      </c>
      <c r="S1338" s="45">
        <f ca="1" t="shared" ref="S1338:S1344" si="471">(H1338-H1337)/($B1338-$B1337)</f>
        <v>150</v>
      </c>
      <c r="T1338" s="45">
        <f ca="1" t="shared" ref="T1338:T1344" si="472">(I1338-I1337)/($B1338-$B1337)</f>
        <v>30</v>
      </c>
      <c r="U1338" s="45">
        <f ca="1" t="shared" ref="U1338:U1344" si="473">(J1338-J1337)/($B1338-$B1337)</f>
        <v>250</v>
      </c>
      <c r="V1338" s="45">
        <f ca="1" t="shared" ref="V1338:V1344" si="474">(K1338-K1337)/($B1338-$B1337)</f>
        <v>64.2857142857143</v>
      </c>
    </row>
    <row r="1339" spans="2:22">
      <c r="B1339" s="12">
        <v>210</v>
      </c>
      <c r="C1339" s="1">
        <f ca="1">IF(养成规划!N72="",INDIRECT(ADDRESS(ROW()-1,COLUMN())),养成规划!N72)</f>
        <v>3</v>
      </c>
      <c r="D1339" s="1">
        <f>IF(养成规划!Q72="","",养成规划!Q72)</f>
        <v>403</v>
      </c>
      <c r="E1339" s="1">
        <f ca="1" t="shared" si="468"/>
        <v>103860</v>
      </c>
      <c r="F1339" s="15">
        <f>'205_每日任务'!Q72</f>
        <v>18900</v>
      </c>
      <c r="G1339" s="15">
        <f ca="1">'206_副本挂机'!AC191</f>
        <v>6573.80000000001</v>
      </c>
      <c r="H1339" s="15">
        <f ca="1">'207_空投'!P72</f>
        <v>26408</v>
      </c>
      <c r="I1339" s="15">
        <f ca="1">'208_黑市'!AD72</f>
        <v>4935</v>
      </c>
      <c r="J1339" s="15">
        <f ca="1">'210_活动'!AM72</f>
        <v>40950</v>
      </c>
      <c r="K1339" s="15">
        <f ca="1">'212_VIP商店'!U72</f>
        <v>9964.28571428572</v>
      </c>
      <c r="L1339" s="1">
        <f ca="1" t="shared" si="466"/>
        <v>103860</v>
      </c>
      <c r="M1339" s="1">
        <f ca="1" t="shared" si="467"/>
        <v>97766.8</v>
      </c>
      <c r="N1339" s="30"/>
      <c r="O1339" s="30"/>
      <c r="Q1339" s="45">
        <f t="shared" si="469"/>
        <v>90</v>
      </c>
      <c r="R1339" s="45">
        <f ca="1" t="shared" si="470"/>
        <v>42.3533333333334</v>
      </c>
      <c r="S1339" s="45">
        <f ca="1" t="shared" si="471"/>
        <v>150</v>
      </c>
      <c r="T1339" s="45">
        <f ca="1" t="shared" si="472"/>
        <v>30</v>
      </c>
      <c r="U1339" s="45">
        <f ca="1" t="shared" si="473"/>
        <v>250</v>
      </c>
      <c r="V1339" s="45">
        <f ca="1" t="shared" si="474"/>
        <v>64.2857142857143</v>
      </c>
    </row>
    <row r="1340" spans="2:22">
      <c r="B1340" s="12">
        <v>240</v>
      </c>
      <c r="C1340" s="1">
        <f ca="1">IF(养成规划!N73="",INDIRECT(ADDRESS(ROW()-1,COLUMN())),养成规划!N73)</f>
        <v>3</v>
      </c>
      <c r="D1340" s="1">
        <f>IF(养成规划!Q73="","",养成规划!Q73)</f>
        <v>404</v>
      </c>
      <c r="E1340" s="1">
        <f ca="1" t="shared" si="468"/>
        <v>120060</v>
      </c>
      <c r="F1340" s="15">
        <f>'205_每日任务'!Q73</f>
        <v>21600</v>
      </c>
      <c r="G1340" s="15">
        <f ca="1">'206_副本挂机'!AC192</f>
        <v>7844.40000000002</v>
      </c>
      <c r="H1340" s="15">
        <f ca="1">'207_空投'!P73</f>
        <v>30908</v>
      </c>
      <c r="I1340" s="15">
        <f ca="1">'208_黑市'!AD73</f>
        <v>5835</v>
      </c>
      <c r="J1340" s="15">
        <f ca="1">'210_活动'!AM73</f>
        <v>48450</v>
      </c>
      <c r="K1340" s="15">
        <f ca="1">'212_VIP商店'!U73</f>
        <v>11892.8571428571</v>
      </c>
      <c r="L1340" s="1">
        <f ca="1" t="shared" si="466"/>
        <v>120060</v>
      </c>
      <c r="M1340" s="1">
        <f ca="1" t="shared" si="467"/>
        <v>114637.4</v>
      </c>
      <c r="N1340" s="30"/>
      <c r="O1340" s="30"/>
      <c r="Q1340" s="45">
        <f t="shared" si="469"/>
        <v>90</v>
      </c>
      <c r="R1340" s="45">
        <f ca="1" t="shared" si="470"/>
        <v>42.3533333333334</v>
      </c>
      <c r="S1340" s="45">
        <f ca="1" t="shared" si="471"/>
        <v>150</v>
      </c>
      <c r="T1340" s="45">
        <f ca="1" t="shared" si="472"/>
        <v>30</v>
      </c>
      <c r="U1340" s="45">
        <f ca="1" t="shared" si="473"/>
        <v>250</v>
      </c>
      <c r="V1340" s="45">
        <f ca="1" t="shared" si="474"/>
        <v>64.2857142857143</v>
      </c>
    </row>
    <row r="1341" spans="2:22">
      <c r="B1341" s="12">
        <v>270</v>
      </c>
      <c r="C1341" s="1">
        <f ca="1">IF(养成规划!N74="",INDIRECT(ADDRESS(ROW()-1,COLUMN())),养成规划!N74)</f>
        <v>3</v>
      </c>
      <c r="D1341" s="1">
        <f>IF(养成规划!Q74="","",养成规划!Q74)</f>
        <v>405</v>
      </c>
      <c r="E1341" s="1">
        <f ca="1" t="shared" si="468"/>
        <v>141660</v>
      </c>
      <c r="F1341" s="15">
        <f>'205_每日任务'!Q74</f>
        <v>24300</v>
      </c>
      <c r="G1341" s="15">
        <f ca="1">'206_副本挂机'!AC193</f>
        <v>9331.00000000002</v>
      </c>
      <c r="H1341" s="15">
        <f ca="1">'207_空投'!P74</f>
        <v>35408</v>
      </c>
      <c r="I1341" s="15">
        <f ca="1">'208_黑市'!AD74</f>
        <v>6735</v>
      </c>
      <c r="J1341" s="15">
        <f ca="1">'210_活动'!AM74</f>
        <v>55950</v>
      </c>
      <c r="K1341" s="15">
        <f ca="1">'212_VIP商店'!U74</f>
        <v>13821.4285714286</v>
      </c>
      <c r="L1341" s="1">
        <f ca="1" t="shared" si="466"/>
        <v>141660</v>
      </c>
      <c r="M1341" s="1">
        <f ca="1" t="shared" si="467"/>
        <v>131724</v>
      </c>
      <c r="N1341" s="30"/>
      <c r="O1341" s="30"/>
      <c r="Q1341" s="45">
        <f t="shared" si="469"/>
        <v>90</v>
      </c>
      <c r="R1341" s="45">
        <f ca="1" t="shared" si="470"/>
        <v>49.5533333333334</v>
      </c>
      <c r="S1341" s="45">
        <f ca="1" t="shared" si="471"/>
        <v>150</v>
      </c>
      <c r="T1341" s="45">
        <f ca="1" t="shared" si="472"/>
        <v>30</v>
      </c>
      <c r="U1341" s="45">
        <f ca="1" t="shared" si="473"/>
        <v>250</v>
      </c>
      <c r="V1341" s="45">
        <f ca="1" t="shared" si="474"/>
        <v>64.2857142857143</v>
      </c>
    </row>
    <row r="1342" spans="2:22">
      <c r="B1342" s="12">
        <v>300</v>
      </c>
      <c r="C1342" s="1">
        <f ca="1">IF(养成规划!N75="",INDIRECT(ADDRESS(ROW()-1,COLUMN())),养成规划!N75)</f>
        <v>3</v>
      </c>
      <c r="D1342" s="1">
        <f>IF(养成规划!Q75="","",养成规划!Q75)</f>
        <v>406</v>
      </c>
      <c r="E1342" s="1">
        <f ca="1" t="shared" si="468"/>
        <v>168660</v>
      </c>
      <c r="F1342" s="15">
        <f>'205_每日任务'!Q75</f>
        <v>27000</v>
      </c>
      <c r="G1342" s="15">
        <f ca="1">'206_副本挂机'!AC194</f>
        <v>10817.6</v>
      </c>
      <c r="H1342" s="15">
        <f ca="1">'207_空投'!P75</f>
        <v>39908</v>
      </c>
      <c r="I1342" s="15">
        <f ca="1">'208_黑市'!AD75</f>
        <v>7635</v>
      </c>
      <c r="J1342" s="15">
        <f ca="1">'210_活动'!AM75</f>
        <v>63450</v>
      </c>
      <c r="K1342" s="15">
        <f ca="1">'212_VIP商店'!U75</f>
        <v>15750</v>
      </c>
      <c r="L1342" s="1">
        <f ca="1" t="shared" si="466"/>
        <v>168660</v>
      </c>
      <c r="M1342" s="1">
        <f ca="1" t="shared" si="467"/>
        <v>148810.6</v>
      </c>
      <c r="N1342" s="30"/>
      <c r="O1342" s="30"/>
      <c r="Q1342" s="45">
        <f t="shared" si="469"/>
        <v>90</v>
      </c>
      <c r="R1342" s="45">
        <f ca="1" t="shared" si="470"/>
        <v>49.5533333333335</v>
      </c>
      <c r="S1342" s="45">
        <f ca="1" t="shared" si="471"/>
        <v>150</v>
      </c>
      <c r="T1342" s="45">
        <f ca="1" t="shared" si="472"/>
        <v>30</v>
      </c>
      <c r="U1342" s="45">
        <f ca="1" t="shared" si="473"/>
        <v>250</v>
      </c>
      <c r="V1342" s="45">
        <f ca="1" t="shared" si="474"/>
        <v>64.2857142857143</v>
      </c>
    </row>
    <row r="1343" spans="2:22">
      <c r="B1343" s="12">
        <v>330</v>
      </c>
      <c r="C1343" s="1">
        <f ca="1">IF(养成规划!N76="",INDIRECT(ADDRESS(ROW()-1,COLUMN())),养成规划!N76)</f>
        <v>3</v>
      </c>
      <c r="D1343" s="1">
        <f>IF(养成规划!Q76="","",养成规划!Q76)</f>
        <v>407</v>
      </c>
      <c r="E1343" s="1">
        <f ca="1" t="shared" si="468"/>
        <v>204660</v>
      </c>
      <c r="F1343" s="15">
        <f>'205_每日任务'!Q76</f>
        <v>29700</v>
      </c>
      <c r="G1343" s="15">
        <f ca="1">'206_副本挂机'!AC195</f>
        <v>12520.2</v>
      </c>
      <c r="H1343" s="15">
        <f ca="1">'207_空投'!P76</f>
        <v>44408</v>
      </c>
      <c r="I1343" s="15">
        <f ca="1">'208_黑市'!AD76</f>
        <v>8535</v>
      </c>
      <c r="J1343" s="15">
        <f ca="1">'210_活动'!AM76</f>
        <v>70950</v>
      </c>
      <c r="K1343" s="15">
        <f ca="1">'212_VIP商店'!U76</f>
        <v>17678.5714285714</v>
      </c>
      <c r="L1343" s="1">
        <f ca="1" t="shared" si="466"/>
        <v>204660</v>
      </c>
      <c r="M1343" s="1">
        <f ca="1" t="shared" si="467"/>
        <v>166113.2</v>
      </c>
      <c r="N1343" s="30"/>
      <c r="O1343" s="30"/>
      <c r="Q1343" s="45">
        <f t="shared" si="469"/>
        <v>90</v>
      </c>
      <c r="R1343" s="45">
        <f ca="1" t="shared" si="470"/>
        <v>56.7533333333335</v>
      </c>
      <c r="S1343" s="45">
        <f ca="1" t="shared" si="471"/>
        <v>150</v>
      </c>
      <c r="T1343" s="45">
        <f ca="1" t="shared" si="472"/>
        <v>30</v>
      </c>
      <c r="U1343" s="45">
        <f ca="1" t="shared" si="473"/>
        <v>250</v>
      </c>
      <c r="V1343" s="45">
        <f ca="1" t="shared" si="474"/>
        <v>64.2857142857143</v>
      </c>
    </row>
    <row r="1344" spans="2:22">
      <c r="B1344" s="12">
        <v>360</v>
      </c>
      <c r="C1344" s="1">
        <f ca="1">IF(养成规划!N77="",INDIRECT(ADDRESS(ROW()-1,COLUMN())),养成规划!N77)</f>
        <v>3</v>
      </c>
      <c r="D1344" s="1">
        <f>IF(养成规划!Q77="","",养成规划!Q77)</f>
        <v>408</v>
      </c>
      <c r="E1344" s="1">
        <f ca="1" t="shared" si="468"/>
        <v>249660</v>
      </c>
      <c r="F1344" s="15">
        <f>'205_每日任务'!Q77</f>
        <v>32400</v>
      </c>
      <c r="G1344" s="15">
        <f ca="1">'206_副本挂机'!AC196</f>
        <v>14222.8</v>
      </c>
      <c r="H1344" s="15">
        <f ca="1">'207_空投'!P77</f>
        <v>48908</v>
      </c>
      <c r="I1344" s="15">
        <f ca="1">'208_黑市'!AD77</f>
        <v>9435</v>
      </c>
      <c r="J1344" s="15">
        <f ca="1">'210_活动'!AM77</f>
        <v>78450</v>
      </c>
      <c r="K1344" s="15">
        <f ca="1">'212_VIP商店'!U77</f>
        <v>19607.1428571429</v>
      </c>
      <c r="L1344" s="1">
        <f ca="1" t="shared" si="466"/>
        <v>249660</v>
      </c>
      <c r="M1344" s="1">
        <f ca="1" t="shared" si="467"/>
        <v>183415.8</v>
      </c>
      <c r="N1344" s="30"/>
      <c r="O1344" s="30"/>
      <c r="Q1344" s="45">
        <f t="shared" si="469"/>
        <v>90</v>
      </c>
      <c r="R1344" s="45">
        <f ca="1" t="shared" si="470"/>
        <v>56.7533333333335</v>
      </c>
      <c r="S1344" s="45">
        <f ca="1" t="shared" si="471"/>
        <v>150</v>
      </c>
      <c r="T1344" s="45">
        <f ca="1" t="shared" si="472"/>
        <v>30</v>
      </c>
      <c r="U1344" s="45">
        <f ca="1" t="shared" si="473"/>
        <v>250</v>
      </c>
      <c r="V1344" s="45">
        <f ca="1" t="shared" si="474"/>
        <v>64.2857142857142</v>
      </c>
    </row>
    <row r="1347" spans="5:5">
      <c r="E1347" s="8"/>
    </row>
    <row r="1348" s="25" customFormat="1" spans="1:5">
      <c r="A1348" s="2" t="s">
        <v>457</v>
      </c>
      <c r="B1348" s="2"/>
      <c r="C1348" s="41" t="s">
        <v>436</v>
      </c>
      <c r="E1348" s="41"/>
    </row>
    <row r="1350" spans="2:15">
      <c r="B1350" s="27" t="s">
        <v>1093</v>
      </c>
      <c r="C1350" s="27"/>
      <c r="D1350" s="27"/>
      <c r="E1350" s="27"/>
      <c r="F1350" s="27"/>
      <c r="G1350" s="27"/>
      <c r="H1350" s="27"/>
      <c r="I1350" s="27"/>
      <c r="J1350" s="27"/>
      <c r="K1350" s="27"/>
      <c r="L1350" s="73"/>
      <c r="M1350" s="73"/>
      <c r="N1350" s="73"/>
      <c r="O1350" s="73"/>
    </row>
    <row r="1352" spans="2:15">
      <c r="B1352" s="1" t="s">
        <v>1094</v>
      </c>
      <c r="E1352" s="30">
        <v>6</v>
      </c>
      <c r="L1352" s="1" t="s">
        <v>1095</v>
      </c>
      <c r="O1352" s="30">
        <v>6</v>
      </c>
    </row>
    <row r="1354" spans="2:16">
      <c r="B1354" s="1" t="s">
        <v>1057</v>
      </c>
      <c r="E1354" s="1">
        <f>总规划!$D$110</f>
        <v>60</v>
      </c>
      <c r="F1354" s="1" t="str">
        <f>总规划!$C$110</f>
        <v>1k零件</v>
      </c>
      <c r="L1354" s="1" t="s">
        <v>1077</v>
      </c>
      <c r="O1354" s="1">
        <f>总规划!$D$120</f>
        <v>30</v>
      </c>
      <c r="P1354" s="1" t="str">
        <f>总规划!$C$110</f>
        <v>1k零件</v>
      </c>
    </row>
    <row r="1355" spans="2:15">
      <c r="B1355" s="1" t="s">
        <v>1096</v>
      </c>
      <c r="E1355" s="72">
        <v>5000</v>
      </c>
      <c r="L1355" s="1" t="s">
        <v>1096</v>
      </c>
      <c r="O1355" s="72">
        <v>5000</v>
      </c>
    </row>
    <row r="1357" spans="2:15">
      <c r="B1357" s="27" t="s">
        <v>1051</v>
      </c>
      <c r="C1357" s="27"/>
      <c r="D1357" s="27"/>
      <c r="E1357" s="27"/>
      <c r="F1357" s="27"/>
      <c r="G1357" s="27"/>
      <c r="H1357" s="27"/>
      <c r="I1357" s="27"/>
      <c r="J1357" s="27"/>
      <c r="K1357" s="27"/>
      <c r="L1357" s="73"/>
      <c r="M1357" s="73"/>
      <c r="N1357" s="73"/>
      <c r="O1357" s="73"/>
    </row>
    <row r="1359" spans="2:18">
      <c r="B1359" s="1" t="s">
        <v>1097</v>
      </c>
      <c r="C1359" s="1" t="s">
        <v>880</v>
      </c>
      <c r="D1359" s="1" t="s">
        <v>1098</v>
      </c>
      <c r="E1359" s="1" t="s">
        <v>1051</v>
      </c>
      <c r="F1359" s="4" t="s">
        <v>1099</v>
      </c>
      <c r="G1359" s="1" t="s">
        <v>1100</v>
      </c>
      <c r="H1359" s="1" t="s">
        <v>1101</v>
      </c>
      <c r="L1359" s="1" t="s">
        <v>1097</v>
      </c>
      <c r="M1359" s="1" t="s">
        <v>880</v>
      </c>
      <c r="N1359" s="1" t="s">
        <v>1098</v>
      </c>
      <c r="O1359" s="1" t="s">
        <v>1051</v>
      </c>
      <c r="P1359" s="4" t="s">
        <v>1099</v>
      </c>
      <c r="Q1359" s="1" t="s">
        <v>1100</v>
      </c>
      <c r="R1359" s="1" t="s">
        <v>1101</v>
      </c>
    </row>
    <row r="1360" spans="2:18">
      <c r="B1360" s="1">
        <f>C1360*100+D1360</f>
        <v>101</v>
      </c>
      <c r="C1360" s="1">
        <v>1</v>
      </c>
      <c r="D1360" s="1">
        <v>1</v>
      </c>
      <c r="E1360" s="56">
        <v>0.004</v>
      </c>
      <c r="F1360" s="4">
        <f t="shared" ref="F1360:F1384" si="475">E1360*$E$1355</f>
        <v>20</v>
      </c>
      <c r="G1360" s="1">
        <f t="shared" ref="G1360:G1384" si="476">F1360*$E$1352</f>
        <v>120</v>
      </c>
      <c r="H1360" s="1">
        <f>G1360</f>
        <v>120</v>
      </c>
      <c r="L1360" s="1">
        <f>M1360*100+N1360</f>
        <v>101</v>
      </c>
      <c r="M1360" s="1">
        <v>1</v>
      </c>
      <c r="N1360" s="1">
        <v>1</v>
      </c>
      <c r="O1360" s="56">
        <v>0.004</v>
      </c>
      <c r="P1360" s="4">
        <f>O1360*$O$1355</f>
        <v>20</v>
      </c>
      <c r="Q1360" s="1">
        <f>P1360*$O$1352</f>
        <v>120</v>
      </c>
      <c r="R1360" s="1">
        <f>Q1360</f>
        <v>120</v>
      </c>
    </row>
    <row r="1361" spans="2:18">
      <c r="B1361" s="1">
        <f t="shared" ref="B1361:B1384" si="477">C1361*100+D1361</f>
        <v>102</v>
      </c>
      <c r="C1361" s="1">
        <v>1</v>
      </c>
      <c r="D1361" s="1">
        <v>2</v>
      </c>
      <c r="E1361" s="56">
        <v>0.01</v>
      </c>
      <c r="F1361" s="4">
        <f t="shared" si="475"/>
        <v>50</v>
      </c>
      <c r="G1361" s="1">
        <f t="shared" si="476"/>
        <v>300</v>
      </c>
      <c r="H1361" s="1">
        <f>H1360+G1361</f>
        <v>420</v>
      </c>
      <c r="L1361" s="1">
        <f t="shared" ref="L1361:L1384" si="478">M1361*100+N1361</f>
        <v>102</v>
      </c>
      <c r="M1361" s="1">
        <v>1</v>
      </c>
      <c r="N1361" s="1">
        <v>2</v>
      </c>
      <c r="O1361" s="56">
        <v>0.01</v>
      </c>
      <c r="P1361" s="4">
        <f t="shared" ref="P1361:P1384" si="479">O1361*$O$1355</f>
        <v>50</v>
      </c>
      <c r="Q1361" s="1">
        <f t="shared" ref="Q1361:Q1384" si="480">P1361*$O$1352</f>
        <v>300</v>
      </c>
      <c r="R1361" s="1">
        <f>R1360+Q1361</f>
        <v>420</v>
      </c>
    </row>
    <row r="1362" spans="2:18">
      <c r="B1362" s="1">
        <f t="shared" si="477"/>
        <v>103</v>
      </c>
      <c r="C1362" s="1">
        <v>1</v>
      </c>
      <c r="D1362" s="1">
        <v>3</v>
      </c>
      <c r="E1362" s="56">
        <v>0.02</v>
      </c>
      <c r="F1362" s="4">
        <f t="shared" si="475"/>
        <v>100</v>
      </c>
      <c r="G1362" s="1">
        <f t="shared" si="476"/>
        <v>600</v>
      </c>
      <c r="H1362" s="1">
        <f t="shared" ref="H1362:H1384" si="481">H1361+G1362</f>
        <v>1020</v>
      </c>
      <c r="L1362" s="1">
        <f t="shared" si="478"/>
        <v>103</v>
      </c>
      <c r="M1362" s="1">
        <v>1</v>
      </c>
      <c r="N1362" s="1">
        <v>3</v>
      </c>
      <c r="O1362" s="56">
        <v>0.02</v>
      </c>
      <c r="P1362" s="4">
        <f t="shared" si="479"/>
        <v>100</v>
      </c>
      <c r="Q1362" s="1">
        <f t="shared" si="480"/>
        <v>600</v>
      </c>
      <c r="R1362" s="1">
        <f t="shared" ref="R1362:R1384" si="482">R1361+Q1362</f>
        <v>1020</v>
      </c>
    </row>
    <row r="1363" spans="2:18">
      <c r="B1363" s="1">
        <f t="shared" si="477"/>
        <v>201</v>
      </c>
      <c r="C1363" s="1">
        <v>2</v>
      </c>
      <c r="D1363" s="1">
        <v>1</v>
      </c>
      <c r="E1363" s="56">
        <v>0.01</v>
      </c>
      <c r="F1363" s="4">
        <f t="shared" si="475"/>
        <v>50</v>
      </c>
      <c r="G1363" s="1">
        <f t="shared" si="476"/>
        <v>300</v>
      </c>
      <c r="H1363" s="1">
        <f t="shared" si="481"/>
        <v>1320</v>
      </c>
      <c r="L1363" s="1">
        <f t="shared" si="478"/>
        <v>201</v>
      </c>
      <c r="M1363" s="1">
        <v>2</v>
      </c>
      <c r="N1363" s="1">
        <v>1</v>
      </c>
      <c r="O1363" s="56">
        <v>0.01</v>
      </c>
      <c r="P1363" s="4">
        <f t="shared" si="479"/>
        <v>50</v>
      </c>
      <c r="Q1363" s="1">
        <f t="shared" si="480"/>
        <v>300</v>
      </c>
      <c r="R1363" s="1">
        <f t="shared" si="482"/>
        <v>1320</v>
      </c>
    </row>
    <row r="1364" spans="2:18">
      <c r="B1364" s="1">
        <f t="shared" si="477"/>
        <v>202</v>
      </c>
      <c r="C1364" s="1">
        <v>2</v>
      </c>
      <c r="D1364" s="1">
        <v>2</v>
      </c>
      <c r="E1364" s="56">
        <v>0.02</v>
      </c>
      <c r="F1364" s="4">
        <f t="shared" si="475"/>
        <v>100</v>
      </c>
      <c r="G1364" s="1">
        <f t="shared" si="476"/>
        <v>600</v>
      </c>
      <c r="H1364" s="1">
        <f t="shared" si="481"/>
        <v>1920</v>
      </c>
      <c r="L1364" s="1">
        <f t="shared" si="478"/>
        <v>202</v>
      </c>
      <c r="M1364" s="1">
        <v>2</v>
      </c>
      <c r="N1364" s="1">
        <v>2</v>
      </c>
      <c r="O1364" s="56">
        <v>0.02</v>
      </c>
      <c r="P1364" s="4">
        <f t="shared" si="479"/>
        <v>100</v>
      </c>
      <c r="Q1364" s="1">
        <f t="shared" si="480"/>
        <v>600</v>
      </c>
      <c r="R1364" s="1">
        <f t="shared" si="482"/>
        <v>1920</v>
      </c>
    </row>
    <row r="1365" spans="2:18">
      <c r="B1365" s="1">
        <f t="shared" si="477"/>
        <v>203</v>
      </c>
      <c r="C1365" s="1">
        <v>2</v>
      </c>
      <c r="D1365" s="1">
        <v>3</v>
      </c>
      <c r="E1365" s="56">
        <v>0.03</v>
      </c>
      <c r="F1365" s="4">
        <f t="shared" si="475"/>
        <v>150</v>
      </c>
      <c r="G1365" s="1">
        <f t="shared" si="476"/>
        <v>900</v>
      </c>
      <c r="H1365" s="1">
        <f t="shared" si="481"/>
        <v>2820</v>
      </c>
      <c r="L1365" s="1">
        <f t="shared" si="478"/>
        <v>203</v>
      </c>
      <c r="M1365" s="1">
        <v>2</v>
      </c>
      <c r="N1365" s="1">
        <v>3</v>
      </c>
      <c r="O1365" s="56">
        <v>0.03</v>
      </c>
      <c r="P1365" s="4">
        <f t="shared" si="479"/>
        <v>150</v>
      </c>
      <c r="Q1365" s="1">
        <f t="shared" si="480"/>
        <v>900</v>
      </c>
      <c r="R1365" s="1">
        <f t="shared" si="482"/>
        <v>2820</v>
      </c>
    </row>
    <row r="1366" spans="2:18">
      <c r="B1366" s="1">
        <f t="shared" si="477"/>
        <v>204</v>
      </c>
      <c r="C1366" s="1">
        <v>2</v>
      </c>
      <c r="D1366" s="1">
        <v>4</v>
      </c>
      <c r="E1366" s="56">
        <v>0.04</v>
      </c>
      <c r="F1366" s="4">
        <f t="shared" si="475"/>
        <v>200</v>
      </c>
      <c r="G1366" s="1">
        <f t="shared" si="476"/>
        <v>1200</v>
      </c>
      <c r="H1366" s="1">
        <f t="shared" si="481"/>
        <v>4020</v>
      </c>
      <c r="L1366" s="1">
        <f t="shared" si="478"/>
        <v>204</v>
      </c>
      <c r="M1366" s="1">
        <v>2</v>
      </c>
      <c r="N1366" s="1">
        <v>4</v>
      </c>
      <c r="O1366" s="56">
        <v>0.04</v>
      </c>
      <c r="P1366" s="4">
        <f t="shared" si="479"/>
        <v>200</v>
      </c>
      <c r="Q1366" s="1">
        <f t="shared" si="480"/>
        <v>1200</v>
      </c>
      <c r="R1366" s="1">
        <f t="shared" si="482"/>
        <v>4020</v>
      </c>
    </row>
    <row r="1367" spans="2:18">
      <c r="B1367" s="1">
        <f t="shared" si="477"/>
        <v>205</v>
      </c>
      <c r="C1367" s="1">
        <v>2</v>
      </c>
      <c r="D1367" s="1">
        <v>5</v>
      </c>
      <c r="E1367" s="56">
        <v>0.05</v>
      </c>
      <c r="F1367" s="4">
        <f t="shared" si="475"/>
        <v>250</v>
      </c>
      <c r="G1367" s="1">
        <f t="shared" si="476"/>
        <v>1500</v>
      </c>
      <c r="H1367" s="1">
        <f t="shared" si="481"/>
        <v>5520</v>
      </c>
      <c r="L1367" s="1">
        <f t="shared" si="478"/>
        <v>205</v>
      </c>
      <c r="M1367" s="1">
        <v>2</v>
      </c>
      <c r="N1367" s="1">
        <v>5</v>
      </c>
      <c r="O1367" s="56">
        <v>0.05</v>
      </c>
      <c r="P1367" s="4">
        <f t="shared" si="479"/>
        <v>250</v>
      </c>
      <c r="Q1367" s="1">
        <f t="shared" si="480"/>
        <v>1500</v>
      </c>
      <c r="R1367" s="1">
        <f t="shared" si="482"/>
        <v>5520</v>
      </c>
    </row>
    <row r="1368" spans="2:18">
      <c r="B1368" s="1">
        <f t="shared" si="477"/>
        <v>301</v>
      </c>
      <c r="C1368" s="1">
        <v>3</v>
      </c>
      <c r="D1368" s="1">
        <v>1</v>
      </c>
      <c r="E1368" s="56">
        <v>0.02</v>
      </c>
      <c r="F1368" s="4">
        <f t="shared" si="475"/>
        <v>100</v>
      </c>
      <c r="G1368" s="1">
        <f t="shared" si="476"/>
        <v>600</v>
      </c>
      <c r="H1368" s="1">
        <f t="shared" si="481"/>
        <v>6120</v>
      </c>
      <c r="L1368" s="1">
        <f t="shared" si="478"/>
        <v>301</v>
      </c>
      <c r="M1368" s="1">
        <v>3</v>
      </c>
      <c r="N1368" s="1">
        <v>1</v>
      </c>
      <c r="O1368" s="56">
        <v>0.02</v>
      </c>
      <c r="P1368" s="4">
        <f t="shared" si="479"/>
        <v>100</v>
      </c>
      <c r="Q1368" s="1">
        <f t="shared" si="480"/>
        <v>600</v>
      </c>
      <c r="R1368" s="1">
        <f t="shared" si="482"/>
        <v>6120</v>
      </c>
    </row>
    <row r="1369" spans="2:18">
      <c r="B1369" s="1">
        <f t="shared" si="477"/>
        <v>302</v>
      </c>
      <c r="C1369" s="1">
        <v>3</v>
      </c>
      <c r="D1369" s="1">
        <v>2</v>
      </c>
      <c r="E1369" s="56">
        <v>0.04</v>
      </c>
      <c r="F1369" s="4">
        <f t="shared" si="475"/>
        <v>200</v>
      </c>
      <c r="G1369" s="1">
        <f t="shared" si="476"/>
        <v>1200</v>
      </c>
      <c r="H1369" s="1">
        <f t="shared" si="481"/>
        <v>7320</v>
      </c>
      <c r="L1369" s="1">
        <f t="shared" si="478"/>
        <v>302</v>
      </c>
      <c r="M1369" s="1">
        <v>3</v>
      </c>
      <c r="N1369" s="1">
        <v>2</v>
      </c>
      <c r="O1369" s="56">
        <v>0.04</v>
      </c>
      <c r="P1369" s="4">
        <f t="shared" si="479"/>
        <v>200</v>
      </c>
      <c r="Q1369" s="1">
        <f t="shared" si="480"/>
        <v>1200</v>
      </c>
      <c r="R1369" s="1">
        <f t="shared" si="482"/>
        <v>7320</v>
      </c>
    </row>
    <row r="1370" spans="2:18">
      <c r="B1370" s="1">
        <f t="shared" si="477"/>
        <v>303</v>
      </c>
      <c r="C1370" s="1">
        <v>3</v>
      </c>
      <c r="D1370" s="1">
        <v>3</v>
      </c>
      <c r="E1370" s="56">
        <v>0.06</v>
      </c>
      <c r="F1370" s="4">
        <f t="shared" si="475"/>
        <v>300</v>
      </c>
      <c r="G1370" s="1">
        <f t="shared" si="476"/>
        <v>1800</v>
      </c>
      <c r="H1370" s="1">
        <f t="shared" si="481"/>
        <v>9120</v>
      </c>
      <c r="L1370" s="1">
        <f t="shared" si="478"/>
        <v>303</v>
      </c>
      <c r="M1370" s="1">
        <v>3</v>
      </c>
      <c r="N1370" s="1">
        <v>3</v>
      </c>
      <c r="O1370" s="56">
        <v>0.06</v>
      </c>
      <c r="P1370" s="4">
        <f t="shared" si="479"/>
        <v>300</v>
      </c>
      <c r="Q1370" s="1">
        <f t="shared" si="480"/>
        <v>1800</v>
      </c>
      <c r="R1370" s="1">
        <f t="shared" si="482"/>
        <v>9120</v>
      </c>
    </row>
    <row r="1371" spans="2:18">
      <c r="B1371" s="1">
        <f t="shared" si="477"/>
        <v>304</v>
      </c>
      <c r="C1371" s="1">
        <v>3</v>
      </c>
      <c r="D1371" s="1">
        <v>4</v>
      </c>
      <c r="E1371" s="56">
        <v>0.09</v>
      </c>
      <c r="F1371" s="4">
        <f t="shared" si="475"/>
        <v>450</v>
      </c>
      <c r="G1371" s="1">
        <f t="shared" si="476"/>
        <v>2700</v>
      </c>
      <c r="H1371" s="1">
        <f t="shared" si="481"/>
        <v>11820</v>
      </c>
      <c r="L1371" s="1">
        <f t="shared" si="478"/>
        <v>304</v>
      </c>
      <c r="M1371" s="1">
        <v>3</v>
      </c>
      <c r="N1371" s="1">
        <v>4</v>
      </c>
      <c r="O1371" s="56">
        <v>0.09</v>
      </c>
      <c r="P1371" s="4">
        <f t="shared" si="479"/>
        <v>450</v>
      </c>
      <c r="Q1371" s="1">
        <f t="shared" si="480"/>
        <v>2700</v>
      </c>
      <c r="R1371" s="1">
        <f t="shared" si="482"/>
        <v>11820</v>
      </c>
    </row>
    <row r="1372" spans="2:18">
      <c r="B1372" s="1">
        <f t="shared" si="477"/>
        <v>305</v>
      </c>
      <c r="C1372" s="1">
        <v>3</v>
      </c>
      <c r="D1372" s="1">
        <v>5</v>
      </c>
      <c r="E1372" s="56">
        <v>0.12</v>
      </c>
      <c r="F1372" s="4">
        <f t="shared" si="475"/>
        <v>600</v>
      </c>
      <c r="G1372" s="1">
        <f t="shared" si="476"/>
        <v>3600</v>
      </c>
      <c r="H1372" s="1">
        <f t="shared" si="481"/>
        <v>15420</v>
      </c>
      <c r="L1372" s="1">
        <f t="shared" si="478"/>
        <v>305</v>
      </c>
      <c r="M1372" s="1">
        <v>3</v>
      </c>
      <c r="N1372" s="1">
        <v>5</v>
      </c>
      <c r="O1372" s="56">
        <v>0.12</v>
      </c>
      <c r="P1372" s="4">
        <f t="shared" si="479"/>
        <v>600</v>
      </c>
      <c r="Q1372" s="1">
        <f t="shared" si="480"/>
        <v>3600</v>
      </c>
      <c r="R1372" s="1">
        <f t="shared" si="482"/>
        <v>15420</v>
      </c>
    </row>
    <row r="1373" spans="2:18">
      <c r="B1373" s="1">
        <f t="shared" si="477"/>
        <v>306</v>
      </c>
      <c r="C1373" s="1">
        <v>3</v>
      </c>
      <c r="D1373" s="1">
        <v>6</v>
      </c>
      <c r="E1373" s="56">
        <v>0.18</v>
      </c>
      <c r="F1373" s="4">
        <f t="shared" si="475"/>
        <v>900</v>
      </c>
      <c r="G1373" s="1">
        <f t="shared" si="476"/>
        <v>5400</v>
      </c>
      <c r="H1373" s="1">
        <f t="shared" si="481"/>
        <v>20820</v>
      </c>
      <c r="L1373" s="1">
        <f t="shared" si="478"/>
        <v>306</v>
      </c>
      <c r="M1373" s="1">
        <v>3</v>
      </c>
      <c r="N1373" s="1">
        <v>6</v>
      </c>
      <c r="O1373" s="56">
        <v>0.18</v>
      </c>
      <c r="P1373" s="4">
        <f t="shared" si="479"/>
        <v>900</v>
      </c>
      <c r="Q1373" s="1">
        <f t="shared" si="480"/>
        <v>5400</v>
      </c>
      <c r="R1373" s="1">
        <f t="shared" si="482"/>
        <v>20820</v>
      </c>
    </row>
    <row r="1374" spans="2:18">
      <c r="B1374" s="1">
        <f t="shared" si="477"/>
        <v>307</v>
      </c>
      <c r="C1374" s="1">
        <v>3</v>
      </c>
      <c r="D1374" s="1">
        <v>7</v>
      </c>
      <c r="E1374" s="56">
        <v>0.25</v>
      </c>
      <c r="F1374" s="4">
        <f t="shared" si="475"/>
        <v>1250</v>
      </c>
      <c r="G1374" s="1">
        <f t="shared" si="476"/>
        <v>7500</v>
      </c>
      <c r="H1374" s="1">
        <f t="shared" si="481"/>
        <v>28320</v>
      </c>
      <c r="L1374" s="1">
        <f t="shared" si="478"/>
        <v>307</v>
      </c>
      <c r="M1374" s="1">
        <v>3</v>
      </c>
      <c r="N1374" s="1">
        <v>7</v>
      </c>
      <c r="O1374" s="56">
        <v>0.25</v>
      </c>
      <c r="P1374" s="4">
        <f t="shared" si="479"/>
        <v>1250</v>
      </c>
      <c r="Q1374" s="1">
        <f t="shared" si="480"/>
        <v>7500</v>
      </c>
      <c r="R1374" s="1">
        <f t="shared" si="482"/>
        <v>28320</v>
      </c>
    </row>
    <row r="1375" spans="2:18">
      <c r="B1375" s="1">
        <f t="shared" si="477"/>
        <v>401</v>
      </c>
      <c r="C1375" s="1">
        <v>4</v>
      </c>
      <c r="D1375" s="1">
        <v>1</v>
      </c>
      <c r="E1375" s="56">
        <v>0.03</v>
      </c>
      <c r="F1375" s="4">
        <f t="shared" si="475"/>
        <v>150</v>
      </c>
      <c r="G1375" s="1">
        <f t="shared" si="476"/>
        <v>900</v>
      </c>
      <c r="H1375" s="1">
        <f t="shared" si="481"/>
        <v>29220</v>
      </c>
      <c r="L1375" s="1">
        <f t="shared" si="478"/>
        <v>401</v>
      </c>
      <c r="M1375" s="1">
        <v>4</v>
      </c>
      <c r="N1375" s="1">
        <v>1</v>
      </c>
      <c r="O1375" s="56">
        <v>0.03</v>
      </c>
      <c r="P1375" s="4">
        <f t="shared" si="479"/>
        <v>150</v>
      </c>
      <c r="Q1375" s="1">
        <f t="shared" si="480"/>
        <v>900</v>
      </c>
      <c r="R1375" s="1">
        <f t="shared" si="482"/>
        <v>29220</v>
      </c>
    </row>
    <row r="1376" spans="2:18">
      <c r="B1376" s="1">
        <f t="shared" si="477"/>
        <v>402</v>
      </c>
      <c r="C1376" s="1">
        <v>4</v>
      </c>
      <c r="D1376" s="1">
        <v>2</v>
      </c>
      <c r="E1376" s="56">
        <v>0.06</v>
      </c>
      <c r="F1376" s="4">
        <f t="shared" si="475"/>
        <v>300</v>
      </c>
      <c r="G1376" s="1">
        <f t="shared" si="476"/>
        <v>1800</v>
      </c>
      <c r="H1376" s="1">
        <f t="shared" si="481"/>
        <v>31020</v>
      </c>
      <c r="L1376" s="1">
        <f t="shared" si="478"/>
        <v>402</v>
      </c>
      <c r="M1376" s="1">
        <v>4</v>
      </c>
      <c r="N1376" s="1">
        <v>2</v>
      </c>
      <c r="O1376" s="56">
        <v>0.06</v>
      </c>
      <c r="P1376" s="4">
        <f t="shared" si="479"/>
        <v>300</v>
      </c>
      <c r="Q1376" s="1">
        <f t="shared" si="480"/>
        <v>1800</v>
      </c>
      <c r="R1376" s="1">
        <f t="shared" si="482"/>
        <v>31020</v>
      </c>
    </row>
    <row r="1377" spans="2:18">
      <c r="B1377" s="1">
        <f t="shared" si="477"/>
        <v>403</v>
      </c>
      <c r="C1377" s="1">
        <v>4</v>
      </c>
      <c r="D1377" s="1">
        <v>3</v>
      </c>
      <c r="E1377" s="56">
        <v>0.12</v>
      </c>
      <c r="F1377" s="4">
        <f t="shared" si="475"/>
        <v>600</v>
      </c>
      <c r="G1377" s="1">
        <f t="shared" si="476"/>
        <v>3600</v>
      </c>
      <c r="H1377" s="1">
        <f t="shared" si="481"/>
        <v>34620</v>
      </c>
      <c r="L1377" s="1">
        <f t="shared" si="478"/>
        <v>403</v>
      </c>
      <c r="M1377" s="1">
        <v>4</v>
      </c>
      <c r="N1377" s="1">
        <v>3</v>
      </c>
      <c r="O1377" s="56">
        <v>0.12</v>
      </c>
      <c r="P1377" s="4">
        <f t="shared" si="479"/>
        <v>600</v>
      </c>
      <c r="Q1377" s="1">
        <f t="shared" si="480"/>
        <v>3600</v>
      </c>
      <c r="R1377" s="1">
        <f t="shared" si="482"/>
        <v>34620</v>
      </c>
    </row>
    <row r="1378" spans="2:18">
      <c r="B1378" s="1">
        <f t="shared" si="477"/>
        <v>404</v>
      </c>
      <c r="C1378" s="1">
        <v>4</v>
      </c>
      <c r="D1378" s="1">
        <v>4</v>
      </c>
      <c r="E1378" s="56">
        <v>0.18</v>
      </c>
      <c r="F1378" s="4">
        <f t="shared" si="475"/>
        <v>900</v>
      </c>
      <c r="G1378" s="1">
        <f t="shared" si="476"/>
        <v>5400</v>
      </c>
      <c r="H1378" s="1">
        <f t="shared" si="481"/>
        <v>40020</v>
      </c>
      <c r="L1378" s="1">
        <f t="shared" si="478"/>
        <v>404</v>
      </c>
      <c r="M1378" s="1">
        <v>4</v>
      </c>
      <c r="N1378" s="1">
        <v>4</v>
      </c>
      <c r="O1378" s="56">
        <v>0.18</v>
      </c>
      <c r="P1378" s="4">
        <f t="shared" si="479"/>
        <v>900</v>
      </c>
      <c r="Q1378" s="1">
        <f t="shared" si="480"/>
        <v>5400</v>
      </c>
      <c r="R1378" s="1">
        <f t="shared" si="482"/>
        <v>40020</v>
      </c>
    </row>
    <row r="1379" spans="2:18">
      <c r="B1379" s="1">
        <f t="shared" si="477"/>
        <v>405</v>
      </c>
      <c r="C1379" s="1">
        <v>4</v>
      </c>
      <c r="D1379" s="1">
        <v>5</v>
      </c>
      <c r="E1379" s="56">
        <v>0.24</v>
      </c>
      <c r="F1379" s="4">
        <f t="shared" si="475"/>
        <v>1200</v>
      </c>
      <c r="G1379" s="1">
        <f t="shared" si="476"/>
        <v>7200</v>
      </c>
      <c r="H1379" s="1">
        <f t="shared" si="481"/>
        <v>47220</v>
      </c>
      <c r="L1379" s="1">
        <f t="shared" si="478"/>
        <v>405</v>
      </c>
      <c r="M1379" s="1">
        <v>4</v>
      </c>
      <c r="N1379" s="1">
        <v>5</v>
      </c>
      <c r="O1379" s="56">
        <v>0.24</v>
      </c>
      <c r="P1379" s="4">
        <f t="shared" si="479"/>
        <v>1200</v>
      </c>
      <c r="Q1379" s="1">
        <f t="shared" si="480"/>
        <v>7200</v>
      </c>
      <c r="R1379" s="1">
        <f t="shared" si="482"/>
        <v>47220</v>
      </c>
    </row>
    <row r="1380" spans="2:18">
      <c r="B1380" s="1">
        <f t="shared" si="477"/>
        <v>406</v>
      </c>
      <c r="C1380" s="1">
        <v>4</v>
      </c>
      <c r="D1380" s="1">
        <v>6</v>
      </c>
      <c r="E1380" s="56">
        <v>0.3</v>
      </c>
      <c r="F1380" s="4">
        <f t="shared" si="475"/>
        <v>1500</v>
      </c>
      <c r="G1380" s="1">
        <f t="shared" si="476"/>
        <v>9000</v>
      </c>
      <c r="H1380" s="1">
        <f t="shared" si="481"/>
        <v>56220</v>
      </c>
      <c r="L1380" s="1">
        <f t="shared" si="478"/>
        <v>406</v>
      </c>
      <c r="M1380" s="1">
        <v>4</v>
      </c>
      <c r="N1380" s="1">
        <v>6</v>
      </c>
      <c r="O1380" s="56">
        <v>0.3</v>
      </c>
      <c r="P1380" s="4">
        <f t="shared" si="479"/>
        <v>1500</v>
      </c>
      <c r="Q1380" s="1">
        <f t="shared" si="480"/>
        <v>9000</v>
      </c>
      <c r="R1380" s="1">
        <f t="shared" si="482"/>
        <v>56220</v>
      </c>
    </row>
    <row r="1381" spans="2:18">
      <c r="B1381" s="1">
        <f t="shared" si="477"/>
        <v>407</v>
      </c>
      <c r="C1381" s="1">
        <v>4</v>
      </c>
      <c r="D1381" s="1">
        <v>7</v>
      </c>
      <c r="E1381" s="56">
        <v>0.4</v>
      </c>
      <c r="F1381" s="4">
        <f t="shared" si="475"/>
        <v>2000</v>
      </c>
      <c r="G1381" s="1">
        <f t="shared" si="476"/>
        <v>12000</v>
      </c>
      <c r="H1381" s="1">
        <f t="shared" si="481"/>
        <v>68220</v>
      </c>
      <c r="L1381" s="1">
        <f t="shared" si="478"/>
        <v>407</v>
      </c>
      <c r="M1381" s="1">
        <v>4</v>
      </c>
      <c r="N1381" s="1">
        <v>7</v>
      </c>
      <c r="O1381" s="56">
        <v>0.4</v>
      </c>
      <c r="P1381" s="4">
        <f t="shared" si="479"/>
        <v>2000</v>
      </c>
      <c r="Q1381" s="1">
        <f t="shared" si="480"/>
        <v>12000</v>
      </c>
      <c r="R1381" s="1">
        <f t="shared" si="482"/>
        <v>68220</v>
      </c>
    </row>
    <row r="1382" spans="2:18">
      <c r="B1382" s="1">
        <f t="shared" si="477"/>
        <v>408</v>
      </c>
      <c r="C1382" s="1">
        <v>4</v>
      </c>
      <c r="D1382" s="1">
        <v>8</v>
      </c>
      <c r="E1382" s="56">
        <v>0.5</v>
      </c>
      <c r="F1382" s="4">
        <f t="shared" si="475"/>
        <v>2500</v>
      </c>
      <c r="G1382" s="1">
        <f t="shared" si="476"/>
        <v>15000</v>
      </c>
      <c r="H1382" s="1">
        <f t="shared" si="481"/>
        <v>83220</v>
      </c>
      <c r="L1382" s="1">
        <f t="shared" si="478"/>
        <v>408</v>
      </c>
      <c r="M1382" s="1">
        <v>4</v>
      </c>
      <c r="N1382" s="1">
        <v>8</v>
      </c>
      <c r="O1382" s="56">
        <v>0.5</v>
      </c>
      <c r="P1382" s="4">
        <f t="shared" si="479"/>
        <v>2500</v>
      </c>
      <c r="Q1382" s="1">
        <f t="shared" si="480"/>
        <v>15000</v>
      </c>
      <c r="R1382" s="1">
        <f t="shared" si="482"/>
        <v>83220</v>
      </c>
    </row>
    <row r="1383" spans="2:18">
      <c r="B1383" s="1">
        <f t="shared" si="477"/>
        <v>409</v>
      </c>
      <c r="C1383" s="1">
        <v>4</v>
      </c>
      <c r="D1383" s="1">
        <v>9</v>
      </c>
      <c r="E1383" s="56">
        <v>0.7</v>
      </c>
      <c r="F1383" s="4">
        <f t="shared" si="475"/>
        <v>3500</v>
      </c>
      <c r="G1383" s="1">
        <f t="shared" si="476"/>
        <v>21000</v>
      </c>
      <c r="H1383" s="1">
        <f t="shared" si="481"/>
        <v>104220</v>
      </c>
      <c r="L1383" s="1">
        <f t="shared" si="478"/>
        <v>409</v>
      </c>
      <c r="M1383" s="1">
        <v>4</v>
      </c>
      <c r="N1383" s="1">
        <v>9</v>
      </c>
      <c r="O1383" s="56">
        <v>0.7</v>
      </c>
      <c r="P1383" s="4">
        <f t="shared" si="479"/>
        <v>3500</v>
      </c>
      <c r="Q1383" s="1">
        <f t="shared" si="480"/>
        <v>21000</v>
      </c>
      <c r="R1383" s="1">
        <f t="shared" si="482"/>
        <v>104220</v>
      </c>
    </row>
    <row r="1384" spans="2:18">
      <c r="B1384" s="1">
        <f t="shared" si="477"/>
        <v>410</v>
      </c>
      <c r="C1384" s="1">
        <v>4</v>
      </c>
      <c r="D1384" s="1">
        <v>10</v>
      </c>
      <c r="E1384" s="56">
        <v>1</v>
      </c>
      <c r="F1384" s="4">
        <f t="shared" si="475"/>
        <v>5000</v>
      </c>
      <c r="G1384" s="1">
        <f t="shared" si="476"/>
        <v>30000</v>
      </c>
      <c r="H1384" s="1">
        <f t="shared" si="481"/>
        <v>134220</v>
      </c>
      <c r="L1384" s="1">
        <f t="shared" si="478"/>
        <v>410</v>
      </c>
      <c r="M1384" s="1">
        <v>4</v>
      </c>
      <c r="N1384" s="1">
        <v>10</v>
      </c>
      <c r="O1384" s="56">
        <v>1</v>
      </c>
      <c r="P1384" s="4">
        <f t="shared" si="479"/>
        <v>5000</v>
      </c>
      <c r="Q1384" s="1">
        <f t="shared" si="480"/>
        <v>30000</v>
      </c>
      <c r="R1384" s="1">
        <f t="shared" si="482"/>
        <v>134220</v>
      </c>
    </row>
    <row r="1387" s="25" customFormat="1" spans="1:5">
      <c r="A1387" s="2" t="s">
        <v>483</v>
      </c>
      <c r="B1387" s="2"/>
      <c r="C1387" s="41" t="s">
        <v>436</v>
      </c>
      <c r="E1387" s="41"/>
    </row>
    <row r="1389" spans="2:12">
      <c r="B1389" s="27" t="s">
        <v>1102</v>
      </c>
      <c r="C1389" s="27"/>
      <c r="D1389" s="27"/>
      <c r="E1389" s="27"/>
      <c r="F1389" s="27"/>
      <c r="G1389" s="27"/>
      <c r="H1389" s="27"/>
      <c r="I1389" s="27"/>
      <c r="J1389" s="27"/>
      <c r="K1389" s="27"/>
      <c r="L1389" s="27"/>
    </row>
    <row r="1391" spans="2:6">
      <c r="B1391" s="1" t="s">
        <v>1103</v>
      </c>
      <c r="E1391" s="1">
        <f>总规划!$D$111</f>
        <v>360</v>
      </c>
      <c r="F1391" s="1" t="str">
        <f>总规划!$C$111</f>
        <v>1k铜材料</v>
      </c>
    </row>
    <row r="1392" spans="2:5">
      <c r="B1392" s="1" t="s">
        <v>1104</v>
      </c>
      <c r="E1392" s="13">
        <f>总规划!$J$140</f>
        <v>0.05</v>
      </c>
    </row>
    <row r="1393" spans="2:5">
      <c r="B1393" s="1" t="s">
        <v>1105</v>
      </c>
      <c r="E1393" s="13">
        <f>总规划!$J$142</f>
        <v>0.25</v>
      </c>
    </row>
    <row r="1394" spans="2:5">
      <c r="B1394" s="1" t="s">
        <v>1106</v>
      </c>
      <c r="E1394" s="13">
        <f>总规划!$J$144</f>
        <v>0.03</v>
      </c>
    </row>
    <row r="1395" spans="2:5">
      <c r="B1395" s="1" t="s">
        <v>1107</v>
      </c>
      <c r="E1395" s="13">
        <f>总规划!$J$146</f>
        <v>0.3</v>
      </c>
    </row>
    <row r="1396" spans="2:5">
      <c r="B1396" s="1" t="s">
        <v>1108</v>
      </c>
      <c r="E1396" s="13">
        <f>总规划!$J$147</f>
        <v>0.1</v>
      </c>
    </row>
    <row r="1397" spans="5:5">
      <c r="E1397" s="13"/>
    </row>
    <row r="1398" spans="5:5">
      <c r="E1398" s="13"/>
    </row>
    <row r="1399" spans="5:5">
      <c r="E1399" s="13"/>
    </row>
    <row r="1400" spans="5:5">
      <c r="E1400" s="13"/>
    </row>
    <row r="1401" spans="5:5">
      <c r="E1401" s="13"/>
    </row>
    <row r="1402" spans="5:5">
      <c r="E1402" s="13"/>
    </row>
    <row r="1403" spans="5:5">
      <c r="E1403" s="13"/>
    </row>
    <row r="1404" spans="5:5">
      <c r="E1404" s="13"/>
    </row>
    <row r="1405" spans="5:5">
      <c r="E1405" s="13"/>
    </row>
    <row r="1406" spans="5:5">
      <c r="E1406" s="13"/>
    </row>
    <row r="1407" spans="5:5">
      <c r="E1407" s="13"/>
    </row>
    <row r="1408" spans="5:5">
      <c r="E1408" s="13"/>
    </row>
    <row r="1409" spans="5:5">
      <c r="E1409" s="13"/>
    </row>
    <row r="1410" spans="5:5">
      <c r="E1410" s="13"/>
    </row>
    <row r="1411" spans="5:5">
      <c r="E1411" s="13"/>
    </row>
    <row r="1412" spans="5:5">
      <c r="E1412" s="13"/>
    </row>
    <row r="1413" spans="5:5">
      <c r="E1413" s="13"/>
    </row>
    <row r="1414" spans="5:5">
      <c r="E1414" s="13"/>
    </row>
    <row r="1415" spans="5:5">
      <c r="E1415" s="13"/>
    </row>
    <row r="1416" spans="5:5">
      <c r="E1416" s="13"/>
    </row>
    <row r="1417" spans="5:5">
      <c r="E1417" s="13"/>
    </row>
    <row r="1418" spans="5:5">
      <c r="E1418" s="13"/>
    </row>
    <row r="1419" spans="5:5">
      <c r="E1419" s="13"/>
    </row>
    <row r="1420" spans="5:5">
      <c r="E1420" s="13"/>
    </row>
    <row r="1421" spans="5:5">
      <c r="E1421" s="13"/>
    </row>
    <row r="1422" spans="5:5">
      <c r="E1422" s="13"/>
    </row>
    <row r="1423" spans="2:12">
      <c r="B1423" s="27" t="s">
        <v>1109</v>
      </c>
      <c r="C1423" s="27"/>
      <c r="D1423" s="27"/>
      <c r="E1423" s="27"/>
      <c r="F1423" s="27"/>
      <c r="G1423" s="27"/>
      <c r="H1423" s="27"/>
      <c r="I1423" s="27"/>
      <c r="J1423" s="27"/>
      <c r="K1423" s="27"/>
      <c r="L1423" s="27"/>
    </row>
    <row r="1425" spans="2:18">
      <c r="B1425" s="1" t="s">
        <v>382</v>
      </c>
      <c r="C1425" s="1" t="s">
        <v>678</v>
      </c>
      <c r="D1425" s="1" t="s">
        <v>463</v>
      </c>
      <c r="E1425" s="1" t="s">
        <v>1110</v>
      </c>
      <c r="F1425" s="15" t="s">
        <v>1111</v>
      </c>
      <c r="G1425" s="15" t="s">
        <v>1112</v>
      </c>
      <c r="H1425" s="15" t="s">
        <v>1113</v>
      </c>
      <c r="I1425" s="15" t="s">
        <v>1114</v>
      </c>
      <c r="J1425" s="15" t="s">
        <v>1115</v>
      </c>
      <c r="K1425" s="1" t="s">
        <v>1116</v>
      </c>
      <c r="L1425" s="1" t="s">
        <v>1117</v>
      </c>
      <c r="N1425" s="45" t="s">
        <v>1111</v>
      </c>
      <c r="O1425" s="45" t="s">
        <v>1112</v>
      </c>
      <c r="P1425" s="45" t="s">
        <v>1113</v>
      </c>
      <c r="Q1425" s="45" t="s">
        <v>1114</v>
      </c>
      <c r="R1425" s="45" t="s">
        <v>1115</v>
      </c>
    </row>
    <row r="1426" spans="2:18">
      <c r="B1426" s="7">
        <v>0</v>
      </c>
      <c r="C1426" s="1">
        <f ca="1">IF(养成规划!E6="",INDIRECT(ADDRESS(ROW()-1,COLUMN())),养成规划!E6)</f>
        <v>1</v>
      </c>
      <c r="D1426" s="1" t="str">
        <f>IF(养成规划!I6="","",养成规划!I6)</f>
        <v>无</v>
      </c>
      <c r="E1426" s="1">
        <f ca="1" t="shared" ref="E1426:E1457" si="483">IFERROR(OFFSET($D$1617,MATCH(D1426,$B$1617:$B$1622,0)-1,0),0)*$E$1605*$E$1606</f>
        <v>0</v>
      </c>
      <c r="F1426" s="15">
        <f ca="1">'204_军官任务'!X6</f>
        <v>0</v>
      </c>
      <c r="G1426" s="15">
        <f ca="1">'206_副本挂机'!Q125</f>
        <v>0</v>
      </c>
      <c r="H1426" s="15">
        <f ca="1">'208_黑市'!U6</f>
        <v>0</v>
      </c>
      <c r="I1426" s="15">
        <f ca="1">'210_活动'!AA6</f>
        <v>0</v>
      </c>
      <c r="J1426" s="15">
        <f ca="1">'211_VIP宝箱'!R6</f>
        <v>0</v>
      </c>
      <c r="K1426" s="1">
        <f ca="1" t="shared" ref="K1426:K1457" si="484">E1426</f>
        <v>0</v>
      </c>
      <c r="L1426" s="1">
        <f ca="1" t="shared" ref="L1426:L1457" si="485">SUM(F1426:J1426)</f>
        <v>0</v>
      </c>
      <c r="N1426" s="45">
        <v>0</v>
      </c>
      <c r="O1426" s="45">
        <v>0</v>
      </c>
      <c r="P1426" s="45">
        <v>0</v>
      </c>
      <c r="Q1426" s="45">
        <v>0</v>
      </c>
      <c r="R1426" s="45">
        <v>1</v>
      </c>
    </row>
    <row r="1427" spans="2:18">
      <c r="B1427" s="7">
        <v>0.1</v>
      </c>
      <c r="C1427" s="1">
        <f ca="1">IF(养成规划!E7="",INDIRECT(ADDRESS(ROW()-1,COLUMN())),养成规划!E7)</f>
        <v>2</v>
      </c>
      <c r="D1427" s="1" t="str">
        <f>IF(养成规划!I7="","",养成规划!I7)</f>
        <v/>
      </c>
      <c r="E1427" s="1">
        <f ca="1" t="shared" si="483"/>
        <v>0</v>
      </c>
      <c r="F1427" s="15">
        <f ca="1">'204_军官任务'!X7</f>
        <v>0</v>
      </c>
      <c r="G1427" s="15">
        <f ca="1">'206_副本挂机'!Q126</f>
        <v>0</v>
      </c>
      <c r="H1427" s="15">
        <f ca="1">'208_黑市'!U7</f>
        <v>3.6</v>
      </c>
      <c r="I1427" s="15">
        <f ca="1">'210_活动'!AA7</f>
        <v>0</v>
      </c>
      <c r="J1427" s="15">
        <f ca="1">'211_VIP宝箱'!R7</f>
        <v>0</v>
      </c>
      <c r="K1427" s="1">
        <f ca="1" t="shared" si="484"/>
        <v>0</v>
      </c>
      <c r="L1427" s="1">
        <f ca="1" t="shared" si="485"/>
        <v>3.6</v>
      </c>
      <c r="N1427" s="45">
        <f ca="1" t="shared" ref="N1427:N1458" si="486">(F1427-F1426)/($B1427-$B1426)</f>
        <v>0</v>
      </c>
      <c r="O1427" s="45">
        <f ca="1" t="shared" ref="O1427:O1458" si="487">(G1427-G1426)/($B1427-$B1426)</f>
        <v>0</v>
      </c>
      <c r="P1427" s="45">
        <f ca="1" t="shared" ref="P1427:P1458" si="488">(H1427-H1426)/($B1427-$B1426)</f>
        <v>36</v>
      </c>
      <c r="Q1427" s="45">
        <f ca="1" t="shared" ref="Q1427:Q1458" si="489">(I1427-I1426)/($B1427-$B1426)</f>
        <v>0</v>
      </c>
      <c r="R1427" s="45">
        <f ca="1" t="shared" ref="R1427:R1458" si="490">(J1427-J1426)/($B1427-$B1426)</f>
        <v>0</v>
      </c>
    </row>
    <row r="1428" spans="2:18">
      <c r="B1428" s="7">
        <v>0.2</v>
      </c>
      <c r="C1428" s="1">
        <f ca="1">IF(养成规划!E8="",INDIRECT(ADDRESS(ROW()-1,COLUMN())),养成规划!E8)</f>
        <v>2</v>
      </c>
      <c r="D1428" s="1" t="str">
        <f>IF(养成规划!I8="","",养成规划!I8)</f>
        <v/>
      </c>
      <c r="E1428" s="1">
        <f ca="1" t="shared" si="483"/>
        <v>0</v>
      </c>
      <c r="F1428" s="15">
        <f ca="1">'204_军官任务'!X8</f>
        <v>0</v>
      </c>
      <c r="G1428" s="15">
        <f ca="1">'206_副本挂机'!Q127</f>
        <v>0</v>
      </c>
      <c r="H1428" s="15">
        <f ca="1">'208_黑市'!U8</f>
        <v>7.2</v>
      </c>
      <c r="I1428" s="15">
        <f ca="1">'210_活动'!AA8</f>
        <v>0</v>
      </c>
      <c r="J1428" s="15">
        <f ca="1">'211_VIP宝箱'!R8</f>
        <v>0</v>
      </c>
      <c r="K1428" s="1">
        <f ca="1" t="shared" si="484"/>
        <v>0</v>
      </c>
      <c r="L1428" s="1">
        <f ca="1" t="shared" si="485"/>
        <v>7.2</v>
      </c>
      <c r="N1428" s="45">
        <f ca="1" t="shared" si="486"/>
        <v>0</v>
      </c>
      <c r="O1428" s="45">
        <f ca="1" t="shared" si="487"/>
        <v>0</v>
      </c>
      <c r="P1428" s="45">
        <f ca="1" t="shared" si="488"/>
        <v>36</v>
      </c>
      <c r="Q1428" s="45">
        <f ca="1" t="shared" si="489"/>
        <v>0</v>
      </c>
      <c r="R1428" s="45">
        <f ca="1" t="shared" si="490"/>
        <v>0</v>
      </c>
    </row>
    <row r="1429" spans="2:18">
      <c r="B1429" s="7">
        <v>0.3</v>
      </c>
      <c r="C1429" s="1">
        <f ca="1">IF(养成规划!E9="",INDIRECT(ADDRESS(ROW()-1,COLUMN())),养成规划!E9)</f>
        <v>2</v>
      </c>
      <c r="D1429" s="1" t="str">
        <f>IF(养成规划!I9="","",养成规划!I9)</f>
        <v/>
      </c>
      <c r="E1429" s="1">
        <f ca="1" t="shared" si="483"/>
        <v>0</v>
      </c>
      <c r="F1429" s="15">
        <f ca="1">'204_军官任务'!X9</f>
        <v>0</v>
      </c>
      <c r="G1429" s="15">
        <f ca="1">'206_副本挂机'!Q128</f>
        <v>0</v>
      </c>
      <c r="H1429" s="15">
        <f ca="1">'208_黑市'!U9</f>
        <v>10.8</v>
      </c>
      <c r="I1429" s="15">
        <f ca="1">'210_活动'!AA9</f>
        <v>0</v>
      </c>
      <c r="J1429" s="15">
        <f ca="1">'211_VIP宝箱'!R9</f>
        <v>0</v>
      </c>
      <c r="K1429" s="1">
        <f ca="1" t="shared" si="484"/>
        <v>0</v>
      </c>
      <c r="L1429" s="1">
        <f ca="1" t="shared" si="485"/>
        <v>10.8</v>
      </c>
      <c r="N1429" s="45">
        <f ca="1" t="shared" si="486"/>
        <v>0</v>
      </c>
      <c r="O1429" s="45">
        <f ca="1" t="shared" si="487"/>
        <v>0</v>
      </c>
      <c r="P1429" s="45">
        <f ca="1" t="shared" si="488"/>
        <v>36</v>
      </c>
      <c r="Q1429" s="45">
        <f ca="1" t="shared" si="489"/>
        <v>0</v>
      </c>
      <c r="R1429" s="45">
        <f ca="1" t="shared" si="490"/>
        <v>0</v>
      </c>
    </row>
    <row r="1430" spans="2:18">
      <c r="B1430" s="7">
        <v>0.4</v>
      </c>
      <c r="C1430" s="1">
        <f ca="1">IF(养成规划!E10="",INDIRECT(ADDRESS(ROW()-1,COLUMN())),养成规划!E10)</f>
        <v>3</v>
      </c>
      <c r="D1430" s="1" t="str">
        <f>IF(养成规划!I10="","",养成规划!I10)</f>
        <v/>
      </c>
      <c r="E1430" s="1">
        <f ca="1" t="shared" si="483"/>
        <v>0</v>
      </c>
      <c r="F1430" s="15">
        <f ca="1">'204_军官任务'!X10</f>
        <v>0</v>
      </c>
      <c r="G1430" s="15">
        <f ca="1">'206_副本挂机'!Q129</f>
        <v>0</v>
      </c>
      <c r="H1430" s="15">
        <f ca="1">'208_黑市'!U10</f>
        <v>14.4</v>
      </c>
      <c r="I1430" s="15">
        <f ca="1">'210_活动'!AA10</f>
        <v>0</v>
      </c>
      <c r="J1430" s="15">
        <f ca="1">'211_VIP宝箱'!R10</f>
        <v>0</v>
      </c>
      <c r="K1430" s="1">
        <f ca="1" t="shared" si="484"/>
        <v>0</v>
      </c>
      <c r="L1430" s="1">
        <f ca="1" t="shared" si="485"/>
        <v>14.4</v>
      </c>
      <c r="N1430" s="45">
        <f ca="1" t="shared" si="486"/>
        <v>0</v>
      </c>
      <c r="O1430" s="45">
        <f ca="1" t="shared" si="487"/>
        <v>0</v>
      </c>
      <c r="P1430" s="45">
        <f ca="1" t="shared" si="488"/>
        <v>36</v>
      </c>
      <c r="Q1430" s="45">
        <f ca="1" t="shared" si="489"/>
        <v>0</v>
      </c>
      <c r="R1430" s="45">
        <f ca="1" t="shared" si="490"/>
        <v>0</v>
      </c>
    </row>
    <row r="1431" spans="2:18">
      <c r="B1431" s="7">
        <v>0.5</v>
      </c>
      <c r="C1431" s="1">
        <f ca="1">IF(养成规划!E11="",INDIRECT(ADDRESS(ROW()-1,COLUMN())),养成规划!E11)</f>
        <v>3</v>
      </c>
      <c r="D1431" s="1" t="str">
        <f>IF(养成规划!I11="","",养成规划!I11)</f>
        <v/>
      </c>
      <c r="E1431" s="1">
        <f ca="1" t="shared" si="483"/>
        <v>0</v>
      </c>
      <c r="F1431" s="15">
        <f ca="1">'204_军官任务'!X11</f>
        <v>0</v>
      </c>
      <c r="G1431" s="15">
        <f ca="1">'206_副本挂机'!Q130</f>
        <v>0</v>
      </c>
      <c r="H1431" s="15">
        <f ca="1">'208_黑市'!U11</f>
        <v>18</v>
      </c>
      <c r="I1431" s="15">
        <f ca="1">'210_活动'!AA11</f>
        <v>0</v>
      </c>
      <c r="J1431" s="15">
        <f ca="1">'211_VIP宝箱'!R11</f>
        <v>0</v>
      </c>
      <c r="K1431" s="1">
        <f ca="1" t="shared" si="484"/>
        <v>0</v>
      </c>
      <c r="L1431" s="1">
        <f ca="1" t="shared" si="485"/>
        <v>18</v>
      </c>
      <c r="N1431" s="45">
        <f ca="1" t="shared" si="486"/>
        <v>0</v>
      </c>
      <c r="O1431" s="45">
        <f ca="1" t="shared" si="487"/>
        <v>0</v>
      </c>
      <c r="P1431" s="45">
        <f ca="1" t="shared" si="488"/>
        <v>36</v>
      </c>
      <c r="Q1431" s="45">
        <f ca="1" t="shared" si="489"/>
        <v>0</v>
      </c>
      <c r="R1431" s="45">
        <f ca="1" t="shared" si="490"/>
        <v>0</v>
      </c>
    </row>
    <row r="1432" spans="2:18">
      <c r="B1432" s="7">
        <v>0.6</v>
      </c>
      <c r="C1432" s="1">
        <f ca="1">IF(养成规划!E12="",INDIRECT(ADDRESS(ROW()-1,COLUMN())),养成规划!E12)</f>
        <v>3</v>
      </c>
      <c r="D1432" s="1" t="str">
        <f>IF(养成规划!I12="","",养成规划!I12)</f>
        <v/>
      </c>
      <c r="E1432" s="1">
        <f ca="1" t="shared" si="483"/>
        <v>0</v>
      </c>
      <c r="F1432" s="15">
        <f ca="1">'204_军官任务'!X12</f>
        <v>0</v>
      </c>
      <c r="G1432" s="15">
        <f ca="1">'206_副本挂机'!Q131</f>
        <v>0</v>
      </c>
      <c r="H1432" s="15">
        <f ca="1">'208_黑市'!U12</f>
        <v>21.6</v>
      </c>
      <c r="I1432" s="15">
        <f ca="1">'210_活动'!AA12</f>
        <v>0</v>
      </c>
      <c r="J1432" s="15">
        <f ca="1">'211_VIP宝箱'!R12</f>
        <v>0</v>
      </c>
      <c r="K1432" s="1">
        <f ca="1" t="shared" si="484"/>
        <v>0</v>
      </c>
      <c r="L1432" s="1">
        <f ca="1" t="shared" si="485"/>
        <v>21.6</v>
      </c>
      <c r="N1432" s="45">
        <f ca="1" t="shared" si="486"/>
        <v>0</v>
      </c>
      <c r="O1432" s="45">
        <f ca="1" t="shared" si="487"/>
        <v>0</v>
      </c>
      <c r="P1432" s="45">
        <f ca="1" t="shared" si="488"/>
        <v>36</v>
      </c>
      <c r="Q1432" s="45">
        <f ca="1" t="shared" si="489"/>
        <v>0</v>
      </c>
      <c r="R1432" s="45">
        <f ca="1" t="shared" si="490"/>
        <v>0</v>
      </c>
    </row>
    <row r="1433" spans="2:18">
      <c r="B1433" s="7">
        <v>0.7</v>
      </c>
      <c r="C1433" s="1">
        <f ca="1">IF(养成规划!E13="",INDIRECT(ADDRESS(ROW()-1,COLUMN())),养成规划!E13)</f>
        <v>3</v>
      </c>
      <c r="D1433" s="1" t="str">
        <f>IF(养成规划!I13="","",养成规划!I13)</f>
        <v/>
      </c>
      <c r="E1433" s="1">
        <f ca="1" t="shared" si="483"/>
        <v>0</v>
      </c>
      <c r="F1433" s="15">
        <f ca="1">'204_军官任务'!X13</f>
        <v>0</v>
      </c>
      <c r="G1433" s="15">
        <f ca="1">'206_副本挂机'!Q132</f>
        <v>0</v>
      </c>
      <c r="H1433" s="15">
        <f ca="1">'208_黑市'!U13</f>
        <v>25.2</v>
      </c>
      <c r="I1433" s="15">
        <f ca="1">'210_活动'!AA13</f>
        <v>0</v>
      </c>
      <c r="J1433" s="15">
        <f ca="1">'211_VIP宝箱'!R13</f>
        <v>0</v>
      </c>
      <c r="K1433" s="1">
        <f ca="1" t="shared" si="484"/>
        <v>0</v>
      </c>
      <c r="L1433" s="1">
        <f ca="1" t="shared" si="485"/>
        <v>25.2</v>
      </c>
      <c r="N1433" s="45">
        <f ca="1" t="shared" si="486"/>
        <v>0</v>
      </c>
      <c r="O1433" s="45">
        <f ca="1" t="shared" si="487"/>
        <v>0</v>
      </c>
      <c r="P1433" s="45">
        <f ca="1" t="shared" si="488"/>
        <v>36</v>
      </c>
      <c r="Q1433" s="45">
        <f ca="1" t="shared" si="489"/>
        <v>0</v>
      </c>
      <c r="R1433" s="45">
        <f ca="1" t="shared" si="490"/>
        <v>0</v>
      </c>
    </row>
    <row r="1434" spans="2:18">
      <c r="B1434" s="7">
        <v>0.8</v>
      </c>
      <c r="C1434" s="1">
        <f ca="1">IF(养成规划!E14="",INDIRECT(ADDRESS(ROW()-1,COLUMN())),养成规划!E14)</f>
        <v>3</v>
      </c>
      <c r="D1434" s="1" t="str">
        <f>IF(养成规划!I14="","",养成规划!I14)</f>
        <v/>
      </c>
      <c r="E1434" s="1">
        <f ca="1" t="shared" si="483"/>
        <v>0</v>
      </c>
      <c r="F1434" s="15">
        <f ca="1">'204_军官任务'!X14</f>
        <v>0</v>
      </c>
      <c r="G1434" s="15">
        <f ca="1">'206_副本挂机'!Q133</f>
        <v>0</v>
      </c>
      <c r="H1434" s="15">
        <f ca="1">'208_黑市'!U14</f>
        <v>28.8</v>
      </c>
      <c r="I1434" s="15">
        <f ca="1">'210_活动'!AA14</f>
        <v>0</v>
      </c>
      <c r="J1434" s="15">
        <f ca="1">'211_VIP宝箱'!R14</f>
        <v>0</v>
      </c>
      <c r="K1434" s="1">
        <f ca="1" t="shared" si="484"/>
        <v>0</v>
      </c>
      <c r="L1434" s="1">
        <f ca="1" t="shared" si="485"/>
        <v>28.8</v>
      </c>
      <c r="N1434" s="45">
        <f ca="1" t="shared" si="486"/>
        <v>0</v>
      </c>
      <c r="O1434" s="45">
        <f ca="1" t="shared" si="487"/>
        <v>0</v>
      </c>
      <c r="P1434" s="45">
        <f ca="1" t="shared" si="488"/>
        <v>36</v>
      </c>
      <c r="Q1434" s="45">
        <f ca="1" t="shared" si="489"/>
        <v>0</v>
      </c>
      <c r="R1434" s="45">
        <f ca="1" t="shared" si="490"/>
        <v>0</v>
      </c>
    </row>
    <row r="1435" spans="2:18">
      <c r="B1435" s="7">
        <v>0.9</v>
      </c>
      <c r="C1435" s="1">
        <f ca="1">IF(养成规划!E15="",INDIRECT(ADDRESS(ROW()-1,COLUMN())),养成规划!E15)</f>
        <v>3</v>
      </c>
      <c r="D1435" s="1" t="str">
        <f>IF(养成规划!I15="","",养成规划!I15)</f>
        <v/>
      </c>
      <c r="E1435" s="1">
        <f ca="1" t="shared" si="483"/>
        <v>0</v>
      </c>
      <c r="F1435" s="15">
        <f ca="1">'204_军官任务'!X15</f>
        <v>0</v>
      </c>
      <c r="G1435" s="15">
        <f ca="1">'206_副本挂机'!Q134</f>
        <v>0</v>
      </c>
      <c r="H1435" s="15">
        <f ca="1">'208_黑市'!U15</f>
        <v>32.4</v>
      </c>
      <c r="I1435" s="15">
        <f ca="1">'210_活动'!AA15</f>
        <v>0</v>
      </c>
      <c r="J1435" s="15">
        <f ca="1">'211_VIP宝箱'!R15</f>
        <v>0</v>
      </c>
      <c r="K1435" s="1">
        <f ca="1" t="shared" si="484"/>
        <v>0</v>
      </c>
      <c r="L1435" s="1">
        <f ca="1" t="shared" si="485"/>
        <v>32.4</v>
      </c>
      <c r="N1435" s="45">
        <f ca="1" t="shared" si="486"/>
        <v>0</v>
      </c>
      <c r="O1435" s="45">
        <f ca="1" t="shared" si="487"/>
        <v>0</v>
      </c>
      <c r="P1435" s="45">
        <f ca="1" t="shared" si="488"/>
        <v>36</v>
      </c>
      <c r="Q1435" s="45">
        <f ca="1" t="shared" si="489"/>
        <v>0</v>
      </c>
      <c r="R1435" s="45">
        <f ca="1" t="shared" si="490"/>
        <v>0</v>
      </c>
    </row>
    <row r="1436" spans="2:18">
      <c r="B1436" s="7">
        <v>1</v>
      </c>
      <c r="C1436" s="1">
        <f ca="1">IF(养成规划!E16="",INDIRECT(ADDRESS(ROW()-1,COLUMN())),养成规划!E16)</f>
        <v>4</v>
      </c>
      <c r="D1436" s="1" t="str">
        <f>IF(养成规划!I16="","",养成规划!I16)</f>
        <v/>
      </c>
      <c r="E1436" s="1">
        <f ca="1" t="shared" si="483"/>
        <v>0</v>
      </c>
      <c r="F1436" s="15">
        <f ca="1">'204_军官任务'!X16</f>
        <v>0</v>
      </c>
      <c r="G1436" s="15">
        <f ca="1">'206_副本挂机'!Q135</f>
        <v>0</v>
      </c>
      <c r="H1436" s="15">
        <f ca="1">'208_黑市'!U16</f>
        <v>36</v>
      </c>
      <c r="I1436" s="15">
        <f ca="1">'210_活动'!AA16</f>
        <v>0</v>
      </c>
      <c r="J1436" s="15">
        <f ca="1">'211_VIP宝箱'!R16</f>
        <v>0</v>
      </c>
      <c r="K1436" s="1">
        <f ca="1" t="shared" si="484"/>
        <v>0</v>
      </c>
      <c r="L1436" s="1">
        <f ca="1" t="shared" si="485"/>
        <v>36</v>
      </c>
      <c r="N1436" s="45">
        <f ca="1" t="shared" si="486"/>
        <v>0</v>
      </c>
      <c r="O1436" s="45">
        <f ca="1" t="shared" si="487"/>
        <v>0</v>
      </c>
      <c r="P1436" s="45">
        <f ca="1" t="shared" si="488"/>
        <v>36</v>
      </c>
      <c r="Q1436" s="45">
        <f ca="1" t="shared" si="489"/>
        <v>0</v>
      </c>
      <c r="R1436" s="45">
        <f ca="1" t="shared" si="490"/>
        <v>0</v>
      </c>
    </row>
    <row r="1437" spans="2:18">
      <c r="B1437" s="9">
        <v>1.5</v>
      </c>
      <c r="C1437" s="1">
        <f ca="1">IF(养成规划!E17="",INDIRECT(ADDRESS(ROW()-1,COLUMN())),养成规划!E17)</f>
        <v>4</v>
      </c>
      <c r="D1437" s="1" t="str">
        <f>IF(养成规划!I17="","",养成规划!I17)</f>
        <v/>
      </c>
      <c r="E1437" s="1">
        <f ca="1" t="shared" si="483"/>
        <v>0</v>
      </c>
      <c r="F1437" s="15">
        <f ca="1">'204_军官任务'!X17</f>
        <v>0</v>
      </c>
      <c r="G1437" s="15">
        <f ca="1">'206_副本挂机'!Q136</f>
        <v>7.5</v>
      </c>
      <c r="H1437" s="15">
        <f ca="1">'208_黑市'!U17</f>
        <v>54</v>
      </c>
      <c r="I1437" s="15">
        <f ca="1">'210_活动'!AA17</f>
        <v>0</v>
      </c>
      <c r="J1437" s="15">
        <f ca="1">'211_VIP宝箱'!R17</f>
        <v>0</v>
      </c>
      <c r="K1437" s="1">
        <f ca="1" t="shared" si="484"/>
        <v>0</v>
      </c>
      <c r="L1437" s="1">
        <f ca="1" t="shared" si="485"/>
        <v>61.5</v>
      </c>
      <c r="N1437" s="45">
        <f ca="1" t="shared" si="486"/>
        <v>0</v>
      </c>
      <c r="O1437" s="45">
        <f ca="1" t="shared" si="487"/>
        <v>15</v>
      </c>
      <c r="P1437" s="45">
        <f ca="1" t="shared" si="488"/>
        <v>36</v>
      </c>
      <c r="Q1437" s="45">
        <f ca="1" t="shared" si="489"/>
        <v>0</v>
      </c>
      <c r="R1437" s="45">
        <f ca="1" t="shared" si="490"/>
        <v>0</v>
      </c>
    </row>
    <row r="1438" spans="2:18">
      <c r="B1438" s="9">
        <v>2</v>
      </c>
      <c r="C1438" s="1">
        <f ca="1">IF(养成规划!E18="",INDIRECT(ADDRESS(ROW()-1,COLUMN())),养成规划!E18)</f>
        <v>4</v>
      </c>
      <c r="D1438" s="1" t="str">
        <f>IF(养成规划!I18="","",养成规划!I18)</f>
        <v/>
      </c>
      <c r="E1438" s="1">
        <f ca="1" t="shared" si="483"/>
        <v>0</v>
      </c>
      <c r="F1438" s="15">
        <f ca="1">'204_军官任务'!X18</f>
        <v>0</v>
      </c>
      <c r="G1438" s="15">
        <f ca="1">'206_副本挂机'!Q137</f>
        <v>22.5</v>
      </c>
      <c r="H1438" s="15">
        <f ca="1">'208_黑市'!U18</f>
        <v>72</v>
      </c>
      <c r="I1438" s="15">
        <f ca="1">'210_活动'!AA18</f>
        <v>0</v>
      </c>
      <c r="J1438" s="15">
        <f ca="1">'211_VIP宝箱'!R18</f>
        <v>0</v>
      </c>
      <c r="K1438" s="1">
        <f ca="1" t="shared" si="484"/>
        <v>0</v>
      </c>
      <c r="L1438" s="1">
        <f ca="1" t="shared" si="485"/>
        <v>94.5</v>
      </c>
      <c r="N1438" s="45">
        <f ca="1" t="shared" si="486"/>
        <v>0</v>
      </c>
      <c r="O1438" s="45">
        <f ca="1" t="shared" si="487"/>
        <v>30</v>
      </c>
      <c r="P1438" s="45">
        <f ca="1" t="shared" si="488"/>
        <v>36</v>
      </c>
      <c r="Q1438" s="45">
        <f ca="1" t="shared" si="489"/>
        <v>0</v>
      </c>
      <c r="R1438" s="45">
        <f ca="1" t="shared" si="490"/>
        <v>0</v>
      </c>
    </row>
    <row r="1439" spans="2:18">
      <c r="B1439" s="9">
        <v>2.5</v>
      </c>
      <c r="C1439" s="1">
        <f ca="1">IF(养成规划!E19="",INDIRECT(ADDRESS(ROW()-1,COLUMN())),养成规划!E19)</f>
        <v>4</v>
      </c>
      <c r="D1439" s="1" t="str">
        <f>IF(养成规划!I19="","",养成规划!I19)</f>
        <v/>
      </c>
      <c r="E1439" s="1">
        <f ca="1" t="shared" si="483"/>
        <v>0</v>
      </c>
      <c r="F1439" s="15">
        <f ca="1">'204_军官任务'!X19</f>
        <v>0</v>
      </c>
      <c r="G1439" s="15">
        <f ca="1">'206_副本挂机'!Q138</f>
        <v>45</v>
      </c>
      <c r="H1439" s="15">
        <f ca="1">'208_黑市'!U19</f>
        <v>90</v>
      </c>
      <c r="I1439" s="15">
        <f ca="1">'210_活动'!AA19</f>
        <v>0</v>
      </c>
      <c r="J1439" s="15">
        <f ca="1">'211_VIP宝箱'!R19</f>
        <v>0</v>
      </c>
      <c r="K1439" s="1">
        <f ca="1" t="shared" si="484"/>
        <v>0</v>
      </c>
      <c r="L1439" s="1">
        <f ca="1" t="shared" si="485"/>
        <v>135</v>
      </c>
      <c r="N1439" s="45">
        <f ca="1" t="shared" si="486"/>
        <v>0</v>
      </c>
      <c r="O1439" s="45">
        <f ca="1" t="shared" si="487"/>
        <v>45</v>
      </c>
      <c r="P1439" s="45">
        <f ca="1" t="shared" si="488"/>
        <v>36</v>
      </c>
      <c r="Q1439" s="45">
        <f ca="1" t="shared" si="489"/>
        <v>0</v>
      </c>
      <c r="R1439" s="45">
        <f ca="1" t="shared" si="490"/>
        <v>0</v>
      </c>
    </row>
    <row r="1440" spans="2:18">
      <c r="B1440" s="9">
        <v>3</v>
      </c>
      <c r="C1440" s="1">
        <f ca="1">IF(养成规划!E20="",INDIRECT(ADDRESS(ROW()-1,COLUMN())),养成规划!E20)</f>
        <v>4</v>
      </c>
      <c r="D1440" s="1" t="str">
        <f>IF(养成规划!I20="","",养成规划!I20)</f>
        <v/>
      </c>
      <c r="E1440" s="1">
        <f ca="1" t="shared" si="483"/>
        <v>0</v>
      </c>
      <c r="F1440" s="15">
        <f ca="1">'204_军官任务'!X20</f>
        <v>0</v>
      </c>
      <c r="G1440" s="15">
        <f ca="1">'206_副本挂机'!Q139</f>
        <v>82.5</v>
      </c>
      <c r="H1440" s="15">
        <f ca="1">'208_黑市'!U20</f>
        <v>108</v>
      </c>
      <c r="I1440" s="15">
        <f ca="1">'210_活动'!AA20</f>
        <v>0</v>
      </c>
      <c r="J1440" s="15">
        <f ca="1">'211_VIP宝箱'!R20</f>
        <v>0</v>
      </c>
      <c r="K1440" s="1">
        <f ca="1" t="shared" si="484"/>
        <v>0</v>
      </c>
      <c r="L1440" s="1">
        <f ca="1" t="shared" si="485"/>
        <v>190.5</v>
      </c>
      <c r="N1440" s="45">
        <f ca="1" t="shared" si="486"/>
        <v>0</v>
      </c>
      <c r="O1440" s="45">
        <f ca="1" t="shared" si="487"/>
        <v>75</v>
      </c>
      <c r="P1440" s="45">
        <f ca="1" t="shared" si="488"/>
        <v>36</v>
      </c>
      <c r="Q1440" s="45">
        <f ca="1" t="shared" si="489"/>
        <v>0</v>
      </c>
      <c r="R1440" s="45">
        <f ca="1" t="shared" si="490"/>
        <v>0</v>
      </c>
    </row>
    <row r="1441" spans="2:18">
      <c r="B1441" s="9">
        <v>3.5</v>
      </c>
      <c r="C1441" s="1">
        <f ca="1">IF(养成规划!E21="",INDIRECT(ADDRESS(ROW()-1,COLUMN())),养成规划!E21)</f>
        <v>4</v>
      </c>
      <c r="D1441" s="1" t="str">
        <f>IF(养成规划!I21="","",养成规划!I21)</f>
        <v/>
      </c>
      <c r="E1441" s="1">
        <f ca="1" t="shared" si="483"/>
        <v>0</v>
      </c>
      <c r="F1441" s="15">
        <f ca="1">'204_军官任务'!X21</f>
        <v>0</v>
      </c>
      <c r="G1441" s="15">
        <f ca="1">'206_副本挂机'!Q140</f>
        <v>127.5</v>
      </c>
      <c r="H1441" s="15">
        <f ca="1">'208_黑市'!U21</f>
        <v>126</v>
      </c>
      <c r="I1441" s="15">
        <f ca="1">'210_活动'!AA21</f>
        <v>0</v>
      </c>
      <c r="J1441" s="15">
        <f ca="1">'211_VIP宝箱'!R21</f>
        <v>0</v>
      </c>
      <c r="K1441" s="1">
        <f ca="1" t="shared" si="484"/>
        <v>0</v>
      </c>
      <c r="L1441" s="1">
        <f ca="1" t="shared" si="485"/>
        <v>253.5</v>
      </c>
      <c r="N1441" s="45">
        <f ca="1" t="shared" si="486"/>
        <v>0</v>
      </c>
      <c r="O1441" s="45">
        <f ca="1" t="shared" si="487"/>
        <v>90</v>
      </c>
      <c r="P1441" s="45">
        <f ca="1" t="shared" si="488"/>
        <v>36</v>
      </c>
      <c r="Q1441" s="45">
        <f ca="1" t="shared" si="489"/>
        <v>0</v>
      </c>
      <c r="R1441" s="45">
        <f ca="1" t="shared" si="490"/>
        <v>0</v>
      </c>
    </row>
    <row r="1442" spans="2:18">
      <c r="B1442" s="9">
        <v>4</v>
      </c>
      <c r="C1442" s="1">
        <f ca="1">IF(养成规划!E22="",INDIRECT(ADDRESS(ROW()-1,COLUMN())),养成规划!E22)</f>
        <v>4</v>
      </c>
      <c r="D1442" s="1" t="str">
        <f>IF(养成规划!I22="","",养成规划!I22)</f>
        <v/>
      </c>
      <c r="E1442" s="1">
        <f ca="1" t="shared" si="483"/>
        <v>0</v>
      </c>
      <c r="F1442" s="15">
        <f ca="1">'204_军官任务'!X22</f>
        <v>0</v>
      </c>
      <c r="G1442" s="15">
        <f ca="1">'206_副本挂机'!Q141</f>
        <v>180</v>
      </c>
      <c r="H1442" s="15">
        <f ca="1">'208_黑市'!U22</f>
        <v>144</v>
      </c>
      <c r="I1442" s="15">
        <f ca="1">'210_活动'!AA22</f>
        <v>0</v>
      </c>
      <c r="J1442" s="15">
        <f ca="1">'211_VIP宝箱'!R22</f>
        <v>0</v>
      </c>
      <c r="K1442" s="1">
        <f ca="1" t="shared" si="484"/>
        <v>0</v>
      </c>
      <c r="L1442" s="1">
        <f ca="1" t="shared" si="485"/>
        <v>324</v>
      </c>
      <c r="N1442" s="45">
        <f ca="1" t="shared" si="486"/>
        <v>0</v>
      </c>
      <c r="O1442" s="45">
        <f ca="1" t="shared" si="487"/>
        <v>105</v>
      </c>
      <c r="P1442" s="45">
        <f ca="1" t="shared" si="488"/>
        <v>36</v>
      </c>
      <c r="Q1442" s="45">
        <f ca="1" t="shared" si="489"/>
        <v>0</v>
      </c>
      <c r="R1442" s="45">
        <f ca="1" t="shared" si="490"/>
        <v>0</v>
      </c>
    </row>
    <row r="1443" spans="2:18">
      <c r="B1443" s="9">
        <v>4.5</v>
      </c>
      <c r="C1443" s="1">
        <f ca="1">IF(养成规划!E23="",INDIRECT(ADDRESS(ROW()-1,COLUMN())),养成规划!E23)</f>
        <v>4</v>
      </c>
      <c r="D1443" s="1" t="str">
        <f>IF(养成规划!I23="","",养成规划!I23)</f>
        <v/>
      </c>
      <c r="E1443" s="1">
        <f ca="1" t="shared" si="483"/>
        <v>0</v>
      </c>
      <c r="F1443" s="15">
        <f ca="1">'204_军官任务'!X23</f>
        <v>0</v>
      </c>
      <c r="G1443" s="15">
        <f ca="1">'206_副本挂机'!Q142</f>
        <v>240</v>
      </c>
      <c r="H1443" s="15">
        <f ca="1">'208_黑市'!U23</f>
        <v>162</v>
      </c>
      <c r="I1443" s="15">
        <f ca="1">'210_活动'!AA23</f>
        <v>0</v>
      </c>
      <c r="J1443" s="15">
        <f ca="1">'211_VIP宝箱'!R23</f>
        <v>0</v>
      </c>
      <c r="K1443" s="1">
        <f ca="1" t="shared" si="484"/>
        <v>0</v>
      </c>
      <c r="L1443" s="1">
        <f ca="1" t="shared" si="485"/>
        <v>402</v>
      </c>
      <c r="N1443" s="45">
        <f ca="1" t="shared" si="486"/>
        <v>0</v>
      </c>
      <c r="O1443" s="45">
        <f ca="1" t="shared" si="487"/>
        <v>120</v>
      </c>
      <c r="P1443" s="45">
        <f ca="1" t="shared" si="488"/>
        <v>36</v>
      </c>
      <c r="Q1443" s="45">
        <f ca="1" t="shared" si="489"/>
        <v>0</v>
      </c>
      <c r="R1443" s="45">
        <f ca="1" t="shared" si="490"/>
        <v>0</v>
      </c>
    </row>
    <row r="1444" spans="2:18">
      <c r="B1444" s="9">
        <v>5</v>
      </c>
      <c r="C1444" s="1">
        <f ca="1">IF(养成规划!E24="",INDIRECT(ADDRESS(ROW()-1,COLUMN())),养成规划!E24)</f>
        <v>4</v>
      </c>
      <c r="D1444" s="1" t="str">
        <f>IF(养成规划!I24="","",养成规划!I24)</f>
        <v/>
      </c>
      <c r="E1444" s="1">
        <f ca="1" t="shared" si="483"/>
        <v>0</v>
      </c>
      <c r="F1444" s="15">
        <f ca="1">'204_军官任务'!X24</f>
        <v>0</v>
      </c>
      <c r="G1444" s="15">
        <f ca="1">'206_副本挂机'!Q143</f>
        <v>315</v>
      </c>
      <c r="H1444" s="15">
        <f ca="1">'208_黑市'!U24</f>
        <v>180</v>
      </c>
      <c r="I1444" s="15">
        <f ca="1">'210_活动'!AA24</f>
        <v>0</v>
      </c>
      <c r="J1444" s="15">
        <f ca="1">'211_VIP宝箱'!R24</f>
        <v>0</v>
      </c>
      <c r="K1444" s="1">
        <f ca="1" t="shared" si="484"/>
        <v>0</v>
      </c>
      <c r="L1444" s="1">
        <f ca="1" t="shared" si="485"/>
        <v>495</v>
      </c>
      <c r="N1444" s="45">
        <f ca="1" t="shared" si="486"/>
        <v>0</v>
      </c>
      <c r="O1444" s="45">
        <f ca="1" t="shared" si="487"/>
        <v>150</v>
      </c>
      <c r="P1444" s="45">
        <f ca="1" t="shared" si="488"/>
        <v>36</v>
      </c>
      <c r="Q1444" s="45">
        <f ca="1" t="shared" si="489"/>
        <v>0</v>
      </c>
      <c r="R1444" s="45">
        <f ca="1" t="shared" si="490"/>
        <v>0</v>
      </c>
    </row>
    <row r="1445" spans="2:18">
      <c r="B1445" s="9">
        <v>5.5</v>
      </c>
      <c r="C1445" s="1">
        <f ca="1">IF(养成规划!E25="",INDIRECT(ADDRESS(ROW()-1,COLUMN())),养成规划!E25)</f>
        <v>4</v>
      </c>
      <c r="D1445" s="1" t="str">
        <f>IF(养成规划!I25="","",养成规划!I25)</f>
        <v/>
      </c>
      <c r="E1445" s="1">
        <f ca="1" t="shared" si="483"/>
        <v>0</v>
      </c>
      <c r="F1445" s="15">
        <f ca="1">'204_军官任务'!X25</f>
        <v>0</v>
      </c>
      <c r="G1445" s="15">
        <f ca="1">'206_副本挂机'!Q144</f>
        <v>390</v>
      </c>
      <c r="H1445" s="15">
        <f ca="1">'208_黑市'!U25</f>
        <v>198</v>
      </c>
      <c r="I1445" s="15">
        <f ca="1">'210_活动'!AA25</f>
        <v>0</v>
      </c>
      <c r="J1445" s="15">
        <f ca="1">'211_VIP宝箱'!R25</f>
        <v>0</v>
      </c>
      <c r="K1445" s="1">
        <f ca="1" t="shared" si="484"/>
        <v>0</v>
      </c>
      <c r="L1445" s="1">
        <f ca="1" t="shared" si="485"/>
        <v>588</v>
      </c>
      <c r="N1445" s="45">
        <f ca="1" t="shared" si="486"/>
        <v>0</v>
      </c>
      <c r="O1445" s="45">
        <f ca="1" t="shared" si="487"/>
        <v>150</v>
      </c>
      <c r="P1445" s="45">
        <f ca="1" t="shared" si="488"/>
        <v>36</v>
      </c>
      <c r="Q1445" s="45">
        <f ca="1" t="shared" si="489"/>
        <v>0</v>
      </c>
      <c r="R1445" s="45">
        <f ca="1" t="shared" si="490"/>
        <v>0</v>
      </c>
    </row>
    <row r="1446" spans="2:18">
      <c r="B1446" s="9">
        <v>6</v>
      </c>
      <c r="C1446" s="1">
        <f ca="1">IF(养成规划!E26="",INDIRECT(ADDRESS(ROW()-1,COLUMN())),养成规划!E26)</f>
        <v>4</v>
      </c>
      <c r="D1446" s="1" t="str">
        <f>IF(养成规划!I26="","",养成规划!I26)</f>
        <v/>
      </c>
      <c r="E1446" s="1">
        <f ca="1" t="shared" si="483"/>
        <v>0</v>
      </c>
      <c r="F1446" s="15">
        <f ca="1">'204_军官任务'!X26</f>
        <v>0</v>
      </c>
      <c r="G1446" s="15">
        <f ca="1">'206_副本挂机'!Q145</f>
        <v>472.5</v>
      </c>
      <c r="H1446" s="15">
        <f ca="1">'208_黑市'!U26</f>
        <v>216</v>
      </c>
      <c r="I1446" s="15">
        <f ca="1">'210_活动'!AA26</f>
        <v>0</v>
      </c>
      <c r="J1446" s="15">
        <f ca="1">'211_VIP宝箱'!R26</f>
        <v>0</v>
      </c>
      <c r="K1446" s="1">
        <f ca="1" t="shared" si="484"/>
        <v>0</v>
      </c>
      <c r="L1446" s="1">
        <f ca="1" t="shared" si="485"/>
        <v>688.5</v>
      </c>
      <c r="N1446" s="45">
        <f ca="1" t="shared" si="486"/>
        <v>0</v>
      </c>
      <c r="O1446" s="45">
        <f ca="1" t="shared" si="487"/>
        <v>165</v>
      </c>
      <c r="P1446" s="45">
        <f ca="1" t="shared" si="488"/>
        <v>36</v>
      </c>
      <c r="Q1446" s="45">
        <f ca="1" t="shared" si="489"/>
        <v>0</v>
      </c>
      <c r="R1446" s="45">
        <f ca="1" t="shared" si="490"/>
        <v>0</v>
      </c>
    </row>
    <row r="1447" spans="2:18">
      <c r="B1447" s="9">
        <v>6.5</v>
      </c>
      <c r="C1447" s="1">
        <f ca="1">IF(养成规划!E27="",INDIRECT(ADDRESS(ROW()-1,COLUMN())),养成规划!E27)</f>
        <v>4</v>
      </c>
      <c r="D1447" s="1" t="str">
        <f>IF(养成规划!I27="","",养成规划!I27)</f>
        <v/>
      </c>
      <c r="E1447" s="1">
        <f ca="1" t="shared" si="483"/>
        <v>0</v>
      </c>
      <c r="F1447" s="15">
        <f ca="1">'204_军官任务'!X27</f>
        <v>0</v>
      </c>
      <c r="G1447" s="15">
        <f ca="1">'206_副本挂机'!Q146</f>
        <v>555</v>
      </c>
      <c r="H1447" s="15">
        <f ca="1">'208_黑市'!U27</f>
        <v>234</v>
      </c>
      <c r="I1447" s="15">
        <f ca="1">'210_活动'!AA27</f>
        <v>0</v>
      </c>
      <c r="J1447" s="15">
        <f ca="1">'211_VIP宝箱'!R27</f>
        <v>0</v>
      </c>
      <c r="K1447" s="1">
        <f ca="1" t="shared" si="484"/>
        <v>0</v>
      </c>
      <c r="L1447" s="1">
        <f ca="1" t="shared" si="485"/>
        <v>789</v>
      </c>
      <c r="N1447" s="45">
        <f ca="1" t="shared" si="486"/>
        <v>0</v>
      </c>
      <c r="O1447" s="45">
        <f ca="1" t="shared" si="487"/>
        <v>165</v>
      </c>
      <c r="P1447" s="45">
        <f ca="1" t="shared" si="488"/>
        <v>36</v>
      </c>
      <c r="Q1447" s="45">
        <f ca="1" t="shared" si="489"/>
        <v>0</v>
      </c>
      <c r="R1447" s="45">
        <f ca="1" t="shared" si="490"/>
        <v>0</v>
      </c>
    </row>
    <row r="1448" spans="2:18">
      <c r="B1448" s="9">
        <v>7</v>
      </c>
      <c r="C1448" s="1">
        <f ca="1">IF(养成规划!E28="",INDIRECT(ADDRESS(ROW()-1,COLUMN())),养成规划!E28)</f>
        <v>5</v>
      </c>
      <c r="D1448" s="1" t="str">
        <f>IF(养成规划!I28="","",养成规划!I28)</f>
        <v>铜</v>
      </c>
      <c r="E1448" s="1">
        <f ca="1" t="shared" si="483"/>
        <v>375</v>
      </c>
      <c r="F1448" s="15">
        <f ca="1">'204_军官任务'!X28</f>
        <v>108</v>
      </c>
      <c r="G1448" s="15">
        <f ca="1">'206_副本挂机'!Q147</f>
        <v>645</v>
      </c>
      <c r="H1448" s="15">
        <f ca="1">'208_黑市'!U28</f>
        <v>252</v>
      </c>
      <c r="I1448" s="15">
        <f ca="1">'210_活动'!AA28</f>
        <v>0</v>
      </c>
      <c r="J1448" s="15">
        <f ca="1">'211_VIP宝箱'!R28</f>
        <v>0</v>
      </c>
      <c r="K1448" s="1">
        <f ca="1" t="shared" si="484"/>
        <v>375</v>
      </c>
      <c r="L1448" s="1">
        <f ca="1" t="shared" si="485"/>
        <v>1005</v>
      </c>
      <c r="N1448" s="45">
        <f ca="1" t="shared" si="486"/>
        <v>216</v>
      </c>
      <c r="O1448" s="45">
        <f ca="1" t="shared" si="487"/>
        <v>180</v>
      </c>
      <c r="P1448" s="45">
        <f ca="1" t="shared" si="488"/>
        <v>36</v>
      </c>
      <c r="Q1448" s="45">
        <f ca="1" t="shared" si="489"/>
        <v>0</v>
      </c>
      <c r="R1448" s="45">
        <f ca="1" t="shared" si="490"/>
        <v>0</v>
      </c>
    </row>
    <row r="1449" spans="2:18">
      <c r="B1449" s="10">
        <v>8</v>
      </c>
      <c r="C1449" s="1">
        <f ca="1">IF(养成规划!E29="",INDIRECT(ADDRESS(ROW()-1,COLUMN())),养成规划!E29)</f>
        <v>5</v>
      </c>
      <c r="D1449" s="1" t="str">
        <f>IF(养成规划!I29="","",养成规划!I29)</f>
        <v/>
      </c>
      <c r="E1449" s="1">
        <f ca="1" t="shared" si="483"/>
        <v>0</v>
      </c>
      <c r="F1449" s="15">
        <f ca="1">'204_军官任务'!X29</f>
        <v>324</v>
      </c>
      <c r="G1449" s="15">
        <f ca="1">'206_副本挂机'!Q148</f>
        <v>840</v>
      </c>
      <c r="H1449" s="15">
        <f ca="1">'208_黑市'!U29</f>
        <v>324</v>
      </c>
      <c r="I1449" s="15">
        <f ca="1">'210_活动'!AA29</f>
        <v>720</v>
      </c>
      <c r="J1449" s="15">
        <f ca="1">'211_VIP宝箱'!R29</f>
        <v>0</v>
      </c>
      <c r="K1449" s="1">
        <f ca="1" t="shared" si="484"/>
        <v>0</v>
      </c>
      <c r="L1449" s="1">
        <f ca="1" t="shared" si="485"/>
        <v>2208</v>
      </c>
      <c r="N1449" s="45">
        <f ca="1" t="shared" si="486"/>
        <v>216</v>
      </c>
      <c r="O1449" s="45">
        <f ca="1" t="shared" si="487"/>
        <v>195</v>
      </c>
      <c r="P1449" s="45">
        <f ca="1" t="shared" si="488"/>
        <v>72</v>
      </c>
      <c r="Q1449" s="45">
        <f ca="1" t="shared" si="489"/>
        <v>720</v>
      </c>
      <c r="R1449" s="45">
        <f ca="1" t="shared" si="490"/>
        <v>0</v>
      </c>
    </row>
    <row r="1450" spans="2:18">
      <c r="B1450" s="10">
        <v>9</v>
      </c>
      <c r="C1450" s="1">
        <f ca="1">IF(养成规划!E30="",INDIRECT(ADDRESS(ROW()-1,COLUMN())),养成规划!E30)</f>
        <v>5</v>
      </c>
      <c r="D1450" s="1" t="str">
        <f>IF(养成规划!I30="","",养成规划!I30)</f>
        <v/>
      </c>
      <c r="E1450" s="1">
        <f ca="1" t="shared" si="483"/>
        <v>0</v>
      </c>
      <c r="F1450" s="15">
        <f ca="1">'204_军官任务'!X30</f>
        <v>540</v>
      </c>
      <c r="G1450" s="15">
        <f ca="1">'206_副本挂机'!Q149</f>
        <v>1065</v>
      </c>
      <c r="H1450" s="15">
        <f ca="1">'208_黑市'!U30</f>
        <v>396</v>
      </c>
      <c r="I1450" s="15">
        <f ca="1">'210_活动'!AA30</f>
        <v>1440</v>
      </c>
      <c r="J1450" s="15">
        <f ca="1">'211_VIP宝箱'!R30</f>
        <v>0</v>
      </c>
      <c r="K1450" s="1">
        <f ca="1" t="shared" si="484"/>
        <v>0</v>
      </c>
      <c r="L1450" s="1">
        <f ca="1" t="shared" si="485"/>
        <v>3441</v>
      </c>
      <c r="N1450" s="45">
        <f ca="1" t="shared" si="486"/>
        <v>216</v>
      </c>
      <c r="O1450" s="45">
        <f ca="1" t="shared" si="487"/>
        <v>225</v>
      </c>
      <c r="P1450" s="45">
        <f ca="1" t="shared" si="488"/>
        <v>72</v>
      </c>
      <c r="Q1450" s="45">
        <f ca="1" t="shared" si="489"/>
        <v>720</v>
      </c>
      <c r="R1450" s="45">
        <f ca="1" t="shared" si="490"/>
        <v>0</v>
      </c>
    </row>
    <row r="1451" spans="2:18">
      <c r="B1451" s="10">
        <v>10</v>
      </c>
      <c r="C1451" s="1">
        <f ca="1">IF(养成规划!E31="",INDIRECT(ADDRESS(ROW()-1,COLUMN())),养成规划!E31)</f>
        <v>5</v>
      </c>
      <c r="D1451" s="1" t="str">
        <f>IF(养成规划!I31="","",养成规划!I31)</f>
        <v/>
      </c>
      <c r="E1451" s="1">
        <f ca="1" t="shared" si="483"/>
        <v>0</v>
      </c>
      <c r="F1451" s="15">
        <f ca="1">'204_军官任务'!X31</f>
        <v>756</v>
      </c>
      <c r="G1451" s="15">
        <f ca="1">'206_副本挂机'!Q150</f>
        <v>1305</v>
      </c>
      <c r="H1451" s="15">
        <f ca="1">'208_黑市'!U31</f>
        <v>468</v>
      </c>
      <c r="I1451" s="15">
        <f ca="1">'210_活动'!AA31</f>
        <v>2160</v>
      </c>
      <c r="J1451" s="15">
        <f ca="1">'211_VIP宝箱'!R31</f>
        <v>0</v>
      </c>
      <c r="K1451" s="1">
        <f ca="1" t="shared" si="484"/>
        <v>0</v>
      </c>
      <c r="L1451" s="1">
        <f ca="1" t="shared" si="485"/>
        <v>4689</v>
      </c>
      <c r="N1451" s="45">
        <f ca="1" t="shared" si="486"/>
        <v>216</v>
      </c>
      <c r="O1451" s="45">
        <f ca="1" t="shared" si="487"/>
        <v>240</v>
      </c>
      <c r="P1451" s="45">
        <f ca="1" t="shared" si="488"/>
        <v>72</v>
      </c>
      <c r="Q1451" s="45">
        <f ca="1" t="shared" si="489"/>
        <v>720</v>
      </c>
      <c r="R1451" s="45">
        <f ca="1" t="shared" si="490"/>
        <v>0</v>
      </c>
    </row>
    <row r="1452" spans="2:18">
      <c r="B1452" s="10">
        <v>11</v>
      </c>
      <c r="C1452" s="1">
        <f ca="1">IF(养成规划!E32="",INDIRECT(ADDRESS(ROW()-1,COLUMN())),养成规划!E32)</f>
        <v>5</v>
      </c>
      <c r="D1452" s="1" t="str">
        <f>IF(养成规划!I32="","",养成规划!I32)</f>
        <v/>
      </c>
      <c r="E1452" s="1">
        <f ca="1" t="shared" si="483"/>
        <v>0</v>
      </c>
      <c r="F1452" s="15">
        <f ca="1">'204_军官任务'!X32</f>
        <v>972</v>
      </c>
      <c r="G1452" s="15">
        <f ca="1">'206_副本挂机'!Q151</f>
        <v>1560</v>
      </c>
      <c r="H1452" s="15">
        <f ca="1">'208_黑市'!U32</f>
        <v>540</v>
      </c>
      <c r="I1452" s="15">
        <f ca="1">'210_活动'!AA32</f>
        <v>2880</v>
      </c>
      <c r="J1452" s="15">
        <f ca="1">'211_VIP宝箱'!R32</f>
        <v>0</v>
      </c>
      <c r="K1452" s="1">
        <f ca="1" t="shared" si="484"/>
        <v>0</v>
      </c>
      <c r="L1452" s="1">
        <f ca="1" t="shared" si="485"/>
        <v>5952</v>
      </c>
      <c r="N1452" s="45">
        <f ca="1" t="shared" si="486"/>
        <v>216</v>
      </c>
      <c r="O1452" s="45">
        <f ca="1" t="shared" si="487"/>
        <v>255</v>
      </c>
      <c r="P1452" s="45">
        <f ca="1" t="shared" si="488"/>
        <v>72</v>
      </c>
      <c r="Q1452" s="45">
        <f ca="1" t="shared" si="489"/>
        <v>720</v>
      </c>
      <c r="R1452" s="45">
        <f ca="1" t="shared" si="490"/>
        <v>0</v>
      </c>
    </row>
    <row r="1453" spans="2:18">
      <c r="B1453" s="10">
        <v>12</v>
      </c>
      <c r="C1453" s="1">
        <f ca="1">IF(养成规划!E33="",INDIRECT(ADDRESS(ROW()-1,COLUMN())),养成规划!E33)</f>
        <v>5</v>
      </c>
      <c r="D1453" s="1" t="str">
        <f>IF(养成规划!I33="","",养成规划!I33)</f>
        <v/>
      </c>
      <c r="E1453" s="1">
        <f ca="1" t="shared" si="483"/>
        <v>0</v>
      </c>
      <c r="F1453" s="15">
        <f ca="1">'204_军官任务'!X33</f>
        <v>1188</v>
      </c>
      <c r="G1453" s="15">
        <f ca="1">'206_副本挂机'!Q152</f>
        <v>1830</v>
      </c>
      <c r="H1453" s="15">
        <f ca="1">'208_黑市'!U33</f>
        <v>612</v>
      </c>
      <c r="I1453" s="15">
        <f ca="1">'210_活动'!AA33</f>
        <v>3600</v>
      </c>
      <c r="J1453" s="15">
        <f ca="1">'211_VIP宝箱'!R33</f>
        <v>0</v>
      </c>
      <c r="K1453" s="1">
        <f ca="1" t="shared" si="484"/>
        <v>0</v>
      </c>
      <c r="L1453" s="1">
        <f ca="1" t="shared" si="485"/>
        <v>7230</v>
      </c>
      <c r="N1453" s="45">
        <f ca="1" t="shared" si="486"/>
        <v>216</v>
      </c>
      <c r="O1453" s="45">
        <f ca="1" t="shared" si="487"/>
        <v>270</v>
      </c>
      <c r="P1453" s="45">
        <f ca="1" t="shared" si="488"/>
        <v>72</v>
      </c>
      <c r="Q1453" s="45">
        <f ca="1" t="shared" si="489"/>
        <v>720</v>
      </c>
      <c r="R1453" s="45">
        <f ca="1" t="shared" si="490"/>
        <v>0</v>
      </c>
    </row>
    <row r="1454" spans="2:18">
      <c r="B1454" s="10">
        <v>13</v>
      </c>
      <c r="C1454" s="1">
        <f ca="1">IF(养成规划!E34="",INDIRECT(ADDRESS(ROW()-1,COLUMN())),养成规划!E34)</f>
        <v>5</v>
      </c>
      <c r="D1454" s="1" t="str">
        <f>IF(养成规划!I34="","",养成规划!I34)</f>
        <v/>
      </c>
      <c r="E1454" s="1">
        <f ca="1" t="shared" si="483"/>
        <v>0</v>
      </c>
      <c r="F1454" s="15">
        <f ca="1">'204_军官任务'!X34</f>
        <v>1404</v>
      </c>
      <c r="G1454" s="15">
        <f ca="1">'206_副本挂机'!Q153</f>
        <v>2130</v>
      </c>
      <c r="H1454" s="15">
        <f ca="1">'208_黑市'!U34</f>
        <v>684</v>
      </c>
      <c r="I1454" s="15">
        <f ca="1">'210_活动'!AA34</f>
        <v>4320</v>
      </c>
      <c r="J1454" s="15">
        <f ca="1">'211_VIP宝箱'!R34</f>
        <v>0</v>
      </c>
      <c r="K1454" s="1">
        <f ca="1" t="shared" si="484"/>
        <v>0</v>
      </c>
      <c r="L1454" s="1">
        <f ca="1" t="shared" si="485"/>
        <v>8538</v>
      </c>
      <c r="N1454" s="45">
        <f ca="1" t="shared" si="486"/>
        <v>216</v>
      </c>
      <c r="O1454" s="45">
        <f ca="1" t="shared" si="487"/>
        <v>300</v>
      </c>
      <c r="P1454" s="45">
        <f ca="1" t="shared" si="488"/>
        <v>72</v>
      </c>
      <c r="Q1454" s="45">
        <f ca="1" t="shared" si="489"/>
        <v>720</v>
      </c>
      <c r="R1454" s="45">
        <f ca="1" t="shared" si="490"/>
        <v>0</v>
      </c>
    </row>
    <row r="1455" spans="2:18">
      <c r="B1455" s="10">
        <v>14</v>
      </c>
      <c r="C1455" s="1">
        <f ca="1">IF(养成规划!E35="",INDIRECT(ADDRESS(ROW()-1,COLUMN())),养成规划!E35)</f>
        <v>5</v>
      </c>
      <c r="D1455" s="1" t="str">
        <f>IF(养成规划!I35="","",养成规划!I35)</f>
        <v/>
      </c>
      <c r="E1455" s="1">
        <f ca="1" t="shared" si="483"/>
        <v>0</v>
      </c>
      <c r="F1455" s="15">
        <f ca="1">'204_军官任务'!X35</f>
        <v>1620</v>
      </c>
      <c r="G1455" s="15">
        <f ca="1">'206_副本挂机'!Q154</f>
        <v>2460</v>
      </c>
      <c r="H1455" s="15">
        <f ca="1">'208_黑市'!U35</f>
        <v>756</v>
      </c>
      <c r="I1455" s="15">
        <f ca="1">'210_活动'!AA35</f>
        <v>5040</v>
      </c>
      <c r="J1455" s="15">
        <f ca="1">'211_VIP宝箱'!R35</f>
        <v>0</v>
      </c>
      <c r="K1455" s="1">
        <f ca="1" t="shared" si="484"/>
        <v>0</v>
      </c>
      <c r="L1455" s="1">
        <f ca="1" t="shared" si="485"/>
        <v>9876</v>
      </c>
      <c r="N1455" s="45">
        <f ca="1" t="shared" si="486"/>
        <v>216</v>
      </c>
      <c r="O1455" s="45">
        <f ca="1" t="shared" si="487"/>
        <v>330</v>
      </c>
      <c r="P1455" s="45">
        <f ca="1" t="shared" si="488"/>
        <v>72</v>
      </c>
      <c r="Q1455" s="45">
        <f ca="1" t="shared" si="489"/>
        <v>720</v>
      </c>
      <c r="R1455" s="45">
        <f ca="1" t="shared" si="490"/>
        <v>0</v>
      </c>
    </row>
    <row r="1456" spans="2:18">
      <c r="B1456" s="10">
        <v>15</v>
      </c>
      <c r="C1456" s="1">
        <f ca="1">IF(养成规划!E36="",INDIRECT(ADDRESS(ROW()-1,COLUMN())),养成规划!E36)</f>
        <v>5</v>
      </c>
      <c r="D1456" s="1" t="str">
        <f>IF(养成规划!I36="","",养成规划!I36)</f>
        <v/>
      </c>
      <c r="E1456" s="1">
        <f ca="1" t="shared" si="483"/>
        <v>0</v>
      </c>
      <c r="F1456" s="15">
        <f ca="1">'204_军官任务'!X36</f>
        <v>1836</v>
      </c>
      <c r="G1456" s="15">
        <f ca="1">'206_副本挂机'!Q155</f>
        <v>2820</v>
      </c>
      <c r="H1456" s="15">
        <f ca="1">'208_黑市'!U36</f>
        <v>900</v>
      </c>
      <c r="I1456" s="15">
        <f ca="1">'210_活动'!AA36</f>
        <v>6480</v>
      </c>
      <c r="J1456" s="15">
        <f ca="1">'211_VIP宝箱'!R36</f>
        <v>0</v>
      </c>
      <c r="K1456" s="1">
        <f ca="1" t="shared" si="484"/>
        <v>0</v>
      </c>
      <c r="L1456" s="1">
        <f ca="1" t="shared" si="485"/>
        <v>12036</v>
      </c>
      <c r="N1456" s="45">
        <f ca="1" t="shared" si="486"/>
        <v>216</v>
      </c>
      <c r="O1456" s="45">
        <f ca="1" t="shared" si="487"/>
        <v>360</v>
      </c>
      <c r="P1456" s="45">
        <f ca="1" t="shared" si="488"/>
        <v>144</v>
      </c>
      <c r="Q1456" s="45">
        <f ca="1" t="shared" si="489"/>
        <v>1440</v>
      </c>
      <c r="R1456" s="45">
        <f ca="1" t="shared" si="490"/>
        <v>0</v>
      </c>
    </row>
    <row r="1457" spans="2:18">
      <c r="B1457" s="10">
        <v>16</v>
      </c>
      <c r="C1457" s="1">
        <f ca="1">IF(养成规划!E37="",INDIRECT(ADDRESS(ROW()-1,COLUMN())),养成规划!E37)</f>
        <v>5</v>
      </c>
      <c r="D1457" s="1" t="str">
        <f>IF(养成规划!I37="","",养成规划!I37)</f>
        <v/>
      </c>
      <c r="E1457" s="1">
        <f ca="1" t="shared" si="483"/>
        <v>0</v>
      </c>
      <c r="F1457" s="15">
        <f ca="1">'204_军官任务'!X37</f>
        <v>2052</v>
      </c>
      <c r="G1457" s="15">
        <f ca="1">'206_副本挂机'!Q156</f>
        <v>3210</v>
      </c>
      <c r="H1457" s="15">
        <f ca="1">'208_黑市'!U37</f>
        <v>1044</v>
      </c>
      <c r="I1457" s="15">
        <f ca="1">'210_活动'!AA37</f>
        <v>7920</v>
      </c>
      <c r="J1457" s="15">
        <f ca="1">'211_VIP宝箱'!R37</f>
        <v>0</v>
      </c>
      <c r="K1457" s="1">
        <f ca="1" t="shared" si="484"/>
        <v>0</v>
      </c>
      <c r="L1457" s="1">
        <f ca="1" t="shared" si="485"/>
        <v>14226</v>
      </c>
      <c r="N1457" s="45">
        <f ca="1" t="shared" si="486"/>
        <v>216</v>
      </c>
      <c r="O1457" s="45">
        <f ca="1" t="shared" si="487"/>
        <v>390</v>
      </c>
      <c r="P1457" s="45">
        <f ca="1" t="shared" si="488"/>
        <v>144</v>
      </c>
      <c r="Q1457" s="45">
        <f ca="1" t="shared" si="489"/>
        <v>1440</v>
      </c>
      <c r="R1457" s="45">
        <f ca="1" t="shared" si="490"/>
        <v>0</v>
      </c>
    </row>
    <row r="1458" spans="2:18">
      <c r="B1458" s="10">
        <v>17</v>
      </c>
      <c r="C1458" s="1">
        <f ca="1">IF(养成规划!E38="",INDIRECT(ADDRESS(ROW()-1,COLUMN())),养成规划!E38)</f>
        <v>5</v>
      </c>
      <c r="D1458" s="1" t="str">
        <f>IF(养成规划!I38="","",养成规划!I38)</f>
        <v/>
      </c>
      <c r="E1458" s="1">
        <f ca="1" t="shared" ref="E1458:E1489" si="491">IFERROR(OFFSET($D$1617,MATCH(D1458,$B$1617:$B$1622,0)-1,0),0)*$E$1605*$E$1606</f>
        <v>0</v>
      </c>
      <c r="F1458" s="15">
        <f ca="1">'204_军官任务'!X38</f>
        <v>2268</v>
      </c>
      <c r="G1458" s="15">
        <f ca="1">'206_副本挂机'!Q157</f>
        <v>3630</v>
      </c>
      <c r="H1458" s="15">
        <f ca="1">'208_黑市'!U38</f>
        <v>1188</v>
      </c>
      <c r="I1458" s="15">
        <f ca="1">'210_活动'!AA38</f>
        <v>9360</v>
      </c>
      <c r="J1458" s="15">
        <f ca="1">'211_VIP宝箱'!R38</f>
        <v>0</v>
      </c>
      <c r="K1458" s="1">
        <f ca="1" t="shared" ref="K1458:K1489" si="492">E1458</f>
        <v>0</v>
      </c>
      <c r="L1458" s="1">
        <f ca="1" t="shared" ref="L1458:L1489" si="493">SUM(F1458:J1458)</f>
        <v>16446</v>
      </c>
      <c r="N1458" s="45">
        <f ca="1" t="shared" si="486"/>
        <v>216</v>
      </c>
      <c r="O1458" s="45">
        <f ca="1" t="shared" si="487"/>
        <v>420</v>
      </c>
      <c r="P1458" s="45">
        <f ca="1" t="shared" si="488"/>
        <v>144</v>
      </c>
      <c r="Q1458" s="45">
        <f ca="1" t="shared" si="489"/>
        <v>1440</v>
      </c>
      <c r="R1458" s="45">
        <f ca="1" t="shared" si="490"/>
        <v>0</v>
      </c>
    </row>
    <row r="1459" spans="2:18">
      <c r="B1459" s="10">
        <v>18</v>
      </c>
      <c r="C1459" s="1">
        <f ca="1">IF(养成规划!E39="",INDIRECT(ADDRESS(ROW()-1,COLUMN())),养成规划!E39)</f>
        <v>5</v>
      </c>
      <c r="D1459" s="1" t="str">
        <f>IF(养成规划!I39="","",养成规划!I39)</f>
        <v/>
      </c>
      <c r="E1459" s="1">
        <f ca="1" t="shared" si="491"/>
        <v>0</v>
      </c>
      <c r="F1459" s="15">
        <f ca="1">'204_军官任务'!X39</f>
        <v>2484</v>
      </c>
      <c r="G1459" s="15">
        <f ca="1">'206_副本挂机'!Q158</f>
        <v>4080</v>
      </c>
      <c r="H1459" s="15">
        <f ca="1">'208_黑市'!U39</f>
        <v>1332</v>
      </c>
      <c r="I1459" s="15">
        <f ca="1">'210_活动'!AA39</f>
        <v>10800</v>
      </c>
      <c r="J1459" s="15">
        <f ca="1">'211_VIP宝箱'!R39</f>
        <v>0</v>
      </c>
      <c r="K1459" s="1">
        <f ca="1" t="shared" si="492"/>
        <v>0</v>
      </c>
      <c r="L1459" s="1">
        <f ca="1" t="shared" si="493"/>
        <v>18696</v>
      </c>
      <c r="N1459" s="45">
        <f ca="1" t="shared" ref="N1459:N1490" si="494">(F1459-F1458)/($B1459-$B1458)</f>
        <v>216</v>
      </c>
      <c r="O1459" s="45">
        <f ca="1" t="shared" ref="O1459:O1490" si="495">(G1459-G1458)/($B1459-$B1458)</f>
        <v>450</v>
      </c>
      <c r="P1459" s="45">
        <f ca="1" t="shared" ref="P1459:P1490" si="496">(H1459-H1458)/($B1459-$B1458)</f>
        <v>144</v>
      </c>
      <c r="Q1459" s="45">
        <f ca="1" t="shared" ref="Q1459:Q1490" si="497">(I1459-I1458)/($B1459-$B1458)</f>
        <v>1440</v>
      </c>
      <c r="R1459" s="45">
        <f ca="1" t="shared" ref="R1459:R1490" si="498">(J1459-J1458)/($B1459-$B1458)</f>
        <v>0</v>
      </c>
    </row>
    <row r="1460" spans="2:18">
      <c r="B1460" s="10">
        <v>19</v>
      </c>
      <c r="C1460" s="1">
        <f ca="1">IF(养成规划!E40="",INDIRECT(ADDRESS(ROW()-1,COLUMN())),养成规划!E40)</f>
        <v>5</v>
      </c>
      <c r="D1460" s="1" t="str">
        <f>IF(养成规划!I40="","",养成规划!I40)</f>
        <v/>
      </c>
      <c r="E1460" s="1">
        <f ca="1" t="shared" si="491"/>
        <v>0</v>
      </c>
      <c r="F1460" s="15">
        <f ca="1">'204_军官任务'!X40</f>
        <v>2700</v>
      </c>
      <c r="G1460" s="15">
        <f ca="1">'206_副本挂机'!Q159</f>
        <v>4560</v>
      </c>
      <c r="H1460" s="15">
        <f ca="1">'208_黑市'!U40</f>
        <v>1476</v>
      </c>
      <c r="I1460" s="15">
        <f ca="1">'210_活动'!AA40</f>
        <v>12240</v>
      </c>
      <c r="J1460" s="15">
        <f ca="1">'211_VIP宝箱'!R40</f>
        <v>0</v>
      </c>
      <c r="K1460" s="1">
        <f ca="1" t="shared" si="492"/>
        <v>0</v>
      </c>
      <c r="L1460" s="1">
        <f ca="1" t="shared" si="493"/>
        <v>20976</v>
      </c>
      <c r="N1460" s="45">
        <f ca="1" t="shared" si="494"/>
        <v>216</v>
      </c>
      <c r="O1460" s="45">
        <f ca="1" t="shared" si="495"/>
        <v>480</v>
      </c>
      <c r="P1460" s="45">
        <f ca="1" t="shared" si="496"/>
        <v>144</v>
      </c>
      <c r="Q1460" s="45">
        <f ca="1" t="shared" si="497"/>
        <v>1440</v>
      </c>
      <c r="R1460" s="45">
        <f ca="1" t="shared" si="498"/>
        <v>0</v>
      </c>
    </row>
    <row r="1461" spans="2:18">
      <c r="B1461" s="10">
        <v>20</v>
      </c>
      <c r="C1461" s="1">
        <f ca="1">IF(养成规划!E41="",INDIRECT(ADDRESS(ROW()-1,COLUMN())),养成规划!E41)</f>
        <v>5</v>
      </c>
      <c r="D1461" s="1" t="str">
        <f>IF(养成规划!I41="","",养成规划!I41)</f>
        <v>银</v>
      </c>
      <c r="E1461" s="1">
        <f ca="1" t="shared" si="491"/>
        <v>30000</v>
      </c>
      <c r="F1461" s="15">
        <f ca="1">'204_军官任务'!X41</f>
        <v>2916</v>
      </c>
      <c r="G1461" s="15">
        <f ca="1">'206_副本挂机'!Q160</f>
        <v>5070</v>
      </c>
      <c r="H1461" s="15">
        <f ca="1">'208_黑市'!U41</f>
        <v>1620</v>
      </c>
      <c r="I1461" s="15">
        <f ca="1">'210_活动'!AA41</f>
        <v>13680</v>
      </c>
      <c r="J1461" s="15">
        <f ca="1">'211_VIP宝箱'!R41</f>
        <v>0</v>
      </c>
      <c r="K1461" s="1">
        <f ca="1" t="shared" si="492"/>
        <v>30000</v>
      </c>
      <c r="L1461" s="1">
        <f ca="1" t="shared" si="493"/>
        <v>23286</v>
      </c>
      <c r="N1461" s="45">
        <f ca="1" t="shared" si="494"/>
        <v>216</v>
      </c>
      <c r="O1461" s="45">
        <f ca="1" t="shared" si="495"/>
        <v>510</v>
      </c>
      <c r="P1461" s="45">
        <f ca="1" t="shared" si="496"/>
        <v>144</v>
      </c>
      <c r="Q1461" s="45">
        <f ca="1" t="shared" si="497"/>
        <v>1440</v>
      </c>
      <c r="R1461" s="45">
        <f ca="1" t="shared" si="498"/>
        <v>0</v>
      </c>
    </row>
    <row r="1462" spans="2:18">
      <c r="B1462" s="10">
        <v>21</v>
      </c>
      <c r="C1462" s="1">
        <f ca="1">IF(养成规划!E42="",INDIRECT(ADDRESS(ROW()-1,COLUMN())),养成规划!E42)</f>
        <v>5</v>
      </c>
      <c r="D1462" s="1" t="str">
        <f>IF(养成规划!I42="","",养成规划!I42)</f>
        <v/>
      </c>
      <c r="E1462" s="1">
        <f ca="1" t="shared" si="491"/>
        <v>0</v>
      </c>
      <c r="F1462" s="15">
        <f ca="1">'204_军官任务'!X42</f>
        <v>3132</v>
      </c>
      <c r="G1462" s="15">
        <f ca="1">'206_副本挂机'!Q161</f>
        <v>5610</v>
      </c>
      <c r="H1462" s="15">
        <f ca="1">'208_黑市'!U42</f>
        <v>1764</v>
      </c>
      <c r="I1462" s="15">
        <f ca="1">'210_活动'!AA42</f>
        <v>15120</v>
      </c>
      <c r="J1462" s="15">
        <f ca="1">'211_VIP宝箱'!R42</f>
        <v>0</v>
      </c>
      <c r="K1462" s="1">
        <f ca="1" t="shared" si="492"/>
        <v>0</v>
      </c>
      <c r="L1462" s="1">
        <f ca="1" t="shared" si="493"/>
        <v>25626</v>
      </c>
      <c r="N1462" s="45">
        <f ca="1" t="shared" si="494"/>
        <v>216</v>
      </c>
      <c r="O1462" s="45">
        <f ca="1" t="shared" si="495"/>
        <v>540</v>
      </c>
      <c r="P1462" s="45">
        <f ca="1" t="shared" si="496"/>
        <v>144</v>
      </c>
      <c r="Q1462" s="45">
        <f ca="1" t="shared" si="497"/>
        <v>1440</v>
      </c>
      <c r="R1462" s="45">
        <f ca="1" t="shared" si="498"/>
        <v>0</v>
      </c>
    </row>
    <row r="1463" spans="2:18">
      <c r="B1463" s="10">
        <v>22</v>
      </c>
      <c r="C1463" s="1">
        <f ca="1">IF(养成规划!E43="",INDIRECT(ADDRESS(ROW()-1,COLUMN())),养成规划!E43)</f>
        <v>5</v>
      </c>
      <c r="D1463" s="1" t="str">
        <f>IF(养成规划!I43="","",养成规划!I43)</f>
        <v/>
      </c>
      <c r="E1463" s="1">
        <f ca="1" t="shared" si="491"/>
        <v>0</v>
      </c>
      <c r="F1463" s="15">
        <f ca="1">'204_军官任务'!X43</f>
        <v>3348</v>
      </c>
      <c r="G1463" s="15">
        <f ca="1">'206_副本挂机'!Q162</f>
        <v>6180</v>
      </c>
      <c r="H1463" s="15">
        <f ca="1">'208_黑市'!U43</f>
        <v>1908</v>
      </c>
      <c r="I1463" s="15">
        <f ca="1">'210_活动'!AA43</f>
        <v>16560</v>
      </c>
      <c r="J1463" s="15">
        <f ca="1">'211_VIP宝箱'!R43</f>
        <v>0</v>
      </c>
      <c r="K1463" s="1">
        <f ca="1" t="shared" si="492"/>
        <v>0</v>
      </c>
      <c r="L1463" s="1">
        <f ca="1" t="shared" si="493"/>
        <v>27996</v>
      </c>
      <c r="N1463" s="45">
        <f ca="1" t="shared" si="494"/>
        <v>216</v>
      </c>
      <c r="O1463" s="45">
        <f ca="1" t="shared" si="495"/>
        <v>570</v>
      </c>
      <c r="P1463" s="45">
        <f ca="1" t="shared" si="496"/>
        <v>144</v>
      </c>
      <c r="Q1463" s="45">
        <f ca="1" t="shared" si="497"/>
        <v>1440</v>
      </c>
      <c r="R1463" s="45">
        <f ca="1" t="shared" si="498"/>
        <v>0</v>
      </c>
    </row>
    <row r="1464" spans="2:18">
      <c r="B1464" s="10">
        <v>23</v>
      </c>
      <c r="C1464" s="1">
        <f ca="1">IF(养成规划!E44="",INDIRECT(ADDRESS(ROW()-1,COLUMN())),养成规划!E44)</f>
        <v>5</v>
      </c>
      <c r="D1464" s="1" t="str">
        <f>IF(养成规划!I44="","",养成规划!I44)</f>
        <v/>
      </c>
      <c r="E1464" s="1">
        <f ca="1" t="shared" si="491"/>
        <v>0</v>
      </c>
      <c r="F1464" s="15">
        <f ca="1">'204_军官任务'!X44</f>
        <v>3564</v>
      </c>
      <c r="G1464" s="15">
        <f ca="1">'206_副本挂机'!Q163</f>
        <v>6780</v>
      </c>
      <c r="H1464" s="15">
        <f ca="1">'208_黑市'!U44</f>
        <v>2052</v>
      </c>
      <c r="I1464" s="15">
        <f ca="1">'210_活动'!AA44</f>
        <v>18000</v>
      </c>
      <c r="J1464" s="15">
        <f ca="1">'211_VIP宝箱'!R44</f>
        <v>0</v>
      </c>
      <c r="K1464" s="1">
        <f ca="1" t="shared" si="492"/>
        <v>0</v>
      </c>
      <c r="L1464" s="1">
        <f ca="1" t="shared" si="493"/>
        <v>30396</v>
      </c>
      <c r="N1464" s="45">
        <f ca="1" t="shared" si="494"/>
        <v>216</v>
      </c>
      <c r="O1464" s="45">
        <f ca="1" t="shared" si="495"/>
        <v>600</v>
      </c>
      <c r="P1464" s="45">
        <f ca="1" t="shared" si="496"/>
        <v>144</v>
      </c>
      <c r="Q1464" s="45">
        <f ca="1" t="shared" si="497"/>
        <v>1440</v>
      </c>
      <c r="R1464" s="45">
        <f ca="1" t="shared" si="498"/>
        <v>0</v>
      </c>
    </row>
    <row r="1465" spans="2:18">
      <c r="B1465" s="10">
        <v>24</v>
      </c>
      <c r="C1465" s="1">
        <f ca="1">IF(养成规划!E45="",INDIRECT(ADDRESS(ROW()-1,COLUMN())),养成规划!E45)</f>
        <v>5</v>
      </c>
      <c r="D1465" s="1" t="str">
        <f>IF(养成规划!I45="","",养成规划!I45)</f>
        <v/>
      </c>
      <c r="E1465" s="1">
        <f ca="1" t="shared" si="491"/>
        <v>0</v>
      </c>
      <c r="F1465" s="15">
        <f ca="1">'204_军官任务'!X45</f>
        <v>3780</v>
      </c>
      <c r="G1465" s="15">
        <f ca="1">'206_副本挂机'!Q164</f>
        <v>7380</v>
      </c>
      <c r="H1465" s="15">
        <f ca="1">'208_黑市'!U45</f>
        <v>2196</v>
      </c>
      <c r="I1465" s="15">
        <f ca="1">'210_活动'!AA45</f>
        <v>19440</v>
      </c>
      <c r="J1465" s="15">
        <f ca="1">'211_VIP宝箱'!R45</f>
        <v>0</v>
      </c>
      <c r="K1465" s="1">
        <f ca="1" t="shared" si="492"/>
        <v>0</v>
      </c>
      <c r="L1465" s="1">
        <f ca="1" t="shared" si="493"/>
        <v>32796</v>
      </c>
      <c r="N1465" s="45">
        <f ca="1" t="shared" si="494"/>
        <v>216</v>
      </c>
      <c r="O1465" s="45">
        <f ca="1" t="shared" si="495"/>
        <v>600</v>
      </c>
      <c r="P1465" s="45">
        <f ca="1" t="shared" si="496"/>
        <v>144</v>
      </c>
      <c r="Q1465" s="45">
        <f ca="1" t="shared" si="497"/>
        <v>1440</v>
      </c>
      <c r="R1465" s="45">
        <f ca="1" t="shared" si="498"/>
        <v>0</v>
      </c>
    </row>
    <row r="1466" spans="2:18">
      <c r="B1466" s="10">
        <v>25</v>
      </c>
      <c r="C1466" s="1">
        <f ca="1">IF(养成规划!E46="",INDIRECT(ADDRESS(ROW()-1,COLUMN())),养成规划!E46)</f>
        <v>5</v>
      </c>
      <c r="D1466" s="1" t="str">
        <f>IF(养成规划!I46="","",养成规划!I46)</f>
        <v/>
      </c>
      <c r="E1466" s="1">
        <f ca="1" t="shared" si="491"/>
        <v>0</v>
      </c>
      <c r="F1466" s="15">
        <f ca="1">'204_军官任务'!X46</f>
        <v>3996</v>
      </c>
      <c r="G1466" s="15">
        <f ca="1">'206_副本挂机'!Q165</f>
        <v>8010</v>
      </c>
      <c r="H1466" s="15">
        <f ca="1">'208_黑市'!U46</f>
        <v>2340</v>
      </c>
      <c r="I1466" s="15">
        <f ca="1">'210_活动'!AA46</f>
        <v>20880</v>
      </c>
      <c r="J1466" s="15">
        <f ca="1">'211_VIP宝箱'!R46</f>
        <v>0</v>
      </c>
      <c r="K1466" s="1">
        <f ca="1" t="shared" si="492"/>
        <v>0</v>
      </c>
      <c r="L1466" s="1">
        <f ca="1" t="shared" si="493"/>
        <v>35226</v>
      </c>
      <c r="N1466" s="45">
        <f ca="1" t="shared" si="494"/>
        <v>216</v>
      </c>
      <c r="O1466" s="45">
        <f ca="1" t="shared" si="495"/>
        <v>630</v>
      </c>
      <c r="P1466" s="45">
        <f ca="1" t="shared" si="496"/>
        <v>144</v>
      </c>
      <c r="Q1466" s="45">
        <f ca="1" t="shared" si="497"/>
        <v>1440</v>
      </c>
      <c r="R1466" s="45">
        <f ca="1" t="shared" si="498"/>
        <v>0</v>
      </c>
    </row>
    <row r="1467" spans="2:18">
      <c r="B1467" s="10">
        <v>26</v>
      </c>
      <c r="C1467" s="1">
        <f ca="1">IF(养成规划!E47="",INDIRECT(ADDRESS(ROW()-1,COLUMN())),养成规划!E47)</f>
        <v>5</v>
      </c>
      <c r="D1467" s="1" t="str">
        <f>IF(养成规划!I47="","",养成规划!I47)</f>
        <v/>
      </c>
      <c r="E1467" s="1">
        <f ca="1" t="shared" si="491"/>
        <v>0</v>
      </c>
      <c r="F1467" s="15">
        <f ca="1">'204_军官任务'!X47</f>
        <v>4212</v>
      </c>
      <c r="G1467" s="15">
        <f ca="1">'206_副本挂机'!Q166</f>
        <v>8670</v>
      </c>
      <c r="H1467" s="15">
        <f ca="1">'208_黑市'!U47</f>
        <v>2484</v>
      </c>
      <c r="I1467" s="15">
        <f ca="1">'210_活动'!AA47</f>
        <v>22320</v>
      </c>
      <c r="J1467" s="15">
        <f ca="1">'211_VIP宝箱'!R47</f>
        <v>0</v>
      </c>
      <c r="K1467" s="1">
        <f ca="1" t="shared" si="492"/>
        <v>0</v>
      </c>
      <c r="L1467" s="1">
        <f ca="1" t="shared" si="493"/>
        <v>37686</v>
      </c>
      <c r="N1467" s="45">
        <f ca="1" t="shared" si="494"/>
        <v>216</v>
      </c>
      <c r="O1467" s="45">
        <f ca="1" t="shared" si="495"/>
        <v>660</v>
      </c>
      <c r="P1467" s="45">
        <f ca="1" t="shared" si="496"/>
        <v>144</v>
      </c>
      <c r="Q1467" s="45">
        <f ca="1" t="shared" si="497"/>
        <v>1440</v>
      </c>
      <c r="R1467" s="45">
        <f ca="1" t="shared" si="498"/>
        <v>0</v>
      </c>
    </row>
    <row r="1468" spans="2:18">
      <c r="B1468" s="10">
        <v>27</v>
      </c>
      <c r="C1468" s="1">
        <f ca="1">IF(养成规划!E48="",INDIRECT(ADDRESS(ROW()-1,COLUMN())),养成规划!E48)</f>
        <v>5</v>
      </c>
      <c r="D1468" s="1" t="str">
        <f>IF(养成规划!I48="","",养成规划!I48)</f>
        <v/>
      </c>
      <c r="E1468" s="1">
        <f ca="1" t="shared" si="491"/>
        <v>0</v>
      </c>
      <c r="F1468" s="15">
        <f ca="1">'204_军官任务'!X48</f>
        <v>4428</v>
      </c>
      <c r="G1468" s="15">
        <f ca="1">'206_副本挂机'!Q167</f>
        <v>9360</v>
      </c>
      <c r="H1468" s="15">
        <f ca="1">'208_黑市'!U48</f>
        <v>2628</v>
      </c>
      <c r="I1468" s="15">
        <f ca="1">'210_活动'!AA48</f>
        <v>23760</v>
      </c>
      <c r="J1468" s="15">
        <f ca="1">'211_VIP宝箱'!R48</f>
        <v>0</v>
      </c>
      <c r="K1468" s="1">
        <f ca="1" t="shared" si="492"/>
        <v>0</v>
      </c>
      <c r="L1468" s="1">
        <f ca="1" t="shared" si="493"/>
        <v>40176</v>
      </c>
      <c r="N1468" s="45">
        <f ca="1" t="shared" si="494"/>
        <v>216</v>
      </c>
      <c r="O1468" s="45">
        <f ca="1" t="shared" si="495"/>
        <v>690</v>
      </c>
      <c r="P1468" s="45">
        <f ca="1" t="shared" si="496"/>
        <v>144</v>
      </c>
      <c r="Q1468" s="45">
        <f ca="1" t="shared" si="497"/>
        <v>1440</v>
      </c>
      <c r="R1468" s="45">
        <f ca="1" t="shared" si="498"/>
        <v>0</v>
      </c>
    </row>
    <row r="1469" spans="2:18">
      <c r="B1469" s="10">
        <v>28</v>
      </c>
      <c r="C1469" s="1">
        <f ca="1">IF(养成规划!E49="",INDIRECT(ADDRESS(ROW()-1,COLUMN())),养成规划!E49)</f>
        <v>5</v>
      </c>
      <c r="D1469" s="1" t="str">
        <f>IF(养成规划!I49="","",养成规划!I49)</f>
        <v/>
      </c>
      <c r="E1469" s="1">
        <f ca="1" t="shared" si="491"/>
        <v>0</v>
      </c>
      <c r="F1469" s="15">
        <f ca="1">'204_军官任务'!X49</f>
        <v>4788</v>
      </c>
      <c r="G1469" s="15">
        <f ca="1">'206_副本挂机'!Q168</f>
        <v>10080</v>
      </c>
      <c r="H1469" s="15">
        <f ca="1">'208_黑市'!U49</f>
        <v>2772</v>
      </c>
      <c r="I1469" s="15">
        <f ca="1">'210_活动'!AA49</f>
        <v>25200</v>
      </c>
      <c r="J1469" s="15">
        <f ca="1">'211_VIP宝箱'!R49</f>
        <v>0</v>
      </c>
      <c r="K1469" s="1">
        <f ca="1" t="shared" si="492"/>
        <v>0</v>
      </c>
      <c r="L1469" s="1">
        <f ca="1" t="shared" si="493"/>
        <v>42840</v>
      </c>
      <c r="N1469" s="45">
        <f ca="1" t="shared" si="494"/>
        <v>360</v>
      </c>
      <c r="O1469" s="45">
        <f ca="1" t="shared" si="495"/>
        <v>720</v>
      </c>
      <c r="P1469" s="45">
        <f ca="1" t="shared" si="496"/>
        <v>144</v>
      </c>
      <c r="Q1469" s="45">
        <f ca="1" t="shared" si="497"/>
        <v>1440</v>
      </c>
      <c r="R1469" s="45">
        <f ca="1" t="shared" si="498"/>
        <v>0</v>
      </c>
    </row>
    <row r="1470" spans="2:18">
      <c r="B1470" s="10">
        <v>29</v>
      </c>
      <c r="C1470" s="1">
        <f ca="1">IF(养成规划!E50="",INDIRECT(ADDRESS(ROW()-1,COLUMN())),养成规划!E50)</f>
        <v>5</v>
      </c>
      <c r="D1470" s="1" t="str">
        <f>IF(养成规划!I50="","",养成规划!I50)</f>
        <v/>
      </c>
      <c r="E1470" s="1">
        <f ca="1" t="shared" si="491"/>
        <v>0</v>
      </c>
      <c r="F1470" s="15">
        <f ca="1">'204_军官任务'!X50</f>
        <v>5148</v>
      </c>
      <c r="G1470" s="15">
        <f ca="1">'206_副本挂机'!Q169</f>
        <v>10830</v>
      </c>
      <c r="H1470" s="15">
        <f ca="1">'208_黑市'!U50</f>
        <v>2916</v>
      </c>
      <c r="I1470" s="15">
        <f ca="1">'210_活动'!AA50</f>
        <v>26640</v>
      </c>
      <c r="J1470" s="15">
        <f ca="1">'211_VIP宝箱'!R50</f>
        <v>0</v>
      </c>
      <c r="K1470" s="1">
        <f ca="1" t="shared" si="492"/>
        <v>0</v>
      </c>
      <c r="L1470" s="1">
        <f ca="1" t="shared" si="493"/>
        <v>45534</v>
      </c>
      <c r="N1470" s="45">
        <f ca="1" t="shared" si="494"/>
        <v>360</v>
      </c>
      <c r="O1470" s="45">
        <f ca="1" t="shared" si="495"/>
        <v>750</v>
      </c>
      <c r="P1470" s="45">
        <f ca="1" t="shared" si="496"/>
        <v>144</v>
      </c>
      <c r="Q1470" s="45">
        <f ca="1" t="shared" si="497"/>
        <v>1440</v>
      </c>
      <c r="R1470" s="45">
        <f ca="1" t="shared" si="498"/>
        <v>0</v>
      </c>
    </row>
    <row r="1471" spans="2:18">
      <c r="B1471" s="10">
        <v>30</v>
      </c>
      <c r="C1471" s="1">
        <f ca="1">IF(养成规划!E51="",INDIRECT(ADDRESS(ROW()-1,COLUMN())),养成规划!E51)</f>
        <v>5</v>
      </c>
      <c r="D1471" s="1" t="str">
        <f>IF(养成规划!I51="","",养成规划!I51)</f>
        <v/>
      </c>
      <c r="E1471" s="1">
        <f ca="1" t="shared" si="491"/>
        <v>0</v>
      </c>
      <c r="F1471" s="15">
        <f ca="1">'204_军官任务'!X51</f>
        <v>5508</v>
      </c>
      <c r="G1471" s="15">
        <f ca="1">'206_副本挂机'!Q170</f>
        <v>11580</v>
      </c>
      <c r="H1471" s="15">
        <f ca="1">'208_黑市'!U51</f>
        <v>3060</v>
      </c>
      <c r="I1471" s="15">
        <f ca="1">'210_活动'!AA51</f>
        <v>28080</v>
      </c>
      <c r="J1471" s="15">
        <f ca="1">'211_VIP宝箱'!R51</f>
        <v>0</v>
      </c>
      <c r="K1471" s="1">
        <f ca="1" t="shared" si="492"/>
        <v>0</v>
      </c>
      <c r="L1471" s="1">
        <f ca="1" t="shared" si="493"/>
        <v>48228</v>
      </c>
      <c r="N1471" s="45">
        <f ca="1" t="shared" si="494"/>
        <v>360</v>
      </c>
      <c r="O1471" s="45">
        <f ca="1" t="shared" si="495"/>
        <v>750</v>
      </c>
      <c r="P1471" s="45">
        <f ca="1" t="shared" si="496"/>
        <v>144</v>
      </c>
      <c r="Q1471" s="45">
        <f ca="1" t="shared" si="497"/>
        <v>1440</v>
      </c>
      <c r="R1471" s="45">
        <f ca="1" t="shared" si="498"/>
        <v>0</v>
      </c>
    </row>
    <row r="1472" spans="2:18">
      <c r="B1472" s="11">
        <v>35</v>
      </c>
      <c r="C1472" s="1">
        <f ca="1">IF(养成规划!E52="",INDIRECT(ADDRESS(ROW()-1,COLUMN())),养成规划!E52)</f>
        <v>5</v>
      </c>
      <c r="D1472" s="1" t="str">
        <f>IF(养成规划!I52="","",养成规划!I52)</f>
        <v/>
      </c>
      <c r="E1472" s="1">
        <f ca="1" t="shared" si="491"/>
        <v>0</v>
      </c>
      <c r="F1472" s="15">
        <f ca="1">'204_军官任务'!X52</f>
        <v>7308</v>
      </c>
      <c r="G1472" s="15">
        <f ca="1">'206_副本挂机'!Q171</f>
        <v>16080</v>
      </c>
      <c r="H1472" s="15">
        <f ca="1">'208_黑市'!U52</f>
        <v>4140</v>
      </c>
      <c r="I1472" s="15">
        <f ca="1">'210_活动'!AA52</f>
        <v>38880</v>
      </c>
      <c r="J1472" s="15">
        <f ca="1">'211_VIP宝箱'!R52</f>
        <v>0</v>
      </c>
      <c r="K1472" s="1">
        <f ca="1" t="shared" si="492"/>
        <v>0</v>
      </c>
      <c r="L1472" s="1">
        <f ca="1" t="shared" si="493"/>
        <v>66408</v>
      </c>
      <c r="N1472" s="45">
        <f ca="1" t="shared" si="494"/>
        <v>360</v>
      </c>
      <c r="O1472" s="45">
        <f ca="1" t="shared" si="495"/>
        <v>900</v>
      </c>
      <c r="P1472" s="45">
        <f ca="1" t="shared" si="496"/>
        <v>216</v>
      </c>
      <c r="Q1472" s="45">
        <f ca="1" t="shared" si="497"/>
        <v>2160</v>
      </c>
      <c r="R1472" s="45">
        <f ca="1" t="shared" si="498"/>
        <v>0</v>
      </c>
    </row>
    <row r="1473" spans="2:18">
      <c r="B1473" s="11">
        <v>40</v>
      </c>
      <c r="C1473" s="1">
        <f ca="1">IF(养成规划!E53="",INDIRECT(ADDRESS(ROW()-1,COLUMN())),养成规划!E53)</f>
        <v>5</v>
      </c>
      <c r="D1473" s="1" t="str">
        <f>IF(养成规划!I53="","",养成规划!I53)</f>
        <v/>
      </c>
      <c r="E1473" s="1">
        <f ca="1" t="shared" si="491"/>
        <v>0</v>
      </c>
      <c r="F1473" s="15">
        <f ca="1">'204_军官任务'!X53</f>
        <v>9108</v>
      </c>
      <c r="G1473" s="15">
        <f ca="1">'206_副本挂机'!Q172</f>
        <v>21030</v>
      </c>
      <c r="H1473" s="15">
        <f ca="1">'208_黑市'!U53</f>
        <v>5220</v>
      </c>
      <c r="I1473" s="15">
        <f ca="1">'210_活动'!AA53</f>
        <v>49680</v>
      </c>
      <c r="J1473" s="15">
        <f ca="1">'211_VIP宝箱'!R53</f>
        <v>0</v>
      </c>
      <c r="K1473" s="1">
        <f ca="1" t="shared" si="492"/>
        <v>0</v>
      </c>
      <c r="L1473" s="1">
        <f ca="1" t="shared" si="493"/>
        <v>85038</v>
      </c>
      <c r="N1473" s="45">
        <f ca="1" t="shared" si="494"/>
        <v>360</v>
      </c>
      <c r="O1473" s="45">
        <f ca="1" t="shared" si="495"/>
        <v>990</v>
      </c>
      <c r="P1473" s="45">
        <f ca="1" t="shared" si="496"/>
        <v>216</v>
      </c>
      <c r="Q1473" s="45">
        <f ca="1" t="shared" si="497"/>
        <v>2160</v>
      </c>
      <c r="R1473" s="45">
        <f ca="1" t="shared" si="498"/>
        <v>0</v>
      </c>
    </row>
    <row r="1474" spans="2:18">
      <c r="B1474" s="11">
        <v>45</v>
      </c>
      <c r="C1474" s="1">
        <f ca="1">IF(养成规划!E54="",INDIRECT(ADDRESS(ROW()-1,COLUMN())),养成规划!E54)</f>
        <v>5</v>
      </c>
      <c r="D1474" s="1" t="str">
        <f>IF(养成规划!I54="","",养成规划!I54)</f>
        <v>银+</v>
      </c>
      <c r="E1474" s="1">
        <f ca="1" t="shared" si="491"/>
        <v>120000</v>
      </c>
      <c r="F1474" s="15">
        <f ca="1">'204_军官任务'!X54</f>
        <v>10908</v>
      </c>
      <c r="G1474" s="15">
        <f ca="1">'206_副本挂机'!Q173</f>
        <v>26430</v>
      </c>
      <c r="H1474" s="15">
        <f ca="1">'208_黑市'!U54</f>
        <v>6300</v>
      </c>
      <c r="I1474" s="15">
        <f ca="1">'210_活动'!AA54</f>
        <v>60480</v>
      </c>
      <c r="J1474" s="15">
        <f ca="1">'211_VIP宝箱'!R54</f>
        <v>0</v>
      </c>
      <c r="K1474" s="1">
        <f ca="1" t="shared" si="492"/>
        <v>120000</v>
      </c>
      <c r="L1474" s="1">
        <f ca="1" t="shared" si="493"/>
        <v>104118</v>
      </c>
      <c r="N1474" s="45">
        <f ca="1" t="shared" si="494"/>
        <v>360</v>
      </c>
      <c r="O1474" s="45">
        <f ca="1" t="shared" si="495"/>
        <v>1080</v>
      </c>
      <c r="P1474" s="45">
        <f ca="1" t="shared" si="496"/>
        <v>216</v>
      </c>
      <c r="Q1474" s="45">
        <f ca="1" t="shared" si="497"/>
        <v>2160</v>
      </c>
      <c r="R1474" s="45">
        <f ca="1" t="shared" si="498"/>
        <v>0</v>
      </c>
    </row>
    <row r="1475" spans="2:18">
      <c r="B1475" s="11">
        <v>50</v>
      </c>
      <c r="C1475" s="1">
        <f ca="1">IF(养成规划!E55="",INDIRECT(ADDRESS(ROW()-1,COLUMN())),养成规划!E55)</f>
        <v>5</v>
      </c>
      <c r="D1475" s="1" t="str">
        <f>IF(养成规划!I55="","",养成规划!I55)</f>
        <v/>
      </c>
      <c r="E1475" s="1">
        <f ca="1" t="shared" si="491"/>
        <v>0</v>
      </c>
      <c r="F1475" s="15">
        <f ca="1">'204_军官任务'!X55</f>
        <v>12708</v>
      </c>
      <c r="G1475" s="15">
        <f ca="1">'206_副本挂机'!Q174</f>
        <v>32430</v>
      </c>
      <c r="H1475" s="15">
        <f ca="1">'208_黑市'!U55</f>
        <v>7380</v>
      </c>
      <c r="I1475" s="15">
        <f ca="1">'210_活动'!AA55</f>
        <v>71280</v>
      </c>
      <c r="J1475" s="15">
        <f ca="1">'211_VIP宝箱'!R55</f>
        <v>0</v>
      </c>
      <c r="K1475" s="1">
        <f ca="1" t="shared" si="492"/>
        <v>0</v>
      </c>
      <c r="L1475" s="1">
        <f ca="1" t="shared" si="493"/>
        <v>123798</v>
      </c>
      <c r="N1475" s="45">
        <f ca="1" t="shared" si="494"/>
        <v>360</v>
      </c>
      <c r="O1475" s="45">
        <f ca="1" t="shared" si="495"/>
        <v>1200</v>
      </c>
      <c r="P1475" s="45">
        <f ca="1" t="shared" si="496"/>
        <v>216</v>
      </c>
      <c r="Q1475" s="45">
        <f ca="1" t="shared" si="497"/>
        <v>2160</v>
      </c>
      <c r="R1475" s="45">
        <f ca="1" t="shared" si="498"/>
        <v>0</v>
      </c>
    </row>
    <row r="1476" spans="2:18">
      <c r="B1476" s="11">
        <v>55</v>
      </c>
      <c r="C1476" s="1">
        <f ca="1">IF(养成规划!E56="",INDIRECT(ADDRESS(ROW()-1,COLUMN())),养成规划!E56)</f>
        <v>5</v>
      </c>
      <c r="D1476" s="1" t="str">
        <f>IF(养成规划!I56="","",养成规划!I56)</f>
        <v/>
      </c>
      <c r="E1476" s="1">
        <f ca="1" t="shared" si="491"/>
        <v>0</v>
      </c>
      <c r="F1476" s="15">
        <f ca="1">'204_军官任务'!X56</f>
        <v>14508</v>
      </c>
      <c r="G1476" s="15">
        <f ca="1">'206_副本挂机'!Q175</f>
        <v>38730</v>
      </c>
      <c r="H1476" s="15">
        <f ca="1">'208_黑市'!U56</f>
        <v>8460</v>
      </c>
      <c r="I1476" s="15">
        <f ca="1">'210_活动'!AA56</f>
        <v>82080</v>
      </c>
      <c r="J1476" s="15">
        <f ca="1">'211_VIP宝箱'!R56</f>
        <v>0</v>
      </c>
      <c r="K1476" s="1">
        <f ca="1" t="shared" si="492"/>
        <v>0</v>
      </c>
      <c r="L1476" s="1">
        <f ca="1" t="shared" si="493"/>
        <v>143778</v>
      </c>
      <c r="N1476" s="45">
        <f ca="1" t="shared" si="494"/>
        <v>360</v>
      </c>
      <c r="O1476" s="45">
        <f ca="1" t="shared" si="495"/>
        <v>1260</v>
      </c>
      <c r="P1476" s="45">
        <f ca="1" t="shared" si="496"/>
        <v>216</v>
      </c>
      <c r="Q1476" s="45">
        <f ca="1" t="shared" si="497"/>
        <v>2160</v>
      </c>
      <c r="R1476" s="45">
        <f ca="1" t="shared" si="498"/>
        <v>0</v>
      </c>
    </row>
    <row r="1477" spans="2:18">
      <c r="B1477" s="11">
        <v>60</v>
      </c>
      <c r="C1477" s="1">
        <f ca="1">IF(养成规划!E57="",INDIRECT(ADDRESS(ROW()-1,COLUMN())),养成规划!E57)</f>
        <v>5</v>
      </c>
      <c r="D1477" s="1" t="str">
        <f>IF(养成规划!I57="","",养成规划!I57)</f>
        <v/>
      </c>
      <c r="E1477" s="1">
        <f ca="1" t="shared" si="491"/>
        <v>0</v>
      </c>
      <c r="F1477" s="15">
        <f ca="1">'204_军官任务'!X57</f>
        <v>16308</v>
      </c>
      <c r="G1477" s="15">
        <f ca="1">'206_副本挂机'!Q176</f>
        <v>45330</v>
      </c>
      <c r="H1477" s="15">
        <f ca="1">'208_黑市'!U57</f>
        <v>9540</v>
      </c>
      <c r="I1477" s="15">
        <f ca="1">'210_活动'!AA57</f>
        <v>92880</v>
      </c>
      <c r="J1477" s="15">
        <f ca="1">'211_VIP宝箱'!R57</f>
        <v>3000</v>
      </c>
      <c r="K1477" s="1">
        <f ca="1" t="shared" si="492"/>
        <v>0</v>
      </c>
      <c r="L1477" s="1">
        <f ca="1" t="shared" si="493"/>
        <v>167058</v>
      </c>
      <c r="N1477" s="45">
        <f ca="1" t="shared" si="494"/>
        <v>360</v>
      </c>
      <c r="O1477" s="45">
        <f ca="1" t="shared" si="495"/>
        <v>1320</v>
      </c>
      <c r="P1477" s="45">
        <f ca="1" t="shared" si="496"/>
        <v>216</v>
      </c>
      <c r="Q1477" s="45">
        <f ca="1" t="shared" si="497"/>
        <v>2160</v>
      </c>
      <c r="R1477" s="45">
        <f ca="1" t="shared" si="498"/>
        <v>600</v>
      </c>
    </row>
    <row r="1478" spans="2:18">
      <c r="B1478" s="11">
        <v>65</v>
      </c>
      <c r="C1478" s="1">
        <f ca="1">IF(养成规划!E58="",INDIRECT(ADDRESS(ROW()-1,COLUMN())),养成规划!E58)</f>
        <v>5</v>
      </c>
      <c r="D1478" s="1" t="str">
        <f>IF(养成规划!I58="","",养成规划!I58)</f>
        <v/>
      </c>
      <c r="E1478" s="1">
        <f ca="1" t="shared" si="491"/>
        <v>0</v>
      </c>
      <c r="F1478" s="15">
        <f ca="1">'204_军官任务'!X58</f>
        <v>18108</v>
      </c>
      <c r="G1478" s="15">
        <f ca="1">'206_副本挂机'!Q177</f>
        <v>52230</v>
      </c>
      <c r="H1478" s="15">
        <f ca="1">'208_黑市'!U58</f>
        <v>10980</v>
      </c>
      <c r="I1478" s="15">
        <f ca="1">'210_活动'!AA58</f>
        <v>107280</v>
      </c>
      <c r="J1478" s="15">
        <f ca="1">'211_VIP宝箱'!R58</f>
        <v>6000</v>
      </c>
      <c r="K1478" s="1">
        <f ca="1" t="shared" si="492"/>
        <v>0</v>
      </c>
      <c r="L1478" s="1">
        <f ca="1" t="shared" si="493"/>
        <v>194598</v>
      </c>
      <c r="N1478" s="45">
        <f ca="1" t="shared" si="494"/>
        <v>360</v>
      </c>
      <c r="O1478" s="45">
        <f ca="1" t="shared" si="495"/>
        <v>1380</v>
      </c>
      <c r="P1478" s="45">
        <f ca="1" t="shared" si="496"/>
        <v>288</v>
      </c>
      <c r="Q1478" s="45">
        <f ca="1" t="shared" si="497"/>
        <v>2880</v>
      </c>
      <c r="R1478" s="45">
        <f ca="1" t="shared" si="498"/>
        <v>600</v>
      </c>
    </row>
    <row r="1479" spans="2:18">
      <c r="B1479" s="11">
        <v>70</v>
      </c>
      <c r="C1479" s="1">
        <f ca="1">IF(养成规划!E59="",INDIRECT(ADDRESS(ROW()-1,COLUMN())),养成规划!E59)</f>
        <v>5</v>
      </c>
      <c r="D1479" s="1" t="str">
        <f>IF(养成规划!I59="","",养成规划!I59)</f>
        <v/>
      </c>
      <c r="E1479" s="1">
        <f ca="1" t="shared" si="491"/>
        <v>0</v>
      </c>
      <c r="F1479" s="15">
        <f ca="1">'204_军官任务'!X59</f>
        <v>19908</v>
      </c>
      <c r="G1479" s="15">
        <f ca="1">'206_副本挂机'!Q178</f>
        <v>59430</v>
      </c>
      <c r="H1479" s="15">
        <f ca="1">'208_黑市'!U59</f>
        <v>12420</v>
      </c>
      <c r="I1479" s="15">
        <f ca="1">'210_活动'!AA59</f>
        <v>121680</v>
      </c>
      <c r="J1479" s="15">
        <f ca="1">'211_VIP宝箱'!R59</f>
        <v>9000</v>
      </c>
      <c r="K1479" s="1">
        <f ca="1" t="shared" si="492"/>
        <v>0</v>
      </c>
      <c r="L1479" s="1">
        <f ca="1" t="shared" si="493"/>
        <v>222438</v>
      </c>
      <c r="N1479" s="45">
        <f ca="1" t="shared" si="494"/>
        <v>360</v>
      </c>
      <c r="O1479" s="45">
        <f ca="1" t="shared" si="495"/>
        <v>1440</v>
      </c>
      <c r="P1479" s="45">
        <f ca="1" t="shared" si="496"/>
        <v>288</v>
      </c>
      <c r="Q1479" s="45">
        <f ca="1" t="shared" si="497"/>
        <v>2880</v>
      </c>
      <c r="R1479" s="45">
        <f ca="1" t="shared" si="498"/>
        <v>600</v>
      </c>
    </row>
    <row r="1480" spans="2:18">
      <c r="B1480" s="11">
        <v>75</v>
      </c>
      <c r="C1480" s="1">
        <f ca="1">IF(养成规划!E60="",INDIRECT(ADDRESS(ROW()-1,COLUMN())),养成规划!E60)</f>
        <v>5</v>
      </c>
      <c r="D1480" s="1" t="str">
        <f>IF(养成规划!I60="","",养成规划!I60)</f>
        <v/>
      </c>
      <c r="E1480" s="1">
        <f ca="1" t="shared" si="491"/>
        <v>0</v>
      </c>
      <c r="F1480" s="15">
        <f ca="1">'204_军官任务'!X60</f>
        <v>21708</v>
      </c>
      <c r="G1480" s="15">
        <f ca="1">'206_副本挂机'!Q179</f>
        <v>66930</v>
      </c>
      <c r="H1480" s="15">
        <f ca="1">'208_黑市'!U60</f>
        <v>13860</v>
      </c>
      <c r="I1480" s="15">
        <f ca="1">'210_活动'!AA60</f>
        <v>136080</v>
      </c>
      <c r="J1480" s="15">
        <f ca="1">'211_VIP宝箱'!R60</f>
        <v>12000</v>
      </c>
      <c r="K1480" s="1">
        <f ca="1" t="shared" si="492"/>
        <v>0</v>
      </c>
      <c r="L1480" s="1">
        <f ca="1" t="shared" si="493"/>
        <v>250578</v>
      </c>
      <c r="N1480" s="45">
        <f ca="1" t="shared" si="494"/>
        <v>360</v>
      </c>
      <c r="O1480" s="45">
        <f ca="1" t="shared" si="495"/>
        <v>1500</v>
      </c>
      <c r="P1480" s="45">
        <f ca="1" t="shared" si="496"/>
        <v>288</v>
      </c>
      <c r="Q1480" s="45">
        <f ca="1" t="shared" si="497"/>
        <v>2880</v>
      </c>
      <c r="R1480" s="45">
        <f ca="1" t="shared" si="498"/>
        <v>600</v>
      </c>
    </row>
    <row r="1481" spans="2:18">
      <c r="B1481" s="11">
        <v>80</v>
      </c>
      <c r="C1481" s="1">
        <f ca="1">IF(养成规划!E61="",INDIRECT(ADDRESS(ROW()-1,COLUMN())),养成规划!E61)</f>
        <v>5</v>
      </c>
      <c r="D1481" s="1" t="str">
        <f>IF(养成规划!I61="","",养成规划!I61)</f>
        <v/>
      </c>
      <c r="E1481" s="1">
        <f ca="1" t="shared" si="491"/>
        <v>0</v>
      </c>
      <c r="F1481" s="15">
        <f ca="1">'204_军官任务'!X61</f>
        <v>23508</v>
      </c>
      <c r="G1481" s="15">
        <f ca="1">'206_副本挂机'!Q180</f>
        <v>74580</v>
      </c>
      <c r="H1481" s="15">
        <f ca="1">'208_黑市'!U61</f>
        <v>15300</v>
      </c>
      <c r="I1481" s="15">
        <f ca="1">'210_活动'!AA61</f>
        <v>150480</v>
      </c>
      <c r="J1481" s="15">
        <f ca="1">'211_VIP宝箱'!R61</f>
        <v>15000</v>
      </c>
      <c r="K1481" s="1">
        <f ca="1" t="shared" si="492"/>
        <v>0</v>
      </c>
      <c r="L1481" s="1">
        <f ca="1" t="shared" si="493"/>
        <v>278868</v>
      </c>
      <c r="N1481" s="45">
        <f ca="1" t="shared" si="494"/>
        <v>360</v>
      </c>
      <c r="O1481" s="45">
        <f ca="1" t="shared" si="495"/>
        <v>1530</v>
      </c>
      <c r="P1481" s="45">
        <f ca="1" t="shared" si="496"/>
        <v>288</v>
      </c>
      <c r="Q1481" s="45">
        <f ca="1" t="shared" si="497"/>
        <v>2880</v>
      </c>
      <c r="R1481" s="45">
        <f ca="1" t="shared" si="498"/>
        <v>600</v>
      </c>
    </row>
    <row r="1482" spans="2:18">
      <c r="B1482" s="11">
        <v>85</v>
      </c>
      <c r="C1482" s="1">
        <f ca="1">IF(养成规划!E62="",INDIRECT(ADDRESS(ROW()-1,COLUMN())),养成规划!E62)</f>
        <v>5</v>
      </c>
      <c r="D1482" s="1" t="str">
        <f>IF(养成规划!I62="","",养成规划!I62)</f>
        <v/>
      </c>
      <c r="E1482" s="1">
        <f ca="1" t="shared" si="491"/>
        <v>0</v>
      </c>
      <c r="F1482" s="15">
        <f ca="1">'204_军官任务'!X62</f>
        <v>25308</v>
      </c>
      <c r="G1482" s="15">
        <f ca="1">'206_副本挂机'!Q181</f>
        <v>82380</v>
      </c>
      <c r="H1482" s="15">
        <f ca="1">'208_黑市'!U62</f>
        <v>16740</v>
      </c>
      <c r="I1482" s="15">
        <f ca="1">'210_活动'!AA62</f>
        <v>164880</v>
      </c>
      <c r="J1482" s="15">
        <f ca="1">'211_VIP宝箱'!R62</f>
        <v>18000</v>
      </c>
      <c r="K1482" s="1">
        <f ca="1" t="shared" si="492"/>
        <v>0</v>
      </c>
      <c r="L1482" s="1">
        <f ca="1" t="shared" si="493"/>
        <v>307308</v>
      </c>
      <c r="N1482" s="45">
        <f ca="1" t="shared" si="494"/>
        <v>360</v>
      </c>
      <c r="O1482" s="45">
        <f ca="1" t="shared" si="495"/>
        <v>1560</v>
      </c>
      <c r="P1482" s="45">
        <f ca="1" t="shared" si="496"/>
        <v>288</v>
      </c>
      <c r="Q1482" s="45">
        <f ca="1" t="shared" si="497"/>
        <v>2880</v>
      </c>
      <c r="R1482" s="45">
        <f ca="1" t="shared" si="498"/>
        <v>600</v>
      </c>
    </row>
    <row r="1483" spans="2:18">
      <c r="B1483" s="11">
        <v>90</v>
      </c>
      <c r="C1483" s="1">
        <f ca="1">IF(养成规划!E63="",INDIRECT(ADDRESS(ROW()-1,COLUMN())),养成规划!E63)</f>
        <v>5</v>
      </c>
      <c r="D1483" s="1" t="str">
        <f>IF(养成规划!I63="","",养成规划!I63)</f>
        <v/>
      </c>
      <c r="E1483" s="1">
        <f ca="1" t="shared" si="491"/>
        <v>0</v>
      </c>
      <c r="F1483" s="15">
        <f ca="1">'204_军官任务'!X63</f>
        <v>27108</v>
      </c>
      <c r="G1483" s="15">
        <f ca="1">'206_副本挂机'!Q182</f>
        <v>90330</v>
      </c>
      <c r="H1483" s="15">
        <f ca="1">'208_黑市'!U63</f>
        <v>18180</v>
      </c>
      <c r="I1483" s="15">
        <f ca="1">'210_活动'!AA63</f>
        <v>179280</v>
      </c>
      <c r="J1483" s="15">
        <f ca="1">'211_VIP宝箱'!R63</f>
        <v>21000</v>
      </c>
      <c r="K1483" s="1">
        <f ca="1" t="shared" si="492"/>
        <v>0</v>
      </c>
      <c r="L1483" s="1">
        <f ca="1" t="shared" si="493"/>
        <v>335898</v>
      </c>
      <c r="N1483" s="45">
        <f ca="1" t="shared" si="494"/>
        <v>360</v>
      </c>
      <c r="O1483" s="45">
        <f ca="1" t="shared" si="495"/>
        <v>1590</v>
      </c>
      <c r="P1483" s="45">
        <f ca="1" t="shared" si="496"/>
        <v>288</v>
      </c>
      <c r="Q1483" s="45">
        <f ca="1" t="shared" si="497"/>
        <v>2880</v>
      </c>
      <c r="R1483" s="45">
        <f ca="1" t="shared" si="498"/>
        <v>600</v>
      </c>
    </row>
    <row r="1484" spans="2:18">
      <c r="B1484" s="11">
        <v>95</v>
      </c>
      <c r="C1484" s="1">
        <f ca="1">IF(养成规划!E64="",INDIRECT(ADDRESS(ROW()-1,COLUMN())),养成规划!E64)</f>
        <v>5</v>
      </c>
      <c r="D1484" s="1" t="str">
        <f>IF(养成规划!I64="","",养成规划!I64)</f>
        <v/>
      </c>
      <c r="E1484" s="1">
        <f ca="1" t="shared" si="491"/>
        <v>0</v>
      </c>
      <c r="F1484" s="15">
        <f ca="1">'204_军官任务'!X64</f>
        <v>30108</v>
      </c>
      <c r="G1484" s="15">
        <f ca="1">'206_副本挂机'!Q183</f>
        <v>98430</v>
      </c>
      <c r="H1484" s="15">
        <f ca="1">'208_黑市'!U64</f>
        <v>19620</v>
      </c>
      <c r="I1484" s="15">
        <f ca="1">'210_活动'!AA64</f>
        <v>193680</v>
      </c>
      <c r="J1484" s="15">
        <f ca="1">'211_VIP宝箱'!R64</f>
        <v>24000</v>
      </c>
      <c r="K1484" s="1">
        <f ca="1" t="shared" si="492"/>
        <v>0</v>
      </c>
      <c r="L1484" s="1">
        <f ca="1" t="shared" si="493"/>
        <v>365838</v>
      </c>
      <c r="N1484" s="45">
        <f ca="1" t="shared" si="494"/>
        <v>600</v>
      </c>
      <c r="O1484" s="45">
        <f ca="1" t="shared" si="495"/>
        <v>1620</v>
      </c>
      <c r="P1484" s="45">
        <f ca="1" t="shared" si="496"/>
        <v>288</v>
      </c>
      <c r="Q1484" s="45">
        <f ca="1" t="shared" si="497"/>
        <v>2880</v>
      </c>
      <c r="R1484" s="45">
        <f ca="1" t="shared" si="498"/>
        <v>600</v>
      </c>
    </row>
    <row r="1485" spans="2:18">
      <c r="B1485" s="11">
        <v>100</v>
      </c>
      <c r="C1485" s="1">
        <f ca="1">IF(养成规划!E65="",INDIRECT(ADDRESS(ROW()-1,COLUMN())),养成规划!E65)</f>
        <v>5</v>
      </c>
      <c r="D1485" s="1" t="str">
        <f>IF(养成规划!I65="","",养成规划!I65)</f>
        <v/>
      </c>
      <c r="E1485" s="1">
        <f ca="1" t="shared" si="491"/>
        <v>0</v>
      </c>
      <c r="F1485" s="15">
        <f ca="1">'204_军官任务'!X65</f>
        <v>33108</v>
      </c>
      <c r="G1485" s="15">
        <f ca="1">'206_副本挂机'!Q184</f>
        <v>106680</v>
      </c>
      <c r="H1485" s="15">
        <f ca="1">'208_黑市'!U65</f>
        <v>21060</v>
      </c>
      <c r="I1485" s="15">
        <f ca="1">'210_活动'!AA65</f>
        <v>208080</v>
      </c>
      <c r="J1485" s="15">
        <f ca="1">'211_VIP宝箱'!R65</f>
        <v>27000</v>
      </c>
      <c r="K1485" s="1">
        <f ca="1" t="shared" si="492"/>
        <v>0</v>
      </c>
      <c r="L1485" s="1">
        <f ca="1" t="shared" si="493"/>
        <v>395928</v>
      </c>
      <c r="N1485" s="45">
        <f ca="1" t="shared" si="494"/>
        <v>600</v>
      </c>
      <c r="O1485" s="45">
        <f ca="1" t="shared" si="495"/>
        <v>1650</v>
      </c>
      <c r="P1485" s="45">
        <f ca="1" t="shared" si="496"/>
        <v>288</v>
      </c>
      <c r="Q1485" s="45">
        <f ca="1" t="shared" si="497"/>
        <v>2880</v>
      </c>
      <c r="R1485" s="45">
        <f ca="1" t="shared" si="498"/>
        <v>600</v>
      </c>
    </row>
    <row r="1486" spans="2:18">
      <c r="B1486" s="11">
        <v>105</v>
      </c>
      <c r="C1486" s="1">
        <f ca="1">IF(养成规划!E66="",INDIRECT(ADDRESS(ROW()-1,COLUMN())),养成规划!E66)</f>
        <v>5</v>
      </c>
      <c r="D1486" s="1" t="str">
        <f>IF(养成规划!I66="","",养成规划!I66)</f>
        <v/>
      </c>
      <c r="E1486" s="1">
        <f ca="1" t="shared" si="491"/>
        <v>0</v>
      </c>
      <c r="F1486" s="15">
        <f ca="1">'204_军官任务'!X66</f>
        <v>36108</v>
      </c>
      <c r="G1486" s="15">
        <f ca="1">'206_副本挂机'!Q185</f>
        <v>115080</v>
      </c>
      <c r="H1486" s="15">
        <f ca="1">'208_黑市'!U66</f>
        <v>22500</v>
      </c>
      <c r="I1486" s="15">
        <f ca="1">'210_活动'!AA66</f>
        <v>222480</v>
      </c>
      <c r="J1486" s="15">
        <f ca="1">'211_VIP宝箱'!R66</f>
        <v>30000</v>
      </c>
      <c r="K1486" s="1">
        <f ca="1" t="shared" si="492"/>
        <v>0</v>
      </c>
      <c r="L1486" s="1">
        <f ca="1" t="shared" si="493"/>
        <v>426168</v>
      </c>
      <c r="N1486" s="45">
        <f ca="1" t="shared" si="494"/>
        <v>600</v>
      </c>
      <c r="O1486" s="45">
        <f ca="1" t="shared" si="495"/>
        <v>1680</v>
      </c>
      <c r="P1486" s="45">
        <f ca="1" t="shared" si="496"/>
        <v>288</v>
      </c>
      <c r="Q1486" s="45">
        <f ca="1" t="shared" si="497"/>
        <v>2880</v>
      </c>
      <c r="R1486" s="45">
        <f ca="1" t="shared" si="498"/>
        <v>600</v>
      </c>
    </row>
    <row r="1487" spans="2:18">
      <c r="B1487" s="11">
        <v>110</v>
      </c>
      <c r="C1487" s="1">
        <f ca="1">IF(养成规划!E67="",INDIRECT(ADDRESS(ROW()-1,COLUMN())),养成规划!E67)</f>
        <v>5</v>
      </c>
      <c r="D1487" s="1" t="str">
        <f>IF(养成规划!I67="","",养成规划!I67)</f>
        <v/>
      </c>
      <c r="E1487" s="1">
        <f ca="1" t="shared" si="491"/>
        <v>0</v>
      </c>
      <c r="F1487" s="15">
        <f ca="1">'204_军官任务'!X67</f>
        <v>39108</v>
      </c>
      <c r="G1487" s="15">
        <f ca="1">'206_副本挂机'!Q186</f>
        <v>123630</v>
      </c>
      <c r="H1487" s="15">
        <f ca="1">'208_黑市'!U67</f>
        <v>23940</v>
      </c>
      <c r="I1487" s="15">
        <f ca="1">'210_活动'!AA67</f>
        <v>236880</v>
      </c>
      <c r="J1487" s="15">
        <f ca="1">'211_VIP宝箱'!R67</f>
        <v>33000</v>
      </c>
      <c r="K1487" s="1">
        <f ca="1" t="shared" si="492"/>
        <v>0</v>
      </c>
      <c r="L1487" s="1">
        <f ca="1" t="shared" si="493"/>
        <v>456558</v>
      </c>
      <c r="N1487" s="45">
        <f ca="1" t="shared" si="494"/>
        <v>600</v>
      </c>
      <c r="O1487" s="45">
        <f ca="1" t="shared" si="495"/>
        <v>1710</v>
      </c>
      <c r="P1487" s="45">
        <f ca="1" t="shared" si="496"/>
        <v>288</v>
      </c>
      <c r="Q1487" s="45">
        <f ca="1" t="shared" si="497"/>
        <v>2880</v>
      </c>
      <c r="R1487" s="45">
        <f ca="1" t="shared" si="498"/>
        <v>600</v>
      </c>
    </row>
    <row r="1488" spans="2:18">
      <c r="B1488" s="11">
        <v>115</v>
      </c>
      <c r="C1488" s="1">
        <f ca="1">IF(养成规划!E68="",INDIRECT(ADDRESS(ROW()-1,COLUMN())),养成规划!E68)</f>
        <v>5</v>
      </c>
      <c r="D1488" s="1" t="str">
        <f>IF(养成规划!I68="","",养成规划!I68)</f>
        <v>金</v>
      </c>
      <c r="E1488" s="1">
        <f ca="1" t="shared" si="491"/>
        <v>600000</v>
      </c>
      <c r="F1488" s="15">
        <f ca="1">'204_军官任务'!X68</f>
        <v>42108</v>
      </c>
      <c r="G1488" s="15">
        <f ca="1">'206_副本挂机'!Q187</f>
        <v>132330</v>
      </c>
      <c r="H1488" s="15">
        <f ca="1">'208_黑市'!U68</f>
        <v>25380</v>
      </c>
      <c r="I1488" s="15">
        <f ca="1">'210_活动'!AA68</f>
        <v>251280</v>
      </c>
      <c r="J1488" s="15">
        <f ca="1">'211_VIP宝箱'!R68</f>
        <v>36000</v>
      </c>
      <c r="K1488" s="1">
        <f ca="1" t="shared" si="492"/>
        <v>600000</v>
      </c>
      <c r="L1488" s="1">
        <f ca="1" t="shared" si="493"/>
        <v>487098</v>
      </c>
      <c r="N1488" s="45">
        <f ca="1" t="shared" si="494"/>
        <v>600</v>
      </c>
      <c r="O1488" s="45">
        <f ca="1" t="shared" si="495"/>
        <v>1740</v>
      </c>
      <c r="P1488" s="45">
        <f ca="1" t="shared" si="496"/>
        <v>288</v>
      </c>
      <c r="Q1488" s="45">
        <f ca="1" t="shared" si="497"/>
        <v>2880</v>
      </c>
      <c r="R1488" s="45">
        <f ca="1" t="shared" si="498"/>
        <v>600</v>
      </c>
    </row>
    <row r="1489" spans="2:18">
      <c r="B1489" s="11">
        <v>120</v>
      </c>
      <c r="C1489" s="1">
        <f ca="1">IF(养成规划!E69="",INDIRECT(ADDRESS(ROW()-1,COLUMN())),养成规划!E69)</f>
        <v>5</v>
      </c>
      <c r="D1489" s="1" t="str">
        <f>IF(养成规划!I69="","",养成规划!I69)</f>
        <v/>
      </c>
      <c r="E1489" s="1">
        <f ca="1" t="shared" si="491"/>
        <v>0</v>
      </c>
      <c r="F1489" s="15">
        <f ca="1">'204_军官任务'!X69</f>
        <v>45108</v>
      </c>
      <c r="G1489" s="15">
        <f ca="1">'206_副本挂机'!Q188</f>
        <v>141330</v>
      </c>
      <c r="H1489" s="15">
        <f ca="1">'208_黑市'!U69</f>
        <v>26820</v>
      </c>
      <c r="I1489" s="15">
        <f ca="1">'210_活动'!AA69</f>
        <v>265680</v>
      </c>
      <c r="J1489" s="15">
        <f ca="1">'211_VIP宝箱'!R69</f>
        <v>39000</v>
      </c>
      <c r="K1489" s="1">
        <f ca="1" t="shared" si="492"/>
        <v>0</v>
      </c>
      <c r="L1489" s="1">
        <f ca="1" t="shared" si="493"/>
        <v>517938</v>
      </c>
      <c r="N1489" s="45">
        <f ca="1" t="shared" si="494"/>
        <v>600</v>
      </c>
      <c r="O1489" s="45">
        <f ca="1" t="shared" si="495"/>
        <v>1800</v>
      </c>
      <c r="P1489" s="45">
        <f ca="1" t="shared" si="496"/>
        <v>288</v>
      </c>
      <c r="Q1489" s="45">
        <f ca="1" t="shared" si="497"/>
        <v>2880</v>
      </c>
      <c r="R1489" s="45">
        <f ca="1" t="shared" si="498"/>
        <v>600</v>
      </c>
    </row>
    <row r="1490" spans="2:18">
      <c r="B1490" s="12">
        <v>150</v>
      </c>
      <c r="C1490" s="1">
        <f ca="1">IF(养成规划!E70="",INDIRECT(ADDRESS(ROW()-1,COLUMN())),养成规划!E70)</f>
        <v>5</v>
      </c>
      <c r="D1490" s="1" t="str">
        <f>IF(养成规划!I70="","",养成规划!I70)</f>
        <v/>
      </c>
      <c r="E1490" s="1">
        <f ca="1" t="shared" ref="E1490:E1497" si="499">IFERROR(OFFSET($D$1617,MATCH(D1490,$B$1617:$B$1622,0)-1,0),0)*$E$1605*$E$1606</f>
        <v>0</v>
      </c>
      <c r="F1490" s="15">
        <f ca="1">'204_军官任务'!X70</f>
        <v>63108</v>
      </c>
      <c r="G1490" s="15">
        <f ca="1">'206_副本挂机'!Q189</f>
        <v>199830</v>
      </c>
      <c r="H1490" s="15">
        <f ca="1">'208_黑市'!U70</f>
        <v>37620</v>
      </c>
      <c r="I1490" s="15">
        <f ca="1">'210_活动'!AA70</f>
        <v>373680</v>
      </c>
      <c r="J1490" s="15">
        <f ca="1">'211_VIP宝箱'!R70</f>
        <v>57000</v>
      </c>
      <c r="K1490" s="1">
        <f ca="1" t="shared" ref="K1490:K1497" si="500">E1490</f>
        <v>0</v>
      </c>
      <c r="L1490" s="1">
        <f ca="1" t="shared" ref="L1490:L1497" si="501">SUM(F1490:J1490)</f>
        <v>731238</v>
      </c>
      <c r="N1490" s="45">
        <f ca="1" t="shared" si="494"/>
        <v>600</v>
      </c>
      <c r="O1490" s="45">
        <f ca="1" t="shared" si="495"/>
        <v>1950</v>
      </c>
      <c r="P1490" s="45">
        <f ca="1" t="shared" si="496"/>
        <v>360</v>
      </c>
      <c r="Q1490" s="45">
        <f ca="1" t="shared" si="497"/>
        <v>3600</v>
      </c>
      <c r="R1490" s="45">
        <f ca="1" t="shared" si="498"/>
        <v>600</v>
      </c>
    </row>
    <row r="1491" spans="2:18">
      <c r="B1491" s="12">
        <v>180</v>
      </c>
      <c r="C1491" s="1">
        <f ca="1">IF(养成规划!E71="",INDIRECT(ADDRESS(ROW()-1,COLUMN())),养成规划!E71)</f>
        <v>5</v>
      </c>
      <c r="D1491" s="1" t="str">
        <f>IF(养成规划!I71="","",养成规划!I71)</f>
        <v/>
      </c>
      <c r="E1491" s="1">
        <f ca="1" t="shared" si="499"/>
        <v>0</v>
      </c>
      <c r="F1491" s="15">
        <f ca="1">'204_军官任务'!X71</f>
        <v>81108</v>
      </c>
      <c r="G1491" s="15">
        <f ca="1">'206_副本挂机'!Q190</f>
        <v>262830</v>
      </c>
      <c r="H1491" s="15">
        <f ca="1">'208_黑市'!U71</f>
        <v>48420</v>
      </c>
      <c r="I1491" s="15">
        <f ca="1">'210_活动'!AA71</f>
        <v>481680</v>
      </c>
      <c r="J1491" s="15">
        <f ca="1">'211_VIP宝箱'!R71</f>
        <v>75000</v>
      </c>
      <c r="K1491" s="1">
        <f ca="1" t="shared" si="500"/>
        <v>0</v>
      </c>
      <c r="L1491" s="1">
        <f ca="1" t="shared" si="501"/>
        <v>949038</v>
      </c>
      <c r="N1491" s="45">
        <f ca="1" t="shared" ref="N1491:N1497" si="502">(F1491-F1490)/($B1491-$B1490)</f>
        <v>600</v>
      </c>
      <c r="O1491" s="45">
        <f ca="1" t="shared" ref="O1491:O1497" si="503">(G1491-G1490)/($B1491-$B1490)</f>
        <v>2100</v>
      </c>
      <c r="P1491" s="45">
        <f ca="1" t="shared" ref="P1491:P1497" si="504">(H1491-H1490)/($B1491-$B1490)</f>
        <v>360</v>
      </c>
      <c r="Q1491" s="45">
        <f ca="1" t="shared" ref="Q1491:Q1497" si="505">(I1491-I1490)/($B1491-$B1490)</f>
        <v>3600</v>
      </c>
      <c r="R1491" s="45">
        <f ca="1" t="shared" ref="R1491:R1497" si="506">(J1491-J1490)/($B1491-$B1490)</f>
        <v>600</v>
      </c>
    </row>
    <row r="1492" spans="2:18">
      <c r="B1492" s="12">
        <v>210</v>
      </c>
      <c r="C1492" s="1">
        <f ca="1">IF(养成规划!E72="",INDIRECT(ADDRESS(ROW()-1,COLUMN())),养成规划!E72)</f>
        <v>5</v>
      </c>
      <c r="D1492" s="1" t="str">
        <f>IF(养成规划!I72="","",养成规划!I72)</f>
        <v>金+</v>
      </c>
      <c r="E1492" s="1">
        <f ca="1" t="shared" si="499"/>
        <v>1200000</v>
      </c>
      <c r="F1492" s="15">
        <f ca="1">'204_军官任务'!X72</f>
        <v>99108</v>
      </c>
      <c r="G1492" s="15">
        <f ca="1">'206_副本挂机'!Q191</f>
        <v>330330</v>
      </c>
      <c r="H1492" s="15">
        <f ca="1">'208_黑市'!U72</f>
        <v>59220</v>
      </c>
      <c r="I1492" s="15">
        <f ca="1">'210_活动'!AA72</f>
        <v>589680</v>
      </c>
      <c r="J1492" s="15">
        <f ca="1">'211_VIP宝箱'!R72</f>
        <v>93000</v>
      </c>
      <c r="K1492" s="1">
        <f ca="1" t="shared" si="500"/>
        <v>1200000</v>
      </c>
      <c r="L1492" s="1">
        <f ca="1" t="shared" si="501"/>
        <v>1171338</v>
      </c>
      <c r="N1492" s="45">
        <f ca="1" t="shared" si="502"/>
        <v>600</v>
      </c>
      <c r="O1492" s="45">
        <f ca="1" t="shared" si="503"/>
        <v>2250</v>
      </c>
      <c r="P1492" s="45">
        <f ca="1" t="shared" si="504"/>
        <v>360</v>
      </c>
      <c r="Q1492" s="45">
        <f ca="1" t="shared" si="505"/>
        <v>3600</v>
      </c>
      <c r="R1492" s="45">
        <f ca="1" t="shared" si="506"/>
        <v>600</v>
      </c>
    </row>
    <row r="1493" spans="2:18">
      <c r="B1493" s="12">
        <v>240</v>
      </c>
      <c r="C1493" s="1">
        <f ca="1">IF(养成规划!E73="",INDIRECT(ADDRESS(ROW()-1,COLUMN())),养成规划!E73)</f>
        <v>5</v>
      </c>
      <c r="D1493" s="1" t="str">
        <f>IF(养成规划!I73="","",养成规划!I73)</f>
        <v/>
      </c>
      <c r="E1493" s="1">
        <f ca="1" t="shared" si="499"/>
        <v>0</v>
      </c>
      <c r="F1493" s="15">
        <f ca="1">'204_军官任务'!X73</f>
        <v>117108</v>
      </c>
      <c r="G1493" s="15">
        <f ca="1">'206_副本挂机'!Q192</f>
        <v>402330</v>
      </c>
      <c r="H1493" s="15">
        <f ca="1">'208_黑市'!U73</f>
        <v>70020</v>
      </c>
      <c r="I1493" s="15">
        <f ca="1">'210_活动'!AA73</f>
        <v>697680</v>
      </c>
      <c r="J1493" s="15">
        <f ca="1">'211_VIP宝箱'!R73</f>
        <v>129000</v>
      </c>
      <c r="K1493" s="1">
        <f ca="1" t="shared" si="500"/>
        <v>0</v>
      </c>
      <c r="L1493" s="1">
        <f ca="1" t="shared" si="501"/>
        <v>1416138</v>
      </c>
      <c r="N1493" s="45">
        <f ca="1" t="shared" si="502"/>
        <v>600</v>
      </c>
      <c r="O1493" s="45">
        <f ca="1" t="shared" si="503"/>
        <v>2400</v>
      </c>
      <c r="P1493" s="45">
        <f ca="1" t="shared" si="504"/>
        <v>360</v>
      </c>
      <c r="Q1493" s="45">
        <f ca="1" t="shared" si="505"/>
        <v>3600</v>
      </c>
      <c r="R1493" s="45">
        <f ca="1" t="shared" si="506"/>
        <v>1200</v>
      </c>
    </row>
    <row r="1494" spans="2:18">
      <c r="B1494" s="12">
        <v>270</v>
      </c>
      <c r="C1494" s="1">
        <f ca="1">IF(养成规划!E74="",INDIRECT(ADDRESS(ROW()-1,COLUMN())),养成规划!E74)</f>
        <v>5</v>
      </c>
      <c r="D1494" s="1" t="str">
        <f>IF(养成规划!I74="","",养成规划!I74)</f>
        <v/>
      </c>
      <c r="E1494" s="1">
        <f ca="1" t="shared" si="499"/>
        <v>0</v>
      </c>
      <c r="F1494" s="15">
        <f ca="1">'204_军官任务'!X74</f>
        <v>135108</v>
      </c>
      <c r="G1494" s="15">
        <f ca="1">'206_副本挂机'!Q193</f>
        <v>478830</v>
      </c>
      <c r="H1494" s="15">
        <f ca="1">'208_黑市'!U74</f>
        <v>80820</v>
      </c>
      <c r="I1494" s="15">
        <f ca="1">'210_活动'!AA74</f>
        <v>805680</v>
      </c>
      <c r="J1494" s="15">
        <f ca="1">'211_VIP宝箱'!R74</f>
        <v>165000</v>
      </c>
      <c r="K1494" s="1">
        <f ca="1" t="shared" si="500"/>
        <v>0</v>
      </c>
      <c r="L1494" s="1">
        <f ca="1" t="shared" si="501"/>
        <v>1665438</v>
      </c>
      <c r="N1494" s="45">
        <f ca="1" t="shared" si="502"/>
        <v>600</v>
      </c>
      <c r="O1494" s="45">
        <f ca="1" t="shared" si="503"/>
        <v>2550</v>
      </c>
      <c r="P1494" s="45">
        <f ca="1" t="shared" si="504"/>
        <v>360</v>
      </c>
      <c r="Q1494" s="45">
        <f ca="1" t="shared" si="505"/>
        <v>3600</v>
      </c>
      <c r="R1494" s="45">
        <f ca="1" t="shared" si="506"/>
        <v>1200</v>
      </c>
    </row>
    <row r="1495" spans="2:18">
      <c r="B1495" s="12">
        <v>300</v>
      </c>
      <c r="C1495" s="1">
        <f ca="1">IF(养成规划!E75="",INDIRECT(ADDRESS(ROW()-1,COLUMN())),养成规划!E75)</f>
        <v>5</v>
      </c>
      <c r="D1495" s="1" t="str">
        <f>IF(养成规划!I75="","",养成规划!I75)</f>
        <v/>
      </c>
      <c r="E1495" s="1">
        <f ca="1" t="shared" si="499"/>
        <v>0</v>
      </c>
      <c r="F1495" s="15">
        <f ca="1">'204_军官任务'!X75</f>
        <v>153108</v>
      </c>
      <c r="G1495" s="15">
        <f ca="1">'206_副本挂机'!Q194</f>
        <v>559830</v>
      </c>
      <c r="H1495" s="15">
        <f ca="1">'208_黑市'!U75</f>
        <v>91620</v>
      </c>
      <c r="I1495" s="15">
        <f ca="1">'210_活动'!AA75</f>
        <v>913680</v>
      </c>
      <c r="J1495" s="15">
        <f ca="1">'211_VIP宝箱'!R75</f>
        <v>201000</v>
      </c>
      <c r="K1495" s="1">
        <f ca="1" t="shared" si="500"/>
        <v>0</v>
      </c>
      <c r="L1495" s="1">
        <f ca="1" t="shared" si="501"/>
        <v>1919238</v>
      </c>
      <c r="N1495" s="45">
        <f ca="1" t="shared" si="502"/>
        <v>600</v>
      </c>
      <c r="O1495" s="45">
        <f ca="1" t="shared" si="503"/>
        <v>2700</v>
      </c>
      <c r="P1495" s="45">
        <f ca="1" t="shared" si="504"/>
        <v>360</v>
      </c>
      <c r="Q1495" s="45">
        <f ca="1" t="shared" si="505"/>
        <v>3600</v>
      </c>
      <c r="R1495" s="45">
        <f ca="1" t="shared" si="506"/>
        <v>1200</v>
      </c>
    </row>
    <row r="1496" spans="2:18">
      <c r="B1496" s="12">
        <v>330</v>
      </c>
      <c r="C1496" s="1">
        <f ca="1">IF(养成规划!E76="",INDIRECT(ADDRESS(ROW()-1,COLUMN())),养成规划!E76)</f>
        <v>5</v>
      </c>
      <c r="D1496" s="1" t="str">
        <f>IF(养成规划!I76="","",养成规划!I76)</f>
        <v/>
      </c>
      <c r="E1496" s="1">
        <f ca="1" t="shared" si="499"/>
        <v>0</v>
      </c>
      <c r="F1496" s="15">
        <f ca="1">'204_军官任务'!X76</f>
        <v>171108</v>
      </c>
      <c r="G1496" s="15">
        <f ca="1">'206_副本挂机'!Q195</f>
        <v>645330</v>
      </c>
      <c r="H1496" s="15">
        <f ca="1">'208_黑市'!U76</f>
        <v>102420</v>
      </c>
      <c r="I1496" s="15">
        <f ca="1">'210_活动'!AA76</f>
        <v>1021680</v>
      </c>
      <c r="J1496" s="15">
        <f ca="1">'211_VIP宝箱'!R76</f>
        <v>237000</v>
      </c>
      <c r="K1496" s="1">
        <f ca="1" t="shared" si="500"/>
        <v>0</v>
      </c>
      <c r="L1496" s="1">
        <f ca="1" t="shared" si="501"/>
        <v>2177538</v>
      </c>
      <c r="N1496" s="45">
        <f ca="1" t="shared" si="502"/>
        <v>600</v>
      </c>
      <c r="O1496" s="45">
        <f ca="1" t="shared" si="503"/>
        <v>2850</v>
      </c>
      <c r="P1496" s="45">
        <f ca="1" t="shared" si="504"/>
        <v>360</v>
      </c>
      <c r="Q1496" s="45">
        <f ca="1" t="shared" si="505"/>
        <v>3600</v>
      </c>
      <c r="R1496" s="45">
        <f ca="1" t="shared" si="506"/>
        <v>1200</v>
      </c>
    </row>
    <row r="1497" spans="2:18">
      <c r="B1497" s="12">
        <v>360</v>
      </c>
      <c r="C1497" s="1">
        <f ca="1">IF(养成规划!E77="",INDIRECT(ADDRESS(ROW()-1,COLUMN())),养成规划!E77)</f>
        <v>5</v>
      </c>
      <c r="D1497" s="1" t="str">
        <f>IF(养成规划!I77="","",养成规划!I77)</f>
        <v>金++</v>
      </c>
      <c r="E1497" s="1">
        <f ca="1" t="shared" si="499"/>
        <v>6000000</v>
      </c>
      <c r="F1497" s="15">
        <f ca="1">'204_军官任务'!X77</f>
        <v>189108</v>
      </c>
      <c r="G1497" s="15">
        <f ca="1">'206_副本挂机'!Q196</f>
        <v>735330</v>
      </c>
      <c r="H1497" s="15">
        <f ca="1">'208_黑市'!U77</f>
        <v>113220</v>
      </c>
      <c r="I1497" s="15">
        <f ca="1">'210_活动'!AA77</f>
        <v>1129680</v>
      </c>
      <c r="J1497" s="15">
        <f ca="1">'211_VIP宝箱'!R77</f>
        <v>273000</v>
      </c>
      <c r="K1497" s="1">
        <f ca="1" t="shared" si="500"/>
        <v>6000000</v>
      </c>
      <c r="L1497" s="1">
        <f ca="1" t="shared" si="501"/>
        <v>2440338</v>
      </c>
      <c r="N1497" s="45">
        <f ca="1" t="shared" si="502"/>
        <v>600</v>
      </c>
      <c r="O1497" s="45">
        <f ca="1" t="shared" si="503"/>
        <v>3000</v>
      </c>
      <c r="P1497" s="45">
        <f ca="1" t="shared" si="504"/>
        <v>360</v>
      </c>
      <c r="Q1497" s="45">
        <f ca="1" t="shared" si="505"/>
        <v>3600</v>
      </c>
      <c r="R1497" s="45">
        <f ca="1" t="shared" si="506"/>
        <v>1200</v>
      </c>
    </row>
    <row r="1499" spans="2:12">
      <c r="B1499" s="27" t="s">
        <v>1118</v>
      </c>
      <c r="C1499" s="27"/>
      <c r="D1499" s="27"/>
      <c r="E1499" s="27"/>
      <c r="F1499" s="27"/>
      <c r="G1499" s="27"/>
      <c r="H1499" s="27"/>
      <c r="I1499" s="27"/>
      <c r="J1499" s="27"/>
      <c r="K1499" s="27"/>
      <c r="L1499" s="27"/>
    </row>
    <row r="1501" spans="2:8">
      <c r="B1501" s="1" t="s">
        <v>1119</v>
      </c>
      <c r="C1501" s="1" t="s">
        <v>450</v>
      </c>
      <c r="D1501" s="6">
        <v>100</v>
      </c>
      <c r="E1501" s="1" t="s">
        <v>1120</v>
      </c>
      <c r="F1501" s="1" t="s">
        <v>1121</v>
      </c>
      <c r="G1501" s="6">
        <v>500</v>
      </c>
      <c r="H1501" s="1" t="s">
        <v>728</v>
      </c>
    </row>
    <row r="1502" spans="2:8">
      <c r="B1502" s="1" t="s">
        <v>1122</v>
      </c>
      <c r="C1502" s="1" t="s">
        <v>450</v>
      </c>
      <c r="D1502" s="6">
        <v>100</v>
      </c>
      <c r="E1502" s="1" t="s">
        <v>1123</v>
      </c>
      <c r="F1502" s="1" t="s">
        <v>1121</v>
      </c>
      <c r="G1502" s="6">
        <v>10</v>
      </c>
      <c r="H1502" s="1" t="s">
        <v>540</v>
      </c>
    </row>
    <row r="1504" spans="2:12">
      <c r="B1504" s="27" t="s">
        <v>1124</v>
      </c>
      <c r="C1504" s="27"/>
      <c r="D1504" s="27"/>
      <c r="E1504" s="27"/>
      <c r="F1504" s="27"/>
      <c r="G1504" s="27"/>
      <c r="H1504" s="27"/>
      <c r="I1504" s="27"/>
      <c r="J1504" s="27"/>
      <c r="K1504" s="27"/>
      <c r="L1504" s="27"/>
    </row>
    <row r="1506" spans="2:11">
      <c r="B1506" s="29" t="s">
        <v>1125</v>
      </c>
      <c r="C1506" s="29"/>
      <c r="D1506" s="29" t="s">
        <v>1120</v>
      </c>
      <c r="E1506" s="29" t="s">
        <v>1123</v>
      </c>
      <c r="F1506" s="29" t="s">
        <v>1126</v>
      </c>
      <c r="G1506" s="29" t="s">
        <v>1127</v>
      </c>
      <c r="H1506" s="29" t="s">
        <v>1128</v>
      </c>
      <c r="I1506" s="29" t="s">
        <v>1129</v>
      </c>
      <c r="J1506" s="29" t="s">
        <v>728</v>
      </c>
      <c r="K1506" s="29" t="s">
        <v>540</v>
      </c>
    </row>
    <row r="1507" spans="2:11">
      <c r="B1507" s="1" t="s">
        <v>1130</v>
      </c>
      <c r="D1507" s="6">
        <v>5</v>
      </c>
      <c r="E1507" s="6"/>
      <c r="F1507" s="6"/>
      <c r="G1507" s="1">
        <f t="shared" ref="G1507:G1515" si="507">D1507+$D$1501*E1507+$D$1501*$D$1502*F1507</f>
        <v>5</v>
      </c>
      <c r="I1507" s="1">
        <f t="shared" ref="I1507:I1515" si="508">G1507/$G$1507</f>
        <v>1</v>
      </c>
      <c r="J1507" s="1">
        <f t="shared" ref="J1507:J1515" si="509">$G$1501*(E1507+$D$1502*F1507)</f>
        <v>0</v>
      </c>
      <c r="K1507" s="1">
        <f t="shared" ref="K1507:K1515" si="510">$G$1502*F1507</f>
        <v>0</v>
      </c>
    </row>
    <row r="1508" spans="2:11">
      <c r="B1508" s="1" t="s">
        <v>1131</v>
      </c>
      <c r="D1508" s="6">
        <v>20</v>
      </c>
      <c r="E1508" s="6"/>
      <c r="F1508" s="6"/>
      <c r="G1508" s="1">
        <f t="shared" si="507"/>
        <v>20</v>
      </c>
      <c r="H1508" s="1">
        <f t="shared" ref="H1508:H1515" si="511">G1508/G1507</f>
        <v>4</v>
      </c>
      <c r="I1508" s="1">
        <f t="shared" si="508"/>
        <v>4</v>
      </c>
      <c r="J1508" s="1">
        <f t="shared" si="509"/>
        <v>0</v>
      </c>
      <c r="K1508" s="1">
        <f t="shared" si="510"/>
        <v>0</v>
      </c>
    </row>
    <row r="1509" spans="2:11">
      <c r="B1509" s="1" t="s">
        <v>1132</v>
      </c>
      <c r="D1509" s="6">
        <v>80</v>
      </c>
      <c r="E1509" s="6"/>
      <c r="F1509" s="6"/>
      <c r="G1509" s="1">
        <f t="shared" si="507"/>
        <v>80</v>
      </c>
      <c r="H1509" s="1">
        <f t="shared" si="511"/>
        <v>4</v>
      </c>
      <c r="I1509" s="1">
        <f t="shared" si="508"/>
        <v>16</v>
      </c>
      <c r="J1509" s="1">
        <f t="shared" si="509"/>
        <v>0</v>
      </c>
      <c r="K1509" s="1">
        <f t="shared" si="510"/>
        <v>0</v>
      </c>
    </row>
    <row r="1510" spans="2:11">
      <c r="B1510" s="1" t="s">
        <v>1133</v>
      </c>
      <c r="D1510" s="6"/>
      <c r="E1510" s="6">
        <v>3</v>
      </c>
      <c r="F1510" s="6"/>
      <c r="G1510" s="1">
        <f t="shared" si="507"/>
        <v>300</v>
      </c>
      <c r="H1510" s="1">
        <f t="shared" si="511"/>
        <v>3.75</v>
      </c>
      <c r="I1510" s="1">
        <f t="shared" si="508"/>
        <v>60</v>
      </c>
      <c r="J1510" s="1">
        <f t="shared" si="509"/>
        <v>1500</v>
      </c>
      <c r="K1510" s="1">
        <f t="shared" si="510"/>
        <v>0</v>
      </c>
    </row>
    <row r="1511" spans="2:11">
      <c r="B1511" s="1" t="s">
        <v>1134</v>
      </c>
      <c r="D1511" s="6"/>
      <c r="E1511" s="6">
        <v>10</v>
      </c>
      <c r="F1511" s="6"/>
      <c r="G1511" s="1">
        <f t="shared" si="507"/>
        <v>1000</v>
      </c>
      <c r="H1511" s="1">
        <f t="shared" si="511"/>
        <v>3.33333333333333</v>
      </c>
      <c r="I1511" s="1">
        <f t="shared" si="508"/>
        <v>200</v>
      </c>
      <c r="J1511" s="1">
        <f t="shared" si="509"/>
        <v>5000</v>
      </c>
      <c r="K1511" s="1">
        <f t="shared" si="510"/>
        <v>0</v>
      </c>
    </row>
    <row r="1512" spans="2:11">
      <c r="B1512" s="1" t="s">
        <v>1135</v>
      </c>
      <c r="D1512" s="6"/>
      <c r="E1512" s="6">
        <v>30</v>
      </c>
      <c r="F1512" s="6"/>
      <c r="G1512" s="1">
        <f t="shared" si="507"/>
        <v>3000</v>
      </c>
      <c r="H1512" s="1">
        <f t="shared" si="511"/>
        <v>3</v>
      </c>
      <c r="I1512" s="1">
        <f t="shared" si="508"/>
        <v>600</v>
      </c>
      <c r="J1512" s="1">
        <f t="shared" si="509"/>
        <v>15000</v>
      </c>
      <c r="K1512" s="1">
        <f t="shared" si="510"/>
        <v>0</v>
      </c>
    </row>
    <row r="1513" spans="2:11">
      <c r="B1513" s="1" t="s">
        <v>1136</v>
      </c>
      <c r="D1513" s="6"/>
      <c r="E1513" s="6"/>
      <c r="F1513" s="6">
        <v>1</v>
      </c>
      <c r="G1513" s="1">
        <f t="shared" si="507"/>
        <v>10000</v>
      </c>
      <c r="H1513" s="1">
        <f t="shared" si="511"/>
        <v>3.33333333333333</v>
      </c>
      <c r="I1513" s="1">
        <f t="shared" si="508"/>
        <v>2000</v>
      </c>
      <c r="J1513" s="1">
        <f t="shared" si="509"/>
        <v>50000</v>
      </c>
      <c r="K1513" s="1">
        <f t="shared" si="510"/>
        <v>10</v>
      </c>
    </row>
    <row r="1514" spans="2:11">
      <c r="B1514" s="1" t="s">
        <v>1137</v>
      </c>
      <c r="D1514" s="6"/>
      <c r="E1514" s="6"/>
      <c r="F1514" s="6">
        <v>3</v>
      </c>
      <c r="G1514" s="1">
        <f t="shared" si="507"/>
        <v>30000</v>
      </c>
      <c r="H1514" s="1">
        <f t="shared" si="511"/>
        <v>3</v>
      </c>
      <c r="I1514" s="1">
        <f t="shared" si="508"/>
        <v>6000</v>
      </c>
      <c r="J1514" s="1">
        <f t="shared" si="509"/>
        <v>150000</v>
      </c>
      <c r="K1514" s="1">
        <f t="shared" si="510"/>
        <v>30</v>
      </c>
    </row>
    <row r="1515" spans="2:11">
      <c r="B1515" s="1" t="s">
        <v>1138</v>
      </c>
      <c r="D1515" s="6"/>
      <c r="E1515" s="6"/>
      <c r="F1515" s="6">
        <v>10</v>
      </c>
      <c r="G1515" s="1">
        <f t="shared" si="507"/>
        <v>100000</v>
      </c>
      <c r="H1515" s="1">
        <f t="shared" si="511"/>
        <v>3.33333333333333</v>
      </c>
      <c r="I1515" s="1">
        <f t="shared" si="508"/>
        <v>20000</v>
      </c>
      <c r="J1515" s="1">
        <f t="shared" si="509"/>
        <v>500000</v>
      </c>
      <c r="K1515" s="1">
        <f t="shared" si="510"/>
        <v>100</v>
      </c>
    </row>
    <row r="1516" spans="2:11">
      <c r="B1516" s="1" t="s">
        <v>1139</v>
      </c>
      <c r="D1516" s="6">
        <v>1</v>
      </c>
      <c r="E1516" s="6"/>
      <c r="F1516" s="6"/>
      <c r="G1516" s="1">
        <f t="shared" ref="G1516:G1518" si="512">D1516+$D$1501*E1516+$D$1501*$D$1502*F1516</f>
        <v>1</v>
      </c>
      <c r="J1516" s="1">
        <f t="shared" ref="J1516:J1518" si="513">$G$1501*(E1516+$D$1502*F1516)</f>
        <v>0</v>
      </c>
      <c r="K1516" s="1">
        <f t="shared" ref="K1516:K1518" si="514">$G$1502*F1516</f>
        <v>0</v>
      </c>
    </row>
    <row r="1517" spans="2:11">
      <c r="B1517" s="1" t="s">
        <v>1140</v>
      </c>
      <c r="D1517" s="6"/>
      <c r="E1517" s="6">
        <v>1</v>
      </c>
      <c r="F1517" s="6"/>
      <c r="G1517" s="1">
        <f t="shared" si="512"/>
        <v>100</v>
      </c>
      <c r="J1517" s="1">
        <f t="shared" si="513"/>
        <v>500</v>
      </c>
      <c r="K1517" s="1">
        <f t="shared" si="514"/>
        <v>0</v>
      </c>
    </row>
    <row r="1518" spans="2:11">
      <c r="B1518" s="1" t="s">
        <v>1141</v>
      </c>
      <c r="D1518" s="6"/>
      <c r="E1518" s="6"/>
      <c r="F1518" s="6">
        <v>1</v>
      </c>
      <c r="G1518" s="1">
        <f t="shared" si="512"/>
        <v>10000</v>
      </c>
      <c r="J1518" s="1">
        <f t="shared" si="513"/>
        <v>50000</v>
      </c>
      <c r="K1518" s="1">
        <f t="shared" si="514"/>
        <v>10</v>
      </c>
    </row>
    <row r="1520" spans="2:9">
      <c r="B1520" s="29" t="s">
        <v>1142</v>
      </c>
      <c r="C1520" s="29"/>
      <c r="D1520" s="29" t="s">
        <v>1120</v>
      </c>
      <c r="E1520" s="29" t="s">
        <v>1123</v>
      </c>
      <c r="F1520" s="29" t="s">
        <v>1126</v>
      </c>
      <c r="G1520" s="29" t="s">
        <v>1127</v>
      </c>
      <c r="H1520" s="29" t="s">
        <v>728</v>
      </c>
      <c r="I1520" s="29" t="s">
        <v>540</v>
      </c>
    </row>
    <row r="1521" spans="2:9">
      <c r="B1521" s="1" t="s">
        <v>1143</v>
      </c>
      <c r="D1521" s="6">
        <v>1</v>
      </c>
      <c r="E1521" s="6"/>
      <c r="F1521" s="6"/>
      <c r="G1521" s="1">
        <f t="shared" ref="G1521:G1523" si="515">D1521+100*E1521+10000*F1521</f>
        <v>1</v>
      </c>
      <c r="H1521" s="1">
        <f t="shared" ref="H1521:H1523" si="516">$G$1501*(E1521+$D$1502*F1521)</f>
        <v>0</v>
      </c>
      <c r="I1521" s="1">
        <f t="shared" ref="I1521:I1523" si="517">$G$1502*F1521</f>
        <v>0</v>
      </c>
    </row>
    <row r="1522" spans="2:9">
      <c r="B1522" s="1" t="s">
        <v>1144</v>
      </c>
      <c r="D1522" s="6"/>
      <c r="E1522" s="6">
        <v>1</v>
      </c>
      <c r="F1522" s="6"/>
      <c r="G1522" s="1">
        <f t="shared" si="515"/>
        <v>100</v>
      </c>
      <c r="H1522" s="1">
        <f t="shared" si="516"/>
        <v>500</v>
      </c>
      <c r="I1522" s="1">
        <f t="shared" si="517"/>
        <v>0</v>
      </c>
    </row>
    <row r="1523" spans="2:9">
      <c r="B1523" s="1" t="s">
        <v>1145</v>
      </c>
      <c r="D1523" s="6"/>
      <c r="E1523" s="6"/>
      <c r="F1523" s="6">
        <v>1</v>
      </c>
      <c r="G1523" s="1">
        <f t="shared" si="515"/>
        <v>10000</v>
      </c>
      <c r="H1523" s="1">
        <f t="shared" si="516"/>
        <v>50000</v>
      </c>
      <c r="I1523" s="1">
        <f t="shared" si="517"/>
        <v>10</v>
      </c>
    </row>
    <row r="1526" s="25" customFormat="1" spans="1:5">
      <c r="A1526" s="2" t="s">
        <v>484</v>
      </c>
      <c r="B1526" s="2"/>
      <c r="C1526" s="41" t="s">
        <v>436</v>
      </c>
      <c r="E1526" s="41"/>
    </row>
    <row r="1528" spans="2:12">
      <c r="B1528" s="27" t="s">
        <v>1102</v>
      </c>
      <c r="C1528" s="27"/>
      <c r="D1528" s="27"/>
      <c r="E1528" s="27"/>
      <c r="F1528" s="27"/>
      <c r="G1528" s="27"/>
      <c r="H1528" s="27"/>
      <c r="I1528" s="27"/>
      <c r="J1528" s="27"/>
      <c r="K1528" s="27"/>
      <c r="L1528" s="27"/>
    </row>
    <row r="1530" spans="2:5">
      <c r="B1530" s="1" t="s">
        <v>1146</v>
      </c>
      <c r="C1530" s="1" t="s">
        <v>450</v>
      </c>
      <c r="D1530" s="30">
        <v>50</v>
      </c>
      <c r="E1530" s="1" t="s">
        <v>1147</v>
      </c>
    </row>
    <row r="1532" spans="2:12">
      <c r="B1532" s="27" t="s">
        <v>1148</v>
      </c>
      <c r="C1532" s="27"/>
      <c r="D1532" s="27"/>
      <c r="E1532" s="27"/>
      <c r="F1532" s="27"/>
      <c r="G1532" s="27"/>
      <c r="H1532" s="27"/>
      <c r="I1532" s="27"/>
      <c r="J1532" s="27"/>
      <c r="K1532" s="27"/>
      <c r="L1532" s="27"/>
    </row>
    <row r="1534" spans="2:6">
      <c r="B1534" s="74" t="s">
        <v>68</v>
      </c>
      <c r="C1534" s="29" t="s">
        <v>1149</v>
      </c>
      <c r="D1534" s="29" t="s">
        <v>1150</v>
      </c>
      <c r="E1534" s="29" t="s">
        <v>1151</v>
      </c>
      <c r="F1534" s="29" t="s">
        <v>1152</v>
      </c>
    </row>
    <row r="1535" spans="2:6">
      <c r="B1535" s="1" t="s">
        <v>75</v>
      </c>
      <c r="C1535" s="1">
        <f>G1617</f>
        <v>9.375</v>
      </c>
      <c r="D1535" s="33">
        <f>H1617</f>
        <v>0.0078125</v>
      </c>
      <c r="E1535" s="1">
        <f>C1535/$D$1530</f>
        <v>0.1875</v>
      </c>
      <c r="F1535" s="33">
        <f>D1535/$D$1530</f>
        <v>0.00015625</v>
      </c>
    </row>
    <row r="1536" spans="2:6">
      <c r="B1536" s="1" t="s">
        <v>86</v>
      </c>
      <c r="C1536" s="1">
        <f t="shared" ref="C1536:D1540" si="518">G1618</f>
        <v>750</v>
      </c>
      <c r="D1536" s="33">
        <f t="shared" si="518"/>
        <v>0.625</v>
      </c>
      <c r="E1536" s="1">
        <f t="shared" ref="E1536:F1540" si="519">C1536/$D$1530</f>
        <v>15</v>
      </c>
      <c r="F1536" s="33">
        <f t="shared" si="519"/>
        <v>0.0125</v>
      </c>
    </row>
    <row r="1537" spans="2:6">
      <c r="B1537" s="1" t="s">
        <v>97</v>
      </c>
      <c r="C1537" s="1">
        <f t="shared" si="518"/>
        <v>3000</v>
      </c>
      <c r="D1537" s="33">
        <f t="shared" si="518"/>
        <v>2.5</v>
      </c>
      <c r="E1537" s="1">
        <f t="shared" si="519"/>
        <v>60</v>
      </c>
      <c r="F1537" s="33">
        <f t="shared" si="519"/>
        <v>0.05</v>
      </c>
    </row>
    <row r="1538" spans="2:6">
      <c r="B1538" s="1" t="s">
        <v>105</v>
      </c>
      <c r="C1538" s="1">
        <f t="shared" si="518"/>
        <v>15000</v>
      </c>
      <c r="D1538" s="33">
        <f t="shared" si="518"/>
        <v>12.5</v>
      </c>
      <c r="E1538" s="1">
        <f t="shared" si="519"/>
        <v>300</v>
      </c>
      <c r="F1538" s="33">
        <f t="shared" si="519"/>
        <v>0.25</v>
      </c>
    </row>
    <row r="1539" spans="2:6">
      <c r="B1539" s="1" t="s">
        <v>112</v>
      </c>
      <c r="C1539" s="1">
        <f t="shared" si="518"/>
        <v>30000</v>
      </c>
      <c r="D1539" s="33">
        <f t="shared" si="518"/>
        <v>25</v>
      </c>
      <c r="E1539" s="1">
        <f t="shared" si="519"/>
        <v>600</v>
      </c>
      <c r="F1539" s="33">
        <f t="shared" si="519"/>
        <v>0.5</v>
      </c>
    </row>
    <row r="1540" spans="2:6">
      <c r="B1540" s="1" t="s">
        <v>120</v>
      </c>
      <c r="C1540" s="1">
        <f t="shared" si="518"/>
        <v>150000</v>
      </c>
      <c r="D1540" s="33">
        <f t="shared" si="518"/>
        <v>125</v>
      </c>
      <c r="E1540" s="1">
        <f t="shared" si="519"/>
        <v>3000</v>
      </c>
      <c r="F1540" s="33">
        <f t="shared" si="519"/>
        <v>2.5</v>
      </c>
    </row>
    <row r="1542" spans="2:12">
      <c r="B1542" s="27" t="s">
        <v>1153</v>
      </c>
      <c r="C1542" s="27"/>
      <c r="D1542" s="27"/>
      <c r="E1542" s="27"/>
      <c r="F1542" s="27"/>
      <c r="G1542" s="27"/>
      <c r="H1542" s="27"/>
      <c r="I1542" s="27"/>
      <c r="J1542" s="27"/>
      <c r="K1542" s="27"/>
      <c r="L1542" s="27"/>
    </row>
    <row r="1544" spans="2:14">
      <c r="B1544" s="5" t="s">
        <v>630</v>
      </c>
      <c r="H1544" s="5" t="s">
        <v>640</v>
      </c>
      <c r="N1544" s="5" t="s">
        <v>650</v>
      </c>
    </row>
    <row r="1545" spans="2:17">
      <c r="B1545" s="29" t="s">
        <v>68</v>
      </c>
      <c r="C1545" s="29" t="s">
        <v>799</v>
      </c>
      <c r="D1545" s="29" t="s">
        <v>1154</v>
      </c>
      <c r="E1545" s="29" t="s">
        <v>1155</v>
      </c>
      <c r="H1545" s="29" t="s">
        <v>68</v>
      </c>
      <c r="I1545" s="29" t="s">
        <v>799</v>
      </c>
      <c r="J1545" s="29" t="s">
        <v>1154</v>
      </c>
      <c r="K1545" s="29" t="s">
        <v>1155</v>
      </c>
      <c r="N1545" s="29" t="s">
        <v>68</v>
      </c>
      <c r="O1545" s="29" t="s">
        <v>799</v>
      </c>
      <c r="P1545" s="29" t="s">
        <v>1154</v>
      </c>
      <c r="Q1545" s="29" t="s">
        <v>1155</v>
      </c>
    </row>
    <row r="1546" spans="2:17">
      <c r="B1546" s="1" t="s">
        <v>86</v>
      </c>
      <c r="C1546" s="30">
        <v>90</v>
      </c>
      <c r="D1546" s="68">
        <f t="shared" ref="D1546:D1548" si="520">C1546/SUM($C$1546:$C$1548)</f>
        <v>0.9</v>
      </c>
      <c r="E1546" s="33">
        <f ca="1" t="shared" ref="E1546:E1548" si="521">D1546*OFFSET($D$1535,MATCH(B1546,$B$1535:$B$1540,0)-1,0)</f>
        <v>0.5625</v>
      </c>
      <c r="H1546" s="1" t="s">
        <v>105</v>
      </c>
      <c r="I1546" s="30">
        <v>90</v>
      </c>
      <c r="J1546" s="68">
        <f t="shared" ref="J1546:J1548" si="522">I1546/SUM($C$1546:$C$1548)</f>
        <v>0.9</v>
      </c>
      <c r="K1546" s="33">
        <f ca="1" t="shared" ref="K1546:K1548" si="523">J1546*OFFSET($D$1535,MATCH(H1546,$B$1535:$B$1540,0)-1,0)</f>
        <v>11.25</v>
      </c>
      <c r="N1546" s="1" t="s">
        <v>112</v>
      </c>
      <c r="O1546" s="30">
        <v>90</v>
      </c>
      <c r="P1546" s="68">
        <f>O1546/SUM($C$1546:$C$1548)</f>
        <v>0.9</v>
      </c>
      <c r="Q1546" s="33">
        <f ca="1">P1546*OFFSET($D$1535,MATCH(N1546,$B$1535:$B$1540,0)-1,0)</f>
        <v>22.5</v>
      </c>
    </row>
    <row r="1547" spans="2:17">
      <c r="B1547" s="1" t="s">
        <v>97</v>
      </c>
      <c r="C1547" s="30">
        <v>9</v>
      </c>
      <c r="D1547" s="68">
        <f t="shared" si="520"/>
        <v>0.09</v>
      </c>
      <c r="E1547" s="33">
        <f ca="1" t="shared" si="521"/>
        <v>0.225</v>
      </c>
      <c r="H1547" s="1" t="s">
        <v>112</v>
      </c>
      <c r="I1547" s="30">
        <v>9</v>
      </c>
      <c r="J1547" s="68">
        <f t="shared" si="522"/>
        <v>0.09</v>
      </c>
      <c r="K1547" s="33">
        <f ca="1" t="shared" si="523"/>
        <v>2.25</v>
      </c>
      <c r="N1547" s="1" t="s">
        <v>120</v>
      </c>
      <c r="O1547" s="30">
        <v>10</v>
      </c>
      <c r="P1547" s="68">
        <f>O1547/SUM($C$1546:$C$1548)</f>
        <v>0.1</v>
      </c>
      <c r="Q1547" s="33">
        <f ca="1">P1547*OFFSET($D$1535,MATCH(N1547,$B$1535:$B$1540,0)-1,0)</f>
        <v>12.5</v>
      </c>
    </row>
    <row r="1548" spans="2:17">
      <c r="B1548" s="1" t="s">
        <v>105</v>
      </c>
      <c r="C1548" s="30">
        <v>1</v>
      </c>
      <c r="D1548" s="68">
        <f t="shared" si="520"/>
        <v>0.01</v>
      </c>
      <c r="E1548" s="33">
        <f ca="1" t="shared" si="521"/>
        <v>0.125</v>
      </c>
      <c r="H1548" s="1" t="s">
        <v>120</v>
      </c>
      <c r="I1548" s="30">
        <v>1</v>
      </c>
      <c r="J1548" s="68">
        <f t="shared" si="522"/>
        <v>0.01</v>
      </c>
      <c r="K1548" s="33">
        <f ca="1" t="shared" si="523"/>
        <v>1.25</v>
      </c>
      <c r="P1548" s="5" t="s">
        <v>534</v>
      </c>
      <c r="Q1548" s="75">
        <f ca="1">SUM(Q1546:Q1547)</f>
        <v>35</v>
      </c>
    </row>
    <row r="1549" spans="4:11">
      <c r="D1549" s="5" t="s">
        <v>534</v>
      </c>
      <c r="E1549" s="75">
        <f ca="1">SUM(E1546:E1548)</f>
        <v>0.9125</v>
      </c>
      <c r="J1549" s="5" t="s">
        <v>534</v>
      </c>
      <c r="K1549" s="75">
        <f ca="1">SUM(K1546:K1548)</f>
        <v>14.75</v>
      </c>
    </row>
    <row r="1551" spans="2:12">
      <c r="B1551" s="27" t="s">
        <v>1156</v>
      </c>
      <c r="C1551" s="27"/>
      <c r="D1551" s="27"/>
      <c r="E1551" s="27"/>
      <c r="F1551" s="27"/>
      <c r="G1551" s="27"/>
      <c r="H1551" s="27"/>
      <c r="I1551" s="27"/>
      <c r="J1551" s="27"/>
      <c r="K1551" s="27"/>
      <c r="L1551" s="27"/>
    </row>
    <row r="1553" spans="2:7">
      <c r="B1553" s="29" t="s">
        <v>1157</v>
      </c>
      <c r="E1553" s="29" t="s">
        <v>1158</v>
      </c>
      <c r="F1553" s="29" t="s">
        <v>516</v>
      </c>
      <c r="G1553" s="29" t="s">
        <v>29</v>
      </c>
    </row>
    <row r="1554" s="15" customFormat="1" spans="2:7">
      <c r="B1554" s="15" t="s">
        <v>621</v>
      </c>
      <c r="E1554" s="30">
        <v>1</v>
      </c>
      <c r="F1554" s="35">
        <f ca="1" t="shared" ref="F1554:F1563" si="524">$E$1549*E1554</f>
        <v>0.9125</v>
      </c>
      <c r="G1554" s="64">
        <f ca="1">F1554*总规划!$D$249</f>
        <v>1095</v>
      </c>
    </row>
    <row r="1555" s="15" customFormat="1" spans="2:7">
      <c r="B1555" s="15" t="s">
        <v>622</v>
      </c>
      <c r="E1555" s="30">
        <v>1</v>
      </c>
      <c r="F1555" s="35">
        <f ca="1" t="shared" si="524"/>
        <v>0.9125</v>
      </c>
      <c r="G1555" s="64">
        <f ca="1">F1555*总规划!$D$249</f>
        <v>1095</v>
      </c>
    </row>
    <row r="1556" s="15" customFormat="1" spans="2:7">
      <c r="B1556" s="15" t="s">
        <v>623</v>
      </c>
      <c r="E1556" s="30">
        <v>1</v>
      </c>
      <c r="F1556" s="35">
        <f ca="1" t="shared" si="524"/>
        <v>0.9125</v>
      </c>
      <c r="G1556" s="64">
        <f ca="1">F1556*总规划!$D$249</f>
        <v>1095</v>
      </c>
    </row>
    <row r="1557" s="15" customFormat="1" spans="2:7">
      <c r="B1557" s="15" t="s">
        <v>624</v>
      </c>
      <c r="E1557" s="30">
        <v>1</v>
      </c>
      <c r="F1557" s="35">
        <f ca="1" t="shared" si="524"/>
        <v>0.9125</v>
      </c>
      <c r="G1557" s="64">
        <f ca="1">F1557*总规划!$D$249</f>
        <v>1095</v>
      </c>
    </row>
    <row r="1558" s="15" customFormat="1" spans="2:7">
      <c r="B1558" s="15" t="s">
        <v>625</v>
      </c>
      <c r="E1558" s="30">
        <v>1</v>
      </c>
      <c r="F1558" s="35">
        <f ca="1" t="shared" si="524"/>
        <v>0.9125</v>
      </c>
      <c r="G1558" s="64">
        <f ca="1">F1558*总规划!$D$249</f>
        <v>1095</v>
      </c>
    </row>
    <row r="1559" s="15" customFormat="1" spans="2:7">
      <c r="B1559" s="15" t="s">
        <v>626</v>
      </c>
      <c r="E1559" s="30">
        <v>2</v>
      </c>
      <c r="F1559" s="35">
        <f ca="1" t="shared" si="524"/>
        <v>1.825</v>
      </c>
      <c r="G1559" s="64">
        <f ca="1">F1559*总规划!$D$249</f>
        <v>2190</v>
      </c>
    </row>
    <row r="1560" s="15" customFormat="1" spans="2:7">
      <c r="B1560" s="15" t="s">
        <v>627</v>
      </c>
      <c r="E1560" s="30">
        <v>2</v>
      </c>
      <c r="F1560" s="35">
        <f ca="1" t="shared" si="524"/>
        <v>1.825</v>
      </c>
      <c r="G1560" s="64">
        <f ca="1">F1560*总规划!$D$249</f>
        <v>2190</v>
      </c>
    </row>
    <row r="1561" s="15" customFormat="1" spans="2:7">
      <c r="B1561" s="15" t="s">
        <v>628</v>
      </c>
      <c r="E1561" s="30">
        <v>2</v>
      </c>
      <c r="F1561" s="35">
        <f ca="1" t="shared" si="524"/>
        <v>1.825</v>
      </c>
      <c r="G1561" s="64">
        <f ca="1">F1561*总规划!$D$249</f>
        <v>2190</v>
      </c>
    </row>
    <row r="1562" s="15" customFormat="1" spans="2:7">
      <c r="B1562" s="15" t="s">
        <v>629</v>
      </c>
      <c r="E1562" s="30">
        <v>2</v>
      </c>
      <c r="F1562" s="35">
        <f ca="1" t="shared" si="524"/>
        <v>1.825</v>
      </c>
      <c r="G1562" s="64">
        <f ca="1">F1562*总规划!$D$249</f>
        <v>2190</v>
      </c>
    </row>
    <row r="1563" s="15" customFormat="1" spans="2:7">
      <c r="B1563" s="15" t="s">
        <v>630</v>
      </c>
      <c r="E1563" s="30">
        <v>0.5</v>
      </c>
      <c r="F1563" s="35">
        <f ca="1" t="shared" si="524"/>
        <v>0.45625</v>
      </c>
      <c r="G1563" s="64">
        <f ca="1">F1563*总规划!$D$249</f>
        <v>547.5</v>
      </c>
    </row>
    <row r="1564" spans="2:7">
      <c r="B1564" s="1" t="s">
        <v>631</v>
      </c>
      <c r="E1564" s="30">
        <v>1</v>
      </c>
      <c r="F1564" s="33">
        <f ca="1" t="shared" ref="F1564:F1573" si="525">$K$1549*E1564</f>
        <v>14.75</v>
      </c>
      <c r="G1564" s="8">
        <f ca="1">F1564*总规划!$D$249</f>
        <v>17700</v>
      </c>
    </row>
    <row r="1565" spans="2:7">
      <c r="B1565" s="1" t="s">
        <v>632</v>
      </c>
      <c r="E1565" s="30">
        <v>1</v>
      </c>
      <c r="F1565" s="33">
        <f ca="1" t="shared" si="525"/>
        <v>14.75</v>
      </c>
      <c r="G1565" s="8">
        <f ca="1">F1565*总规划!$D$249</f>
        <v>17700</v>
      </c>
    </row>
    <row r="1566" spans="2:7">
      <c r="B1566" s="1" t="s">
        <v>633</v>
      </c>
      <c r="E1566" s="30">
        <v>1</v>
      </c>
      <c r="F1566" s="33">
        <f ca="1" t="shared" si="525"/>
        <v>14.75</v>
      </c>
      <c r="G1566" s="8">
        <f ca="1">F1566*总规划!$D$249</f>
        <v>17700</v>
      </c>
    </row>
    <row r="1567" spans="2:7">
      <c r="B1567" s="1" t="s">
        <v>634</v>
      </c>
      <c r="E1567" s="30">
        <v>1</v>
      </c>
      <c r="F1567" s="33">
        <f ca="1" t="shared" si="525"/>
        <v>14.75</v>
      </c>
      <c r="G1567" s="8">
        <f ca="1">F1567*总规划!$D$249</f>
        <v>17700</v>
      </c>
    </row>
    <row r="1568" spans="2:7">
      <c r="B1568" s="1" t="s">
        <v>635</v>
      </c>
      <c r="E1568" s="30">
        <v>1</v>
      </c>
      <c r="F1568" s="33">
        <f ca="1" t="shared" si="525"/>
        <v>14.75</v>
      </c>
      <c r="G1568" s="8">
        <f ca="1">F1568*总规划!$D$249</f>
        <v>17700</v>
      </c>
    </row>
    <row r="1569" spans="2:7">
      <c r="B1569" s="1" t="s">
        <v>636</v>
      </c>
      <c r="E1569" s="30">
        <v>2</v>
      </c>
      <c r="F1569" s="33">
        <f ca="1" t="shared" si="525"/>
        <v>29.5</v>
      </c>
      <c r="G1569" s="8">
        <f ca="1">F1569*总规划!$D$249</f>
        <v>35400</v>
      </c>
    </row>
    <row r="1570" spans="2:7">
      <c r="B1570" s="1" t="s">
        <v>637</v>
      </c>
      <c r="E1570" s="30">
        <v>2</v>
      </c>
      <c r="F1570" s="33">
        <f ca="1" t="shared" si="525"/>
        <v>29.5</v>
      </c>
      <c r="G1570" s="8">
        <f ca="1">F1570*总规划!$D$249</f>
        <v>35400</v>
      </c>
    </row>
    <row r="1571" spans="2:7">
      <c r="B1571" s="1" t="s">
        <v>638</v>
      </c>
      <c r="E1571" s="30">
        <v>2</v>
      </c>
      <c r="F1571" s="33">
        <f ca="1" t="shared" si="525"/>
        <v>29.5</v>
      </c>
      <c r="G1571" s="8">
        <f ca="1">F1571*总规划!$D$249</f>
        <v>35400</v>
      </c>
    </row>
    <row r="1572" spans="2:7">
      <c r="B1572" s="1" t="s">
        <v>639</v>
      </c>
      <c r="E1572" s="30">
        <v>2</v>
      </c>
      <c r="F1572" s="33">
        <f ca="1" t="shared" si="525"/>
        <v>29.5</v>
      </c>
      <c r="G1572" s="8">
        <f ca="1">F1572*总规划!$D$249</f>
        <v>35400</v>
      </c>
    </row>
    <row r="1573" spans="2:7">
      <c r="B1573" s="1" t="s">
        <v>640</v>
      </c>
      <c r="E1573" s="30">
        <v>0.5</v>
      </c>
      <c r="F1573" s="33">
        <f ca="1" t="shared" si="525"/>
        <v>7.375</v>
      </c>
      <c r="G1573" s="8">
        <f ca="1">F1573*总规划!$D$249</f>
        <v>8850</v>
      </c>
    </row>
    <row r="1574" s="15" customFormat="1" spans="2:7">
      <c r="B1574" s="15" t="s">
        <v>641</v>
      </c>
      <c r="E1574" s="30">
        <v>1</v>
      </c>
      <c r="F1574" s="35">
        <f ca="1" t="shared" ref="F1574:F1583" si="526">$Q$1548*E1574</f>
        <v>35</v>
      </c>
      <c r="G1574" s="64">
        <f ca="1">F1574*总规划!$D$249</f>
        <v>42000</v>
      </c>
    </row>
    <row r="1575" s="15" customFormat="1" spans="2:7">
      <c r="B1575" s="15" t="s">
        <v>642</v>
      </c>
      <c r="E1575" s="30">
        <v>1</v>
      </c>
      <c r="F1575" s="35">
        <f ca="1" t="shared" si="526"/>
        <v>35</v>
      </c>
      <c r="G1575" s="64">
        <f ca="1">F1575*总规划!$D$249</f>
        <v>42000</v>
      </c>
    </row>
    <row r="1576" s="15" customFormat="1" spans="2:7">
      <c r="B1576" s="15" t="s">
        <v>643</v>
      </c>
      <c r="E1576" s="30">
        <v>1</v>
      </c>
      <c r="F1576" s="35">
        <f ca="1" t="shared" si="526"/>
        <v>35</v>
      </c>
      <c r="G1576" s="64">
        <f ca="1">F1576*总规划!$D$249</f>
        <v>42000</v>
      </c>
    </row>
    <row r="1577" s="15" customFormat="1" spans="2:7">
      <c r="B1577" s="15" t="s">
        <v>644</v>
      </c>
      <c r="E1577" s="30">
        <v>1</v>
      </c>
      <c r="F1577" s="35">
        <f ca="1" t="shared" si="526"/>
        <v>35</v>
      </c>
      <c r="G1577" s="64">
        <f ca="1">F1577*总规划!$D$249</f>
        <v>42000</v>
      </c>
    </row>
    <row r="1578" s="15" customFormat="1" spans="2:7">
      <c r="B1578" s="15" t="s">
        <v>645</v>
      </c>
      <c r="E1578" s="30">
        <v>1</v>
      </c>
      <c r="F1578" s="35">
        <f ca="1" t="shared" si="526"/>
        <v>35</v>
      </c>
      <c r="G1578" s="64">
        <f ca="1">F1578*总规划!$D$249</f>
        <v>42000</v>
      </c>
    </row>
    <row r="1579" s="15" customFormat="1" spans="2:7">
      <c r="B1579" s="15" t="s">
        <v>646</v>
      </c>
      <c r="E1579" s="30">
        <v>2</v>
      </c>
      <c r="F1579" s="35">
        <f ca="1" t="shared" si="526"/>
        <v>70</v>
      </c>
      <c r="G1579" s="64">
        <f ca="1">F1579*总规划!$D$249</f>
        <v>84000</v>
      </c>
    </row>
    <row r="1580" s="15" customFormat="1" spans="2:7">
      <c r="B1580" s="15" t="s">
        <v>647</v>
      </c>
      <c r="E1580" s="30">
        <v>2</v>
      </c>
      <c r="F1580" s="35">
        <f ca="1" t="shared" si="526"/>
        <v>70</v>
      </c>
      <c r="G1580" s="64">
        <f ca="1">F1580*总规划!$D$249</f>
        <v>84000</v>
      </c>
    </row>
    <row r="1581" s="15" customFormat="1" spans="2:7">
      <c r="B1581" s="15" t="s">
        <v>648</v>
      </c>
      <c r="E1581" s="30">
        <v>2</v>
      </c>
      <c r="F1581" s="35">
        <f ca="1" t="shared" si="526"/>
        <v>70</v>
      </c>
      <c r="G1581" s="64">
        <f ca="1">F1581*总规划!$D$249</f>
        <v>84000</v>
      </c>
    </row>
    <row r="1582" s="15" customFormat="1" spans="2:7">
      <c r="B1582" s="15" t="s">
        <v>649</v>
      </c>
      <c r="E1582" s="30">
        <v>2</v>
      </c>
      <c r="F1582" s="35">
        <f ca="1" t="shared" si="526"/>
        <v>70</v>
      </c>
      <c r="G1582" s="64">
        <f ca="1">F1582*总规划!$D$249</f>
        <v>84000</v>
      </c>
    </row>
    <row r="1583" s="15" customFormat="1" spans="2:7">
      <c r="B1583" s="15" t="s">
        <v>650</v>
      </c>
      <c r="E1583" s="30">
        <v>0.5</v>
      </c>
      <c r="F1583" s="35">
        <f ca="1" t="shared" si="526"/>
        <v>17.5</v>
      </c>
      <c r="G1583" s="64">
        <f ca="1">F1583*总规划!$D$249</f>
        <v>21000</v>
      </c>
    </row>
    <row r="1584" spans="2:7">
      <c r="B1584" s="1" t="s">
        <v>651</v>
      </c>
      <c r="E1584" s="30">
        <v>1</v>
      </c>
      <c r="F1584" s="33">
        <f ca="1" t="shared" ref="F1584:F1588" si="527">$E$1549*E1584</f>
        <v>0.9125</v>
      </c>
      <c r="G1584" s="8">
        <f ca="1">F1584*总规划!$D$249</f>
        <v>1095</v>
      </c>
    </row>
    <row r="1585" spans="2:7">
      <c r="B1585" s="1" t="s">
        <v>652</v>
      </c>
      <c r="E1585" s="30">
        <v>1</v>
      </c>
      <c r="F1585" s="33">
        <f ca="1" t="shared" si="527"/>
        <v>0.9125</v>
      </c>
      <c r="G1585" s="8">
        <f ca="1">F1585*总规划!$D$249</f>
        <v>1095</v>
      </c>
    </row>
    <row r="1586" spans="2:7">
      <c r="B1586" s="1" t="s">
        <v>653</v>
      </c>
      <c r="E1586" s="30">
        <v>2</v>
      </c>
      <c r="F1586" s="33">
        <f ca="1" t="shared" si="527"/>
        <v>1.825</v>
      </c>
      <c r="G1586" s="8">
        <f ca="1">F1586*总规划!$D$249</f>
        <v>2190</v>
      </c>
    </row>
    <row r="1587" spans="2:7">
      <c r="B1587" s="1" t="s">
        <v>654</v>
      </c>
      <c r="E1587" s="30">
        <v>2</v>
      </c>
      <c r="F1587" s="33">
        <f ca="1" t="shared" si="527"/>
        <v>1.825</v>
      </c>
      <c r="G1587" s="8">
        <f ca="1">F1587*总规划!$D$249</f>
        <v>2190</v>
      </c>
    </row>
    <row r="1588" spans="2:7">
      <c r="B1588" s="1" t="s">
        <v>655</v>
      </c>
      <c r="E1588" s="30">
        <v>0.5</v>
      </c>
      <c r="F1588" s="33">
        <f ca="1" t="shared" si="527"/>
        <v>0.45625</v>
      </c>
      <c r="G1588" s="8">
        <f ca="1">F1588*总规划!$D$249</f>
        <v>547.5</v>
      </c>
    </row>
    <row r="1589" s="15" customFormat="1" spans="2:7">
      <c r="B1589" s="15" t="s">
        <v>656</v>
      </c>
      <c r="E1589" s="30">
        <v>1</v>
      </c>
      <c r="F1589" s="35">
        <f ca="1" t="shared" ref="F1589:F1598" si="528">$K$1549*E1589</f>
        <v>14.75</v>
      </c>
      <c r="G1589" s="64">
        <f ca="1">F1589*总规划!$D$249</f>
        <v>17700</v>
      </c>
    </row>
    <row r="1590" s="15" customFormat="1" spans="2:7">
      <c r="B1590" s="15" t="s">
        <v>657</v>
      </c>
      <c r="E1590" s="30">
        <v>1</v>
      </c>
      <c r="F1590" s="35">
        <f ca="1" t="shared" si="528"/>
        <v>14.75</v>
      </c>
      <c r="G1590" s="64">
        <f ca="1">F1590*总规划!$D$249</f>
        <v>17700</v>
      </c>
    </row>
    <row r="1591" s="15" customFormat="1" spans="2:7">
      <c r="B1591" s="15" t="s">
        <v>658</v>
      </c>
      <c r="E1591" s="30">
        <v>2</v>
      </c>
      <c r="F1591" s="35">
        <f ca="1" t="shared" si="528"/>
        <v>29.5</v>
      </c>
      <c r="G1591" s="64">
        <f ca="1">F1591*总规划!$D$249</f>
        <v>35400</v>
      </c>
    </row>
    <row r="1592" s="15" customFormat="1" spans="2:7">
      <c r="B1592" s="15" t="s">
        <v>659</v>
      </c>
      <c r="E1592" s="30">
        <v>2</v>
      </c>
      <c r="F1592" s="35">
        <f ca="1" t="shared" si="528"/>
        <v>29.5</v>
      </c>
      <c r="G1592" s="64">
        <f ca="1">F1592*总规划!$D$249</f>
        <v>35400</v>
      </c>
    </row>
    <row r="1593" s="15" customFormat="1" spans="2:7">
      <c r="B1593" s="15" t="s">
        <v>660</v>
      </c>
      <c r="E1593" s="30">
        <v>0.5</v>
      </c>
      <c r="F1593" s="35">
        <f ca="1" t="shared" si="528"/>
        <v>7.375</v>
      </c>
      <c r="G1593" s="64">
        <f ca="1">F1593*总规划!$D$249</f>
        <v>8850</v>
      </c>
    </row>
    <row r="1594" spans="2:7">
      <c r="B1594" s="1" t="s">
        <v>661</v>
      </c>
      <c r="E1594" s="30">
        <v>1</v>
      </c>
      <c r="F1594" s="33">
        <f ca="1" t="shared" si="528"/>
        <v>14.75</v>
      </c>
      <c r="G1594" s="64">
        <f ca="1">F1594*总规划!$D$249</f>
        <v>17700</v>
      </c>
    </row>
    <row r="1595" spans="2:7">
      <c r="B1595" s="1" t="s">
        <v>662</v>
      </c>
      <c r="E1595" s="30">
        <v>1</v>
      </c>
      <c r="F1595" s="33">
        <f ca="1" t="shared" si="528"/>
        <v>14.75</v>
      </c>
      <c r="G1595" s="64">
        <f ca="1">F1595*总规划!$D$249</f>
        <v>17700</v>
      </c>
    </row>
    <row r="1596" spans="2:7">
      <c r="B1596" s="1" t="s">
        <v>663</v>
      </c>
      <c r="E1596" s="30">
        <v>2</v>
      </c>
      <c r="F1596" s="33">
        <f ca="1" t="shared" si="528"/>
        <v>29.5</v>
      </c>
      <c r="G1596" s="64">
        <f ca="1">F1596*总规划!$D$249</f>
        <v>35400</v>
      </c>
    </row>
    <row r="1597" spans="2:7">
      <c r="B1597" s="1" t="s">
        <v>664</v>
      </c>
      <c r="E1597" s="30">
        <v>2</v>
      </c>
      <c r="F1597" s="33">
        <f ca="1" t="shared" si="528"/>
        <v>29.5</v>
      </c>
      <c r="G1597" s="64">
        <f ca="1">F1597*总规划!$D$249</f>
        <v>35400</v>
      </c>
    </row>
    <row r="1598" spans="2:7">
      <c r="B1598" s="1" t="s">
        <v>665</v>
      </c>
      <c r="E1598" s="30">
        <v>0.5</v>
      </c>
      <c r="F1598" s="33">
        <f ca="1" t="shared" si="528"/>
        <v>7.375</v>
      </c>
      <c r="G1598" s="64">
        <f ca="1">F1598*总规划!$D$249</f>
        <v>8850</v>
      </c>
    </row>
    <row r="1600" s="25" customFormat="1" spans="1:5">
      <c r="A1600" s="2" t="s">
        <v>463</v>
      </c>
      <c r="B1600" s="2"/>
      <c r="C1600" s="41" t="s">
        <v>436</v>
      </c>
      <c r="E1600" s="41"/>
    </row>
    <row r="1602" spans="2:12">
      <c r="B1602" s="27" t="s">
        <v>1159</v>
      </c>
      <c r="C1602" s="27"/>
      <c r="D1602" s="27"/>
      <c r="E1602" s="27"/>
      <c r="F1602" s="27"/>
      <c r="G1602" s="27"/>
      <c r="H1602" s="27"/>
      <c r="I1602" s="27"/>
      <c r="J1602" s="27"/>
      <c r="K1602" s="27"/>
      <c r="L1602" s="27"/>
    </row>
    <row r="1604" spans="2:6">
      <c r="B1604" s="1" t="s">
        <v>1103</v>
      </c>
      <c r="E1604" s="1">
        <f>总规划!$D$111</f>
        <v>360</v>
      </c>
      <c r="F1604" s="1" t="str">
        <f>总规划!$C$111</f>
        <v>1k铜材料</v>
      </c>
    </row>
    <row r="1605" spans="2:5">
      <c r="B1605" s="1" t="s">
        <v>1160</v>
      </c>
      <c r="E1605" s="30">
        <v>5</v>
      </c>
    </row>
    <row r="1606" spans="2:5">
      <c r="B1606" s="1" t="s">
        <v>1161</v>
      </c>
      <c r="E1606" s="30">
        <v>5</v>
      </c>
    </row>
    <row r="1607" spans="2:5">
      <c r="B1607" s="1" t="s">
        <v>1162</v>
      </c>
      <c r="E1607" s="30">
        <v>240000</v>
      </c>
    </row>
    <row r="1608" spans="2:5">
      <c r="B1608" s="1" t="s">
        <v>1163</v>
      </c>
      <c r="E1608" s="30">
        <v>40000000</v>
      </c>
    </row>
    <row r="1610" spans="2:12">
      <c r="B1610" s="27" t="s">
        <v>1164</v>
      </c>
      <c r="C1610" s="27"/>
      <c r="D1610" s="27"/>
      <c r="E1610" s="27"/>
      <c r="F1610" s="27"/>
      <c r="G1610" s="27"/>
      <c r="H1610" s="27"/>
      <c r="I1610" s="27"/>
      <c r="J1610" s="27"/>
      <c r="K1610" s="27"/>
      <c r="L1610" s="27"/>
    </row>
    <row r="1612" spans="2:5">
      <c r="B1612" s="1" t="s">
        <v>1165</v>
      </c>
      <c r="E1612" s="30">
        <v>4</v>
      </c>
    </row>
    <row r="1614" spans="2:12">
      <c r="B1614" s="27" t="s">
        <v>1166</v>
      </c>
      <c r="C1614" s="27"/>
      <c r="D1614" s="27"/>
      <c r="E1614" s="27"/>
      <c r="F1614" s="27"/>
      <c r="G1614" s="27"/>
      <c r="H1614" s="27"/>
      <c r="I1614" s="27"/>
      <c r="J1614" s="27"/>
      <c r="K1614" s="27"/>
      <c r="L1614" s="27"/>
    </row>
    <row r="1616" spans="2:8">
      <c r="B1616" s="76" t="s">
        <v>1167</v>
      </c>
      <c r="C1616" s="1" t="s">
        <v>1051</v>
      </c>
      <c r="D1616" s="1" t="s">
        <v>1168</v>
      </c>
      <c r="E1616" s="1" t="s">
        <v>1169</v>
      </c>
      <c r="F1616" s="1" t="s">
        <v>1170</v>
      </c>
      <c r="G1616" s="1" t="s">
        <v>1149</v>
      </c>
      <c r="H1616" s="5" t="s">
        <v>1150</v>
      </c>
    </row>
    <row r="1617" spans="2:8">
      <c r="B1617" s="1" t="s">
        <v>75</v>
      </c>
      <c r="C1617" s="70">
        <v>6.25e-5</v>
      </c>
      <c r="D1617" s="1">
        <f t="shared" ref="D1617:D1622" si="529">$E$1607*C1617</f>
        <v>15</v>
      </c>
      <c r="E1617" s="1">
        <f t="shared" ref="E1617:E1622" si="530">$E$1608*C1617</f>
        <v>2500</v>
      </c>
      <c r="F1617" s="1">
        <f>D1617/1000*总规划!$E$266</f>
        <v>37.5</v>
      </c>
      <c r="G1617" s="1">
        <f>F1617/$E$1612</f>
        <v>9.375</v>
      </c>
      <c r="H1617" s="75">
        <f>G1617/总规划!$D$249</f>
        <v>0.0078125</v>
      </c>
    </row>
    <row r="1618" spans="2:8">
      <c r="B1618" s="1" t="s">
        <v>86</v>
      </c>
      <c r="C1618" s="70">
        <v>0.005</v>
      </c>
      <c r="D1618" s="1">
        <f t="shared" si="529"/>
        <v>1200</v>
      </c>
      <c r="E1618" s="1">
        <f t="shared" si="530"/>
        <v>200000</v>
      </c>
      <c r="F1618" s="1">
        <f>D1618/1000*总规划!$E$266</f>
        <v>3000</v>
      </c>
      <c r="G1618" s="1">
        <f t="shared" ref="G1618:G1622" si="531">F1618/$E$1612</f>
        <v>750</v>
      </c>
      <c r="H1618" s="75">
        <f>G1618/总规划!$D$249</f>
        <v>0.625</v>
      </c>
    </row>
    <row r="1619" spans="2:8">
      <c r="B1619" s="1" t="s">
        <v>97</v>
      </c>
      <c r="C1619" s="70">
        <v>0.02</v>
      </c>
      <c r="D1619" s="1">
        <f t="shared" si="529"/>
        <v>4800</v>
      </c>
      <c r="E1619" s="1">
        <f t="shared" si="530"/>
        <v>800000</v>
      </c>
      <c r="F1619" s="1">
        <f>D1619/1000*总规划!$E$266</f>
        <v>12000</v>
      </c>
      <c r="G1619" s="1">
        <f t="shared" si="531"/>
        <v>3000</v>
      </c>
      <c r="H1619" s="75">
        <f>G1619/总规划!$D$249</f>
        <v>2.5</v>
      </c>
    </row>
    <row r="1620" spans="2:8">
      <c r="B1620" s="1" t="s">
        <v>105</v>
      </c>
      <c r="C1620" s="70">
        <v>0.1</v>
      </c>
      <c r="D1620" s="1">
        <f t="shared" si="529"/>
        <v>24000</v>
      </c>
      <c r="E1620" s="1">
        <f t="shared" si="530"/>
        <v>4000000</v>
      </c>
      <c r="F1620" s="1">
        <f>D1620/1000*总规划!$E$266</f>
        <v>60000</v>
      </c>
      <c r="G1620" s="1">
        <f t="shared" si="531"/>
        <v>15000</v>
      </c>
      <c r="H1620" s="75">
        <f>G1620/总规划!$D$249</f>
        <v>12.5</v>
      </c>
    </row>
    <row r="1621" spans="2:8">
      <c r="B1621" s="1" t="s">
        <v>112</v>
      </c>
      <c r="C1621" s="70">
        <v>0.2</v>
      </c>
      <c r="D1621" s="1">
        <f t="shared" si="529"/>
        <v>48000</v>
      </c>
      <c r="E1621" s="1">
        <f t="shared" si="530"/>
        <v>8000000</v>
      </c>
      <c r="F1621" s="1">
        <f>D1621/1000*总规划!$E$266</f>
        <v>120000</v>
      </c>
      <c r="G1621" s="1">
        <f t="shared" si="531"/>
        <v>30000</v>
      </c>
      <c r="H1621" s="75">
        <f>G1621/总规划!$D$249</f>
        <v>25</v>
      </c>
    </row>
    <row r="1622" spans="2:8">
      <c r="B1622" s="1" t="s">
        <v>120</v>
      </c>
      <c r="C1622" s="70">
        <v>1</v>
      </c>
      <c r="D1622" s="1">
        <f t="shared" si="529"/>
        <v>240000</v>
      </c>
      <c r="E1622" s="1">
        <f t="shared" si="530"/>
        <v>40000000</v>
      </c>
      <c r="F1622" s="1">
        <f>D1622/1000*总规划!$E$266</f>
        <v>600000</v>
      </c>
      <c r="G1622" s="1">
        <f t="shared" si="531"/>
        <v>150000</v>
      </c>
      <c r="H1622" s="75">
        <f>G1622/总规划!$D$249</f>
        <v>125</v>
      </c>
    </row>
    <row r="1625" s="25" customFormat="1" spans="1:5">
      <c r="A1625" s="2" t="s">
        <v>466</v>
      </c>
      <c r="B1625" s="2"/>
      <c r="C1625" s="41" t="s">
        <v>436</v>
      </c>
      <c r="E1625" s="41"/>
    </row>
    <row r="1627" spans="2:12">
      <c r="B1627" s="27" t="s">
        <v>1171</v>
      </c>
      <c r="C1627" s="27"/>
      <c r="D1627" s="27"/>
      <c r="E1627" s="27"/>
      <c r="F1627" s="27"/>
      <c r="G1627" s="27"/>
      <c r="H1627" s="27"/>
      <c r="I1627" s="27"/>
      <c r="J1627" s="27"/>
      <c r="K1627" s="27"/>
      <c r="L1627" s="27"/>
    </row>
    <row r="1629" spans="2:6">
      <c r="B1629" s="1" t="s">
        <v>1172</v>
      </c>
      <c r="E1629" s="1">
        <f>总规划!$D$113</f>
        <v>120</v>
      </c>
      <c r="F1629" s="1" t="str">
        <f>总规划!$C$113</f>
        <v>1M军经</v>
      </c>
    </row>
    <row r="1630" spans="2:5">
      <c r="B1630" s="1" t="s">
        <v>1173</v>
      </c>
      <c r="E1630" s="14">
        <f>总规划!$L$140</f>
        <v>0.5</v>
      </c>
    </row>
    <row r="1631" spans="5:5">
      <c r="E1631" s="14"/>
    </row>
    <row r="1632" spans="5:5">
      <c r="E1632" s="14"/>
    </row>
    <row r="1633" spans="5:5">
      <c r="E1633" s="14"/>
    </row>
    <row r="1634" spans="5:5">
      <c r="E1634" s="14"/>
    </row>
    <row r="1635" spans="5:5">
      <c r="E1635" s="14"/>
    </row>
    <row r="1636" spans="5:5">
      <c r="E1636" s="14"/>
    </row>
    <row r="1637" spans="5:5">
      <c r="E1637" s="14"/>
    </row>
    <row r="1638" spans="5:5">
      <c r="E1638" s="14"/>
    </row>
    <row r="1639" spans="5:5">
      <c r="E1639" s="14"/>
    </row>
    <row r="1640" spans="5:5">
      <c r="E1640" s="14"/>
    </row>
    <row r="1641" spans="5:5">
      <c r="E1641" s="14"/>
    </row>
    <row r="1642" spans="5:5">
      <c r="E1642" s="14"/>
    </row>
    <row r="1643" spans="5:5">
      <c r="E1643" s="14"/>
    </row>
    <row r="1644" spans="5:5">
      <c r="E1644" s="14"/>
    </row>
    <row r="1645" spans="5:5">
      <c r="E1645" s="14"/>
    </row>
    <row r="1646" spans="5:5">
      <c r="E1646" s="14"/>
    </row>
    <row r="1647" spans="5:5">
      <c r="E1647" s="14"/>
    </row>
    <row r="1648" spans="5:5">
      <c r="E1648" s="14"/>
    </row>
    <row r="1649" spans="5:5">
      <c r="E1649" s="14"/>
    </row>
    <row r="1650" spans="5:5">
      <c r="E1650" s="14"/>
    </row>
    <row r="1651" spans="5:5">
      <c r="E1651" s="14"/>
    </row>
    <row r="1652" spans="5:5">
      <c r="E1652" s="14"/>
    </row>
    <row r="1653" spans="5:5">
      <c r="E1653" s="14"/>
    </row>
    <row r="1654" spans="5:5">
      <c r="E1654" s="14"/>
    </row>
    <row r="1655" spans="5:5">
      <c r="E1655" s="14"/>
    </row>
    <row r="1656" spans="5:5">
      <c r="E1656" s="14"/>
    </row>
    <row r="1657" spans="2:12">
      <c r="B1657" s="27" t="s">
        <v>1174</v>
      </c>
      <c r="C1657" s="27"/>
      <c r="D1657" s="27"/>
      <c r="E1657" s="27"/>
      <c r="F1657" s="27"/>
      <c r="G1657" s="27"/>
      <c r="H1657" s="27"/>
      <c r="I1657" s="27"/>
      <c r="J1657" s="27"/>
      <c r="K1657" s="27"/>
      <c r="L1657" s="27"/>
    </row>
    <row r="1659" spans="2:10">
      <c r="B1659" s="1" t="s">
        <v>382</v>
      </c>
      <c r="C1659" s="1" t="s">
        <v>679</v>
      </c>
      <c r="D1659" s="1" t="s">
        <v>465</v>
      </c>
      <c r="E1659" s="1" t="s">
        <v>1175</v>
      </c>
      <c r="F1659" s="15" t="s">
        <v>1176</v>
      </c>
      <c r="G1659" s="1" t="s">
        <v>1177</v>
      </c>
      <c r="H1659" s="1" t="s">
        <v>1178</v>
      </c>
      <c r="J1659" s="45" t="s">
        <v>1176</v>
      </c>
    </row>
    <row r="1660" spans="2:10">
      <c r="B1660" s="7">
        <v>0</v>
      </c>
      <c r="C1660" s="1">
        <f ca="1">养成规划!AA6</f>
        <v>0</v>
      </c>
      <c r="D1660" s="1">
        <f>IF(养成规划!K6="","",养成规划!K6)</f>
        <v>0</v>
      </c>
      <c r="E1660" s="1" t="str">
        <f ca="1">IFERROR(C1660*OFFSET('114_军官等级'!$G$6,MATCH(D1660,'114_军官等级'!$A$6:$A$65,0)-1,0),"")</f>
        <v/>
      </c>
      <c r="F1660" s="15">
        <f ca="1">'204_军官任务'!F6</f>
        <v>0</v>
      </c>
      <c r="G1660" s="1" t="str">
        <f ca="1" t="shared" ref="G1660:G1691" si="532">E1660</f>
        <v/>
      </c>
      <c r="H1660" s="1">
        <f ca="1" t="shared" ref="H1660:H1691" si="533">SUM(F1660:F1660)</f>
        <v>0</v>
      </c>
      <c r="J1660" s="45">
        <v>0</v>
      </c>
    </row>
    <row r="1661" spans="2:10">
      <c r="B1661" s="7">
        <v>0.1</v>
      </c>
      <c r="C1661" s="1">
        <f ca="1">养成规划!AA7</f>
        <v>1</v>
      </c>
      <c r="D1661" s="1" t="str">
        <f>IF(养成规划!K7="","",养成规划!K7)</f>
        <v/>
      </c>
      <c r="E1661" s="1" t="str">
        <f ca="1">IFERROR(C1661*OFFSET('114_军官等级'!$G$6,MATCH(D1661,'114_军官等级'!$A$6:$A$65,0)-1,0),"")</f>
        <v/>
      </c>
      <c r="F1661" s="15">
        <f ca="1">'204_军官任务'!F7</f>
        <v>0</v>
      </c>
      <c r="G1661" s="1" t="str">
        <f ca="1" t="shared" si="532"/>
        <v/>
      </c>
      <c r="H1661" s="1">
        <f ca="1" t="shared" si="533"/>
        <v>0</v>
      </c>
      <c r="J1661" s="45">
        <f ca="1" t="shared" ref="J1661:J1692" si="534">(F1661-F1660)/($B1661-$B1660)</f>
        <v>0</v>
      </c>
    </row>
    <row r="1662" spans="2:10">
      <c r="B1662" s="7">
        <v>0.2</v>
      </c>
      <c r="C1662" s="1">
        <f ca="1">养成规划!AA8</f>
        <v>2</v>
      </c>
      <c r="D1662" s="1" t="str">
        <f>IF(养成规划!K8="","",养成规划!K8)</f>
        <v/>
      </c>
      <c r="E1662" s="1" t="str">
        <f ca="1">IFERROR(C1662*OFFSET('114_军官等级'!$G$6,MATCH(D1662,'114_军官等级'!$A$6:$A$65,0)-1,0),"")</f>
        <v/>
      </c>
      <c r="F1662" s="15">
        <f ca="1">'204_军官任务'!F8</f>
        <v>0</v>
      </c>
      <c r="G1662" s="1" t="str">
        <f ca="1" t="shared" si="532"/>
        <v/>
      </c>
      <c r="H1662" s="1">
        <f ca="1" t="shared" si="533"/>
        <v>0</v>
      </c>
      <c r="J1662" s="45">
        <f ca="1" t="shared" si="534"/>
        <v>0</v>
      </c>
    </row>
    <row r="1663" spans="2:10">
      <c r="B1663" s="7">
        <v>0.3</v>
      </c>
      <c r="C1663" s="1">
        <f ca="1">养成规划!AA9</f>
        <v>3</v>
      </c>
      <c r="D1663" s="1" t="str">
        <f>IF(养成规划!K9="","",养成规划!K9)</f>
        <v/>
      </c>
      <c r="E1663" s="1" t="str">
        <f ca="1">IFERROR(C1663*OFFSET('114_军官等级'!$G$6,MATCH(D1663,'114_军官等级'!$A$6:$A$65,0)-1,0),"")</f>
        <v/>
      </c>
      <c r="F1663" s="15">
        <f ca="1">'204_军官任务'!F9</f>
        <v>0</v>
      </c>
      <c r="G1663" s="1" t="str">
        <f ca="1" t="shared" si="532"/>
        <v/>
      </c>
      <c r="H1663" s="1">
        <f ca="1" t="shared" si="533"/>
        <v>0</v>
      </c>
      <c r="J1663" s="45">
        <f ca="1" t="shared" si="534"/>
        <v>0</v>
      </c>
    </row>
    <row r="1664" spans="2:10">
      <c r="B1664" s="7">
        <v>0.4</v>
      </c>
      <c r="C1664" s="1">
        <f ca="1">养成规划!AA10</f>
        <v>4</v>
      </c>
      <c r="D1664" s="1" t="str">
        <f>IF(养成规划!K10="","",养成规划!K10)</f>
        <v/>
      </c>
      <c r="E1664" s="1" t="str">
        <f ca="1">IFERROR(C1664*OFFSET('114_军官等级'!$G$6,MATCH(D1664,'114_军官等级'!$A$6:$A$65,0)-1,0),"")</f>
        <v/>
      </c>
      <c r="F1664" s="15">
        <f ca="1">'204_军官任务'!F10</f>
        <v>0</v>
      </c>
      <c r="G1664" s="1" t="str">
        <f ca="1" t="shared" si="532"/>
        <v/>
      </c>
      <c r="H1664" s="1">
        <f ca="1" t="shared" si="533"/>
        <v>0</v>
      </c>
      <c r="J1664" s="45">
        <f ca="1" t="shared" si="534"/>
        <v>0</v>
      </c>
    </row>
    <row r="1665" spans="2:10">
      <c r="B1665" s="7">
        <v>0.5</v>
      </c>
      <c r="C1665" s="1">
        <f ca="1">养成规划!AA11</f>
        <v>4</v>
      </c>
      <c r="D1665" s="1" t="str">
        <f>IF(养成规划!K11="","",养成规划!K11)</f>
        <v/>
      </c>
      <c r="E1665" s="1" t="str">
        <f ca="1">IFERROR(C1665*OFFSET('114_军官等级'!$G$6,MATCH(D1665,'114_军官等级'!$A$6:$A$65,0)-1,0),"")</f>
        <v/>
      </c>
      <c r="F1665" s="15">
        <f ca="1">'204_军官任务'!F11</f>
        <v>0</v>
      </c>
      <c r="G1665" s="1" t="str">
        <f ca="1" t="shared" si="532"/>
        <v/>
      </c>
      <c r="H1665" s="1">
        <f ca="1" t="shared" si="533"/>
        <v>0</v>
      </c>
      <c r="J1665" s="45">
        <f ca="1" t="shared" si="534"/>
        <v>0</v>
      </c>
    </row>
    <row r="1666" spans="2:10">
      <c r="B1666" s="7">
        <v>0.6</v>
      </c>
      <c r="C1666" s="1">
        <f ca="1">养成规划!AA12</f>
        <v>5</v>
      </c>
      <c r="D1666" s="1" t="str">
        <f>IF(养成规划!K12="","",养成规划!K12)</f>
        <v/>
      </c>
      <c r="E1666" s="1" t="str">
        <f ca="1">IFERROR(C1666*OFFSET('114_军官等级'!$G$6,MATCH(D1666,'114_军官等级'!$A$6:$A$65,0)-1,0),"")</f>
        <v/>
      </c>
      <c r="F1666" s="15">
        <f ca="1">'204_军官任务'!F12</f>
        <v>0</v>
      </c>
      <c r="G1666" s="1" t="str">
        <f ca="1" t="shared" si="532"/>
        <v/>
      </c>
      <c r="H1666" s="1">
        <f ca="1" t="shared" si="533"/>
        <v>0</v>
      </c>
      <c r="J1666" s="45">
        <f ca="1" t="shared" si="534"/>
        <v>0</v>
      </c>
    </row>
    <row r="1667" spans="2:10">
      <c r="B1667" s="7">
        <v>0.7</v>
      </c>
      <c r="C1667" s="1">
        <f ca="1">养成规划!AA13</f>
        <v>5</v>
      </c>
      <c r="D1667" s="1" t="str">
        <f>IF(养成规划!K13="","",养成规划!K13)</f>
        <v/>
      </c>
      <c r="E1667" s="1" t="str">
        <f ca="1">IFERROR(C1667*OFFSET('114_军官等级'!$G$6,MATCH(D1667,'114_军官等级'!$A$6:$A$65,0)-1,0),"")</f>
        <v/>
      </c>
      <c r="F1667" s="15">
        <f ca="1">'204_军官任务'!F13</f>
        <v>0</v>
      </c>
      <c r="G1667" s="1" t="str">
        <f ca="1" t="shared" si="532"/>
        <v/>
      </c>
      <c r="H1667" s="1">
        <f ca="1" t="shared" si="533"/>
        <v>0</v>
      </c>
      <c r="J1667" s="45">
        <f ca="1" t="shared" si="534"/>
        <v>0</v>
      </c>
    </row>
    <row r="1668" spans="2:10">
      <c r="B1668" s="7">
        <v>0.8</v>
      </c>
      <c r="C1668" s="1">
        <f ca="1">养成规划!AA14</f>
        <v>6</v>
      </c>
      <c r="D1668" s="1" t="str">
        <f>IF(养成规划!K14="","",养成规划!K14)</f>
        <v/>
      </c>
      <c r="E1668" s="1" t="str">
        <f ca="1">IFERROR(C1668*OFFSET('114_军官等级'!$G$6,MATCH(D1668,'114_军官等级'!$A$6:$A$65,0)-1,0),"")</f>
        <v/>
      </c>
      <c r="F1668" s="15">
        <f ca="1">'204_军官任务'!F14</f>
        <v>0</v>
      </c>
      <c r="G1668" s="1" t="str">
        <f ca="1" t="shared" si="532"/>
        <v/>
      </c>
      <c r="H1668" s="1">
        <f ca="1" t="shared" si="533"/>
        <v>0</v>
      </c>
      <c r="J1668" s="45">
        <f ca="1" t="shared" si="534"/>
        <v>0</v>
      </c>
    </row>
    <row r="1669" spans="2:10">
      <c r="B1669" s="7">
        <v>0.9</v>
      </c>
      <c r="C1669" s="1">
        <f ca="1">养成规划!AA15</f>
        <v>6</v>
      </c>
      <c r="D1669" s="1" t="str">
        <f>IF(养成规划!K15="","",养成规划!K15)</f>
        <v/>
      </c>
      <c r="E1669" s="1" t="str">
        <f ca="1">IFERROR(C1669*OFFSET('114_军官等级'!$G$6,MATCH(D1669,'114_军官等级'!$A$6:$A$65,0)-1,0),"")</f>
        <v/>
      </c>
      <c r="F1669" s="15">
        <f ca="1">'204_军官任务'!F15</f>
        <v>0</v>
      </c>
      <c r="G1669" s="1" t="str">
        <f ca="1" t="shared" si="532"/>
        <v/>
      </c>
      <c r="H1669" s="1">
        <f ca="1" t="shared" si="533"/>
        <v>0</v>
      </c>
      <c r="J1669" s="45">
        <f ca="1" t="shared" si="534"/>
        <v>0</v>
      </c>
    </row>
    <row r="1670" spans="2:10">
      <c r="B1670" s="7">
        <v>1</v>
      </c>
      <c r="C1670" s="1">
        <f ca="1">养成规划!AA16</f>
        <v>7</v>
      </c>
      <c r="D1670" s="1">
        <f>IF(养成规划!K16="","",养成规划!K16)</f>
        <v>10</v>
      </c>
      <c r="E1670" s="1">
        <f ca="1">IFERROR(C1670*OFFSET('114_军官等级'!$G$6,MATCH(D1670,'114_军官等级'!$A$6:$A$65,0)-1,0),"")</f>
        <v>4970</v>
      </c>
      <c r="F1670" s="15">
        <f ca="1">'204_军官任务'!F16</f>
        <v>0</v>
      </c>
      <c r="G1670" s="1">
        <f ca="1" t="shared" si="532"/>
        <v>4970</v>
      </c>
      <c r="H1670" s="1">
        <f ca="1" t="shared" si="533"/>
        <v>0</v>
      </c>
      <c r="J1670" s="45">
        <f ca="1" t="shared" si="534"/>
        <v>0</v>
      </c>
    </row>
    <row r="1671" spans="2:10">
      <c r="B1671" s="9">
        <v>1.5</v>
      </c>
      <c r="C1671" s="1">
        <f ca="1">养成规划!AA17</f>
        <v>7</v>
      </c>
      <c r="D1671" s="1" t="str">
        <f>IF(养成规划!K17="","",养成规划!K17)</f>
        <v/>
      </c>
      <c r="E1671" s="1" t="str">
        <f ca="1">IFERROR(C1671*OFFSET('114_军官等级'!$G$6,MATCH(D1671,'114_军官等级'!$A$6:$A$65,0)-1,0),"")</f>
        <v/>
      </c>
      <c r="F1671" s="15">
        <f ca="1">'204_军官任务'!F17</f>
        <v>296400</v>
      </c>
      <c r="G1671" s="1" t="str">
        <f ca="1" t="shared" si="532"/>
        <v/>
      </c>
      <c r="H1671" s="1">
        <f ca="1" t="shared" si="533"/>
        <v>296400</v>
      </c>
      <c r="J1671" s="45">
        <f ca="1" t="shared" si="534"/>
        <v>592800</v>
      </c>
    </row>
    <row r="1672" spans="2:10">
      <c r="B1672" s="9">
        <v>2</v>
      </c>
      <c r="C1672" s="1">
        <f ca="1">养成规划!AA18</f>
        <v>7</v>
      </c>
      <c r="D1672" s="1" t="str">
        <f>IF(养成规划!K18="","",养成规划!K18)</f>
        <v/>
      </c>
      <c r="E1672" s="1" t="str">
        <f ca="1">IFERROR(C1672*OFFSET('114_军官等级'!$G$6,MATCH(D1672,'114_军官等级'!$A$6:$A$65,0)-1,0),"")</f>
        <v/>
      </c>
      <c r="F1672" s="15">
        <f ca="1">'204_军官任务'!F18</f>
        <v>889200</v>
      </c>
      <c r="G1672" s="1" t="str">
        <f ca="1" t="shared" si="532"/>
        <v/>
      </c>
      <c r="H1672" s="1">
        <f ca="1" t="shared" si="533"/>
        <v>889200</v>
      </c>
      <c r="J1672" s="45">
        <f ca="1" t="shared" si="534"/>
        <v>1185600</v>
      </c>
    </row>
    <row r="1673" spans="2:10">
      <c r="B1673" s="9">
        <v>2.5</v>
      </c>
      <c r="C1673" s="1">
        <f ca="1">养成规划!AA19</f>
        <v>7</v>
      </c>
      <c r="D1673" s="1" t="str">
        <f>IF(养成规划!K19="","",养成规划!K19)</f>
        <v/>
      </c>
      <c r="E1673" s="1" t="str">
        <f ca="1">IFERROR(C1673*OFFSET('114_军官等级'!$G$6,MATCH(D1673,'114_军官等级'!$A$6:$A$65,0)-1,0),"")</f>
        <v/>
      </c>
      <c r="F1673" s="15">
        <f ca="1">'204_军官任务'!F19</f>
        <v>1482000</v>
      </c>
      <c r="G1673" s="1" t="str">
        <f ca="1" t="shared" si="532"/>
        <v/>
      </c>
      <c r="H1673" s="1">
        <f ca="1" t="shared" si="533"/>
        <v>1482000</v>
      </c>
      <c r="J1673" s="45">
        <f ca="1" t="shared" si="534"/>
        <v>1185600</v>
      </c>
    </row>
    <row r="1674" spans="2:10">
      <c r="B1674" s="9">
        <v>3</v>
      </c>
      <c r="C1674" s="1">
        <f ca="1">养成规划!AA20</f>
        <v>8</v>
      </c>
      <c r="D1674" s="1" t="str">
        <f>IF(养成规划!K20="","",养成规划!K20)</f>
        <v/>
      </c>
      <c r="E1674" s="1" t="str">
        <f ca="1">IFERROR(C1674*OFFSET('114_军官等级'!$G$6,MATCH(D1674,'114_军官等级'!$A$6:$A$65,0)-1,0),"")</f>
        <v/>
      </c>
      <c r="F1674" s="15">
        <f ca="1">'204_军官任务'!F20</f>
        <v>2074800</v>
      </c>
      <c r="G1674" s="1" t="str">
        <f ca="1" t="shared" si="532"/>
        <v/>
      </c>
      <c r="H1674" s="1">
        <f ca="1" t="shared" si="533"/>
        <v>2074800</v>
      </c>
      <c r="J1674" s="45">
        <f ca="1" t="shared" si="534"/>
        <v>1185600</v>
      </c>
    </row>
    <row r="1675" spans="2:10">
      <c r="B1675" s="9">
        <v>3.5</v>
      </c>
      <c r="C1675" s="1">
        <f ca="1">养成规划!AA21</f>
        <v>8</v>
      </c>
      <c r="D1675" s="1" t="str">
        <f>IF(养成规划!K21="","",养成规划!K21)</f>
        <v/>
      </c>
      <c r="E1675" s="1" t="str">
        <f ca="1">IFERROR(C1675*OFFSET('114_军官等级'!$G$6,MATCH(D1675,'114_军官等级'!$A$6:$A$65,0)-1,0),"")</f>
        <v/>
      </c>
      <c r="F1675" s="15">
        <f ca="1">'204_军官任务'!F21</f>
        <v>2667600</v>
      </c>
      <c r="G1675" s="1" t="str">
        <f ca="1" t="shared" si="532"/>
        <v/>
      </c>
      <c r="H1675" s="1">
        <f ca="1" t="shared" si="533"/>
        <v>2667600</v>
      </c>
      <c r="J1675" s="45">
        <f ca="1" t="shared" si="534"/>
        <v>1185600</v>
      </c>
    </row>
    <row r="1676" spans="2:10">
      <c r="B1676" s="9">
        <v>4</v>
      </c>
      <c r="C1676" s="1">
        <f ca="1">养成规划!AA22</f>
        <v>8</v>
      </c>
      <c r="D1676" s="1">
        <f>IF(养成规划!K22="","",养成规划!K22)</f>
        <v>20</v>
      </c>
      <c r="E1676" s="1">
        <f ca="1">IFERROR(C1676*OFFSET('114_军官等级'!$G$6,MATCH(D1676,'114_军官等级'!$A$6:$A$65,0)-1,0),"")</f>
        <v>2861200</v>
      </c>
      <c r="F1676" s="15">
        <f ca="1">'204_军官任务'!F22</f>
        <v>3260400</v>
      </c>
      <c r="G1676" s="1">
        <f ca="1" t="shared" si="532"/>
        <v>2861200</v>
      </c>
      <c r="H1676" s="1">
        <f ca="1" t="shared" si="533"/>
        <v>3260400</v>
      </c>
      <c r="J1676" s="45">
        <f ca="1" t="shared" si="534"/>
        <v>1185600</v>
      </c>
    </row>
    <row r="1677" spans="2:10">
      <c r="B1677" s="9">
        <v>4.5</v>
      </c>
      <c r="C1677" s="1">
        <f ca="1">养成规划!AA23</f>
        <v>8</v>
      </c>
      <c r="D1677" s="1" t="str">
        <f>IF(养成规划!K23="","",养成规划!K23)</f>
        <v/>
      </c>
      <c r="E1677" s="1" t="str">
        <f ca="1">IFERROR(C1677*OFFSET('114_军官等级'!$G$6,MATCH(D1677,'114_军官等级'!$A$6:$A$65,0)-1,0),"")</f>
        <v/>
      </c>
      <c r="F1677" s="15">
        <f ca="1">'204_军官任务'!F23</f>
        <v>3853200</v>
      </c>
      <c r="G1677" s="1" t="str">
        <f ca="1" t="shared" si="532"/>
        <v/>
      </c>
      <c r="H1677" s="1">
        <f ca="1" t="shared" si="533"/>
        <v>3853200</v>
      </c>
      <c r="J1677" s="45">
        <f ca="1" t="shared" si="534"/>
        <v>1185600</v>
      </c>
    </row>
    <row r="1678" spans="2:10">
      <c r="B1678" s="9">
        <v>5</v>
      </c>
      <c r="C1678" s="1">
        <f ca="1">养成规划!AA24</f>
        <v>8</v>
      </c>
      <c r="D1678" s="1" t="str">
        <f>IF(养成规划!K24="","",养成规划!K24)</f>
        <v/>
      </c>
      <c r="E1678" s="1" t="str">
        <f ca="1">IFERROR(C1678*OFFSET('114_军官等级'!$G$6,MATCH(D1678,'114_军官等级'!$A$6:$A$65,0)-1,0),"")</f>
        <v/>
      </c>
      <c r="F1678" s="15">
        <f ca="1">'204_军官任务'!F24</f>
        <v>4446000</v>
      </c>
      <c r="G1678" s="1" t="str">
        <f ca="1" t="shared" si="532"/>
        <v/>
      </c>
      <c r="H1678" s="1">
        <f ca="1" t="shared" si="533"/>
        <v>4446000</v>
      </c>
      <c r="J1678" s="45">
        <f ca="1" t="shared" si="534"/>
        <v>1185600</v>
      </c>
    </row>
    <row r="1679" spans="2:10">
      <c r="B1679" s="9">
        <v>5.5</v>
      </c>
      <c r="C1679" s="1">
        <f ca="1">养成规划!AA25</f>
        <v>8</v>
      </c>
      <c r="D1679" s="1" t="str">
        <f>IF(养成规划!K25="","",养成规划!K25)</f>
        <v/>
      </c>
      <c r="E1679" s="1" t="str">
        <f ca="1">IFERROR(C1679*OFFSET('114_军官等级'!$G$6,MATCH(D1679,'114_军官等级'!$A$6:$A$65,0)-1,0),"")</f>
        <v/>
      </c>
      <c r="F1679" s="15">
        <f ca="1">'204_军官任务'!F25</f>
        <v>5038800</v>
      </c>
      <c r="G1679" s="1" t="str">
        <f ca="1" t="shared" si="532"/>
        <v/>
      </c>
      <c r="H1679" s="1">
        <f ca="1" t="shared" si="533"/>
        <v>5038800</v>
      </c>
      <c r="J1679" s="45">
        <f ca="1" t="shared" si="534"/>
        <v>1185600</v>
      </c>
    </row>
    <row r="1680" spans="2:10">
      <c r="B1680" s="9">
        <v>6</v>
      </c>
      <c r="C1680" s="1">
        <f ca="1">养成规划!AA26</f>
        <v>8</v>
      </c>
      <c r="D1680" s="1" t="str">
        <f>IF(养成规划!K26="","",养成规划!K26)</f>
        <v/>
      </c>
      <c r="E1680" s="1" t="str">
        <f ca="1">IFERROR(C1680*OFFSET('114_军官等级'!$G$6,MATCH(D1680,'114_军官等级'!$A$6:$A$65,0)-1,0),"")</f>
        <v/>
      </c>
      <c r="F1680" s="15">
        <f ca="1">'204_军官任务'!F26</f>
        <v>5631600</v>
      </c>
      <c r="G1680" s="1" t="str">
        <f ca="1" t="shared" si="532"/>
        <v/>
      </c>
      <c r="H1680" s="1">
        <f ca="1" t="shared" si="533"/>
        <v>5631600</v>
      </c>
      <c r="J1680" s="45">
        <f ca="1" t="shared" si="534"/>
        <v>1185600</v>
      </c>
    </row>
    <row r="1681" spans="2:10">
      <c r="B1681" s="9">
        <v>6.5</v>
      </c>
      <c r="C1681" s="1">
        <f ca="1">养成规划!AA27</f>
        <v>8</v>
      </c>
      <c r="D1681" s="1" t="str">
        <f>IF(养成规划!K27="","",养成规划!K27)</f>
        <v/>
      </c>
      <c r="E1681" s="1" t="str">
        <f ca="1">IFERROR(C1681*OFFSET('114_军官等级'!$G$6,MATCH(D1681,'114_军官等级'!$A$6:$A$65,0)-1,0),"")</f>
        <v/>
      </c>
      <c r="F1681" s="15">
        <f ca="1">'204_军官任务'!F27</f>
        <v>6224400</v>
      </c>
      <c r="G1681" s="1" t="str">
        <f ca="1" t="shared" si="532"/>
        <v/>
      </c>
      <c r="H1681" s="1">
        <f ca="1" t="shared" si="533"/>
        <v>6224400</v>
      </c>
      <c r="J1681" s="45">
        <f ca="1" t="shared" si="534"/>
        <v>1185600</v>
      </c>
    </row>
    <row r="1682" spans="2:10">
      <c r="B1682" s="9">
        <v>7</v>
      </c>
      <c r="C1682" s="1">
        <f ca="1">养成规划!AA28</f>
        <v>9</v>
      </c>
      <c r="D1682" s="1" t="str">
        <f>IF(养成规划!K28="","",养成规划!K28)</f>
        <v/>
      </c>
      <c r="E1682" s="1" t="str">
        <f ca="1">IFERROR(C1682*OFFSET('114_军官等级'!$G$6,MATCH(D1682,'114_军官等级'!$A$6:$A$65,0)-1,0),"")</f>
        <v/>
      </c>
      <c r="F1682" s="15">
        <f ca="1">'204_军官任务'!F28</f>
        <v>7011200</v>
      </c>
      <c r="G1682" s="1" t="str">
        <f ca="1" t="shared" si="532"/>
        <v/>
      </c>
      <c r="H1682" s="1">
        <f ca="1" t="shared" si="533"/>
        <v>7011200</v>
      </c>
      <c r="J1682" s="45">
        <f ca="1" t="shared" si="534"/>
        <v>1573600</v>
      </c>
    </row>
    <row r="1683" spans="2:10">
      <c r="B1683" s="10">
        <v>8</v>
      </c>
      <c r="C1683" s="1">
        <f ca="1">养成规划!AA29</f>
        <v>9</v>
      </c>
      <c r="D1683" s="1" t="str">
        <f>IF(养成规划!K29="","",养成规划!K29)</f>
        <v/>
      </c>
      <c r="E1683" s="1" t="str">
        <f ca="1">IFERROR(C1683*OFFSET('114_军官等级'!$G$6,MATCH(D1683,'114_军官等级'!$A$6:$A$65,0)-1,0),"")</f>
        <v/>
      </c>
      <c r="F1683" s="15">
        <f ca="1">'204_军官任务'!F29</f>
        <v>8584800</v>
      </c>
      <c r="G1683" s="1" t="str">
        <f ca="1" t="shared" si="532"/>
        <v/>
      </c>
      <c r="H1683" s="1">
        <f ca="1" t="shared" si="533"/>
        <v>8584800</v>
      </c>
      <c r="J1683" s="45">
        <f ca="1" t="shared" si="534"/>
        <v>1573600</v>
      </c>
    </row>
    <row r="1684" spans="2:10">
      <c r="B1684" s="10">
        <v>9</v>
      </c>
      <c r="C1684" s="1">
        <f ca="1">养成规划!AA30</f>
        <v>9</v>
      </c>
      <c r="D1684" s="1" t="str">
        <f>IF(养成规划!K30="","",养成规划!K30)</f>
        <v/>
      </c>
      <c r="E1684" s="1" t="str">
        <f ca="1">IFERROR(C1684*OFFSET('114_军官等级'!$G$6,MATCH(D1684,'114_军官等级'!$A$6:$A$65,0)-1,0),"")</f>
        <v/>
      </c>
      <c r="F1684" s="15">
        <f ca="1">'204_军官任务'!F30</f>
        <v>10158400</v>
      </c>
      <c r="G1684" s="1" t="str">
        <f ca="1" t="shared" si="532"/>
        <v/>
      </c>
      <c r="H1684" s="1">
        <f ca="1" t="shared" si="533"/>
        <v>10158400</v>
      </c>
      <c r="J1684" s="45">
        <f ca="1" t="shared" si="534"/>
        <v>1573600</v>
      </c>
    </row>
    <row r="1685" spans="2:10">
      <c r="B1685" s="10">
        <v>10</v>
      </c>
      <c r="C1685" s="1">
        <f ca="1">养成规划!AA31</f>
        <v>9</v>
      </c>
      <c r="D1685" s="1">
        <f>IF(养成规划!K31="","",养成规划!K31)</f>
        <v>30</v>
      </c>
      <c r="E1685" s="1">
        <f ca="1">IFERROR(C1685*OFFSET('114_军官等级'!$G$6,MATCH(D1685,'114_军官等级'!$A$6:$A$65,0)-1,0),"")</f>
        <v>19208250</v>
      </c>
      <c r="F1685" s="15">
        <f ca="1">'204_军官任务'!F31</f>
        <v>11732000</v>
      </c>
      <c r="G1685" s="1">
        <f ca="1" t="shared" si="532"/>
        <v>19208250</v>
      </c>
      <c r="H1685" s="1">
        <f ca="1" t="shared" si="533"/>
        <v>11732000</v>
      </c>
      <c r="J1685" s="45">
        <f ca="1" t="shared" si="534"/>
        <v>1573600</v>
      </c>
    </row>
    <row r="1686" spans="2:10">
      <c r="B1686" s="10">
        <v>11</v>
      </c>
      <c r="C1686" s="1">
        <f ca="1">养成规划!AA32</f>
        <v>9</v>
      </c>
      <c r="D1686" s="1" t="str">
        <f>IF(养成规划!K32="","",养成规划!K32)</f>
        <v/>
      </c>
      <c r="E1686" s="1" t="str">
        <f ca="1">IFERROR(C1686*OFFSET('114_军官等级'!$G$6,MATCH(D1686,'114_军官等级'!$A$6:$A$65,0)-1,0),"")</f>
        <v/>
      </c>
      <c r="F1686" s="15">
        <f ca="1">'204_军官任务'!F32</f>
        <v>13305600</v>
      </c>
      <c r="G1686" s="1" t="str">
        <f ca="1" t="shared" si="532"/>
        <v/>
      </c>
      <c r="H1686" s="1">
        <f ca="1" t="shared" si="533"/>
        <v>13305600</v>
      </c>
      <c r="J1686" s="45">
        <f ca="1" t="shared" si="534"/>
        <v>1573600</v>
      </c>
    </row>
    <row r="1687" spans="2:10">
      <c r="B1687" s="10">
        <v>12</v>
      </c>
      <c r="C1687" s="1">
        <f ca="1">养成规划!AA33</f>
        <v>9</v>
      </c>
      <c r="D1687" s="1" t="str">
        <f>IF(养成规划!K33="","",养成规划!K33)</f>
        <v/>
      </c>
      <c r="E1687" s="1" t="str">
        <f ca="1">IFERROR(C1687*OFFSET('114_军官等级'!$G$6,MATCH(D1687,'114_军官等级'!$A$6:$A$65,0)-1,0),"")</f>
        <v/>
      </c>
      <c r="F1687" s="15">
        <f ca="1">'204_军官任务'!F33</f>
        <v>14879200</v>
      </c>
      <c r="G1687" s="1" t="str">
        <f ca="1" t="shared" si="532"/>
        <v/>
      </c>
      <c r="H1687" s="1">
        <f ca="1" t="shared" si="533"/>
        <v>14879200</v>
      </c>
      <c r="J1687" s="45">
        <f ca="1" t="shared" si="534"/>
        <v>1573600</v>
      </c>
    </row>
    <row r="1688" spans="2:10">
      <c r="B1688" s="10">
        <v>13</v>
      </c>
      <c r="C1688" s="1">
        <f ca="1">养成规划!AA34</f>
        <v>9</v>
      </c>
      <c r="D1688" s="1" t="str">
        <f>IF(养成规划!K34="","",养成规划!K34)</f>
        <v/>
      </c>
      <c r="E1688" s="1" t="str">
        <f ca="1">IFERROR(C1688*OFFSET('114_军官等级'!$G$6,MATCH(D1688,'114_军官等级'!$A$6:$A$65,0)-1,0),"")</f>
        <v/>
      </c>
      <c r="F1688" s="15">
        <f ca="1">'204_军官任务'!F34</f>
        <v>16452800</v>
      </c>
      <c r="G1688" s="1" t="str">
        <f ca="1" t="shared" si="532"/>
        <v/>
      </c>
      <c r="H1688" s="1">
        <f ca="1" t="shared" si="533"/>
        <v>16452800</v>
      </c>
      <c r="J1688" s="45">
        <f ca="1" t="shared" si="534"/>
        <v>1573600</v>
      </c>
    </row>
    <row r="1689" spans="2:10">
      <c r="B1689" s="10">
        <v>14</v>
      </c>
      <c r="C1689" s="1">
        <f ca="1">养成规划!AA35</f>
        <v>9</v>
      </c>
      <c r="D1689" s="1" t="str">
        <f>IF(养成规划!K35="","",养成规划!K35)</f>
        <v/>
      </c>
      <c r="E1689" s="1" t="str">
        <f ca="1">IFERROR(C1689*OFFSET('114_军官等级'!$G$6,MATCH(D1689,'114_军官等级'!$A$6:$A$65,0)-1,0),"")</f>
        <v/>
      </c>
      <c r="F1689" s="15">
        <f ca="1">'204_军官任务'!F35</f>
        <v>18026400</v>
      </c>
      <c r="G1689" s="1" t="str">
        <f ca="1" t="shared" si="532"/>
        <v/>
      </c>
      <c r="H1689" s="1">
        <f ca="1" t="shared" si="533"/>
        <v>18026400</v>
      </c>
      <c r="J1689" s="45">
        <f ca="1" t="shared" si="534"/>
        <v>1573600</v>
      </c>
    </row>
    <row r="1690" spans="2:10">
      <c r="B1690" s="10">
        <v>15</v>
      </c>
      <c r="C1690" s="1">
        <f ca="1">养成规划!AA36</f>
        <v>9</v>
      </c>
      <c r="D1690" s="1" t="str">
        <f>IF(养成规划!K36="","",养成规划!K36)</f>
        <v/>
      </c>
      <c r="E1690" s="1" t="str">
        <f ca="1">IFERROR(C1690*OFFSET('114_军官等级'!$G$6,MATCH(D1690,'114_军官等级'!$A$6:$A$65,0)-1,0),"")</f>
        <v/>
      </c>
      <c r="F1690" s="15">
        <f ca="1">'204_军官任务'!F36</f>
        <v>19600000</v>
      </c>
      <c r="G1690" s="1" t="str">
        <f ca="1" t="shared" si="532"/>
        <v/>
      </c>
      <c r="H1690" s="1">
        <f ca="1" t="shared" si="533"/>
        <v>19600000</v>
      </c>
      <c r="J1690" s="45">
        <f ca="1" t="shared" si="534"/>
        <v>1573600</v>
      </c>
    </row>
    <row r="1691" spans="2:10">
      <c r="B1691" s="10">
        <v>16</v>
      </c>
      <c r="C1691" s="1">
        <f ca="1">养成规划!AA37</f>
        <v>9</v>
      </c>
      <c r="D1691" s="1" t="str">
        <f>IF(养成规划!K37="","",养成规划!K37)</f>
        <v/>
      </c>
      <c r="E1691" s="1" t="str">
        <f ca="1">IFERROR(C1691*OFFSET('114_军官等级'!$G$6,MATCH(D1691,'114_军官等级'!$A$6:$A$65,0)-1,0),"")</f>
        <v/>
      </c>
      <c r="F1691" s="15">
        <f ca="1">'204_军官任务'!F37</f>
        <v>21173600</v>
      </c>
      <c r="G1691" s="1" t="str">
        <f ca="1" t="shared" si="532"/>
        <v/>
      </c>
      <c r="H1691" s="1">
        <f ca="1" t="shared" si="533"/>
        <v>21173600</v>
      </c>
      <c r="J1691" s="45">
        <f ca="1" t="shared" si="534"/>
        <v>1573600</v>
      </c>
    </row>
    <row r="1692" spans="2:10">
      <c r="B1692" s="10">
        <v>17</v>
      </c>
      <c r="C1692" s="1">
        <f ca="1">养成规划!AA38</f>
        <v>9</v>
      </c>
      <c r="D1692" s="1" t="str">
        <f>IF(养成规划!K38="","",养成规划!K38)</f>
        <v/>
      </c>
      <c r="E1692" s="1" t="str">
        <f ca="1">IFERROR(C1692*OFFSET('114_军官等级'!$G$6,MATCH(D1692,'114_军官等级'!$A$6:$A$65,0)-1,0),"")</f>
        <v/>
      </c>
      <c r="F1692" s="15">
        <f ca="1">'204_军官任务'!F38</f>
        <v>22747200</v>
      </c>
      <c r="G1692" s="1" t="str">
        <f ca="1" t="shared" ref="G1692:G1723" si="535">E1692</f>
        <v/>
      </c>
      <c r="H1692" s="1">
        <f ca="1" t="shared" ref="H1692:H1723" si="536">SUM(F1692:F1692)</f>
        <v>22747200</v>
      </c>
      <c r="J1692" s="45">
        <f ca="1" t="shared" si="534"/>
        <v>1573600</v>
      </c>
    </row>
    <row r="1693" spans="2:10">
      <c r="B1693" s="10">
        <v>18</v>
      </c>
      <c r="C1693" s="1">
        <f ca="1">养成规划!AA39</f>
        <v>9</v>
      </c>
      <c r="D1693" s="1" t="str">
        <f>IF(养成规划!K39="","",养成规划!K39)</f>
        <v/>
      </c>
      <c r="E1693" s="1" t="str">
        <f ca="1">IFERROR(C1693*OFFSET('114_军官等级'!$G$6,MATCH(D1693,'114_军官等级'!$A$6:$A$65,0)-1,0),"")</f>
        <v/>
      </c>
      <c r="F1693" s="15">
        <f ca="1">'204_军官任务'!F39</f>
        <v>24320800</v>
      </c>
      <c r="G1693" s="1" t="str">
        <f ca="1" t="shared" si="535"/>
        <v/>
      </c>
      <c r="H1693" s="1">
        <f ca="1" t="shared" si="536"/>
        <v>24320800</v>
      </c>
      <c r="J1693" s="45">
        <f ca="1" t="shared" ref="J1693:J1724" si="537">(F1693-F1692)/($B1693-$B1692)</f>
        <v>1573600</v>
      </c>
    </row>
    <row r="1694" spans="2:10">
      <c r="B1694" s="10">
        <v>19</v>
      </c>
      <c r="C1694" s="1">
        <f ca="1">养成规划!AA40</f>
        <v>9</v>
      </c>
      <c r="D1694" s="1" t="str">
        <f>IF(养成规划!K40="","",养成规划!K40)</f>
        <v/>
      </c>
      <c r="E1694" s="1" t="str">
        <f ca="1">IFERROR(C1694*OFFSET('114_军官等级'!$G$6,MATCH(D1694,'114_军官等级'!$A$6:$A$65,0)-1,0),"")</f>
        <v/>
      </c>
      <c r="F1694" s="15">
        <f ca="1">'204_军官任务'!F40</f>
        <v>25894400</v>
      </c>
      <c r="G1694" s="1" t="str">
        <f ca="1" t="shared" si="535"/>
        <v/>
      </c>
      <c r="H1694" s="1">
        <f ca="1" t="shared" si="536"/>
        <v>25894400</v>
      </c>
      <c r="J1694" s="45">
        <f ca="1" t="shared" si="537"/>
        <v>1573600</v>
      </c>
    </row>
    <row r="1695" spans="2:10">
      <c r="B1695" s="10">
        <v>20</v>
      </c>
      <c r="C1695" s="1">
        <f ca="1">养成规划!AA41</f>
        <v>9</v>
      </c>
      <c r="D1695" s="1" t="str">
        <f>IF(养成规划!K41="","",养成规划!K41)</f>
        <v/>
      </c>
      <c r="E1695" s="1" t="str">
        <f ca="1">IFERROR(C1695*OFFSET('114_军官等级'!$G$6,MATCH(D1695,'114_军官等级'!$A$6:$A$65,0)-1,0),"")</f>
        <v/>
      </c>
      <c r="F1695" s="15">
        <f ca="1">'204_军官任务'!F41</f>
        <v>27468000</v>
      </c>
      <c r="G1695" s="1" t="str">
        <f ca="1" t="shared" si="535"/>
        <v/>
      </c>
      <c r="H1695" s="1">
        <f ca="1" t="shared" si="536"/>
        <v>27468000</v>
      </c>
      <c r="J1695" s="45">
        <f ca="1" t="shared" si="537"/>
        <v>1573600</v>
      </c>
    </row>
    <row r="1696" spans="2:10">
      <c r="B1696" s="10">
        <v>21</v>
      </c>
      <c r="C1696" s="1">
        <f ca="1">养成规划!AA42</f>
        <v>9</v>
      </c>
      <c r="D1696" s="1" t="str">
        <f>IF(养成规划!K42="","",养成规划!K42)</f>
        <v/>
      </c>
      <c r="E1696" s="1" t="str">
        <f ca="1">IFERROR(C1696*OFFSET('114_军官等级'!$G$6,MATCH(D1696,'114_军官等级'!$A$6:$A$65,0)-1,0),"")</f>
        <v/>
      </c>
      <c r="F1696" s="15">
        <f ca="1">'204_军官任务'!F42</f>
        <v>29041600</v>
      </c>
      <c r="G1696" s="1" t="str">
        <f ca="1" t="shared" si="535"/>
        <v/>
      </c>
      <c r="H1696" s="1">
        <f ca="1" t="shared" si="536"/>
        <v>29041600</v>
      </c>
      <c r="J1696" s="45">
        <f ca="1" t="shared" si="537"/>
        <v>1573600</v>
      </c>
    </row>
    <row r="1697" spans="2:10">
      <c r="B1697" s="10">
        <v>22</v>
      </c>
      <c r="C1697" s="1">
        <f ca="1">养成规划!AA43</f>
        <v>9</v>
      </c>
      <c r="D1697" s="1" t="str">
        <f>IF(养成规划!K43="","",养成规划!K43)</f>
        <v/>
      </c>
      <c r="E1697" s="1" t="str">
        <f ca="1">IFERROR(C1697*OFFSET('114_军官等级'!$G$6,MATCH(D1697,'114_军官等级'!$A$6:$A$65,0)-1,0),"")</f>
        <v/>
      </c>
      <c r="F1697" s="15">
        <f ca="1">'204_军官任务'!F43</f>
        <v>30615200</v>
      </c>
      <c r="G1697" s="1" t="str">
        <f ca="1" t="shared" si="535"/>
        <v/>
      </c>
      <c r="H1697" s="1">
        <f ca="1" t="shared" si="536"/>
        <v>30615200</v>
      </c>
      <c r="J1697" s="45">
        <f ca="1" t="shared" si="537"/>
        <v>1573600</v>
      </c>
    </row>
    <row r="1698" spans="2:10">
      <c r="B1698" s="10">
        <v>23</v>
      </c>
      <c r="C1698" s="1">
        <f ca="1">养成规划!AA44</f>
        <v>9</v>
      </c>
      <c r="D1698" s="1" t="str">
        <f>IF(养成规划!K44="","",养成规划!K44)</f>
        <v/>
      </c>
      <c r="E1698" s="1" t="str">
        <f ca="1">IFERROR(C1698*OFFSET('114_军官等级'!$G$6,MATCH(D1698,'114_军官等级'!$A$6:$A$65,0)-1,0),"")</f>
        <v/>
      </c>
      <c r="F1698" s="15">
        <f ca="1">'204_军官任务'!F44</f>
        <v>32188800</v>
      </c>
      <c r="G1698" s="1" t="str">
        <f ca="1" t="shared" si="535"/>
        <v/>
      </c>
      <c r="H1698" s="1">
        <f ca="1" t="shared" si="536"/>
        <v>32188800</v>
      </c>
      <c r="J1698" s="45">
        <f ca="1" t="shared" si="537"/>
        <v>1573600</v>
      </c>
    </row>
    <row r="1699" spans="2:10">
      <c r="B1699" s="10">
        <v>24</v>
      </c>
      <c r="C1699" s="1">
        <f ca="1">养成规划!AA45</f>
        <v>9</v>
      </c>
      <c r="D1699" s="1" t="str">
        <f>IF(养成规划!K45="","",养成规划!K45)</f>
        <v/>
      </c>
      <c r="E1699" s="1" t="str">
        <f ca="1">IFERROR(C1699*OFFSET('114_军官等级'!$G$6,MATCH(D1699,'114_军官等级'!$A$6:$A$65,0)-1,0),"")</f>
        <v/>
      </c>
      <c r="F1699" s="15">
        <f ca="1">'204_军官任务'!F45</f>
        <v>33762400</v>
      </c>
      <c r="G1699" s="1" t="str">
        <f ca="1" t="shared" si="535"/>
        <v/>
      </c>
      <c r="H1699" s="1">
        <f ca="1" t="shared" si="536"/>
        <v>33762400</v>
      </c>
      <c r="J1699" s="45">
        <f ca="1" t="shared" si="537"/>
        <v>1573600</v>
      </c>
    </row>
    <row r="1700" spans="2:10">
      <c r="B1700" s="10">
        <v>25</v>
      </c>
      <c r="C1700" s="1">
        <f ca="1">养成规划!AA46</f>
        <v>9</v>
      </c>
      <c r="D1700" s="1" t="str">
        <f>IF(养成规划!K46="","",养成规划!K46)</f>
        <v/>
      </c>
      <c r="E1700" s="1" t="str">
        <f ca="1">IFERROR(C1700*OFFSET('114_军官等级'!$G$6,MATCH(D1700,'114_军官等级'!$A$6:$A$65,0)-1,0),"")</f>
        <v/>
      </c>
      <c r="F1700" s="15">
        <f ca="1">'204_军官任务'!F46</f>
        <v>35336000</v>
      </c>
      <c r="G1700" s="1" t="str">
        <f ca="1" t="shared" si="535"/>
        <v/>
      </c>
      <c r="H1700" s="1">
        <f ca="1" t="shared" si="536"/>
        <v>35336000</v>
      </c>
      <c r="J1700" s="45">
        <f ca="1" t="shared" si="537"/>
        <v>1573600</v>
      </c>
    </row>
    <row r="1701" spans="2:10">
      <c r="B1701" s="10">
        <v>26</v>
      </c>
      <c r="C1701" s="1">
        <f ca="1">养成规划!AA47</f>
        <v>9</v>
      </c>
      <c r="D1701" s="1" t="str">
        <f>IF(养成规划!K47="","",养成规划!K47)</f>
        <v/>
      </c>
      <c r="E1701" s="1" t="str">
        <f ca="1">IFERROR(C1701*OFFSET('114_军官等级'!$G$6,MATCH(D1701,'114_军官等级'!$A$6:$A$65,0)-1,0),"")</f>
        <v/>
      </c>
      <c r="F1701" s="15">
        <f ca="1">'204_军官任务'!F47</f>
        <v>36909600</v>
      </c>
      <c r="G1701" s="1" t="str">
        <f ca="1" t="shared" si="535"/>
        <v/>
      </c>
      <c r="H1701" s="1">
        <f ca="1" t="shared" si="536"/>
        <v>36909600</v>
      </c>
      <c r="J1701" s="45">
        <f ca="1" t="shared" si="537"/>
        <v>1573600</v>
      </c>
    </row>
    <row r="1702" spans="2:10">
      <c r="B1702" s="10">
        <v>27</v>
      </c>
      <c r="C1702" s="1">
        <f ca="1">养成规划!AA48</f>
        <v>9</v>
      </c>
      <c r="D1702" s="1" t="str">
        <f>IF(养成规划!K48="","",养成规划!K48)</f>
        <v/>
      </c>
      <c r="E1702" s="1" t="str">
        <f ca="1">IFERROR(C1702*OFFSET('114_军官等级'!$G$6,MATCH(D1702,'114_军官等级'!$A$6:$A$65,0)-1,0),"")</f>
        <v/>
      </c>
      <c r="F1702" s="15">
        <f ca="1">'204_军官任务'!F48</f>
        <v>38483200</v>
      </c>
      <c r="G1702" s="1" t="str">
        <f ca="1" t="shared" si="535"/>
        <v/>
      </c>
      <c r="H1702" s="1">
        <f ca="1" t="shared" si="536"/>
        <v>38483200</v>
      </c>
      <c r="J1702" s="45">
        <f ca="1" t="shared" si="537"/>
        <v>1573600</v>
      </c>
    </row>
    <row r="1703" spans="2:10">
      <c r="B1703" s="10">
        <v>28</v>
      </c>
      <c r="C1703" s="1">
        <f ca="1">养成规划!AA49</f>
        <v>9</v>
      </c>
      <c r="D1703" s="1" t="str">
        <f>IF(养成规划!K49="","",养成规划!K49)</f>
        <v/>
      </c>
      <c r="E1703" s="1" t="str">
        <f ca="1">IFERROR(C1703*OFFSET('114_军官等级'!$G$6,MATCH(D1703,'114_军官等级'!$A$6:$A$65,0)-1,0),"")</f>
        <v/>
      </c>
      <c r="F1703" s="15">
        <f ca="1">'204_军官任务'!F49</f>
        <v>40283200</v>
      </c>
      <c r="G1703" s="1" t="str">
        <f ca="1" t="shared" si="535"/>
        <v/>
      </c>
      <c r="H1703" s="1">
        <f ca="1" t="shared" si="536"/>
        <v>40283200</v>
      </c>
      <c r="J1703" s="45">
        <f ca="1" t="shared" si="537"/>
        <v>1800000</v>
      </c>
    </row>
    <row r="1704" spans="2:10">
      <c r="B1704" s="10">
        <v>29</v>
      </c>
      <c r="C1704" s="1">
        <f ca="1">养成规划!AA50</f>
        <v>9</v>
      </c>
      <c r="D1704" s="1" t="str">
        <f>IF(养成规划!K50="","",养成规划!K50)</f>
        <v/>
      </c>
      <c r="E1704" s="1" t="str">
        <f ca="1">IFERROR(C1704*OFFSET('114_军官等级'!$G$6,MATCH(D1704,'114_军官等级'!$A$6:$A$65,0)-1,0),"")</f>
        <v/>
      </c>
      <c r="F1704" s="15">
        <f ca="1">'204_军官任务'!F50</f>
        <v>42083200</v>
      </c>
      <c r="G1704" s="1" t="str">
        <f ca="1" t="shared" si="535"/>
        <v/>
      </c>
      <c r="H1704" s="1">
        <f ca="1" t="shared" si="536"/>
        <v>42083200</v>
      </c>
      <c r="J1704" s="45">
        <f ca="1" t="shared" si="537"/>
        <v>1800000</v>
      </c>
    </row>
    <row r="1705" spans="2:10">
      <c r="B1705" s="10">
        <v>30</v>
      </c>
      <c r="C1705" s="1">
        <f ca="1">养成规划!AA51</f>
        <v>9</v>
      </c>
      <c r="D1705" s="1">
        <f>IF(养成规划!K51="","",养成规划!K51)</f>
        <v>40</v>
      </c>
      <c r="E1705" s="1">
        <f ca="1">IFERROR(C1705*OFFSET('114_军官等级'!$G$6,MATCH(D1705,'114_军官等级'!$A$6:$A$65,0)-1,0),"")</f>
        <v>94295250</v>
      </c>
      <c r="F1705" s="15">
        <f ca="1">'204_军官任务'!F51</f>
        <v>43883200</v>
      </c>
      <c r="G1705" s="1">
        <f ca="1" t="shared" si="535"/>
        <v>94295250</v>
      </c>
      <c r="H1705" s="1">
        <f ca="1" t="shared" si="536"/>
        <v>43883200</v>
      </c>
      <c r="J1705" s="45">
        <f ca="1" t="shared" si="537"/>
        <v>1800000</v>
      </c>
    </row>
    <row r="1706" spans="2:10">
      <c r="B1706" s="11">
        <v>35</v>
      </c>
      <c r="C1706" s="1">
        <f ca="1">养成规划!AA52</f>
        <v>9</v>
      </c>
      <c r="D1706" s="1" t="str">
        <f>IF(养成规划!K52="","",养成规划!K52)</f>
        <v/>
      </c>
      <c r="E1706" s="1" t="str">
        <f ca="1">IFERROR(C1706*OFFSET('114_军官等级'!$G$6,MATCH(D1706,'114_军官等级'!$A$6:$A$65,0)-1,0),"")</f>
        <v/>
      </c>
      <c r="F1706" s="15">
        <f ca="1">'204_军官任务'!F52</f>
        <v>52883200</v>
      </c>
      <c r="G1706" s="1" t="str">
        <f ca="1" t="shared" si="535"/>
        <v/>
      </c>
      <c r="H1706" s="1">
        <f ca="1" t="shared" si="536"/>
        <v>52883200</v>
      </c>
      <c r="J1706" s="45">
        <f ca="1" t="shared" si="537"/>
        <v>1800000</v>
      </c>
    </row>
    <row r="1707" spans="2:10">
      <c r="B1707" s="11">
        <v>40</v>
      </c>
      <c r="C1707" s="1">
        <f ca="1">养成规划!AA53</f>
        <v>9</v>
      </c>
      <c r="D1707" s="1" t="str">
        <f>IF(养成规划!K53="","",养成规划!K53)</f>
        <v/>
      </c>
      <c r="E1707" s="1" t="str">
        <f ca="1">IFERROR(C1707*OFFSET('114_军官等级'!$G$6,MATCH(D1707,'114_军官等级'!$A$6:$A$65,0)-1,0),"")</f>
        <v/>
      </c>
      <c r="F1707" s="15">
        <f ca="1">'204_军官任务'!F53</f>
        <v>61883200</v>
      </c>
      <c r="G1707" s="1" t="str">
        <f ca="1" t="shared" si="535"/>
        <v/>
      </c>
      <c r="H1707" s="1">
        <f ca="1" t="shared" si="536"/>
        <v>61883200</v>
      </c>
      <c r="J1707" s="45">
        <f ca="1" t="shared" si="537"/>
        <v>1800000</v>
      </c>
    </row>
    <row r="1708" spans="2:10">
      <c r="B1708" s="11">
        <v>45</v>
      </c>
      <c r="C1708" s="1">
        <f ca="1">养成规划!AA54</f>
        <v>9</v>
      </c>
      <c r="D1708" s="1" t="str">
        <f>IF(养成规划!K54="","",养成规划!K54)</f>
        <v/>
      </c>
      <c r="E1708" s="1" t="str">
        <f ca="1">IFERROR(C1708*OFFSET('114_军官等级'!$G$6,MATCH(D1708,'114_军官等级'!$A$6:$A$65,0)-1,0),"")</f>
        <v/>
      </c>
      <c r="F1708" s="15">
        <f ca="1">'204_军官任务'!F54</f>
        <v>70883200</v>
      </c>
      <c r="G1708" s="1" t="str">
        <f ca="1" t="shared" si="535"/>
        <v/>
      </c>
      <c r="H1708" s="1">
        <f ca="1" t="shared" si="536"/>
        <v>70883200</v>
      </c>
      <c r="J1708" s="45">
        <f ca="1" t="shared" si="537"/>
        <v>1800000</v>
      </c>
    </row>
    <row r="1709" spans="2:10">
      <c r="B1709" s="11">
        <v>50</v>
      </c>
      <c r="C1709" s="1">
        <f ca="1">养成规划!AA55</f>
        <v>9</v>
      </c>
      <c r="D1709" s="1" t="str">
        <f>IF(养成规划!K55="","",养成规划!K55)</f>
        <v/>
      </c>
      <c r="E1709" s="1" t="str">
        <f ca="1">IFERROR(C1709*OFFSET('114_军官等级'!$G$6,MATCH(D1709,'114_军官等级'!$A$6:$A$65,0)-1,0),"")</f>
        <v/>
      </c>
      <c r="F1709" s="15">
        <f ca="1">'204_军官任务'!F55</f>
        <v>79883200</v>
      </c>
      <c r="G1709" s="1" t="str">
        <f ca="1" t="shared" si="535"/>
        <v/>
      </c>
      <c r="H1709" s="1">
        <f ca="1" t="shared" si="536"/>
        <v>79883200</v>
      </c>
      <c r="J1709" s="45">
        <f ca="1" t="shared" si="537"/>
        <v>1800000</v>
      </c>
    </row>
    <row r="1710" spans="2:10">
      <c r="B1710" s="11">
        <v>55</v>
      </c>
      <c r="C1710" s="1">
        <f ca="1">养成规划!AA56</f>
        <v>9</v>
      </c>
      <c r="D1710" s="1" t="str">
        <f>IF(养成规划!K56="","",养成规划!K56)</f>
        <v/>
      </c>
      <c r="E1710" s="1" t="str">
        <f ca="1">IFERROR(C1710*OFFSET('114_军官等级'!$G$6,MATCH(D1710,'114_军官等级'!$A$6:$A$65,0)-1,0),"")</f>
        <v/>
      </c>
      <c r="F1710" s="15">
        <f ca="1">'204_军官任务'!F56</f>
        <v>88883200</v>
      </c>
      <c r="G1710" s="1" t="str">
        <f ca="1" t="shared" si="535"/>
        <v/>
      </c>
      <c r="H1710" s="1">
        <f ca="1" t="shared" si="536"/>
        <v>88883200</v>
      </c>
      <c r="J1710" s="45">
        <f ca="1" t="shared" si="537"/>
        <v>1800000</v>
      </c>
    </row>
    <row r="1711" spans="2:10">
      <c r="B1711" s="11">
        <v>60</v>
      </c>
      <c r="C1711" s="1">
        <f ca="1">养成规划!AA57</f>
        <v>9</v>
      </c>
      <c r="D1711" s="1" t="str">
        <f>IF(养成规划!K57="","",养成规划!K57)</f>
        <v/>
      </c>
      <c r="E1711" s="1" t="str">
        <f ca="1">IFERROR(C1711*OFFSET('114_军官等级'!$G$6,MATCH(D1711,'114_军官等级'!$A$6:$A$65,0)-1,0),"")</f>
        <v/>
      </c>
      <c r="F1711" s="15">
        <f ca="1">'204_军官任务'!F57</f>
        <v>97883200</v>
      </c>
      <c r="G1711" s="1" t="str">
        <f ca="1" t="shared" si="535"/>
        <v/>
      </c>
      <c r="H1711" s="1">
        <f ca="1" t="shared" si="536"/>
        <v>97883200</v>
      </c>
      <c r="J1711" s="45">
        <f ca="1" t="shared" si="537"/>
        <v>1800000</v>
      </c>
    </row>
    <row r="1712" spans="2:10">
      <c r="B1712" s="11">
        <v>65</v>
      </c>
      <c r="C1712" s="1">
        <f ca="1">养成规划!AA58</f>
        <v>9</v>
      </c>
      <c r="D1712" s="1" t="str">
        <f>IF(养成规划!K58="","",养成规划!K58)</f>
        <v/>
      </c>
      <c r="E1712" s="1" t="str">
        <f ca="1">IFERROR(C1712*OFFSET('114_军官等级'!$G$6,MATCH(D1712,'114_军官等级'!$A$6:$A$65,0)-1,0),"")</f>
        <v/>
      </c>
      <c r="F1712" s="15">
        <f ca="1">'204_军官任务'!F58</f>
        <v>106883200</v>
      </c>
      <c r="G1712" s="1" t="str">
        <f ca="1" t="shared" si="535"/>
        <v/>
      </c>
      <c r="H1712" s="1">
        <f ca="1" t="shared" si="536"/>
        <v>106883200</v>
      </c>
      <c r="J1712" s="45">
        <f ca="1" t="shared" si="537"/>
        <v>1800000</v>
      </c>
    </row>
    <row r="1713" spans="2:10">
      <c r="B1713" s="11">
        <v>70</v>
      </c>
      <c r="C1713" s="1">
        <f ca="1">养成规划!AA59</f>
        <v>9</v>
      </c>
      <c r="D1713" s="1" t="str">
        <f>IF(养成规划!K59="","",养成规划!K59)</f>
        <v/>
      </c>
      <c r="E1713" s="1" t="str">
        <f ca="1">IFERROR(C1713*OFFSET('114_军官等级'!$G$6,MATCH(D1713,'114_军官等级'!$A$6:$A$65,0)-1,0),"")</f>
        <v/>
      </c>
      <c r="F1713" s="15">
        <f ca="1">'204_军官任务'!F59</f>
        <v>115883200</v>
      </c>
      <c r="G1713" s="1" t="str">
        <f ca="1" t="shared" si="535"/>
        <v/>
      </c>
      <c r="H1713" s="1">
        <f ca="1" t="shared" si="536"/>
        <v>115883200</v>
      </c>
      <c r="J1713" s="45">
        <f ca="1" t="shared" si="537"/>
        <v>1800000</v>
      </c>
    </row>
    <row r="1714" spans="2:10">
      <c r="B1714" s="11">
        <v>75</v>
      </c>
      <c r="C1714" s="1">
        <f ca="1">养成规划!AA60</f>
        <v>9</v>
      </c>
      <c r="D1714" s="1" t="str">
        <f>IF(养成规划!K60="","",养成规划!K60)</f>
        <v/>
      </c>
      <c r="E1714" s="1" t="str">
        <f ca="1">IFERROR(C1714*OFFSET('114_军官等级'!$G$6,MATCH(D1714,'114_军官等级'!$A$6:$A$65,0)-1,0),"")</f>
        <v/>
      </c>
      <c r="F1714" s="15">
        <f ca="1">'204_军官任务'!F60</f>
        <v>124883200</v>
      </c>
      <c r="G1714" s="1" t="str">
        <f ca="1" t="shared" si="535"/>
        <v/>
      </c>
      <c r="H1714" s="1">
        <f ca="1" t="shared" si="536"/>
        <v>124883200</v>
      </c>
      <c r="J1714" s="45">
        <f ca="1" t="shared" si="537"/>
        <v>1800000</v>
      </c>
    </row>
    <row r="1715" spans="2:10">
      <c r="B1715" s="11">
        <v>80</v>
      </c>
      <c r="C1715" s="1">
        <f ca="1">养成规划!AA61</f>
        <v>9</v>
      </c>
      <c r="D1715" s="1" t="str">
        <f>IF(养成规划!K61="","",养成规划!K61)</f>
        <v/>
      </c>
      <c r="E1715" s="1" t="str">
        <f ca="1">IFERROR(C1715*OFFSET('114_军官等级'!$G$6,MATCH(D1715,'114_军官等级'!$A$6:$A$65,0)-1,0),"")</f>
        <v/>
      </c>
      <c r="F1715" s="15">
        <f ca="1">'204_军官任务'!F61</f>
        <v>133883200</v>
      </c>
      <c r="G1715" s="1" t="str">
        <f ca="1" t="shared" si="535"/>
        <v/>
      </c>
      <c r="H1715" s="1">
        <f ca="1" t="shared" si="536"/>
        <v>133883200</v>
      </c>
      <c r="J1715" s="45">
        <f ca="1" t="shared" si="537"/>
        <v>1800000</v>
      </c>
    </row>
    <row r="1716" spans="2:10">
      <c r="B1716" s="11">
        <v>85</v>
      </c>
      <c r="C1716" s="1">
        <f ca="1">养成规划!AA62</f>
        <v>9</v>
      </c>
      <c r="D1716" s="1" t="str">
        <f>IF(养成规划!K62="","",养成规划!K62)</f>
        <v/>
      </c>
      <c r="E1716" s="1" t="str">
        <f ca="1">IFERROR(C1716*OFFSET('114_军官等级'!$G$6,MATCH(D1716,'114_军官等级'!$A$6:$A$65,0)-1,0),"")</f>
        <v/>
      </c>
      <c r="F1716" s="15">
        <f ca="1">'204_军官任务'!F62</f>
        <v>142883200</v>
      </c>
      <c r="G1716" s="1" t="str">
        <f ca="1" t="shared" si="535"/>
        <v/>
      </c>
      <c r="H1716" s="1">
        <f ca="1" t="shared" si="536"/>
        <v>142883200</v>
      </c>
      <c r="J1716" s="45">
        <f ca="1" t="shared" si="537"/>
        <v>1800000</v>
      </c>
    </row>
    <row r="1717" spans="2:10">
      <c r="B1717" s="11">
        <v>90</v>
      </c>
      <c r="C1717" s="1">
        <f ca="1">养成规划!AA63</f>
        <v>9</v>
      </c>
      <c r="D1717" s="1" t="str">
        <f>IF(养成规划!K63="","",养成规划!K63)</f>
        <v/>
      </c>
      <c r="E1717" s="1" t="str">
        <f ca="1">IFERROR(C1717*OFFSET('114_军官等级'!$G$6,MATCH(D1717,'114_军官等级'!$A$6:$A$65,0)-1,0),"")</f>
        <v/>
      </c>
      <c r="F1717" s="15">
        <f ca="1">'204_军官任务'!F63</f>
        <v>151883200</v>
      </c>
      <c r="G1717" s="1" t="str">
        <f ca="1" t="shared" si="535"/>
        <v/>
      </c>
      <c r="H1717" s="1">
        <f ca="1" t="shared" si="536"/>
        <v>151883200</v>
      </c>
      <c r="J1717" s="45">
        <f ca="1" t="shared" si="537"/>
        <v>1800000</v>
      </c>
    </row>
    <row r="1718" spans="2:10">
      <c r="B1718" s="11">
        <v>95</v>
      </c>
      <c r="C1718" s="1">
        <f ca="1">养成规划!AA64</f>
        <v>9</v>
      </c>
      <c r="D1718" s="1" t="str">
        <f>IF(养成规划!K64="","",养成规划!K64)</f>
        <v/>
      </c>
      <c r="E1718" s="1" t="str">
        <f ca="1">IFERROR(C1718*OFFSET('114_军官等级'!$G$6,MATCH(D1718,'114_军官等级'!$A$6:$A$65,0)-1,0),"")</f>
        <v/>
      </c>
      <c r="F1718" s="15">
        <f ca="1">'204_军官任务'!F64</f>
        <v>161853200</v>
      </c>
      <c r="G1718" s="1" t="str">
        <f ca="1" t="shared" si="535"/>
        <v/>
      </c>
      <c r="H1718" s="1">
        <f ca="1" t="shared" si="536"/>
        <v>161853200</v>
      </c>
      <c r="J1718" s="45">
        <f ca="1" t="shared" si="537"/>
        <v>1994000</v>
      </c>
    </row>
    <row r="1719" spans="2:10">
      <c r="B1719" s="11">
        <v>100</v>
      </c>
      <c r="C1719" s="1">
        <f ca="1">养成规划!AA65</f>
        <v>9</v>
      </c>
      <c r="D1719" s="1" t="str">
        <f>IF(养成规划!K65="","",养成规划!K65)</f>
        <v/>
      </c>
      <c r="E1719" s="1" t="str">
        <f ca="1">IFERROR(C1719*OFFSET('114_军官等级'!$G$6,MATCH(D1719,'114_军官等级'!$A$6:$A$65,0)-1,0),"")</f>
        <v/>
      </c>
      <c r="F1719" s="15">
        <f ca="1">'204_军官任务'!F65</f>
        <v>171823200</v>
      </c>
      <c r="G1719" s="1" t="str">
        <f ca="1" t="shared" si="535"/>
        <v/>
      </c>
      <c r="H1719" s="1">
        <f ca="1" t="shared" si="536"/>
        <v>171823200</v>
      </c>
      <c r="J1719" s="45">
        <f ca="1" t="shared" si="537"/>
        <v>1994000</v>
      </c>
    </row>
    <row r="1720" spans="2:10">
      <c r="B1720" s="11">
        <v>105</v>
      </c>
      <c r="C1720" s="1">
        <f ca="1">养成规划!AA66</f>
        <v>9</v>
      </c>
      <c r="D1720" s="1" t="str">
        <f>IF(养成规划!K66="","",养成规划!K66)</f>
        <v/>
      </c>
      <c r="E1720" s="1" t="str">
        <f ca="1">IFERROR(C1720*OFFSET('114_军官等级'!$G$6,MATCH(D1720,'114_军官等级'!$A$6:$A$65,0)-1,0),"")</f>
        <v/>
      </c>
      <c r="F1720" s="15">
        <f ca="1">'204_军官任务'!F66</f>
        <v>181793200</v>
      </c>
      <c r="G1720" s="1" t="str">
        <f ca="1" t="shared" si="535"/>
        <v/>
      </c>
      <c r="H1720" s="1">
        <f ca="1" t="shared" si="536"/>
        <v>181793200</v>
      </c>
      <c r="J1720" s="45">
        <f ca="1" t="shared" si="537"/>
        <v>1994000</v>
      </c>
    </row>
    <row r="1721" spans="2:10">
      <c r="B1721" s="11">
        <v>110</v>
      </c>
      <c r="C1721" s="1">
        <f ca="1">养成规划!AA67</f>
        <v>9</v>
      </c>
      <c r="D1721" s="1" t="str">
        <f>IF(养成规划!K67="","",养成规划!K67)</f>
        <v/>
      </c>
      <c r="E1721" s="1" t="str">
        <f ca="1">IFERROR(C1721*OFFSET('114_军官等级'!$G$6,MATCH(D1721,'114_军官等级'!$A$6:$A$65,0)-1,0),"")</f>
        <v/>
      </c>
      <c r="F1721" s="15">
        <f ca="1">'204_军官任务'!F67</f>
        <v>191763200</v>
      </c>
      <c r="G1721" s="1" t="str">
        <f ca="1" t="shared" si="535"/>
        <v/>
      </c>
      <c r="H1721" s="1">
        <f ca="1" t="shared" si="536"/>
        <v>191763200</v>
      </c>
      <c r="J1721" s="45">
        <f ca="1" t="shared" si="537"/>
        <v>1994000</v>
      </c>
    </row>
    <row r="1722" spans="2:10">
      <c r="B1722" s="11">
        <v>115</v>
      </c>
      <c r="C1722" s="1">
        <f ca="1">养成规划!AA68</f>
        <v>9</v>
      </c>
      <c r="D1722" s="1" t="str">
        <f>IF(养成规划!K68="","",养成规划!K68)</f>
        <v/>
      </c>
      <c r="E1722" s="1" t="str">
        <f ca="1">IFERROR(C1722*OFFSET('114_军官等级'!$G$6,MATCH(D1722,'114_军官等级'!$A$6:$A$65,0)-1,0),"")</f>
        <v/>
      </c>
      <c r="F1722" s="15">
        <f ca="1">'204_军官任务'!F68</f>
        <v>201733200</v>
      </c>
      <c r="G1722" s="1" t="str">
        <f ca="1" t="shared" si="535"/>
        <v/>
      </c>
      <c r="H1722" s="1">
        <f ca="1" t="shared" si="536"/>
        <v>201733200</v>
      </c>
      <c r="J1722" s="45">
        <f ca="1" t="shared" si="537"/>
        <v>1994000</v>
      </c>
    </row>
    <row r="1723" spans="2:10">
      <c r="B1723" s="11">
        <v>120</v>
      </c>
      <c r="C1723" s="1">
        <f ca="1">养成规划!AA69</f>
        <v>10</v>
      </c>
      <c r="D1723" s="1">
        <f>IF(养成规划!K69="","",养成规划!K69)</f>
        <v>50</v>
      </c>
      <c r="E1723" s="1">
        <f ca="1">IFERROR(C1723*OFFSET('114_军官等级'!$G$6,MATCH(D1723,'114_军官等级'!$A$6:$A$65,0)-1,0),"")</f>
        <v>376932500</v>
      </c>
      <c r="F1723" s="15">
        <f ca="1">'204_军官任务'!F69</f>
        <v>211703200</v>
      </c>
      <c r="G1723" s="1">
        <f ca="1" t="shared" si="535"/>
        <v>376932500</v>
      </c>
      <c r="H1723" s="1">
        <f ca="1" t="shared" si="536"/>
        <v>211703200</v>
      </c>
      <c r="J1723" s="45">
        <f ca="1" t="shared" si="537"/>
        <v>1994000</v>
      </c>
    </row>
    <row r="1724" spans="2:10">
      <c r="B1724" s="12">
        <v>150</v>
      </c>
      <c r="C1724" s="1">
        <f ca="1">养成规划!AA70</f>
        <v>10</v>
      </c>
      <c r="D1724" s="1" t="str">
        <f>IF(养成规划!K70="","",养成规划!K70)</f>
        <v/>
      </c>
      <c r="E1724" s="1" t="str">
        <f ca="1">IFERROR(C1724*OFFSET('114_军官等级'!$G$6,MATCH(D1724,'114_军官等级'!$A$6:$A$65,0)-1,0),"")</f>
        <v/>
      </c>
      <c r="F1724" s="15">
        <f ca="1">'204_军官任务'!F70</f>
        <v>271523200</v>
      </c>
      <c r="G1724" s="1" t="str">
        <f ca="1" t="shared" ref="G1724:G1731" si="538">E1724</f>
        <v/>
      </c>
      <c r="H1724" s="1">
        <f ca="1" t="shared" ref="H1724:H1731" si="539">SUM(F1724:F1724)</f>
        <v>271523200</v>
      </c>
      <c r="J1724" s="45">
        <f ca="1" t="shared" si="537"/>
        <v>1994000</v>
      </c>
    </row>
    <row r="1725" spans="2:10">
      <c r="B1725" s="12">
        <v>180</v>
      </c>
      <c r="C1725" s="1">
        <f ca="1">养成规划!AA71</f>
        <v>10</v>
      </c>
      <c r="D1725" s="1" t="str">
        <f>IF(养成规划!K71="","",养成规划!K71)</f>
        <v/>
      </c>
      <c r="E1725" s="1" t="str">
        <f ca="1">IFERROR(C1725*OFFSET('114_军官等级'!$G$6,MATCH(D1725,'114_军官等级'!$A$6:$A$65,0)-1,0),"")</f>
        <v/>
      </c>
      <c r="F1725" s="15">
        <f ca="1">'204_军官任务'!F71</f>
        <v>331343200</v>
      </c>
      <c r="G1725" s="1" t="str">
        <f ca="1" t="shared" si="538"/>
        <v/>
      </c>
      <c r="H1725" s="1">
        <f ca="1" t="shared" si="539"/>
        <v>331343200</v>
      </c>
      <c r="J1725" s="45">
        <f ca="1" t="shared" ref="J1725:J1731" si="540">(F1725-F1724)/($B1725-$B1724)</f>
        <v>1994000</v>
      </c>
    </row>
    <row r="1726" spans="2:10">
      <c r="B1726" s="12">
        <v>210</v>
      </c>
      <c r="C1726" s="1">
        <f ca="1">养成规划!AA72</f>
        <v>10</v>
      </c>
      <c r="D1726" s="1" t="str">
        <f>IF(养成规划!K72="","",养成规划!K72)</f>
        <v/>
      </c>
      <c r="E1726" s="1" t="str">
        <f ca="1">IFERROR(C1726*OFFSET('114_军官等级'!$G$6,MATCH(D1726,'114_军官等级'!$A$6:$A$65,0)-1,0),"")</f>
        <v/>
      </c>
      <c r="F1726" s="15">
        <f ca="1">'204_军官任务'!F72</f>
        <v>391163200</v>
      </c>
      <c r="G1726" s="1" t="str">
        <f ca="1" t="shared" si="538"/>
        <v/>
      </c>
      <c r="H1726" s="1">
        <f ca="1" t="shared" si="539"/>
        <v>391163200</v>
      </c>
      <c r="J1726" s="45">
        <f ca="1" t="shared" si="540"/>
        <v>1994000</v>
      </c>
    </row>
    <row r="1727" spans="2:10">
      <c r="B1727" s="12">
        <v>240</v>
      </c>
      <c r="C1727" s="1">
        <f ca="1">养成规划!AA73</f>
        <v>10</v>
      </c>
      <c r="D1727" s="1" t="str">
        <f>IF(养成规划!K73="","",养成规划!K73)</f>
        <v/>
      </c>
      <c r="E1727" s="1" t="str">
        <f ca="1">IFERROR(C1727*OFFSET('114_军官等级'!$G$6,MATCH(D1727,'114_军官等级'!$A$6:$A$65,0)-1,0),"")</f>
        <v/>
      </c>
      <c r="F1727" s="15">
        <f ca="1">'204_军官任务'!F73</f>
        <v>450983200</v>
      </c>
      <c r="G1727" s="1" t="str">
        <f ca="1" t="shared" si="538"/>
        <v/>
      </c>
      <c r="H1727" s="1">
        <f ca="1" t="shared" si="539"/>
        <v>450983200</v>
      </c>
      <c r="J1727" s="45">
        <f ca="1" t="shared" si="540"/>
        <v>1994000</v>
      </c>
    </row>
    <row r="1728" spans="2:10">
      <c r="B1728" s="12">
        <v>270</v>
      </c>
      <c r="C1728" s="1">
        <f ca="1">养成规划!AA74</f>
        <v>10</v>
      </c>
      <c r="D1728" s="1" t="str">
        <f>IF(养成规划!K74="","",养成规划!K74)</f>
        <v/>
      </c>
      <c r="E1728" s="1" t="str">
        <f ca="1">IFERROR(C1728*OFFSET('114_军官等级'!$G$6,MATCH(D1728,'114_军官等级'!$A$6:$A$65,0)-1,0),"")</f>
        <v/>
      </c>
      <c r="F1728" s="15">
        <f ca="1">'204_军官任务'!F74</f>
        <v>510803200</v>
      </c>
      <c r="G1728" s="1" t="str">
        <f ca="1" t="shared" si="538"/>
        <v/>
      </c>
      <c r="H1728" s="1">
        <f ca="1" t="shared" si="539"/>
        <v>510803200</v>
      </c>
      <c r="J1728" s="45">
        <f ca="1" t="shared" si="540"/>
        <v>1994000</v>
      </c>
    </row>
    <row r="1729" spans="2:10">
      <c r="B1729" s="12">
        <v>300</v>
      </c>
      <c r="C1729" s="1">
        <f ca="1">养成规划!AA75</f>
        <v>10</v>
      </c>
      <c r="D1729" s="1" t="str">
        <f>IF(养成规划!K75="","",养成规划!K75)</f>
        <v/>
      </c>
      <c r="E1729" s="1" t="str">
        <f ca="1">IFERROR(C1729*OFFSET('114_军官等级'!$G$6,MATCH(D1729,'114_军官等级'!$A$6:$A$65,0)-1,0),"")</f>
        <v/>
      </c>
      <c r="F1729" s="15">
        <f ca="1">'204_军官任务'!F75</f>
        <v>570623200</v>
      </c>
      <c r="G1729" s="1" t="str">
        <f ca="1" t="shared" si="538"/>
        <v/>
      </c>
      <c r="H1729" s="1">
        <f ca="1" t="shared" si="539"/>
        <v>570623200</v>
      </c>
      <c r="J1729" s="45">
        <f ca="1" t="shared" si="540"/>
        <v>1994000</v>
      </c>
    </row>
    <row r="1730" spans="2:10">
      <c r="B1730" s="12">
        <v>330</v>
      </c>
      <c r="C1730" s="1">
        <f ca="1">养成规划!AA76</f>
        <v>10</v>
      </c>
      <c r="D1730" s="1" t="str">
        <f>IF(养成规划!K76="","",养成规划!K76)</f>
        <v/>
      </c>
      <c r="E1730" s="1" t="str">
        <f ca="1">IFERROR(C1730*OFFSET('114_军官等级'!$G$6,MATCH(D1730,'114_军官等级'!$A$6:$A$65,0)-1,0),"")</f>
        <v/>
      </c>
      <c r="F1730" s="15">
        <f ca="1">'204_军官任务'!F76</f>
        <v>630443200</v>
      </c>
      <c r="G1730" s="1" t="str">
        <f ca="1" t="shared" si="538"/>
        <v/>
      </c>
      <c r="H1730" s="1">
        <f ca="1" t="shared" si="539"/>
        <v>630443200</v>
      </c>
      <c r="J1730" s="45">
        <f ca="1" t="shared" si="540"/>
        <v>1994000</v>
      </c>
    </row>
    <row r="1731" spans="2:10">
      <c r="B1731" s="12">
        <v>360</v>
      </c>
      <c r="C1731" s="1">
        <f ca="1">养成规划!AA77</f>
        <v>10</v>
      </c>
      <c r="D1731" s="1">
        <f>IF(养成规划!K77="","",养成规划!K77)</f>
        <v>60</v>
      </c>
      <c r="E1731" s="1">
        <f ca="1">IFERROR(C1731*OFFSET('114_军官等级'!$G$6,MATCH(D1731,'114_军官等级'!$A$6:$A$65,0)-1,0),"")</f>
        <v>1145892500</v>
      </c>
      <c r="F1731" s="15">
        <f ca="1">'204_军官任务'!F77</f>
        <v>690263200</v>
      </c>
      <c r="G1731" s="1">
        <f ca="1" t="shared" si="538"/>
        <v>1145892500</v>
      </c>
      <c r="H1731" s="1">
        <f ca="1" t="shared" si="539"/>
        <v>690263200</v>
      </c>
      <c r="J1731" s="45">
        <f ca="1" t="shared" si="540"/>
        <v>1994000</v>
      </c>
    </row>
    <row r="1733" spans="5:5">
      <c r="E1733" s="8"/>
    </row>
    <row r="1734" s="25" customFormat="1" spans="1:5">
      <c r="A1734" s="2" t="s">
        <v>465</v>
      </c>
      <c r="B1734" s="2"/>
      <c r="C1734" s="41" t="s">
        <v>436</v>
      </c>
      <c r="E1734" s="26" t="s">
        <v>1179</v>
      </c>
    </row>
    <row r="1736" spans="2:12">
      <c r="B1736" s="27" t="s">
        <v>1180</v>
      </c>
      <c r="C1736" s="27"/>
      <c r="D1736" s="27"/>
      <c r="E1736" s="27"/>
      <c r="F1736" s="27"/>
      <c r="G1736" s="27"/>
      <c r="H1736" s="27"/>
      <c r="I1736" s="27"/>
      <c r="J1736" s="27"/>
      <c r="K1736" s="27"/>
      <c r="L1736" s="27"/>
    </row>
    <row r="1738" spans="2:5">
      <c r="B1738" s="1" t="s">
        <v>1181</v>
      </c>
      <c r="E1738" s="30">
        <v>10</v>
      </c>
    </row>
    <row r="1740" spans="2:6">
      <c r="B1740" s="1" t="s">
        <v>1172</v>
      </c>
      <c r="E1740" s="1">
        <f>总规划!$D$113</f>
        <v>120</v>
      </c>
      <c r="F1740" s="1" t="str">
        <f>总规划!$C$113</f>
        <v>1M军经</v>
      </c>
    </row>
    <row r="1742" spans="2:5">
      <c r="B1742" s="1" t="s">
        <v>1182</v>
      </c>
      <c r="E1742" s="30">
        <v>10800000</v>
      </c>
    </row>
    <row r="1744" spans="2:12">
      <c r="B1744" s="27" t="s">
        <v>1051</v>
      </c>
      <c r="C1744" s="27"/>
      <c r="D1744" s="27"/>
      <c r="E1744" s="27"/>
      <c r="F1744" s="27"/>
      <c r="G1744" s="27"/>
      <c r="H1744" s="27"/>
      <c r="I1744" s="27"/>
      <c r="J1744" s="27"/>
      <c r="K1744" s="27"/>
      <c r="L1744" s="27"/>
    </row>
    <row r="1746" spans="2:4">
      <c r="B1746" s="1" t="s">
        <v>465</v>
      </c>
      <c r="C1746" s="1" t="s">
        <v>1051</v>
      </c>
      <c r="D1746" s="1" t="s">
        <v>809</v>
      </c>
    </row>
    <row r="1747" spans="2:3">
      <c r="B1747" s="1">
        <v>0</v>
      </c>
      <c r="C1747" s="77">
        <v>1e-6</v>
      </c>
    </row>
    <row r="1748" spans="2:4">
      <c r="B1748" s="1">
        <v>10</v>
      </c>
      <c r="C1748" s="77">
        <v>1.2e-5</v>
      </c>
      <c r="D1748" s="55">
        <f t="shared" ref="D1748:D1753" si="541">C1748/C1747</f>
        <v>12</v>
      </c>
    </row>
    <row r="1749" spans="2:4">
      <c r="B1749" s="1">
        <v>20</v>
      </c>
      <c r="C1749" s="51">
        <v>0.006</v>
      </c>
      <c r="D1749" s="55">
        <f t="shared" si="541"/>
        <v>500</v>
      </c>
    </row>
    <row r="1750" spans="2:4">
      <c r="B1750" s="1">
        <v>30</v>
      </c>
      <c r="C1750" s="51">
        <v>0.025</v>
      </c>
      <c r="D1750" s="58">
        <f t="shared" si="541"/>
        <v>4.16666666666667</v>
      </c>
    </row>
    <row r="1751" spans="2:4">
      <c r="B1751" s="1">
        <v>40</v>
      </c>
      <c r="C1751" s="56">
        <v>0.12</v>
      </c>
      <c r="D1751" s="58">
        <f t="shared" si="541"/>
        <v>4.8</v>
      </c>
    </row>
    <row r="1752" spans="2:4">
      <c r="B1752" s="1">
        <v>50</v>
      </c>
      <c r="C1752" s="56">
        <v>0.36</v>
      </c>
      <c r="D1752" s="58">
        <f t="shared" si="541"/>
        <v>3</v>
      </c>
    </row>
    <row r="1753" spans="2:4">
      <c r="B1753" s="1">
        <v>60</v>
      </c>
      <c r="C1753" s="56">
        <v>1</v>
      </c>
      <c r="D1753" s="58">
        <f t="shared" si="541"/>
        <v>2.77777777777778</v>
      </c>
    </row>
    <row r="1756" s="25" customFormat="1" spans="1:5">
      <c r="A1756" s="2" t="s">
        <v>470</v>
      </c>
      <c r="B1756" s="2"/>
      <c r="C1756" s="41" t="s">
        <v>436</v>
      </c>
      <c r="E1756" s="41"/>
    </row>
    <row r="1758" spans="2:12">
      <c r="B1758" s="27" t="s">
        <v>1183</v>
      </c>
      <c r="C1758" s="27"/>
      <c r="D1758" s="27"/>
      <c r="E1758" s="27"/>
      <c r="F1758" s="27"/>
      <c r="G1758" s="27"/>
      <c r="H1758" s="27"/>
      <c r="I1758" s="27"/>
      <c r="J1758" s="27"/>
      <c r="K1758" s="27"/>
      <c r="L1758" s="27"/>
    </row>
    <row r="1760" spans="2:6">
      <c r="B1760" s="1" t="s">
        <v>1184</v>
      </c>
      <c r="E1760" s="1">
        <f>总规划!$D$115</f>
        <v>10.8</v>
      </c>
      <c r="F1760" s="1" t="str">
        <f>总规划!$C$115</f>
        <v>1M阵经</v>
      </c>
    </row>
    <row r="1761" spans="2:5">
      <c r="B1761" s="1" t="s">
        <v>1185</v>
      </c>
      <c r="E1761" s="14">
        <f>总规划!$N$140</f>
        <v>1</v>
      </c>
    </row>
    <row r="1790" spans="2:8">
      <c r="B1790" s="1" t="s">
        <v>1186</v>
      </c>
      <c r="E1790" s="1" t="s">
        <v>1187</v>
      </c>
      <c r="H1790" s="1" t="s">
        <v>1188</v>
      </c>
    </row>
    <row r="1791" spans="2:8">
      <c r="B1791" s="30">
        <v>20000</v>
      </c>
      <c r="E1791" s="30">
        <v>6</v>
      </c>
      <c r="H1791" s="30">
        <v>2</v>
      </c>
    </row>
    <row r="1793" spans="3:17">
      <c r="C1793" s="1">
        <v>4</v>
      </c>
      <c r="D1793" s="1">
        <v>4.1</v>
      </c>
      <c r="E1793" s="1">
        <v>5</v>
      </c>
      <c r="F1793" s="1">
        <v>5.1</v>
      </c>
      <c r="G1793" s="1">
        <v>6</v>
      </c>
      <c r="H1793" s="1">
        <v>6.1</v>
      </c>
      <c r="I1793" s="1">
        <v>7</v>
      </c>
      <c r="J1793" s="1">
        <v>7.1</v>
      </c>
      <c r="K1793" s="1">
        <v>7.2</v>
      </c>
      <c r="L1793" s="1" t="s">
        <v>974</v>
      </c>
      <c r="M1793" s="1" t="s">
        <v>975</v>
      </c>
      <c r="N1793" s="1" t="s">
        <v>976</v>
      </c>
      <c r="O1793" s="1" t="s">
        <v>1189</v>
      </c>
      <c r="P1793" s="80" t="s">
        <v>1190</v>
      </c>
      <c r="Q1793" s="80" t="s">
        <v>1191</v>
      </c>
    </row>
    <row r="1794" spans="2:17">
      <c r="B1794" s="1">
        <v>4</v>
      </c>
      <c r="C1794" s="71"/>
      <c r="D1794" s="71"/>
      <c r="E1794" s="71"/>
      <c r="F1794" s="71"/>
      <c r="G1794" s="71"/>
      <c r="H1794" s="71"/>
      <c r="I1794" s="71"/>
      <c r="J1794" s="71"/>
      <c r="K1794" s="71"/>
      <c r="L1794" s="1">
        <v>1</v>
      </c>
      <c r="M1794" s="30">
        <v>0</v>
      </c>
      <c r="N1794" s="1">
        <f>M1794</f>
        <v>0</v>
      </c>
      <c r="O1794" s="1">
        <f t="shared" ref="O1794:O1802" si="542">M1794*$B$1791</f>
        <v>0</v>
      </c>
      <c r="P1794" s="80">
        <f t="shared" ref="P1794:P1802" si="543">D4686+O1794</f>
        <v>0</v>
      </c>
      <c r="Q1794" s="80"/>
    </row>
    <row r="1795" spans="2:17">
      <c r="B1795" s="1">
        <v>4.1</v>
      </c>
      <c r="C1795" s="71">
        <v>3</v>
      </c>
      <c r="D1795" s="71"/>
      <c r="E1795" s="71"/>
      <c r="F1795" s="71"/>
      <c r="G1795" s="71"/>
      <c r="H1795" s="71"/>
      <c r="I1795" s="71"/>
      <c r="J1795" s="71"/>
      <c r="K1795" s="71"/>
      <c r="L1795" s="1">
        <f>MMULT(C1795,L1794)</f>
        <v>3</v>
      </c>
      <c r="M1795" s="30">
        <v>1</v>
      </c>
      <c r="N1795" s="1">
        <f>C1795*N1794+M1795</f>
        <v>1</v>
      </c>
      <c r="O1795" s="81">
        <f t="shared" si="542"/>
        <v>20000</v>
      </c>
      <c r="P1795" s="80">
        <f t="shared" si="543"/>
        <v>60000</v>
      </c>
      <c r="Q1795" s="82">
        <v>120000</v>
      </c>
    </row>
    <row r="1796" spans="2:17">
      <c r="B1796" s="1">
        <v>5</v>
      </c>
      <c r="C1796" s="71">
        <v>0</v>
      </c>
      <c r="D1796" s="71">
        <v>3</v>
      </c>
      <c r="E1796" s="71"/>
      <c r="F1796" s="71"/>
      <c r="G1796" s="71"/>
      <c r="H1796" s="71"/>
      <c r="I1796" s="71"/>
      <c r="J1796" s="71"/>
      <c r="K1796" s="71"/>
      <c r="L1796" s="1">
        <f>MMULT(C1796:D1796,L1794:L1795)</f>
        <v>9</v>
      </c>
      <c r="M1796" s="30">
        <v>2</v>
      </c>
      <c r="N1796" s="1">
        <f>D1796*N1795+M1796</f>
        <v>5</v>
      </c>
      <c r="O1796" s="81">
        <f t="shared" si="542"/>
        <v>40000</v>
      </c>
      <c r="P1796" s="80">
        <f t="shared" si="543"/>
        <v>120000</v>
      </c>
      <c r="Q1796" s="80">
        <f t="shared" ref="Q1796:Q1802" si="544">D4688+D4687*$E$1791+D4686*$E$1791/2</f>
        <v>320000</v>
      </c>
    </row>
    <row r="1797" spans="2:17">
      <c r="B1797" s="1">
        <v>5.1</v>
      </c>
      <c r="C1797" s="71">
        <v>0</v>
      </c>
      <c r="D1797" s="71">
        <v>0</v>
      </c>
      <c r="E1797" s="71">
        <v>2</v>
      </c>
      <c r="F1797" s="71"/>
      <c r="G1797" s="71"/>
      <c r="H1797" s="71"/>
      <c r="I1797" s="71"/>
      <c r="J1797" s="71"/>
      <c r="K1797" s="71"/>
      <c r="L1797" s="1">
        <f>MMULT(C1797:E1797,L1794:L1796)</f>
        <v>18</v>
      </c>
      <c r="M1797" s="30">
        <v>3</v>
      </c>
      <c r="N1797" s="1">
        <f>E1797*N1796+M1797</f>
        <v>13</v>
      </c>
      <c r="O1797" s="81">
        <f t="shared" si="542"/>
        <v>60000</v>
      </c>
      <c r="P1797" s="80">
        <f t="shared" si="543"/>
        <v>180000</v>
      </c>
      <c r="Q1797" s="80">
        <f t="shared" si="544"/>
        <v>720000</v>
      </c>
    </row>
    <row r="1798" spans="2:17">
      <c r="B1798" s="1">
        <v>6</v>
      </c>
      <c r="C1798" s="71">
        <v>0</v>
      </c>
      <c r="D1798" s="71">
        <v>0</v>
      </c>
      <c r="E1798" s="71">
        <v>0</v>
      </c>
      <c r="F1798" s="71">
        <v>3</v>
      </c>
      <c r="G1798" s="71"/>
      <c r="H1798" s="71"/>
      <c r="I1798" s="71"/>
      <c r="J1798" s="71"/>
      <c r="K1798" s="71"/>
      <c r="L1798" s="1">
        <f>MMULT(C1798:F1798,L1794:L1797)</f>
        <v>54</v>
      </c>
      <c r="M1798" s="30">
        <v>5</v>
      </c>
      <c r="N1798" s="1">
        <f>F1798*N1797+M1798</f>
        <v>44</v>
      </c>
      <c r="O1798" s="81">
        <f t="shared" si="542"/>
        <v>100000</v>
      </c>
      <c r="P1798" s="80">
        <f t="shared" si="543"/>
        <v>300000</v>
      </c>
      <c r="Q1798" s="80">
        <f t="shared" si="544"/>
        <v>1160000</v>
      </c>
    </row>
    <row r="1799" spans="2:17">
      <c r="B1799" s="1">
        <v>6.1</v>
      </c>
      <c r="C1799" s="71">
        <v>0</v>
      </c>
      <c r="D1799" s="71">
        <v>0</v>
      </c>
      <c r="E1799" s="71">
        <v>0</v>
      </c>
      <c r="F1799" s="71">
        <v>0</v>
      </c>
      <c r="G1799" s="71">
        <v>2</v>
      </c>
      <c r="H1799" s="71"/>
      <c r="I1799" s="71"/>
      <c r="J1799" s="71"/>
      <c r="K1799" s="71"/>
      <c r="L1799" s="1">
        <f>MMULT(C1799:G1799,L1794:L1798)</f>
        <v>108</v>
      </c>
      <c r="M1799" s="30">
        <v>8</v>
      </c>
      <c r="N1799" s="1">
        <f>G1799*N1798+M1799</f>
        <v>96</v>
      </c>
      <c r="O1799" s="81">
        <f t="shared" si="542"/>
        <v>160000</v>
      </c>
      <c r="P1799" s="80">
        <f t="shared" si="543"/>
        <v>480000</v>
      </c>
      <c r="Q1799" s="80">
        <f t="shared" si="544"/>
        <v>1880000</v>
      </c>
    </row>
    <row r="1800" spans="2:17">
      <c r="B1800" s="1">
        <v>7</v>
      </c>
      <c r="C1800" s="71">
        <v>0</v>
      </c>
      <c r="D1800" s="71">
        <v>0</v>
      </c>
      <c r="E1800" s="71">
        <v>0</v>
      </c>
      <c r="F1800" s="71">
        <v>0</v>
      </c>
      <c r="G1800" s="71">
        <v>0</v>
      </c>
      <c r="H1800" s="71">
        <v>3</v>
      </c>
      <c r="I1800" s="71"/>
      <c r="J1800" s="71"/>
      <c r="K1800" s="71"/>
      <c r="L1800" s="1">
        <f>MMULT(C1800:H1800,L1794:L1799)</f>
        <v>324</v>
      </c>
      <c r="M1800" s="30">
        <v>15</v>
      </c>
      <c r="N1800" s="1">
        <f>H1800*N1799+M1800</f>
        <v>303</v>
      </c>
      <c r="O1800" s="81">
        <f t="shared" si="542"/>
        <v>300000</v>
      </c>
      <c r="P1800" s="80">
        <f t="shared" si="543"/>
        <v>900000</v>
      </c>
      <c r="Q1800" s="80">
        <f t="shared" si="544"/>
        <v>3120000</v>
      </c>
    </row>
    <row r="1801" spans="2:17">
      <c r="B1801" s="1">
        <v>7.1</v>
      </c>
      <c r="C1801" s="71">
        <v>0</v>
      </c>
      <c r="D1801" s="71">
        <v>0</v>
      </c>
      <c r="E1801" s="71">
        <v>0</v>
      </c>
      <c r="F1801" s="71">
        <v>0</v>
      </c>
      <c r="G1801" s="71">
        <v>0</v>
      </c>
      <c r="H1801" s="71">
        <v>0</v>
      </c>
      <c r="I1801" s="71">
        <v>3</v>
      </c>
      <c r="J1801" s="71"/>
      <c r="K1801" s="71"/>
      <c r="L1801" s="1">
        <f>MMULT(C1801:I1801,L1794:L1800)</f>
        <v>972</v>
      </c>
      <c r="M1801" s="30">
        <v>30</v>
      </c>
      <c r="N1801" s="1">
        <f>I1801*N1800+M1801</f>
        <v>939</v>
      </c>
      <c r="O1801" s="81">
        <f t="shared" si="542"/>
        <v>600000</v>
      </c>
      <c r="P1801" s="80">
        <f t="shared" si="543"/>
        <v>1800000</v>
      </c>
      <c r="Q1801" s="80">
        <f t="shared" si="544"/>
        <v>5760000</v>
      </c>
    </row>
    <row r="1802" spans="2:17">
      <c r="B1802" s="1">
        <v>7.2</v>
      </c>
      <c r="C1802" s="71">
        <v>0</v>
      </c>
      <c r="D1802" s="71">
        <v>0</v>
      </c>
      <c r="E1802" s="71">
        <v>0</v>
      </c>
      <c r="F1802" s="71">
        <v>0</v>
      </c>
      <c r="G1802" s="71">
        <v>0</v>
      </c>
      <c r="H1802" s="71">
        <v>0</v>
      </c>
      <c r="I1802" s="71">
        <v>0</v>
      </c>
      <c r="J1802" s="71">
        <v>3</v>
      </c>
      <c r="K1802" s="71"/>
      <c r="L1802" s="1">
        <f>MMULT(C1802:J1802,L1794:L1801)</f>
        <v>2916</v>
      </c>
      <c r="M1802" s="30">
        <v>100</v>
      </c>
      <c r="N1802" s="1">
        <f>J1802*N1801+M1802</f>
        <v>2917</v>
      </c>
      <c r="O1802" s="81">
        <f t="shared" si="542"/>
        <v>2000000</v>
      </c>
      <c r="P1802" s="80">
        <f t="shared" si="543"/>
        <v>6000000</v>
      </c>
      <c r="Q1802" s="80">
        <f t="shared" si="544"/>
        <v>13000000</v>
      </c>
    </row>
    <row r="1804" spans="2:8">
      <c r="B1804" s="1" t="s">
        <v>1192</v>
      </c>
      <c r="C1804" s="1" t="s">
        <v>1193</v>
      </c>
      <c r="D1804" s="1" t="s">
        <v>1194</v>
      </c>
      <c r="E1804" s="1" t="s">
        <v>453</v>
      </c>
      <c r="F1804" s="1" t="s">
        <v>1195</v>
      </c>
      <c r="G1804" s="1" t="s">
        <v>1196</v>
      </c>
      <c r="H1804" s="1" t="s">
        <v>62</v>
      </c>
    </row>
    <row r="1805" spans="2:8">
      <c r="B1805" s="71">
        <v>3000</v>
      </c>
      <c r="C1805" s="1">
        <f>B1805/0.4</f>
        <v>7500</v>
      </c>
      <c r="D1805" s="1">
        <f t="shared" ref="D1805:D1809" si="545">C1805*$B$1791/3</f>
        <v>50000000</v>
      </c>
      <c r="E1805" s="1">
        <v>7.1</v>
      </c>
      <c r="F1805" s="1">
        <f ca="1" t="shared" ref="F1805:F1809" si="546">OFFSET($Q$1794,MATCH(E1805,$B$1794:$B$1802,0)-1,0)</f>
        <v>5760000</v>
      </c>
      <c r="G1805" s="1">
        <f ca="1">D1805+F1805</f>
        <v>55760000</v>
      </c>
      <c r="H1805" s="1">
        <v>12</v>
      </c>
    </row>
    <row r="1806" spans="2:8">
      <c r="B1806" s="71">
        <v>2000</v>
      </c>
      <c r="C1806" s="1">
        <f t="shared" ref="C1806:C1809" si="547">B1806/0.4</f>
        <v>5000</v>
      </c>
      <c r="D1806" s="1">
        <f t="shared" si="545"/>
        <v>33333333.3333333</v>
      </c>
      <c r="E1806" s="1">
        <v>7.1</v>
      </c>
      <c r="F1806" s="1">
        <f ca="1" t="shared" si="546"/>
        <v>5760000</v>
      </c>
      <c r="G1806" s="1">
        <f ca="1" t="shared" ref="G1806:G1809" si="548">D1806+F1806</f>
        <v>39093333.3333333</v>
      </c>
      <c r="H1806" s="1">
        <v>11</v>
      </c>
    </row>
    <row r="1807" spans="2:8">
      <c r="B1807" s="71">
        <v>1000</v>
      </c>
      <c r="C1807" s="1">
        <f t="shared" si="547"/>
        <v>2500</v>
      </c>
      <c r="D1807" s="1">
        <f t="shared" si="545"/>
        <v>16666666.6666667</v>
      </c>
      <c r="E1807" s="1">
        <v>7.1</v>
      </c>
      <c r="F1807" s="1">
        <f ca="1" t="shared" si="546"/>
        <v>5760000</v>
      </c>
      <c r="G1807" s="1">
        <f ca="1" t="shared" si="548"/>
        <v>22426666.6666667</v>
      </c>
      <c r="H1807" s="1">
        <v>9</v>
      </c>
    </row>
    <row r="1808" spans="2:8">
      <c r="B1808" s="71">
        <v>500</v>
      </c>
      <c r="C1808" s="1">
        <f t="shared" si="547"/>
        <v>1250</v>
      </c>
      <c r="D1808" s="1">
        <f t="shared" si="545"/>
        <v>8333333.33333333</v>
      </c>
      <c r="E1808" s="1">
        <v>6.1</v>
      </c>
      <c r="F1808" s="1">
        <f ca="1" t="shared" si="546"/>
        <v>1880000</v>
      </c>
      <c r="G1808" s="1">
        <f ca="1" t="shared" si="548"/>
        <v>10213333.3333333</v>
      </c>
      <c r="H1808" s="1">
        <v>8</v>
      </c>
    </row>
    <row r="1809" spans="2:8">
      <c r="B1809" s="71">
        <v>100</v>
      </c>
      <c r="C1809" s="1">
        <f t="shared" si="547"/>
        <v>250</v>
      </c>
      <c r="D1809" s="1">
        <f t="shared" si="545"/>
        <v>1666666.66666667</v>
      </c>
      <c r="E1809" s="1">
        <v>6</v>
      </c>
      <c r="F1809" s="1">
        <f ca="1" t="shared" si="546"/>
        <v>1160000</v>
      </c>
      <c r="G1809" s="1">
        <f ca="1" t="shared" si="548"/>
        <v>2826666.66666667</v>
      </c>
      <c r="H1809" s="1">
        <v>4</v>
      </c>
    </row>
    <row r="1811" spans="2:12">
      <c r="B1811" s="27" t="s">
        <v>1197</v>
      </c>
      <c r="C1811" s="27"/>
      <c r="D1811" s="27"/>
      <c r="E1811" s="27"/>
      <c r="F1811" s="27"/>
      <c r="G1811" s="27"/>
      <c r="H1811" s="27"/>
      <c r="I1811" s="27"/>
      <c r="J1811" s="27"/>
      <c r="K1811" s="27"/>
      <c r="L1811" s="27"/>
    </row>
    <row r="1813" spans="2:19">
      <c r="B1813" s="1" t="s">
        <v>382</v>
      </c>
      <c r="C1813" s="1" t="s">
        <v>62</v>
      </c>
      <c r="D1813" s="1" t="s">
        <v>1198</v>
      </c>
      <c r="E1813" s="1" t="s">
        <v>1199</v>
      </c>
      <c r="F1813" s="15" t="s">
        <v>1200</v>
      </c>
      <c r="G1813" s="1" t="s">
        <v>1201</v>
      </c>
      <c r="H1813" s="1" t="s">
        <v>1202</v>
      </c>
      <c r="I1813" s="1" t="s">
        <v>1203</v>
      </c>
      <c r="J1813" s="78" t="s">
        <v>1201</v>
      </c>
      <c r="K1813" s="79" t="s">
        <v>1204</v>
      </c>
      <c r="L1813" s="79" t="s">
        <v>1205</v>
      </c>
      <c r="M1813" s="79" t="s">
        <v>1206</v>
      </c>
      <c r="N1813" s="79" t="s">
        <v>1207</v>
      </c>
      <c r="O1813" s="79" t="s">
        <v>1208</v>
      </c>
      <c r="P1813" s="1" t="s">
        <v>1209</v>
      </c>
      <c r="Q1813" s="1" t="s">
        <v>1210</v>
      </c>
      <c r="R1813" s="1" t="s">
        <v>1211</v>
      </c>
      <c r="S1813" s="1" t="s">
        <v>1212</v>
      </c>
    </row>
    <row r="1814" spans="2:21">
      <c r="B1814" s="7">
        <v>0</v>
      </c>
      <c r="C1814" s="1">
        <f>IF(养成规划!L6="","",养成规划!L6)</f>
        <v>0</v>
      </c>
      <c r="D1814" s="30">
        <f>IF(养成规划!L6="","",养成规划!L299)</f>
        <v>0</v>
      </c>
      <c r="E1814" s="1" t="str">
        <f ca="1">IFERROR(OFFSET('116_阵营声望'!$D$6,MATCH(D1814,'116_阵营声望'!$A$6:$A$20,0)-1,0),"")</f>
        <v/>
      </c>
      <c r="F1814" s="15">
        <f ca="1">'204_军官任务'!I6</f>
        <v>0</v>
      </c>
      <c r="G1814" s="1" t="str">
        <f ca="1" t="shared" ref="G1814:G1845" si="549">E1814</f>
        <v/>
      </c>
      <c r="H1814" s="1">
        <f ca="1">F1814</f>
        <v>0</v>
      </c>
      <c r="I1814" s="1">
        <f ca="1" t="shared" ref="I1814:I1845" si="550">SUM(G1814:G1814)</f>
        <v>0</v>
      </c>
      <c r="J1814" s="78" t="str">
        <f ca="1" t="shared" ref="J1814:J1845" si="551">IF(G1814="",INDIRECT(ADDRESS(ROW()-1,COLUMN())),G1814)</f>
        <v>阵经总耗</v>
      </c>
      <c r="K1814" s="79">
        <f ca="1" t="shared" ref="K1814:K1845" si="552">IFERROR(OFFSET($Q$1794,MATCH(N1814,$B$1794:$B$1802,0)-1,0),0)</f>
        <v>0</v>
      </c>
      <c r="L1814" s="79">
        <f ca="1">$B$1791*M1814</f>
        <v>0</v>
      </c>
      <c r="M1814" s="79">
        <f ca="1">IF(B1814&lt;8,O705+B1814*10,O705+70)</f>
        <v>0</v>
      </c>
      <c r="N1814" s="79">
        <f ca="1">养成规划!X6</f>
        <v>0</v>
      </c>
      <c r="O1814" s="79">
        <f ca="1" t="shared" ref="O1814:O1845" si="553">K1814+L1814</f>
        <v>0</v>
      </c>
      <c r="P1814" s="1">
        <f ca="1" t="shared" ref="P1814:P1845" si="554">O1814+H1814</f>
        <v>0</v>
      </c>
      <c r="Q1814" s="1">
        <f ca="1">IFERROR(P1814-J1814,0)</f>
        <v>0</v>
      </c>
      <c r="R1814" s="1">
        <f ca="1" t="shared" ref="R1814:R1845" si="555">IFERROR(H1814/P1814,0)</f>
        <v>0</v>
      </c>
      <c r="S1814" s="1">
        <f ca="1">IFERROR(Q1814/P1814,0)</f>
        <v>0</v>
      </c>
      <c r="T1814" s="1">
        <f ca="1">OFFSET('116_阵营声望'!$A$6,MATCH(P1814,'116_阵营声望'!$D$6:$D$20,1)-1,0)</f>
        <v>1</v>
      </c>
      <c r="U1814" s="1">
        <f ca="1">VLOOKUP(T1814,'116_阵营声望'!$A$5:$D$20,4,0)</f>
        <v>0</v>
      </c>
    </row>
    <row r="1815" spans="2:21">
      <c r="B1815" s="7">
        <v>0.1</v>
      </c>
      <c r="C1815" s="1" t="str">
        <f>IF(养成规划!L7="","",养成规划!L7)</f>
        <v/>
      </c>
      <c r="D1815" s="30"/>
      <c r="E1815" s="1" t="str">
        <f ca="1">IFERROR(OFFSET('116_阵营声望'!$D$6,MATCH(D1815,'116_阵营声望'!$A$6:$A$20,0)-1,0),"")</f>
        <v/>
      </c>
      <c r="F1815" s="15">
        <f ca="1">'204_军官任务'!I7</f>
        <v>0</v>
      </c>
      <c r="G1815" s="1" t="str">
        <f ca="1" t="shared" si="549"/>
        <v/>
      </c>
      <c r="H1815" s="1">
        <f ca="1" t="shared" ref="H1815:H1878" si="556">F1815</f>
        <v>0</v>
      </c>
      <c r="I1815" s="1">
        <f ca="1" t="shared" si="550"/>
        <v>0</v>
      </c>
      <c r="J1815" s="78" t="str">
        <f ca="1" t="shared" si="551"/>
        <v>阵经总耗</v>
      </c>
      <c r="K1815" s="79">
        <f ca="1" t="shared" si="552"/>
        <v>0</v>
      </c>
      <c r="L1815" s="79">
        <f ca="1">$B$1791*M1815/3</f>
        <v>8455.55555555555</v>
      </c>
      <c r="M1815" s="79">
        <f ca="1" t="shared" ref="M1815:M1878" si="557">IF(B1815&lt;8,O706+B1815*10,O706+70)</f>
        <v>1.26833333333333</v>
      </c>
      <c r="N1815" s="79">
        <f ca="1">养成规划!X7</f>
        <v>3</v>
      </c>
      <c r="O1815" s="79">
        <f ca="1" t="shared" si="553"/>
        <v>8455.55555555555</v>
      </c>
      <c r="P1815" s="1">
        <f ca="1" t="shared" si="554"/>
        <v>8455.55555555555</v>
      </c>
      <c r="Q1815" s="1">
        <f ca="1" t="shared" ref="Q1815:Q1878" si="558">IFERROR(P1815-J1815,0)</f>
        <v>0</v>
      </c>
      <c r="R1815" s="1">
        <f ca="1" t="shared" si="555"/>
        <v>0</v>
      </c>
      <c r="S1815" s="1">
        <f ca="1" t="shared" ref="S1815:S1878" si="559">IFERROR(Q1815/P1815,0)</f>
        <v>0</v>
      </c>
      <c r="T1815" s="1">
        <f ca="1">OFFSET('116_阵营声望'!$A$6,MATCH(P1815,'116_阵营声望'!$D$6:$D$20,1)-1,0)</f>
        <v>1</v>
      </c>
      <c r="U1815" s="1">
        <f ca="1">VLOOKUP(T1815,'116_阵营声望'!$A$5:$D$20,4,0)</f>
        <v>0</v>
      </c>
    </row>
    <row r="1816" spans="2:21">
      <c r="B1816" s="7">
        <v>0.2</v>
      </c>
      <c r="C1816" s="1" t="str">
        <f>IF(养成规划!L8="","",养成规划!L8)</f>
        <v/>
      </c>
      <c r="D1816" s="30"/>
      <c r="E1816" s="1" t="str">
        <f ca="1">IFERROR(OFFSET('116_阵营声望'!$D$6,MATCH(D1816,'116_阵营声望'!$A$6:$A$20,0)-1,0),"")</f>
        <v/>
      </c>
      <c r="F1816" s="15">
        <f ca="1">'204_军官任务'!I8</f>
        <v>0</v>
      </c>
      <c r="G1816" s="1" t="str">
        <f ca="1" t="shared" si="549"/>
        <v/>
      </c>
      <c r="H1816" s="1">
        <f ca="1" t="shared" si="556"/>
        <v>0</v>
      </c>
      <c r="I1816" s="1">
        <f ca="1" t="shared" si="550"/>
        <v>0</v>
      </c>
      <c r="J1816" s="78" t="str">
        <f ca="1" t="shared" si="551"/>
        <v>阵经总耗</v>
      </c>
      <c r="K1816" s="79">
        <f ca="1" t="shared" si="552"/>
        <v>0</v>
      </c>
      <c r="L1816" s="79">
        <f ca="1" t="shared" ref="L1816:L1879" si="560">$B$1791*M1816/3</f>
        <v>16930.9511111111</v>
      </c>
      <c r="M1816" s="79">
        <f ca="1" t="shared" si="557"/>
        <v>2.53964266666667</v>
      </c>
      <c r="N1816" s="79">
        <f ca="1">养成规划!X8</f>
        <v>4</v>
      </c>
      <c r="O1816" s="79">
        <f ca="1" t="shared" si="553"/>
        <v>16930.9511111111</v>
      </c>
      <c r="P1816" s="1">
        <f ca="1" t="shared" si="554"/>
        <v>16930.9511111111</v>
      </c>
      <c r="Q1816" s="1">
        <f ca="1" t="shared" si="558"/>
        <v>0</v>
      </c>
      <c r="R1816" s="1">
        <f ca="1" t="shared" si="555"/>
        <v>0</v>
      </c>
      <c r="S1816" s="1">
        <f ca="1" t="shared" si="559"/>
        <v>0</v>
      </c>
      <c r="T1816" s="1">
        <f ca="1">OFFSET('116_阵营声望'!$A$6,MATCH(P1816,'116_阵营声望'!$D$6:$D$20,1)-1,0)</f>
        <v>1</v>
      </c>
      <c r="U1816" s="1">
        <f ca="1">VLOOKUP(T1816,'116_阵营声望'!$A$5:$D$20,4,0)</f>
        <v>0</v>
      </c>
    </row>
    <row r="1817" spans="2:21">
      <c r="B1817" s="7">
        <v>0.3</v>
      </c>
      <c r="C1817" s="1" t="str">
        <f>IF(养成规划!L9="","",养成规划!L9)</f>
        <v/>
      </c>
      <c r="D1817" s="30"/>
      <c r="E1817" s="1" t="str">
        <f ca="1">IFERROR(OFFSET('116_阵营声望'!$D$6,MATCH(D1817,'116_阵营声望'!$A$6:$A$20,0)-1,0),"")</f>
        <v/>
      </c>
      <c r="F1817" s="15">
        <f ca="1">'204_军官任务'!I9</f>
        <v>0</v>
      </c>
      <c r="G1817" s="1" t="str">
        <f ca="1" t="shared" si="549"/>
        <v/>
      </c>
      <c r="H1817" s="1">
        <f ca="1" t="shared" si="556"/>
        <v>0</v>
      </c>
      <c r="I1817" s="1">
        <f ca="1" t="shared" si="550"/>
        <v>0</v>
      </c>
      <c r="J1817" s="78" t="str">
        <f ca="1" t="shared" si="551"/>
        <v>阵经总耗</v>
      </c>
      <c r="K1817" s="79">
        <f ca="1" t="shared" si="552"/>
        <v>0</v>
      </c>
      <c r="L1817" s="79">
        <f ca="1" t="shared" si="560"/>
        <v>25406.3466666667</v>
      </c>
      <c r="M1817" s="79">
        <f ca="1" t="shared" si="557"/>
        <v>3.810952</v>
      </c>
      <c r="N1817" s="79">
        <f ca="1">养成规划!X9</f>
        <v>4</v>
      </c>
      <c r="O1817" s="79">
        <f ca="1" t="shared" si="553"/>
        <v>25406.3466666667</v>
      </c>
      <c r="P1817" s="1">
        <f ca="1" t="shared" si="554"/>
        <v>25406.3466666667</v>
      </c>
      <c r="Q1817" s="1">
        <f ca="1" t="shared" si="558"/>
        <v>0</v>
      </c>
      <c r="R1817" s="1">
        <f ca="1" t="shared" si="555"/>
        <v>0</v>
      </c>
      <c r="S1817" s="1">
        <f ca="1" t="shared" si="559"/>
        <v>0</v>
      </c>
      <c r="T1817" s="1">
        <f ca="1">OFFSET('116_阵营声望'!$A$6,MATCH(P1817,'116_阵营声望'!$D$6:$D$20,1)-1,0)</f>
        <v>1</v>
      </c>
      <c r="U1817" s="1">
        <f ca="1">VLOOKUP(T1817,'116_阵营声望'!$A$5:$D$20,4,0)</f>
        <v>0</v>
      </c>
    </row>
    <row r="1818" spans="2:21">
      <c r="B1818" s="7">
        <v>0.4</v>
      </c>
      <c r="C1818" s="1" t="str">
        <f>IF(养成规划!L10="","",养成规划!L10)</f>
        <v/>
      </c>
      <c r="D1818" s="30"/>
      <c r="E1818" s="1" t="str">
        <f ca="1">IFERROR(OFFSET('116_阵营声望'!$D$6,MATCH(D1818,'116_阵营声望'!$A$6:$A$20,0)-1,0),"")</f>
        <v/>
      </c>
      <c r="F1818" s="15">
        <f ca="1">'204_军官任务'!I10</f>
        <v>0</v>
      </c>
      <c r="G1818" s="1" t="str">
        <f ca="1" t="shared" si="549"/>
        <v/>
      </c>
      <c r="H1818" s="1">
        <f ca="1" t="shared" si="556"/>
        <v>0</v>
      </c>
      <c r="I1818" s="1">
        <f ca="1" t="shared" si="550"/>
        <v>0</v>
      </c>
      <c r="J1818" s="78" t="str">
        <f ca="1" t="shared" si="551"/>
        <v>阵经总耗</v>
      </c>
      <c r="K1818" s="79">
        <f ca="1" t="shared" si="552"/>
        <v>120000</v>
      </c>
      <c r="L1818" s="79">
        <f ca="1" t="shared" si="560"/>
        <v>34079.36</v>
      </c>
      <c r="M1818" s="79">
        <f ca="1" t="shared" si="557"/>
        <v>5.111904</v>
      </c>
      <c r="N1818" s="79">
        <f ca="1">养成规划!X10</f>
        <v>4.1</v>
      </c>
      <c r="O1818" s="79">
        <f ca="1" t="shared" si="553"/>
        <v>154079.36</v>
      </c>
      <c r="P1818" s="1">
        <f ca="1" t="shared" si="554"/>
        <v>154079.36</v>
      </c>
      <c r="Q1818" s="1">
        <f ca="1" t="shared" si="558"/>
        <v>0</v>
      </c>
      <c r="R1818" s="1">
        <f ca="1" t="shared" si="555"/>
        <v>0</v>
      </c>
      <c r="S1818" s="1">
        <f ca="1" t="shared" si="559"/>
        <v>0</v>
      </c>
      <c r="T1818" s="1">
        <f ca="1">OFFSET('116_阵营声望'!$A$6,MATCH(P1818,'116_阵营声望'!$D$6:$D$20,1)-1,0)</f>
        <v>1</v>
      </c>
      <c r="U1818" s="1">
        <f ca="1">VLOOKUP(T1818,'116_阵营声望'!$A$5:$D$20,4,0)</f>
        <v>0</v>
      </c>
    </row>
    <row r="1819" spans="2:21">
      <c r="B1819" s="7">
        <v>0.5</v>
      </c>
      <c r="C1819" s="1" t="str">
        <f>IF(养成规划!L11="","",养成规划!L11)</f>
        <v/>
      </c>
      <c r="D1819" s="30"/>
      <c r="E1819" s="1" t="str">
        <f ca="1">IFERROR(OFFSET('116_阵营声望'!$D$6,MATCH(D1819,'116_阵营声望'!$A$6:$A$20,0)-1,0),"")</f>
        <v/>
      </c>
      <c r="F1819" s="15">
        <f ca="1">'204_军官任务'!I11</f>
        <v>0</v>
      </c>
      <c r="G1819" s="1" t="str">
        <f ca="1" t="shared" si="549"/>
        <v/>
      </c>
      <c r="H1819" s="1">
        <f ca="1" t="shared" si="556"/>
        <v>0</v>
      </c>
      <c r="I1819" s="1">
        <f ca="1" t="shared" si="550"/>
        <v>0</v>
      </c>
      <c r="J1819" s="78" t="str">
        <f ca="1" t="shared" si="551"/>
        <v>阵经总耗</v>
      </c>
      <c r="K1819" s="79">
        <f ca="1" t="shared" si="552"/>
        <v>120000</v>
      </c>
      <c r="L1819" s="79">
        <f ca="1" t="shared" si="560"/>
        <v>42752.3733333333</v>
      </c>
      <c r="M1819" s="79">
        <f ca="1" t="shared" si="557"/>
        <v>6.412856</v>
      </c>
      <c r="N1819" s="79">
        <f ca="1">养成规划!X11</f>
        <v>4.1</v>
      </c>
      <c r="O1819" s="79">
        <f ca="1" t="shared" si="553"/>
        <v>162752.373333333</v>
      </c>
      <c r="P1819" s="1">
        <f ca="1" t="shared" si="554"/>
        <v>162752.373333333</v>
      </c>
      <c r="Q1819" s="1">
        <f ca="1" t="shared" si="558"/>
        <v>0</v>
      </c>
      <c r="R1819" s="1">
        <f ca="1" t="shared" si="555"/>
        <v>0</v>
      </c>
      <c r="S1819" s="1">
        <f ca="1" t="shared" si="559"/>
        <v>0</v>
      </c>
      <c r="T1819" s="1">
        <f ca="1">OFFSET('116_阵营声望'!$A$6,MATCH(P1819,'116_阵营声望'!$D$6:$D$20,1)-1,0)</f>
        <v>1</v>
      </c>
      <c r="U1819" s="1">
        <f ca="1">VLOOKUP(T1819,'116_阵营声望'!$A$5:$D$20,4,0)</f>
        <v>0</v>
      </c>
    </row>
    <row r="1820" spans="2:21">
      <c r="B1820" s="7">
        <v>0.6</v>
      </c>
      <c r="C1820" s="1" t="str">
        <f>IF(养成规划!L12="","",养成规划!L12)</f>
        <v/>
      </c>
      <c r="D1820" s="30"/>
      <c r="E1820" s="1" t="str">
        <f ca="1">IFERROR(OFFSET('116_阵营声望'!$D$6,MATCH(D1820,'116_阵营声望'!$A$6:$A$20,0)-1,0),"")</f>
        <v/>
      </c>
      <c r="F1820" s="15">
        <f ca="1">'204_军官任务'!I12</f>
        <v>0</v>
      </c>
      <c r="G1820" s="1" t="str">
        <f ca="1" t="shared" si="549"/>
        <v/>
      </c>
      <c r="H1820" s="1">
        <f ca="1" t="shared" si="556"/>
        <v>0</v>
      </c>
      <c r="I1820" s="1">
        <f ca="1" t="shared" si="550"/>
        <v>0</v>
      </c>
      <c r="J1820" s="78" t="str">
        <f ca="1" t="shared" si="551"/>
        <v>阵经总耗</v>
      </c>
      <c r="K1820" s="79">
        <f ca="1" t="shared" si="552"/>
        <v>120000</v>
      </c>
      <c r="L1820" s="79">
        <f ca="1" t="shared" si="560"/>
        <v>51445.2266666667</v>
      </c>
      <c r="M1820" s="79">
        <f ca="1" t="shared" si="557"/>
        <v>7.716784</v>
      </c>
      <c r="N1820" s="79">
        <f ca="1">养成规划!X12</f>
        <v>4.1</v>
      </c>
      <c r="O1820" s="79">
        <f ca="1" t="shared" si="553"/>
        <v>171445.226666667</v>
      </c>
      <c r="P1820" s="1">
        <f ca="1" t="shared" si="554"/>
        <v>171445.226666667</v>
      </c>
      <c r="Q1820" s="1">
        <f ca="1" t="shared" si="558"/>
        <v>0</v>
      </c>
      <c r="R1820" s="1">
        <f ca="1" t="shared" si="555"/>
        <v>0</v>
      </c>
      <c r="S1820" s="1">
        <f ca="1" t="shared" si="559"/>
        <v>0</v>
      </c>
      <c r="T1820" s="1">
        <f ca="1">OFFSET('116_阵营声望'!$A$6,MATCH(P1820,'116_阵营声望'!$D$6:$D$20,1)-1,0)</f>
        <v>1</v>
      </c>
      <c r="U1820" s="1">
        <f ca="1">VLOOKUP(T1820,'116_阵营声望'!$A$5:$D$20,4,0)</f>
        <v>0</v>
      </c>
    </row>
    <row r="1821" spans="2:21">
      <c r="B1821" s="7">
        <v>0.7</v>
      </c>
      <c r="C1821" s="1" t="str">
        <f>IF(养成规划!L13="","",养成规划!L13)</f>
        <v/>
      </c>
      <c r="D1821" s="30"/>
      <c r="E1821" s="1" t="str">
        <f ca="1">IFERROR(OFFSET('116_阵营声望'!$D$6,MATCH(D1821,'116_阵营声望'!$A$6:$A$20,0)-1,0),"")</f>
        <v/>
      </c>
      <c r="F1821" s="15">
        <f ca="1">'204_军官任务'!I13</f>
        <v>0</v>
      </c>
      <c r="G1821" s="1" t="str">
        <f ca="1" t="shared" si="549"/>
        <v/>
      </c>
      <c r="H1821" s="1">
        <f ca="1" t="shared" si="556"/>
        <v>0</v>
      </c>
      <c r="I1821" s="1">
        <f ca="1" t="shared" si="550"/>
        <v>0</v>
      </c>
      <c r="J1821" s="78" t="str">
        <f ca="1" t="shared" si="551"/>
        <v>阵经总耗</v>
      </c>
      <c r="K1821" s="79">
        <f ca="1" t="shared" si="552"/>
        <v>120000</v>
      </c>
      <c r="L1821" s="79">
        <f ca="1" t="shared" si="560"/>
        <v>60138.08</v>
      </c>
      <c r="M1821" s="79">
        <f ca="1" t="shared" si="557"/>
        <v>9.020712</v>
      </c>
      <c r="N1821" s="79">
        <f ca="1">养成规划!X13</f>
        <v>4.1</v>
      </c>
      <c r="O1821" s="79">
        <f ca="1" t="shared" si="553"/>
        <v>180138.08</v>
      </c>
      <c r="P1821" s="1">
        <f ca="1" t="shared" si="554"/>
        <v>180138.08</v>
      </c>
      <c r="Q1821" s="1">
        <f ca="1" t="shared" si="558"/>
        <v>0</v>
      </c>
      <c r="R1821" s="1">
        <f ca="1" t="shared" si="555"/>
        <v>0</v>
      </c>
      <c r="S1821" s="1">
        <f ca="1" t="shared" si="559"/>
        <v>0</v>
      </c>
      <c r="T1821" s="1">
        <f ca="1">OFFSET('116_阵营声望'!$A$6,MATCH(P1821,'116_阵营声望'!$D$6:$D$20,1)-1,0)</f>
        <v>1</v>
      </c>
      <c r="U1821" s="1">
        <f ca="1">VLOOKUP(T1821,'116_阵营声望'!$A$5:$D$20,4,0)</f>
        <v>0</v>
      </c>
    </row>
    <row r="1822" spans="2:21">
      <c r="B1822" s="7">
        <v>0.8</v>
      </c>
      <c r="C1822" s="1" t="str">
        <f>IF(养成规划!L14="","",养成规划!L14)</f>
        <v/>
      </c>
      <c r="D1822" s="30"/>
      <c r="E1822" s="1" t="str">
        <f ca="1">IFERROR(OFFSET('116_阵营声望'!$D$6,MATCH(D1822,'116_阵营声望'!$A$6:$A$20,0)-1,0),"")</f>
        <v/>
      </c>
      <c r="F1822" s="15">
        <f ca="1">'204_军官任务'!I14</f>
        <v>0</v>
      </c>
      <c r="G1822" s="1" t="str">
        <f ca="1" t="shared" si="549"/>
        <v/>
      </c>
      <c r="H1822" s="1">
        <f ca="1" t="shared" si="556"/>
        <v>0</v>
      </c>
      <c r="I1822" s="1">
        <f ca="1" t="shared" si="550"/>
        <v>0</v>
      </c>
      <c r="J1822" s="78" t="str">
        <f ca="1" t="shared" si="551"/>
        <v>阵经总耗</v>
      </c>
      <c r="K1822" s="79">
        <f ca="1" t="shared" si="552"/>
        <v>120000</v>
      </c>
      <c r="L1822" s="79">
        <f ca="1" t="shared" si="560"/>
        <v>68851.4133333333</v>
      </c>
      <c r="M1822" s="79">
        <f ca="1" t="shared" si="557"/>
        <v>10.327712</v>
      </c>
      <c r="N1822" s="79">
        <f ca="1">养成规划!X14</f>
        <v>4.1</v>
      </c>
      <c r="O1822" s="79">
        <f ca="1" t="shared" si="553"/>
        <v>188851.413333333</v>
      </c>
      <c r="P1822" s="1">
        <f ca="1" t="shared" si="554"/>
        <v>188851.413333333</v>
      </c>
      <c r="Q1822" s="1">
        <f ca="1" t="shared" si="558"/>
        <v>0</v>
      </c>
      <c r="R1822" s="1">
        <f ca="1" t="shared" si="555"/>
        <v>0</v>
      </c>
      <c r="S1822" s="1">
        <f ca="1" t="shared" si="559"/>
        <v>0</v>
      </c>
      <c r="T1822" s="1">
        <f ca="1">OFFSET('116_阵营声望'!$A$6,MATCH(P1822,'116_阵营声望'!$D$6:$D$20,1)-1,0)</f>
        <v>1</v>
      </c>
      <c r="U1822" s="1">
        <f ca="1">VLOOKUP(T1822,'116_阵营声望'!$A$5:$D$20,4,0)</f>
        <v>0</v>
      </c>
    </row>
    <row r="1823" spans="2:21">
      <c r="B1823" s="7">
        <v>0.9</v>
      </c>
      <c r="C1823" s="1" t="str">
        <f>IF(养成规划!L15="","",养成规划!L15)</f>
        <v/>
      </c>
      <c r="D1823" s="30"/>
      <c r="E1823" s="1" t="str">
        <f ca="1">IFERROR(OFFSET('116_阵营声望'!$D$6,MATCH(D1823,'116_阵营声望'!$A$6:$A$20,0)-1,0),"")</f>
        <v/>
      </c>
      <c r="F1823" s="15">
        <f ca="1">'204_军官任务'!I15</f>
        <v>0</v>
      </c>
      <c r="G1823" s="1" t="str">
        <f ca="1" t="shared" si="549"/>
        <v/>
      </c>
      <c r="H1823" s="1">
        <f ca="1" t="shared" si="556"/>
        <v>0</v>
      </c>
      <c r="I1823" s="1">
        <f ca="1" t="shared" si="550"/>
        <v>0</v>
      </c>
      <c r="J1823" s="78" t="str">
        <f ca="1" t="shared" si="551"/>
        <v>阵经总耗</v>
      </c>
      <c r="K1823" s="79">
        <f ca="1" t="shared" si="552"/>
        <v>120000</v>
      </c>
      <c r="L1823" s="79">
        <f ca="1" t="shared" si="560"/>
        <v>77564.7466666667</v>
      </c>
      <c r="M1823" s="79">
        <f ca="1" t="shared" si="557"/>
        <v>11.634712</v>
      </c>
      <c r="N1823" s="79">
        <f ca="1">养成规划!X15</f>
        <v>4.1</v>
      </c>
      <c r="O1823" s="79">
        <f ca="1" t="shared" si="553"/>
        <v>197564.746666667</v>
      </c>
      <c r="P1823" s="1">
        <f ca="1" t="shared" si="554"/>
        <v>197564.746666667</v>
      </c>
      <c r="Q1823" s="1">
        <f ca="1" t="shared" si="558"/>
        <v>0</v>
      </c>
      <c r="R1823" s="1">
        <f ca="1" t="shared" si="555"/>
        <v>0</v>
      </c>
      <c r="S1823" s="1">
        <f ca="1" t="shared" si="559"/>
        <v>0</v>
      </c>
      <c r="T1823" s="1">
        <f ca="1">OFFSET('116_阵营声望'!$A$6,MATCH(P1823,'116_阵营声望'!$D$6:$D$20,1)-1,0)</f>
        <v>1</v>
      </c>
      <c r="U1823" s="1">
        <f ca="1">VLOOKUP(T1823,'116_阵营声望'!$A$5:$D$20,4,0)</f>
        <v>0</v>
      </c>
    </row>
    <row r="1824" spans="2:21">
      <c r="B1824" s="7">
        <v>1</v>
      </c>
      <c r="C1824" s="1">
        <f>IF(养成规划!L16="","",养成规划!L16)</f>
        <v>1</v>
      </c>
      <c r="D1824" s="30">
        <v>1</v>
      </c>
      <c r="E1824" s="1">
        <f ca="1">IFERROR(OFFSET('116_阵营声望'!$D$6,MATCH(D1824,'116_阵营声望'!$A$6:$A$20,0)-1,0),"")</f>
        <v>0</v>
      </c>
      <c r="F1824" s="15">
        <f ca="1">'204_军官任务'!I16</f>
        <v>0</v>
      </c>
      <c r="G1824" s="1">
        <f ca="1" t="shared" si="549"/>
        <v>0</v>
      </c>
      <c r="H1824" s="1">
        <f ca="1" t="shared" si="556"/>
        <v>0</v>
      </c>
      <c r="I1824" s="1">
        <f ca="1" t="shared" si="550"/>
        <v>0</v>
      </c>
      <c r="J1824" s="78">
        <f ca="1" t="shared" si="551"/>
        <v>0</v>
      </c>
      <c r="K1824" s="79">
        <f ca="1" t="shared" si="552"/>
        <v>320000</v>
      </c>
      <c r="L1824" s="79">
        <f ca="1" t="shared" si="560"/>
        <v>86475.6977777778</v>
      </c>
      <c r="M1824" s="79">
        <f ca="1" t="shared" si="557"/>
        <v>12.9713546666667</v>
      </c>
      <c r="N1824" s="79">
        <f ca="1">养成规划!X16</f>
        <v>5</v>
      </c>
      <c r="O1824" s="79">
        <f ca="1" t="shared" si="553"/>
        <v>406475.697777778</v>
      </c>
      <c r="P1824" s="1">
        <f ca="1" t="shared" si="554"/>
        <v>406475.697777778</v>
      </c>
      <c r="Q1824" s="1">
        <f ca="1" t="shared" si="558"/>
        <v>406475.697777778</v>
      </c>
      <c r="R1824" s="1">
        <f ca="1" t="shared" si="555"/>
        <v>0</v>
      </c>
      <c r="S1824" s="1">
        <f ca="1" t="shared" si="559"/>
        <v>1</v>
      </c>
      <c r="T1824" s="1">
        <f ca="1">OFFSET('116_阵营声望'!$A$6,MATCH(P1824,'116_阵营声望'!$D$6:$D$20,1)-1,0)</f>
        <v>1</v>
      </c>
      <c r="U1824" s="1">
        <f ca="1">VLOOKUP(T1824,'116_阵营声望'!$A$5:$D$20,4,0)</f>
        <v>0</v>
      </c>
    </row>
    <row r="1825" spans="2:21">
      <c r="B1825" s="9">
        <v>1.5</v>
      </c>
      <c r="C1825" s="1">
        <f>IF(养成规划!L17="","",养成规划!L17)</f>
        <v>2</v>
      </c>
      <c r="D1825" s="30">
        <v>2</v>
      </c>
      <c r="E1825" s="1">
        <f ca="1">IFERROR(OFFSET('116_阵营声望'!$D$6,MATCH(D1825,'116_阵营声望'!$A$6:$A$20,0)-1,0),"")</f>
        <v>432000</v>
      </c>
      <c r="F1825" s="15">
        <f ca="1">'204_军官任务'!I17</f>
        <v>12960</v>
      </c>
      <c r="G1825" s="1">
        <f ca="1" t="shared" si="549"/>
        <v>432000</v>
      </c>
      <c r="H1825" s="1">
        <f ca="1" t="shared" si="556"/>
        <v>12960</v>
      </c>
      <c r="I1825" s="1">
        <f ca="1" t="shared" si="550"/>
        <v>432000</v>
      </c>
      <c r="J1825" s="78">
        <f ca="1" t="shared" si="551"/>
        <v>432000</v>
      </c>
      <c r="K1825" s="79">
        <f ca="1" t="shared" si="552"/>
        <v>320000</v>
      </c>
      <c r="L1825" s="79">
        <f ca="1" t="shared" si="560"/>
        <v>131078.453333333</v>
      </c>
      <c r="M1825" s="79">
        <f ca="1" t="shared" si="557"/>
        <v>19.661768</v>
      </c>
      <c r="N1825" s="79">
        <f ca="1">养成规划!X17</f>
        <v>5</v>
      </c>
      <c r="O1825" s="79">
        <f ca="1" t="shared" si="553"/>
        <v>451078.453333333</v>
      </c>
      <c r="P1825" s="1">
        <f ca="1" t="shared" si="554"/>
        <v>464038.453333333</v>
      </c>
      <c r="Q1825" s="1">
        <f ca="1" t="shared" si="558"/>
        <v>32038.4533333334</v>
      </c>
      <c r="R1825" s="1">
        <f ca="1" t="shared" si="555"/>
        <v>0.0279287199302219</v>
      </c>
      <c r="S1825" s="1">
        <f ca="1" t="shared" si="559"/>
        <v>0.0690426689926043</v>
      </c>
      <c r="T1825" s="1">
        <f ca="1">OFFSET('116_阵营声望'!$A$6,MATCH(P1825,'116_阵营声望'!$D$6:$D$20,1)-1,0)</f>
        <v>2</v>
      </c>
      <c r="U1825" s="1">
        <f ca="1">VLOOKUP(T1825,'116_阵营声望'!$A$5:$D$20,4,0)</f>
        <v>432000</v>
      </c>
    </row>
    <row r="1826" spans="2:21">
      <c r="B1826" s="9">
        <v>2</v>
      </c>
      <c r="C1826" s="1" t="str">
        <f>IF(养成规划!L18="","",养成规划!L18)</f>
        <v/>
      </c>
      <c r="D1826" s="30"/>
      <c r="E1826" s="1" t="str">
        <f ca="1">IFERROR(OFFSET('116_阵营声望'!$D$6,MATCH(D1826,'116_阵营声望'!$A$6:$A$20,0)-1,0),"")</f>
        <v/>
      </c>
      <c r="F1826" s="15">
        <f ca="1">'204_军官任务'!I18</f>
        <v>34560</v>
      </c>
      <c r="G1826" s="1" t="str">
        <f ca="1" t="shared" si="549"/>
        <v/>
      </c>
      <c r="H1826" s="1">
        <f ca="1" t="shared" si="556"/>
        <v>34560</v>
      </c>
      <c r="I1826" s="1">
        <f ca="1" t="shared" si="550"/>
        <v>0</v>
      </c>
      <c r="J1826" s="78">
        <f ca="1" t="shared" si="551"/>
        <v>432000</v>
      </c>
      <c r="K1826" s="79">
        <f ca="1" t="shared" si="552"/>
        <v>320000</v>
      </c>
      <c r="L1826" s="79">
        <f ca="1" t="shared" si="560"/>
        <v>175732.408888889</v>
      </c>
      <c r="M1826" s="79">
        <f ca="1" t="shared" si="557"/>
        <v>26.3598613333333</v>
      </c>
      <c r="N1826" s="79">
        <f ca="1">养成规划!X18</f>
        <v>5</v>
      </c>
      <c r="O1826" s="79">
        <f ca="1" t="shared" si="553"/>
        <v>495732.408888889</v>
      </c>
      <c r="P1826" s="1">
        <f ca="1" t="shared" si="554"/>
        <v>530292.408888889</v>
      </c>
      <c r="Q1826" s="1">
        <f ca="1" t="shared" si="558"/>
        <v>98292.4088888889</v>
      </c>
      <c r="R1826" s="1">
        <f ca="1" t="shared" si="555"/>
        <v>0.0651715910329791</v>
      </c>
      <c r="S1826" s="1">
        <f ca="1" t="shared" si="559"/>
        <v>0.185355112087761</v>
      </c>
      <c r="T1826" s="1">
        <f ca="1">OFFSET('116_阵营声望'!$A$6,MATCH(P1826,'116_阵营声望'!$D$6:$D$20,1)-1,0)</f>
        <v>2</v>
      </c>
      <c r="U1826" s="1">
        <f ca="1">VLOOKUP(T1826,'116_阵营声望'!$A$5:$D$20,4,0)</f>
        <v>432000</v>
      </c>
    </row>
    <row r="1827" spans="2:21">
      <c r="B1827" s="9">
        <v>2.5</v>
      </c>
      <c r="C1827" s="1" t="str">
        <f>IF(养成规划!L19="","",养成规划!L19)</f>
        <v/>
      </c>
      <c r="D1827" s="30"/>
      <c r="E1827" s="1" t="str">
        <f ca="1">IFERROR(OFFSET('116_阵营声望'!$D$6,MATCH(D1827,'116_阵营声望'!$A$6:$A$20,0)-1,0),"")</f>
        <v/>
      </c>
      <c r="F1827" s="15">
        <f ca="1">'204_军官任务'!I19</f>
        <v>56160</v>
      </c>
      <c r="G1827" s="1" t="str">
        <f ca="1" t="shared" si="549"/>
        <v/>
      </c>
      <c r="H1827" s="1">
        <f ca="1" t="shared" si="556"/>
        <v>56160</v>
      </c>
      <c r="I1827" s="1">
        <f ca="1" t="shared" si="550"/>
        <v>0</v>
      </c>
      <c r="J1827" s="78">
        <f ca="1" t="shared" si="551"/>
        <v>432000</v>
      </c>
      <c r="K1827" s="79">
        <f ca="1" t="shared" si="552"/>
        <v>320000</v>
      </c>
      <c r="L1827" s="79">
        <f ca="1" t="shared" si="560"/>
        <v>220437.564444444</v>
      </c>
      <c r="M1827" s="79">
        <f ca="1" t="shared" si="557"/>
        <v>33.0656346666667</v>
      </c>
      <c r="N1827" s="79">
        <f ca="1">养成规划!X19</f>
        <v>5</v>
      </c>
      <c r="O1827" s="79">
        <f ca="1" t="shared" si="553"/>
        <v>540437.564444444</v>
      </c>
      <c r="P1827" s="1">
        <f ca="1" t="shared" si="554"/>
        <v>596597.564444444</v>
      </c>
      <c r="Q1827" s="1">
        <f ca="1" t="shared" si="558"/>
        <v>164597.564444444</v>
      </c>
      <c r="R1827" s="1">
        <f ca="1" t="shared" si="555"/>
        <v>0.0941338070199743</v>
      </c>
      <c r="S1827" s="1">
        <f ca="1" t="shared" si="559"/>
        <v>0.275893792154044</v>
      </c>
      <c r="T1827" s="1">
        <f ca="1">OFFSET('116_阵营声望'!$A$6,MATCH(P1827,'116_阵营声望'!$D$6:$D$20,1)-1,0)</f>
        <v>2</v>
      </c>
      <c r="U1827" s="1">
        <f ca="1">VLOOKUP(T1827,'116_阵营声望'!$A$5:$D$20,4,0)</f>
        <v>432000</v>
      </c>
    </row>
    <row r="1828" spans="2:21">
      <c r="B1828" s="9">
        <v>3</v>
      </c>
      <c r="C1828" s="1" t="str">
        <f>IF(养成规划!L20="","",养成规划!L20)</f>
        <v/>
      </c>
      <c r="D1828" s="30"/>
      <c r="E1828" s="1" t="str">
        <f ca="1">IFERROR(OFFSET('116_阵营声望'!$D$6,MATCH(D1828,'116_阵营声望'!$A$6:$A$20,0)-1,0),"")</f>
        <v/>
      </c>
      <c r="F1828" s="15">
        <f ca="1">'204_军官任务'!I20</f>
        <v>77760</v>
      </c>
      <c r="G1828" s="1" t="str">
        <f ca="1" t="shared" si="549"/>
        <v/>
      </c>
      <c r="H1828" s="1">
        <f ca="1" t="shared" si="556"/>
        <v>77760</v>
      </c>
      <c r="I1828" s="1">
        <f ca="1" t="shared" si="550"/>
        <v>0</v>
      </c>
      <c r="J1828" s="78">
        <f ca="1" t="shared" si="551"/>
        <v>432000</v>
      </c>
      <c r="K1828" s="79">
        <f ca="1" t="shared" si="552"/>
        <v>320000</v>
      </c>
      <c r="L1828" s="79">
        <f ca="1" t="shared" si="560"/>
        <v>265241.92</v>
      </c>
      <c r="M1828" s="79">
        <f ca="1" t="shared" si="557"/>
        <v>39.786288</v>
      </c>
      <c r="N1828" s="79">
        <f ca="1">养成规划!X20</f>
        <v>5</v>
      </c>
      <c r="O1828" s="79">
        <f ca="1" t="shared" si="553"/>
        <v>585241.92</v>
      </c>
      <c r="P1828" s="1">
        <f ca="1" t="shared" si="554"/>
        <v>663001.92</v>
      </c>
      <c r="Q1828" s="1">
        <f ca="1" t="shared" si="558"/>
        <v>231001.92</v>
      </c>
      <c r="R1828" s="1">
        <f ca="1" t="shared" si="555"/>
        <v>0.117284728225221</v>
      </c>
      <c r="S1828" s="1">
        <f ca="1" t="shared" si="559"/>
        <v>0.348418176526548</v>
      </c>
      <c r="T1828" s="1">
        <f ca="1">OFFSET('116_阵营声望'!$A$6,MATCH(P1828,'116_阵营声望'!$D$6:$D$20,1)-1,0)</f>
        <v>2</v>
      </c>
      <c r="U1828" s="1">
        <f ca="1">VLOOKUP(T1828,'116_阵营声望'!$A$5:$D$20,4,0)</f>
        <v>432000</v>
      </c>
    </row>
    <row r="1829" spans="2:21">
      <c r="B1829" s="9">
        <v>3.5</v>
      </c>
      <c r="C1829" s="1" t="str">
        <f>IF(养成规划!L21="","",养成规划!L21)</f>
        <v/>
      </c>
      <c r="D1829" s="30"/>
      <c r="E1829" s="1" t="str">
        <f ca="1">IFERROR(OFFSET('116_阵营声望'!$D$6,MATCH(D1829,'116_阵营声望'!$A$6:$A$20,0)-1,0),"")</f>
        <v/>
      </c>
      <c r="F1829" s="15">
        <f ca="1">'204_军官任务'!I21</f>
        <v>99360</v>
      </c>
      <c r="G1829" s="1" t="str">
        <f ca="1" t="shared" si="549"/>
        <v/>
      </c>
      <c r="H1829" s="1">
        <f ca="1" t="shared" si="556"/>
        <v>99360</v>
      </c>
      <c r="I1829" s="1">
        <f ca="1" t="shared" si="550"/>
        <v>0</v>
      </c>
      <c r="J1829" s="78">
        <f ca="1" t="shared" si="551"/>
        <v>432000</v>
      </c>
      <c r="K1829" s="79">
        <f ca="1" t="shared" si="552"/>
        <v>320000</v>
      </c>
      <c r="L1829" s="79">
        <f ca="1" t="shared" si="560"/>
        <v>310097.475555556</v>
      </c>
      <c r="M1829" s="79">
        <f ca="1" t="shared" si="557"/>
        <v>46.5146213333333</v>
      </c>
      <c r="N1829" s="79">
        <f ca="1">养成规划!X21</f>
        <v>5</v>
      </c>
      <c r="O1829" s="79">
        <f ca="1" t="shared" si="553"/>
        <v>630097.475555556</v>
      </c>
      <c r="P1829" s="1">
        <f ca="1" t="shared" si="554"/>
        <v>729457.475555556</v>
      </c>
      <c r="Q1829" s="1">
        <f ca="1" t="shared" si="558"/>
        <v>297457.475555556</v>
      </c>
      <c r="R1829" s="1">
        <f ca="1" t="shared" si="555"/>
        <v>0.136210818765449</v>
      </c>
      <c r="S1829" s="1">
        <f ca="1" t="shared" si="559"/>
        <v>0.407779048845872</v>
      </c>
      <c r="T1829" s="1">
        <f ca="1">OFFSET('116_阵营声望'!$A$6,MATCH(P1829,'116_阵营声望'!$D$6:$D$20,1)-1,0)</f>
        <v>2</v>
      </c>
      <c r="U1829" s="1">
        <f ca="1">VLOOKUP(T1829,'116_阵营声望'!$A$5:$D$20,4,0)</f>
        <v>432000</v>
      </c>
    </row>
    <row r="1830" spans="2:21">
      <c r="B1830" s="9">
        <v>4</v>
      </c>
      <c r="C1830" s="1" t="str">
        <f>IF(养成规划!L22="","",养成规划!L22)</f>
        <v/>
      </c>
      <c r="D1830" s="30"/>
      <c r="E1830" s="1" t="str">
        <f ca="1">IFERROR(OFFSET('116_阵营声望'!$D$6,MATCH(D1830,'116_阵营声望'!$A$6:$A$20,0)-1,0),"")</f>
        <v/>
      </c>
      <c r="F1830" s="15">
        <f ca="1">'204_军官任务'!I22</f>
        <v>120960</v>
      </c>
      <c r="G1830" s="1" t="str">
        <f ca="1" t="shared" si="549"/>
        <v/>
      </c>
      <c r="H1830" s="1">
        <f ca="1" t="shared" si="556"/>
        <v>120960</v>
      </c>
      <c r="I1830" s="1">
        <f ca="1" t="shared" si="550"/>
        <v>0</v>
      </c>
      <c r="J1830" s="78">
        <f ca="1" t="shared" si="551"/>
        <v>432000</v>
      </c>
      <c r="K1830" s="79">
        <f ca="1" t="shared" si="552"/>
        <v>320000</v>
      </c>
      <c r="L1830" s="79">
        <f ca="1" t="shared" si="560"/>
        <v>356778.808888889</v>
      </c>
      <c r="M1830" s="79">
        <f ca="1" t="shared" si="557"/>
        <v>53.5168213333333</v>
      </c>
      <c r="N1830" s="79">
        <f ca="1">养成规划!X22</f>
        <v>5</v>
      </c>
      <c r="O1830" s="79">
        <f ca="1" t="shared" si="553"/>
        <v>676778.808888889</v>
      </c>
      <c r="P1830" s="1">
        <f ca="1" t="shared" si="554"/>
        <v>797738.808888889</v>
      </c>
      <c r="Q1830" s="1">
        <f ca="1" t="shared" si="558"/>
        <v>365738.808888889</v>
      </c>
      <c r="R1830" s="1">
        <f ca="1" t="shared" si="555"/>
        <v>0.151628576486678</v>
      </c>
      <c r="S1830" s="1">
        <f ca="1" t="shared" si="559"/>
        <v>0.458469369690437</v>
      </c>
      <c r="T1830" s="1">
        <f ca="1">OFFSET('116_阵营声望'!$A$6,MATCH(P1830,'116_阵营声望'!$D$6:$D$20,1)-1,0)</f>
        <v>2</v>
      </c>
      <c r="U1830" s="1">
        <f ca="1">VLOOKUP(T1830,'116_阵营声望'!$A$5:$D$20,4,0)</f>
        <v>432000</v>
      </c>
    </row>
    <row r="1831" spans="2:21">
      <c r="B1831" s="9">
        <v>4.5</v>
      </c>
      <c r="C1831" s="1">
        <f>IF(养成规划!L23="","",养成规划!L23)</f>
        <v>3</v>
      </c>
      <c r="D1831" s="30"/>
      <c r="E1831" s="1" t="str">
        <f ca="1">IFERROR(OFFSET('116_阵营声望'!$D$6,MATCH(D1831,'116_阵营声望'!$A$6:$A$20,0)-1,0),"")</f>
        <v/>
      </c>
      <c r="F1831" s="15">
        <f ca="1">'204_军官任务'!I23</f>
        <v>142560</v>
      </c>
      <c r="G1831" s="1" t="str">
        <f ca="1" t="shared" si="549"/>
        <v/>
      </c>
      <c r="H1831" s="1">
        <f ca="1" t="shared" si="556"/>
        <v>142560</v>
      </c>
      <c r="I1831" s="1">
        <f ca="1" t="shared" si="550"/>
        <v>0</v>
      </c>
      <c r="J1831" s="78">
        <f ca="1" t="shared" si="551"/>
        <v>432000</v>
      </c>
      <c r="K1831" s="79">
        <f ca="1" t="shared" si="552"/>
        <v>320000</v>
      </c>
      <c r="L1831" s="79">
        <f ca="1" t="shared" si="560"/>
        <v>403511.342222222</v>
      </c>
      <c r="M1831" s="79">
        <f ca="1" t="shared" si="557"/>
        <v>60.5267013333333</v>
      </c>
      <c r="N1831" s="79">
        <f ca="1">养成规划!X23</f>
        <v>5</v>
      </c>
      <c r="O1831" s="79">
        <f ca="1" t="shared" si="553"/>
        <v>723511.342222222</v>
      </c>
      <c r="P1831" s="1">
        <f ca="1" t="shared" si="554"/>
        <v>866071.342222222</v>
      </c>
      <c r="Q1831" s="1">
        <f ca="1" t="shared" si="558"/>
        <v>434071.342222222</v>
      </c>
      <c r="R1831" s="1">
        <f ca="1" t="shared" si="555"/>
        <v>0.164605377236257</v>
      </c>
      <c r="S1831" s="1">
        <f ca="1" t="shared" si="559"/>
        <v>0.501195826556798</v>
      </c>
      <c r="T1831" s="1">
        <f ca="1">OFFSET('116_阵营声望'!$A$6,MATCH(P1831,'116_阵营声望'!$D$6:$D$20,1)-1,0)</f>
        <v>2</v>
      </c>
      <c r="U1831" s="1">
        <f ca="1">VLOOKUP(T1831,'116_阵营声望'!$A$5:$D$20,4,0)</f>
        <v>432000</v>
      </c>
    </row>
    <row r="1832" spans="2:21">
      <c r="B1832" s="9">
        <v>5</v>
      </c>
      <c r="C1832" s="1" t="str">
        <f>IF(养成规划!L24="","",养成规划!L24)</f>
        <v/>
      </c>
      <c r="D1832" s="30">
        <v>3</v>
      </c>
      <c r="E1832" s="1">
        <f ca="1">IFERROR(OFFSET('116_阵营声望'!$D$6,MATCH(D1832,'116_阵营声望'!$A$6:$A$20,0)-1,0),"")</f>
        <v>928800</v>
      </c>
      <c r="F1832" s="15">
        <f ca="1">'204_军官任务'!I24</f>
        <v>164160</v>
      </c>
      <c r="G1832" s="1">
        <f ca="1" t="shared" si="549"/>
        <v>928800</v>
      </c>
      <c r="H1832" s="1">
        <f ca="1" t="shared" si="556"/>
        <v>164160</v>
      </c>
      <c r="I1832" s="1">
        <f ca="1" t="shared" si="550"/>
        <v>928800</v>
      </c>
      <c r="J1832" s="78">
        <f ca="1" t="shared" si="551"/>
        <v>928800</v>
      </c>
      <c r="K1832" s="79">
        <f ca="1" t="shared" si="552"/>
        <v>320000</v>
      </c>
      <c r="L1832" s="79">
        <f ca="1" t="shared" si="560"/>
        <v>450343.075555556</v>
      </c>
      <c r="M1832" s="79">
        <f ca="1" t="shared" si="557"/>
        <v>67.5514613333333</v>
      </c>
      <c r="N1832" s="79">
        <f ca="1">养成规划!X24</f>
        <v>5</v>
      </c>
      <c r="O1832" s="79">
        <f ca="1" t="shared" si="553"/>
        <v>770343.075555556</v>
      </c>
      <c r="P1832" s="1">
        <f ca="1" t="shared" si="554"/>
        <v>934503.075555556</v>
      </c>
      <c r="Q1832" s="1">
        <f ca="1" t="shared" si="558"/>
        <v>5703.07555555552</v>
      </c>
      <c r="R1832" s="1">
        <f ca="1" t="shared" si="555"/>
        <v>0.175665553484035</v>
      </c>
      <c r="S1832" s="1">
        <f ca="1" t="shared" si="559"/>
        <v>0.00610278949822084</v>
      </c>
      <c r="T1832" s="1">
        <f ca="1">OFFSET('116_阵营声望'!$A$6,MATCH(P1832,'116_阵营声望'!$D$6:$D$20,1)-1,0)</f>
        <v>3</v>
      </c>
      <c r="U1832" s="1">
        <f ca="1">VLOOKUP(T1832,'116_阵营声望'!$A$5:$D$20,4,0)</f>
        <v>928800</v>
      </c>
    </row>
    <row r="1833" spans="2:21">
      <c r="B1833" s="9">
        <v>5.5</v>
      </c>
      <c r="C1833" s="1" t="str">
        <f>IF(养成规划!L25="","",养成规划!L25)</f>
        <v/>
      </c>
      <c r="D1833" s="30"/>
      <c r="E1833" s="1" t="str">
        <f ca="1">IFERROR(OFFSET('116_阵营声望'!$D$6,MATCH(D1833,'116_阵营声望'!$A$6:$A$20,0)-1,0),"")</f>
        <v/>
      </c>
      <c r="F1833" s="15">
        <f ca="1">'204_军官任务'!I25</f>
        <v>185760</v>
      </c>
      <c r="G1833" s="1" t="str">
        <f ca="1" t="shared" si="549"/>
        <v/>
      </c>
      <c r="H1833" s="1">
        <f ca="1" t="shared" si="556"/>
        <v>185760</v>
      </c>
      <c r="I1833" s="1">
        <f ca="1" t="shared" si="550"/>
        <v>0</v>
      </c>
      <c r="J1833" s="78">
        <f ca="1" t="shared" si="551"/>
        <v>928800</v>
      </c>
      <c r="K1833" s="79">
        <f ca="1" t="shared" si="552"/>
        <v>320000</v>
      </c>
      <c r="L1833" s="79">
        <f ca="1" t="shared" si="560"/>
        <v>497174.808888889</v>
      </c>
      <c r="M1833" s="79">
        <f ca="1" t="shared" si="557"/>
        <v>74.5762213333333</v>
      </c>
      <c r="N1833" s="79">
        <f ca="1">养成规划!X25</f>
        <v>5</v>
      </c>
      <c r="O1833" s="79">
        <f ca="1" t="shared" si="553"/>
        <v>817174.808888889</v>
      </c>
      <c r="P1833" s="1">
        <f ca="1" t="shared" si="554"/>
        <v>1002934.80888889</v>
      </c>
      <c r="Q1833" s="1">
        <f ca="1" t="shared" si="558"/>
        <v>74134.8088888889</v>
      </c>
      <c r="R1833" s="1">
        <f ca="1" t="shared" si="555"/>
        <v>0.185216425188987</v>
      </c>
      <c r="S1833" s="1">
        <f ca="1" t="shared" si="559"/>
        <v>0.0739178740550644</v>
      </c>
      <c r="T1833" s="1">
        <f ca="1">OFFSET('116_阵营声望'!$A$6,MATCH(P1833,'116_阵营声望'!$D$6:$D$20,1)-1,0)</f>
        <v>3</v>
      </c>
      <c r="U1833" s="1">
        <f ca="1">VLOOKUP(T1833,'116_阵营声望'!$A$5:$D$20,4,0)</f>
        <v>928800</v>
      </c>
    </row>
    <row r="1834" spans="2:21">
      <c r="B1834" s="9">
        <v>6</v>
      </c>
      <c r="C1834" s="1" t="str">
        <f>IF(养成规划!L26="","",养成规划!L26)</f>
        <v/>
      </c>
      <c r="D1834" s="30"/>
      <c r="E1834" s="1" t="str">
        <f ca="1">IFERROR(OFFSET('116_阵营声望'!$D$6,MATCH(D1834,'116_阵营声望'!$A$6:$A$20,0)-1,0),"")</f>
        <v/>
      </c>
      <c r="F1834" s="15">
        <f ca="1">'204_军官任务'!I26</f>
        <v>207360</v>
      </c>
      <c r="G1834" s="1" t="str">
        <f ca="1" t="shared" si="549"/>
        <v/>
      </c>
      <c r="H1834" s="1">
        <f ca="1" t="shared" si="556"/>
        <v>207360</v>
      </c>
      <c r="I1834" s="1">
        <f ca="1" t="shared" si="550"/>
        <v>0</v>
      </c>
      <c r="J1834" s="78">
        <f ca="1" t="shared" si="551"/>
        <v>928800</v>
      </c>
      <c r="K1834" s="79">
        <f ca="1" t="shared" si="552"/>
        <v>320000</v>
      </c>
      <c r="L1834" s="79">
        <f ca="1" t="shared" si="560"/>
        <v>544057.742222222</v>
      </c>
      <c r="M1834" s="79">
        <f ca="1" t="shared" si="557"/>
        <v>81.6086613333333</v>
      </c>
      <c r="N1834" s="79">
        <f ca="1">养成规划!X26</f>
        <v>5</v>
      </c>
      <c r="O1834" s="79">
        <f ca="1" t="shared" si="553"/>
        <v>864057.742222222</v>
      </c>
      <c r="P1834" s="1">
        <f ca="1" t="shared" si="554"/>
        <v>1071417.74222222</v>
      </c>
      <c r="Q1834" s="1">
        <f ca="1" t="shared" si="558"/>
        <v>142617.742222222</v>
      </c>
      <c r="R1834" s="1">
        <f ca="1" t="shared" si="555"/>
        <v>0.193537956138299</v>
      </c>
      <c r="S1834" s="1">
        <f ca="1" t="shared" si="559"/>
        <v>0.133111238130535</v>
      </c>
      <c r="T1834" s="1">
        <f ca="1">OFFSET('116_阵营声望'!$A$6,MATCH(P1834,'116_阵营声望'!$D$6:$D$20,1)-1,0)</f>
        <v>3</v>
      </c>
      <c r="U1834" s="1">
        <f ca="1">VLOOKUP(T1834,'116_阵营声望'!$A$5:$D$20,4,0)</f>
        <v>928800</v>
      </c>
    </row>
    <row r="1835" spans="2:21">
      <c r="B1835" s="9">
        <v>6.5</v>
      </c>
      <c r="C1835" s="1" t="str">
        <f>IF(养成规划!L27="","",养成规划!L27)</f>
        <v/>
      </c>
      <c r="D1835" s="30"/>
      <c r="E1835" s="1" t="str">
        <f ca="1">IFERROR(OFFSET('116_阵营声望'!$D$6,MATCH(D1835,'116_阵营声望'!$A$6:$A$20,0)-1,0),"")</f>
        <v/>
      </c>
      <c r="F1835" s="15">
        <f ca="1">'204_军官任务'!I27</f>
        <v>228960</v>
      </c>
      <c r="G1835" s="1" t="str">
        <f ca="1" t="shared" si="549"/>
        <v/>
      </c>
      <c r="H1835" s="1">
        <f ca="1" t="shared" si="556"/>
        <v>228960</v>
      </c>
      <c r="I1835" s="1">
        <f ca="1" t="shared" si="550"/>
        <v>0</v>
      </c>
      <c r="J1835" s="78">
        <f ca="1" t="shared" si="551"/>
        <v>928800</v>
      </c>
      <c r="K1835" s="79">
        <f ca="1" t="shared" si="552"/>
        <v>320000</v>
      </c>
      <c r="L1835" s="79">
        <f ca="1" t="shared" si="560"/>
        <v>590940.675555556</v>
      </c>
      <c r="M1835" s="79">
        <f ca="1" t="shared" si="557"/>
        <v>88.6411013333333</v>
      </c>
      <c r="N1835" s="79">
        <f ca="1">养成规划!X27</f>
        <v>5</v>
      </c>
      <c r="O1835" s="79">
        <f ca="1" t="shared" si="553"/>
        <v>910940.675555556</v>
      </c>
      <c r="P1835" s="1">
        <f ca="1" t="shared" si="554"/>
        <v>1139900.67555556</v>
      </c>
      <c r="Q1835" s="1">
        <f ca="1" t="shared" si="558"/>
        <v>211100.675555556</v>
      </c>
      <c r="R1835" s="1">
        <f ca="1" t="shared" si="555"/>
        <v>0.200859605498884</v>
      </c>
      <c r="S1835" s="1">
        <f ca="1" t="shared" si="559"/>
        <v>0.185192166372453</v>
      </c>
      <c r="T1835" s="1">
        <f ca="1">OFFSET('116_阵营声望'!$A$6,MATCH(P1835,'116_阵营声望'!$D$6:$D$20,1)-1,0)</f>
        <v>3</v>
      </c>
      <c r="U1835" s="1">
        <f ca="1">VLOOKUP(T1835,'116_阵营声望'!$A$5:$D$20,4,0)</f>
        <v>928800</v>
      </c>
    </row>
    <row r="1836" spans="2:21">
      <c r="B1836" s="9">
        <v>7</v>
      </c>
      <c r="C1836" s="1">
        <f>IF(养成规划!L28="","",养成规划!L28)</f>
        <v>4</v>
      </c>
      <c r="D1836" s="30">
        <v>4</v>
      </c>
      <c r="E1836" s="1">
        <f ca="1">IFERROR(OFFSET('116_阵营声望'!$D$6,MATCH(D1836,'116_阵营声望'!$A$6:$A$20,0)-1,0),"")</f>
        <v>1576800</v>
      </c>
      <c r="F1836" s="15">
        <f ca="1">'204_军官任务'!I28</f>
        <v>293760</v>
      </c>
      <c r="G1836" s="1">
        <f ca="1" t="shared" si="549"/>
        <v>1576800</v>
      </c>
      <c r="H1836" s="1">
        <f ca="1" t="shared" si="556"/>
        <v>293760</v>
      </c>
      <c r="I1836" s="1">
        <f ca="1" t="shared" si="550"/>
        <v>1576800</v>
      </c>
      <c r="J1836" s="78">
        <f ca="1" t="shared" si="551"/>
        <v>1576800</v>
      </c>
      <c r="K1836" s="79">
        <f ca="1" t="shared" si="552"/>
        <v>720000</v>
      </c>
      <c r="L1836" s="79">
        <f ca="1" t="shared" si="560"/>
        <v>640271.608888889</v>
      </c>
      <c r="M1836" s="79">
        <f ca="1" t="shared" si="557"/>
        <v>96.0407413333333</v>
      </c>
      <c r="N1836" s="79">
        <f ca="1">养成规划!X28</f>
        <v>5.1</v>
      </c>
      <c r="O1836" s="79">
        <f ca="1" t="shared" si="553"/>
        <v>1360271.60888889</v>
      </c>
      <c r="P1836" s="1">
        <f ca="1" t="shared" si="554"/>
        <v>1654031.60888889</v>
      </c>
      <c r="Q1836" s="1">
        <f ca="1" t="shared" si="558"/>
        <v>77231.608888889</v>
      </c>
      <c r="R1836" s="1">
        <f ca="1" t="shared" si="555"/>
        <v>0.177602410027301</v>
      </c>
      <c r="S1836" s="1">
        <f ca="1" t="shared" si="559"/>
        <v>0.0466929461769899</v>
      </c>
      <c r="T1836" s="1">
        <f ca="1">OFFSET('116_阵营声望'!$A$6,MATCH(P1836,'116_阵营声望'!$D$6:$D$20,1)-1,0)</f>
        <v>4</v>
      </c>
      <c r="U1836" s="1">
        <f ca="1">VLOOKUP(T1836,'116_阵营声望'!$A$5:$D$20,4,0)</f>
        <v>1576800</v>
      </c>
    </row>
    <row r="1837" spans="2:21">
      <c r="B1837" s="10">
        <v>8</v>
      </c>
      <c r="C1837" s="1" t="str">
        <f>IF(养成规划!L29="","",养成规划!L29)</f>
        <v/>
      </c>
      <c r="D1837" s="30"/>
      <c r="E1837" s="1" t="str">
        <f ca="1">IFERROR(OFFSET('116_阵营声望'!$D$6,MATCH(D1837,'116_阵营声望'!$A$6:$A$20,0)-1,0),"")</f>
        <v/>
      </c>
      <c r="F1837" s="15">
        <f ca="1">'204_军官任务'!I29</f>
        <v>423360</v>
      </c>
      <c r="G1837" s="1" t="str">
        <f ca="1" t="shared" si="549"/>
        <v/>
      </c>
      <c r="H1837" s="1">
        <f ca="1" t="shared" si="556"/>
        <v>423360</v>
      </c>
      <c r="I1837" s="1">
        <f ca="1" t="shared" si="550"/>
        <v>0</v>
      </c>
      <c r="J1837" s="78">
        <f ca="1" t="shared" si="551"/>
        <v>1576800</v>
      </c>
      <c r="K1837" s="79">
        <f ca="1" t="shared" si="552"/>
        <v>720000</v>
      </c>
      <c r="L1837" s="79">
        <f ca="1" t="shared" si="560"/>
        <v>700035.875555555</v>
      </c>
      <c r="M1837" s="79">
        <f ca="1" t="shared" si="557"/>
        <v>105.005381333333</v>
      </c>
      <c r="N1837" s="79">
        <f ca="1">养成规划!X29</f>
        <v>5.1</v>
      </c>
      <c r="O1837" s="79">
        <f ca="1" t="shared" si="553"/>
        <v>1420035.87555556</v>
      </c>
      <c r="P1837" s="1">
        <f ca="1" t="shared" si="554"/>
        <v>1843395.87555556</v>
      </c>
      <c r="Q1837" s="1">
        <f ca="1" t="shared" si="558"/>
        <v>266595.875555555</v>
      </c>
      <c r="R1837" s="1">
        <f ca="1" t="shared" si="555"/>
        <v>0.229663093866047</v>
      </c>
      <c r="S1837" s="1">
        <f ca="1" t="shared" si="559"/>
        <v>0.144622150396865</v>
      </c>
      <c r="T1837" s="1">
        <f ca="1">OFFSET('116_阵营声望'!$A$6,MATCH(P1837,'116_阵营声望'!$D$6:$D$20,1)-1,0)</f>
        <v>4</v>
      </c>
      <c r="U1837" s="1">
        <f ca="1">VLOOKUP(T1837,'116_阵营声望'!$A$5:$D$20,4,0)</f>
        <v>1576800</v>
      </c>
    </row>
    <row r="1838" spans="2:21">
      <c r="B1838" s="10">
        <v>9</v>
      </c>
      <c r="C1838" s="1" t="str">
        <f>IF(养成规划!L30="","",养成规划!L30)</f>
        <v/>
      </c>
      <c r="D1838" s="30"/>
      <c r="E1838" s="1" t="str">
        <f ca="1">IFERROR(OFFSET('116_阵营声望'!$D$6,MATCH(D1838,'116_阵营声望'!$A$6:$A$20,0)-1,0),"")</f>
        <v/>
      </c>
      <c r="F1838" s="15">
        <f ca="1">'204_军官任务'!I30</f>
        <v>552960</v>
      </c>
      <c r="G1838" s="1" t="str">
        <f ca="1" t="shared" si="549"/>
        <v/>
      </c>
      <c r="H1838" s="1">
        <f ca="1" t="shared" si="556"/>
        <v>552960</v>
      </c>
      <c r="I1838" s="1">
        <f ca="1" t="shared" si="550"/>
        <v>0</v>
      </c>
      <c r="J1838" s="78">
        <f ca="1" t="shared" si="551"/>
        <v>1576800</v>
      </c>
      <c r="K1838" s="79">
        <f ca="1" t="shared" si="552"/>
        <v>720000</v>
      </c>
      <c r="L1838" s="79">
        <f ca="1" t="shared" si="560"/>
        <v>772950.923174603</v>
      </c>
      <c r="M1838" s="79">
        <f ca="1" t="shared" si="557"/>
        <v>115.94263847619</v>
      </c>
      <c r="N1838" s="79">
        <f ca="1">养成规划!X30</f>
        <v>5.1</v>
      </c>
      <c r="O1838" s="79">
        <f ca="1" t="shared" si="553"/>
        <v>1492950.9231746</v>
      </c>
      <c r="P1838" s="1">
        <f ca="1" t="shared" si="554"/>
        <v>2045910.9231746</v>
      </c>
      <c r="Q1838" s="1">
        <f ca="1" t="shared" si="558"/>
        <v>469110.923174603</v>
      </c>
      <c r="R1838" s="1">
        <f ca="1" t="shared" si="555"/>
        <v>0.270275696628073</v>
      </c>
      <c r="S1838" s="1">
        <f ca="1" t="shared" si="559"/>
        <v>0.22929195883401</v>
      </c>
      <c r="T1838" s="1">
        <f ca="1">OFFSET('116_阵营声望'!$A$6,MATCH(P1838,'116_阵营声望'!$D$6:$D$20,1)-1,0)</f>
        <v>4</v>
      </c>
      <c r="U1838" s="1">
        <f ca="1">VLOOKUP(T1838,'116_阵营声望'!$A$5:$D$20,4,0)</f>
        <v>1576800</v>
      </c>
    </row>
    <row r="1839" spans="2:21">
      <c r="B1839" s="10">
        <v>10</v>
      </c>
      <c r="C1839" s="1" t="str">
        <f>IF(养成规划!L31="","",养成规划!L31)</f>
        <v/>
      </c>
      <c r="D1839" s="30"/>
      <c r="E1839" s="1" t="str">
        <f ca="1">IFERROR(OFFSET('116_阵营声望'!$D$6,MATCH(D1839,'116_阵营声望'!$A$6:$A$20,0)-1,0),"")</f>
        <v/>
      </c>
      <c r="F1839" s="15">
        <f ca="1">'204_军官任务'!I31</f>
        <v>682560</v>
      </c>
      <c r="G1839" s="1" t="str">
        <f ca="1" t="shared" si="549"/>
        <v/>
      </c>
      <c r="H1839" s="1">
        <f ca="1" t="shared" si="556"/>
        <v>682560</v>
      </c>
      <c r="I1839" s="1">
        <f ca="1" t="shared" si="550"/>
        <v>0</v>
      </c>
      <c r="J1839" s="78">
        <f ca="1" t="shared" si="551"/>
        <v>1576800</v>
      </c>
      <c r="K1839" s="79">
        <f ca="1" t="shared" si="552"/>
        <v>720000</v>
      </c>
      <c r="L1839" s="79">
        <f ca="1" t="shared" si="560"/>
        <v>845968.370793651</v>
      </c>
      <c r="M1839" s="79">
        <f ca="1" t="shared" si="557"/>
        <v>126.895255619048</v>
      </c>
      <c r="N1839" s="79">
        <f ca="1">养成规划!X31</f>
        <v>5.1</v>
      </c>
      <c r="O1839" s="79">
        <f ca="1" t="shared" si="553"/>
        <v>1565968.37079365</v>
      </c>
      <c r="P1839" s="1">
        <f ca="1" t="shared" si="554"/>
        <v>2248528.37079365</v>
      </c>
      <c r="Q1839" s="1">
        <f ca="1" t="shared" si="558"/>
        <v>671728.370793651</v>
      </c>
      <c r="R1839" s="1">
        <f ca="1" t="shared" si="555"/>
        <v>0.30355854472011</v>
      </c>
      <c r="S1839" s="1">
        <f ca="1" t="shared" si="559"/>
        <v>0.298741336564303</v>
      </c>
      <c r="T1839" s="1">
        <f ca="1">OFFSET('116_阵营声望'!$A$6,MATCH(P1839,'116_阵营声望'!$D$6:$D$20,1)-1,0)</f>
        <v>4</v>
      </c>
      <c r="U1839" s="1">
        <f ca="1">VLOOKUP(T1839,'116_阵营声望'!$A$5:$D$20,4,0)</f>
        <v>1576800</v>
      </c>
    </row>
    <row r="1840" spans="2:21">
      <c r="B1840" s="10">
        <v>11</v>
      </c>
      <c r="C1840" s="1" t="str">
        <f>IF(养成规划!L32="","",养成规划!L32)</f>
        <v/>
      </c>
      <c r="D1840" s="30"/>
      <c r="E1840" s="1" t="str">
        <f ca="1">IFERROR(OFFSET('116_阵营声望'!$D$6,MATCH(D1840,'116_阵营声望'!$A$6:$A$20,0)-1,0),"")</f>
        <v/>
      </c>
      <c r="F1840" s="15">
        <f ca="1">'204_军官任务'!I32</f>
        <v>812160</v>
      </c>
      <c r="G1840" s="1" t="str">
        <f ca="1" t="shared" si="549"/>
        <v/>
      </c>
      <c r="H1840" s="1">
        <f ca="1" t="shared" si="556"/>
        <v>812160</v>
      </c>
      <c r="I1840" s="1">
        <f ca="1" t="shared" si="550"/>
        <v>0</v>
      </c>
      <c r="J1840" s="78">
        <f ca="1" t="shared" si="551"/>
        <v>1576800</v>
      </c>
      <c r="K1840" s="79">
        <f ca="1" t="shared" si="552"/>
        <v>720000</v>
      </c>
      <c r="L1840" s="79">
        <f ca="1" t="shared" si="560"/>
        <v>919081.818412698</v>
      </c>
      <c r="M1840" s="79">
        <f ca="1" t="shared" si="557"/>
        <v>137.862272761905</v>
      </c>
      <c r="N1840" s="79">
        <f ca="1">养成规划!X32</f>
        <v>5.1</v>
      </c>
      <c r="O1840" s="79">
        <f ca="1" t="shared" si="553"/>
        <v>1639081.8184127</v>
      </c>
      <c r="P1840" s="1">
        <f ca="1" t="shared" si="554"/>
        <v>2451241.8184127</v>
      </c>
      <c r="Q1840" s="1">
        <f ca="1" t="shared" si="558"/>
        <v>874441.818412698</v>
      </c>
      <c r="R1840" s="1">
        <f ca="1" t="shared" si="555"/>
        <v>0.331325940141603</v>
      </c>
      <c r="S1840" s="1">
        <f ca="1" t="shared" si="559"/>
        <v>0.356734211959122</v>
      </c>
      <c r="T1840" s="1">
        <f ca="1">OFFSET('116_阵营声望'!$A$6,MATCH(P1840,'116_阵营声望'!$D$6:$D$20,1)-1,0)</f>
        <v>4</v>
      </c>
      <c r="U1840" s="1">
        <f ca="1">VLOOKUP(T1840,'116_阵营声望'!$A$5:$D$20,4,0)</f>
        <v>1576800</v>
      </c>
    </row>
    <row r="1841" spans="2:21">
      <c r="B1841" s="10">
        <v>12</v>
      </c>
      <c r="C1841" s="1" t="str">
        <f>IF(养成规划!L33="","",养成规划!L33)</f>
        <v/>
      </c>
      <c r="D1841" s="30"/>
      <c r="E1841" s="1" t="str">
        <f ca="1">IFERROR(OFFSET('116_阵营声望'!$D$6,MATCH(D1841,'116_阵营声望'!$A$6:$A$20,0)-1,0),"")</f>
        <v/>
      </c>
      <c r="F1841" s="15">
        <f ca="1">'204_军官任务'!I33</f>
        <v>941760</v>
      </c>
      <c r="G1841" s="1" t="str">
        <f ca="1" t="shared" si="549"/>
        <v/>
      </c>
      <c r="H1841" s="1">
        <f ca="1" t="shared" si="556"/>
        <v>941760</v>
      </c>
      <c r="I1841" s="1">
        <f ca="1" t="shared" si="550"/>
        <v>0</v>
      </c>
      <c r="J1841" s="78">
        <f ca="1" t="shared" si="551"/>
        <v>1576800</v>
      </c>
      <c r="K1841" s="79">
        <f ca="1" t="shared" si="552"/>
        <v>720000</v>
      </c>
      <c r="L1841" s="79">
        <f ca="1" t="shared" si="560"/>
        <v>992297.666031746</v>
      </c>
      <c r="M1841" s="79">
        <f ca="1" t="shared" si="557"/>
        <v>148.844649904762</v>
      </c>
      <c r="N1841" s="79">
        <f ca="1">养成规划!X33</f>
        <v>5.1</v>
      </c>
      <c r="O1841" s="79">
        <f ca="1" t="shared" si="553"/>
        <v>1712297.66603175</v>
      </c>
      <c r="P1841" s="1">
        <f ca="1" t="shared" si="554"/>
        <v>2654057.66603175</v>
      </c>
      <c r="Q1841" s="1">
        <f ca="1" t="shared" si="558"/>
        <v>1077257.66603175</v>
      </c>
      <c r="R1841" s="1">
        <f ca="1" t="shared" si="555"/>
        <v>0.354837806296834</v>
      </c>
      <c r="S1841" s="1">
        <f ca="1" t="shared" si="559"/>
        <v>0.405890828906677</v>
      </c>
      <c r="T1841" s="1">
        <f ca="1">OFFSET('116_阵营声望'!$A$6,MATCH(P1841,'116_阵营声望'!$D$6:$D$20,1)-1,0)</f>
        <v>4</v>
      </c>
      <c r="U1841" s="1">
        <f ca="1">VLOOKUP(T1841,'116_阵营声望'!$A$5:$D$20,4,0)</f>
        <v>1576800</v>
      </c>
    </row>
    <row r="1842" spans="2:21">
      <c r="B1842" s="10">
        <v>13</v>
      </c>
      <c r="C1842" s="1" t="str">
        <f>IF(养成规划!L34="","",养成规划!L34)</f>
        <v/>
      </c>
      <c r="D1842" s="30"/>
      <c r="E1842" s="1" t="str">
        <f ca="1">IFERROR(OFFSET('116_阵营声望'!$D$6,MATCH(D1842,'116_阵营声望'!$A$6:$A$20,0)-1,0),"")</f>
        <v/>
      </c>
      <c r="F1842" s="15">
        <f ca="1">'204_军官任务'!I34</f>
        <v>1071360</v>
      </c>
      <c r="G1842" s="1" t="str">
        <f ca="1" t="shared" si="549"/>
        <v/>
      </c>
      <c r="H1842" s="1">
        <f ca="1" t="shared" si="556"/>
        <v>1071360</v>
      </c>
      <c r="I1842" s="1">
        <f ca="1" t="shared" si="550"/>
        <v>0</v>
      </c>
      <c r="J1842" s="78">
        <f ca="1" t="shared" si="551"/>
        <v>1576800</v>
      </c>
      <c r="K1842" s="79">
        <f ca="1" t="shared" si="552"/>
        <v>720000</v>
      </c>
      <c r="L1842" s="79">
        <f ca="1" t="shared" si="560"/>
        <v>1065711.91365079</v>
      </c>
      <c r="M1842" s="79">
        <f ca="1" t="shared" si="557"/>
        <v>159.856787047619</v>
      </c>
      <c r="N1842" s="79">
        <f ca="1">养成规划!X34</f>
        <v>5.1</v>
      </c>
      <c r="O1842" s="79">
        <f ca="1" t="shared" si="553"/>
        <v>1785711.91365079</v>
      </c>
      <c r="P1842" s="1">
        <f ca="1" t="shared" si="554"/>
        <v>2857071.91365079</v>
      </c>
      <c r="Q1842" s="1">
        <f ca="1" t="shared" si="558"/>
        <v>1280271.91365079</v>
      </c>
      <c r="R1842" s="1">
        <f ca="1" t="shared" si="555"/>
        <v>0.374985310968601</v>
      </c>
      <c r="S1842" s="1">
        <f ca="1" t="shared" si="559"/>
        <v>0.448106296356696</v>
      </c>
      <c r="T1842" s="1">
        <f ca="1">OFFSET('116_阵营声望'!$A$6,MATCH(P1842,'116_阵营声望'!$D$6:$D$20,1)-1,0)</f>
        <v>4</v>
      </c>
      <c r="U1842" s="1">
        <f ca="1">VLOOKUP(T1842,'116_阵营声望'!$A$5:$D$20,4,0)</f>
        <v>1576800</v>
      </c>
    </row>
    <row r="1843" spans="2:21">
      <c r="B1843" s="10">
        <v>14</v>
      </c>
      <c r="C1843" s="1">
        <f>IF(养成规划!L35="","",养成规划!L35)</f>
        <v>5</v>
      </c>
      <c r="D1843" s="30">
        <v>5</v>
      </c>
      <c r="E1843" s="1">
        <f ca="1">IFERROR(OFFSET('116_阵营声望'!$D$6,MATCH(D1843,'116_阵营声望'!$A$6:$A$20,0)-1,0),"")</f>
        <v>2872800</v>
      </c>
      <c r="F1843" s="15">
        <f ca="1">'204_军官任务'!I35</f>
        <v>1200960</v>
      </c>
      <c r="G1843" s="1">
        <f ca="1" t="shared" si="549"/>
        <v>2872800</v>
      </c>
      <c r="H1843" s="1">
        <f ca="1" t="shared" si="556"/>
        <v>1200960</v>
      </c>
      <c r="I1843" s="1">
        <f ca="1" t="shared" si="550"/>
        <v>2872800</v>
      </c>
      <c r="J1843" s="78">
        <f ca="1" t="shared" si="551"/>
        <v>2872800</v>
      </c>
      <c r="K1843" s="79">
        <f ca="1" t="shared" si="552"/>
        <v>720000</v>
      </c>
      <c r="L1843" s="79">
        <f ca="1" t="shared" si="560"/>
        <v>1139228.56126984</v>
      </c>
      <c r="M1843" s="79">
        <f ca="1" t="shared" si="557"/>
        <v>170.884284190476</v>
      </c>
      <c r="N1843" s="79">
        <f ca="1">养成规划!X35</f>
        <v>5.1</v>
      </c>
      <c r="O1843" s="79">
        <f ca="1" t="shared" si="553"/>
        <v>1859228.56126984</v>
      </c>
      <c r="P1843" s="1">
        <f ca="1" t="shared" si="554"/>
        <v>3060188.56126984</v>
      </c>
      <c r="Q1843" s="1">
        <f ca="1" t="shared" si="558"/>
        <v>187388.561269841</v>
      </c>
      <c r="R1843" s="1">
        <f ca="1" t="shared" si="555"/>
        <v>0.392446405165849</v>
      </c>
      <c r="S1843" s="1">
        <f ca="1" t="shared" si="559"/>
        <v>0.0612343185780955</v>
      </c>
      <c r="T1843" s="1">
        <f ca="1">OFFSET('116_阵营声望'!$A$6,MATCH(P1843,'116_阵营声望'!$D$6:$D$20,1)-1,0)</f>
        <v>5</v>
      </c>
      <c r="U1843" s="1">
        <f ca="1">VLOOKUP(T1843,'116_阵营声望'!$A$5:$D$20,4,0)</f>
        <v>2872800</v>
      </c>
    </row>
    <row r="1844" spans="2:21">
      <c r="B1844" s="10">
        <v>15</v>
      </c>
      <c r="C1844" s="1" t="str">
        <f>IF(养成规划!L36="","",养成规划!L36)</f>
        <v/>
      </c>
      <c r="D1844" s="30"/>
      <c r="E1844" s="1" t="str">
        <f ca="1">IFERROR(OFFSET('116_阵营声望'!$D$6,MATCH(D1844,'116_阵营声望'!$A$6:$A$20,0)-1,0),"")</f>
        <v/>
      </c>
      <c r="F1844" s="15">
        <f ca="1">'204_军官任务'!I36</f>
        <v>1330560</v>
      </c>
      <c r="G1844" s="1" t="str">
        <f ca="1" t="shared" si="549"/>
        <v/>
      </c>
      <c r="H1844" s="1">
        <f ca="1" t="shared" si="556"/>
        <v>1330560</v>
      </c>
      <c r="I1844" s="1">
        <f ca="1" t="shared" si="550"/>
        <v>0</v>
      </c>
      <c r="J1844" s="78">
        <f ca="1" t="shared" si="551"/>
        <v>2872800</v>
      </c>
      <c r="K1844" s="79">
        <f ca="1" t="shared" si="552"/>
        <v>720000</v>
      </c>
      <c r="L1844" s="79">
        <f ca="1" t="shared" si="560"/>
        <v>1241514.27555556</v>
      </c>
      <c r="M1844" s="79">
        <f ca="1" t="shared" si="557"/>
        <v>186.227141333333</v>
      </c>
      <c r="N1844" s="79">
        <f ca="1">养成规划!X36</f>
        <v>5.1</v>
      </c>
      <c r="O1844" s="79">
        <f ca="1" t="shared" si="553"/>
        <v>1961514.27555556</v>
      </c>
      <c r="P1844" s="1">
        <f ca="1" t="shared" si="554"/>
        <v>3292074.27555556</v>
      </c>
      <c r="Q1844" s="1">
        <f ca="1" t="shared" si="558"/>
        <v>419274.275555555</v>
      </c>
      <c r="R1844" s="1">
        <f ca="1" t="shared" si="555"/>
        <v>0.404170710812854</v>
      </c>
      <c r="S1844" s="1">
        <f ca="1" t="shared" si="559"/>
        <v>0.127358692563156</v>
      </c>
      <c r="T1844" s="1">
        <f ca="1">OFFSET('116_阵营声望'!$A$6,MATCH(P1844,'116_阵营声望'!$D$6:$D$20,1)-1,0)</f>
        <v>5</v>
      </c>
      <c r="U1844" s="1">
        <f ca="1">VLOOKUP(T1844,'116_阵营声望'!$A$5:$D$20,4,0)</f>
        <v>2872800</v>
      </c>
    </row>
    <row r="1845" spans="2:21">
      <c r="B1845" s="10">
        <v>16</v>
      </c>
      <c r="C1845" s="1" t="str">
        <f>IF(养成规划!L37="","",养成规划!L37)</f>
        <v/>
      </c>
      <c r="D1845" s="30"/>
      <c r="E1845" s="1" t="str">
        <f ca="1">IFERROR(OFFSET('116_阵营声望'!$D$6,MATCH(D1845,'116_阵营声望'!$A$6:$A$20,0)-1,0),"")</f>
        <v/>
      </c>
      <c r="F1845" s="15">
        <f ca="1">'204_军官任务'!I37</f>
        <v>1460160</v>
      </c>
      <c r="G1845" s="1" t="str">
        <f ca="1" t="shared" si="549"/>
        <v/>
      </c>
      <c r="H1845" s="1">
        <f ca="1" t="shared" si="556"/>
        <v>1460160</v>
      </c>
      <c r="I1845" s="1">
        <f ca="1" t="shared" si="550"/>
        <v>0</v>
      </c>
      <c r="J1845" s="78">
        <f ca="1" t="shared" si="551"/>
        <v>2872800</v>
      </c>
      <c r="K1845" s="79">
        <f ca="1" t="shared" si="552"/>
        <v>720000</v>
      </c>
      <c r="L1845" s="79">
        <f ca="1" t="shared" si="560"/>
        <v>1343895.98984127</v>
      </c>
      <c r="M1845" s="79">
        <f ca="1" t="shared" si="557"/>
        <v>201.58439847619</v>
      </c>
      <c r="N1845" s="79">
        <f ca="1">养成规划!X37</f>
        <v>5.1</v>
      </c>
      <c r="O1845" s="79">
        <f ca="1" t="shared" si="553"/>
        <v>2063895.98984127</v>
      </c>
      <c r="P1845" s="1">
        <f ca="1" t="shared" si="554"/>
        <v>3524055.98984127</v>
      </c>
      <c r="Q1845" s="1">
        <f ca="1" t="shared" si="558"/>
        <v>651255.989841269</v>
      </c>
      <c r="R1845" s="1">
        <f ca="1" t="shared" si="555"/>
        <v>0.41434074946856</v>
      </c>
      <c r="S1845" s="1">
        <f ca="1" t="shared" si="559"/>
        <v>0.184802963323691</v>
      </c>
      <c r="T1845" s="1">
        <f ca="1">OFFSET('116_阵营声望'!$A$6,MATCH(P1845,'116_阵营声望'!$D$6:$D$20,1)-1,0)</f>
        <v>5</v>
      </c>
      <c r="U1845" s="1">
        <f ca="1">VLOOKUP(T1845,'116_阵营声望'!$A$5:$D$20,4,0)</f>
        <v>2872800</v>
      </c>
    </row>
    <row r="1846" spans="2:21">
      <c r="B1846" s="10">
        <v>17</v>
      </c>
      <c r="C1846" s="1" t="str">
        <f>IF(养成规划!L38="","",养成规划!L38)</f>
        <v/>
      </c>
      <c r="D1846" s="30"/>
      <c r="E1846" s="1" t="str">
        <f ca="1">IFERROR(OFFSET('116_阵营声望'!$D$6,MATCH(D1846,'116_阵营声望'!$A$6:$A$20,0)-1,0),"")</f>
        <v/>
      </c>
      <c r="F1846" s="15">
        <f ca="1">'204_军官任务'!I38</f>
        <v>1589760</v>
      </c>
      <c r="G1846" s="1" t="str">
        <f ca="1" t="shared" ref="G1846:G1877" si="561">E1846</f>
        <v/>
      </c>
      <c r="H1846" s="1">
        <f ca="1" t="shared" si="556"/>
        <v>1589760</v>
      </c>
      <c r="I1846" s="1">
        <f ca="1" t="shared" ref="I1846:I1877" si="562">SUM(G1846:G1846)</f>
        <v>0</v>
      </c>
      <c r="J1846" s="78">
        <f ca="1" t="shared" ref="J1846:J1877" si="563">IF(G1846="",INDIRECT(ADDRESS(ROW()-1,COLUMN())),G1846)</f>
        <v>2872800</v>
      </c>
      <c r="K1846" s="79">
        <f ca="1" t="shared" ref="K1846:K1877" si="564">IFERROR(OFFSET($Q$1794,MATCH(N1846,$B$1794:$B$1802,0)-1,0),0)</f>
        <v>720000</v>
      </c>
      <c r="L1846" s="79">
        <f ca="1" t="shared" si="560"/>
        <v>1446380.10412698</v>
      </c>
      <c r="M1846" s="79">
        <f ca="1" t="shared" si="557"/>
        <v>216.957015619048</v>
      </c>
      <c r="N1846" s="79">
        <f ca="1">养成规划!X38</f>
        <v>5.1</v>
      </c>
      <c r="O1846" s="79">
        <f ca="1" t="shared" ref="O1846:O1877" si="565">K1846+L1846</f>
        <v>2166380.10412698</v>
      </c>
      <c r="P1846" s="1">
        <f ca="1" t="shared" ref="P1846:P1877" si="566">O1846+H1846</f>
        <v>3756140.10412698</v>
      </c>
      <c r="Q1846" s="1">
        <f ca="1" t="shared" si="558"/>
        <v>883340.104126984</v>
      </c>
      <c r="R1846" s="1">
        <f ca="1" t="shared" ref="R1846:R1877" si="567">IFERROR(H1846/P1846,0)</f>
        <v>0.423242998378384</v>
      </c>
      <c r="S1846" s="1">
        <f ca="1" t="shared" si="559"/>
        <v>0.235172299126018</v>
      </c>
      <c r="T1846" s="1">
        <f ca="1">OFFSET('116_阵营声望'!$A$6,MATCH(P1846,'116_阵营声望'!$D$6:$D$20,1)-1,0)</f>
        <v>5</v>
      </c>
      <c r="U1846" s="1">
        <f ca="1">VLOOKUP(T1846,'116_阵营声望'!$A$5:$D$20,4,0)</f>
        <v>2872800</v>
      </c>
    </row>
    <row r="1847" spans="2:21">
      <c r="B1847" s="10">
        <v>18</v>
      </c>
      <c r="C1847" s="1" t="str">
        <f>IF(养成规划!L39="","",养成规划!L39)</f>
        <v/>
      </c>
      <c r="D1847" s="30"/>
      <c r="E1847" s="1" t="str">
        <f ca="1">IFERROR(OFFSET('116_阵营声望'!$D$6,MATCH(D1847,'116_阵营声望'!$A$6:$A$20,0)-1,0),"")</f>
        <v/>
      </c>
      <c r="F1847" s="15">
        <f ca="1">'204_军官任务'!I39</f>
        <v>1719360</v>
      </c>
      <c r="G1847" s="1" t="str">
        <f ca="1" t="shared" si="561"/>
        <v/>
      </c>
      <c r="H1847" s="1">
        <f ca="1" t="shared" si="556"/>
        <v>1719360</v>
      </c>
      <c r="I1847" s="1">
        <f ca="1" t="shared" si="562"/>
        <v>0</v>
      </c>
      <c r="J1847" s="78">
        <f ca="1" t="shared" si="563"/>
        <v>2872800</v>
      </c>
      <c r="K1847" s="79">
        <f ca="1" t="shared" si="564"/>
        <v>1160000</v>
      </c>
      <c r="L1847" s="79">
        <f ca="1" t="shared" si="560"/>
        <v>1548960.2184127</v>
      </c>
      <c r="M1847" s="79">
        <f ca="1" t="shared" si="557"/>
        <v>232.344032761905</v>
      </c>
      <c r="N1847" s="79">
        <f ca="1">养成规划!X39</f>
        <v>6</v>
      </c>
      <c r="O1847" s="79">
        <f ca="1" t="shared" si="565"/>
        <v>2708960.2184127</v>
      </c>
      <c r="P1847" s="1">
        <f ca="1" t="shared" si="566"/>
        <v>4428320.2184127</v>
      </c>
      <c r="Q1847" s="1">
        <f ca="1" t="shared" si="558"/>
        <v>1555520.2184127</v>
      </c>
      <c r="R1847" s="1">
        <f ca="1" t="shared" si="567"/>
        <v>0.388264604906168</v>
      </c>
      <c r="S1847" s="1">
        <f ca="1" t="shared" si="559"/>
        <v>0.351266426475876</v>
      </c>
      <c r="T1847" s="1">
        <f ca="1">OFFSET('116_阵营声望'!$A$6,MATCH(P1847,'116_阵营声望'!$D$6:$D$20,1)-1,0)</f>
        <v>5</v>
      </c>
      <c r="U1847" s="1">
        <f ca="1">VLOOKUP(T1847,'116_阵营声望'!$A$5:$D$20,4,0)</f>
        <v>2872800</v>
      </c>
    </row>
    <row r="1848" spans="2:21">
      <c r="B1848" s="10">
        <v>19</v>
      </c>
      <c r="C1848" s="1" t="str">
        <f>IF(养成规划!L40="","",养成规划!L40)</f>
        <v/>
      </c>
      <c r="D1848" s="30">
        <v>6</v>
      </c>
      <c r="E1848" s="1">
        <f ca="1">IFERROR(OFFSET('116_阵营声望'!$D$6,MATCH(D1848,'116_阵营声望'!$A$6:$A$20,0)-1,0),"")</f>
        <v>4492800</v>
      </c>
      <c r="F1848" s="15">
        <f ca="1">'204_军官任务'!I40</f>
        <v>1848960</v>
      </c>
      <c r="G1848" s="1">
        <f ca="1" t="shared" si="561"/>
        <v>4492800</v>
      </c>
      <c r="H1848" s="1">
        <f ca="1" t="shared" si="556"/>
        <v>1848960</v>
      </c>
      <c r="I1848" s="1">
        <f ca="1" t="shared" si="562"/>
        <v>4492800</v>
      </c>
      <c r="J1848" s="78">
        <f ca="1" t="shared" si="563"/>
        <v>4492800</v>
      </c>
      <c r="K1848" s="79">
        <f ca="1" t="shared" si="564"/>
        <v>1160000</v>
      </c>
      <c r="L1848" s="79">
        <f ca="1" t="shared" si="560"/>
        <v>1651642.73269841</v>
      </c>
      <c r="M1848" s="79">
        <f ca="1" t="shared" si="557"/>
        <v>247.746409904762</v>
      </c>
      <c r="N1848" s="79">
        <f ca="1">养成规划!X40</f>
        <v>6</v>
      </c>
      <c r="O1848" s="79">
        <f ca="1" t="shared" si="565"/>
        <v>2811642.73269841</v>
      </c>
      <c r="P1848" s="1">
        <f ca="1" t="shared" si="566"/>
        <v>4660602.73269841</v>
      </c>
      <c r="Q1848" s="1">
        <f ca="1" t="shared" si="558"/>
        <v>167802.732698413</v>
      </c>
      <c r="R1848" s="1">
        <f ca="1" t="shared" si="567"/>
        <v>0.396721219559832</v>
      </c>
      <c r="S1848" s="1">
        <f ca="1" t="shared" si="559"/>
        <v>0.0360045132190998</v>
      </c>
      <c r="T1848" s="1">
        <f ca="1">OFFSET('116_阵营声望'!$A$6,MATCH(P1848,'116_阵营声望'!$D$6:$D$20,1)-1,0)</f>
        <v>6</v>
      </c>
      <c r="U1848" s="1">
        <f ca="1">VLOOKUP(T1848,'116_阵营声望'!$A$5:$D$20,4,0)</f>
        <v>4492800</v>
      </c>
    </row>
    <row r="1849" spans="2:21">
      <c r="B1849" s="10">
        <v>20</v>
      </c>
      <c r="C1849" s="1" t="str">
        <f>IF(养成规划!L41="","",养成规划!L41)</f>
        <v/>
      </c>
      <c r="D1849" s="30"/>
      <c r="E1849" s="1" t="str">
        <f ca="1">IFERROR(OFFSET('116_阵营声望'!$D$6,MATCH(D1849,'116_阵营声望'!$A$6:$A$20,0)-1,0),"")</f>
        <v/>
      </c>
      <c r="F1849" s="15">
        <f ca="1">'204_军官任务'!I41</f>
        <v>1978560</v>
      </c>
      <c r="G1849" s="1" t="str">
        <f ca="1" t="shared" si="561"/>
        <v/>
      </c>
      <c r="H1849" s="1">
        <f ca="1" t="shared" si="556"/>
        <v>1978560</v>
      </c>
      <c r="I1849" s="1">
        <f ca="1" t="shared" si="562"/>
        <v>0</v>
      </c>
      <c r="J1849" s="78">
        <f ca="1" t="shared" si="563"/>
        <v>4492800</v>
      </c>
      <c r="K1849" s="79">
        <f ca="1" t="shared" si="564"/>
        <v>1160000</v>
      </c>
      <c r="L1849" s="79">
        <f ca="1" t="shared" si="560"/>
        <v>1761538.75809524</v>
      </c>
      <c r="M1849" s="79">
        <f ca="1" t="shared" si="557"/>
        <v>264.230813714286</v>
      </c>
      <c r="N1849" s="79">
        <f ca="1">养成规划!X41</f>
        <v>6</v>
      </c>
      <c r="O1849" s="79">
        <f ca="1" t="shared" si="565"/>
        <v>2921538.75809524</v>
      </c>
      <c r="P1849" s="1">
        <f ca="1" t="shared" si="566"/>
        <v>4900098.75809524</v>
      </c>
      <c r="Q1849" s="1">
        <f ca="1" t="shared" si="558"/>
        <v>407298.758095238</v>
      </c>
      <c r="R1849" s="1">
        <f ca="1" t="shared" si="567"/>
        <v>0.403779617039617</v>
      </c>
      <c r="S1849" s="1">
        <f ca="1" t="shared" si="559"/>
        <v>0.0831205202593841</v>
      </c>
      <c r="T1849" s="1">
        <f ca="1">OFFSET('116_阵营声望'!$A$6,MATCH(P1849,'116_阵营声望'!$D$6:$D$20,1)-1,0)</f>
        <v>6</v>
      </c>
      <c r="U1849" s="1">
        <f ca="1">VLOOKUP(T1849,'116_阵营声望'!$A$5:$D$20,4,0)</f>
        <v>4492800</v>
      </c>
    </row>
    <row r="1850" spans="2:21">
      <c r="B1850" s="10">
        <v>21</v>
      </c>
      <c r="C1850" s="1" t="str">
        <f>IF(养成规划!L42="","",养成规划!L42)</f>
        <v/>
      </c>
      <c r="D1850" s="30"/>
      <c r="E1850" s="1" t="str">
        <f ca="1">IFERROR(OFFSET('116_阵营声望'!$D$6,MATCH(D1850,'116_阵营声望'!$A$6:$A$20,0)-1,0),"")</f>
        <v/>
      </c>
      <c r="F1850" s="15">
        <f ca="1">'204_军官任务'!I42</f>
        <v>2108160</v>
      </c>
      <c r="G1850" s="1" t="str">
        <f ca="1" t="shared" si="561"/>
        <v/>
      </c>
      <c r="H1850" s="1">
        <f ca="1" t="shared" si="556"/>
        <v>2108160</v>
      </c>
      <c r="I1850" s="1">
        <f ca="1" t="shared" si="562"/>
        <v>0</v>
      </c>
      <c r="J1850" s="78">
        <f ca="1" t="shared" si="563"/>
        <v>4492800</v>
      </c>
      <c r="K1850" s="79">
        <f ca="1" t="shared" si="564"/>
        <v>1160000</v>
      </c>
      <c r="L1850" s="79">
        <f ca="1" t="shared" si="560"/>
        <v>1871530.78349206</v>
      </c>
      <c r="M1850" s="79">
        <f ca="1" t="shared" si="557"/>
        <v>280.72961752381</v>
      </c>
      <c r="N1850" s="79">
        <f ca="1">养成规划!X42</f>
        <v>6</v>
      </c>
      <c r="O1850" s="79">
        <f ca="1" t="shared" si="565"/>
        <v>3031530.78349206</v>
      </c>
      <c r="P1850" s="1">
        <f ca="1" t="shared" si="566"/>
        <v>5139690.78349206</v>
      </c>
      <c r="Q1850" s="1">
        <f ca="1" t="shared" si="558"/>
        <v>646890.783492063</v>
      </c>
      <c r="R1850" s="1">
        <f ca="1" t="shared" si="567"/>
        <v>0.410172535431723</v>
      </c>
      <c r="S1850" s="1">
        <f ca="1" t="shared" si="559"/>
        <v>0.125861809735672</v>
      </c>
      <c r="T1850" s="1">
        <f ca="1">OFFSET('116_阵营声望'!$A$6,MATCH(P1850,'116_阵营声望'!$D$6:$D$20,1)-1,0)</f>
        <v>6</v>
      </c>
      <c r="U1850" s="1">
        <f ca="1">VLOOKUP(T1850,'116_阵营声望'!$A$5:$D$20,4,0)</f>
        <v>4492800</v>
      </c>
    </row>
    <row r="1851" spans="2:21">
      <c r="B1851" s="10">
        <v>22</v>
      </c>
      <c r="C1851" s="1" t="str">
        <f>IF(养成规划!L43="","",养成规划!L43)</f>
        <v/>
      </c>
      <c r="D1851" s="30"/>
      <c r="E1851" s="1" t="str">
        <f ca="1">IFERROR(OFFSET('116_阵营声望'!$D$6,MATCH(D1851,'116_阵营声望'!$A$6:$A$20,0)-1,0),"")</f>
        <v/>
      </c>
      <c r="F1851" s="15">
        <f ca="1">'204_军官任务'!I43</f>
        <v>2237760</v>
      </c>
      <c r="G1851" s="1" t="str">
        <f ca="1" t="shared" si="561"/>
        <v/>
      </c>
      <c r="H1851" s="1">
        <f ca="1" t="shared" si="556"/>
        <v>2237760</v>
      </c>
      <c r="I1851" s="1">
        <f ca="1" t="shared" si="562"/>
        <v>0</v>
      </c>
      <c r="J1851" s="78">
        <f ca="1" t="shared" si="563"/>
        <v>4492800</v>
      </c>
      <c r="K1851" s="79">
        <f ca="1" t="shared" si="564"/>
        <v>1160000</v>
      </c>
      <c r="L1851" s="79">
        <f ca="1" t="shared" si="560"/>
        <v>1981625.20888889</v>
      </c>
      <c r="M1851" s="79">
        <f ca="1" t="shared" si="557"/>
        <v>297.243781333333</v>
      </c>
      <c r="N1851" s="79">
        <f ca="1">养成规划!X43</f>
        <v>6</v>
      </c>
      <c r="O1851" s="79">
        <f ca="1" t="shared" si="565"/>
        <v>3141625.20888889</v>
      </c>
      <c r="P1851" s="1">
        <f ca="1" t="shared" si="566"/>
        <v>5379385.20888889</v>
      </c>
      <c r="Q1851" s="1">
        <f ca="1" t="shared" si="558"/>
        <v>886585.208888889</v>
      </c>
      <c r="R1851" s="1">
        <f ca="1" t="shared" si="567"/>
        <v>0.415988056832652</v>
      </c>
      <c r="S1851" s="1">
        <f ca="1" t="shared" si="559"/>
        <v>0.164811623347571</v>
      </c>
      <c r="T1851" s="1">
        <f ca="1">OFFSET('116_阵营声望'!$A$6,MATCH(P1851,'116_阵营声望'!$D$6:$D$20,1)-1,0)</f>
        <v>6</v>
      </c>
      <c r="U1851" s="1">
        <f ca="1">VLOOKUP(T1851,'116_阵营声望'!$A$5:$D$20,4,0)</f>
        <v>4492800</v>
      </c>
    </row>
    <row r="1852" spans="2:21">
      <c r="B1852" s="10">
        <v>23</v>
      </c>
      <c r="C1852" s="1" t="str">
        <f>IF(养成规划!L44="","",养成规划!L44)</f>
        <v/>
      </c>
      <c r="D1852" s="30"/>
      <c r="E1852" s="1" t="str">
        <f ca="1">IFERROR(OFFSET('116_阵营声望'!$D$6,MATCH(D1852,'116_阵营声望'!$A$6:$A$20,0)-1,0),"")</f>
        <v/>
      </c>
      <c r="F1852" s="15">
        <f ca="1">'204_军官任务'!I44</f>
        <v>2367360</v>
      </c>
      <c r="G1852" s="1" t="str">
        <f ca="1" t="shared" si="561"/>
        <v/>
      </c>
      <c r="H1852" s="1">
        <f ca="1" t="shared" si="556"/>
        <v>2367360</v>
      </c>
      <c r="I1852" s="1">
        <f ca="1" t="shared" si="562"/>
        <v>0</v>
      </c>
      <c r="J1852" s="78">
        <f ca="1" t="shared" si="563"/>
        <v>4492800</v>
      </c>
      <c r="K1852" s="79">
        <f ca="1" t="shared" si="564"/>
        <v>1160000</v>
      </c>
      <c r="L1852" s="79">
        <f ca="1" t="shared" si="560"/>
        <v>2091822.03428571</v>
      </c>
      <c r="M1852" s="79">
        <f ca="1" t="shared" si="557"/>
        <v>313.773305142857</v>
      </c>
      <c r="N1852" s="79">
        <f ca="1">养成规划!X44</f>
        <v>6</v>
      </c>
      <c r="O1852" s="79">
        <f ca="1" t="shared" si="565"/>
        <v>3251822.03428571</v>
      </c>
      <c r="P1852" s="1">
        <f ca="1" t="shared" si="566"/>
        <v>5619182.03428571</v>
      </c>
      <c r="Q1852" s="1">
        <f ca="1" t="shared" si="558"/>
        <v>1126382.03428571</v>
      </c>
      <c r="R1852" s="1">
        <f ca="1" t="shared" si="567"/>
        <v>0.421299752447142</v>
      </c>
      <c r="S1852" s="1">
        <f ca="1" t="shared" si="559"/>
        <v>0.200453024552869</v>
      </c>
      <c r="T1852" s="1">
        <f ca="1">OFFSET('116_阵营声望'!$A$6,MATCH(P1852,'116_阵营声望'!$D$6:$D$20,1)-1,0)</f>
        <v>6</v>
      </c>
      <c r="U1852" s="1">
        <f ca="1">VLOOKUP(T1852,'116_阵营声望'!$A$5:$D$20,4,0)</f>
        <v>4492800</v>
      </c>
    </row>
    <row r="1853" spans="2:21">
      <c r="B1853" s="10">
        <v>24</v>
      </c>
      <c r="C1853" s="1" t="str">
        <f>IF(养成规划!L45="","",养成规划!L45)</f>
        <v/>
      </c>
      <c r="D1853" s="30"/>
      <c r="E1853" s="1" t="str">
        <f ca="1">IFERROR(OFFSET('116_阵营声望'!$D$6,MATCH(D1853,'116_阵营声望'!$A$6:$A$20,0)-1,0),"")</f>
        <v/>
      </c>
      <c r="F1853" s="15">
        <f ca="1">'204_军官任务'!I45</f>
        <v>2496960</v>
      </c>
      <c r="G1853" s="1" t="str">
        <f ca="1" t="shared" si="561"/>
        <v/>
      </c>
      <c r="H1853" s="1">
        <f ca="1" t="shared" si="556"/>
        <v>2496960</v>
      </c>
      <c r="I1853" s="1">
        <f ca="1" t="shared" si="562"/>
        <v>0</v>
      </c>
      <c r="J1853" s="78">
        <f ca="1" t="shared" si="563"/>
        <v>4492800</v>
      </c>
      <c r="K1853" s="79">
        <f ca="1" t="shared" si="564"/>
        <v>1160000</v>
      </c>
      <c r="L1853" s="79">
        <f ca="1" t="shared" si="560"/>
        <v>2202018.85968254</v>
      </c>
      <c r="M1853" s="79">
        <f ca="1" t="shared" si="557"/>
        <v>330.302828952381</v>
      </c>
      <c r="N1853" s="79">
        <f ca="1">养成规划!X45</f>
        <v>6</v>
      </c>
      <c r="O1853" s="79">
        <f ca="1" t="shared" si="565"/>
        <v>3362018.85968254</v>
      </c>
      <c r="P1853" s="1">
        <f ca="1" t="shared" si="566"/>
        <v>5858978.85968254</v>
      </c>
      <c r="Q1853" s="1">
        <f ca="1" t="shared" si="558"/>
        <v>1366178.85968254</v>
      </c>
      <c r="R1853" s="1">
        <f ca="1" t="shared" si="567"/>
        <v>0.426176652928783</v>
      </c>
      <c r="S1853" s="1">
        <f ca="1" t="shared" si="559"/>
        <v>0.233176956667934</v>
      </c>
      <c r="T1853" s="1">
        <f ca="1">OFFSET('116_阵营声望'!$A$6,MATCH(P1853,'116_阵营声望'!$D$6:$D$20,1)-1,0)</f>
        <v>6</v>
      </c>
      <c r="U1853" s="1">
        <f ca="1">VLOOKUP(T1853,'116_阵营声望'!$A$5:$D$20,4,0)</f>
        <v>4492800</v>
      </c>
    </row>
    <row r="1854" spans="2:21">
      <c r="B1854" s="10">
        <v>25</v>
      </c>
      <c r="C1854" s="1" t="str">
        <f>IF(养成规划!L46="","",养成规划!L46)</f>
        <v/>
      </c>
      <c r="D1854" s="30"/>
      <c r="E1854" s="1" t="str">
        <f ca="1">IFERROR(OFFSET('116_阵营声望'!$D$6,MATCH(D1854,'116_阵营声望'!$A$6:$A$20,0)-1,0),"")</f>
        <v/>
      </c>
      <c r="F1854" s="15">
        <f ca="1">'204_军官任务'!I46</f>
        <v>2626560</v>
      </c>
      <c r="G1854" s="1" t="str">
        <f ca="1" t="shared" si="561"/>
        <v/>
      </c>
      <c r="H1854" s="1">
        <f ca="1" t="shared" si="556"/>
        <v>2626560</v>
      </c>
      <c r="I1854" s="1">
        <f ca="1" t="shared" si="562"/>
        <v>0</v>
      </c>
      <c r="J1854" s="78">
        <f ca="1" t="shared" si="563"/>
        <v>4492800</v>
      </c>
      <c r="K1854" s="79">
        <f ca="1" t="shared" si="564"/>
        <v>1160000</v>
      </c>
      <c r="L1854" s="79">
        <f ca="1" t="shared" si="560"/>
        <v>2312414.08507936</v>
      </c>
      <c r="M1854" s="79">
        <f ca="1" t="shared" si="557"/>
        <v>346.862112761905</v>
      </c>
      <c r="N1854" s="79">
        <f ca="1">养成规划!X46</f>
        <v>6</v>
      </c>
      <c r="O1854" s="79">
        <f ca="1" t="shared" si="565"/>
        <v>3472414.08507936</v>
      </c>
      <c r="P1854" s="1">
        <f ca="1" t="shared" si="566"/>
        <v>6098974.08507936</v>
      </c>
      <c r="Q1854" s="1">
        <f ca="1" t="shared" si="558"/>
        <v>1606174.08507936</v>
      </c>
      <c r="R1854" s="1">
        <f ca="1" t="shared" si="567"/>
        <v>0.430656035484011</v>
      </c>
      <c r="S1854" s="1">
        <f ca="1" t="shared" si="559"/>
        <v>0.263351518251034</v>
      </c>
      <c r="T1854" s="1">
        <f ca="1">OFFSET('116_阵营声望'!$A$6,MATCH(P1854,'116_阵营声望'!$D$6:$D$20,1)-1,0)</f>
        <v>6</v>
      </c>
      <c r="U1854" s="1">
        <f ca="1">VLOOKUP(T1854,'116_阵营声望'!$A$5:$D$20,4,0)</f>
        <v>4492800</v>
      </c>
    </row>
    <row r="1855" spans="2:21">
      <c r="B1855" s="10">
        <v>26</v>
      </c>
      <c r="C1855" s="1" t="str">
        <f>IF(养成规划!L47="","",养成规划!L47)</f>
        <v/>
      </c>
      <c r="D1855" s="30"/>
      <c r="E1855" s="1" t="str">
        <f ca="1">IFERROR(OFFSET('116_阵营声望'!$D$6,MATCH(D1855,'116_阵营声望'!$A$6:$A$20,0)-1,0),"")</f>
        <v/>
      </c>
      <c r="F1855" s="15">
        <f ca="1">'204_军官任务'!I47</f>
        <v>2756160</v>
      </c>
      <c r="G1855" s="1" t="str">
        <f ca="1" t="shared" si="561"/>
        <v/>
      </c>
      <c r="H1855" s="1">
        <f ca="1" t="shared" si="556"/>
        <v>2756160</v>
      </c>
      <c r="I1855" s="1">
        <f ca="1" t="shared" si="562"/>
        <v>0</v>
      </c>
      <c r="J1855" s="78">
        <f ca="1" t="shared" si="563"/>
        <v>4492800</v>
      </c>
      <c r="K1855" s="79">
        <f ca="1" t="shared" si="564"/>
        <v>1160000</v>
      </c>
      <c r="L1855" s="79">
        <f ca="1" t="shared" si="560"/>
        <v>2423007.71047619</v>
      </c>
      <c r="M1855" s="79">
        <f ca="1" t="shared" si="557"/>
        <v>363.451156571428</v>
      </c>
      <c r="N1855" s="79">
        <f ca="1">养成规划!X47</f>
        <v>6</v>
      </c>
      <c r="O1855" s="79">
        <f ca="1" t="shared" si="565"/>
        <v>3583007.71047619</v>
      </c>
      <c r="P1855" s="1">
        <f ca="1" t="shared" si="566"/>
        <v>6339167.71047619</v>
      </c>
      <c r="Q1855" s="1">
        <f ca="1" t="shared" si="558"/>
        <v>1846367.71047619</v>
      </c>
      <c r="R1855" s="1">
        <f ca="1" t="shared" si="567"/>
        <v>0.434782628553136</v>
      </c>
      <c r="S1855" s="1">
        <f ca="1" t="shared" si="559"/>
        <v>0.291263426809936</v>
      </c>
      <c r="T1855" s="1">
        <f ca="1">OFFSET('116_阵营声望'!$A$6,MATCH(P1855,'116_阵营声望'!$D$6:$D$20,1)-1,0)</f>
        <v>6</v>
      </c>
      <c r="U1855" s="1">
        <f ca="1">VLOOKUP(T1855,'116_阵营声望'!$A$5:$D$20,4,0)</f>
        <v>4492800</v>
      </c>
    </row>
    <row r="1856" spans="2:21">
      <c r="B1856" s="10">
        <v>27</v>
      </c>
      <c r="C1856" s="1" t="str">
        <f>IF(养成规划!L48="","",养成规划!L48)</f>
        <v/>
      </c>
      <c r="D1856" s="30"/>
      <c r="E1856" s="1" t="str">
        <f ca="1">IFERROR(OFFSET('116_阵营声望'!$D$6,MATCH(D1856,'116_阵营声望'!$A$6:$A$20,0)-1,0),"")</f>
        <v/>
      </c>
      <c r="F1856" s="15">
        <f ca="1">'204_军官任务'!I48</f>
        <v>2885760</v>
      </c>
      <c r="G1856" s="1" t="str">
        <f ca="1" t="shared" si="561"/>
        <v/>
      </c>
      <c r="H1856" s="1">
        <f ca="1" t="shared" si="556"/>
        <v>2885760</v>
      </c>
      <c r="I1856" s="1">
        <f ca="1" t="shared" si="562"/>
        <v>0</v>
      </c>
      <c r="J1856" s="78">
        <f ca="1" t="shared" si="563"/>
        <v>4492800</v>
      </c>
      <c r="K1856" s="79">
        <f ca="1" t="shared" si="564"/>
        <v>1160000</v>
      </c>
      <c r="L1856" s="79">
        <f ca="1" t="shared" si="560"/>
        <v>2533799.73587302</v>
      </c>
      <c r="M1856" s="79">
        <f ca="1" t="shared" si="557"/>
        <v>380.069960380952</v>
      </c>
      <c r="N1856" s="79">
        <f ca="1">养成规划!X48</f>
        <v>6</v>
      </c>
      <c r="O1856" s="79">
        <f ca="1" t="shared" si="565"/>
        <v>3693799.73587302</v>
      </c>
      <c r="P1856" s="1">
        <f ca="1" t="shared" si="566"/>
        <v>6579559.73587302</v>
      </c>
      <c r="Q1856" s="1">
        <f ca="1" t="shared" si="558"/>
        <v>2086759.73587302</v>
      </c>
      <c r="R1856" s="1">
        <f ca="1" t="shared" si="567"/>
        <v>0.438594695670333</v>
      </c>
      <c r="S1856" s="1">
        <f ca="1" t="shared" si="559"/>
        <v>0.317157958836608</v>
      </c>
      <c r="T1856" s="1">
        <f ca="1">OFFSET('116_阵营声望'!$A$6,MATCH(P1856,'116_阵营声望'!$D$6:$D$20,1)-1,0)</f>
        <v>6</v>
      </c>
      <c r="U1856" s="1">
        <f ca="1">VLOOKUP(T1856,'116_阵营声望'!$A$5:$D$20,4,0)</f>
        <v>4492800</v>
      </c>
    </row>
    <row r="1857" spans="2:21">
      <c r="B1857" s="10">
        <v>28</v>
      </c>
      <c r="C1857" s="1" t="str">
        <f>IF(养成规划!L49="","",养成规划!L49)</f>
        <v/>
      </c>
      <c r="D1857" s="30">
        <v>7</v>
      </c>
      <c r="E1857" s="1">
        <f ca="1">IFERROR(OFFSET('116_阵营声望'!$D$6,MATCH(D1857,'116_阵营声望'!$A$6:$A$20,0)-1,0),"")</f>
        <v>6652800</v>
      </c>
      <c r="F1857" s="15">
        <f ca="1">'204_军官任务'!I49</f>
        <v>3101760</v>
      </c>
      <c r="G1857" s="1">
        <f ca="1" t="shared" si="561"/>
        <v>6652800</v>
      </c>
      <c r="H1857" s="1">
        <f ca="1" t="shared" si="556"/>
        <v>3101760</v>
      </c>
      <c r="I1857" s="1">
        <f ca="1" t="shared" si="562"/>
        <v>6652800</v>
      </c>
      <c r="J1857" s="78">
        <f ca="1" t="shared" si="563"/>
        <v>6652800</v>
      </c>
      <c r="K1857" s="79">
        <f ca="1" t="shared" si="564"/>
        <v>1160000</v>
      </c>
      <c r="L1857" s="79">
        <f ca="1" t="shared" si="560"/>
        <v>2647996.56126984</v>
      </c>
      <c r="M1857" s="79">
        <f ca="1" t="shared" si="557"/>
        <v>397.199484190476</v>
      </c>
      <c r="N1857" s="79">
        <f ca="1">养成规划!X49</f>
        <v>6</v>
      </c>
      <c r="O1857" s="79">
        <f ca="1" t="shared" si="565"/>
        <v>3807996.56126984</v>
      </c>
      <c r="P1857" s="1">
        <f ca="1" t="shared" si="566"/>
        <v>6909756.56126984</v>
      </c>
      <c r="Q1857" s="1">
        <f ca="1" t="shared" si="558"/>
        <v>256956.56126984</v>
      </c>
      <c r="R1857" s="1">
        <f ca="1" t="shared" si="567"/>
        <v>0.448895698784209</v>
      </c>
      <c r="S1857" s="1">
        <f ca="1" t="shared" si="559"/>
        <v>0.0371874984294118</v>
      </c>
      <c r="T1857" s="1">
        <f ca="1">OFFSET('116_阵营声望'!$A$6,MATCH(P1857,'116_阵营声望'!$D$6:$D$20,1)-1,0)</f>
        <v>7</v>
      </c>
      <c r="U1857" s="1">
        <f ca="1">VLOOKUP(T1857,'116_阵营声望'!$A$5:$D$20,4,0)</f>
        <v>6652800</v>
      </c>
    </row>
    <row r="1858" spans="2:21">
      <c r="B1858" s="10">
        <v>29</v>
      </c>
      <c r="C1858" s="1">
        <f>IF(养成规划!L50="","",养成规划!L50)</f>
        <v>6</v>
      </c>
      <c r="D1858" s="30"/>
      <c r="E1858" s="1" t="str">
        <f ca="1">IFERROR(OFFSET('116_阵营声望'!$D$6,MATCH(D1858,'116_阵营声望'!$A$6:$A$20,0)-1,0),"")</f>
        <v/>
      </c>
      <c r="F1858" s="15">
        <f ca="1">'204_军官任务'!I50</f>
        <v>3317760</v>
      </c>
      <c r="G1858" s="1" t="str">
        <f ca="1" t="shared" si="561"/>
        <v/>
      </c>
      <c r="H1858" s="1">
        <f ca="1" t="shared" si="556"/>
        <v>3317760</v>
      </c>
      <c r="I1858" s="1">
        <f ca="1" t="shared" si="562"/>
        <v>0</v>
      </c>
      <c r="J1858" s="78">
        <f ca="1" t="shared" si="563"/>
        <v>6652800</v>
      </c>
      <c r="K1858" s="79">
        <f ca="1" t="shared" si="564"/>
        <v>1160000</v>
      </c>
      <c r="L1858" s="79">
        <f ca="1" t="shared" si="560"/>
        <v>2762391.78666667</v>
      </c>
      <c r="M1858" s="79">
        <f ca="1" t="shared" si="557"/>
        <v>414.358768</v>
      </c>
      <c r="N1858" s="79">
        <f ca="1">养成规划!X50</f>
        <v>6</v>
      </c>
      <c r="O1858" s="79">
        <f ca="1" t="shared" si="565"/>
        <v>3922391.78666667</v>
      </c>
      <c r="P1858" s="1">
        <f ca="1" t="shared" si="566"/>
        <v>7240151.78666667</v>
      </c>
      <c r="Q1858" s="1">
        <f ca="1" t="shared" si="558"/>
        <v>587351.786666667</v>
      </c>
      <c r="R1858" s="1">
        <f ca="1" t="shared" si="567"/>
        <v>0.458244536545481</v>
      </c>
      <c r="S1858" s="1">
        <f ca="1" t="shared" si="559"/>
        <v>0.0811242366145311</v>
      </c>
      <c r="T1858" s="1">
        <f ca="1">OFFSET('116_阵营声望'!$A$6,MATCH(P1858,'116_阵营声望'!$D$6:$D$20,1)-1,0)</f>
        <v>7</v>
      </c>
      <c r="U1858" s="1">
        <f ca="1">VLOOKUP(T1858,'116_阵营声望'!$A$5:$D$20,4,0)</f>
        <v>6652800</v>
      </c>
    </row>
    <row r="1859" spans="2:21">
      <c r="B1859" s="10">
        <v>30</v>
      </c>
      <c r="C1859" s="1" t="str">
        <f>IF(养成规划!L51="","",养成规划!L51)</f>
        <v/>
      </c>
      <c r="D1859" s="30"/>
      <c r="E1859" s="1" t="str">
        <f ca="1">IFERROR(OFFSET('116_阵营声望'!$D$6,MATCH(D1859,'116_阵营声望'!$A$6:$A$20,0)-1,0),"")</f>
        <v/>
      </c>
      <c r="F1859" s="15">
        <f ca="1">'204_军官任务'!I51</f>
        <v>3533760</v>
      </c>
      <c r="G1859" s="1" t="str">
        <f ca="1" t="shared" si="561"/>
        <v/>
      </c>
      <c r="H1859" s="1">
        <f ca="1" t="shared" si="556"/>
        <v>3533760</v>
      </c>
      <c r="I1859" s="1">
        <f ca="1" t="shared" si="562"/>
        <v>0</v>
      </c>
      <c r="J1859" s="78">
        <f ca="1" t="shared" si="563"/>
        <v>6652800</v>
      </c>
      <c r="K1859" s="79">
        <f ca="1" t="shared" si="564"/>
        <v>1160000</v>
      </c>
      <c r="L1859" s="79">
        <f ca="1" t="shared" si="560"/>
        <v>2882120.34539682</v>
      </c>
      <c r="M1859" s="79">
        <f ca="1" t="shared" si="557"/>
        <v>432.318051809524</v>
      </c>
      <c r="N1859" s="79">
        <f ca="1">养成规划!X51</f>
        <v>6</v>
      </c>
      <c r="O1859" s="79">
        <f ca="1" t="shared" si="565"/>
        <v>4042120.34539682</v>
      </c>
      <c r="P1859" s="1">
        <f ca="1" t="shared" si="566"/>
        <v>7575880.34539682</v>
      </c>
      <c r="Q1859" s="1">
        <f ca="1" t="shared" si="558"/>
        <v>923080.345396824</v>
      </c>
      <c r="R1859" s="1">
        <f ca="1" t="shared" si="567"/>
        <v>0.466448760921514</v>
      </c>
      <c r="S1859" s="1">
        <f ca="1" t="shared" si="559"/>
        <v>0.121844631027957</v>
      </c>
      <c r="T1859" s="1">
        <f ca="1">OFFSET('116_阵营声望'!$A$6,MATCH(P1859,'116_阵营声望'!$D$6:$D$20,1)-1,0)</f>
        <v>7</v>
      </c>
      <c r="U1859" s="1">
        <f ca="1">VLOOKUP(T1859,'116_阵营声望'!$A$5:$D$20,4,0)</f>
        <v>6652800</v>
      </c>
    </row>
    <row r="1860" spans="2:21">
      <c r="B1860" s="11">
        <v>35</v>
      </c>
      <c r="C1860" s="1" t="str">
        <f>IF(养成规划!L52="","",养成规划!L52)</f>
        <v/>
      </c>
      <c r="D1860" s="30"/>
      <c r="E1860" s="1" t="str">
        <f ca="1">IFERROR(OFFSET('116_阵营声望'!$D$6,MATCH(D1860,'116_阵营声望'!$A$6:$A$20,0)-1,0),"")</f>
        <v/>
      </c>
      <c r="F1860" s="15">
        <f ca="1">'204_军官任务'!I52</f>
        <v>4613760</v>
      </c>
      <c r="G1860" s="1" t="str">
        <f ca="1" t="shared" si="561"/>
        <v/>
      </c>
      <c r="H1860" s="1">
        <f ca="1" t="shared" si="556"/>
        <v>4613760</v>
      </c>
      <c r="I1860" s="1">
        <f ca="1" t="shared" si="562"/>
        <v>0</v>
      </c>
      <c r="J1860" s="78">
        <f ca="1" t="shared" si="563"/>
        <v>6652800</v>
      </c>
      <c r="K1860" s="79">
        <f ca="1" t="shared" si="564"/>
        <v>1160000</v>
      </c>
      <c r="L1860" s="79">
        <f ca="1" t="shared" si="560"/>
        <v>3629088.47238095</v>
      </c>
      <c r="M1860" s="79">
        <f ca="1" t="shared" si="557"/>
        <v>544.363270857143</v>
      </c>
      <c r="N1860" s="79">
        <f ca="1">养成规划!X52</f>
        <v>6</v>
      </c>
      <c r="O1860" s="79">
        <f ca="1" t="shared" si="565"/>
        <v>4789088.47238095</v>
      </c>
      <c r="P1860" s="1">
        <f ca="1" t="shared" si="566"/>
        <v>9402848.47238095</v>
      </c>
      <c r="Q1860" s="1">
        <f ca="1" t="shared" si="558"/>
        <v>2750048.47238095</v>
      </c>
      <c r="R1860" s="1">
        <f ca="1" t="shared" si="567"/>
        <v>0.490676842613388</v>
      </c>
      <c r="S1860" s="1">
        <f ca="1" t="shared" si="559"/>
        <v>0.292469721325265</v>
      </c>
      <c r="T1860" s="1">
        <f ca="1">OFFSET('116_阵营声望'!$A$6,MATCH(P1860,'116_阵营声望'!$D$6:$D$20,1)-1,0)</f>
        <v>7</v>
      </c>
      <c r="U1860" s="1">
        <f ca="1">VLOOKUP(T1860,'116_阵营声望'!$A$5:$D$20,4,0)</f>
        <v>6652800</v>
      </c>
    </row>
    <row r="1861" spans="2:21">
      <c r="B1861" s="11">
        <v>40</v>
      </c>
      <c r="C1861" s="1" t="str">
        <f>IF(养成规划!L53="","",养成规划!L53)</f>
        <v/>
      </c>
      <c r="D1861" s="30">
        <v>8</v>
      </c>
      <c r="E1861" s="1">
        <f ca="1">IFERROR(OFFSET('116_阵营声望'!$D$6,MATCH(D1861,'116_阵营声望'!$A$6:$A$20,0)-1,0),"")</f>
        <v>9676800</v>
      </c>
      <c r="F1861" s="15">
        <f ca="1">'204_军官任务'!I53</f>
        <v>5693760</v>
      </c>
      <c r="G1861" s="1">
        <f ca="1" t="shared" si="561"/>
        <v>9676800</v>
      </c>
      <c r="H1861" s="1">
        <f ca="1" t="shared" si="556"/>
        <v>5693760</v>
      </c>
      <c r="I1861" s="1">
        <f ca="1" t="shared" si="562"/>
        <v>9676800</v>
      </c>
      <c r="J1861" s="78">
        <f ca="1" t="shared" si="563"/>
        <v>9676800</v>
      </c>
      <c r="K1861" s="79">
        <f ca="1" t="shared" si="564"/>
        <v>1160000</v>
      </c>
      <c r="L1861" s="79">
        <f ca="1" t="shared" si="560"/>
        <v>4379064.59936508</v>
      </c>
      <c r="M1861" s="79">
        <f ca="1" t="shared" si="557"/>
        <v>656.859689904762</v>
      </c>
      <c r="N1861" s="79">
        <f ca="1">养成规划!X53</f>
        <v>6</v>
      </c>
      <c r="O1861" s="79">
        <f ca="1" t="shared" si="565"/>
        <v>5539064.59936508</v>
      </c>
      <c r="P1861" s="1">
        <f ca="1" t="shared" si="566"/>
        <v>11232824.5993651</v>
      </c>
      <c r="Q1861" s="1">
        <f ca="1" t="shared" si="558"/>
        <v>1556024.59936508</v>
      </c>
      <c r="R1861" s="1">
        <f ca="1" t="shared" si="567"/>
        <v>0.506885863803289</v>
      </c>
      <c r="S1861" s="1">
        <f ca="1" t="shared" si="559"/>
        <v>0.138524783824456</v>
      </c>
      <c r="T1861" s="1">
        <f ca="1">OFFSET('116_阵营声望'!$A$6,MATCH(P1861,'116_阵营声望'!$D$6:$D$20,1)-1,0)</f>
        <v>8</v>
      </c>
      <c r="U1861" s="1">
        <f ca="1">VLOOKUP(T1861,'116_阵营声望'!$A$5:$D$20,4,0)</f>
        <v>9676800</v>
      </c>
    </row>
    <row r="1862" spans="2:21">
      <c r="B1862" s="11">
        <v>45</v>
      </c>
      <c r="C1862" s="1">
        <f>IF(养成规划!L54="","",养成规划!L54)</f>
        <v>7</v>
      </c>
      <c r="D1862" s="30"/>
      <c r="E1862" s="1" t="str">
        <f ca="1">IFERROR(OFFSET('116_阵营声望'!$D$6,MATCH(D1862,'116_阵营声望'!$A$6:$A$20,0)-1,0),"")</f>
        <v/>
      </c>
      <c r="F1862" s="15">
        <f ca="1">'204_军官任务'!I54</f>
        <v>6773760</v>
      </c>
      <c r="G1862" s="1" t="str">
        <f ca="1" t="shared" si="561"/>
        <v/>
      </c>
      <c r="H1862" s="1">
        <f ca="1" t="shared" si="556"/>
        <v>6773760</v>
      </c>
      <c r="I1862" s="1">
        <f ca="1" t="shared" si="562"/>
        <v>0</v>
      </c>
      <c r="J1862" s="78">
        <f ca="1" t="shared" si="563"/>
        <v>9676800</v>
      </c>
      <c r="K1862" s="79">
        <f ca="1" t="shared" si="564"/>
        <v>1160000</v>
      </c>
      <c r="L1862" s="79">
        <f ca="1" t="shared" si="560"/>
        <v>5132048.72634921</v>
      </c>
      <c r="M1862" s="79">
        <f ca="1" t="shared" si="557"/>
        <v>769.807308952381</v>
      </c>
      <c r="N1862" s="79">
        <f ca="1">养成规划!X54</f>
        <v>6</v>
      </c>
      <c r="O1862" s="79">
        <f ca="1" t="shared" si="565"/>
        <v>6292048.72634921</v>
      </c>
      <c r="P1862" s="1">
        <f ca="1" t="shared" si="566"/>
        <v>13065808.7263492</v>
      </c>
      <c r="Q1862" s="1">
        <f ca="1" t="shared" si="558"/>
        <v>3389008.7263492</v>
      </c>
      <c r="R1862" s="1">
        <f ca="1" t="shared" si="567"/>
        <v>0.518434039703924</v>
      </c>
      <c r="S1862" s="1">
        <f ca="1" t="shared" si="559"/>
        <v>0.259379943280109</v>
      </c>
      <c r="T1862" s="1">
        <f ca="1">OFFSET('116_阵营声望'!$A$6,MATCH(P1862,'116_阵营声望'!$D$6:$D$20,1)-1,0)</f>
        <v>8</v>
      </c>
      <c r="U1862" s="1">
        <f ca="1">VLOOKUP(T1862,'116_阵营声望'!$A$5:$D$20,4,0)</f>
        <v>9676800</v>
      </c>
    </row>
    <row r="1863" spans="2:21">
      <c r="B1863" s="11">
        <v>50</v>
      </c>
      <c r="C1863" s="1" t="str">
        <f>IF(养成规划!L55="","",养成规划!L55)</f>
        <v/>
      </c>
      <c r="D1863" s="30">
        <v>9</v>
      </c>
      <c r="E1863" s="1">
        <f ca="1">IFERROR(OFFSET('116_阵营声望'!$D$6,MATCH(D1863,'116_阵营声望'!$A$6:$A$20,0)-1,0),"")</f>
        <v>13996800</v>
      </c>
      <c r="F1863" s="15">
        <f ca="1">'204_军官任务'!I55</f>
        <v>7853760</v>
      </c>
      <c r="G1863" s="1">
        <f ca="1" t="shared" si="561"/>
        <v>13996800</v>
      </c>
      <c r="H1863" s="1">
        <f ca="1" t="shared" si="556"/>
        <v>7853760</v>
      </c>
      <c r="I1863" s="1">
        <f ca="1" t="shared" si="562"/>
        <v>13996800</v>
      </c>
      <c r="J1863" s="78">
        <f ca="1" t="shared" si="563"/>
        <v>13996800</v>
      </c>
      <c r="K1863" s="79">
        <f ca="1" t="shared" si="564"/>
        <v>1160000</v>
      </c>
      <c r="L1863" s="79">
        <f ca="1" t="shared" si="560"/>
        <v>5889032.85333333</v>
      </c>
      <c r="M1863" s="79">
        <f ca="1" t="shared" si="557"/>
        <v>883.354928</v>
      </c>
      <c r="N1863" s="79">
        <f ca="1">养成规划!X55</f>
        <v>6</v>
      </c>
      <c r="O1863" s="79">
        <f ca="1" t="shared" si="565"/>
        <v>7049032.85333333</v>
      </c>
      <c r="P1863" s="1">
        <f ca="1" t="shared" si="566"/>
        <v>14902792.8533333</v>
      </c>
      <c r="Q1863" s="1">
        <f ca="1" t="shared" si="558"/>
        <v>905992.853333332</v>
      </c>
      <c r="R1863" s="1">
        <f ca="1" t="shared" si="567"/>
        <v>0.526999205940337</v>
      </c>
      <c r="S1863" s="1">
        <f ca="1" t="shared" si="559"/>
        <v>0.0607934943637552</v>
      </c>
      <c r="T1863" s="1">
        <f ca="1">OFFSET('116_阵营声望'!$A$6,MATCH(P1863,'116_阵营声望'!$D$6:$D$20,1)-1,0)</f>
        <v>9</v>
      </c>
      <c r="U1863" s="1">
        <f ca="1">VLOOKUP(T1863,'116_阵营声望'!$A$5:$D$20,4,0)</f>
        <v>13996800</v>
      </c>
    </row>
    <row r="1864" spans="2:21">
      <c r="B1864" s="11">
        <v>55</v>
      </c>
      <c r="C1864" s="1" t="str">
        <f>IF(养成规划!L56="","",养成规划!L56)</f>
        <v/>
      </c>
      <c r="D1864" s="30"/>
      <c r="E1864" s="1" t="str">
        <f ca="1">IFERROR(OFFSET('116_阵营声望'!$D$6,MATCH(D1864,'116_阵营声望'!$A$6:$A$20,0)-1,0),"")</f>
        <v/>
      </c>
      <c r="F1864" s="15">
        <f ca="1">'204_军官任务'!I56</f>
        <v>8933760</v>
      </c>
      <c r="G1864" s="1" t="str">
        <f ca="1" t="shared" si="561"/>
        <v/>
      </c>
      <c r="H1864" s="1">
        <f ca="1" t="shared" si="556"/>
        <v>8933760</v>
      </c>
      <c r="I1864" s="1">
        <f ca="1" t="shared" si="562"/>
        <v>0</v>
      </c>
      <c r="J1864" s="78">
        <f ca="1" t="shared" si="563"/>
        <v>13996800</v>
      </c>
      <c r="K1864" s="79">
        <f ca="1" t="shared" si="564"/>
        <v>1880000</v>
      </c>
      <c r="L1864" s="79">
        <f ca="1" t="shared" si="560"/>
        <v>6648000.98031746</v>
      </c>
      <c r="M1864" s="79">
        <f ca="1" t="shared" si="557"/>
        <v>997.200147047619</v>
      </c>
      <c r="N1864" s="79">
        <f ca="1">养成规划!X56</f>
        <v>6.1</v>
      </c>
      <c r="O1864" s="79">
        <f ca="1" t="shared" si="565"/>
        <v>8528000.98031746</v>
      </c>
      <c r="P1864" s="1">
        <f ca="1" t="shared" si="566"/>
        <v>17461760.9803175</v>
      </c>
      <c r="Q1864" s="1">
        <f ca="1" t="shared" si="558"/>
        <v>3464960.98031746</v>
      </c>
      <c r="R1864" s="1">
        <f ca="1" t="shared" si="567"/>
        <v>0.511618502284503</v>
      </c>
      <c r="S1864" s="1">
        <f ca="1" t="shared" si="559"/>
        <v>0.198431360057161</v>
      </c>
      <c r="T1864" s="1">
        <f ca="1">OFFSET('116_阵营声望'!$A$6,MATCH(P1864,'116_阵营声望'!$D$6:$D$20,1)-1,0)</f>
        <v>9</v>
      </c>
      <c r="U1864" s="1">
        <f ca="1">VLOOKUP(T1864,'116_阵营声望'!$A$5:$D$20,4,0)</f>
        <v>13996800</v>
      </c>
    </row>
    <row r="1865" spans="2:21">
      <c r="B1865" s="11">
        <v>60</v>
      </c>
      <c r="C1865" s="1">
        <f>IF(养成规划!L57="","",养成规划!L57)</f>
        <v>8</v>
      </c>
      <c r="D1865" s="30"/>
      <c r="E1865" s="1" t="str">
        <f ca="1">IFERROR(OFFSET('116_阵营声望'!$D$6,MATCH(D1865,'116_阵营声望'!$A$6:$A$20,0)-1,0),"")</f>
        <v/>
      </c>
      <c r="F1865" s="15">
        <f ca="1">'204_军官任务'!I57</f>
        <v>10013760</v>
      </c>
      <c r="G1865" s="1" t="str">
        <f ca="1" t="shared" si="561"/>
        <v/>
      </c>
      <c r="H1865" s="1">
        <f ca="1" t="shared" si="556"/>
        <v>10013760</v>
      </c>
      <c r="I1865" s="1">
        <f ca="1" t="shared" si="562"/>
        <v>0</v>
      </c>
      <c r="J1865" s="78">
        <f ca="1" t="shared" si="563"/>
        <v>13996800</v>
      </c>
      <c r="K1865" s="79">
        <f ca="1" t="shared" si="564"/>
        <v>1880000</v>
      </c>
      <c r="L1865" s="79">
        <f ca="1" t="shared" si="560"/>
        <v>7447080.34539683</v>
      </c>
      <c r="M1865" s="79">
        <f ca="1" t="shared" si="557"/>
        <v>1117.06205180952</v>
      </c>
      <c r="N1865" s="79">
        <f ca="1">养成规划!X57</f>
        <v>6.1</v>
      </c>
      <c r="O1865" s="79">
        <f ca="1" t="shared" si="565"/>
        <v>9327080.34539682</v>
      </c>
      <c r="P1865" s="1">
        <f ca="1" t="shared" si="566"/>
        <v>19340840.3453968</v>
      </c>
      <c r="Q1865" s="1">
        <f ca="1" t="shared" si="558"/>
        <v>5344040.34539682</v>
      </c>
      <c r="R1865" s="1">
        <f ca="1" t="shared" si="567"/>
        <v>0.517752063569632</v>
      </c>
      <c r="S1865" s="1">
        <f ca="1" t="shared" si="559"/>
        <v>0.276308591041584</v>
      </c>
      <c r="T1865" s="1">
        <f ca="1">OFFSET('116_阵营声望'!$A$6,MATCH(P1865,'116_阵营声望'!$D$6:$D$20,1)-1,0)</f>
        <v>9</v>
      </c>
      <c r="U1865" s="1">
        <f ca="1">VLOOKUP(T1865,'116_阵营声望'!$A$5:$D$20,4,0)</f>
        <v>13996800</v>
      </c>
    </row>
    <row r="1866" spans="2:21">
      <c r="B1866" s="11">
        <v>65</v>
      </c>
      <c r="C1866" s="1" t="str">
        <f>IF(养成规划!L58="","",养成规划!L58)</f>
        <v/>
      </c>
      <c r="D1866" s="30">
        <v>10</v>
      </c>
      <c r="E1866" s="1">
        <f ca="1">IFERROR(OFFSET('116_阵营声望'!$D$6,MATCH(D1866,'116_阵营声望'!$A$6:$A$20,0)-1,0),"")</f>
        <v>20476800</v>
      </c>
      <c r="F1866" s="15">
        <f ca="1">'204_军官任务'!I58</f>
        <v>11093760</v>
      </c>
      <c r="G1866" s="1">
        <f ca="1" t="shared" si="561"/>
        <v>20476800</v>
      </c>
      <c r="H1866" s="1">
        <f ca="1" t="shared" si="556"/>
        <v>11093760</v>
      </c>
      <c r="I1866" s="1">
        <f ca="1" t="shared" si="562"/>
        <v>20476800</v>
      </c>
      <c r="J1866" s="78">
        <f ca="1" t="shared" si="563"/>
        <v>20476800</v>
      </c>
      <c r="K1866" s="79">
        <f ca="1" t="shared" si="564"/>
        <v>1880000</v>
      </c>
      <c r="L1866" s="79">
        <f ca="1" t="shared" si="560"/>
        <v>8391477.04380952</v>
      </c>
      <c r="M1866" s="79">
        <f ca="1" t="shared" si="557"/>
        <v>1258.72155657143</v>
      </c>
      <c r="N1866" s="79">
        <f ca="1">养成规划!X58</f>
        <v>6.1</v>
      </c>
      <c r="O1866" s="79">
        <f ca="1" t="shared" si="565"/>
        <v>10271477.0438095</v>
      </c>
      <c r="P1866" s="1">
        <f ca="1" t="shared" si="566"/>
        <v>21365237.0438095</v>
      </c>
      <c r="Q1866" s="1">
        <f ca="1" t="shared" si="558"/>
        <v>888437.043809526</v>
      </c>
      <c r="R1866" s="1">
        <f ca="1" t="shared" si="567"/>
        <v>0.519243478424891</v>
      </c>
      <c r="S1866" s="1">
        <f ca="1" t="shared" si="559"/>
        <v>0.041583299169009</v>
      </c>
      <c r="T1866" s="1">
        <f ca="1">OFFSET('116_阵营声望'!$A$6,MATCH(P1866,'116_阵营声望'!$D$6:$D$20,1)-1,0)</f>
        <v>10</v>
      </c>
      <c r="U1866" s="1">
        <f ca="1">VLOOKUP(T1866,'116_阵营声望'!$A$5:$D$20,4,0)</f>
        <v>20476800</v>
      </c>
    </row>
    <row r="1867" spans="2:21">
      <c r="B1867" s="11">
        <v>70</v>
      </c>
      <c r="C1867" s="1" t="str">
        <f>IF(养成规划!L59="","",养成规划!L59)</f>
        <v/>
      </c>
      <c r="D1867" s="30"/>
      <c r="E1867" s="1" t="str">
        <f ca="1">IFERROR(OFFSET('116_阵营声望'!$D$6,MATCH(D1867,'116_阵营声望'!$A$6:$A$20,0)-1,0),"")</f>
        <v/>
      </c>
      <c r="F1867" s="15">
        <f ca="1">'204_军官任务'!I59</f>
        <v>12173760</v>
      </c>
      <c r="G1867" s="1" t="str">
        <f ca="1" t="shared" si="561"/>
        <v/>
      </c>
      <c r="H1867" s="1">
        <f ca="1" t="shared" si="556"/>
        <v>12173760</v>
      </c>
      <c r="I1867" s="1">
        <f ca="1" t="shared" si="562"/>
        <v>0</v>
      </c>
      <c r="J1867" s="78">
        <f ca="1" t="shared" si="563"/>
        <v>20476800</v>
      </c>
      <c r="K1867" s="79">
        <f ca="1" t="shared" si="564"/>
        <v>1880000</v>
      </c>
      <c r="L1867" s="79">
        <f ca="1" t="shared" si="560"/>
        <v>9337889.74222222</v>
      </c>
      <c r="M1867" s="79">
        <f ca="1" t="shared" si="557"/>
        <v>1400.68346133333</v>
      </c>
      <c r="N1867" s="79">
        <f ca="1">养成规划!X59</f>
        <v>6.1</v>
      </c>
      <c r="O1867" s="79">
        <f ca="1" t="shared" si="565"/>
        <v>11217889.7422222</v>
      </c>
      <c r="P1867" s="1">
        <f ca="1" t="shared" si="566"/>
        <v>23391649.7422222</v>
      </c>
      <c r="Q1867" s="1">
        <f ca="1" t="shared" si="558"/>
        <v>2914849.74222222</v>
      </c>
      <c r="R1867" s="1">
        <f ca="1" t="shared" si="567"/>
        <v>0.520431869242049</v>
      </c>
      <c r="S1867" s="1">
        <f ca="1" t="shared" si="559"/>
        <v>0.124610695455177</v>
      </c>
      <c r="T1867" s="1">
        <f ca="1">OFFSET('116_阵营声望'!$A$6,MATCH(P1867,'116_阵营声望'!$D$6:$D$20,1)-1,0)</f>
        <v>10</v>
      </c>
      <c r="U1867" s="1">
        <f ca="1">VLOOKUP(T1867,'116_阵营声望'!$A$5:$D$20,4,0)</f>
        <v>20476800</v>
      </c>
    </row>
    <row r="1868" spans="2:21">
      <c r="B1868" s="11">
        <v>75</v>
      </c>
      <c r="C1868" s="1">
        <f>IF(养成规划!L60="","",养成规划!L60)</f>
        <v>9</v>
      </c>
      <c r="D1868" s="30"/>
      <c r="E1868" s="1" t="str">
        <f ca="1">IFERROR(OFFSET('116_阵营声望'!$D$6,MATCH(D1868,'116_阵营声望'!$A$6:$A$20,0)-1,0),"")</f>
        <v/>
      </c>
      <c r="F1868" s="15">
        <f ca="1">'204_军官任务'!I60</f>
        <v>13253760</v>
      </c>
      <c r="G1868" s="1" t="str">
        <f ca="1" t="shared" si="561"/>
        <v/>
      </c>
      <c r="H1868" s="1">
        <f ca="1" t="shared" si="556"/>
        <v>13253760</v>
      </c>
      <c r="I1868" s="1">
        <f ca="1" t="shared" si="562"/>
        <v>0</v>
      </c>
      <c r="J1868" s="78">
        <f ca="1" t="shared" si="563"/>
        <v>20476800</v>
      </c>
      <c r="K1868" s="79">
        <f ca="1" t="shared" si="564"/>
        <v>1880000</v>
      </c>
      <c r="L1868" s="79">
        <f ca="1" t="shared" si="560"/>
        <v>10286286.4406349</v>
      </c>
      <c r="M1868" s="79">
        <f ca="1" t="shared" si="557"/>
        <v>1542.94296609524</v>
      </c>
      <c r="N1868" s="79">
        <f ca="1">养成规划!X60</f>
        <v>6.1</v>
      </c>
      <c r="O1868" s="79">
        <f ca="1" t="shared" si="565"/>
        <v>12166286.4406349</v>
      </c>
      <c r="P1868" s="1">
        <f ca="1" t="shared" si="566"/>
        <v>25420046.4406349</v>
      </c>
      <c r="Q1868" s="1">
        <f ca="1" t="shared" si="558"/>
        <v>4943246.44063492</v>
      </c>
      <c r="R1868" s="1">
        <f ca="1" t="shared" si="567"/>
        <v>0.521390078139801</v>
      </c>
      <c r="S1868" s="1">
        <f ca="1" t="shared" si="559"/>
        <v>0.194462525950895</v>
      </c>
      <c r="T1868" s="1">
        <f ca="1">OFFSET('116_阵营声望'!$A$6,MATCH(P1868,'116_阵营声望'!$D$6:$D$20,1)-1,0)</f>
        <v>10</v>
      </c>
      <c r="U1868" s="1">
        <f ca="1">VLOOKUP(T1868,'116_阵营声望'!$A$5:$D$20,4,0)</f>
        <v>20476800</v>
      </c>
    </row>
    <row r="1869" spans="2:21">
      <c r="B1869" s="11">
        <v>80</v>
      </c>
      <c r="C1869" s="1" t="str">
        <f>IF(养成规划!L61="","",养成规划!L61)</f>
        <v/>
      </c>
      <c r="D1869" s="30"/>
      <c r="E1869" s="1" t="str">
        <f ca="1">IFERROR(OFFSET('116_阵营声望'!$D$6,MATCH(D1869,'116_阵营声望'!$A$6:$A$20,0)-1,0),"")</f>
        <v/>
      </c>
      <c r="F1869" s="15">
        <f ca="1">'204_军官任务'!I61</f>
        <v>14333760</v>
      </c>
      <c r="G1869" s="1" t="str">
        <f ca="1" t="shared" si="561"/>
        <v/>
      </c>
      <c r="H1869" s="1">
        <f ca="1" t="shared" si="556"/>
        <v>14333760</v>
      </c>
      <c r="I1869" s="1">
        <f ca="1" t="shared" si="562"/>
        <v>0</v>
      </c>
      <c r="J1869" s="78">
        <f ca="1" t="shared" si="563"/>
        <v>20476800</v>
      </c>
      <c r="K1869" s="79">
        <f ca="1" t="shared" si="564"/>
        <v>1880000</v>
      </c>
      <c r="L1869" s="79">
        <f ca="1" t="shared" si="560"/>
        <v>11235675.1390476</v>
      </c>
      <c r="M1869" s="79">
        <f ca="1" t="shared" si="557"/>
        <v>1685.35127085714</v>
      </c>
      <c r="N1869" s="79">
        <f ca="1">养成规划!X61</f>
        <v>6.1</v>
      </c>
      <c r="O1869" s="79">
        <f ca="1" t="shared" si="565"/>
        <v>13115675.1390476</v>
      </c>
      <c r="P1869" s="1">
        <f ca="1" t="shared" si="566"/>
        <v>27449435.1390476</v>
      </c>
      <c r="Q1869" s="1">
        <f ca="1" t="shared" si="558"/>
        <v>6972635.13904762</v>
      </c>
      <c r="R1869" s="1">
        <f ca="1" t="shared" si="567"/>
        <v>0.522187794662842</v>
      </c>
      <c r="S1869" s="1">
        <f ca="1" t="shared" si="559"/>
        <v>0.25401743619594</v>
      </c>
      <c r="T1869" s="1">
        <f ca="1">OFFSET('116_阵营声望'!$A$6,MATCH(P1869,'116_阵营声望'!$D$6:$D$20,1)-1,0)</f>
        <v>10</v>
      </c>
      <c r="U1869" s="1">
        <f ca="1">VLOOKUP(T1869,'116_阵营声望'!$A$5:$D$20,4,0)</f>
        <v>20476800</v>
      </c>
    </row>
    <row r="1870" spans="2:21">
      <c r="B1870" s="11">
        <v>85</v>
      </c>
      <c r="C1870" s="1" t="str">
        <f>IF(养成规划!L62="","",养成规划!L62)</f>
        <v/>
      </c>
      <c r="D1870" s="30"/>
      <c r="E1870" s="1" t="str">
        <f ca="1">IFERROR(OFFSET('116_阵营声望'!$D$6,MATCH(D1870,'116_阵营声望'!$A$6:$A$20,0)-1,0),"")</f>
        <v/>
      </c>
      <c r="F1870" s="15">
        <f ca="1">'204_军官任务'!I62</f>
        <v>15413760</v>
      </c>
      <c r="G1870" s="1" t="str">
        <f ca="1" t="shared" si="561"/>
        <v/>
      </c>
      <c r="H1870" s="1">
        <f ca="1" t="shared" si="556"/>
        <v>15413760</v>
      </c>
      <c r="I1870" s="1">
        <f ca="1" t="shared" si="562"/>
        <v>0</v>
      </c>
      <c r="J1870" s="78">
        <f ca="1" t="shared" si="563"/>
        <v>20476800</v>
      </c>
      <c r="K1870" s="79">
        <f ca="1" t="shared" si="564"/>
        <v>1880000</v>
      </c>
      <c r="L1870" s="79">
        <f ca="1" t="shared" si="560"/>
        <v>12186087.8374603</v>
      </c>
      <c r="M1870" s="79">
        <f ca="1" t="shared" si="557"/>
        <v>1827.91317561905</v>
      </c>
      <c r="N1870" s="79">
        <f ca="1">养成规划!X62</f>
        <v>6.1</v>
      </c>
      <c r="O1870" s="79">
        <f ca="1" t="shared" si="565"/>
        <v>14066087.8374603</v>
      </c>
      <c r="P1870" s="1">
        <f ca="1" t="shared" si="566"/>
        <v>29479847.8374603</v>
      </c>
      <c r="Q1870" s="1">
        <f ca="1" t="shared" si="558"/>
        <v>9003047.83746032</v>
      </c>
      <c r="R1870" s="1">
        <f ca="1" t="shared" si="567"/>
        <v>0.522857515580986</v>
      </c>
      <c r="S1870" s="1">
        <f ca="1" t="shared" si="559"/>
        <v>0.30539668613961</v>
      </c>
      <c r="T1870" s="1">
        <f ca="1">OFFSET('116_阵营声望'!$A$6,MATCH(P1870,'116_阵营声望'!$D$6:$D$20,1)-1,0)</f>
        <v>10</v>
      </c>
      <c r="U1870" s="1">
        <f ca="1">VLOOKUP(T1870,'116_阵营声望'!$A$5:$D$20,4,0)</f>
        <v>20476800</v>
      </c>
    </row>
    <row r="1871" spans="2:21">
      <c r="B1871" s="11">
        <v>90</v>
      </c>
      <c r="C1871" s="1" t="str">
        <f>IF(养成规划!L63="","",养成规划!L63)</f>
        <v/>
      </c>
      <c r="D1871" s="30"/>
      <c r="E1871" s="1" t="str">
        <f ca="1">IFERROR(OFFSET('116_阵营声望'!$D$6,MATCH(D1871,'116_阵营声望'!$A$6:$A$20,0)-1,0),"")</f>
        <v/>
      </c>
      <c r="F1871" s="15">
        <f ca="1">'204_军官任务'!I63</f>
        <v>16493760</v>
      </c>
      <c r="G1871" s="1" t="str">
        <f ca="1" t="shared" si="561"/>
        <v/>
      </c>
      <c r="H1871" s="1">
        <f ca="1" t="shared" si="556"/>
        <v>16493760</v>
      </c>
      <c r="I1871" s="1">
        <f ca="1" t="shared" si="562"/>
        <v>0</v>
      </c>
      <c r="J1871" s="78">
        <f ca="1" t="shared" si="563"/>
        <v>20476800</v>
      </c>
      <c r="K1871" s="79">
        <f ca="1" t="shared" si="564"/>
        <v>1880000</v>
      </c>
      <c r="L1871" s="79">
        <f ca="1" t="shared" si="560"/>
        <v>13208603.6469841</v>
      </c>
      <c r="M1871" s="79">
        <f ca="1" t="shared" si="557"/>
        <v>1981.29054704762</v>
      </c>
      <c r="N1871" s="79">
        <f ca="1">养成规划!X63</f>
        <v>6.1</v>
      </c>
      <c r="O1871" s="79">
        <f ca="1" t="shared" si="565"/>
        <v>15088603.6469841</v>
      </c>
      <c r="P1871" s="1">
        <f ca="1" t="shared" si="566"/>
        <v>31582363.6469841</v>
      </c>
      <c r="Q1871" s="1">
        <f ca="1" t="shared" si="558"/>
        <v>11105563.6469841</v>
      </c>
      <c r="R1871" s="1">
        <f ca="1" t="shared" si="567"/>
        <v>0.52224590231311</v>
      </c>
      <c r="S1871" s="1">
        <f ca="1" t="shared" si="559"/>
        <v>0.351638141182781</v>
      </c>
      <c r="T1871" s="1">
        <f ca="1">OFFSET('116_阵营声望'!$A$6,MATCH(P1871,'116_阵营声望'!$D$6:$D$20,1)-1,0)</f>
        <v>10</v>
      </c>
      <c r="U1871" s="1">
        <f ca="1">VLOOKUP(T1871,'116_阵营声望'!$A$5:$D$20,4,0)</f>
        <v>20476800</v>
      </c>
    </row>
    <row r="1872" spans="2:21">
      <c r="B1872" s="11">
        <v>95</v>
      </c>
      <c r="C1872" s="1" t="str">
        <f>IF(养成规划!L64="","",养成规划!L64)</f>
        <v/>
      </c>
      <c r="D1872" s="30">
        <v>11</v>
      </c>
      <c r="E1872" s="1">
        <f ca="1">IFERROR(OFFSET('116_阵营声望'!$D$6,MATCH(D1872,'116_阵营声望'!$A$6:$A$20,0)-1,0),"")</f>
        <v>33436800</v>
      </c>
      <c r="F1872" s="15">
        <f ca="1">'204_军官任务'!I64</f>
        <v>18293760</v>
      </c>
      <c r="G1872" s="1">
        <f ca="1" t="shared" si="561"/>
        <v>33436800</v>
      </c>
      <c r="H1872" s="1">
        <f ca="1" t="shared" si="556"/>
        <v>18293760</v>
      </c>
      <c r="I1872" s="1">
        <f ca="1" t="shared" si="562"/>
        <v>33436800</v>
      </c>
      <c r="J1872" s="78">
        <f ca="1" t="shared" si="563"/>
        <v>33436800</v>
      </c>
      <c r="K1872" s="79">
        <f ca="1" t="shared" si="564"/>
        <v>1880000</v>
      </c>
      <c r="L1872" s="79">
        <f ca="1" t="shared" si="560"/>
        <v>14258778.1231746</v>
      </c>
      <c r="M1872" s="79">
        <f ca="1" t="shared" si="557"/>
        <v>2138.81671847619</v>
      </c>
      <c r="N1872" s="79">
        <f ca="1">养成规划!X64</f>
        <v>6.1</v>
      </c>
      <c r="O1872" s="79">
        <f ca="1" t="shared" si="565"/>
        <v>16138778.1231746</v>
      </c>
      <c r="P1872" s="1">
        <f ca="1" t="shared" si="566"/>
        <v>34432538.1231746</v>
      </c>
      <c r="Q1872" s="1">
        <f ca="1" t="shared" si="558"/>
        <v>995738.123174608</v>
      </c>
      <c r="R1872" s="1">
        <f ca="1" t="shared" si="567"/>
        <v>0.53129281189084</v>
      </c>
      <c r="S1872" s="1">
        <f ca="1" t="shared" si="559"/>
        <v>0.0289185223468738</v>
      </c>
      <c r="T1872" s="1">
        <f ca="1">OFFSET('116_阵营声望'!$A$6,MATCH(P1872,'116_阵营声望'!$D$6:$D$20,1)-1,0)</f>
        <v>11</v>
      </c>
      <c r="U1872" s="1">
        <f ca="1">VLOOKUP(T1872,'116_阵营声望'!$A$5:$D$20,4,0)</f>
        <v>33436800</v>
      </c>
    </row>
    <row r="1873" spans="2:21">
      <c r="B1873" s="11">
        <v>100</v>
      </c>
      <c r="C1873" s="1" t="str">
        <f>IF(养成规划!L65="","",养成规划!L65)</f>
        <v/>
      </c>
      <c r="D1873" s="30"/>
      <c r="E1873" s="1" t="str">
        <f ca="1">IFERROR(OFFSET('116_阵营声望'!$D$6,MATCH(D1873,'116_阵营声望'!$A$6:$A$20,0)-1,0),"")</f>
        <v/>
      </c>
      <c r="F1873" s="15">
        <f ca="1">'204_军官任务'!I65</f>
        <v>20093760</v>
      </c>
      <c r="G1873" s="1" t="str">
        <f ca="1" t="shared" si="561"/>
        <v/>
      </c>
      <c r="H1873" s="1">
        <f ca="1" t="shared" si="556"/>
        <v>20093760</v>
      </c>
      <c r="I1873" s="1">
        <f ca="1" t="shared" si="562"/>
        <v>0</v>
      </c>
      <c r="J1873" s="78">
        <f ca="1" t="shared" si="563"/>
        <v>33436800</v>
      </c>
      <c r="K1873" s="79">
        <f ca="1" t="shared" si="564"/>
        <v>1880000</v>
      </c>
      <c r="L1873" s="79">
        <f ca="1" t="shared" si="560"/>
        <v>15309944.5993651</v>
      </c>
      <c r="M1873" s="79">
        <f ca="1" t="shared" si="557"/>
        <v>2296.49168990476</v>
      </c>
      <c r="N1873" s="79">
        <f ca="1">养成规划!X65</f>
        <v>6.1</v>
      </c>
      <c r="O1873" s="79">
        <f ca="1" t="shared" si="565"/>
        <v>17189944.5993651</v>
      </c>
      <c r="P1873" s="1">
        <f ca="1" t="shared" si="566"/>
        <v>37283704.5993651</v>
      </c>
      <c r="Q1873" s="1">
        <f ca="1" t="shared" si="558"/>
        <v>3846904.59936508</v>
      </c>
      <c r="R1873" s="1">
        <f ca="1" t="shared" si="567"/>
        <v>0.538942152232967</v>
      </c>
      <c r="S1873" s="1">
        <f ca="1" t="shared" si="559"/>
        <v>0.103179247896696</v>
      </c>
      <c r="T1873" s="1">
        <f ca="1">OFFSET('116_阵营声望'!$A$6,MATCH(P1873,'116_阵营声望'!$D$6:$D$20,1)-1,0)</f>
        <v>11</v>
      </c>
      <c r="U1873" s="1">
        <f ca="1">VLOOKUP(T1873,'116_阵营声望'!$A$5:$D$20,4,0)</f>
        <v>33436800</v>
      </c>
    </row>
    <row r="1874" spans="2:21">
      <c r="B1874" s="11">
        <v>105</v>
      </c>
      <c r="C1874" s="1" t="str">
        <f>IF(养成规划!L66="","",养成规划!L66)</f>
        <v/>
      </c>
      <c r="D1874" s="30"/>
      <c r="E1874" s="1" t="str">
        <f ca="1">IFERROR(OFFSET('116_阵营声望'!$D$6,MATCH(D1874,'116_阵营声望'!$A$6:$A$20,0)-1,0),"")</f>
        <v/>
      </c>
      <c r="F1874" s="15">
        <f ca="1">'204_军官任务'!I66</f>
        <v>21893760</v>
      </c>
      <c r="G1874" s="1" t="str">
        <f ca="1" t="shared" si="561"/>
        <v/>
      </c>
      <c r="H1874" s="1">
        <f ca="1" t="shared" si="556"/>
        <v>21893760</v>
      </c>
      <c r="I1874" s="1">
        <f ca="1" t="shared" si="562"/>
        <v>0</v>
      </c>
      <c r="J1874" s="78">
        <f ca="1" t="shared" si="563"/>
        <v>33436800</v>
      </c>
      <c r="K1874" s="79">
        <f ca="1" t="shared" si="564"/>
        <v>1880000</v>
      </c>
      <c r="L1874" s="79">
        <f ca="1" t="shared" si="560"/>
        <v>16362135.0755556</v>
      </c>
      <c r="M1874" s="79">
        <f ca="1" t="shared" si="557"/>
        <v>2454.32026133333</v>
      </c>
      <c r="N1874" s="79">
        <f ca="1">养成规划!X66</f>
        <v>6.1</v>
      </c>
      <c r="O1874" s="79">
        <f ca="1" t="shared" si="565"/>
        <v>18242135.0755556</v>
      </c>
      <c r="P1874" s="1">
        <f ca="1" t="shared" si="566"/>
        <v>40135895.0755556</v>
      </c>
      <c r="Q1874" s="1">
        <f ca="1" t="shared" si="558"/>
        <v>6699095.07555556</v>
      </c>
      <c r="R1874" s="1">
        <f ca="1" t="shared" si="567"/>
        <v>0.54549076229109</v>
      </c>
      <c r="S1874" s="1">
        <f ca="1" t="shared" si="559"/>
        <v>0.166910319626473</v>
      </c>
      <c r="T1874" s="1">
        <f ca="1">OFFSET('116_阵营声望'!$A$6,MATCH(P1874,'116_阵营声望'!$D$6:$D$20,1)-1,0)</f>
        <v>11</v>
      </c>
      <c r="U1874" s="1">
        <f ca="1">VLOOKUP(T1874,'116_阵营声望'!$A$5:$D$20,4,0)</f>
        <v>33436800</v>
      </c>
    </row>
    <row r="1875" spans="2:21">
      <c r="B1875" s="11">
        <v>110</v>
      </c>
      <c r="C1875" s="1">
        <f>IF(养成规划!L67="","",养成规划!L67)</f>
        <v>10</v>
      </c>
      <c r="D1875" s="30"/>
      <c r="E1875" s="1" t="str">
        <f ca="1">IFERROR(OFFSET('116_阵营声望'!$D$6,MATCH(D1875,'116_阵营声望'!$A$6:$A$20,0)-1,0),"")</f>
        <v/>
      </c>
      <c r="F1875" s="15">
        <f ca="1">'204_军官任务'!I67</f>
        <v>23693760</v>
      </c>
      <c r="G1875" s="1" t="str">
        <f ca="1" t="shared" si="561"/>
        <v/>
      </c>
      <c r="H1875" s="1">
        <f ca="1" t="shared" si="556"/>
        <v>23693760</v>
      </c>
      <c r="I1875" s="1">
        <f ca="1" t="shared" si="562"/>
        <v>0</v>
      </c>
      <c r="J1875" s="78">
        <f ca="1" t="shared" si="563"/>
        <v>33436800</v>
      </c>
      <c r="K1875" s="79">
        <f ca="1" t="shared" si="564"/>
        <v>1880000</v>
      </c>
      <c r="L1875" s="79">
        <f ca="1" t="shared" si="560"/>
        <v>17415317.551746</v>
      </c>
      <c r="M1875" s="79">
        <f ca="1" t="shared" si="557"/>
        <v>2612.2976327619</v>
      </c>
      <c r="N1875" s="79">
        <f ca="1">养成规划!X67</f>
        <v>6.1</v>
      </c>
      <c r="O1875" s="79">
        <f ca="1" t="shared" si="565"/>
        <v>19295317.551746</v>
      </c>
      <c r="P1875" s="1">
        <f ca="1" t="shared" si="566"/>
        <v>42989077.551746</v>
      </c>
      <c r="Q1875" s="1">
        <f ca="1" t="shared" si="558"/>
        <v>9552277.55174603</v>
      </c>
      <c r="R1875" s="1">
        <f ca="1" t="shared" si="567"/>
        <v>0.551157674213404</v>
      </c>
      <c r="S1875" s="1">
        <f ca="1" t="shared" si="559"/>
        <v>0.222202431309393</v>
      </c>
      <c r="T1875" s="1">
        <f ca="1">OFFSET('116_阵营声望'!$A$6,MATCH(P1875,'116_阵营声望'!$D$6:$D$20,1)-1,0)</f>
        <v>11</v>
      </c>
      <c r="U1875" s="1">
        <f ca="1">VLOOKUP(T1875,'116_阵营声望'!$A$5:$D$20,4,0)</f>
        <v>33436800</v>
      </c>
    </row>
    <row r="1876" spans="2:21">
      <c r="B1876" s="11">
        <v>115</v>
      </c>
      <c r="C1876" s="1" t="str">
        <f>IF(养成规划!L68="","",养成规划!L68)</f>
        <v/>
      </c>
      <c r="D1876" s="30"/>
      <c r="E1876" s="1" t="str">
        <f ca="1">IFERROR(OFFSET('116_阵营声望'!$D$6,MATCH(D1876,'116_阵营声望'!$A$6:$A$20,0)-1,0),"")</f>
        <v/>
      </c>
      <c r="F1876" s="15">
        <f ca="1">'204_军官任务'!I68</f>
        <v>25493760</v>
      </c>
      <c r="G1876" s="1" t="str">
        <f ca="1" t="shared" si="561"/>
        <v/>
      </c>
      <c r="H1876" s="1">
        <f ca="1" t="shared" si="556"/>
        <v>25493760</v>
      </c>
      <c r="I1876" s="1">
        <f ca="1" t="shared" si="562"/>
        <v>0</v>
      </c>
      <c r="J1876" s="78">
        <f ca="1" t="shared" si="563"/>
        <v>33436800</v>
      </c>
      <c r="K1876" s="79">
        <f ca="1" t="shared" si="564"/>
        <v>1880000</v>
      </c>
      <c r="L1876" s="79">
        <f ca="1" t="shared" si="560"/>
        <v>18469492.0279365</v>
      </c>
      <c r="M1876" s="79">
        <f ca="1" t="shared" si="557"/>
        <v>2770.42380419048</v>
      </c>
      <c r="N1876" s="79">
        <f ca="1">养成规划!X68</f>
        <v>6.1</v>
      </c>
      <c r="O1876" s="79">
        <f ca="1" t="shared" si="565"/>
        <v>20349492.0279365</v>
      </c>
      <c r="P1876" s="1">
        <f ca="1" t="shared" si="566"/>
        <v>45843252.0279365</v>
      </c>
      <c r="Q1876" s="1">
        <f ca="1" t="shared" si="558"/>
        <v>12406452.0279365</v>
      </c>
      <c r="R1876" s="1">
        <f ca="1" t="shared" si="567"/>
        <v>0.55610714493955</v>
      </c>
      <c r="S1876" s="1">
        <f ca="1" t="shared" si="559"/>
        <v>0.270627660105267</v>
      </c>
      <c r="T1876" s="1">
        <f ca="1">OFFSET('116_阵营声望'!$A$6,MATCH(P1876,'116_阵营声望'!$D$6:$D$20,1)-1,0)</f>
        <v>11</v>
      </c>
      <c r="U1876" s="1">
        <f ca="1">VLOOKUP(T1876,'116_阵营声望'!$A$5:$D$20,4,0)</f>
        <v>33436800</v>
      </c>
    </row>
    <row r="1877" spans="2:21">
      <c r="B1877" s="11">
        <v>120</v>
      </c>
      <c r="C1877" s="1" t="str">
        <f>IF(养成规划!L69="","",养成规划!L69)</f>
        <v/>
      </c>
      <c r="D1877" s="30">
        <v>12</v>
      </c>
      <c r="E1877" s="1">
        <f ca="1">IFERROR(OFFSET('116_阵营声望'!$D$6,MATCH(D1877,'116_阵营声望'!$A$6:$A$20,0)-1,0),"")</f>
        <v>48556800</v>
      </c>
      <c r="F1877" s="15">
        <f ca="1">'204_军官任务'!I69</f>
        <v>27293760</v>
      </c>
      <c r="G1877" s="1">
        <f ca="1" t="shared" si="561"/>
        <v>48556800</v>
      </c>
      <c r="H1877" s="1">
        <f ca="1" t="shared" si="556"/>
        <v>27293760</v>
      </c>
      <c r="I1877" s="1">
        <f ca="1" t="shared" si="562"/>
        <v>48556800</v>
      </c>
      <c r="J1877" s="78">
        <f ca="1" t="shared" si="563"/>
        <v>48556800</v>
      </c>
      <c r="K1877" s="79">
        <f ca="1" t="shared" si="564"/>
        <v>3120000</v>
      </c>
      <c r="L1877" s="79">
        <f ca="1" t="shared" si="560"/>
        <v>19525682.504127</v>
      </c>
      <c r="M1877" s="79">
        <f ca="1" t="shared" si="557"/>
        <v>2928.85237561905</v>
      </c>
      <c r="N1877" s="79">
        <f ca="1">养成规划!X69</f>
        <v>7</v>
      </c>
      <c r="O1877" s="79">
        <f ca="1" t="shared" si="565"/>
        <v>22645682.504127</v>
      </c>
      <c r="P1877" s="1">
        <f ca="1" t="shared" si="566"/>
        <v>49939442.504127</v>
      </c>
      <c r="Q1877" s="1">
        <f ca="1" t="shared" si="558"/>
        <v>1382642.50412698</v>
      </c>
      <c r="R1877" s="1">
        <f ca="1" t="shared" si="567"/>
        <v>0.546537138410074</v>
      </c>
      <c r="S1877" s="1">
        <f ca="1" t="shared" si="559"/>
        <v>0.0276863824423494</v>
      </c>
      <c r="T1877" s="1">
        <f ca="1">OFFSET('116_阵营声望'!$A$6,MATCH(P1877,'116_阵营声望'!$D$6:$D$20,1)-1,0)</f>
        <v>12</v>
      </c>
      <c r="U1877" s="1">
        <f ca="1">VLOOKUP(T1877,'116_阵营声望'!$A$5:$D$20,4,0)</f>
        <v>48556800</v>
      </c>
    </row>
    <row r="1878" spans="2:21">
      <c r="B1878" s="12">
        <v>150</v>
      </c>
      <c r="C1878" s="1">
        <f>IF(养成规划!L70="","",养成规划!L70)</f>
        <v>11</v>
      </c>
      <c r="D1878" s="30">
        <v>13</v>
      </c>
      <c r="E1878" s="1">
        <f ca="1">IFERROR(OFFSET('116_阵营声望'!$D$6,MATCH(D1878,'116_阵营声望'!$A$6:$A$20,0)-1,0),"")</f>
        <v>65836800</v>
      </c>
      <c r="F1878" s="15">
        <f ca="1">'204_军官任务'!I70</f>
        <v>38093760</v>
      </c>
      <c r="G1878" s="1">
        <f ca="1" t="shared" ref="G1878:G1885" si="568">E1878</f>
        <v>65836800</v>
      </c>
      <c r="H1878" s="1">
        <f ca="1" t="shared" si="556"/>
        <v>38093760</v>
      </c>
      <c r="I1878" s="1">
        <f ca="1" t="shared" ref="I1878:I1885" si="569">SUM(G1878:G1878)</f>
        <v>65836800</v>
      </c>
      <c r="J1878" s="78">
        <f ca="1" t="shared" ref="J1878:J1885" si="570">IF(G1878="",INDIRECT(ADDRESS(ROW()-1,COLUMN())),G1878)</f>
        <v>65836800</v>
      </c>
      <c r="K1878" s="79">
        <f ca="1" t="shared" ref="K1878:K1885" si="571">IFERROR(OFFSET($Q$1794,MATCH(N1878,$B$1794:$B$1802,0)-1,0),0)</f>
        <v>3120000</v>
      </c>
      <c r="L1878" s="79">
        <f ca="1" t="shared" si="560"/>
        <v>26752777.3612698</v>
      </c>
      <c r="M1878" s="79">
        <f ca="1" t="shared" si="557"/>
        <v>4012.91660419048</v>
      </c>
      <c r="N1878" s="79">
        <f ca="1">养成规划!X70</f>
        <v>7</v>
      </c>
      <c r="O1878" s="79">
        <f ca="1" t="shared" ref="O1878:O1885" si="572">K1878+L1878</f>
        <v>29872777.3612698</v>
      </c>
      <c r="P1878" s="1">
        <f ca="1" t="shared" ref="P1878:P1885" si="573">O1878+H1878</f>
        <v>67966537.3612698</v>
      </c>
      <c r="Q1878" s="1">
        <f ca="1" t="shared" si="558"/>
        <v>2129737.36126985</v>
      </c>
      <c r="R1878" s="1">
        <f ca="1" t="shared" ref="R1878:R1885" si="574">IFERROR(H1878/P1878,0)</f>
        <v>0.560478162915909</v>
      </c>
      <c r="S1878" s="1">
        <f ca="1" t="shared" si="559"/>
        <v>0.0313350869994954</v>
      </c>
      <c r="T1878" s="1">
        <f ca="1">OFFSET('116_阵营声望'!$A$6,MATCH(P1878,'116_阵营声望'!$D$6:$D$20,1)-1,0)</f>
        <v>13</v>
      </c>
      <c r="U1878" s="1">
        <f ca="1">VLOOKUP(T1878,'116_阵营声望'!$A$5:$D$20,4,0)</f>
        <v>65836800</v>
      </c>
    </row>
    <row r="1879" spans="2:21">
      <c r="B1879" s="12">
        <v>180</v>
      </c>
      <c r="C1879" s="1">
        <f>IF(养成规划!L71="","",养成规划!L71)</f>
        <v>12</v>
      </c>
      <c r="D1879" s="30">
        <v>14</v>
      </c>
      <c r="E1879" s="1">
        <f ca="1">IFERROR(OFFSET('116_阵营声望'!$D$6,MATCH(D1879,'116_阵营声望'!$A$6:$A$20,0)-1,0),"")</f>
        <v>85276800</v>
      </c>
      <c r="F1879" s="15">
        <f ca="1">'204_军官任务'!I71</f>
        <v>48893760</v>
      </c>
      <c r="G1879" s="1">
        <f ca="1" t="shared" si="568"/>
        <v>85276800</v>
      </c>
      <c r="H1879" s="1">
        <f ca="1" t="shared" ref="H1879:H1885" si="575">F1879</f>
        <v>48893760</v>
      </c>
      <c r="I1879" s="1">
        <f ca="1" t="shared" si="569"/>
        <v>85276800</v>
      </c>
      <c r="J1879" s="78">
        <f ca="1" t="shared" si="570"/>
        <v>85276800</v>
      </c>
      <c r="K1879" s="79">
        <f ca="1" t="shared" si="571"/>
        <v>3120000</v>
      </c>
      <c r="L1879" s="79">
        <f ca="1" t="shared" si="560"/>
        <v>34009824.2184127</v>
      </c>
      <c r="M1879" s="79">
        <f ca="1" t="shared" ref="M1879:M1885" si="576">IF(B1879&lt;8,O770+B1879*10,O770+70)</f>
        <v>5101.4736327619</v>
      </c>
      <c r="N1879" s="79">
        <f ca="1">养成规划!X71</f>
        <v>7</v>
      </c>
      <c r="O1879" s="79">
        <f ca="1" t="shared" si="572"/>
        <v>37129824.2184127</v>
      </c>
      <c r="P1879" s="1">
        <f ca="1" t="shared" si="573"/>
        <v>86023584.2184127</v>
      </c>
      <c r="Q1879" s="1">
        <f ca="1" t="shared" ref="Q1879:Q1885" si="577">IFERROR(P1879-J1879,0)</f>
        <v>746784.218412697</v>
      </c>
      <c r="R1879" s="1">
        <f ca="1" t="shared" si="574"/>
        <v>0.568376224313781</v>
      </c>
      <c r="S1879" s="1">
        <f ca="1" t="shared" ref="S1879:S1885" si="578">IFERROR(Q1879/P1879,0)</f>
        <v>0.00868115674553414</v>
      </c>
      <c r="T1879" s="1">
        <f ca="1">OFFSET('116_阵营声望'!$A$6,MATCH(P1879,'116_阵营声望'!$D$6:$D$20,1)-1,0)</f>
        <v>14</v>
      </c>
      <c r="U1879" s="1">
        <f ca="1">VLOOKUP(T1879,'116_阵营声望'!$A$5:$D$20,4,0)</f>
        <v>85276800</v>
      </c>
    </row>
    <row r="1880" spans="2:21">
      <c r="B1880" s="12">
        <v>210</v>
      </c>
      <c r="C1880" s="1" t="str">
        <f>IF(养成规划!L72="","",养成规划!L72)</f>
        <v/>
      </c>
      <c r="D1880" s="30"/>
      <c r="E1880" s="1" t="str">
        <f ca="1">IFERROR(OFFSET('116_阵营声望'!$D$6,MATCH(D1880,'116_阵营声望'!$A$6:$A$20,0)-1,0),"")</f>
        <v/>
      </c>
      <c r="F1880" s="15">
        <f ca="1">'204_军官任务'!I72</f>
        <v>59693760</v>
      </c>
      <c r="G1880" s="1" t="str">
        <f ca="1" t="shared" si="568"/>
        <v/>
      </c>
      <c r="H1880" s="1">
        <f ca="1" t="shared" si="575"/>
        <v>59693760</v>
      </c>
      <c r="I1880" s="1">
        <f ca="1" t="shared" si="569"/>
        <v>0</v>
      </c>
      <c r="J1880" s="78">
        <f ca="1" t="shared" si="570"/>
        <v>85276800</v>
      </c>
      <c r="K1880" s="79">
        <f ca="1" t="shared" si="571"/>
        <v>5760000</v>
      </c>
      <c r="L1880" s="79">
        <f ca="1" t="shared" ref="L1880:L1885" si="579">$B$1791*M1880/3</f>
        <v>41296823.0755556</v>
      </c>
      <c r="M1880" s="79">
        <f ca="1" t="shared" si="576"/>
        <v>6194.52346133333</v>
      </c>
      <c r="N1880" s="79">
        <f ca="1">养成规划!X72</f>
        <v>7.1</v>
      </c>
      <c r="O1880" s="79">
        <f ca="1" t="shared" si="572"/>
        <v>47056823.0755556</v>
      </c>
      <c r="P1880" s="1">
        <f ca="1" t="shared" si="573"/>
        <v>106750583.075556</v>
      </c>
      <c r="Q1880" s="1">
        <f ca="1" t="shared" si="577"/>
        <v>21473783.0755556</v>
      </c>
      <c r="R1880" s="1">
        <f ca="1" t="shared" si="574"/>
        <v>0.559189076819844</v>
      </c>
      <c r="S1880" s="1">
        <f ca="1" t="shared" si="578"/>
        <v>0.201158461685937</v>
      </c>
      <c r="T1880" s="1">
        <f ca="1">OFFSET('116_阵营声望'!$A$6,MATCH(P1880,'116_阵营声望'!$D$6:$D$20,1)-1,0)</f>
        <v>14</v>
      </c>
      <c r="U1880" s="1">
        <f ca="1">VLOOKUP(T1880,'116_阵营声望'!$A$5:$D$20,4,0)</f>
        <v>85276800</v>
      </c>
    </row>
    <row r="1881" spans="2:21">
      <c r="B1881" s="12">
        <v>240</v>
      </c>
      <c r="C1881" s="1">
        <f>IF(养成规划!L73="","",养成规划!L73)</f>
        <v>13</v>
      </c>
      <c r="D1881" s="30">
        <v>15</v>
      </c>
      <c r="E1881" s="1">
        <f ca="1">IFERROR(OFFSET('116_阵营声望'!$D$6,MATCH(D1881,'116_阵营声望'!$A$6:$A$20,0)-1,0),"")</f>
        <v>106876800</v>
      </c>
      <c r="F1881" s="15">
        <f ca="1">'204_军官任务'!I73</f>
        <v>70493760</v>
      </c>
      <c r="G1881" s="1">
        <f ca="1" t="shared" si="568"/>
        <v>106876800</v>
      </c>
      <c r="H1881" s="1">
        <f ca="1" t="shared" si="575"/>
        <v>70493760</v>
      </c>
      <c r="I1881" s="1">
        <f ca="1" t="shared" si="569"/>
        <v>106876800</v>
      </c>
      <c r="J1881" s="78">
        <f ca="1" t="shared" si="570"/>
        <v>106876800</v>
      </c>
      <c r="K1881" s="79">
        <f ca="1" t="shared" si="571"/>
        <v>5760000</v>
      </c>
      <c r="L1881" s="79">
        <f ca="1" t="shared" si="579"/>
        <v>48613965.9326984</v>
      </c>
      <c r="M1881" s="79">
        <f ca="1" t="shared" si="576"/>
        <v>7292.09488990476</v>
      </c>
      <c r="N1881" s="79">
        <f ca="1">养成规划!X73</f>
        <v>7.1</v>
      </c>
      <c r="O1881" s="79">
        <f ca="1" t="shared" si="572"/>
        <v>54373965.9326984</v>
      </c>
      <c r="P1881" s="1">
        <f ca="1" t="shared" si="573"/>
        <v>124867725.932698</v>
      </c>
      <c r="Q1881" s="1">
        <f ca="1" t="shared" si="577"/>
        <v>17990925.9326984</v>
      </c>
      <c r="R1881" s="1">
        <f ca="1" t="shared" si="574"/>
        <v>0.564547479930842</v>
      </c>
      <c r="S1881" s="1">
        <f ca="1" t="shared" si="578"/>
        <v>0.144079871706763</v>
      </c>
      <c r="T1881" s="1">
        <f ca="1">OFFSET('116_阵营声望'!$A$6,MATCH(P1881,'116_阵营声望'!$D$6:$D$20,1)-1,0)</f>
        <v>15</v>
      </c>
      <c r="U1881" s="1">
        <f ca="1">VLOOKUP(T1881,'116_阵营声望'!$A$5:$D$20,4,0)</f>
        <v>106876800</v>
      </c>
    </row>
    <row r="1882" spans="2:21">
      <c r="B1882" s="12">
        <v>270</v>
      </c>
      <c r="C1882" s="1" t="str">
        <f>IF(养成规划!L74="","",养成规划!L74)</f>
        <v/>
      </c>
      <c r="D1882" s="30"/>
      <c r="E1882" s="1" t="str">
        <f ca="1">IFERROR(OFFSET('116_阵营声望'!$D$6,MATCH(D1882,'116_阵营声望'!$A$6:$A$20,0)-1,0),"")</f>
        <v/>
      </c>
      <c r="F1882" s="15">
        <f ca="1">'204_军官任务'!I74</f>
        <v>81293760</v>
      </c>
      <c r="G1882" s="1" t="str">
        <f ca="1" t="shared" si="568"/>
        <v/>
      </c>
      <c r="H1882" s="1">
        <f ca="1" t="shared" si="575"/>
        <v>81293760</v>
      </c>
      <c r="I1882" s="1">
        <f ca="1" t="shared" si="569"/>
        <v>0</v>
      </c>
      <c r="J1882" s="78">
        <f ca="1" t="shared" si="570"/>
        <v>106876800</v>
      </c>
      <c r="K1882" s="79">
        <f ca="1" t="shared" si="571"/>
        <v>5760000</v>
      </c>
      <c r="L1882" s="79">
        <f ca="1" t="shared" si="579"/>
        <v>55961060.7898413</v>
      </c>
      <c r="M1882" s="79">
        <f ca="1" t="shared" si="576"/>
        <v>8394.15911847619</v>
      </c>
      <c r="N1882" s="79">
        <f ca="1">养成规划!X74</f>
        <v>7.1</v>
      </c>
      <c r="O1882" s="79">
        <f ca="1" t="shared" si="572"/>
        <v>61721060.7898413</v>
      </c>
      <c r="P1882" s="1">
        <f ca="1" t="shared" si="573"/>
        <v>143014820.789841</v>
      </c>
      <c r="Q1882" s="1">
        <f ca="1" t="shared" si="577"/>
        <v>36138020.7898413</v>
      </c>
      <c r="R1882" s="1">
        <f ca="1" t="shared" si="574"/>
        <v>0.568428919122028</v>
      </c>
      <c r="S1882" s="1">
        <f ca="1" t="shared" si="578"/>
        <v>0.252687243114094</v>
      </c>
      <c r="T1882" s="1">
        <f ca="1">OFFSET('116_阵营声望'!$A$6,MATCH(P1882,'116_阵营声望'!$D$6:$D$20,1)-1,0)</f>
        <v>15</v>
      </c>
      <c r="U1882" s="1">
        <f ca="1">VLOOKUP(T1882,'116_阵营声望'!$A$5:$D$20,4,0)</f>
        <v>106876800</v>
      </c>
    </row>
    <row r="1883" spans="2:21">
      <c r="B1883" s="12">
        <v>300</v>
      </c>
      <c r="C1883" s="1">
        <f>IF(养成规划!L75="","",养成规划!L75)</f>
        <v>14</v>
      </c>
      <c r="D1883" s="30"/>
      <c r="E1883" s="1" t="str">
        <f ca="1">IFERROR(OFFSET('116_阵营声望'!$D$6,MATCH(D1883,'116_阵营声望'!$A$6:$A$20,0)-1,0),"")</f>
        <v/>
      </c>
      <c r="F1883" s="15">
        <f ca="1">'204_军官任务'!I75</f>
        <v>92093760</v>
      </c>
      <c r="G1883" s="1" t="str">
        <f ca="1" t="shared" si="568"/>
        <v/>
      </c>
      <c r="H1883" s="1">
        <f ca="1" t="shared" si="575"/>
        <v>92093760</v>
      </c>
      <c r="I1883" s="1">
        <f ca="1" t="shared" si="569"/>
        <v>0</v>
      </c>
      <c r="J1883" s="78">
        <f ca="1" t="shared" si="570"/>
        <v>106876800</v>
      </c>
      <c r="K1883" s="79">
        <f ca="1" t="shared" si="571"/>
        <v>5760000</v>
      </c>
      <c r="L1883" s="79">
        <f ca="1" t="shared" si="579"/>
        <v>63338107.6469841</v>
      </c>
      <c r="M1883" s="79">
        <f ca="1" t="shared" si="576"/>
        <v>9500.71614704762</v>
      </c>
      <c r="N1883" s="79">
        <f ca="1">养成规划!X75</f>
        <v>7.1</v>
      </c>
      <c r="O1883" s="79">
        <f ca="1" t="shared" si="572"/>
        <v>69098107.6469841</v>
      </c>
      <c r="P1883" s="1">
        <f ca="1" t="shared" si="573"/>
        <v>161191867.646984</v>
      </c>
      <c r="Q1883" s="1">
        <f ca="1" t="shared" si="577"/>
        <v>54315067.6469841</v>
      </c>
      <c r="R1883" s="1">
        <f ca="1" t="shared" si="574"/>
        <v>0.571330063633784</v>
      </c>
      <c r="S1883" s="1">
        <f ca="1" t="shared" si="578"/>
        <v>0.336959106187268</v>
      </c>
      <c r="T1883" s="1">
        <f ca="1">OFFSET('116_阵营声望'!$A$6,MATCH(P1883,'116_阵营声望'!$D$6:$D$20,1)-1,0)</f>
        <v>15</v>
      </c>
      <c r="U1883" s="1">
        <f ca="1">VLOOKUP(T1883,'116_阵营声望'!$A$5:$D$20,4,0)</f>
        <v>106876800</v>
      </c>
    </row>
    <row r="1884" spans="2:21">
      <c r="B1884" s="12">
        <v>330</v>
      </c>
      <c r="C1884" s="1" t="str">
        <f>IF(养成规划!L76="","",养成规划!L76)</f>
        <v/>
      </c>
      <c r="D1884" s="30"/>
      <c r="E1884" s="1" t="str">
        <f ca="1">IFERROR(OFFSET('116_阵营声望'!$D$6,MATCH(D1884,'116_阵营声望'!$A$6:$A$20,0)-1,0),"")</f>
        <v/>
      </c>
      <c r="F1884" s="15">
        <f ca="1">'204_军官任务'!I76</f>
        <v>102893760</v>
      </c>
      <c r="G1884" s="1" t="str">
        <f ca="1" t="shared" si="568"/>
        <v/>
      </c>
      <c r="H1884" s="1">
        <f ca="1" t="shared" si="575"/>
        <v>102893760</v>
      </c>
      <c r="I1884" s="1">
        <f ca="1" t="shared" si="569"/>
        <v>0</v>
      </c>
      <c r="J1884" s="78">
        <f ca="1" t="shared" si="570"/>
        <v>106876800</v>
      </c>
      <c r="K1884" s="79">
        <f ca="1" t="shared" si="571"/>
        <v>5760000</v>
      </c>
      <c r="L1884" s="79">
        <f ca="1" t="shared" si="579"/>
        <v>70745106.504127</v>
      </c>
      <c r="M1884" s="79">
        <f ca="1" t="shared" si="576"/>
        <v>10611.765975619</v>
      </c>
      <c r="N1884" s="79">
        <f ca="1">养成规划!X76</f>
        <v>7.1</v>
      </c>
      <c r="O1884" s="79">
        <f ca="1" t="shared" si="572"/>
        <v>76505106.504127</v>
      </c>
      <c r="P1884" s="1">
        <f ca="1" t="shared" si="573"/>
        <v>179398866.504127</v>
      </c>
      <c r="Q1884" s="1">
        <f ca="1" t="shared" si="577"/>
        <v>72522066.504127</v>
      </c>
      <c r="R1884" s="1">
        <f ca="1" t="shared" si="574"/>
        <v>0.573547436530949</v>
      </c>
      <c r="S1884" s="1">
        <f ca="1" t="shared" si="578"/>
        <v>0.404250416501147</v>
      </c>
      <c r="T1884" s="1">
        <f ca="1">OFFSET('116_阵营声望'!$A$6,MATCH(P1884,'116_阵营声望'!$D$6:$D$20,1)-1,0)</f>
        <v>15</v>
      </c>
      <c r="U1884" s="1">
        <f ca="1">VLOOKUP(T1884,'116_阵营声望'!$A$5:$D$20,4,0)</f>
        <v>106876800</v>
      </c>
    </row>
    <row r="1885" spans="2:21">
      <c r="B1885" s="12">
        <v>360</v>
      </c>
      <c r="C1885" s="1">
        <f>IF(养成规划!L77="","",养成规划!L77)</f>
        <v>15</v>
      </c>
      <c r="D1885" s="30"/>
      <c r="E1885" s="1" t="str">
        <f ca="1">IFERROR(OFFSET('116_阵营声望'!$D$6,MATCH(D1885,'116_阵营声望'!$A$6:$A$20,0)-1,0),"")</f>
        <v/>
      </c>
      <c r="F1885" s="15">
        <f ca="1">'204_军官任务'!I77</f>
        <v>113693760</v>
      </c>
      <c r="G1885" s="1" t="str">
        <f ca="1" t="shared" si="568"/>
        <v/>
      </c>
      <c r="H1885" s="1">
        <f ca="1" t="shared" si="575"/>
        <v>113693760</v>
      </c>
      <c r="I1885" s="1">
        <f ca="1" t="shared" si="569"/>
        <v>0</v>
      </c>
      <c r="J1885" s="78">
        <f ca="1" t="shared" si="570"/>
        <v>106876800</v>
      </c>
      <c r="K1885" s="79">
        <f ca="1" t="shared" si="571"/>
        <v>13000000</v>
      </c>
      <c r="L1885" s="79">
        <f ca="1" t="shared" si="579"/>
        <v>78182249.3612698</v>
      </c>
      <c r="M1885" s="79">
        <f ca="1" t="shared" si="576"/>
        <v>11727.3374041905</v>
      </c>
      <c r="N1885" s="79">
        <f ca="1">养成规划!X77</f>
        <v>7.2</v>
      </c>
      <c r="O1885" s="79">
        <f ca="1" t="shared" si="572"/>
        <v>91182249.3612698</v>
      </c>
      <c r="P1885" s="1">
        <f ca="1" t="shared" si="573"/>
        <v>204876009.36127</v>
      </c>
      <c r="Q1885" s="1">
        <f ca="1" t="shared" si="577"/>
        <v>97999209.3612698</v>
      </c>
      <c r="R1885" s="1">
        <f ca="1" t="shared" si="574"/>
        <v>0.554939352608714</v>
      </c>
      <c r="S1885" s="1">
        <f ca="1" t="shared" si="578"/>
        <v>0.478334235749692</v>
      </c>
      <c r="T1885" s="1">
        <f ca="1">OFFSET('116_阵营声望'!$A$6,MATCH(P1885,'116_阵营声望'!$D$6:$D$20,1)-1,0)</f>
        <v>15</v>
      </c>
      <c r="U1885" s="1">
        <f ca="1">VLOOKUP(T1885,'116_阵营声望'!$A$5:$D$20,4,0)</f>
        <v>106876800</v>
      </c>
    </row>
    <row r="1888" s="25" customFormat="1" spans="1:5">
      <c r="A1888" s="2" t="s">
        <v>469</v>
      </c>
      <c r="B1888" s="2"/>
      <c r="C1888" s="41" t="s">
        <v>436</v>
      </c>
      <c r="E1888" s="26" t="s">
        <v>1213</v>
      </c>
    </row>
    <row r="1890" spans="2:12">
      <c r="B1890" s="27" t="s">
        <v>1214</v>
      </c>
      <c r="C1890" s="27"/>
      <c r="D1890" s="27"/>
      <c r="E1890" s="27"/>
      <c r="F1890" s="27"/>
      <c r="G1890" s="27"/>
      <c r="H1890" s="27"/>
      <c r="I1890" s="27"/>
      <c r="J1890" s="27"/>
      <c r="K1890" s="27"/>
      <c r="L1890" s="27"/>
    </row>
    <row r="1892" spans="2:5">
      <c r="B1892" s="1" t="s">
        <v>1215</v>
      </c>
      <c r="E1892" s="30">
        <v>3</v>
      </c>
    </row>
    <row r="1893" spans="2:5">
      <c r="B1893" s="1" t="s">
        <v>1216</v>
      </c>
      <c r="E1893" s="30">
        <v>60</v>
      </c>
    </row>
    <row r="1895" spans="2:6">
      <c r="B1895" s="1" t="s">
        <v>1184</v>
      </c>
      <c r="E1895" s="1">
        <f>总规划!$D$115</f>
        <v>10.8</v>
      </c>
      <c r="F1895" s="1" t="str">
        <f>总规划!$C$115</f>
        <v>1M阵经</v>
      </c>
    </row>
    <row r="1896" spans="2:5">
      <c r="B1896" s="1" t="s">
        <v>1217</v>
      </c>
      <c r="E1896" s="5">
        <f>$E$1895/30*$E$1893/$E$1892*1000000</f>
        <v>7200000</v>
      </c>
    </row>
    <row r="1898" spans="2:12">
      <c r="B1898" s="27" t="s">
        <v>1051</v>
      </c>
      <c r="C1898" s="27"/>
      <c r="D1898" s="27"/>
      <c r="E1898" s="27"/>
      <c r="F1898" s="27"/>
      <c r="G1898" s="27"/>
      <c r="H1898" s="27"/>
      <c r="I1898" s="27"/>
      <c r="J1898" s="27"/>
      <c r="K1898" s="27"/>
      <c r="L1898" s="27"/>
    </row>
    <row r="1900" spans="2:7">
      <c r="B1900" s="1" t="s">
        <v>62</v>
      </c>
      <c r="C1900" s="1" t="s">
        <v>1051</v>
      </c>
      <c r="D1900" s="1" t="s">
        <v>809</v>
      </c>
      <c r="E1900" s="1" t="s">
        <v>1218</v>
      </c>
      <c r="F1900" s="1" t="s">
        <v>1219</v>
      </c>
      <c r="G1900" s="1" t="s">
        <v>1220</v>
      </c>
    </row>
    <row r="1901" spans="2:7">
      <c r="B1901" s="1">
        <v>1</v>
      </c>
      <c r="C1901" s="56">
        <v>0</v>
      </c>
      <c r="E1901" s="1">
        <f>C1901*$E$1896*$E$1892</f>
        <v>0</v>
      </c>
      <c r="F1901" s="1">
        <f>SUM($E$1901:E1901)</f>
        <v>0</v>
      </c>
      <c r="G1901" s="1">
        <f ca="1">IFERROR(OFFSET($M$1814,MATCH(F1901,$O$1814:$O$1885,1)-1,0),0)</f>
        <v>0</v>
      </c>
    </row>
    <row r="1902" spans="2:7">
      <c r="B1902" s="1">
        <v>2</v>
      </c>
      <c r="C1902" s="56">
        <v>0.02</v>
      </c>
      <c r="D1902" s="68"/>
      <c r="E1902" s="1">
        <f t="shared" ref="E1902:E1915" si="580">C1902*$E$1896*$E$1892</f>
        <v>432000</v>
      </c>
      <c r="F1902" s="1">
        <f>SUM($E$1901:E1902)</f>
        <v>432000</v>
      </c>
      <c r="G1902" s="1">
        <f ca="1" t="shared" ref="G1902:G1915" si="581">IFERROR(OFFSET($M$1814,MATCH(F1902,$O$1814:$O$1885,1)-1,0),0)</f>
        <v>12.9713546666667</v>
      </c>
    </row>
    <row r="1903" spans="2:7">
      <c r="B1903" s="1">
        <v>3</v>
      </c>
      <c r="C1903" s="56">
        <v>0.023</v>
      </c>
      <c r="D1903" s="58">
        <f t="shared" ref="D1903:D1915" si="582">C1903/C1902</f>
        <v>1.15</v>
      </c>
      <c r="E1903" s="1">
        <f t="shared" si="580"/>
        <v>496800</v>
      </c>
      <c r="F1903" s="1">
        <f>SUM($E$1901:E1903)</f>
        <v>928800</v>
      </c>
      <c r="G1903" s="1">
        <f ca="1" t="shared" si="581"/>
        <v>88.6411013333333</v>
      </c>
    </row>
    <row r="1904" spans="2:7">
      <c r="B1904" s="1">
        <v>4</v>
      </c>
      <c r="C1904" s="56">
        <v>0.03</v>
      </c>
      <c r="D1904" s="68">
        <f t="shared" si="582"/>
        <v>1.30434782608696</v>
      </c>
      <c r="E1904" s="1">
        <f t="shared" si="580"/>
        <v>648000</v>
      </c>
      <c r="F1904" s="1">
        <f>SUM($E$1901:E1904)</f>
        <v>1576800</v>
      </c>
      <c r="G1904" s="1">
        <f ca="1" t="shared" si="581"/>
        <v>126.895255619048</v>
      </c>
    </row>
    <row r="1905" spans="2:7">
      <c r="B1905" s="1">
        <v>5</v>
      </c>
      <c r="C1905" s="56">
        <v>0.06</v>
      </c>
      <c r="D1905" s="68">
        <f t="shared" si="582"/>
        <v>2</v>
      </c>
      <c r="E1905" s="1">
        <f t="shared" si="580"/>
        <v>1296000</v>
      </c>
      <c r="F1905" s="1">
        <f>SUM($E$1901:E1905)</f>
        <v>2872800</v>
      </c>
      <c r="G1905" s="1">
        <f ca="1" t="shared" si="581"/>
        <v>247.746409904762</v>
      </c>
    </row>
    <row r="1906" spans="2:7">
      <c r="B1906" s="1">
        <v>6</v>
      </c>
      <c r="C1906" s="56">
        <v>0.075</v>
      </c>
      <c r="D1906" s="68">
        <f t="shared" si="582"/>
        <v>1.25</v>
      </c>
      <c r="E1906" s="1">
        <f t="shared" si="580"/>
        <v>1620000</v>
      </c>
      <c r="F1906" s="1">
        <f>SUM($E$1901:E1906)</f>
        <v>4492800</v>
      </c>
      <c r="G1906" s="1">
        <f ca="1" t="shared" si="581"/>
        <v>432.318051809524</v>
      </c>
    </row>
    <row r="1907" spans="2:7">
      <c r="B1907" s="1">
        <v>7</v>
      </c>
      <c r="C1907" s="56">
        <v>0.1</v>
      </c>
      <c r="D1907" s="68">
        <f t="shared" si="582"/>
        <v>1.33333333333333</v>
      </c>
      <c r="E1907" s="1">
        <f t="shared" si="580"/>
        <v>2160000</v>
      </c>
      <c r="F1907" s="1">
        <f>SUM($E$1901:E1907)</f>
        <v>6652800</v>
      </c>
      <c r="G1907" s="1">
        <f ca="1" t="shared" si="581"/>
        <v>769.807308952381</v>
      </c>
    </row>
    <row r="1908" spans="2:7">
      <c r="B1908" s="1">
        <v>8</v>
      </c>
      <c r="C1908" s="56">
        <v>0.14</v>
      </c>
      <c r="D1908" s="68">
        <f t="shared" si="582"/>
        <v>1.4</v>
      </c>
      <c r="E1908" s="1">
        <f t="shared" si="580"/>
        <v>3024000</v>
      </c>
      <c r="F1908" s="1">
        <f>SUM($E$1901:E1908)</f>
        <v>9676800</v>
      </c>
      <c r="G1908" s="1">
        <f ca="1" t="shared" si="581"/>
        <v>1117.06205180952</v>
      </c>
    </row>
    <row r="1909" spans="2:7">
      <c r="B1909" s="1">
        <v>9</v>
      </c>
      <c r="C1909" s="56">
        <v>0.2</v>
      </c>
      <c r="D1909" s="68">
        <f t="shared" si="582"/>
        <v>1.42857142857143</v>
      </c>
      <c r="E1909" s="1">
        <f t="shared" si="580"/>
        <v>4320000</v>
      </c>
      <c r="F1909" s="1">
        <f>SUM($E$1901:E1909)</f>
        <v>13996800</v>
      </c>
      <c r="G1909" s="1">
        <f ca="1" t="shared" si="581"/>
        <v>1685.35127085714</v>
      </c>
    </row>
    <row r="1910" spans="2:7">
      <c r="B1910" s="1">
        <v>10</v>
      </c>
      <c r="C1910" s="56">
        <v>0.3</v>
      </c>
      <c r="D1910" s="68">
        <f t="shared" si="582"/>
        <v>1.5</v>
      </c>
      <c r="E1910" s="1">
        <f t="shared" si="580"/>
        <v>6480000</v>
      </c>
      <c r="F1910" s="1">
        <f>SUM($E$1901:E1910)</f>
        <v>20476800</v>
      </c>
      <c r="G1910" s="1">
        <f ca="1" t="shared" si="581"/>
        <v>2770.42380419048</v>
      </c>
    </row>
    <row r="1911" spans="2:7">
      <c r="B1911" s="1">
        <v>11</v>
      </c>
      <c r="C1911" s="56">
        <v>0.6</v>
      </c>
      <c r="D1911" s="68">
        <f t="shared" si="582"/>
        <v>2</v>
      </c>
      <c r="E1911" s="1">
        <f t="shared" si="580"/>
        <v>12960000</v>
      </c>
      <c r="F1911" s="1">
        <f>SUM($E$1901:E1911)</f>
        <v>33436800</v>
      </c>
      <c r="G1911" s="1">
        <f ca="1" t="shared" si="581"/>
        <v>4012.91660419048</v>
      </c>
    </row>
    <row r="1912" spans="2:7">
      <c r="B1912" s="1">
        <v>12</v>
      </c>
      <c r="C1912" s="56">
        <v>0.7</v>
      </c>
      <c r="D1912" s="68">
        <f t="shared" si="582"/>
        <v>1.16666666666667</v>
      </c>
      <c r="E1912" s="1">
        <f t="shared" si="580"/>
        <v>15120000</v>
      </c>
      <c r="F1912" s="1">
        <f>SUM($E$1901:E1912)</f>
        <v>48556800</v>
      </c>
      <c r="G1912" s="1">
        <f ca="1" t="shared" si="581"/>
        <v>6194.52346133333</v>
      </c>
    </row>
    <row r="1913" spans="2:7">
      <c r="B1913" s="1">
        <v>13</v>
      </c>
      <c r="C1913" s="56">
        <v>0.8</v>
      </c>
      <c r="D1913" s="68">
        <f t="shared" si="582"/>
        <v>1.14285714285714</v>
      </c>
      <c r="E1913" s="1">
        <f t="shared" si="580"/>
        <v>17280000</v>
      </c>
      <c r="F1913" s="1">
        <f>SUM($E$1901:E1913)</f>
        <v>65836800</v>
      </c>
      <c r="G1913" s="1">
        <f ca="1" t="shared" si="581"/>
        <v>8394.15911847619</v>
      </c>
    </row>
    <row r="1914" spans="2:7">
      <c r="B1914" s="1">
        <v>14</v>
      </c>
      <c r="C1914" s="56">
        <v>0.9</v>
      </c>
      <c r="D1914" s="68">
        <f t="shared" si="582"/>
        <v>1.125</v>
      </c>
      <c r="E1914" s="1">
        <f t="shared" si="580"/>
        <v>19440000</v>
      </c>
      <c r="F1914" s="1">
        <f>SUM($E$1901:E1914)</f>
        <v>85276800</v>
      </c>
      <c r="G1914" s="1">
        <f ca="1" t="shared" si="581"/>
        <v>10611.765975619</v>
      </c>
    </row>
    <row r="1915" spans="2:7">
      <c r="B1915" s="1">
        <v>15</v>
      </c>
      <c r="C1915" s="56">
        <v>1</v>
      </c>
      <c r="D1915" s="68">
        <f t="shared" si="582"/>
        <v>1.11111111111111</v>
      </c>
      <c r="E1915" s="1">
        <f t="shared" si="580"/>
        <v>21600000</v>
      </c>
      <c r="F1915" s="1">
        <f>SUM($E$1901:E1915)</f>
        <v>106876800</v>
      </c>
      <c r="G1915" s="1">
        <f ca="1" t="shared" si="581"/>
        <v>11727.3374041905</v>
      </c>
    </row>
    <row r="1918" s="25" customFormat="1" spans="1:5">
      <c r="A1918" s="2" t="s">
        <v>472</v>
      </c>
      <c r="B1918" s="2"/>
      <c r="C1918" s="41" t="s">
        <v>436</v>
      </c>
      <c r="E1918" s="41"/>
    </row>
    <row r="1920" spans="2:12">
      <c r="B1920" s="27" t="s">
        <v>1221</v>
      </c>
      <c r="C1920" s="27"/>
      <c r="D1920" s="27"/>
      <c r="E1920" s="27"/>
      <c r="F1920" s="27"/>
      <c r="G1920" s="27"/>
      <c r="H1920" s="27"/>
      <c r="I1920" s="27"/>
      <c r="J1920" s="27"/>
      <c r="K1920" s="27"/>
      <c r="L1920" s="27"/>
    </row>
    <row r="1922" spans="2:5">
      <c r="B1922" s="1" t="s">
        <v>1221</v>
      </c>
      <c r="E1922" s="1">
        <f>总规划!D116*1000/30</f>
        <v>300</v>
      </c>
    </row>
    <row r="1924" spans="2:12">
      <c r="B1924" s="27" t="s">
        <v>1222</v>
      </c>
      <c r="C1924" s="27"/>
      <c r="D1924" s="27"/>
      <c r="E1924" s="27"/>
      <c r="F1924" s="27"/>
      <c r="G1924" s="27"/>
      <c r="H1924" s="27"/>
      <c r="I1924" s="27"/>
      <c r="J1924" s="27"/>
      <c r="K1924" s="27"/>
      <c r="L1924" s="27"/>
    </row>
    <row r="1926" spans="2:7">
      <c r="B1926" s="1" t="s">
        <v>382</v>
      </c>
      <c r="C1926" s="1" t="s">
        <v>471</v>
      </c>
      <c r="D1926" s="1" t="s">
        <v>1223</v>
      </c>
      <c r="E1926" s="15" t="s">
        <v>1224</v>
      </c>
      <c r="F1926" s="1" t="s">
        <v>1225</v>
      </c>
      <c r="G1926" s="1" t="s">
        <v>1226</v>
      </c>
    </row>
    <row r="1927" spans="2:7">
      <c r="B1927" s="7">
        <v>0</v>
      </c>
      <c r="C1927" s="1">
        <f>IF(养成规划!M6="","",养成规划!M6)</f>
        <v>0</v>
      </c>
      <c r="D1927" s="1">
        <f ca="1" t="shared" ref="D1927:D1958" si="583">IFERROR(OFFSET($D$2006,MATCH(C1927,$B$2006:$B$2021,0)-1,0),"")</f>
        <v>0</v>
      </c>
      <c r="E1927" s="15">
        <f>$E$1922*B1927</f>
        <v>0</v>
      </c>
      <c r="F1927" s="1">
        <f ca="1">D1927</f>
        <v>0</v>
      </c>
      <c r="G1927" s="1">
        <f>E1927</f>
        <v>0</v>
      </c>
    </row>
    <row r="1928" spans="2:7">
      <c r="B1928" s="7">
        <v>0.1</v>
      </c>
      <c r="C1928" s="1" t="str">
        <f>IF(养成规划!M7="","",养成规划!M7)</f>
        <v/>
      </c>
      <c r="D1928" s="1" t="str">
        <f ca="1" t="shared" si="583"/>
        <v/>
      </c>
      <c r="E1928" s="15">
        <f t="shared" ref="E1928:E1991" si="584">$E$1922*B1928</f>
        <v>30</v>
      </c>
      <c r="F1928" s="1" t="str">
        <f ca="1" t="shared" ref="F1928:F1959" si="585">D1928</f>
        <v/>
      </c>
      <c r="G1928" s="1">
        <f t="shared" ref="G1928:G1991" si="586">E1928</f>
        <v>30</v>
      </c>
    </row>
    <row r="1929" spans="2:7">
      <c r="B1929" s="7">
        <v>0.2</v>
      </c>
      <c r="C1929" s="1" t="str">
        <f>IF(养成规划!M8="","",养成规划!M8)</f>
        <v/>
      </c>
      <c r="D1929" s="1" t="str">
        <f ca="1" t="shared" si="583"/>
        <v/>
      </c>
      <c r="E1929" s="15">
        <f t="shared" si="584"/>
        <v>60</v>
      </c>
      <c r="F1929" s="1" t="str">
        <f ca="1" t="shared" si="585"/>
        <v/>
      </c>
      <c r="G1929" s="1">
        <f t="shared" si="586"/>
        <v>60</v>
      </c>
    </row>
    <row r="1930" spans="2:7">
      <c r="B1930" s="7">
        <v>0.3</v>
      </c>
      <c r="C1930" s="1" t="str">
        <f>IF(养成规划!M9="","",养成规划!M9)</f>
        <v/>
      </c>
      <c r="D1930" s="1" t="str">
        <f ca="1" t="shared" si="583"/>
        <v/>
      </c>
      <c r="E1930" s="15">
        <f t="shared" si="584"/>
        <v>90</v>
      </c>
      <c r="F1930" s="1" t="str">
        <f ca="1" t="shared" si="585"/>
        <v/>
      </c>
      <c r="G1930" s="1">
        <f t="shared" si="586"/>
        <v>90</v>
      </c>
    </row>
    <row r="1931" spans="2:7">
      <c r="B1931" s="7">
        <v>0.4</v>
      </c>
      <c r="C1931" s="1" t="str">
        <f>IF(养成规划!M10="","",养成规划!M10)</f>
        <v/>
      </c>
      <c r="D1931" s="1" t="str">
        <f ca="1" t="shared" si="583"/>
        <v/>
      </c>
      <c r="E1931" s="15">
        <f t="shared" si="584"/>
        <v>120</v>
      </c>
      <c r="F1931" s="1" t="str">
        <f ca="1" t="shared" si="585"/>
        <v/>
      </c>
      <c r="G1931" s="1">
        <f t="shared" si="586"/>
        <v>120</v>
      </c>
    </row>
    <row r="1932" spans="2:7">
      <c r="B1932" s="7">
        <v>0.5</v>
      </c>
      <c r="C1932" s="1" t="str">
        <f>IF(养成规划!M11="","",养成规划!M11)</f>
        <v/>
      </c>
      <c r="D1932" s="1" t="str">
        <f ca="1" t="shared" si="583"/>
        <v/>
      </c>
      <c r="E1932" s="15">
        <f t="shared" si="584"/>
        <v>150</v>
      </c>
      <c r="F1932" s="1" t="str">
        <f ca="1" t="shared" si="585"/>
        <v/>
      </c>
      <c r="G1932" s="1">
        <f t="shared" si="586"/>
        <v>150</v>
      </c>
    </row>
    <row r="1933" spans="2:7">
      <c r="B1933" s="7">
        <v>0.6</v>
      </c>
      <c r="C1933" s="1" t="str">
        <f>IF(养成规划!M12="","",养成规划!M12)</f>
        <v/>
      </c>
      <c r="D1933" s="1" t="str">
        <f ca="1" t="shared" si="583"/>
        <v/>
      </c>
      <c r="E1933" s="15">
        <f t="shared" si="584"/>
        <v>180</v>
      </c>
      <c r="F1933" s="1" t="str">
        <f ca="1" t="shared" si="585"/>
        <v/>
      </c>
      <c r="G1933" s="1">
        <f t="shared" si="586"/>
        <v>180</v>
      </c>
    </row>
    <row r="1934" spans="2:7">
      <c r="B1934" s="7">
        <v>0.7</v>
      </c>
      <c r="C1934" s="1" t="str">
        <f>IF(养成规划!M13="","",养成规划!M13)</f>
        <v/>
      </c>
      <c r="D1934" s="1" t="str">
        <f ca="1" t="shared" si="583"/>
        <v/>
      </c>
      <c r="E1934" s="15">
        <f t="shared" si="584"/>
        <v>210</v>
      </c>
      <c r="F1934" s="1" t="str">
        <f ca="1" t="shared" si="585"/>
        <v/>
      </c>
      <c r="G1934" s="1">
        <f t="shared" si="586"/>
        <v>210</v>
      </c>
    </row>
    <row r="1935" spans="2:7">
      <c r="B1935" s="7">
        <v>0.8</v>
      </c>
      <c r="C1935" s="1" t="str">
        <f>IF(养成规划!M14="","",养成规划!M14)</f>
        <v/>
      </c>
      <c r="D1935" s="1" t="str">
        <f ca="1" t="shared" si="583"/>
        <v/>
      </c>
      <c r="E1935" s="15">
        <f t="shared" si="584"/>
        <v>240</v>
      </c>
      <c r="F1935" s="1" t="str">
        <f ca="1" t="shared" si="585"/>
        <v/>
      </c>
      <c r="G1935" s="1">
        <f t="shared" si="586"/>
        <v>240</v>
      </c>
    </row>
    <row r="1936" spans="2:7">
      <c r="B1936" s="7">
        <v>0.9</v>
      </c>
      <c r="C1936" s="1" t="str">
        <f>IF(养成规划!M15="","",养成规划!M15)</f>
        <v/>
      </c>
      <c r="D1936" s="1" t="str">
        <f ca="1" t="shared" si="583"/>
        <v/>
      </c>
      <c r="E1936" s="15">
        <f t="shared" si="584"/>
        <v>270</v>
      </c>
      <c r="F1936" s="1" t="str">
        <f ca="1" t="shared" si="585"/>
        <v/>
      </c>
      <c r="G1936" s="1">
        <f t="shared" si="586"/>
        <v>270</v>
      </c>
    </row>
    <row r="1937" spans="2:7">
      <c r="B1937" s="7">
        <v>1</v>
      </c>
      <c r="C1937" s="1" t="str">
        <f>IF(养成规划!M16="","",养成规划!M16)</f>
        <v/>
      </c>
      <c r="D1937" s="1" t="str">
        <f ca="1" t="shared" si="583"/>
        <v/>
      </c>
      <c r="E1937" s="15">
        <f t="shared" si="584"/>
        <v>300</v>
      </c>
      <c r="F1937" s="1" t="str">
        <f ca="1" t="shared" si="585"/>
        <v/>
      </c>
      <c r="G1937" s="1">
        <f t="shared" si="586"/>
        <v>300</v>
      </c>
    </row>
    <row r="1938" spans="2:7">
      <c r="B1938" s="9">
        <v>1.5</v>
      </c>
      <c r="C1938" s="1" t="str">
        <f>IF(养成规划!M17="","",养成规划!M17)</f>
        <v/>
      </c>
      <c r="D1938" s="1" t="str">
        <f ca="1" t="shared" si="583"/>
        <v/>
      </c>
      <c r="E1938" s="15">
        <f t="shared" si="584"/>
        <v>450</v>
      </c>
      <c r="F1938" s="1" t="str">
        <f ca="1" t="shared" si="585"/>
        <v/>
      </c>
      <c r="G1938" s="1">
        <f t="shared" si="586"/>
        <v>450</v>
      </c>
    </row>
    <row r="1939" spans="2:7">
      <c r="B1939" s="9">
        <v>2</v>
      </c>
      <c r="C1939" s="1">
        <f>IF(养成规划!M18="","",养成规划!M18)</f>
        <v>1</v>
      </c>
      <c r="D1939" s="1">
        <f ca="1" t="shared" si="583"/>
        <v>200</v>
      </c>
      <c r="E1939" s="15">
        <f t="shared" si="584"/>
        <v>600</v>
      </c>
      <c r="F1939" s="1">
        <f ca="1" t="shared" si="585"/>
        <v>200</v>
      </c>
      <c r="G1939" s="1">
        <f t="shared" si="586"/>
        <v>600</v>
      </c>
    </row>
    <row r="1940" spans="2:7">
      <c r="B1940" s="9">
        <v>2.5</v>
      </c>
      <c r="C1940" s="1" t="str">
        <f>IF(养成规划!M19="","",养成规划!M19)</f>
        <v/>
      </c>
      <c r="D1940" s="1" t="str">
        <f ca="1" t="shared" si="583"/>
        <v/>
      </c>
      <c r="E1940" s="15">
        <f t="shared" si="584"/>
        <v>750</v>
      </c>
      <c r="F1940" s="1" t="str">
        <f ca="1" t="shared" si="585"/>
        <v/>
      </c>
      <c r="G1940" s="1">
        <f t="shared" si="586"/>
        <v>750</v>
      </c>
    </row>
    <row r="1941" spans="2:7">
      <c r="B1941" s="9">
        <v>3</v>
      </c>
      <c r="C1941" s="1" t="str">
        <f>IF(养成规划!M20="","",养成规划!M20)</f>
        <v/>
      </c>
      <c r="D1941" s="1" t="str">
        <f ca="1" t="shared" si="583"/>
        <v/>
      </c>
      <c r="E1941" s="15">
        <f t="shared" si="584"/>
        <v>900</v>
      </c>
      <c r="F1941" s="1" t="str">
        <f ca="1" t="shared" si="585"/>
        <v/>
      </c>
      <c r="G1941" s="1">
        <f t="shared" si="586"/>
        <v>900</v>
      </c>
    </row>
    <row r="1942" spans="2:7">
      <c r="B1942" s="9">
        <v>3.5</v>
      </c>
      <c r="C1942" s="1" t="str">
        <f>IF(养成规划!M21="","",养成规划!M21)</f>
        <v/>
      </c>
      <c r="D1942" s="1" t="str">
        <f ca="1" t="shared" si="583"/>
        <v/>
      </c>
      <c r="E1942" s="15">
        <f t="shared" si="584"/>
        <v>1050</v>
      </c>
      <c r="F1942" s="1" t="str">
        <f ca="1" t="shared" si="585"/>
        <v/>
      </c>
      <c r="G1942" s="1">
        <f t="shared" si="586"/>
        <v>1050</v>
      </c>
    </row>
    <row r="1943" spans="2:7">
      <c r="B1943" s="9">
        <v>4</v>
      </c>
      <c r="C1943" s="1">
        <f>IF(养成规划!M22="","",养成规划!M22)</f>
        <v>2</v>
      </c>
      <c r="D1943" s="1">
        <f ca="1" t="shared" si="583"/>
        <v>1500</v>
      </c>
      <c r="E1943" s="15">
        <f t="shared" si="584"/>
        <v>1200</v>
      </c>
      <c r="F1943" s="1">
        <f ca="1" t="shared" si="585"/>
        <v>1500</v>
      </c>
      <c r="G1943" s="1">
        <f t="shared" si="586"/>
        <v>1200</v>
      </c>
    </row>
    <row r="1944" spans="2:7">
      <c r="B1944" s="9">
        <v>4.5</v>
      </c>
      <c r="C1944" s="1" t="str">
        <f>IF(养成规划!M23="","",养成规划!M23)</f>
        <v/>
      </c>
      <c r="D1944" s="1" t="str">
        <f ca="1" t="shared" si="583"/>
        <v/>
      </c>
      <c r="E1944" s="15">
        <f t="shared" si="584"/>
        <v>1350</v>
      </c>
      <c r="F1944" s="1" t="str">
        <f ca="1" t="shared" si="585"/>
        <v/>
      </c>
      <c r="G1944" s="1">
        <f t="shared" si="586"/>
        <v>1350</v>
      </c>
    </row>
    <row r="1945" spans="2:7">
      <c r="B1945" s="9">
        <v>5</v>
      </c>
      <c r="C1945" s="1" t="str">
        <f>IF(养成规划!M24="","",养成规划!M24)</f>
        <v/>
      </c>
      <c r="D1945" s="1" t="str">
        <f ca="1" t="shared" si="583"/>
        <v/>
      </c>
      <c r="E1945" s="15">
        <f t="shared" si="584"/>
        <v>1500</v>
      </c>
      <c r="F1945" s="1" t="str">
        <f ca="1" t="shared" si="585"/>
        <v/>
      </c>
      <c r="G1945" s="1">
        <f t="shared" si="586"/>
        <v>1500</v>
      </c>
    </row>
    <row r="1946" spans="2:7">
      <c r="B1946" s="9">
        <v>5.5</v>
      </c>
      <c r="C1946" s="1" t="str">
        <f>IF(养成规划!M25="","",养成规划!M25)</f>
        <v/>
      </c>
      <c r="D1946" s="1" t="str">
        <f ca="1" t="shared" si="583"/>
        <v/>
      </c>
      <c r="E1946" s="15">
        <f t="shared" si="584"/>
        <v>1650</v>
      </c>
      <c r="F1946" s="1" t="str">
        <f ca="1" t="shared" si="585"/>
        <v/>
      </c>
      <c r="G1946" s="1">
        <f t="shared" si="586"/>
        <v>1650</v>
      </c>
    </row>
    <row r="1947" spans="2:7">
      <c r="B1947" s="9">
        <v>6</v>
      </c>
      <c r="C1947" s="1">
        <f>IF(养成规划!M26="","",养成规划!M26)</f>
        <v>3</v>
      </c>
      <c r="D1947" s="1">
        <f ca="1" t="shared" si="583"/>
        <v>6000</v>
      </c>
      <c r="E1947" s="15">
        <f t="shared" si="584"/>
        <v>1800</v>
      </c>
      <c r="F1947" s="1">
        <f ca="1" t="shared" si="585"/>
        <v>6000</v>
      </c>
      <c r="G1947" s="1">
        <f t="shared" si="586"/>
        <v>1800</v>
      </c>
    </row>
    <row r="1948" spans="2:7">
      <c r="B1948" s="9">
        <v>6.5</v>
      </c>
      <c r="C1948" s="1" t="str">
        <f>IF(养成规划!M27="","",养成规划!M27)</f>
        <v/>
      </c>
      <c r="D1948" s="1" t="str">
        <f ca="1" t="shared" si="583"/>
        <v/>
      </c>
      <c r="E1948" s="15">
        <f t="shared" si="584"/>
        <v>1950</v>
      </c>
      <c r="F1948" s="1" t="str">
        <f ca="1" t="shared" si="585"/>
        <v/>
      </c>
      <c r="G1948" s="1">
        <f t="shared" si="586"/>
        <v>1950</v>
      </c>
    </row>
    <row r="1949" spans="2:7">
      <c r="B1949" s="9">
        <v>7</v>
      </c>
      <c r="C1949" s="1" t="str">
        <f>IF(养成规划!M28="","",养成规划!M28)</f>
        <v/>
      </c>
      <c r="D1949" s="1" t="str">
        <f ca="1" t="shared" si="583"/>
        <v/>
      </c>
      <c r="E1949" s="15">
        <f t="shared" si="584"/>
        <v>2100</v>
      </c>
      <c r="F1949" s="1" t="str">
        <f ca="1" t="shared" si="585"/>
        <v/>
      </c>
      <c r="G1949" s="1">
        <f t="shared" si="586"/>
        <v>2100</v>
      </c>
    </row>
    <row r="1950" spans="2:7">
      <c r="B1950" s="10">
        <v>8</v>
      </c>
      <c r="C1950" s="1" t="str">
        <f>IF(养成规划!M29="","",养成规划!M29)</f>
        <v/>
      </c>
      <c r="D1950" s="1" t="str">
        <f ca="1" t="shared" si="583"/>
        <v/>
      </c>
      <c r="E1950" s="15">
        <f t="shared" si="584"/>
        <v>2400</v>
      </c>
      <c r="F1950" s="1" t="str">
        <f ca="1" t="shared" si="585"/>
        <v/>
      </c>
      <c r="G1950" s="1">
        <f t="shared" si="586"/>
        <v>2400</v>
      </c>
    </row>
    <row r="1951" spans="2:7">
      <c r="B1951" s="10">
        <v>9</v>
      </c>
      <c r="C1951" s="1">
        <f>IF(养成规划!M30="","",养成规划!M30)</f>
        <v>4</v>
      </c>
      <c r="D1951" s="1">
        <f ca="1" t="shared" si="583"/>
        <v>20000</v>
      </c>
      <c r="E1951" s="15">
        <f t="shared" si="584"/>
        <v>2700</v>
      </c>
      <c r="F1951" s="1">
        <f ca="1" t="shared" si="585"/>
        <v>20000</v>
      </c>
      <c r="G1951" s="1">
        <f t="shared" si="586"/>
        <v>2700</v>
      </c>
    </row>
    <row r="1952" spans="2:7">
      <c r="B1952" s="10">
        <v>10</v>
      </c>
      <c r="C1952" s="1" t="str">
        <f>IF(养成规划!M31="","",养成规划!M31)</f>
        <v/>
      </c>
      <c r="D1952" s="1" t="str">
        <f ca="1" t="shared" si="583"/>
        <v/>
      </c>
      <c r="E1952" s="15">
        <f t="shared" si="584"/>
        <v>3000</v>
      </c>
      <c r="F1952" s="1" t="str">
        <f ca="1" t="shared" si="585"/>
        <v/>
      </c>
      <c r="G1952" s="1">
        <f t="shared" si="586"/>
        <v>3000</v>
      </c>
    </row>
    <row r="1953" spans="2:7">
      <c r="B1953" s="10">
        <v>11</v>
      </c>
      <c r="C1953" s="1" t="str">
        <f>IF(养成规划!M32="","",养成规划!M32)</f>
        <v/>
      </c>
      <c r="D1953" s="1" t="str">
        <f ca="1" t="shared" si="583"/>
        <v/>
      </c>
      <c r="E1953" s="15">
        <f t="shared" si="584"/>
        <v>3300</v>
      </c>
      <c r="F1953" s="1" t="str">
        <f ca="1" t="shared" si="585"/>
        <v/>
      </c>
      <c r="G1953" s="1">
        <f t="shared" si="586"/>
        <v>3300</v>
      </c>
    </row>
    <row r="1954" spans="2:7">
      <c r="B1954" s="10">
        <v>12</v>
      </c>
      <c r="C1954" s="1" t="str">
        <f>IF(养成规划!M33="","",养成规划!M33)</f>
        <v/>
      </c>
      <c r="D1954" s="1" t="str">
        <f ca="1" t="shared" si="583"/>
        <v/>
      </c>
      <c r="E1954" s="15">
        <f t="shared" si="584"/>
        <v>3600</v>
      </c>
      <c r="F1954" s="1" t="str">
        <f ca="1" t="shared" si="585"/>
        <v/>
      </c>
      <c r="G1954" s="1">
        <f t="shared" si="586"/>
        <v>3600</v>
      </c>
    </row>
    <row r="1955" spans="2:7">
      <c r="B1955" s="10">
        <v>13</v>
      </c>
      <c r="C1955" s="1" t="str">
        <f>IF(养成规划!M34="","",养成规划!M34)</f>
        <v/>
      </c>
      <c r="D1955" s="1" t="str">
        <f ca="1" t="shared" si="583"/>
        <v/>
      </c>
      <c r="E1955" s="15">
        <f t="shared" si="584"/>
        <v>3900</v>
      </c>
      <c r="F1955" s="1" t="str">
        <f ca="1" t="shared" si="585"/>
        <v/>
      </c>
      <c r="G1955" s="1">
        <f t="shared" si="586"/>
        <v>3900</v>
      </c>
    </row>
    <row r="1956" spans="2:7">
      <c r="B1956" s="10">
        <v>14</v>
      </c>
      <c r="C1956" s="1">
        <f>IF(养成规划!M35="","",养成规划!M35)</f>
        <v>5</v>
      </c>
      <c r="D1956" s="1">
        <f ca="1" t="shared" si="583"/>
        <v>40000</v>
      </c>
      <c r="E1956" s="15">
        <f t="shared" si="584"/>
        <v>4200</v>
      </c>
      <c r="F1956" s="1">
        <f ca="1" t="shared" si="585"/>
        <v>40000</v>
      </c>
      <c r="G1956" s="1">
        <f t="shared" si="586"/>
        <v>4200</v>
      </c>
    </row>
    <row r="1957" spans="2:7">
      <c r="B1957" s="10">
        <v>15</v>
      </c>
      <c r="C1957" s="1" t="str">
        <f>IF(养成规划!M36="","",养成规划!M36)</f>
        <v/>
      </c>
      <c r="D1957" s="1" t="str">
        <f ca="1" t="shared" si="583"/>
        <v/>
      </c>
      <c r="E1957" s="15">
        <f t="shared" si="584"/>
        <v>4500</v>
      </c>
      <c r="F1957" s="1" t="str">
        <f ca="1" t="shared" si="585"/>
        <v/>
      </c>
      <c r="G1957" s="1">
        <f t="shared" si="586"/>
        <v>4500</v>
      </c>
    </row>
    <row r="1958" spans="2:7">
      <c r="B1958" s="10">
        <v>16</v>
      </c>
      <c r="C1958" s="1" t="str">
        <f>IF(养成规划!M37="","",养成规划!M37)</f>
        <v/>
      </c>
      <c r="D1958" s="1" t="str">
        <f ca="1" t="shared" si="583"/>
        <v/>
      </c>
      <c r="E1958" s="15">
        <f t="shared" si="584"/>
        <v>4800</v>
      </c>
      <c r="F1958" s="1" t="str">
        <f ca="1" t="shared" si="585"/>
        <v/>
      </c>
      <c r="G1958" s="1">
        <f t="shared" si="586"/>
        <v>4800</v>
      </c>
    </row>
    <row r="1959" spans="2:7">
      <c r="B1959" s="10">
        <v>17</v>
      </c>
      <c r="C1959" s="1" t="str">
        <f>IF(养成规划!M38="","",养成规划!M38)</f>
        <v/>
      </c>
      <c r="D1959" s="1" t="str">
        <f ca="1" t="shared" ref="D1959:D1990" si="587">IFERROR(OFFSET($D$2006,MATCH(C1959,$B$2006:$B$2021,0)-1,0),"")</f>
        <v/>
      </c>
      <c r="E1959" s="15">
        <f t="shared" si="584"/>
        <v>5100</v>
      </c>
      <c r="F1959" s="1" t="str">
        <f ca="1" t="shared" si="585"/>
        <v/>
      </c>
      <c r="G1959" s="1">
        <f t="shared" si="586"/>
        <v>5100</v>
      </c>
    </row>
    <row r="1960" spans="2:7">
      <c r="B1960" s="10">
        <v>18</v>
      </c>
      <c r="C1960" s="1" t="str">
        <f>IF(养成规划!M39="","",养成规划!M39)</f>
        <v/>
      </c>
      <c r="D1960" s="1" t="str">
        <f ca="1" t="shared" si="587"/>
        <v/>
      </c>
      <c r="E1960" s="15">
        <f t="shared" si="584"/>
        <v>5400</v>
      </c>
      <c r="F1960" s="1" t="str">
        <f ca="1" t="shared" ref="F1960:F1991" si="588">D1960</f>
        <v/>
      </c>
      <c r="G1960" s="1">
        <f t="shared" si="586"/>
        <v>5400</v>
      </c>
    </row>
    <row r="1961" spans="2:7">
      <c r="B1961" s="10">
        <v>19</v>
      </c>
      <c r="C1961" s="1" t="str">
        <f>IF(养成规划!M40="","",养成规划!M40)</f>
        <v/>
      </c>
      <c r="D1961" s="1" t="str">
        <f ca="1" t="shared" si="587"/>
        <v/>
      </c>
      <c r="E1961" s="15">
        <f t="shared" si="584"/>
        <v>5700</v>
      </c>
      <c r="F1961" s="1" t="str">
        <f ca="1" t="shared" si="588"/>
        <v/>
      </c>
      <c r="G1961" s="1">
        <f t="shared" si="586"/>
        <v>5700</v>
      </c>
    </row>
    <row r="1962" spans="2:7">
      <c r="B1962" s="10">
        <v>20</v>
      </c>
      <c r="C1962" s="1">
        <f>IF(养成规划!M41="","",养成规划!M41)</f>
        <v>6</v>
      </c>
      <c r="D1962" s="1">
        <f ca="1" t="shared" si="587"/>
        <v>75000</v>
      </c>
      <c r="E1962" s="15">
        <f t="shared" si="584"/>
        <v>6000</v>
      </c>
      <c r="F1962" s="1">
        <f ca="1" t="shared" si="588"/>
        <v>75000</v>
      </c>
      <c r="G1962" s="1">
        <f t="shared" si="586"/>
        <v>6000</v>
      </c>
    </row>
    <row r="1963" spans="2:7">
      <c r="B1963" s="10">
        <v>21</v>
      </c>
      <c r="C1963" s="1" t="str">
        <f>IF(养成规划!M42="","",养成规划!M42)</f>
        <v/>
      </c>
      <c r="D1963" s="1" t="str">
        <f ca="1" t="shared" si="587"/>
        <v/>
      </c>
      <c r="E1963" s="15">
        <f t="shared" si="584"/>
        <v>6300</v>
      </c>
      <c r="F1963" s="1" t="str">
        <f ca="1" t="shared" si="588"/>
        <v/>
      </c>
      <c r="G1963" s="1">
        <f t="shared" si="586"/>
        <v>6300</v>
      </c>
    </row>
    <row r="1964" spans="2:7">
      <c r="B1964" s="10">
        <v>22</v>
      </c>
      <c r="C1964" s="1" t="str">
        <f>IF(养成规划!M43="","",养成规划!M43)</f>
        <v/>
      </c>
      <c r="D1964" s="1" t="str">
        <f ca="1" t="shared" si="587"/>
        <v/>
      </c>
      <c r="E1964" s="15">
        <f t="shared" si="584"/>
        <v>6600</v>
      </c>
      <c r="F1964" s="1" t="str">
        <f ca="1" t="shared" si="588"/>
        <v/>
      </c>
      <c r="G1964" s="1">
        <f t="shared" si="586"/>
        <v>6600</v>
      </c>
    </row>
    <row r="1965" spans="2:7">
      <c r="B1965" s="10">
        <v>23</v>
      </c>
      <c r="C1965" s="1" t="str">
        <f>IF(养成规划!M44="","",养成规划!M44)</f>
        <v/>
      </c>
      <c r="D1965" s="1" t="str">
        <f ca="1" t="shared" si="587"/>
        <v/>
      </c>
      <c r="E1965" s="15">
        <f t="shared" si="584"/>
        <v>6900</v>
      </c>
      <c r="F1965" s="1" t="str">
        <f ca="1" t="shared" si="588"/>
        <v/>
      </c>
      <c r="G1965" s="1">
        <f t="shared" si="586"/>
        <v>6900</v>
      </c>
    </row>
    <row r="1966" spans="2:7">
      <c r="B1966" s="10">
        <v>24</v>
      </c>
      <c r="C1966" s="1" t="str">
        <f>IF(养成规划!M45="","",养成规划!M45)</f>
        <v/>
      </c>
      <c r="D1966" s="1" t="str">
        <f ca="1" t="shared" si="587"/>
        <v/>
      </c>
      <c r="E1966" s="15">
        <f t="shared" si="584"/>
        <v>7200</v>
      </c>
      <c r="F1966" s="1" t="str">
        <f ca="1" t="shared" si="588"/>
        <v/>
      </c>
      <c r="G1966" s="1">
        <f t="shared" si="586"/>
        <v>7200</v>
      </c>
    </row>
    <row r="1967" spans="2:7">
      <c r="B1967" s="10">
        <v>25</v>
      </c>
      <c r="C1967" s="1" t="str">
        <f>IF(养成规划!M46="","",养成规划!M46)</f>
        <v/>
      </c>
      <c r="D1967" s="1" t="str">
        <f ca="1" t="shared" si="587"/>
        <v/>
      </c>
      <c r="E1967" s="15">
        <f t="shared" si="584"/>
        <v>7500</v>
      </c>
      <c r="F1967" s="1" t="str">
        <f ca="1" t="shared" si="588"/>
        <v/>
      </c>
      <c r="G1967" s="1">
        <f t="shared" si="586"/>
        <v>7500</v>
      </c>
    </row>
    <row r="1968" spans="2:7">
      <c r="B1968" s="10">
        <v>26</v>
      </c>
      <c r="C1968" s="1" t="str">
        <f>IF(养成规划!M47="","",养成规划!M47)</f>
        <v/>
      </c>
      <c r="D1968" s="1" t="str">
        <f ca="1" t="shared" si="587"/>
        <v/>
      </c>
      <c r="E1968" s="15">
        <f t="shared" si="584"/>
        <v>7800</v>
      </c>
      <c r="F1968" s="1" t="str">
        <f ca="1" t="shared" si="588"/>
        <v/>
      </c>
      <c r="G1968" s="1">
        <f t="shared" si="586"/>
        <v>7800</v>
      </c>
    </row>
    <row r="1969" spans="2:7">
      <c r="B1969" s="10">
        <v>27</v>
      </c>
      <c r="C1969" s="1" t="str">
        <f>IF(养成规划!M48="","",养成规划!M48)</f>
        <v/>
      </c>
      <c r="D1969" s="1" t="str">
        <f ca="1" t="shared" si="587"/>
        <v/>
      </c>
      <c r="E1969" s="15">
        <f t="shared" si="584"/>
        <v>8100</v>
      </c>
      <c r="F1969" s="1" t="str">
        <f ca="1" t="shared" si="588"/>
        <v/>
      </c>
      <c r="G1969" s="1">
        <f t="shared" si="586"/>
        <v>8100</v>
      </c>
    </row>
    <row r="1970" spans="2:7">
      <c r="B1970" s="10">
        <v>28</v>
      </c>
      <c r="C1970" s="1" t="str">
        <f>IF(养成规划!M49="","",养成规划!M49)</f>
        <v/>
      </c>
      <c r="D1970" s="1" t="str">
        <f ca="1" t="shared" si="587"/>
        <v/>
      </c>
      <c r="E1970" s="15">
        <f t="shared" si="584"/>
        <v>8400</v>
      </c>
      <c r="F1970" s="1" t="str">
        <f ca="1" t="shared" si="588"/>
        <v/>
      </c>
      <c r="G1970" s="1">
        <f t="shared" si="586"/>
        <v>8400</v>
      </c>
    </row>
    <row r="1971" spans="2:7">
      <c r="B1971" s="10">
        <v>29</v>
      </c>
      <c r="C1971" s="1" t="str">
        <f>IF(养成规划!M50="","",养成规划!M50)</f>
        <v/>
      </c>
      <c r="D1971" s="1" t="str">
        <f ca="1" t="shared" si="587"/>
        <v/>
      </c>
      <c r="E1971" s="15">
        <f t="shared" si="584"/>
        <v>8700</v>
      </c>
      <c r="F1971" s="1" t="str">
        <f ca="1" t="shared" si="588"/>
        <v/>
      </c>
      <c r="G1971" s="1">
        <f t="shared" si="586"/>
        <v>8700</v>
      </c>
    </row>
    <row r="1972" spans="2:7">
      <c r="B1972" s="10">
        <v>30</v>
      </c>
      <c r="C1972" s="1">
        <f>IF(养成规划!M51="","",养成规划!M51)</f>
        <v>7</v>
      </c>
      <c r="D1972" s="1">
        <f ca="1" t="shared" si="587"/>
        <v>120000</v>
      </c>
      <c r="E1972" s="15">
        <f t="shared" si="584"/>
        <v>9000</v>
      </c>
      <c r="F1972" s="1">
        <f ca="1" t="shared" si="588"/>
        <v>120000</v>
      </c>
      <c r="G1972" s="1">
        <f t="shared" si="586"/>
        <v>9000</v>
      </c>
    </row>
    <row r="1973" spans="2:7">
      <c r="B1973" s="11">
        <v>35</v>
      </c>
      <c r="C1973" s="1" t="str">
        <f>IF(养成规划!M52="","",养成规划!M52)</f>
        <v/>
      </c>
      <c r="D1973" s="1" t="str">
        <f ca="1" t="shared" si="587"/>
        <v/>
      </c>
      <c r="E1973" s="15">
        <f t="shared" si="584"/>
        <v>10500</v>
      </c>
      <c r="F1973" s="1" t="str">
        <f ca="1" t="shared" si="588"/>
        <v/>
      </c>
      <c r="G1973" s="1">
        <f t="shared" si="586"/>
        <v>10500</v>
      </c>
    </row>
    <row r="1974" spans="2:7">
      <c r="B1974" s="11">
        <v>40</v>
      </c>
      <c r="C1974" s="1" t="str">
        <f>IF(养成规划!M53="","",养成规划!M53)</f>
        <v/>
      </c>
      <c r="D1974" s="1" t="str">
        <f ca="1" t="shared" si="587"/>
        <v/>
      </c>
      <c r="E1974" s="15">
        <f t="shared" si="584"/>
        <v>12000</v>
      </c>
      <c r="F1974" s="1" t="str">
        <f ca="1" t="shared" si="588"/>
        <v/>
      </c>
      <c r="G1974" s="1">
        <f t="shared" si="586"/>
        <v>12000</v>
      </c>
    </row>
    <row r="1975" spans="2:7">
      <c r="B1975" s="11">
        <v>45</v>
      </c>
      <c r="C1975" s="1" t="str">
        <f>IF(养成规划!M54="","",养成规划!M54)</f>
        <v/>
      </c>
      <c r="D1975" s="1" t="str">
        <f ca="1" t="shared" si="587"/>
        <v/>
      </c>
      <c r="E1975" s="15">
        <f t="shared" si="584"/>
        <v>13500</v>
      </c>
      <c r="F1975" s="1" t="str">
        <f ca="1" t="shared" si="588"/>
        <v/>
      </c>
      <c r="G1975" s="1">
        <f t="shared" si="586"/>
        <v>13500</v>
      </c>
    </row>
    <row r="1976" spans="2:7">
      <c r="B1976" s="11">
        <v>50</v>
      </c>
      <c r="C1976" s="1" t="str">
        <f>IF(养成规划!M55="","",养成规划!M55)</f>
        <v/>
      </c>
      <c r="D1976" s="1" t="str">
        <f ca="1" t="shared" si="587"/>
        <v/>
      </c>
      <c r="E1976" s="15">
        <f t="shared" si="584"/>
        <v>15000</v>
      </c>
      <c r="F1976" s="1" t="str">
        <f ca="1" t="shared" si="588"/>
        <v/>
      </c>
      <c r="G1976" s="1">
        <f t="shared" si="586"/>
        <v>15000</v>
      </c>
    </row>
    <row r="1977" spans="2:7">
      <c r="B1977" s="11">
        <v>55</v>
      </c>
      <c r="C1977" s="1" t="str">
        <f>IF(养成规划!M56="","",养成规划!M56)</f>
        <v/>
      </c>
      <c r="D1977" s="1" t="str">
        <f ca="1" t="shared" si="587"/>
        <v/>
      </c>
      <c r="E1977" s="15">
        <f t="shared" si="584"/>
        <v>16500</v>
      </c>
      <c r="F1977" s="1" t="str">
        <f ca="1" t="shared" si="588"/>
        <v/>
      </c>
      <c r="G1977" s="1">
        <f t="shared" si="586"/>
        <v>16500</v>
      </c>
    </row>
    <row r="1978" spans="2:7">
      <c r="B1978" s="11">
        <v>60</v>
      </c>
      <c r="C1978" s="1">
        <f>IF(养成规划!M57="","",养成规划!M57)</f>
        <v>8</v>
      </c>
      <c r="D1978" s="1">
        <f ca="1" t="shared" si="587"/>
        <v>180000</v>
      </c>
      <c r="E1978" s="15">
        <f t="shared" si="584"/>
        <v>18000</v>
      </c>
      <c r="F1978" s="1">
        <f ca="1" t="shared" si="588"/>
        <v>180000</v>
      </c>
      <c r="G1978" s="1">
        <f t="shared" si="586"/>
        <v>18000</v>
      </c>
    </row>
    <row r="1979" spans="2:7">
      <c r="B1979" s="11">
        <v>65</v>
      </c>
      <c r="C1979" s="1" t="str">
        <f>IF(养成规划!M58="","",养成规划!M58)</f>
        <v/>
      </c>
      <c r="D1979" s="1" t="str">
        <f ca="1" t="shared" si="587"/>
        <v/>
      </c>
      <c r="E1979" s="15">
        <f t="shared" si="584"/>
        <v>19500</v>
      </c>
      <c r="F1979" s="1" t="str">
        <f ca="1" t="shared" si="588"/>
        <v/>
      </c>
      <c r="G1979" s="1">
        <f t="shared" si="586"/>
        <v>19500</v>
      </c>
    </row>
    <row r="1980" spans="2:7">
      <c r="B1980" s="11">
        <v>70</v>
      </c>
      <c r="C1980" s="1" t="str">
        <f>IF(养成规划!M59="","",养成规划!M59)</f>
        <v/>
      </c>
      <c r="D1980" s="1" t="str">
        <f ca="1" t="shared" si="587"/>
        <v/>
      </c>
      <c r="E1980" s="15">
        <f t="shared" si="584"/>
        <v>21000</v>
      </c>
      <c r="F1980" s="1" t="str">
        <f ca="1" t="shared" si="588"/>
        <v/>
      </c>
      <c r="G1980" s="1">
        <f t="shared" si="586"/>
        <v>21000</v>
      </c>
    </row>
    <row r="1981" spans="2:7">
      <c r="B1981" s="11">
        <v>75</v>
      </c>
      <c r="C1981" s="1" t="str">
        <f>IF(养成规划!M60="","",养成规划!M60)</f>
        <v/>
      </c>
      <c r="D1981" s="1" t="str">
        <f ca="1" t="shared" si="587"/>
        <v/>
      </c>
      <c r="E1981" s="15">
        <f t="shared" si="584"/>
        <v>22500</v>
      </c>
      <c r="F1981" s="1" t="str">
        <f ca="1" t="shared" si="588"/>
        <v/>
      </c>
      <c r="G1981" s="1">
        <f t="shared" si="586"/>
        <v>22500</v>
      </c>
    </row>
    <row r="1982" spans="2:7">
      <c r="B1982" s="11">
        <v>80</v>
      </c>
      <c r="C1982" s="1" t="str">
        <f>IF(养成规划!M61="","",养成规划!M61)</f>
        <v/>
      </c>
      <c r="D1982" s="1" t="str">
        <f ca="1" t="shared" si="587"/>
        <v/>
      </c>
      <c r="E1982" s="15">
        <f t="shared" si="584"/>
        <v>24000</v>
      </c>
      <c r="F1982" s="1" t="str">
        <f ca="1" t="shared" si="588"/>
        <v/>
      </c>
      <c r="G1982" s="1">
        <f t="shared" si="586"/>
        <v>24000</v>
      </c>
    </row>
    <row r="1983" spans="2:7">
      <c r="B1983" s="11">
        <v>85</v>
      </c>
      <c r="C1983" s="1" t="str">
        <f>IF(养成规划!M62="","",养成规划!M62)</f>
        <v/>
      </c>
      <c r="D1983" s="1" t="str">
        <f ca="1" t="shared" si="587"/>
        <v/>
      </c>
      <c r="E1983" s="15">
        <f t="shared" si="584"/>
        <v>25500</v>
      </c>
      <c r="F1983" s="1" t="str">
        <f ca="1" t="shared" si="588"/>
        <v/>
      </c>
      <c r="G1983" s="1">
        <f t="shared" si="586"/>
        <v>25500</v>
      </c>
    </row>
    <row r="1984" spans="2:7">
      <c r="B1984" s="11">
        <v>90</v>
      </c>
      <c r="C1984" s="1">
        <f>IF(养成规划!M63="","",养成规划!M63)</f>
        <v>9</v>
      </c>
      <c r="D1984" s="1">
        <f ca="1" t="shared" si="587"/>
        <v>250000</v>
      </c>
      <c r="E1984" s="15">
        <f t="shared" si="584"/>
        <v>27000</v>
      </c>
      <c r="F1984" s="1">
        <f ca="1" t="shared" si="588"/>
        <v>250000</v>
      </c>
      <c r="G1984" s="1">
        <f t="shared" si="586"/>
        <v>27000</v>
      </c>
    </row>
    <row r="1985" spans="2:7">
      <c r="B1985" s="11">
        <v>95</v>
      </c>
      <c r="C1985" s="1" t="str">
        <f>IF(养成规划!M64="","",养成规划!M64)</f>
        <v/>
      </c>
      <c r="D1985" s="1" t="str">
        <f ca="1" t="shared" si="587"/>
        <v/>
      </c>
      <c r="E1985" s="15">
        <f t="shared" si="584"/>
        <v>28500</v>
      </c>
      <c r="F1985" s="1" t="str">
        <f ca="1" t="shared" si="588"/>
        <v/>
      </c>
      <c r="G1985" s="1">
        <f t="shared" si="586"/>
        <v>28500</v>
      </c>
    </row>
    <row r="1986" spans="2:7">
      <c r="B1986" s="11">
        <v>100</v>
      </c>
      <c r="C1986" s="1" t="str">
        <f>IF(养成规划!M65="","",养成规划!M65)</f>
        <v/>
      </c>
      <c r="D1986" s="1" t="str">
        <f ca="1" t="shared" si="587"/>
        <v/>
      </c>
      <c r="E1986" s="15">
        <f t="shared" si="584"/>
        <v>30000</v>
      </c>
      <c r="F1986" s="1" t="str">
        <f ca="1" t="shared" si="588"/>
        <v/>
      </c>
      <c r="G1986" s="1">
        <f t="shared" si="586"/>
        <v>30000</v>
      </c>
    </row>
    <row r="1987" spans="2:7">
      <c r="B1987" s="11">
        <v>105</v>
      </c>
      <c r="C1987" s="1" t="str">
        <f>IF(养成规划!M66="","",养成规划!M66)</f>
        <v/>
      </c>
      <c r="D1987" s="1" t="str">
        <f ca="1" t="shared" si="587"/>
        <v/>
      </c>
      <c r="E1987" s="15">
        <f t="shared" si="584"/>
        <v>31500</v>
      </c>
      <c r="F1987" s="1" t="str">
        <f ca="1" t="shared" si="588"/>
        <v/>
      </c>
      <c r="G1987" s="1">
        <f t="shared" si="586"/>
        <v>31500</v>
      </c>
    </row>
    <row r="1988" spans="2:7">
      <c r="B1988" s="11">
        <v>110</v>
      </c>
      <c r="C1988" s="1" t="str">
        <f>IF(养成规划!M67="","",养成规划!M67)</f>
        <v/>
      </c>
      <c r="D1988" s="1" t="str">
        <f ca="1" t="shared" si="587"/>
        <v/>
      </c>
      <c r="E1988" s="15">
        <f t="shared" si="584"/>
        <v>33000</v>
      </c>
      <c r="F1988" s="1" t="str">
        <f ca="1" t="shared" si="588"/>
        <v/>
      </c>
      <c r="G1988" s="1">
        <f t="shared" si="586"/>
        <v>33000</v>
      </c>
    </row>
    <row r="1989" spans="2:7">
      <c r="B1989" s="11">
        <v>115</v>
      </c>
      <c r="C1989" s="1" t="str">
        <f>IF(养成规划!M68="","",养成规划!M68)</f>
        <v/>
      </c>
      <c r="D1989" s="1" t="str">
        <f ca="1" t="shared" si="587"/>
        <v/>
      </c>
      <c r="E1989" s="15">
        <f t="shared" si="584"/>
        <v>34500</v>
      </c>
      <c r="F1989" s="1" t="str">
        <f ca="1" t="shared" si="588"/>
        <v/>
      </c>
      <c r="G1989" s="1">
        <f t="shared" si="586"/>
        <v>34500</v>
      </c>
    </row>
    <row r="1990" spans="2:7">
      <c r="B1990" s="11">
        <v>120</v>
      </c>
      <c r="C1990" s="1" t="str">
        <f>IF(养成规划!M69="","",养成规划!M69)</f>
        <v/>
      </c>
      <c r="D1990" s="1" t="str">
        <f ca="1" t="shared" si="587"/>
        <v/>
      </c>
      <c r="E1990" s="15">
        <f t="shared" si="584"/>
        <v>36000</v>
      </c>
      <c r="F1990" s="1" t="str">
        <f ca="1" t="shared" si="588"/>
        <v/>
      </c>
      <c r="G1990" s="1">
        <f t="shared" si="586"/>
        <v>36000</v>
      </c>
    </row>
    <row r="1991" spans="2:7">
      <c r="B1991" s="12">
        <v>150</v>
      </c>
      <c r="C1991" s="1">
        <f>IF(养成规划!M70="","",养成规划!M70)</f>
        <v>10</v>
      </c>
      <c r="D1991" s="1">
        <f ca="1" t="shared" ref="D1991:D1998" si="589">IFERROR(OFFSET($D$2006,MATCH(C1991,$B$2006:$B$2021,0)-1,0),"")</f>
        <v>350000</v>
      </c>
      <c r="E1991" s="15">
        <f t="shared" si="584"/>
        <v>45000</v>
      </c>
      <c r="F1991" s="1">
        <f ca="1" t="shared" si="588"/>
        <v>350000</v>
      </c>
      <c r="G1991" s="1">
        <f t="shared" si="586"/>
        <v>45000</v>
      </c>
    </row>
    <row r="1992" spans="2:7">
      <c r="B1992" s="12">
        <v>180</v>
      </c>
      <c r="C1992" s="1" t="str">
        <f>IF(养成规划!M71="","",养成规划!M71)</f>
        <v/>
      </c>
      <c r="D1992" s="1" t="str">
        <f ca="1" t="shared" si="589"/>
        <v/>
      </c>
      <c r="E1992" s="15">
        <f t="shared" ref="E1992:E1998" si="590">$E$1922*B1992</f>
        <v>54000</v>
      </c>
      <c r="F1992" s="1" t="str">
        <f ca="1" t="shared" ref="F1992:F1998" si="591">D1992</f>
        <v/>
      </c>
      <c r="G1992" s="1">
        <f t="shared" ref="G1992:G1998" si="592">E1992</f>
        <v>54000</v>
      </c>
    </row>
    <row r="1993" spans="2:7">
      <c r="B1993" s="12">
        <v>210</v>
      </c>
      <c r="C1993" s="1" t="str">
        <f>IF(养成规划!M72="","",养成规划!M72)</f>
        <v/>
      </c>
      <c r="D1993" s="1" t="str">
        <f ca="1" t="shared" si="589"/>
        <v/>
      </c>
      <c r="E1993" s="15">
        <f t="shared" si="590"/>
        <v>63000</v>
      </c>
      <c r="F1993" s="1" t="str">
        <f ca="1" t="shared" si="591"/>
        <v/>
      </c>
      <c r="G1993" s="1">
        <f t="shared" si="592"/>
        <v>63000</v>
      </c>
    </row>
    <row r="1994" spans="2:7">
      <c r="B1994" s="12">
        <v>240</v>
      </c>
      <c r="C1994" s="1">
        <f>IF(养成规划!M73="","",养成规划!M73)</f>
        <v>11</v>
      </c>
      <c r="D1994" s="1">
        <f ca="1" t="shared" si="589"/>
        <v>500000</v>
      </c>
      <c r="E1994" s="15">
        <f t="shared" si="590"/>
        <v>72000</v>
      </c>
      <c r="F1994" s="1">
        <f ca="1" t="shared" si="591"/>
        <v>500000</v>
      </c>
      <c r="G1994" s="1">
        <f t="shared" si="592"/>
        <v>72000</v>
      </c>
    </row>
    <row r="1995" spans="2:7">
      <c r="B1995" s="12">
        <v>270</v>
      </c>
      <c r="C1995" s="1" t="str">
        <f>IF(养成规划!M74="","",养成规划!M74)</f>
        <v/>
      </c>
      <c r="D1995" s="1" t="str">
        <f ca="1" t="shared" si="589"/>
        <v/>
      </c>
      <c r="E1995" s="15">
        <f t="shared" si="590"/>
        <v>81000</v>
      </c>
      <c r="F1995" s="1" t="str">
        <f ca="1" t="shared" si="591"/>
        <v/>
      </c>
      <c r="G1995" s="1">
        <f t="shared" si="592"/>
        <v>81000</v>
      </c>
    </row>
    <row r="1996" spans="2:7">
      <c r="B1996" s="12">
        <v>300</v>
      </c>
      <c r="C1996" s="1" t="str">
        <f>IF(养成规划!M75="","",养成规划!M75)</f>
        <v/>
      </c>
      <c r="D1996" s="1" t="str">
        <f ca="1" t="shared" si="589"/>
        <v/>
      </c>
      <c r="E1996" s="15">
        <f t="shared" si="590"/>
        <v>90000</v>
      </c>
      <c r="F1996" s="1" t="str">
        <f ca="1" t="shared" si="591"/>
        <v/>
      </c>
      <c r="G1996" s="1">
        <f t="shared" si="592"/>
        <v>90000</v>
      </c>
    </row>
    <row r="1997" spans="2:7">
      <c r="B1997" s="12">
        <v>330</v>
      </c>
      <c r="C1997" s="1" t="str">
        <f>IF(养成规划!M76="","",养成规划!M76)</f>
        <v/>
      </c>
      <c r="D1997" s="1" t="str">
        <f ca="1" t="shared" si="589"/>
        <v/>
      </c>
      <c r="E1997" s="15">
        <f t="shared" si="590"/>
        <v>99000</v>
      </c>
      <c r="F1997" s="1" t="str">
        <f ca="1" t="shared" si="591"/>
        <v/>
      </c>
      <c r="G1997" s="1">
        <f t="shared" si="592"/>
        <v>99000</v>
      </c>
    </row>
    <row r="1998" spans="2:7">
      <c r="B1998" s="12">
        <v>360</v>
      </c>
      <c r="C1998" s="1">
        <f>IF(养成规划!M77="","",养成规划!M77)</f>
        <v>12</v>
      </c>
      <c r="D1998" s="1">
        <f ca="1" t="shared" si="589"/>
        <v>750000</v>
      </c>
      <c r="E1998" s="15">
        <f t="shared" si="590"/>
        <v>108000</v>
      </c>
      <c r="F1998" s="1">
        <f ca="1" t="shared" si="591"/>
        <v>750000</v>
      </c>
      <c r="G1998" s="1">
        <f t="shared" si="592"/>
        <v>108000</v>
      </c>
    </row>
    <row r="2001" s="25" customFormat="1" spans="1:5">
      <c r="A2001" s="2" t="s">
        <v>471</v>
      </c>
      <c r="B2001" s="2"/>
      <c r="C2001" s="41" t="s">
        <v>436</v>
      </c>
      <c r="E2001" s="41"/>
    </row>
    <row r="2003" spans="2:12">
      <c r="B2003" s="27" t="s">
        <v>1227</v>
      </c>
      <c r="C2003" s="27"/>
      <c r="D2003" s="27"/>
      <c r="E2003" s="27"/>
      <c r="F2003" s="27"/>
      <c r="G2003" s="27"/>
      <c r="H2003" s="27"/>
      <c r="I2003" s="27"/>
      <c r="J2003" s="27"/>
      <c r="K2003" s="27"/>
      <c r="L2003" s="27"/>
    </row>
    <row r="2005" spans="2:14">
      <c r="B2005" s="1" t="s">
        <v>471</v>
      </c>
      <c r="C2005" s="1" t="s">
        <v>1223</v>
      </c>
      <c r="D2005" s="4" t="s">
        <v>1228</v>
      </c>
      <c r="E2005" s="15" t="s">
        <v>870</v>
      </c>
      <c r="F2005" s="15" t="s">
        <v>1229</v>
      </c>
      <c r="G2005" s="15" t="s">
        <v>1230</v>
      </c>
      <c r="H2005" s="15" t="s">
        <v>871</v>
      </c>
      <c r="I2005" s="15" t="s">
        <v>816</v>
      </c>
      <c r="J2005" s="15" t="s">
        <v>870</v>
      </c>
      <c r="K2005" s="15" t="s">
        <v>1229</v>
      </c>
      <c r="L2005" s="15" t="s">
        <v>1230</v>
      </c>
      <c r="M2005" s="15" t="s">
        <v>871</v>
      </c>
      <c r="N2005" s="15" t="s">
        <v>816</v>
      </c>
    </row>
    <row r="2006" spans="2:14">
      <c r="B2006" s="1">
        <v>0</v>
      </c>
      <c r="C2006" s="30">
        <v>0</v>
      </c>
      <c r="D2006" s="4">
        <v>0</v>
      </c>
      <c r="E2006" s="43">
        <v>0.05</v>
      </c>
      <c r="F2006" s="30">
        <v>1</v>
      </c>
      <c r="G2006" s="43">
        <v>0</v>
      </c>
      <c r="H2006" s="43">
        <v>0</v>
      </c>
      <c r="I2006" s="43">
        <v>0</v>
      </c>
      <c r="J2006" s="53">
        <f ca="1" t="shared" ref="J2006:J2026" si="593">IF(E2006="",INDIRECT(ADDRESS(ROW()-1,COLUMN())),E2006)</f>
        <v>0.05</v>
      </c>
      <c r="K2006" s="62">
        <f ca="1" t="shared" ref="K2006:K2026" si="594">IF(F2006="",INDIRECT(ADDRESS(ROW()-1,COLUMN())),F2006)</f>
        <v>1</v>
      </c>
      <c r="L2006" s="53">
        <f ca="1" t="shared" ref="L2006:L2026" si="595">IF(G2006="",INDIRECT(ADDRESS(ROW()-1,COLUMN())),G2006)</f>
        <v>0</v>
      </c>
      <c r="M2006" s="53">
        <f ca="1" t="shared" ref="M2006:M2026" si="596">IF(H2006="",INDIRECT(ADDRESS(ROW()-1,COLUMN())),H2006)</f>
        <v>0</v>
      </c>
      <c r="N2006" s="53">
        <f ca="1" t="shared" ref="N2006:N2026" si="597">IF(I2006="",INDIRECT(ADDRESS(ROW()-1,COLUMN())),I2006)</f>
        <v>0</v>
      </c>
    </row>
    <row r="2007" spans="2:14">
      <c r="B2007" s="1">
        <v>1</v>
      </c>
      <c r="C2007" s="30">
        <v>200</v>
      </c>
      <c r="D2007" s="4">
        <f>D2006+C2007</f>
        <v>200</v>
      </c>
      <c r="E2007" s="30"/>
      <c r="F2007" s="30"/>
      <c r="G2007" s="43">
        <v>0.05</v>
      </c>
      <c r="H2007" s="30"/>
      <c r="I2007" s="30"/>
      <c r="J2007" s="53">
        <f ca="1" t="shared" si="593"/>
        <v>0.05</v>
      </c>
      <c r="K2007" s="62">
        <f ca="1" t="shared" si="594"/>
        <v>1</v>
      </c>
      <c r="L2007" s="53">
        <f ca="1" t="shared" si="595"/>
        <v>0.05</v>
      </c>
      <c r="M2007" s="53">
        <f ca="1" t="shared" si="596"/>
        <v>0</v>
      </c>
      <c r="N2007" s="53">
        <f ca="1" t="shared" si="597"/>
        <v>0</v>
      </c>
    </row>
    <row r="2008" spans="2:14">
      <c r="B2008" s="1">
        <v>2</v>
      </c>
      <c r="C2008" s="30">
        <v>1300</v>
      </c>
      <c r="D2008" s="4">
        <f t="shared" ref="D2008:D2021" si="598">D2007+C2008</f>
        <v>1500</v>
      </c>
      <c r="E2008" s="30"/>
      <c r="F2008" s="30"/>
      <c r="G2008" s="30"/>
      <c r="H2008" s="30"/>
      <c r="I2008" s="30"/>
      <c r="J2008" s="53">
        <f ca="1" t="shared" si="593"/>
        <v>0.05</v>
      </c>
      <c r="K2008" s="62">
        <f ca="1" t="shared" si="594"/>
        <v>1</v>
      </c>
      <c r="L2008" s="53">
        <f ca="1" t="shared" si="595"/>
        <v>0.05</v>
      </c>
      <c r="M2008" s="53">
        <f ca="1" t="shared" si="596"/>
        <v>0</v>
      </c>
      <c r="N2008" s="53">
        <f ca="1" t="shared" si="597"/>
        <v>0</v>
      </c>
    </row>
    <row r="2009" spans="2:14">
      <c r="B2009" s="1">
        <v>3</v>
      </c>
      <c r="C2009" s="30">
        <v>4500</v>
      </c>
      <c r="D2009" s="4">
        <f t="shared" si="598"/>
        <v>6000</v>
      </c>
      <c r="E2009" s="43">
        <v>0.1</v>
      </c>
      <c r="F2009" s="30"/>
      <c r="G2009" s="30"/>
      <c r="H2009" s="43">
        <v>0.02</v>
      </c>
      <c r="I2009" s="43"/>
      <c r="J2009" s="53">
        <f ca="1" t="shared" si="593"/>
        <v>0.1</v>
      </c>
      <c r="K2009" s="62">
        <f ca="1" t="shared" si="594"/>
        <v>1</v>
      </c>
      <c r="L2009" s="53">
        <f ca="1" t="shared" si="595"/>
        <v>0.05</v>
      </c>
      <c r="M2009" s="53">
        <f ca="1" t="shared" si="596"/>
        <v>0.02</v>
      </c>
      <c r="N2009" s="53">
        <f ca="1" t="shared" si="597"/>
        <v>0</v>
      </c>
    </row>
    <row r="2010" spans="2:14">
      <c r="B2010" s="1">
        <v>4</v>
      </c>
      <c r="C2010" s="30">
        <v>14000</v>
      </c>
      <c r="D2010" s="4">
        <f t="shared" si="598"/>
        <v>20000</v>
      </c>
      <c r="E2010" s="30"/>
      <c r="F2010" s="30">
        <v>2</v>
      </c>
      <c r="G2010" s="43">
        <v>0.1</v>
      </c>
      <c r="H2010" s="43"/>
      <c r="I2010" s="43"/>
      <c r="J2010" s="53">
        <f ca="1" t="shared" si="593"/>
        <v>0.1</v>
      </c>
      <c r="K2010" s="62">
        <f ca="1" t="shared" si="594"/>
        <v>2</v>
      </c>
      <c r="L2010" s="53">
        <f ca="1" t="shared" si="595"/>
        <v>0.1</v>
      </c>
      <c r="M2010" s="53">
        <f ca="1" t="shared" si="596"/>
        <v>0.02</v>
      </c>
      <c r="N2010" s="53">
        <f ca="1" t="shared" si="597"/>
        <v>0</v>
      </c>
    </row>
    <row r="2011" spans="2:14">
      <c r="B2011" s="1">
        <v>5</v>
      </c>
      <c r="C2011" s="30">
        <v>20000</v>
      </c>
      <c r="D2011" s="4">
        <f t="shared" si="598"/>
        <v>40000</v>
      </c>
      <c r="E2011" s="30"/>
      <c r="F2011" s="30"/>
      <c r="G2011" s="30"/>
      <c r="H2011" s="43">
        <v>0.04</v>
      </c>
      <c r="I2011" s="43">
        <v>0.05</v>
      </c>
      <c r="J2011" s="53">
        <f ca="1" t="shared" si="593"/>
        <v>0.1</v>
      </c>
      <c r="K2011" s="62">
        <f ca="1" t="shared" si="594"/>
        <v>2</v>
      </c>
      <c r="L2011" s="53">
        <f ca="1" t="shared" si="595"/>
        <v>0.1</v>
      </c>
      <c r="M2011" s="53">
        <f ca="1" t="shared" si="596"/>
        <v>0.04</v>
      </c>
      <c r="N2011" s="53">
        <f ca="1" t="shared" si="597"/>
        <v>0.05</v>
      </c>
    </row>
    <row r="2012" spans="2:14">
      <c r="B2012" s="1">
        <v>6</v>
      </c>
      <c r="C2012" s="30">
        <v>35000</v>
      </c>
      <c r="D2012" s="4">
        <f t="shared" si="598"/>
        <v>75000</v>
      </c>
      <c r="E2012" s="43">
        <v>0.15</v>
      </c>
      <c r="F2012" s="30"/>
      <c r="G2012" s="30"/>
      <c r="H2012" s="30"/>
      <c r="I2012" s="43"/>
      <c r="J2012" s="53">
        <f ca="1" t="shared" si="593"/>
        <v>0.15</v>
      </c>
      <c r="K2012" s="62">
        <f ca="1" t="shared" si="594"/>
        <v>2</v>
      </c>
      <c r="L2012" s="53">
        <f ca="1" t="shared" si="595"/>
        <v>0.1</v>
      </c>
      <c r="M2012" s="53">
        <f ca="1" t="shared" si="596"/>
        <v>0.04</v>
      </c>
      <c r="N2012" s="53">
        <f ca="1" t="shared" si="597"/>
        <v>0.05</v>
      </c>
    </row>
    <row r="2013" spans="2:14">
      <c r="B2013" s="1">
        <v>7</v>
      </c>
      <c r="C2013" s="30">
        <v>45000</v>
      </c>
      <c r="D2013" s="4">
        <f t="shared" si="598"/>
        <v>120000</v>
      </c>
      <c r="E2013" s="30"/>
      <c r="F2013" s="30"/>
      <c r="G2013" s="30"/>
      <c r="H2013" s="43">
        <v>0.06</v>
      </c>
      <c r="I2013" s="43">
        <v>0.07</v>
      </c>
      <c r="J2013" s="53">
        <f ca="1" t="shared" si="593"/>
        <v>0.15</v>
      </c>
      <c r="K2013" s="62">
        <f ca="1" t="shared" si="594"/>
        <v>2</v>
      </c>
      <c r="L2013" s="53">
        <f ca="1" t="shared" si="595"/>
        <v>0.1</v>
      </c>
      <c r="M2013" s="53">
        <f ca="1" t="shared" si="596"/>
        <v>0.06</v>
      </c>
      <c r="N2013" s="53">
        <f ca="1" t="shared" si="597"/>
        <v>0.07</v>
      </c>
    </row>
    <row r="2014" spans="2:14">
      <c r="B2014" s="1">
        <v>8</v>
      </c>
      <c r="C2014" s="30">
        <v>60000</v>
      </c>
      <c r="D2014" s="4">
        <f t="shared" si="598"/>
        <v>180000</v>
      </c>
      <c r="E2014" s="30"/>
      <c r="F2014" s="30">
        <v>3</v>
      </c>
      <c r="G2014" s="43">
        <v>0.15</v>
      </c>
      <c r="H2014" s="30"/>
      <c r="I2014" s="30"/>
      <c r="J2014" s="53">
        <f ca="1" t="shared" si="593"/>
        <v>0.15</v>
      </c>
      <c r="K2014" s="62">
        <f ca="1" t="shared" si="594"/>
        <v>3</v>
      </c>
      <c r="L2014" s="53">
        <f ca="1" t="shared" si="595"/>
        <v>0.15</v>
      </c>
      <c r="M2014" s="53">
        <f ca="1" t="shared" si="596"/>
        <v>0.06</v>
      </c>
      <c r="N2014" s="53">
        <f ca="1" t="shared" si="597"/>
        <v>0.07</v>
      </c>
    </row>
    <row r="2015" spans="2:14">
      <c r="B2015" s="1">
        <v>9</v>
      </c>
      <c r="C2015" s="30">
        <v>70000</v>
      </c>
      <c r="D2015" s="4">
        <f t="shared" si="598"/>
        <v>250000</v>
      </c>
      <c r="E2015" s="43">
        <v>0.2</v>
      </c>
      <c r="F2015" s="30"/>
      <c r="G2015" s="30"/>
      <c r="H2015" s="43">
        <v>0.08</v>
      </c>
      <c r="I2015" s="43"/>
      <c r="J2015" s="53">
        <f ca="1" t="shared" si="593"/>
        <v>0.2</v>
      </c>
      <c r="K2015" s="62">
        <f ca="1" t="shared" si="594"/>
        <v>3</v>
      </c>
      <c r="L2015" s="53">
        <f ca="1" t="shared" si="595"/>
        <v>0.15</v>
      </c>
      <c r="M2015" s="53">
        <f ca="1" t="shared" si="596"/>
        <v>0.08</v>
      </c>
      <c r="N2015" s="53">
        <f ca="1" t="shared" si="597"/>
        <v>0.07</v>
      </c>
    </row>
    <row r="2016" spans="2:14">
      <c r="B2016" s="1">
        <v>10</v>
      </c>
      <c r="C2016" s="30">
        <v>100000</v>
      </c>
      <c r="D2016" s="4">
        <f t="shared" si="598"/>
        <v>350000</v>
      </c>
      <c r="E2016" s="30"/>
      <c r="F2016" s="30"/>
      <c r="G2016" s="30"/>
      <c r="H2016" s="30"/>
      <c r="I2016" s="43">
        <v>0.1</v>
      </c>
      <c r="J2016" s="53">
        <f ca="1" t="shared" si="593"/>
        <v>0.2</v>
      </c>
      <c r="K2016" s="62">
        <f ca="1" t="shared" si="594"/>
        <v>3</v>
      </c>
      <c r="L2016" s="53">
        <f ca="1" t="shared" si="595"/>
        <v>0.15</v>
      </c>
      <c r="M2016" s="53">
        <f ca="1" t="shared" si="596"/>
        <v>0.08</v>
      </c>
      <c r="N2016" s="53">
        <f ca="1" t="shared" si="597"/>
        <v>0.1</v>
      </c>
    </row>
    <row r="2017" spans="2:14">
      <c r="B2017" s="1">
        <v>11</v>
      </c>
      <c r="C2017" s="30">
        <v>150000</v>
      </c>
      <c r="D2017" s="4">
        <f t="shared" si="598"/>
        <v>500000</v>
      </c>
      <c r="E2017" s="30"/>
      <c r="F2017" s="30"/>
      <c r="G2017" s="43">
        <v>0.2</v>
      </c>
      <c r="H2017" s="43">
        <v>0.1</v>
      </c>
      <c r="I2017" s="43"/>
      <c r="J2017" s="53">
        <f ca="1" t="shared" si="593"/>
        <v>0.2</v>
      </c>
      <c r="K2017" s="62">
        <f ca="1" t="shared" si="594"/>
        <v>3</v>
      </c>
      <c r="L2017" s="53">
        <f ca="1" t="shared" si="595"/>
        <v>0.2</v>
      </c>
      <c r="M2017" s="53">
        <f ca="1" t="shared" si="596"/>
        <v>0.1</v>
      </c>
      <c r="N2017" s="53">
        <f ca="1" t="shared" si="597"/>
        <v>0.1</v>
      </c>
    </row>
    <row r="2018" spans="2:14">
      <c r="B2018" s="1">
        <v>12</v>
      </c>
      <c r="C2018" s="30">
        <v>250000</v>
      </c>
      <c r="D2018" s="4">
        <f t="shared" si="598"/>
        <v>750000</v>
      </c>
      <c r="E2018" s="43">
        <v>0.25</v>
      </c>
      <c r="F2018" s="30">
        <v>4</v>
      </c>
      <c r="G2018" s="30"/>
      <c r="H2018" s="30"/>
      <c r="I2018" s="30"/>
      <c r="J2018" s="53">
        <f ca="1" t="shared" si="593"/>
        <v>0.25</v>
      </c>
      <c r="K2018" s="62">
        <f ca="1" t="shared" si="594"/>
        <v>4</v>
      </c>
      <c r="L2018" s="53">
        <f ca="1" t="shared" si="595"/>
        <v>0.2</v>
      </c>
      <c r="M2018" s="53">
        <f ca="1" t="shared" si="596"/>
        <v>0.1</v>
      </c>
      <c r="N2018" s="53">
        <f ca="1" t="shared" si="597"/>
        <v>0.1</v>
      </c>
    </row>
    <row r="2019" spans="2:14">
      <c r="B2019" s="1">
        <v>13</v>
      </c>
      <c r="C2019" s="30">
        <v>250000</v>
      </c>
      <c r="D2019" s="4">
        <f t="shared" si="598"/>
        <v>1000000</v>
      </c>
      <c r="E2019" s="30"/>
      <c r="F2019" s="30"/>
      <c r="G2019" s="30"/>
      <c r="H2019" s="30"/>
      <c r="I2019" s="43">
        <v>0.15</v>
      </c>
      <c r="J2019" s="53">
        <f ca="1" t="shared" si="593"/>
        <v>0.25</v>
      </c>
      <c r="K2019" s="62">
        <f ca="1" t="shared" si="594"/>
        <v>4</v>
      </c>
      <c r="L2019" s="53">
        <f ca="1" t="shared" si="595"/>
        <v>0.2</v>
      </c>
      <c r="M2019" s="53">
        <f ca="1" t="shared" si="596"/>
        <v>0.1</v>
      </c>
      <c r="N2019" s="53">
        <f ca="1" t="shared" si="597"/>
        <v>0.15</v>
      </c>
    </row>
    <row r="2020" spans="2:14">
      <c r="B2020" s="1">
        <v>14</v>
      </c>
      <c r="C2020" s="30">
        <v>500000</v>
      </c>
      <c r="D2020" s="4">
        <f t="shared" si="598"/>
        <v>1500000</v>
      </c>
      <c r="E2020" s="30"/>
      <c r="F2020" s="30"/>
      <c r="G2020" s="43">
        <v>0.25</v>
      </c>
      <c r="H2020" s="30"/>
      <c r="I2020" s="30"/>
      <c r="J2020" s="53">
        <f ca="1" t="shared" si="593"/>
        <v>0.25</v>
      </c>
      <c r="K2020" s="62">
        <f ca="1" t="shared" si="594"/>
        <v>4</v>
      </c>
      <c r="L2020" s="53">
        <f ca="1" t="shared" si="595"/>
        <v>0.25</v>
      </c>
      <c r="M2020" s="53">
        <f ca="1" t="shared" si="596"/>
        <v>0.1</v>
      </c>
      <c r="N2020" s="53">
        <f ca="1" t="shared" si="597"/>
        <v>0.15</v>
      </c>
    </row>
    <row r="2021" spans="2:14">
      <c r="B2021" s="1">
        <v>15</v>
      </c>
      <c r="C2021" s="30">
        <v>500000</v>
      </c>
      <c r="D2021" s="4">
        <f t="shared" si="598"/>
        <v>2000000</v>
      </c>
      <c r="E2021" s="43">
        <v>0.3</v>
      </c>
      <c r="F2021" s="30">
        <v>5</v>
      </c>
      <c r="G2021" s="30"/>
      <c r="H2021" s="30"/>
      <c r="I2021" s="30"/>
      <c r="J2021" s="53">
        <f ca="1" t="shared" si="593"/>
        <v>0.3</v>
      </c>
      <c r="K2021" s="62">
        <f ca="1" t="shared" si="594"/>
        <v>5</v>
      </c>
      <c r="L2021" s="53">
        <f ca="1" t="shared" si="595"/>
        <v>0.25</v>
      </c>
      <c r="M2021" s="53">
        <f ca="1" t="shared" si="596"/>
        <v>0.1</v>
      </c>
      <c r="N2021" s="53">
        <f ca="1" t="shared" si="597"/>
        <v>0.15</v>
      </c>
    </row>
    <row r="2022" spans="2:14">
      <c r="B2022" s="1">
        <v>16</v>
      </c>
      <c r="C2022" s="30">
        <v>1000000</v>
      </c>
      <c r="D2022" s="4">
        <f t="shared" ref="D2022:D2026" si="599">D2021+C2022</f>
        <v>3000000</v>
      </c>
      <c r="E2022" s="43"/>
      <c r="F2022" s="30"/>
      <c r="G2022" s="30"/>
      <c r="H2022" s="30"/>
      <c r="I2022" s="30"/>
      <c r="J2022" s="53">
        <f ca="1" t="shared" si="593"/>
        <v>0.3</v>
      </c>
      <c r="K2022" s="62">
        <f ca="1" t="shared" si="594"/>
        <v>5</v>
      </c>
      <c r="L2022" s="53">
        <f ca="1" t="shared" si="595"/>
        <v>0.25</v>
      </c>
      <c r="M2022" s="53">
        <f ca="1" t="shared" si="596"/>
        <v>0.1</v>
      </c>
      <c r="N2022" s="53">
        <f ca="1" t="shared" si="597"/>
        <v>0.15</v>
      </c>
    </row>
    <row r="2023" spans="2:14">
      <c r="B2023" s="1">
        <v>17</v>
      </c>
      <c r="C2023" s="30">
        <v>1000000</v>
      </c>
      <c r="D2023" s="4">
        <f t="shared" si="599"/>
        <v>4000000</v>
      </c>
      <c r="E2023" s="43"/>
      <c r="F2023" s="30"/>
      <c r="G2023" s="30"/>
      <c r="H2023" s="30"/>
      <c r="I2023" s="30"/>
      <c r="J2023" s="53">
        <f ca="1" t="shared" si="593"/>
        <v>0.3</v>
      </c>
      <c r="K2023" s="62">
        <f ca="1" t="shared" si="594"/>
        <v>5</v>
      </c>
      <c r="L2023" s="53">
        <f ca="1" t="shared" si="595"/>
        <v>0.25</v>
      </c>
      <c r="M2023" s="53">
        <f ca="1" t="shared" si="596"/>
        <v>0.1</v>
      </c>
      <c r="N2023" s="53">
        <f ca="1" t="shared" si="597"/>
        <v>0.15</v>
      </c>
    </row>
    <row r="2024" spans="2:14">
      <c r="B2024" s="1">
        <v>18</v>
      </c>
      <c r="C2024" s="30">
        <v>2000000</v>
      </c>
      <c r="D2024" s="4">
        <f t="shared" si="599"/>
        <v>6000000</v>
      </c>
      <c r="E2024" s="43">
        <v>0.35</v>
      </c>
      <c r="F2024" s="30">
        <v>6</v>
      </c>
      <c r="G2024" s="30"/>
      <c r="H2024" s="30"/>
      <c r="I2024" s="30"/>
      <c r="J2024" s="53">
        <f ca="1" t="shared" si="593"/>
        <v>0.35</v>
      </c>
      <c r="K2024" s="62">
        <f ca="1" t="shared" si="594"/>
        <v>6</v>
      </c>
      <c r="L2024" s="53">
        <f ca="1" t="shared" si="595"/>
        <v>0.25</v>
      </c>
      <c r="M2024" s="53">
        <f ca="1" t="shared" si="596"/>
        <v>0.1</v>
      </c>
      <c r="N2024" s="53">
        <f ca="1" t="shared" si="597"/>
        <v>0.15</v>
      </c>
    </row>
    <row r="2025" spans="2:14">
      <c r="B2025" s="1">
        <v>19</v>
      </c>
      <c r="C2025" s="30">
        <v>2000000</v>
      </c>
      <c r="D2025" s="4">
        <f t="shared" si="599"/>
        <v>8000000</v>
      </c>
      <c r="E2025" s="43"/>
      <c r="F2025" s="30"/>
      <c r="G2025" s="43">
        <v>0.3</v>
      </c>
      <c r="H2025" s="30"/>
      <c r="I2025" s="30"/>
      <c r="J2025" s="53">
        <f ca="1" t="shared" si="593"/>
        <v>0.35</v>
      </c>
      <c r="K2025" s="62">
        <f ca="1" t="shared" si="594"/>
        <v>6</v>
      </c>
      <c r="L2025" s="53">
        <f ca="1" t="shared" si="595"/>
        <v>0.3</v>
      </c>
      <c r="M2025" s="53">
        <f ca="1" t="shared" si="596"/>
        <v>0.1</v>
      </c>
      <c r="N2025" s="53">
        <f ca="1" t="shared" si="597"/>
        <v>0.15</v>
      </c>
    </row>
    <row r="2026" spans="2:14">
      <c r="B2026" s="1">
        <v>20</v>
      </c>
      <c r="C2026" s="30">
        <v>4000000</v>
      </c>
      <c r="D2026" s="4">
        <f t="shared" si="599"/>
        <v>12000000</v>
      </c>
      <c r="E2026" s="43"/>
      <c r="F2026" s="30"/>
      <c r="G2026" s="30"/>
      <c r="H2026" s="30"/>
      <c r="I2026" s="30"/>
      <c r="J2026" s="53">
        <f ca="1" t="shared" si="593"/>
        <v>0.35</v>
      </c>
      <c r="K2026" s="62">
        <f ca="1" t="shared" si="594"/>
        <v>6</v>
      </c>
      <c r="L2026" s="53">
        <f ca="1" t="shared" si="595"/>
        <v>0.3</v>
      </c>
      <c r="M2026" s="53">
        <f ca="1" t="shared" si="596"/>
        <v>0.1</v>
      </c>
      <c r="N2026" s="53">
        <f ca="1" t="shared" si="597"/>
        <v>0.15</v>
      </c>
    </row>
    <row r="2028" spans="2:12">
      <c r="B2028" s="27" t="s">
        <v>1231</v>
      </c>
      <c r="C2028" s="27"/>
      <c r="D2028" s="27"/>
      <c r="E2028" s="27"/>
      <c r="F2028" s="27"/>
      <c r="G2028" s="27"/>
      <c r="H2028" s="27"/>
      <c r="I2028" s="27"/>
      <c r="J2028" s="27"/>
      <c r="K2028" s="27"/>
      <c r="L2028" s="27"/>
    </row>
    <row r="2030" spans="2:13">
      <c r="B2030" s="1" t="s">
        <v>382</v>
      </c>
      <c r="C2030" s="1" t="s">
        <v>471</v>
      </c>
      <c r="D2030" s="1" t="s">
        <v>870</v>
      </c>
      <c r="E2030" s="1" t="s">
        <v>1229</v>
      </c>
      <c r="F2030" s="1" t="s">
        <v>1230</v>
      </c>
      <c r="G2030" s="1" t="s">
        <v>871</v>
      </c>
      <c r="H2030" s="1" t="s">
        <v>816</v>
      </c>
      <c r="I2030" s="15" t="s">
        <v>870</v>
      </c>
      <c r="J2030" s="15" t="s">
        <v>1229</v>
      </c>
      <c r="K2030" s="15" t="s">
        <v>1230</v>
      </c>
      <c r="L2030" s="15" t="s">
        <v>871</v>
      </c>
      <c r="M2030" s="15" t="s">
        <v>816</v>
      </c>
    </row>
    <row r="2031" spans="2:13">
      <c r="B2031" s="7">
        <v>0</v>
      </c>
      <c r="C2031" s="1">
        <f>IF(养成规划!M6="","",养成规划!M6)</f>
        <v>0</v>
      </c>
      <c r="D2031" s="14">
        <f ca="1" t="shared" ref="D2031:D2062" si="600">IFERROR(OFFSET(J$2006,MATCH($C2031,$B$2006:$B$2021,0)-1,0),"")</f>
        <v>0.05</v>
      </c>
      <c r="E2031" s="57">
        <f ca="1" t="shared" ref="E2031:E2062" si="601">IFERROR(OFFSET(K$2006,MATCH($C2031,$B$2006:$B$2021,0)-1,0),"")</f>
        <v>1</v>
      </c>
      <c r="F2031" s="14">
        <f ca="1" t="shared" ref="F2031:F2062" si="602">IFERROR(OFFSET(L$2006,MATCH($C2031,$B$2006:$B$2021,0)-1,0),"")</f>
        <v>0</v>
      </c>
      <c r="G2031" s="14">
        <f ca="1" t="shared" ref="G2031:G2062" si="603">IFERROR(OFFSET(M$2006,MATCH($C2031,$B$2006:$B$2021,0)-1,0),"")</f>
        <v>0</v>
      </c>
      <c r="H2031" s="14">
        <f ca="1" t="shared" ref="H2031:H2062" si="604">IFERROR(OFFSET(N$2006,MATCH($C2031,$B$2006:$B$2021,0)-1,0),"")</f>
        <v>0</v>
      </c>
      <c r="I2031" s="53">
        <f ca="1" t="shared" ref="I2031:I2062" si="605">IF(D2031="",INDIRECT(ADDRESS(ROW()-1,COLUMN())),D2031)</f>
        <v>0.05</v>
      </c>
      <c r="J2031" s="62">
        <f ca="1" t="shared" ref="J2031:J2062" si="606">IF(E2031="",INDIRECT(ADDRESS(ROW()-1,COLUMN())),E2031)</f>
        <v>1</v>
      </c>
      <c r="K2031" s="53">
        <f ca="1" t="shared" ref="K2031:K2062" si="607">IF(F2031="",INDIRECT(ADDRESS(ROW()-1,COLUMN())),F2031)</f>
        <v>0</v>
      </c>
      <c r="L2031" s="53">
        <f ca="1" t="shared" ref="L2031:L2062" si="608">IF(G2031="",INDIRECT(ADDRESS(ROW()-1,COLUMN())),G2031)</f>
        <v>0</v>
      </c>
      <c r="M2031" s="53">
        <f ca="1" t="shared" ref="M2031:M2062" si="609">IF(H2031="",INDIRECT(ADDRESS(ROW()-1,COLUMN())),H2031)</f>
        <v>0</v>
      </c>
    </row>
    <row r="2032" spans="2:13">
      <c r="B2032" s="7">
        <v>0.1</v>
      </c>
      <c r="C2032" s="1" t="str">
        <f>IF(养成规划!M7="","",养成规划!M7)</f>
        <v/>
      </c>
      <c r="D2032" s="14" t="str">
        <f ca="1" t="shared" si="600"/>
        <v/>
      </c>
      <c r="E2032" s="57" t="str">
        <f ca="1" t="shared" si="601"/>
        <v/>
      </c>
      <c r="F2032" s="14" t="str">
        <f ca="1" t="shared" si="602"/>
        <v/>
      </c>
      <c r="G2032" s="14" t="str">
        <f ca="1" t="shared" si="603"/>
        <v/>
      </c>
      <c r="H2032" s="14" t="str">
        <f ca="1" t="shared" si="604"/>
        <v/>
      </c>
      <c r="I2032" s="53">
        <f ca="1" t="shared" si="605"/>
        <v>0.05</v>
      </c>
      <c r="J2032" s="62">
        <f ca="1" t="shared" si="606"/>
        <v>1</v>
      </c>
      <c r="K2032" s="53">
        <f ca="1" t="shared" si="607"/>
        <v>0</v>
      </c>
      <c r="L2032" s="53">
        <f ca="1" t="shared" si="608"/>
        <v>0</v>
      </c>
      <c r="M2032" s="53">
        <f ca="1" t="shared" si="609"/>
        <v>0</v>
      </c>
    </row>
    <row r="2033" spans="2:13">
      <c r="B2033" s="7">
        <v>0.2</v>
      </c>
      <c r="C2033" s="1" t="str">
        <f>IF(养成规划!M8="","",养成规划!M8)</f>
        <v/>
      </c>
      <c r="D2033" s="14" t="str">
        <f ca="1" t="shared" si="600"/>
        <v/>
      </c>
      <c r="E2033" s="57" t="str">
        <f ca="1" t="shared" si="601"/>
        <v/>
      </c>
      <c r="F2033" s="14" t="str">
        <f ca="1" t="shared" si="602"/>
        <v/>
      </c>
      <c r="G2033" s="14" t="str">
        <f ca="1" t="shared" si="603"/>
        <v/>
      </c>
      <c r="H2033" s="14" t="str">
        <f ca="1" t="shared" si="604"/>
        <v/>
      </c>
      <c r="I2033" s="53">
        <f ca="1" t="shared" si="605"/>
        <v>0.05</v>
      </c>
      <c r="J2033" s="62">
        <f ca="1" t="shared" si="606"/>
        <v>1</v>
      </c>
      <c r="K2033" s="53">
        <f ca="1" t="shared" si="607"/>
        <v>0</v>
      </c>
      <c r="L2033" s="53">
        <f ca="1" t="shared" si="608"/>
        <v>0</v>
      </c>
      <c r="M2033" s="53">
        <f ca="1" t="shared" si="609"/>
        <v>0</v>
      </c>
    </row>
    <row r="2034" spans="2:13">
      <c r="B2034" s="7">
        <v>0.3</v>
      </c>
      <c r="C2034" s="1" t="str">
        <f>IF(养成规划!M9="","",养成规划!M9)</f>
        <v/>
      </c>
      <c r="D2034" s="14" t="str">
        <f ca="1" t="shared" si="600"/>
        <v/>
      </c>
      <c r="E2034" s="57" t="str">
        <f ca="1" t="shared" si="601"/>
        <v/>
      </c>
      <c r="F2034" s="14" t="str">
        <f ca="1" t="shared" si="602"/>
        <v/>
      </c>
      <c r="G2034" s="14" t="str">
        <f ca="1" t="shared" si="603"/>
        <v/>
      </c>
      <c r="H2034" s="14" t="str">
        <f ca="1" t="shared" si="604"/>
        <v/>
      </c>
      <c r="I2034" s="53">
        <f ca="1" t="shared" si="605"/>
        <v>0.05</v>
      </c>
      <c r="J2034" s="62">
        <f ca="1" t="shared" si="606"/>
        <v>1</v>
      </c>
      <c r="K2034" s="53">
        <f ca="1" t="shared" si="607"/>
        <v>0</v>
      </c>
      <c r="L2034" s="53">
        <f ca="1" t="shared" si="608"/>
        <v>0</v>
      </c>
      <c r="M2034" s="53">
        <f ca="1" t="shared" si="609"/>
        <v>0</v>
      </c>
    </row>
    <row r="2035" spans="2:13">
      <c r="B2035" s="7">
        <v>0.4</v>
      </c>
      <c r="C2035" s="1" t="str">
        <f>IF(养成规划!M10="","",养成规划!M10)</f>
        <v/>
      </c>
      <c r="D2035" s="14" t="str">
        <f ca="1" t="shared" si="600"/>
        <v/>
      </c>
      <c r="E2035" s="57" t="str">
        <f ca="1" t="shared" si="601"/>
        <v/>
      </c>
      <c r="F2035" s="14" t="str">
        <f ca="1" t="shared" si="602"/>
        <v/>
      </c>
      <c r="G2035" s="14" t="str">
        <f ca="1" t="shared" si="603"/>
        <v/>
      </c>
      <c r="H2035" s="14" t="str">
        <f ca="1" t="shared" si="604"/>
        <v/>
      </c>
      <c r="I2035" s="53">
        <f ca="1" t="shared" si="605"/>
        <v>0.05</v>
      </c>
      <c r="J2035" s="62">
        <f ca="1" t="shared" si="606"/>
        <v>1</v>
      </c>
      <c r="K2035" s="53">
        <f ca="1" t="shared" si="607"/>
        <v>0</v>
      </c>
      <c r="L2035" s="53">
        <f ca="1" t="shared" si="608"/>
        <v>0</v>
      </c>
      <c r="M2035" s="53">
        <f ca="1" t="shared" si="609"/>
        <v>0</v>
      </c>
    </row>
    <row r="2036" spans="2:13">
      <c r="B2036" s="7">
        <v>0.5</v>
      </c>
      <c r="C2036" s="1" t="str">
        <f>IF(养成规划!M11="","",养成规划!M11)</f>
        <v/>
      </c>
      <c r="D2036" s="14" t="str">
        <f ca="1" t="shared" si="600"/>
        <v/>
      </c>
      <c r="E2036" s="57" t="str">
        <f ca="1" t="shared" si="601"/>
        <v/>
      </c>
      <c r="F2036" s="14" t="str">
        <f ca="1" t="shared" si="602"/>
        <v/>
      </c>
      <c r="G2036" s="14" t="str">
        <f ca="1" t="shared" si="603"/>
        <v/>
      </c>
      <c r="H2036" s="14" t="str">
        <f ca="1" t="shared" si="604"/>
        <v/>
      </c>
      <c r="I2036" s="53">
        <f ca="1" t="shared" si="605"/>
        <v>0.05</v>
      </c>
      <c r="J2036" s="62">
        <f ca="1" t="shared" si="606"/>
        <v>1</v>
      </c>
      <c r="K2036" s="53">
        <f ca="1" t="shared" si="607"/>
        <v>0</v>
      </c>
      <c r="L2036" s="53">
        <f ca="1" t="shared" si="608"/>
        <v>0</v>
      </c>
      <c r="M2036" s="53">
        <f ca="1" t="shared" si="609"/>
        <v>0</v>
      </c>
    </row>
    <row r="2037" spans="2:13">
      <c r="B2037" s="7">
        <v>0.6</v>
      </c>
      <c r="C2037" s="1" t="str">
        <f>IF(养成规划!M12="","",养成规划!M12)</f>
        <v/>
      </c>
      <c r="D2037" s="14" t="str">
        <f ca="1" t="shared" si="600"/>
        <v/>
      </c>
      <c r="E2037" s="57" t="str">
        <f ca="1" t="shared" si="601"/>
        <v/>
      </c>
      <c r="F2037" s="14" t="str">
        <f ca="1" t="shared" si="602"/>
        <v/>
      </c>
      <c r="G2037" s="14" t="str">
        <f ca="1" t="shared" si="603"/>
        <v/>
      </c>
      <c r="H2037" s="14" t="str">
        <f ca="1" t="shared" si="604"/>
        <v/>
      </c>
      <c r="I2037" s="53">
        <f ca="1" t="shared" si="605"/>
        <v>0.05</v>
      </c>
      <c r="J2037" s="62">
        <f ca="1" t="shared" si="606"/>
        <v>1</v>
      </c>
      <c r="K2037" s="53">
        <f ca="1" t="shared" si="607"/>
        <v>0</v>
      </c>
      <c r="L2037" s="53">
        <f ca="1" t="shared" si="608"/>
        <v>0</v>
      </c>
      <c r="M2037" s="53">
        <f ca="1" t="shared" si="609"/>
        <v>0</v>
      </c>
    </row>
    <row r="2038" spans="2:13">
      <c r="B2038" s="7">
        <v>0.7</v>
      </c>
      <c r="C2038" s="1" t="str">
        <f>IF(养成规划!M13="","",养成规划!M13)</f>
        <v/>
      </c>
      <c r="D2038" s="14" t="str">
        <f ca="1" t="shared" si="600"/>
        <v/>
      </c>
      <c r="E2038" s="57" t="str">
        <f ca="1" t="shared" si="601"/>
        <v/>
      </c>
      <c r="F2038" s="14" t="str">
        <f ca="1" t="shared" si="602"/>
        <v/>
      </c>
      <c r="G2038" s="14" t="str">
        <f ca="1" t="shared" si="603"/>
        <v/>
      </c>
      <c r="H2038" s="14" t="str">
        <f ca="1" t="shared" si="604"/>
        <v/>
      </c>
      <c r="I2038" s="53">
        <f ca="1" t="shared" si="605"/>
        <v>0.05</v>
      </c>
      <c r="J2038" s="62">
        <f ca="1" t="shared" si="606"/>
        <v>1</v>
      </c>
      <c r="K2038" s="53">
        <f ca="1" t="shared" si="607"/>
        <v>0</v>
      </c>
      <c r="L2038" s="53">
        <f ca="1" t="shared" si="608"/>
        <v>0</v>
      </c>
      <c r="M2038" s="53">
        <f ca="1" t="shared" si="609"/>
        <v>0</v>
      </c>
    </row>
    <row r="2039" spans="2:13">
      <c r="B2039" s="7">
        <v>0.8</v>
      </c>
      <c r="C2039" s="1" t="str">
        <f>IF(养成规划!M14="","",养成规划!M14)</f>
        <v/>
      </c>
      <c r="D2039" s="14" t="str">
        <f ca="1" t="shared" si="600"/>
        <v/>
      </c>
      <c r="E2039" s="57" t="str">
        <f ca="1" t="shared" si="601"/>
        <v/>
      </c>
      <c r="F2039" s="14" t="str">
        <f ca="1" t="shared" si="602"/>
        <v/>
      </c>
      <c r="G2039" s="14" t="str">
        <f ca="1" t="shared" si="603"/>
        <v/>
      </c>
      <c r="H2039" s="14" t="str">
        <f ca="1" t="shared" si="604"/>
        <v/>
      </c>
      <c r="I2039" s="53">
        <f ca="1" t="shared" si="605"/>
        <v>0.05</v>
      </c>
      <c r="J2039" s="62">
        <f ca="1" t="shared" si="606"/>
        <v>1</v>
      </c>
      <c r="K2039" s="53">
        <f ca="1" t="shared" si="607"/>
        <v>0</v>
      </c>
      <c r="L2039" s="53">
        <f ca="1" t="shared" si="608"/>
        <v>0</v>
      </c>
      <c r="M2039" s="53">
        <f ca="1" t="shared" si="609"/>
        <v>0</v>
      </c>
    </row>
    <row r="2040" spans="2:13">
      <c r="B2040" s="7">
        <v>0.9</v>
      </c>
      <c r="C2040" s="1" t="str">
        <f>IF(养成规划!M15="","",养成规划!M15)</f>
        <v/>
      </c>
      <c r="D2040" s="14" t="str">
        <f ca="1" t="shared" si="600"/>
        <v/>
      </c>
      <c r="E2040" s="57" t="str">
        <f ca="1" t="shared" si="601"/>
        <v/>
      </c>
      <c r="F2040" s="14" t="str">
        <f ca="1" t="shared" si="602"/>
        <v/>
      </c>
      <c r="G2040" s="14" t="str">
        <f ca="1" t="shared" si="603"/>
        <v/>
      </c>
      <c r="H2040" s="14" t="str">
        <f ca="1" t="shared" si="604"/>
        <v/>
      </c>
      <c r="I2040" s="53">
        <f ca="1" t="shared" si="605"/>
        <v>0.05</v>
      </c>
      <c r="J2040" s="62">
        <f ca="1" t="shared" si="606"/>
        <v>1</v>
      </c>
      <c r="K2040" s="53">
        <f ca="1" t="shared" si="607"/>
        <v>0</v>
      </c>
      <c r="L2040" s="53">
        <f ca="1" t="shared" si="608"/>
        <v>0</v>
      </c>
      <c r="M2040" s="53">
        <f ca="1" t="shared" si="609"/>
        <v>0</v>
      </c>
    </row>
    <row r="2041" spans="2:13">
      <c r="B2041" s="7">
        <v>1</v>
      </c>
      <c r="C2041" s="1" t="str">
        <f>IF(养成规划!M16="","",养成规划!M16)</f>
        <v/>
      </c>
      <c r="D2041" s="14" t="str">
        <f ca="1" t="shared" si="600"/>
        <v/>
      </c>
      <c r="E2041" s="57" t="str">
        <f ca="1" t="shared" si="601"/>
        <v/>
      </c>
      <c r="F2041" s="14" t="str">
        <f ca="1" t="shared" si="602"/>
        <v/>
      </c>
      <c r="G2041" s="14" t="str">
        <f ca="1" t="shared" si="603"/>
        <v/>
      </c>
      <c r="H2041" s="14" t="str">
        <f ca="1" t="shared" si="604"/>
        <v/>
      </c>
      <c r="I2041" s="53">
        <f ca="1" t="shared" si="605"/>
        <v>0.05</v>
      </c>
      <c r="J2041" s="62">
        <f ca="1" t="shared" si="606"/>
        <v>1</v>
      </c>
      <c r="K2041" s="53">
        <f ca="1" t="shared" si="607"/>
        <v>0</v>
      </c>
      <c r="L2041" s="53">
        <f ca="1" t="shared" si="608"/>
        <v>0</v>
      </c>
      <c r="M2041" s="53">
        <f ca="1" t="shared" si="609"/>
        <v>0</v>
      </c>
    </row>
    <row r="2042" spans="2:13">
      <c r="B2042" s="9">
        <v>1.5</v>
      </c>
      <c r="C2042" s="1" t="str">
        <f>IF(养成规划!M17="","",养成规划!M17)</f>
        <v/>
      </c>
      <c r="D2042" s="14" t="str">
        <f ca="1" t="shared" si="600"/>
        <v/>
      </c>
      <c r="E2042" s="57" t="str">
        <f ca="1" t="shared" si="601"/>
        <v/>
      </c>
      <c r="F2042" s="14" t="str">
        <f ca="1" t="shared" si="602"/>
        <v/>
      </c>
      <c r="G2042" s="14" t="str">
        <f ca="1" t="shared" si="603"/>
        <v/>
      </c>
      <c r="H2042" s="14" t="str">
        <f ca="1" t="shared" si="604"/>
        <v/>
      </c>
      <c r="I2042" s="53">
        <f ca="1" t="shared" si="605"/>
        <v>0.05</v>
      </c>
      <c r="J2042" s="62">
        <f ca="1" t="shared" si="606"/>
        <v>1</v>
      </c>
      <c r="K2042" s="53">
        <f ca="1" t="shared" si="607"/>
        <v>0</v>
      </c>
      <c r="L2042" s="53">
        <f ca="1" t="shared" si="608"/>
        <v>0</v>
      </c>
      <c r="M2042" s="53">
        <f ca="1" t="shared" si="609"/>
        <v>0</v>
      </c>
    </row>
    <row r="2043" spans="2:13">
      <c r="B2043" s="9">
        <v>2</v>
      </c>
      <c r="C2043" s="1">
        <f>IF(养成规划!M18="","",养成规划!M18)</f>
        <v>1</v>
      </c>
      <c r="D2043" s="14">
        <f ca="1" t="shared" si="600"/>
        <v>0.05</v>
      </c>
      <c r="E2043" s="57">
        <f ca="1" t="shared" si="601"/>
        <v>1</v>
      </c>
      <c r="F2043" s="14">
        <f ca="1" t="shared" si="602"/>
        <v>0.05</v>
      </c>
      <c r="G2043" s="14">
        <f ca="1" t="shared" si="603"/>
        <v>0</v>
      </c>
      <c r="H2043" s="14">
        <f ca="1" t="shared" si="604"/>
        <v>0</v>
      </c>
      <c r="I2043" s="53">
        <f ca="1" t="shared" si="605"/>
        <v>0.05</v>
      </c>
      <c r="J2043" s="62">
        <f ca="1" t="shared" si="606"/>
        <v>1</v>
      </c>
      <c r="K2043" s="53">
        <f ca="1" t="shared" si="607"/>
        <v>0.05</v>
      </c>
      <c r="L2043" s="53">
        <f ca="1" t="shared" si="608"/>
        <v>0</v>
      </c>
      <c r="M2043" s="53">
        <f ca="1" t="shared" si="609"/>
        <v>0</v>
      </c>
    </row>
    <row r="2044" spans="2:13">
      <c r="B2044" s="9">
        <v>2.5</v>
      </c>
      <c r="C2044" s="1" t="str">
        <f>IF(养成规划!M19="","",养成规划!M19)</f>
        <v/>
      </c>
      <c r="D2044" s="14" t="str">
        <f ca="1" t="shared" si="600"/>
        <v/>
      </c>
      <c r="E2044" s="57" t="str">
        <f ca="1" t="shared" si="601"/>
        <v/>
      </c>
      <c r="F2044" s="14" t="str">
        <f ca="1" t="shared" si="602"/>
        <v/>
      </c>
      <c r="G2044" s="14" t="str">
        <f ca="1" t="shared" si="603"/>
        <v/>
      </c>
      <c r="H2044" s="14" t="str">
        <f ca="1" t="shared" si="604"/>
        <v/>
      </c>
      <c r="I2044" s="53">
        <f ca="1" t="shared" si="605"/>
        <v>0.05</v>
      </c>
      <c r="J2044" s="62">
        <f ca="1" t="shared" si="606"/>
        <v>1</v>
      </c>
      <c r="K2044" s="53">
        <f ca="1" t="shared" si="607"/>
        <v>0.05</v>
      </c>
      <c r="L2044" s="53">
        <f ca="1" t="shared" si="608"/>
        <v>0</v>
      </c>
      <c r="M2044" s="53">
        <f ca="1" t="shared" si="609"/>
        <v>0</v>
      </c>
    </row>
    <row r="2045" spans="2:13">
      <c r="B2045" s="9">
        <v>3</v>
      </c>
      <c r="C2045" s="1" t="str">
        <f>IF(养成规划!M20="","",养成规划!M20)</f>
        <v/>
      </c>
      <c r="D2045" s="14" t="str">
        <f ca="1" t="shared" si="600"/>
        <v/>
      </c>
      <c r="E2045" s="57" t="str">
        <f ca="1" t="shared" si="601"/>
        <v/>
      </c>
      <c r="F2045" s="14" t="str">
        <f ca="1" t="shared" si="602"/>
        <v/>
      </c>
      <c r="G2045" s="14" t="str">
        <f ca="1" t="shared" si="603"/>
        <v/>
      </c>
      <c r="H2045" s="14" t="str">
        <f ca="1" t="shared" si="604"/>
        <v/>
      </c>
      <c r="I2045" s="53">
        <f ca="1" t="shared" si="605"/>
        <v>0.05</v>
      </c>
      <c r="J2045" s="62">
        <f ca="1" t="shared" si="606"/>
        <v>1</v>
      </c>
      <c r="K2045" s="53">
        <f ca="1" t="shared" si="607"/>
        <v>0.05</v>
      </c>
      <c r="L2045" s="53">
        <f ca="1" t="shared" si="608"/>
        <v>0</v>
      </c>
      <c r="M2045" s="53">
        <f ca="1" t="shared" si="609"/>
        <v>0</v>
      </c>
    </row>
    <row r="2046" spans="2:13">
      <c r="B2046" s="9">
        <v>3.5</v>
      </c>
      <c r="C2046" s="1" t="str">
        <f>IF(养成规划!M21="","",养成规划!M21)</f>
        <v/>
      </c>
      <c r="D2046" s="14" t="str">
        <f ca="1" t="shared" si="600"/>
        <v/>
      </c>
      <c r="E2046" s="57" t="str">
        <f ca="1" t="shared" si="601"/>
        <v/>
      </c>
      <c r="F2046" s="14" t="str">
        <f ca="1" t="shared" si="602"/>
        <v/>
      </c>
      <c r="G2046" s="14" t="str">
        <f ca="1" t="shared" si="603"/>
        <v/>
      </c>
      <c r="H2046" s="14" t="str">
        <f ca="1" t="shared" si="604"/>
        <v/>
      </c>
      <c r="I2046" s="53">
        <f ca="1" t="shared" si="605"/>
        <v>0.05</v>
      </c>
      <c r="J2046" s="62">
        <f ca="1" t="shared" si="606"/>
        <v>1</v>
      </c>
      <c r="K2046" s="53">
        <f ca="1" t="shared" si="607"/>
        <v>0.05</v>
      </c>
      <c r="L2046" s="53">
        <f ca="1" t="shared" si="608"/>
        <v>0</v>
      </c>
      <c r="M2046" s="53">
        <f ca="1" t="shared" si="609"/>
        <v>0</v>
      </c>
    </row>
    <row r="2047" spans="2:13">
      <c r="B2047" s="9">
        <v>4</v>
      </c>
      <c r="C2047" s="1">
        <f>IF(养成规划!M22="","",养成规划!M22)</f>
        <v>2</v>
      </c>
      <c r="D2047" s="14">
        <f ca="1" t="shared" si="600"/>
        <v>0.05</v>
      </c>
      <c r="E2047" s="57">
        <f ca="1" t="shared" si="601"/>
        <v>1</v>
      </c>
      <c r="F2047" s="14">
        <f ca="1" t="shared" si="602"/>
        <v>0.05</v>
      </c>
      <c r="G2047" s="14">
        <f ca="1" t="shared" si="603"/>
        <v>0</v>
      </c>
      <c r="H2047" s="14">
        <f ca="1" t="shared" si="604"/>
        <v>0</v>
      </c>
      <c r="I2047" s="53">
        <f ca="1" t="shared" si="605"/>
        <v>0.05</v>
      </c>
      <c r="J2047" s="62">
        <f ca="1" t="shared" si="606"/>
        <v>1</v>
      </c>
      <c r="K2047" s="53">
        <f ca="1" t="shared" si="607"/>
        <v>0.05</v>
      </c>
      <c r="L2047" s="53">
        <f ca="1" t="shared" si="608"/>
        <v>0</v>
      </c>
      <c r="M2047" s="53">
        <f ca="1" t="shared" si="609"/>
        <v>0</v>
      </c>
    </row>
    <row r="2048" spans="2:13">
      <c r="B2048" s="9">
        <v>4.5</v>
      </c>
      <c r="C2048" s="1" t="str">
        <f>IF(养成规划!M23="","",养成规划!M23)</f>
        <v/>
      </c>
      <c r="D2048" s="14" t="str">
        <f ca="1" t="shared" si="600"/>
        <v/>
      </c>
      <c r="E2048" s="57" t="str">
        <f ca="1" t="shared" si="601"/>
        <v/>
      </c>
      <c r="F2048" s="14" t="str">
        <f ca="1" t="shared" si="602"/>
        <v/>
      </c>
      <c r="G2048" s="14" t="str">
        <f ca="1" t="shared" si="603"/>
        <v/>
      </c>
      <c r="H2048" s="14" t="str">
        <f ca="1" t="shared" si="604"/>
        <v/>
      </c>
      <c r="I2048" s="53">
        <f ca="1" t="shared" si="605"/>
        <v>0.05</v>
      </c>
      <c r="J2048" s="62">
        <f ca="1" t="shared" si="606"/>
        <v>1</v>
      </c>
      <c r="K2048" s="53">
        <f ca="1" t="shared" si="607"/>
        <v>0.05</v>
      </c>
      <c r="L2048" s="53">
        <f ca="1" t="shared" si="608"/>
        <v>0</v>
      </c>
      <c r="M2048" s="53">
        <f ca="1" t="shared" si="609"/>
        <v>0</v>
      </c>
    </row>
    <row r="2049" spans="2:13">
      <c r="B2049" s="9">
        <v>5</v>
      </c>
      <c r="C2049" s="1" t="str">
        <f>IF(养成规划!M24="","",养成规划!M24)</f>
        <v/>
      </c>
      <c r="D2049" s="14" t="str">
        <f ca="1" t="shared" si="600"/>
        <v/>
      </c>
      <c r="E2049" s="57" t="str">
        <f ca="1" t="shared" si="601"/>
        <v/>
      </c>
      <c r="F2049" s="14" t="str">
        <f ca="1" t="shared" si="602"/>
        <v/>
      </c>
      <c r="G2049" s="14" t="str">
        <f ca="1" t="shared" si="603"/>
        <v/>
      </c>
      <c r="H2049" s="14" t="str">
        <f ca="1" t="shared" si="604"/>
        <v/>
      </c>
      <c r="I2049" s="53">
        <f ca="1" t="shared" si="605"/>
        <v>0.05</v>
      </c>
      <c r="J2049" s="62">
        <f ca="1" t="shared" si="606"/>
        <v>1</v>
      </c>
      <c r="K2049" s="53">
        <f ca="1" t="shared" si="607"/>
        <v>0.05</v>
      </c>
      <c r="L2049" s="53">
        <f ca="1" t="shared" si="608"/>
        <v>0</v>
      </c>
      <c r="M2049" s="53">
        <f ca="1" t="shared" si="609"/>
        <v>0</v>
      </c>
    </row>
    <row r="2050" spans="2:13">
      <c r="B2050" s="9">
        <v>5.5</v>
      </c>
      <c r="C2050" s="1" t="str">
        <f>IF(养成规划!M25="","",养成规划!M25)</f>
        <v/>
      </c>
      <c r="D2050" s="14" t="str">
        <f ca="1" t="shared" si="600"/>
        <v/>
      </c>
      <c r="E2050" s="57" t="str">
        <f ca="1" t="shared" si="601"/>
        <v/>
      </c>
      <c r="F2050" s="14" t="str">
        <f ca="1" t="shared" si="602"/>
        <v/>
      </c>
      <c r="G2050" s="14" t="str">
        <f ca="1" t="shared" si="603"/>
        <v/>
      </c>
      <c r="H2050" s="14" t="str">
        <f ca="1" t="shared" si="604"/>
        <v/>
      </c>
      <c r="I2050" s="53">
        <f ca="1" t="shared" si="605"/>
        <v>0.05</v>
      </c>
      <c r="J2050" s="62">
        <f ca="1" t="shared" si="606"/>
        <v>1</v>
      </c>
      <c r="K2050" s="53">
        <f ca="1" t="shared" si="607"/>
        <v>0.05</v>
      </c>
      <c r="L2050" s="53">
        <f ca="1" t="shared" si="608"/>
        <v>0</v>
      </c>
      <c r="M2050" s="53">
        <f ca="1" t="shared" si="609"/>
        <v>0</v>
      </c>
    </row>
    <row r="2051" spans="2:13">
      <c r="B2051" s="9">
        <v>6</v>
      </c>
      <c r="C2051" s="1">
        <f>IF(养成规划!M26="","",养成规划!M26)</f>
        <v>3</v>
      </c>
      <c r="D2051" s="14">
        <f ca="1" t="shared" si="600"/>
        <v>0.1</v>
      </c>
      <c r="E2051" s="57">
        <f ca="1" t="shared" si="601"/>
        <v>1</v>
      </c>
      <c r="F2051" s="14">
        <f ca="1" t="shared" si="602"/>
        <v>0.05</v>
      </c>
      <c r="G2051" s="14">
        <f ca="1" t="shared" si="603"/>
        <v>0.02</v>
      </c>
      <c r="H2051" s="14">
        <f ca="1" t="shared" si="604"/>
        <v>0</v>
      </c>
      <c r="I2051" s="53">
        <f ca="1" t="shared" si="605"/>
        <v>0.1</v>
      </c>
      <c r="J2051" s="62">
        <f ca="1" t="shared" si="606"/>
        <v>1</v>
      </c>
      <c r="K2051" s="53">
        <f ca="1" t="shared" si="607"/>
        <v>0.05</v>
      </c>
      <c r="L2051" s="53">
        <f ca="1" t="shared" si="608"/>
        <v>0.02</v>
      </c>
      <c r="M2051" s="53">
        <f ca="1" t="shared" si="609"/>
        <v>0</v>
      </c>
    </row>
    <row r="2052" spans="2:13">
      <c r="B2052" s="9">
        <v>6.5</v>
      </c>
      <c r="C2052" s="1" t="str">
        <f>IF(养成规划!M27="","",养成规划!M27)</f>
        <v/>
      </c>
      <c r="D2052" s="14" t="str">
        <f ca="1" t="shared" si="600"/>
        <v/>
      </c>
      <c r="E2052" s="57" t="str">
        <f ca="1" t="shared" si="601"/>
        <v/>
      </c>
      <c r="F2052" s="14" t="str">
        <f ca="1" t="shared" si="602"/>
        <v/>
      </c>
      <c r="G2052" s="14" t="str">
        <f ca="1" t="shared" si="603"/>
        <v/>
      </c>
      <c r="H2052" s="14" t="str">
        <f ca="1" t="shared" si="604"/>
        <v/>
      </c>
      <c r="I2052" s="53">
        <f ca="1" t="shared" si="605"/>
        <v>0.1</v>
      </c>
      <c r="J2052" s="62">
        <f ca="1" t="shared" si="606"/>
        <v>1</v>
      </c>
      <c r="K2052" s="53">
        <f ca="1" t="shared" si="607"/>
        <v>0.05</v>
      </c>
      <c r="L2052" s="53">
        <f ca="1" t="shared" si="608"/>
        <v>0.02</v>
      </c>
      <c r="M2052" s="53">
        <f ca="1" t="shared" si="609"/>
        <v>0</v>
      </c>
    </row>
    <row r="2053" spans="2:13">
      <c r="B2053" s="9">
        <v>7</v>
      </c>
      <c r="C2053" s="1" t="str">
        <f>IF(养成规划!M28="","",养成规划!M28)</f>
        <v/>
      </c>
      <c r="D2053" s="14" t="str">
        <f ca="1" t="shared" si="600"/>
        <v/>
      </c>
      <c r="E2053" s="57" t="str">
        <f ca="1" t="shared" si="601"/>
        <v/>
      </c>
      <c r="F2053" s="14" t="str">
        <f ca="1" t="shared" si="602"/>
        <v/>
      </c>
      <c r="G2053" s="14" t="str">
        <f ca="1" t="shared" si="603"/>
        <v/>
      </c>
      <c r="H2053" s="14" t="str">
        <f ca="1" t="shared" si="604"/>
        <v/>
      </c>
      <c r="I2053" s="53">
        <f ca="1" t="shared" si="605"/>
        <v>0.1</v>
      </c>
      <c r="J2053" s="62">
        <f ca="1" t="shared" si="606"/>
        <v>1</v>
      </c>
      <c r="K2053" s="53">
        <f ca="1" t="shared" si="607"/>
        <v>0.05</v>
      </c>
      <c r="L2053" s="53">
        <f ca="1" t="shared" si="608"/>
        <v>0.02</v>
      </c>
      <c r="M2053" s="53">
        <f ca="1" t="shared" si="609"/>
        <v>0</v>
      </c>
    </row>
    <row r="2054" spans="2:13">
      <c r="B2054" s="10">
        <v>8</v>
      </c>
      <c r="C2054" s="1" t="str">
        <f>IF(养成规划!M29="","",养成规划!M29)</f>
        <v/>
      </c>
      <c r="D2054" s="14" t="str">
        <f ca="1" t="shared" si="600"/>
        <v/>
      </c>
      <c r="E2054" s="57" t="str">
        <f ca="1" t="shared" si="601"/>
        <v/>
      </c>
      <c r="F2054" s="14" t="str">
        <f ca="1" t="shared" si="602"/>
        <v/>
      </c>
      <c r="G2054" s="14" t="str">
        <f ca="1" t="shared" si="603"/>
        <v/>
      </c>
      <c r="H2054" s="14" t="str">
        <f ca="1" t="shared" si="604"/>
        <v/>
      </c>
      <c r="I2054" s="53">
        <f ca="1" t="shared" si="605"/>
        <v>0.1</v>
      </c>
      <c r="J2054" s="62">
        <f ca="1" t="shared" si="606"/>
        <v>1</v>
      </c>
      <c r="K2054" s="53">
        <f ca="1" t="shared" si="607"/>
        <v>0.05</v>
      </c>
      <c r="L2054" s="53">
        <f ca="1" t="shared" si="608"/>
        <v>0.02</v>
      </c>
      <c r="M2054" s="53">
        <f ca="1" t="shared" si="609"/>
        <v>0</v>
      </c>
    </row>
    <row r="2055" spans="2:13">
      <c r="B2055" s="10">
        <v>9</v>
      </c>
      <c r="C2055" s="1">
        <f>IF(养成规划!M30="","",养成规划!M30)</f>
        <v>4</v>
      </c>
      <c r="D2055" s="14">
        <f ca="1" t="shared" si="600"/>
        <v>0.1</v>
      </c>
      <c r="E2055" s="57">
        <f ca="1" t="shared" si="601"/>
        <v>2</v>
      </c>
      <c r="F2055" s="14">
        <f ca="1" t="shared" si="602"/>
        <v>0.1</v>
      </c>
      <c r="G2055" s="14">
        <f ca="1" t="shared" si="603"/>
        <v>0.02</v>
      </c>
      <c r="H2055" s="14">
        <f ca="1" t="shared" si="604"/>
        <v>0</v>
      </c>
      <c r="I2055" s="53">
        <f ca="1" t="shared" si="605"/>
        <v>0.1</v>
      </c>
      <c r="J2055" s="62">
        <f ca="1" t="shared" si="606"/>
        <v>2</v>
      </c>
      <c r="K2055" s="53">
        <f ca="1" t="shared" si="607"/>
        <v>0.1</v>
      </c>
      <c r="L2055" s="53">
        <f ca="1" t="shared" si="608"/>
        <v>0.02</v>
      </c>
      <c r="M2055" s="53">
        <f ca="1" t="shared" si="609"/>
        <v>0</v>
      </c>
    </row>
    <row r="2056" spans="2:13">
      <c r="B2056" s="10">
        <v>10</v>
      </c>
      <c r="C2056" s="1" t="str">
        <f>IF(养成规划!M31="","",养成规划!M31)</f>
        <v/>
      </c>
      <c r="D2056" s="14" t="str">
        <f ca="1" t="shared" si="600"/>
        <v/>
      </c>
      <c r="E2056" s="57" t="str">
        <f ca="1" t="shared" si="601"/>
        <v/>
      </c>
      <c r="F2056" s="14" t="str">
        <f ca="1" t="shared" si="602"/>
        <v/>
      </c>
      <c r="G2056" s="14" t="str">
        <f ca="1" t="shared" si="603"/>
        <v/>
      </c>
      <c r="H2056" s="14" t="str">
        <f ca="1" t="shared" si="604"/>
        <v/>
      </c>
      <c r="I2056" s="53">
        <f ca="1" t="shared" si="605"/>
        <v>0.1</v>
      </c>
      <c r="J2056" s="62">
        <f ca="1" t="shared" si="606"/>
        <v>2</v>
      </c>
      <c r="K2056" s="53">
        <f ca="1" t="shared" si="607"/>
        <v>0.1</v>
      </c>
      <c r="L2056" s="53">
        <f ca="1" t="shared" si="608"/>
        <v>0.02</v>
      </c>
      <c r="M2056" s="53">
        <f ca="1" t="shared" si="609"/>
        <v>0</v>
      </c>
    </row>
    <row r="2057" spans="2:13">
      <c r="B2057" s="10">
        <v>11</v>
      </c>
      <c r="C2057" s="1" t="str">
        <f>IF(养成规划!M32="","",养成规划!M32)</f>
        <v/>
      </c>
      <c r="D2057" s="14" t="str">
        <f ca="1" t="shared" si="600"/>
        <v/>
      </c>
      <c r="E2057" s="57" t="str">
        <f ca="1" t="shared" si="601"/>
        <v/>
      </c>
      <c r="F2057" s="14" t="str">
        <f ca="1" t="shared" si="602"/>
        <v/>
      </c>
      <c r="G2057" s="14" t="str">
        <f ca="1" t="shared" si="603"/>
        <v/>
      </c>
      <c r="H2057" s="14" t="str">
        <f ca="1" t="shared" si="604"/>
        <v/>
      </c>
      <c r="I2057" s="53">
        <f ca="1" t="shared" si="605"/>
        <v>0.1</v>
      </c>
      <c r="J2057" s="62">
        <f ca="1" t="shared" si="606"/>
        <v>2</v>
      </c>
      <c r="K2057" s="53">
        <f ca="1" t="shared" si="607"/>
        <v>0.1</v>
      </c>
      <c r="L2057" s="53">
        <f ca="1" t="shared" si="608"/>
        <v>0.02</v>
      </c>
      <c r="M2057" s="53">
        <f ca="1" t="shared" si="609"/>
        <v>0</v>
      </c>
    </row>
    <row r="2058" spans="2:13">
      <c r="B2058" s="10">
        <v>12</v>
      </c>
      <c r="C2058" s="1" t="str">
        <f>IF(养成规划!M33="","",养成规划!M33)</f>
        <v/>
      </c>
      <c r="D2058" s="14" t="str">
        <f ca="1" t="shared" si="600"/>
        <v/>
      </c>
      <c r="E2058" s="57" t="str">
        <f ca="1" t="shared" si="601"/>
        <v/>
      </c>
      <c r="F2058" s="14" t="str">
        <f ca="1" t="shared" si="602"/>
        <v/>
      </c>
      <c r="G2058" s="14" t="str">
        <f ca="1" t="shared" si="603"/>
        <v/>
      </c>
      <c r="H2058" s="14" t="str">
        <f ca="1" t="shared" si="604"/>
        <v/>
      </c>
      <c r="I2058" s="53">
        <f ca="1" t="shared" si="605"/>
        <v>0.1</v>
      </c>
      <c r="J2058" s="62">
        <f ca="1" t="shared" si="606"/>
        <v>2</v>
      </c>
      <c r="K2058" s="53">
        <f ca="1" t="shared" si="607"/>
        <v>0.1</v>
      </c>
      <c r="L2058" s="53">
        <f ca="1" t="shared" si="608"/>
        <v>0.02</v>
      </c>
      <c r="M2058" s="53">
        <f ca="1" t="shared" si="609"/>
        <v>0</v>
      </c>
    </row>
    <row r="2059" spans="2:13">
      <c r="B2059" s="10">
        <v>13</v>
      </c>
      <c r="C2059" s="1" t="str">
        <f>IF(养成规划!M34="","",养成规划!M34)</f>
        <v/>
      </c>
      <c r="D2059" s="14" t="str">
        <f ca="1" t="shared" si="600"/>
        <v/>
      </c>
      <c r="E2059" s="57" t="str">
        <f ca="1" t="shared" si="601"/>
        <v/>
      </c>
      <c r="F2059" s="14" t="str">
        <f ca="1" t="shared" si="602"/>
        <v/>
      </c>
      <c r="G2059" s="14" t="str">
        <f ca="1" t="shared" si="603"/>
        <v/>
      </c>
      <c r="H2059" s="14" t="str">
        <f ca="1" t="shared" si="604"/>
        <v/>
      </c>
      <c r="I2059" s="53">
        <f ca="1" t="shared" si="605"/>
        <v>0.1</v>
      </c>
      <c r="J2059" s="62">
        <f ca="1" t="shared" si="606"/>
        <v>2</v>
      </c>
      <c r="K2059" s="53">
        <f ca="1" t="shared" si="607"/>
        <v>0.1</v>
      </c>
      <c r="L2059" s="53">
        <f ca="1" t="shared" si="608"/>
        <v>0.02</v>
      </c>
      <c r="M2059" s="53">
        <f ca="1" t="shared" si="609"/>
        <v>0</v>
      </c>
    </row>
    <row r="2060" spans="2:13">
      <c r="B2060" s="10">
        <v>14</v>
      </c>
      <c r="C2060" s="1">
        <f>IF(养成规划!M35="","",养成规划!M35)</f>
        <v>5</v>
      </c>
      <c r="D2060" s="14">
        <f ca="1" t="shared" si="600"/>
        <v>0.1</v>
      </c>
      <c r="E2060" s="57">
        <f ca="1" t="shared" si="601"/>
        <v>2</v>
      </c>
      <c r="F2060" s="14">
        <f ca="1" t="shared" si="602"/>
        <v>0.1</v>
      </c>
      <c r="G2060" s="14">
        <f ca="1" t="shared" si="603"/>
        <v>0.04</v>
      </c>
      <c r="H2060" s="14">
        <f ca="1" t="shared" si="604"/>
        <v>0.05</v>
      </c>
      <c r="I2060" s="53">
        <f ca="1" t="shared" si="605"/>
        <v>0.1</v>
      </c>
      <c r="J2060" s="62">
        <f ca="1" t="shared" si="606"/>
        <v>2</v>
      </c>
      <c r="K2060" s="53">
        <f ca="1" t="shared" si="607"/>
        <v>0.1</v>
      </c>
      <c r="L2060" s="53">
        <f ca="1" t="shared" si="608"/>
        <v>0.04</v>
      </c>
      <c r="M2060" s="53">
        <f ca="1" t="shared" si="609"/>
        <v>0.05</v>
      </c>
    </row>
    <row r="2061" spans="2:13">
      <c r="B2061" s="10">
        <v>15</v>
      </c>
      <c r="C2061" s="1" t="str">
        <f>IF(养成规划!M36="","",养成规划!M36)</f>
        <v/>
      </c>
      <c r="D2061" s="14" t="str">
        <f ca="1" t="shared" si="600"/>
        <v/>
      </c>
      <c r="E2061" s="57" t="str">
        <f ca="1" t="shared" si="601"/>
        <v/>
      </c>
      <c r="F2061" s="14" t="str">
        <f ca="1" t="shared" si="602"/>
        <v/>
      </c>
      <c r="G2061" s="14" t="str">
        <f ca="1" t="shared" si="603"/>
        <v/>
      </c>
      <c r="H2061" s="14" t="str">
        <f ca="1" t="shared" si="604"/>
        <v/>
      </c>
      <c r="I2061" s="53">
        <f ca="1" t="shared" si="605"/>
        <v>0.1</v>
      </c>
      <c r="J2061" s="62">
        <f ca="1" t="shared" si="606"/>
        <v>2</v>
      </c>
      <c r="K2061" s="53">
        <f ca="1" t="shared" si="607"/>
        <v>0.1</v>
      </c>
      <c r="L2061" s="53">
        <f ca="1" t="shared" si="608"/>
        <v>0.04</v>
      </c>
      <c r="M2061" s="53">
        <f ca="1" t="shared" si="609"/>
        <v>0.05</v>
      </c>
    </row>
    <row r="2062" spans="2:13">
      <c r="B2062" s="10">
        <v>16</v>
      </c>
      <c r="C2062" s="1" t="str">
        <f>IF(养成规划!M37="","",养成规划!M37)</f>
        <v/>
      </c>
      <c r="D2062" s="14" t="str">
        <f ca="1" t="shared" si="600"/>
        <v/>
      </c>
      <c r="E2062" s="57" t="str">
        <f ca="1" t="shared" si="601"/>
        <v/>
      </c>
      <c r="F2062" s="14" t="str">
        <f ca="1" t="shared" si="602"/>
        <v/>
      </c>
      <c r="G2062" s="14" t="str">
        <f ca="1" t="shared" si="603"/>
        <v/>
      </c>
      <c r="H2062" s="14" t="str">
        <f ca="1" t="shared" si="604"/>
        <v/>
      </c>
      <c r="I2062" s="53">
        <f ca="1" t="shared" si="605"/>
        <v>0.1</v>
      </c>
      <c r="J2062" s="62">
        <f ca="1" t="shared" si="606"/>
        <v>2</v>
      </c>
      <c r="K2062" s="53">
        <f ca="1" t="shared" si="607"/>
        <v>0.1</v>
      </c>
      <c r="L2062" s="53">
        <f ca="1" t="shared" si="608"/>
        <v>0.04</v>
      </c>
      <c r="M2062" s="53">
        <f ca="1" t="shared" si="609"/>
        <v>0.05</v>
      </c>
    </row>
    <row r="2063" spans="2:13">
      <c r="B2063" s="10">
        <v>17</v>
      </c>
      <c r="C2063" s="1" t="str">
        <f>IF(养成规划!M38="","",养成规划!M38)</f>
        <v/>
      </c>
      <c r="D2063" s="14" t="str">
        <f ca="1" t="shared" ref="D2063:D2094" si="610">IFERROR(OFFSET(J$2006,MATCH($C2063,$B$2006:$B$2021,0)-1,0),"")</f>
        <v/>
      </c>
      <c r="E2063" s="57" t="str">
        <f ca="1" t="shared" ref="E2063:E2094" si="611">IFERROR(OFFSET(K$2006,MATCH($C2063,$B$2006:$B$2021,0)-1,0),"")</f>
        <v/>
      </c>
      <c r="F2063" s="14" t="str">
        <f ca="1" t="shared" ref="F2063:F2094" si="612">IFERROR(OFFSET(L$2006,MATCH($C2063,$B$2006:$B$2021,0)-1,0),"")</f>
        <v/>
      </c>
      <c r="G2063" s="14" t="str">
        <f ca="1" t="shared" ref="G2063:G2094" si="613">IFERROR(OFFSET(M$2006,MATCH($C2063,$B$2006:$B$2021,0)-1,0),"")</f>
        <v/>
      </c>
      <c r="H2063" s="14" t="str">
        <f ca="1" t="shared" ref="H2063:H2094" si="614">IFERROR(OFFSET(N$2006,MATCH($C2063,$B$2006:$B$2021,0)-1,0),"")</f>
        <v/>
      </c>
      <c r="I2063" s="53">
        <f ca="1" t="shared" ref="I2063:I2094" si="615">IF(D2063="",INDIRECT(ADDRESS(ROW()-1,COLUMN())),D2063)</f>
        <v>0.1</v>
      </c>
      <c r="J2063" s="62">
        <f ca="1" t="shared" ref="J2063:J2094" si="616">IF(E2063="",INDIRECT(ADDRESS(ROW()-1,COLUMN())),E2063)</f>
        <v>2</v>
      </c>
      <c r="K2063" s="53">
        <f ca="1" t="shared" ref="K2063:K2094" si="617">IF(F2063="",INDIRECT(ADDRESS(ROW()-1,COLUMN())),F2063)</f>
        <v>0.1</v>
      </c>
      <c r="L2063" s="53">
        <f ca="1" t="shared" ref="L2063:L2094" si="618">IF(G2063="",INDIRECT(ADDRESS(ROW()-1,COLUMN())),G2063)</f>
        <v>0.04</v>
      </c>
      <c r="M2063" s="53">
        <f ca="1" t="shared" ref="M2063:M2094" si="619">IF(H2063="",INDIRECT(ADDRESS(ROW()-1,COLUMN())),H2063)</f>
        <v>0.05</v>
      </c>
    </row>
    <row r="2064" spans="2:13">
      <c r="B2064" s="10">
        <v>18</v>
      </c>
      <c r="C2064" s="1" t="str">
        <f>IF(养成规划!M39="","",养成规划!M39)</f>
        <v/>
      </c>
      <c r="D2064" s="14" t="str">
        <f ca="1" t="shared" si="610"/>
        <v/>
      </c>
      <c r="E2064" s="57" t="str">
        <f ca="1" t="shared" si="611"/>
        <v/>
      </c>
      <c r="F2064" s="14" t="str">
        <f ca="1" t="shared" si="612"/>
        <v/>
      </c>
      <c r="G2064" s="14" t="str">
        <f ca="1" t="shared" si="613"/>
        <v/>
      </c>
      <c r="H2064" s="14" t="str">
        <f ca="1" t="shared" si="614"/>
        <v/>
      </c>
      <c r="I2064" s="53">
        <f ca="1" t="shared" si="615"/>
        <v>0.1</v>
      </c>
      <c r="J2064" s="62">
        <f ca="1" t="shared" si="616"/>
        <v>2</v>
      </c>
      <c r="K2064" s="53">
        <f ca="1" t="shared" si="617"/>
        <v>0.1</v>
      </c>
      <c r="L2064" s="53">
        <f ca="1" t="shared" si="618"/>
        <v>0.04</v>
      </c>
      <c r="M2064" s="53">
        <f ca="1" t="shared" si="619"/>
        <v>0.05</v>
      </c>
    </row>
    <row r="2065" spans="2:13">
      <c r="B2065" s="10">
        <v>19</v>
      </c>
      <c r="C2065" s="1" t="str">
        <f>IF(养成规划!M40="","",养成规划!M40)</f>
        <v/>
      </c>
      <c r="D2065" s="14" t="str">
        <f ca="1" t="shared" si="610"/>
        <v/>
      </c>
      <c r="E2065" s="57" t="str">
        <f ca="1" t="shared" si="611"/>
        <v/>
      </c>
      <c r="F2065" s="14" t="str">
        <f ca="1" t="shared" si="612"/>
        <v/>
      </c>
      <c r="G2065" s="14" t="str">
        <f ca="1" t="shared" si="613"/>
        <v/>
      </c>
      <c r="H2065" s="14" t="str">
        <f ca="1" t="shared" si="614"/>
        <v/>
      </c>
      <c r="I2065" s="53">
        <f ca="1" t="shared" si="615"/>
        <v>0.1</v>
      </c>
      <c r="J2065" s="62">
        <f ca="1" t="shared" si="616"/>
        <v>2</v>
      </c>
      <c r="K2065" s="53">
        <f ca="1" t="shared" si="617"/>
        <v>0.1</v>
      </c>
      <c r="L2065" s="53">
        <f ca="1" t="shared" si="618"/>
        <v>0.04</v>
      </c>
      <c r="M2065" s="53">
        <f ca="1" t="shared" si="619"/>
        <v>0.05</v>
      </c>
    </row>
    <row r="2066" spans="2:13">
      <c r="B2066" s="10">
        <v>20</v>
      </c>
      <c r="C2066" s="1">
        <f>IF(养成规划!M41="","",养成规划!M41)</f>
        <v>6</v>
      </c>
      <c r="D2066" s="14">
        <f ca="1" t="shared" si="610"/>
        <v>0.15</v>
      </c>
      <c r="E2066" s="57">
        <f ca="1" t="shared" si="611"/>
        <v>2</v>
      </c>
      <c r="F2066" s="14">
        <f ca="1" t="shared" si="612"/>
        <v>0.1</v>
      </c>
      <c r="G2066" s="14">
        <f ca="1" t="shared" si="613"/>
        <v>0.04</v>
      </c>
      <c r="H2066" s="14">
        <f ca="1" t="shared" si="614"/>
        <v>0.05</v>
      </c>
      <c r="I2066" s="53">
        <f ca="1" t="shared" si="615"/>
        <v>0.15</v>
      </c>
      <c r="J2066" s="62">
        <f ca="1" t="shared" si="616"/>
        <v>2</v>
      </c>
      <c r="K2066" s="53">
        <f ca="1" t="shared" si="617"/>
        <v>0.1</v>
      </c>
      <c r="L2066" s="53">
        <f ca="1" t="shared" si="618"/>
        <v>0.04</v>
      </c>
      <c r="M2066" s="53">
        <f ca="1" t="shared" si="619"/>
        <v>0.05</v>
      </c>
    </row>
    <row r="2067" spans="2:13">
      <c r="B2067" s="10">
        <v>21</v>
      </c>
      <c r="C2067" s="1" t="str">
        <f>IF(养成规划!M42="","",养成规划!M42)</f>
        <v/>
      </c>
      <c r="D2067" s="14" t="str">
        <f ca="1" t="shared" si="610"/>
        <v/>
      </c>
      <c r="E2067" s="57" t="str">
        <f ca="1" t="shared" si="611"/>
        <v/>
      </c>
      <c r="F2067" s="14" t="str">
        <f ca="1" t="shared" si="612"/>
        <v/>
      </c>
      <c r="G2067" s="14" t="str">
        <f ca="1" t="shared" si="613"/>
        <v/>
      </c>
      <c r="H2067" s="14" t="str">
        <f ca="1" t="shared" si="614"/>
        <v/>
      </c>
      <c r="I2067" s="53">
        <f ca="1" t="shared" si="615"/>
        <v>0.15</v>
      </c>
      <c r="J2067" s="62">
        <f ca="1" t="shared" si="616"/>
        <v>2</v>
      </c>
      <c r="K2067" s="53">
        <f ca="1" t="shared" si="617"/>
        <v>0.1</v>
      </c>
      <c r="L2067" s="53">
        <f ca="1" t="shared" si="618"/>
        <v>0.04</v>
      </c>
      <c r="M2067" s="53">
        <f ca="1" t="shared" si="619"/>
        <v>0.05</v>
      </c>
    </row>
    <row r="2068" spans="2:13">
      <c r="B2068" s="10">
        <v>22</v>
      </c>
      <c r="C2068" s="1" t="str">
        <f>IF(养成规划!M43="","",养成规划!M43)</f>
        <v/>
      </c>
      <c r="D2068" s="14" t="str">
        <f ca="1" t="shared" si="610"/>
        <v/>
      </c>
      <c r="E2068" s="57" t="str">
        <f ca="1" t="shared" si="611"/>
        <v/>
      </c>
      <c r="F2068" s="14" t="str">
        <f ca="1" t="shared" si="612"/>
        <v/>
      </c>
      <c r="G2068" s="14" t="str">
        <f ca="1" t="shared" si="613"/>
        <v/>
      </c>
      <c r="H2068" s="14" t="str">
        <f ca="1" t="shared" si="614"/>
        <v/>
      </c>
      <c r="I2068" s="53">
        <f ca="1" t="shared" si="615"/>
        <v>0.15</v>
      </c>
      <c r="J2068" s="62">
        <f ca="1" t="shared" si="616"/>
        <v>2</v>
      </c>
      <c r="K2068" s="53">
        <f ca="1" t="shared" si="617"/>
        <v>0.1</v>
      </c>
      <c r="L2068" s="53">
        <f ca="1" t="shared" si="618"/>
        <v>0.04</v>
      </c>
      <c r="M2068" s="53">
        <f ca="1" t="shared" si="619"/>
        <v>0.05</v>
      </c>
    </row>
    <row r="2069" spans="2:13">
      <c r="B2069" s="10">
        <v>23</v>
      </c>
      <c r="C2069" s="1" t="str">
        <f>IF(养成规划!M44="","",养成规划!M44)</f>
        <v/>
      </c>
      <c r="D2069" s="14" t="str">
        <f ca="1" t="shared" si="610"/>
        <v/>
      </c>
      <c r="E2069" s="57" t="str">
        <f ca="1" t="shared" si="611"/>
        <v/>
      </c>
      <c r="F2069" s="14" t="str">
        <f ca="1" t="shared" si="612"/>
        <v/>
      </c>
      <c r="G2069" s="14" t="str">
        <f ca="1" t="shared" si="613"/>
        <v/>
      </c>
      <c r="H2069" s="14" t="str">
        <f ca="1" t="shared" si="614"/>
        <v/>
      </c>
      <c r="I2069" s="53">
        <f ca="1" t="shared" si="615"/>
        <v>0.15</v>
      </c>
      <c r="J2069" s="62">
        <f ca="1" t="shared" si="616"/>
        <v>2</v>
      </c>
      <c r="K2069" s="53">
        <f ca="1" t="shared" si="617"/>
        <v>0.1</v>
      </c>
      <c r="L2069" s="53">
        <f ca="1" t="shared" si="618"/>
        <v>0.04</v>
      </c>
      <c r="M2069" s="53">
        <f ca="1" t="shared" si="619"/>
        <v>0.05</v>
      </c>
    </row>
    <row r="2070" spans="2:13">
      <c r="B2070" s="10">
        <v>24</v>
      </c>
      <c r="C2070" s="1" t="str">
        <f>IF(养成规划!M45="","",养成规划!M45)</f>
        <v/>
      </c>
      <c r="D2070" s="14" t="str">
        <f ca="1" t="shared" si="610"/>
        <v/>
      </c>
      <c r="E2070" s="57" t="str">
        <f ca="1" t="shared" si="611"/>
        <v/>
      </c>
      <c r="F2070" s="14" t="str">
        <f ca="1" t="shared" si="612"/>
        <v/>
      </c>
      <c r="G2070" s="14" t="str">
        <f ca="1" t="shared" si="613"/>
        <v/>
      </c>
      <c r="H2070" s="14" t="str">
        <f ca="1" t="shared" si="614"/>
        <v/>
      </c>
      <c r="I2070" s="53">
        <f ca="1" t="shared" si="615"/>
        <v>0.15</v>
      </c>
      <c r="J2070" s="62">
        <f ca="1" t="shared" si="616"/>
        <v>2</v>
      </c>
      <c r="K2070" s="53">
        <f ca="1" t="shared" si="617"/>
        <v>0.1</v>
      </c>
      <c r="L2070" s="53">
        <f ca="1" t="shared" si="618"/>
        <v>0.04</v>
      </c>
      <c r="M2070" s="53">
        <f ca="1" t="shared" si="619"/>
        <v>0.05</v>
      </c>
    </row>
    <row r="2071" spans="2:13">
      <c r="B2071" s="10">
        <v>25</v>
      </c>
      <c r="C2071" s="1" t="str">
        <f>IF(养成规划!M46="","",养成规划!M46)</f>
        <v/>
      </c>
      <c r="D2071" s="14" t="str">
        <f ca="1" t="shared" si="610"/>
        <v/>
      </c>
      <c r="E2071" s="57" t="str">
        <f ca="1" t="shared" si="611"/>
        <v/>
      </c>
      <c r="F2071" s="14" t="str">
        <f ca="1" t="shared" si="612"/>
        <v/>
      </c>
      <c r="G2071" s="14" t="str">
        <f ca="1" t="shared" si="613"/>
        <v/>
      </c>
      <c r="H2071" s="14" t="str">
        <f ca="1" t="shared" si="614"/>
        <v/>
      </c>
      <c r="I2071" s="53">
        <f ca="1" t="shared" si="615"/>
        <v>0.15</v>
      </c>
      <c r="J2071" s="62">
        <f ca="1" t="shared" si="616"/>
        <v>2</v>
      </c>
      <c r="K2071" s="53">
        <f ca="1" t="shared" si="617"/>
        <v>0.1</v>
      </c>
      <c r="L2071" s="53">
        <f ca="1" t="shared" si="618"/>
        <v>0.04</v>
      </c>
      <c r="M2071" s="53">
        <f ca="1" t="shared" si="619"/>
        <v>0.05</v>
      </c>
    </row>
    <row r="2072" spans="2:13">
      <c r="B2072" s="10">
        <v>26</v>
      </c>
      <c r="C2072" s="1" t="str">
        <f>IF(养成规划!M47="","",养成规划!M47)</f>
        <v/>
      </c>
      <c r="D2072" s="14" t="str">
        <f ca="1" t="shared" si="610"/>
        <v/>
      </c>
      <c r="E2072" s="57" t="str">
        <f ca="1" t="shared" si="611"/>
        <v/>
      </c>
      <c r="F2072" s="14" t="str">
        <f ca="1" t="shared" si="612"/>
        <v/>
      </c>
      <c r="G2072" s="14" t="str">
        <f ca="1" t="shared" si="613"/>
        <v/>
      </c>
      <c r="H2072" s="14" t="str">
        <f ca="1" t="shared" si="614"/>
        <v/>
      </c>
      <c r="I2072" s="53">
        <f ca="1" t="shared" si="615"/>
        <v>0.15</v>
      </c>
      <c r="J2072" s="62">
        <f ca="1" t="shared" si="616"/>
        <v>2</v>
      </c>
      <c r="K2072" s="53">
        <f ca="1" t="shared" si="617"/>
        <v>0.1</v>
      </c>
      <c r="L2072" s="53">
        <f ca="1" t="shared" si="618"/>
        <v>0.04</v>
      </c>
      <c r="M2072" s="53">
        <f ca="1" t="shared" si="619"/>
        <v>0.05</v>
      </c>
    </row>
    <row r="2073" spans="2:13">
      <c r="B2073" s="10">
        <v>27</v>
      </c>
      <c r="C2073" s="1" t="str">
        <f>IF(养成规划!M48="","",养成规划!M48)</f>
        <v/>
      </c>
      <c r="D2073" s="14" t="str">
        <f ca="1" t="shared" si="610"/>
        <v/>
      </c>
      <c r="E2073" s="57" t="str">
        <f ca="1" t="shared" si="611"/>
        <v/>
      </c>
      <c r="F2073" s="14" t="str">
        <f ca="1" t="shared" si="612"/>
        <v/>
      </c>
      <c r="G2073" s="14" t="str">
        <f ca="1" t="shared" si="613"/>
        <v/>
      </c>
      <c r="H2073" s="14" t="str">
        <f ca="1" t="shared" si="614"/>
        <v/>
      </c>
      <c r="I2073" s="53">
        <f ca="1" t="shared" si="615"/>
        <v>0.15</v>
      </c>
      <c r="J2073" s="62">
        <f ca="1" t="shared" si="616"/>
        <v>2</v>
      </c>
      <c r="K2073" s="53">
        <f ca="1" t="shared" si="617"/>
        <v>0.1</v>
      </c>
      <c r="L2073" s="53">
        <f ca="1" t="shared" si="618"/>
        <v>0.04</v>
      </c>
      <c r="M2073" s="53">
        <f ca="1" t="shared" si="619"/>
        <v>0.05</v>
      </c>
    </row>
    <row r="2074" spans="2:13">
      <c r="B2074" s="10">
        <v>28</v>
      </c>
      <c r="C2074" s="1" t="str">
        <f>IF(养成规划!M49="","",养成规划!M49)</f>
        <v/>
      </c>
      <c r="D2074" s="14" t="str">
        <f ca="1" t="shared" si="610"/>
        <v/>
      </c>
      <c r="E2074" s="57" t="str">
        <f ca="1" t="shared" si="611"/>
        <v/>
      </c>
      <c r="F2074" s="14" t="str">
        <f ca="1" t="shared" si="612"/>
        <v/>
      </c>
      <c r="G2074" s="14" t="str">
        <f ca="1" t="shared" si="613"/>
        <v/>
      </c>
      <c r="H2074" s="14" t="str">
        <f ca="1" t="shared" si="614"/>
        <v/>
      </c>
      <c r="I2074" s="53">
        <f ca="1" t="shared" si="615"/>
        <v>0.15</v>
      </c>
      <c r="J2074" s="62">
        <f ca="1" t="shared" si="616"/>
        <v>2</v>
      </c>
      <c r="K2074" s="53">
        <f ca="1" t="shared" si="617"/>
        <v>0.1</v>
      </c>
      <c r="L2074" s="53">
        <f ca="1" t="shared" si="618"/>
        <v>0.04</v>
      </c>
      <c r="M2074" s="53">
        <f ca="1" t="shared" si="619"/>
        <v>0.05</v>
      </c>
    </row>
    <row r="2075" spans="2:13">
      <c r="B2075" s="10">
        <v>29</v>
      </c>
      <c r="C2075" s="1" t="str">
        <f>IF(养成规划!M50="","",养成规划!M50)</f>
        <v/>
      </c>
      <c r="D2075" s="14" t="str">
        <f ca="1" t="shared" si="610"/>
        <v/>
      </c>
      <c r="E2075" s="57" t="str">
        <f ca="1" t="shared" si="611"/>
        <v/>
      </c>
      <c r="F2075" s="14" t="str">
        <f ca="1" t="shared" si="612"/>
        <v/>
      </c>
      <c r="G2075" s="14" t="str">
        <f ca="1" t="shared" si="613"/>
        <v/>
      </c>
      <c r="H2075" s="14" t="str">
        <f ca="1" t="shared" si="614"/>
        <v/>
      </c>
      <c r="I2075" s="53">
        <f ca="1" t="shared" si="615"/>
        <v>0.15</v>
      </c>
      <c r="J2075" s="62">
        <f ca="1" t="shared" si="616"/>
        <v>2</v>
      </c>
      <c r="K2075" s="53">
        <f ca="1" t="shared" si="617"/>
        <v>0.1</v>
      </c>
      <c r="L2075" s="53">
        <f ca="1" t="shared" si="618"/>
        <v>0.04</v>
      </c>
      <c r="M2075" s="53">
        <f ca="1" t="shared" si="619"/>
        <v>0.05</v>
      </c>
    </row>
    <row r="2076" spans="2:13">
      <c r="B2076" s="10">
        <v>30</v>
      </c>
      <c r="C2076" s="1">
        <f>IF(养成规划!M51="","",养成规划!M51)</f>
        <v>7</v>
      </c>
      <c r="D2076" s="14">
        <f ca="1" t="shared" si="610"/>
        <v>0.15</v>
      </c>
      <c r="E2076" s="57">
        <f ca="1" t="shared" si="611"/>
        <v>2</v>
      </c>
      <c r="F2076" s="14">
        <f ca="1" t="shared" si="612"/>
        <v>0.1</v>
      </c>
      <c r="G2076" s="14">
        <f ca="1" t="shared" si="613"/>
        <v>0.06</v>
      </c>
      <c r="H2076" s="14">
        <f ca="1" t="shared" si="614"/>
        <v>0.07</v>
      </c>
      <c r="I2076" s="53">
        <f ca="1" t="shared" si="615"/>
        <v>0.15</v>
      </c>
      <c r="J2076" s="62">
        <f ca="1" t="shared" si="616"/>
        <v>2</v>
      </c>
      <c r="K2076" s="53">
        <f ca="1" t="shared" si="617"/>
        <v>0.1</v>
      </c>
      <c r="L2076" s="53">
        <f ca="1" t="shared" si="618"/>
        <v>0.06</v>
      </c>
      <c r="M2076" s="53">
        <f ca="1" t="shared" si="619"/>
        <v>0.07</v>
      </c>
    </row>
    <row r="2077" spans="2:13">
      <c r="B2077" s="11">
        <v>35</v>
      </c>
      <c r="C2077" s="1" t="str">
        <f>IF(养成规划!M52="","",养成规划!M52)</f>
        <v/>
      </c>
      <c r="D2077" s="14" t="str">
        <f ca="1" t="shared" si="610"/>
        <v/>
      </c>
      <c r="E2077" s="57" t="str">
        <f ca="1" t="shared" si="611"/>
        <v/>
      </c>
      <c r="F2077" s="14" t="str">
        <f ca="1" t="shared" si="612"/>
        <v/>
      </c>
      <c r="G2077" s="14" t="str">
        <f ca="1" t="shared" si="613"/>
        <v/>
      </c>
      <c r="H2077" s="14" t="str">
        <f ca="1" t="shared" si="614"/>
        <v/>
      </c>
      <c r="I2077" s="53">
        <f ca="1" t="shared" si="615"/>
        <v>0.15</v>
      </c>
      <c r="J2077" s="62">
        <f ca="1" t="shared" si="616"/>
        <v>2</v>
      </c>
      <c r="K2077" s="53">
        <f ca="1" t="shared" si="617"/>
        <v>0.1</v>
      </c>
      <c r="L2077" s="53">
        <f ca="1" t="shared" si="618"/>
        <v>0.06</v>
      </c>
      <c r="M2077" s="53">
        <f ca="1" t="shared" si="619"/>
        <v>0.07</v>
      </c>
    </row>
    <row r="2078" spans="2:13">
      <c r="B2078" s="11">
        <v>40</v>
      </c>
      <c r="C2078" s="1" t="str">
        <f>IF(养成规划!M53="","",养成规划!M53)</f>
        <v/>
      </c>
      <c r="D2078" s="14" t="str">
        <f ca="1" t="shared" si="610"/>
        <v/>
      </c>
      <c r="E2078" s="57" t="str">
        <f ca="1" t="shared" si="611"/>
        <v/>
      </c>
      <c r="F2078" s="14" t="str">
        <f ca="1" t="shared" si="612"/>
        <v/>
      </c>
      <c r="G2078" s="14" t="str">
        <f ca="1" t="shared" si="613"/>
        <v/>
      </c>
      <c r="H2078" s="14" t="str">
        <f ca="1" t="shared" si="614"/>
        <v/>
      </c>
      <c r="I2078" s="53">
        <f ca="1" t="shared" si="615"/>
        <v>0.15</v>
      </c>
      <c r="J2078" s="62">
        <f ca="1" t="shared" si="616"/>
        <v>2</v>
      </c>
      <c r="K2078" s="53">
        <f ca="1" t="shared" si="617"/>
        <v>0.1</v>
      </c>
      <c r="L2078" s="53">
        <f ca="1" t="shared" si="618"/>
        <v>0.06</v>
      </c>
      <c r="M2078" s="53">
        <f ca="1" t="shared" si="619"/>
        <v>0.07</v>
      </c>
    </row>
    <row r="2079" spans="2:13">
      <c r="B2079" s="11">
        <v>45</v>
      </c>
      <c r="C2079" s="1" t="str">
        <f>IF(养成规划!M54="","",养成规划!M54)</f>
        <v/>
      </c>
      <c r="D2079" s="14" t="str">
        <f ca="1" t="shared" si="610"/>
        <v/>
      </c>
      <c r="E2079" s="57" t="str">
        <f ca="1" t="shared" si="611"/>
        <v/>
      </c>
      <c r="F2079" s="14" t="str">
        <f ca="1" t="shared" si="612"/>
        <v/>
      </c>
      <c r="G2079" s="14" t="str">
        <f ca="1" t="shared" si="613"/>
        <v/>
      </c>
      <c r="H2079" s="14" t="str">
        <f ca="1" t="shared" si="614"/>
        <v/>
      </c>
      <c r="I2079" s="53">
        <f ca="1" t="shared" si="615"/>
        <v>0.15</v>
      </c>
      <c r="J2079" s="62">
        <f ca="1" t="shared" si="616"/>
        <v>2</v>
      </c>
      <c r="K2079" s="53">
        <f ca="1" t="shared" si="617"/>
        <v>0.1</v>
      </c>
      <c r="L2079" s="53">
        <f ca="1" t="shared" si="618"/>
        <v>0.06</v>
      </c>
      <c r="M2079" s="53">
        <f ca="1" t="shared" si="619"/>
        <v>0.07</v>
      </c>
    </row>
    <row r="2080" spans="2:13">
      <c r="B2080" s="11">
        <v>50</v>
      </c>
      <c r="C2080" s="1" t="str">
        <f>IF(养成规划!M55="","",养成规划!M55)</f>
        <v/>
      </c>
      <c r="D2080" s="14" t="str">
        <f ca="1" t="shared" si="610"/>
        <v/>
      </c>
      <c r="E2080" s="57" t="str">
        <f ca="1" t="shared" si="611"/>
        <v/>
      </c>
      <c r="F2080" s="14" t="str">
        <f ca="1" t="shared" si="612"/>
        <v/>
      </c>
      <c r="G2080" s="14" t="str">
        <f ca="1" t="shared" si="613"/>
        <v/>
      </c>
      <c r="H2080" s="14" t="str">
        <f ca="1" t="shared" si="614"/>
        <v/>
      </c>
      <c r="I2080" s="53">
        <f ca="1" t="shared" si="615"/>
        <v>0.15</v>
      </c>
      <c r="J2080" s="62">
        <f ca="1" t="shared" si="616"/>
        <v>2</v>
      </c>
      <c r="K2080" s="53">
        <f ca="1" t="shared" si="617"/>
        <v>0.1</v>
      </c>
      <c r="L2080" s="53">
        <f ca="1" t="shared" si="618"/>
        <v>0.06</v>
      </c>
      <c r="M2080" s="53">
        <f ca="1" t="shared" si="619"/>
        <v>0.07</v>
      </c>
    </row>
    <row r="2081" spans="2:13">
      <c r="B2081" s="11">
        <v>55</v>
      </c>
      <c r="C2081" s="1" t="str">
        <f>IF(养成规划!M56="","",养成规划!M56)</f>
        <v/>
      </c>
      <c r="D2081" s="14" t="str">
        <f ca="1" t="shared" si="610"/>
        <v/>
      </c>
      <c r="E2081" s="57" t="str">
        <f ca="1" t="shared" si="611"/>
        <v/>
      </c>
      <c r="F2081" s="14" t="str">
        <f ca="1" t="shared" si="612"/>
        <v/>
      </c>
      <c r="G2081" s="14" t="str">
        <f ca="1" t="shared" si="613"/>
        <v/>
      </c>
      <c r="H2081" s="14" t="str">
        <f ca="1" t="shared" si="614"/>
        <v/>
      </c>
      <c r="I2081" s="53">
        <f ca="1" t="shared" si="615"/>
        <v>0.15</v>
      </c>
      <c r="J2081" s="62">
        <f ca="1" t="shared" si="616"/>
        <v>2</v>
      </c>
      <c r="K2081" s="53">
        <f ca="1" t="shared" si="617"/>
        <v>0.1</v>
      </c>
      <c r="L2081" s="53">
        <f ca="1" t="shared" si="618"/>
        <v>0.06</v>
      </c>
      <c r="M2081" s="53">
        <f ca="1" t="shared" si="619"/>
        <v>0.07</v>
      </c>
    </row>
    <row r="2082" spans="2:13">
      <c r="B2082" s="11">
        <v>60</v>
      </c>
      <c r="C2082" s="1">
        <f>IF(养成规划!M57="","",养成规划!M57)</f>
        <v>8</v>
      </c>
      <c r="D2082" s="14">
        <f ca="1" t="shared" si="610"/>
        <v>0.15</v>
      </c>
      <c r="E2082" s="57">
        <f ca="1" t="shared" si="611"/>
        <v>3</v>
      </c>
      <c r="F2082" s="14">
        <f ca="1" t="shared" si="612"/>
        <v>0.15</v>
      </c>
      <c r="G2082" s="14">
        <f ca="1" t="shared" si="613"/>
        <v>0.06</v>
      </c>
      <c r="H2082" s="14">
        <f ca="1" t="shared" si="614"/>
        <v>0.07</v>
      </c>
      <c r="I2082" s="53">
        <f ca="1" t="shared" si="615"/>
        <v>0.15</v>
      </c>
      <c r="J2082" s="62">
        <f ca="1" t="shared" si="616"/>
        <v>3</v>
      </c>
      <c r="K2082" s="53">
        <f ca="1" t="shared" si="617"/>
        <v>0.15</v>
      </c>
      <c r="L2082" s="53">
        <f ca="1" t="shared" si="618"/>
        <v>0.06</v>
      </c>
      <c r="M2082" s="53">
        <f ca="1" t="shared" si="619"/>
        <v>0.07</v>
      </c>
    </row>
    <row r="2083" spans="2:13">
      <c r="B2083" s="11">
        <v>65</v>
      </c>
      <c r="C2083" s="1" t="str">
        <f>IF(养成规划!M58="","",养成规划!M58)</f>
        <v/>
      </c>
      <c r="D2083" s="14" t="str">
        <f ca="1" t="shared" si="610"/>
        <v/>
      </c>
      <c r="E2083" s="57" t="str">
        <f ca="1" t="shared" si="611"/>
        <v/>
      </c>
      <c r="F2083" s="14" t="str">
        <f ca="1" t="shared" si="612"/>
        <v/>
      </c>
      <c r="G2083" s="14" t="str">
        <f ca="1" t="shared" si="613"/>
        <v/>
      </c>
      <c r="H2083" s="14" t="str">
        <f ca="1" t="shared" si="614"/>
        <v/>
      </c>
      <c r="I2083" s="53">
        <f ca="1" t="shared" si="615"/>
        <v>0.15</v>
      </c>
      <c r="J2083" s="62">
        <f ca="1" t="shared" si="616"/>
        <v>3</v>
      </c>
      <c r="K2083" s="53">
        <f ca="1" t="shared" si="617"/>
        <v>0.15</v>
      </c>
      <c r="L2083" s="53">
        <f ca="1" t="shared" si="618"/>
        <v>0.06</v>
      </c>
      <c r="M2083" s="53">
        <f ca="1" t="shared" si="619"/>
        <v>0.07</v>
      </c>
    </row>
    <row r="2084" spans="2:13">
      <c r="B2084" s="11">
        <v>70</v>
      </c>
      <c r="C2084" s="1" t="str">
        <f>IF(养成规划!M59="","",养成规划!M59)</f>
        <v/>
      </c>
      <c r="D2084" s="14" t="str">
        <f ca="1" t="shared" si="610"/>
        <v/>
      </c>
      <c r="E2084" s="57" t="str">
        <f ca="1" t="shared" si="611"/>
        <v/>
      </c>
      <c r="F2084" s="14" t="str">
        <f ca="1" t="shared" si="612"/>
        <v/>
      </c>
      <c r="G2084" s="14" t="str">
        <f ca="1" t="shared" si="613"/>
        <v/>
      </c>
      <c r="H2084" s="14" t="str">
        <f ca="1" t="shared" si="614"/>
        <v/>
      </c>
      <c r="I2084" s="53">
        <f ca="1" t="shared" si="615"/>
        <v>0.15</v>
      </c>
      <c r="J2084" s="62">
        <f ca="1" t="shared" si="616"/>
        <v>3</v>
      </c>
      <c r="K2084" s="53">
        <f ca="1" t="shared" si="617"/>
        <v>0.15</v>
      </c>
      <c r="L2084" s="53">
        <f ca="1" t="shared" si="618"/>
        <v>0.06</v>
      </c>
      <c r="M2084" s="53">
        <f ca="1" t="shared" si="619"/>
        <v>0.07</v>
      </c>
    </row>
    <row r="2085" spans="2:13">
      <c r="B2085" s="11">
        <v>75</v>
      </c>
      <c r="C2085" s="1" t="str">
        <f>IF(养成规划!M60="","",养成规划!M60)</f>
        <v/>
      </c>
      <c r="D2085" s="14" t="str">
        <f ca="1" t="shared" si="610"/>
        <v/>
      </c>
      <c r="E2085" s="57" t="str">
        <f ca="1" t="shared" si="611"/>
        <v/>
      </c>
      <c r="F2085" s="14" t="str">
        <f ca="1" t="shared" si="612"/>
        <v/>
      </c>
      <c r="G2085" s="14" t="str">
        <f ca="1" t="shared" si="613"/>
        <v/>
      </c>
      <c r="H2085" s="14" t="str">
        <f ca="1" t="shared" si="614"/>
        <v/>
      </c>
      <c r="I2085" s="53">
        <f ca="1" t="shared" si="615"/>
        <v>0.15</v>
      </c>
      <c r="J2085" s="62">
        <f ca="1" t="shared" si="616"/>
        <v>3</v>
      </c>
      <c r="K2085" s="53">
        <f ca="1" t="shared" si="617"/>
        <v>0.15</v>
      </c>
      <c r="L2085" s="53">
        <f ca="1" t="shared" si="618"/>
        <v>0.06</v>
      </c>
      <c r="M2085" s="53">
        <f ca="1" t="shared" si="619"/>
        <v>0.07</v>
      </c>
    </row>
    <row r="2086" spans="2:13">
      <c r="B2086" s="11">
        <v>80</v>
      </c>
      <c r="C2086" s="1" t="str">
        <f>IF(养成规划!M61="","",养成规划!M61)</f>
        <v/>
      </c>
      <c r="D2086" s="14" t="str">
        <f ca="1" t="shared" si="610"/>
        <v/>
      </c>
      <c r="E2086" s="57" t="str">
        <f ca="1" t="shared" si="611"/>
        <v/>
      </c>
      <c r="F2086" s="14" t="str">
        <f ca="1" t="shared" si="612"/>
        <v/>
      </c>
      <c r="G2086" s="14" t="str">
        <f ca="1" t="shared" si="613"/>
        <v/>
      </c>
      <c r="H2086" s="14" t="str">
        <f ca="1" t="shared" si="614"/>
        <v/>
      </c>
      <c r="I2086" s="53">
        <f ca="1" t="shared" si="615"/>
        <v>0.15</v>
      </c>
      <c r="J2086" s="62">
        <f ca="1" t="shared" si="616"/>
        <v>3</v>
      </c>
      <c r="K2086" s="53">
        <f ca="1" t="shared" si="617"/>
        <v>0.15</v>
      </c>
      <c r="L2086" s="53">
        <f ca="1" t="shared" si="618"/>
        <v>0.06</v>
      </c>
      <c r="M2086" s="53">
        <f ca="1" t="shared" si="619"/>
        <v>0.07</v>
      </c>
    </row>
    <row r="2087" spans="2:13">
      <c r="B2087" s="11">
        <v>85</v>
      </c>
      <c r="C2087" s="1" t="str">
        <f>IF(养成规划!M62="","",养成规划!M62)</f>
        <v/>
      </c>
      <c r="D2087" s="14" t="str">
        <f ca="1" t="shared" si="610"/>
        <v/>
      </c>
      <c r="E2087" s="57" t="str">
        <f ca="1" t="shared" si="611"/>
        <v/>
      </c>
      <c r="F2087" s="14" t="str">
        <f ca="1" t="shared" si="612"/>
        <v/>
      </c>
      <c r="G2087" s="14" t="str">
        <f ca="1" t="shared" si="613"/>
        <v/>
      </c>
      <c r="H2087" s="14" t="str">
        <f ca="1" t="shared" si="614"/>
        <v/>
      </c>
      <c r="I2087" s="53">
        <f ca="1" t="shared" si="615"/>
        <v>0.15</v>
      </c>
      <c r="J2087" s="62">
        <f ca="1" t="shared" si="616"/>
        <v>3</v>
      </c>
      <c r="K2087" s="53">
        <f ca="1" t="shared" si="617"/>
        <v>0.15</v>
      </c>
      <c r="L2087" s="53">
        <f ca="1" t="shared" si="618"/>
        <v>0.06</v>
      </c>
      <c r="M2087" s="53">
        <f ca="1" t="shared" si="619"/>
        <v>0.07</v>
      </c>
    </row>
    <row r="2088" spans="2:13">
      <c r="B2088" s="11">
        <v>90</v>
      </c>
      <c r="C2088" s="1">
        <f>IF(养成规划!M63="","",养成规划!M63)</f>
        <v>9</v>
      </c>
      <c r="D2088" s="14">
        <f ca="1" t="shared" si="610"/>
        <v>0.2</v>
      </c>
      <c r="E2088" s="57">
        <f ca="1" t="shared" si="611"/>
        <v>3</v>
      </c>
      <c r="F2088" s="14">
        <f ca="1" t="shared" si="612"/>
        <v>0.15</v>
      </c>
      <c r="G2088" s="14">
        <f ca="1" t="shared" si="613"/>
        <v>0.08</v>
      </c>
      <c r="H2088" s="14">
        <f ca="1" t="shared" si="614"/>
        <v>0.07</v>
      </c>
      <c r="I2088" s="53">
        <f ca="1" t="shared" si="615"/>
        <v>0.2</v>
      </c>
      <c r="J2088" s="62">
        <f ca="1" t="shared" si="616"/>
        <v>3</v>
      </c>
      <c r="K2088" s="53">
        <f ca="1" t="shared" si="617"/>
        <v>0.15</v>
      </c>
      <c r="L2088" s="53">
        <f ca="1" t="shared" si="618"/>
        <v>0.08</v>
      </c>
      <c r="M2088" s="53">
        <f ca="1" t="shared" si="619"/>
        <v>0.07</v>
      </c>
    </row>
    <row r="2089" spans="2:13">
      <c r="B2089" s="11">
        <v>95</v>
      </c>
      <c r="C2089" s="1" t="str">
        <f>IF(养成规划!M64="","",养成规划!M64)</f>
        <v/>
      </c>
      <c r="D2089" s="14" t="str">
        <f ca="1" t="shared" si="610"/>
        <v/>
      </c>
      <c r="E2089" s="57" t="str">
        <f ca="1" t="shared" si="611"/>
        <v/>
      </c>
      <c r="F2089" s="14" t="str">
        <f ca="1" t="shared" si="612"/>
        <v/>
      </c>
      <c r="G2089" s="14" t="str">
        <f ca="1" t="shared" si="613"/>
        <v/>
      </c>
      <c r="H2089" s="14" t="str">
        <f ca="1" t="shared" si="614"/>
        <v/>
      </c>
      <c r="I2089" s="53">
        <f ca="1" t="shared" si="615"/>
        <v>0.2</v>
      </c>
      <c r="J2089" s="62">
        <f ca="1" t="shared" si="616"/>
        <v>3</v>
      </c>
      <c r="K2089" s="53">
        <f ca="1" t="shared" si="617"/>
        <v>0.15</v>
      </c>
      <c r="L2089" s="53">
        <f ca="1" t="shared" si="618"/>
        <v>0.08</v>
      </c>
      <c r="M2089" s="53">
        <f ca="1" t="shared" si="619"/>
        <v>0.07</v>
      </c>
    </row>
    <row r="2090" spans="2:13">
      <c r="B2090" s="11">
        <v>100</v>
      </c>
      <c r="C2090" s="1" t="str">
        <f>IF(养成规划!M65="","",养成规划!M65)</f>
        <v/>
      </c>
      <c r="D2090" s="14" t="str">
        <f ca="1" t="shared" si="610"/>
        <v/>
      </c>
      <c r="E2090" s="57" t="str">
        <f ca="1" t="shared" si="611"/>
        <v/>
      </c>
      <c r="F2090" s="14" t="str">
        <f ca="1" t="shared" si="612"/>
        <v/>
      </c>
      <c r="G2090" s="14" t="str">
        <f ca="1" t="shared" si="613"/>
        <v/>
      </c>
      <c r="H2090" s="14" t="str">
        <f ca="1" t="shared" si="614"/>
        <v/>
      </c>
      <c r="I2090" s="53">
        <f ca="1" t="shared" si="615"/>
        <v>0.2</v>
      </c>
      <c r="J2090" s="62">
        <f ca="1" t="shared" si="616"/>
        <v>3</v>
      </c>
      <c r="K2090" s="53">
        <f ca="1" t="shared" si="617"/>
        <v>0.15</v>
      </c>
      <c r="L2090" s="53">
        <f ca="1" t="shared" si="618"/>
        <v>0.08</v>
      </c>
      <c r="M2090" s="53">
        <f ca="1" t="shared" si="619"/>
        <v>0.07</v>
      </c>
    </row>
    <row r="2091" spans="2:13">
      <c r="B2091" s="11">
        <v>105</v>
      </c>
      <c r="C2091" s="1" t="str">
        <f>IF(养成规划!M66="","",养成规划!M66)</f>
        <v/>
      </c>
      <c r="D2091" s="14" t="str">
        <f ca="1" t="shared" si="610"/>
        <v/>
      </c>
      <c r="E2091" s="57" t="str">
        <f ca="1" t="shared" si="611"/>
        <v/>
      </c>
      <c r="F2091" s="14" t="str">
        <f ca="1" t="shared" si="612"/>
        <v/>
      </c>
      <c r="G2091" s="14" t="str">
        <f ca="1" t="shared" si="613"/>
        <v/>
      </c>
      <c r="H2091" s="14" t="str">
        <f ca="1" t="shared" si="614"/>
        <v/>
      </c>
      <c r="I2091" s="53">
        <f ca="1" t="shared" si="615"/>
        <v>0.2</v>
      </c>
      <c r="J2091" s="62">
        <f ca="1" t="shared" si="616"/>
        <v>3</v>
      </c>
      <c r="K2091" s="53">
        <f ca="1" t="shared" si="617"/>
        <v>0.15</v>
      </c>
      <c r="L2091" s="53">
        <f ca="1" t="shared" si="618"/>
        <v>0.08</v>
      </c>
      <c r="M2091" s="53">
        <f ca="1" t="shared" si="619"/>
        <v>0.07</v>
      </c>
    </row>
    <row r="2092" spans="2:13">
      <c r="B2092" s="11">
        <v>110</v>
      </c>
      <c r="C2092" s="1" t="str">
        <f>IF(养成规划!M67="","",养成规划!M67)</f>
        <v/>
      </c>
      <c r="D2092" s="14" t="str">
        <f ca="1" t="shared" si="610"/>
        <v/>
      </c>
      <c r="E2092" s="57" t="str">
        <f ca="1" t="shared" si="611"/>
        <v/>
      </c>
      <c r="F2092" s="14" t="str">
        <f ca="1" t="shared" si="612"/>
        <v/>
      </c>
      <c r="G2092" s="14" t="str">
        <f ca="1" t="shared" si="613"/>
        <v/>
      </c>
      <c r="H2092" s="14" t="str">
        <f ca="1" t="shared" si="614"/>
        <v/>
      </c>
      <c r="I2092" s="53">
        <f ca="1" t="shared" si="615"/>
        <v>0.2</v>
      </c>
      <c r="J2092" s="62">
        <f ca="1" t="shared" si="616"/>
        <v>3</v>
      </c>
      <c r="K2092" s="53">
        <f ca="1" t="shared" si="617"/>
        <v>0.15</v>
      </c>
      <c r="L2092" s="53">
        <f ca="1" t="shared" si="618"/>
        <v>0.08</v>
      </c>
      <c r="M2092" s="53">
        <f ca="1" t="shared" si="619"/>
        <v>0.07</v>
      </c>
    </row>
    <row r="2093" spans="2:13">
      <c r="B2093" s="11">
        <v>115</v>
      </c>
      <c r="C2093" s="1" t="str">
        <f>IF(养成规划!M68="","",养成规划!M68)</f>
        <v/>
      </c>
      <c r="D2093" s="14" t="str">
        <f ca="1" t="shared" si="610"/>
        <v/>
      </c>
      <c r="E2093" s="57" t="str">
        <f ca="1" t="shared" si="611"/>
        <v/>
      </c>
      <c r="F2093" s="14" t="str">
        <f ca="1" t="shared" si="612"/>
        <v/>
      </c>
      <c r="G2093" s="14" t="str">
        <f ca="1" t="shared" si="613"/>
        <v/>
      </c>
      <c r="H2093" s="14" t="str">
        <f ca="1" t="shared" si="614"/>
        <v/>
      </c>
      <c r="I2093" s="53">
        <f ca="1" t="shared" si="615"/>
        <v>0.2</v>
      </c>
      <c r="J2093" s="62">
        <f ca="1" t="shared" si="616"/>
        <v>3</v>
      </c>
      <c r="K2093" s="53">
        <f ca="1" t="shared" si="617"/>
        <v>0.15</v>
      </c>
      <c r="L2093" s="53">
        <f ca="1" t="shared" si="618"/>
        <v>0.08</v>
      </c>
      <c r="M2093" s="53">
        <f ca="1" t="shared" si="619"/>
        <v>0.07</v>
      </c>
    </row>
    <row r="2094" spans="2:13">
      <c r="B2094" s="11">
        <v>120</v>
      </c>
      <c r="C2094" s="1" t="str">
        <f>IF(养成规划!M69="","",养成规划!M69)</f>
        <v/>
      </c>
      <c r="D2094" s="14" t="str">
        <f ca="1" t="shared" si="610"/>
        <v/>
      </c>
      <c r="E2094" s="57" t="str">
        <f ca="1" t="shared" si="611"/>
        <v/>
      </c>
      <c r="F2094" s="14" t="str">
        <f ca="1" t="shared" si="612"/>
        <v/>
      </c>
      <c r="G2094" s="14" t="str">
        <f ca="1" t="shared" si="613"/>
        <v/>
      </c>
      <c r="H2094" s="14" t="str">
        <f ca="1" t="shared" si="614"/>
        <v/>
      </c>
      <c r="I2094" s="53">
        <f ca="1" t="shared" si="615"/>
        <v>0.2</v>
      </c>
      <c r="J2094" s="62">
        <f ca="1" t="shared" si="616"/>
        <v>3</v>
      </c>
      <c r="K2094" s="53">
        <f ca="1" t="shared" si="617"/>
        <v>0.15</v>
      </c>
      <c r="L2094" s="53">
        <f ca="1" t="shared" si="618"/>
        <v>0.08</v>
      </c>
      <c r="M2094" s="53">
        <f ca="1" t="shared" si="619"/>
        <v>0.07</v>
      </c>
    </row>
    <row r="2095" spans="2:13">
      <c r="B2095" s="12">
        <v>150</v>
      </c>
      <c r="C2095" s="1">
        <f>IF(养成规划!M70="","",养成规划!M70)</f>
        <v>10</v>
      </c>
      <c r="D2095" s="14">
        <f ca="1" t="shared" ref="D2095:D2102" si="620">IFERROR(OFFSET(J$2006,MATCH($C2095,$B$2006:$B$2021,0)-1,0),"")</f>
        <v>0.2</v>
      </c>
      <c r="E2095" s="57">
        <f ca="1" t="shared" ref="E2095:E2102" si="621">IFERROR(OFFSET(K$2006,MATCH($C2095,$B$2006:$B$2021,0)-1,0),"")</f>
        <v>3</v>
      </c>
      <c r="F2095" s="14">
        <f ca="1" t="shared" ref="F2095:F2102" si="622">IFERROR(OFFSET(L$2006,MATCH($C2095,$B$2006:$B$2021,0)-1,0),"")</f>
        <v>0.15</v>
      </c>
      <c r="G2095" s="14">
        <f ca="1" t="shared" ref="G2095:G2102" si="623">IFERROR(OFFSET(M$2006,MATCH($C2095,$B$2006:$B$2021,0)-1,0),"")</f>
        <v>0.08</v>
      </c>
      <c r="H2095" s="14">
        <f ca="1" t="shared" ref="H2095:H2102" si="624">IFERROR(OFFSET(N$2006,MATCH($C2095,$B$2006:$B$2021,0)-1,0),"")</f>
        <v>0.1</v>
      </c>
      <c r="I2095" s="53">
        <f ca="1" t="shared" ref="I2095:I2102" si="625">IF(D2095="",INDIRECT(ADDRESS(ROW()-1,COLUMN())),D2095)</f>
        <v>0.2</v>
      </c>
      <c r="J2095" s="62">
        <f ca="1" t="shared" ref="J2095:J2102" si="626">IF(E2095="",INDIRECT(ADDRESS(ROW()-1,COLUMN())),E2095)</f>
        <v>3</v>
      </c>
      <c r="K2095" s="53">
        <f ca="1" t="shared" ref="K2095:K2102" si="627">IF(F2095="",INDIRECT(ADDRESS(ROW()-1,COLUMN())),F2095)</f>
        <v>0.15</v>
      </c>
      <c r="L2095" s="53">
        <f ca="1" t="shared" ref="L2095:L2102" si="628">IF(G2095="",INDIRECT(ADDRESS(ROW()-1,COLUMN())),G2095)</f>
        <v>0.08</v>
      </c>
      <c r="M2095" s="53">
        <f ca="1" t="shared" ref="M2095:M2102" si="629">IF(H2095="",INDIRECT(ADDRESS(ROW()-1,COLUMN())),H2095)</f>
        <v>0.1</v>
      </c>
    </row>
    <row r="2096" spans="2:13">
      <c r="B2096" s="12">
        <v>180</v>
      </c>
      <c r="C2096" s="1" t="str">
        <f>IF(养成规划!M71="","",养成规划!M71)</f>
        <v/>
      </c>
      <c r="D2096" s="14" t="str">
        <f ca="1" t="shared" si="620"/>
        <v/>
      </c>
      <c r="E2096" s="57" t="str">
        <f ca="1" t="shared" si="621"/>
        <v/>
      </c>
      <c r="F2096" s="14" t="str">
        <f ca="1" t="shared" si="622"/>
        <v/>
      </c>
      <c r="G2096" s="14" t="str">
        <f ca="1" t="shared" si="623"/>
        <v/>
      </c>
      <c r="H2096" s="14" t="str">
        <f ca="1" t="shared" si="624"/>
        <v/>
      </c>
      <c r="I2096" s="53">
        <f ca="1" t="shared" si="625"/>
        <v>0.2</v>
      </c>
      <c r="J2096" s="62">
        <f ca="1" t="shared" si="626"/>
        <v>3</v>
      </c>
      <c r="K2096" s="53">
        <f ca="1" t="shared" si="627"/>
        <v>0.15</v>
      </c>
      <c r="L2096" s="53">
        <f ca="1" t="shared" si="628"/>
        <v>0.08</v>
      </c>
      <c r="M2096" s="53">
        <f ca="1" t="shared" si="629"/>
        <v>0.1</v>
      </c>
    </row>
    <row r="2097" spans="2:13">
      <c r="B2097" s="12">
        <v>210</v>
      </c>
      <c r="C2097" s="1" t="str">
        <f>IF(养成规划!M72="","",养成规划!M72)</f>
        <v/>
      </c>
      <c r="D2097" s="14" t="str">
        <f ca="1" t="shared" si="620"/>
        <v/>
      </c>
      <c r="E2097" s="57" t="str">
        <f ca="1" t="shared" si="621"/>
        <v/>
      </c>
      <c r="F2097" s="14" t="str">
        <f ca="1" t="shared" si="622"/>
        <v/>
      </c>
      <c r="G2097" s="14" t="str">
        <f ca="1" t="shared" si="623"/>
        <v/>
      </c>
      <c r="H2097" s="14" t="str">
        <f ca="1" t="shared" si="624"/>
        <v/>
      </c>
      <c r="I2097" s="53">
        <f ca="1" t="shared" si="625"/>
        <v>0.2</v>
      </c>
      <c r="J2097" s="62">
        <f ca="1" t="shared" si="626"/>
        <v>3</v>
      </c>
      <c r="K2097" s="53">
        <f ca="1" t="shared" si="627"/>
        <v>0.15</v>
      </c>
      <c r="L2097" s="53">
        <f ca="1" t="shared" si="628"/>
        <v>0.08</v>
      </c>
      <c r="M2097" s="53">
        <f ca="1" t="shared" si="629"/>
        <v>0.1</v>
      </c>
    </row>
    <row r="2098" spans="2:13">
      <c r="B2098" s="12">
        <v>240</v>
      </c>
      <c r="C2098" s="1">
        <f>IF(养成规划!M73="","",养成规划!M73)</f>
        <v>11</v>
      </c>
      <c r="D2098" s="14">
        <f ca="1" t="shared" si="620"/>
        <v>0.2</v>
      </c>
      <c r="E2098" s="57">
        <f ca="1" t="shared" si="621"/>
        <v>3</v>
      </c>
      <c r="F2098" s="14">
        <f ca="1" t="shared" si="622"/>
        <v>0.2</v>
      </c>
      <c r="G2098" s="14">
        <f ca="1" t="shared" si="623"/>
        <v>0.1</v>
      </c>
      <c r="H2098" s="14">
        <f ca="1" t="shared" si="624"/>
        <v>0.1</v>
      </c>
      <c r="I2098" s="53">
        <f ca="1" t="shared" si="625"/>
        <v>0.2</v>
      </c>
      <c r="J2098" s="62">
        <f ca="1" t="shared" si="626"/>
        <v>3</v>
      </c>
      <c r="K2098" s="53">
        <f ca="1" t="shared" si="627"/>
        <v>0.2</v>
      </c>
      <c r="L2098" s="53">
        <f ca="1" t="shared" si="628"/>
        <v>0.1</v>
      </c>
      <c r="M2098" s="53">
        <f ca="1" t="shared" si="629"/>
        <v>0.1</v>
      </c>
    </row>
    <row r="2099" spans="2:13">
      <c r="B2099" s="12">
        <v>270</v>
      </c>
      <c r="C2099" s="1" t="str">
        <f>IF(养成规划!M74="","",养成规划!M74)</f>
        <v/>
      </c>
      <c r="D2099" s="14" t="str">
        <f ca="1" t="shared" si="620"/>
        <v/>
      </c>
      <c r="E2099" s="57" t="str">
        <f ca="1" t="shared" si="621"/>
        <v/>
      </c>
      <c r="F2099" s="14" t="str">
        <f ca="1" t="shared" si="622"/>
        <v/>
      </c>
      <c r="G2099" s="14" t="str">
        <f ca="1" t="shared" si="623"/>
        <v/>
      </c>
      <c r="H2099" s="14" t="str">
        <f ca="1" t="shared" si="624"/>
        <v/>
      </c>
      <c r="I2099" s="53">
        <f ca="1" t="shared" si="625"/>
        <v>0.2</v>
      </c>
      <c r="J2099" s="62">
        <f ca="1" t="shared" si="626"/>
        <v>3</v>
      </c>
      <c r="K2099" s="53">
        <f ca="1" t="shared" si="627"/>
        <v>0.2</v>
      </c>
      <c r="L2099" s="53">
        <f ca="1" t="shared" si="628"/>
        <v>0.1</v>
      </c>
      <c r="M2099" s="53">
        <f ca="1" t="shared" si="629"/>
        <v>0.1</v>
      </c>
    </row>
    <row r="2100" spans="2:13">
      <c r="B2100" s="12">
        <v>300</v>
      </c>
      <c r="C2100" s="1" t="str">
        <f>IF(养成规划!M75="","",养成规划!M75)</f>
        <v/>
      </c>
      <c r="D2100" s="14" t="str">
        <f ca="1" t="shared" si="620"/>
        <v/>
      </c>
      <c r="E2100" s="57" t="str">
        <f ca="1" t="shared" si="621"/>
        <v/>
      </c>
      <c r="F2100" s="14" t="str">
        <f ca="1" t="shared" si="622"/>
        <v/>
      </c>
      <c r="G2100" s="14" t="str">
        <f ca="1" t="shared" si="623"/>
        <v/>
      </c>
      <c r="H2100" s="14" t="str">
        <f ca="1" t="shared" si="624"/>
        <v/>
      </c>
      <c r="I2100" s="53">
        <f ca="1" t="shared" si="625"/>
        <v>0.2</v>
      </c>
      <c r="J2100" s="62">
        <f ca="1" t="shared" si="626"/>
        <v>3</v>
      </c>
      <c r="K2100" s="53">
        <f ca="1" t="shared" si="627"/>
        <v>0.2</v>
      </c>
      <c r="L2100" s="53">
        <f ca="1" t="shared" si="628"/>
        <v>0.1</v>
      </c>
      <c r="M2100" s="53">
        <f ca="1" t="shared" si="629"/>
        <v>0.1</v>
      </c>
    </row>
    <row r="2101" spans="2:13">
      <c r="B2101" s="12">
        <v>330</v>
      </c>
      <c r="C2101" s="1" t="str">
        <f>IF(养成规划!M76="","",养成规划!M76)</f>
        <v/>
      </c>
      <c r="D2101" s="14" t="str">
        <f ca="1" t="shared" si="620"/>
        <v/>
      </c>
      <c r="E2101" s="57" t="str">
        <f ca="1" t="shared" si="621"/>
        <v/>
      </c>
      <c r="F2101" s="14" t="str">
        <f ca="1" t="shared" si="622"/>
        <v/>
      </c>
      <c r="G2101" s="14" t="str">
        <f ca="1" t="shared" si="623"/>
        <v/>
      </c>
      <c r="H2101" s="14" t="str">
        <f ca="1" t="shared" si="624"/>
        <v/>
      </c>
      <c r="I2101" s="53">
        <f ca="1" t="shared" si="625"/>
        <v>0.2</v>
      </c>
      <c r="J2101" s="62">
        <f ca="1" t="shared" si="626"/>
        <v>3</v>
      </c>
      <c r="K2101" s="53">
        <f ca="1" t="shared" si="627"/>
        <v>0.2</v>
      </c>
      <c r="L2101" s="53">
        <f ca="1" t="shared" si="628"/>
        <v>0.1</v>
      </c>
      <c r="M2101" s="53">
        <f ca="1" t="shared" si="629"/>
        <v>0.1</v>
      </c>
    </row>
    <row r="2102" spans="2:13">
      <c r="B2102" s="12">
        <v>360</v>
      </c>
      <c r="C2102" s="1">
        <f>IF(养成规划!M77="","",养成规划!M77)</f>
        <v>12</v>
      </c>
      <c r="D2102" s="14">
        <f ca="1" t="shared" si="620"/>
        <v>0.25</v>
      </c>
      <c r="E2102" s="57">
        <f ca="1" t="shared" si="621"/>
        <v>4</v>
      </c>
      <c r="F2102" s="14">
        <f ca="1" t="shared" si="622"/>
        <v>0.2</v>
      </c>
      <c r="G2102" s="14">
        <f ca="1" t="shared" si="623"/>
        <v>0.1</v>
      </c>
      <c r="H2102" s="14">
        <f ca="1" t="shared" si="624"/>
        <v>0.1</v>
      </c>
      <c r="I2102" s="53">
        <f ca="1" t="shared" si="625"/>
        <v>0.25</v>
      </c>
      <c r="J2102" s="62">
        <f ca="1" t="shared" si="626"/>
        <v>4</v>
      </c>
      <c r="K2102" s="53">
        <f ca="1" t="shared" si="627"/>
        <v>0.2</v>
      </c>
      <c r="L2102" s="53">
        <f ca="1" t="shared" si="628"/>
        <v>0.1</v>
      </c>
      <c r="M2102" s="53">
        <f ca="1" t="shared" si="629"/>
        <v>0.1</v>
      </c>
    </row>
    <row r="2105" s="25" customFormat="1" spans="1:5">
      <c r="A2105" s="2" t="s">
        <v>468</v>
      </c>
      <c r="B2105" s="2"/>
      <c r="C2105" s="41" t="s">
        <v>436</v>
      </c>
      <c r="E2105" s="41"/>
    </row>
    <row r="2107" spans="2:12">
      <c r="B2107" s="27" t="s">
        <v>1232</v>
      </c>
      <c r="C2107" s="27"/>
      <c r="D2107" s="27"/>
      <c r="E2107" s="27"/>
      <c r="F2107" s="27"/>
      <c r="G2107" s="27"/>
      <c r="H2107" s="27"/>
      <c r="I2107" s="27"/>
      <c r="J2107" s="27"/>
      <c r="K2107" s="27"/>
      <c r="L2107" s="27"/>
    </row>
    <row r="2109" spans="2:6">
      <c r="B2109" s="29" t="s">
        <v>1233</v>
      </c>
      <c r="C2109" s="29" t="s">
        <v>1234</v>
      </c>
      <c r="D2109" s="29" t="s">
        <v>1235</v>
      </c>
      <c r="F2109" s="29" t="s">
        <v>1236</v>
      </c>
    </row>
    <row r="2110" spans="2:6">
      <c r="B2110" s="1">
        <v>1</v>
      </c>
      <c r="C2110" s="1" t="s">
        <v>1237</v>
      </c>
      <c r="D2110" s="1" t="s">
        <v>1238</v>
      </c>
      <c r="F2110" s="1" t="s">
        <v>1239</v>
      </c>
    </row>
    <row r="2111" spans="2:6">
      <c r="B2111" s="1">
        <v>2</v>
      </c>
      <c r="C2111" s="1" t="s">
        <v>1240</v>
      </c>
      <c r="D2111" s="1" t="s">
        <v>1241</v>
      </c>
      <c r="F2111" s="1" t="s">
        <v>1242</v>
      </c>
    </row>
    <row r="2112" spans="2:6">
      <c r="B2112" s="1">
        <v>3</v>
      </c>
      <c r="C2112" s="1" t="s">
        <v>1243</v>
      </c>
      <c r="D2112" s="1" t="s">
        <v>1241</v>
      </c>
      <c r="F2112" s="1" t="s">
        <v>1242</v>
      </c>
    </row>
    <row r="2113" spans="2:6">
      <c r="B2113" s="1">
        <v>4</v>
      </c>
      <c r="C2113" s="1" t="s">
        <v>1244</v>
      </c>
      <c r="D2113" s="1" t="s">
        <v>1241</v>
      </c>
      <c r="F2113" s="1" t="s">
        <v>1242</v>
      </c>
    </row>
    <row r="2114" spans="2:6">
      <c r="B2114" s="1">
        <v>5</v>
      </c>
      <c r="C2114" s="1" t="s">
        <v>1245</v>
      </c>
      <c r="D2114" s="1" t="s">
        <v>1246</v>
      </c>
      <c r="F2114" s="1" t="s">
        <v>1247</v>
      </c>
    </row>
    <row r="2115" spans="2:6">
      <c r="B2115" s="1">
        <v>6</v>
      </c>
      <c r="C2115" s="1" t="s">
        <v>1248</v>
      </c>
      <c r="D2115" s="1" t="s">
        <v>1249</v>
      </c>
      <c r="F2115" s="1" t="s">
        <v>1250</v>
      </c>
    </row>
    <row r="2116" spans="2:6">
      <c r="B2116" s="1">
        <v>7</v>
      </c>
      <c r="C2116" s="1" t="s">
        <v>1251</v>
      </c>
      <c r="D2116" s="1" t="s">
        <v>1249</v>
      </c>
      <c r="F2116" s="1" t="s">
        <v>1252</v>
      </c>
    </row>
    <row r="2117" spans="2:6">
      <c r="B2117" s="1">
        <v>8</v>
      </c>
      <c r="C2117" s="1" t="s">
        <v>1253</v>
      </c>
      <c r="D2117" s="1" t="s">
        <v>1254</v>
      </c>
      <c r="F2117" s="1" t="s">
        <v>1255</v>
      </c>
    </row>
    <row r="2118" spans="2:6">
      <c r="B2118" s="1">
        <v>9</v>
      </c>
      <c r="C2118" s="1" t="s">
        <v>1256</v>
      </c>
      <c r="D2118" s="1" t="s">
        <v>1254</v>
      </c>
      <c r="F2118" s="1" t="s">
        <v>1255</v>
      </c>
    </row>
    <row r="2119" spans="2:6">
      <c r="B2119" s="1">
        <v>10</v>
      </c>
      <c r="C2119" s="1" t="s">
        <v>1257</v>
      </c>
      <c r="D2119" s="1" t="s">
        <v>1258</v>
      </c>
      <c r="F2119" s="1" t="s">
        <v>1259</v>
      </c>
    </row>
    <row r="2122" s="25" customFormat="1" spans="1:5">
      <c r="A2122" s="2" t="s">
        <v>467</v>
      </c>
      <c r="B2122" s="2"/>
      <c r="C2122" s="41" t="s">
        <v>436</v>
      </c>
      <c r="E2122" s="41"/>
    </row>
    <row r="2124" spans="2:12">
      <c r="B2124" s="27" t="s">
        <v>1260</v>
      </c>
      <c r="C2124" s="27"/>
      <c r="D2124" s="27"/>
      <c r="E2124" s="27"/>
      <c r="F2124" s="27"/>
      <c r="G2124" s="27"/>
      <c r="H2124" s="27"/>
      <c r="I2124" s="27"/>
      <c r="J2124" s="27"/>
      <c r="K2124" s="27"/>
      <c r="L2124" s="27"/>
    </row>
    <row r="2126" spans="2:3">
      <c r="B2126" s="29" t="s">
        <v>370</v>
      </c>
      <c r="C2126" s="29" t="s">
        <v>1261</v>
      </c>
    </row>
    <row r="2127" spans="2:3">
      <c r="B2127" s="1">
        <v>1</v>
      </c>
      <c r="C2127" s="30">
        <v>0</v>
      </c>
    </row>
    <row r="2128" spans="2:3">
      <c r="B2128" s="1">
        <v>2</v>
      </c>
      <c r="C2128" s="30">
        <v>10</v>
      </c>
    </row>
    <row r="2129" spans="2:3">
      <c r="B2129" s="1">
        <v>3</v>
      </c>
      <c r="C2129" s="30">
        <v>20</v>
      </c>
    </row>
    <row r="2130" spans="2:3">
      <c r="B2130" s="1">
        <v>4</v>
      </c>
      <c r="C2130" s="30">
        <v>50</v>
      </c>
    </row>
    <row r="2131" spans="2:3">
      <c r="B2131" s="1">
        <v>5</v>
      </c>
      <c r="C2131" s="30">
        <v>100</v>
      </c>
    </row>
    <row r="2132" spans="2:3">
      <c r="B2132" s="1" t="s">
        <v>534</v>
      </c>
      <c r="C2132" s="1">
        <f>SUM(C2127:C2131)</f>
        <v>180</v>
      </c>
    </row>
    <row r="2133" spans="2:3">
      <c r="B2133" s="1" t="s">
        <v>1262</v>
      </c>
      <c r="C2133" s="1">
        <f>C2132*4</f>
        <v>720</v>
      </c>
    </row>
    <row r="2136" s="25" customFormat="1" spans="1:5">
      <c r="A2136" s="2" t="s">
        <v>487</v>
      </c>
      <c r="B2136" s="2"/>
      <c r="C2136" s="41" t="s">
        <v>436</v>
      </c>
      <c r="E2136" s="41"/>
    </row>
    <row r="2138" spans="2:12">
      <c r="B2138" s="27" t="s">
        <v>1263</v>
      </c>
      <c r="C2138" s="27"/>
      <c r="D2138" s="27"/>
      <c r="E2138" s="27"/>
      <c r="F2138" s="27"/>
      <c r="G2138" s="27"/>
      <c r="H2138" s="27"/>
      <c r="I2138" s="27"/>
      <c r="J2138" s="27"/>
      <c r="K2138" s="27"/>
      <c r="L2138" s="27"/>
    </row>
    <row r="2140" spans="2:6">
      <c r="B2140" s="1" t="s">
        <v>382</v>
      </c>
      <c r="C2140" s="1" t="s">
        <v>1264</v>
      </c>
      <c r="D2140" s="15" t="s">
        <v>706</v>
      </c>
      <c r="E2140" s="1" t="s">
        <v>1265</v>
      </c>
      <c r="F2140" s="1" t="s">
        <v>1266</v>
      </c>
    </row>
    <row r="2141" spans="2:6">
      <c r="B2141" s="7">
        <v>0</v>
      </c>
      <c r="C2141" s="1" t="str">
        <f ca="1" t="shared" ref="C2141:C2172" si="630">D2224</f>
        <v/>
      </c>
      <c r="D2141" s="15">
        <f ca="1">'213_主题活动'!E6</f>
        <v>0</v>
      </c>
      <c r="E2141" s="1" t="str">
        <f ca="1" t="shared" ref="E2141:E2172" si="631">C2141</f>
        <v/>
      </c>
      <c r="F2141" s="1">
        <f ca="1" t="shared" ref="F2141:F2172" si="632">SUM(D2141:D2141)</f>
        <v>0</v>
      </c>
    </row>
    <row r="2142" spans="2:6">
      <c r="B2142" s="7">
        <v>0.1</v>
      </c>
      <c r="C2142" s="1" t="str">
        <f ca="1" t="shared" si="630"/>
        <v/>
      </c>
      <c r="D2142" s="15">
        <f ca="1">'213_主题活动'!E7</f>
        <v>0</v>
      </c>
      <c r="E2142" s="1" t="str">
        <f ca="1" t="shared" si="631"/>
        <v/>
      </c>
      <c r="F2142" s="1">
        <f ca="1" t="shared" si="632"/>
        <v>0</v>
      </c>
    </row>
    <row r="2143" spans="2:6">
      <c r="B2143" s="7">
        <v>0.2</v>
      </c>
      <c r="C2143" s="1" t="str">
        <f ca="1" t="shared" si="630"/>
        <v/>
      </c>
      <c r="D2143" s="15">
        <f ca="1">'213_主题活动'!E8</f>
        <v>0</v>
      </c>
      <c r="E2143" s="1" t="str">
        <f ca="1" t="shared" si="631"/>
        <v/>
      </c>
      <c r="F2143" s="1">
        <f ca="1" t="shared" si="632"/>
        <v>0</v>
      </c>
    </row>
    <row r="2144" spans="2:6">
      <c r="B2144" s="7">
        <v>0.3</v>
      </c>
      <c r="C2144" s="1" t="str">
        <f ca="1" t="shared" si="630"/>
        <v/>
      </c>
      <c r="D2144" s="15">
        <f ca="1">'213_主题活动'!E9</f>
        <v>0</v>
      </c>
      <c r="E2144" s="1" t="str">
        <f ca="1" t="shared" si="631"/>
        <v/>
      </c>
      <c r="F2144" s="1">
        <f ca="1" t="shared" si="632"/>
        <v>0</v>
      </c>
    </row>
    <row r="2145" spans="2:6">
      <c r="B2145" s="7">
        <v>0.4</v>
      </c>
      <c r="C2145" s="1" t="str">
        <f ca="1" t="shared" si="630"/>
        <v/>
      </c>
      <c r="D2145" s="15">
        <f ca="1">'213_主题活动'!E10</f>
        <v>0</v>
      </c>
      <c r="E2145" s="1" t="str">
        <f ca="1" t="shared" si="631"/>
        <v/>
      </c>
      <c r="F2145" s="1">
        <f ca="1" t="shared" si="632"/>
        <v>0</v>
      </c>
    </row>
    <row r="2146" spans="2:6">
      <c r="B2146" s="7">
        <v>0.5</v>
      </c>
      <c r="C2146" s="1" t="str">
        <f ca="1" t="shared" si="630"/>
        <v/>
      </c>
      <c r="D2146" s="15">
        <f ca="1">'213_主题活动'!E11</f>
        <v>0</v>
      </c>
      <c r="E2146" s="1" t="str">
        <f ca="1" t="shared" si="631"/>
        <v/>
      </c>
      <c r="F2146" s="1">
        <f ca="1" t="shared" si="632"/>
        <v>0</v>
      </c>
    </row>
    <row r="2147" spans="2:6">
      <c r="B2147" s="7">
        <v>0.6</v>
      </c>
      <c r="C2147" s="1" t="str">
        <f ca="1" t="shared" si="630"/>
        <v/>
      </c>
      <c r="D2147" s="15">
        <f ca="1">'213_主题活动'!E12</f>
        <v>0</v>
      </c>
      <c r="E2147" s="1" t="str">
        <f ca="1" t="shared" si="631"/>
        <v/>
      </c>
      <c r="F2147" s="1">
        <f ca="1" t="shared" si="632"/>
        <v>0</v>
      </c>
    </row>
    <row r="2148" spans="2:6">
      <c r="B2148" s="7">
        <v>0.7</v>
      </c>
      <c r="C2148" s="1" t="str">
        <f ca="1" t="shared" si="630"/>
        <v/>
      </c>
      <c r="D2148" s="15">
        <f ca="1">'213_主题活动'!E13</f>
        <v>0</v>
      </c>
      <c r="E2148" s="1" t="str">
        <f ca="1" t="shared" si="631"/>
        <v/>
      </c>
      <c r="F2148" s="1">
        <f ca="1" t="shared" si="632"/>
        <v>0</v>
      </c>
    </row>
    <row r="2149" spans="2:6">
      <c r="B2149" s="7">
        <v>0.8</v>
      </c>
      <c r="C2149" s="1" t="str">
        <f ca="1" t="shared" si="630"/>
        <v/>
      </c>
      <c r="D2149" s="15">
        <f ca="1">'213_主题活动'!E14</f>
        <v>0</v>
      </c>
      <c r="E2149" s="1" t="str">
        <f ca="1" t="shared" si="631"/>
        <v/>
      </c>
      <c r="F2149" s="1">
        <f ca="1" t="shared" si="632"/>
        <v>0</v>
      </c>
    </row>
    <row r="2150" spans="2:6">
      <c r="B2150" s="7">
        <v>0.9</v>
      </c>
      <c r="C2150" s="1" t="str">
        <f ca="1" t="shared" si="630"/>
        <v/>
      </c>
      <c r="D2150" s="15">
        <f ca="1">'213_主题活动'!E15</f>
        <v>0</v>
      </c>
      <c r="E2150" s="1" t="str">
        <f ca="1" t="shared" si="631"/>
        <v/>
      </c>
      <c r="F2150" s="1">
        <f ca="1" t="shared" si="632"/>
        <v>0</v>
      </c>
    </row>
    <row r="2151" spans="2:6">
      <c r="B2151" s="7">
        <v>1</v>
      </c>
      <c r="C2151" s="1" t="str">
        <f ca="1" t="shared" si="630"/>
        <v/>
      </c>
      <c r="D2151" s="15">
        <f ca="1">'213_主题活动'!E16</f>
        <v>0</v>
      </c>
      <c r="E2151" s="1" t="str">
        <f ca="1" t="shared" si="631"/>
        <v/>
      </c>
      <c r="F2151" s="1">
        <f ca="1" t="shared" si="632"/>
        <v>0</v>
      </c>
    </row>
    <row r="2152" spans="2:6">
      <c r="B2152" s="9">
        <v>1.5</v>
      </c>
      <c r="C2152" s="1" t="str">
        <f ca="1" t="shared" si="630"/>
        <v/>
      </c>
      <c r="D2152" s="15">
        <f ca="1">'213_主题活动'!E17</f>
        <v>0</v>
      </c>
      <c r="E2152" s="1" t="str">
        <f ca="1" t="shared" si="631"/>
        <v/>
      </c>
      <c r="F2152" s="1">
        <f ca="1" t="shared" si="632"/>
        <v>0</v>
      </c>
    </row>
    <row r="2153" spans="2:6">
      <c r="B2153" s="9">
        <v>2</v>
      </c>
      <c r="C2153" s="1" t="str">
        <f ca="1" t="shared" si="630"/>
        <v/>
      </c>
      <c r="D2153" s="15">
        <f ca="1">'213_主题活动'!E18</f>
        <v>0</v>
      </c>
      <c r="E2153" s="1" t="str">
        <f ca="1" t="shared" si="631"/>
        <v/>
      </c>
      <c r="F2153" s="1">
        <f ca="1" t="shared" si="632"/>
        <v>0</v>
      </c>
    </row>
    <row r="2154" spans="2:6">
      <c r="B2154" s="9">
        <v>2.5</v>
      </c>
      <c r="C2154" s="1" t="str">
        <f ca="1" t="shared" si="630"/>
        <v/>
      </c>
      <c r="D2154" s="15">
        <f ca="1">'213_主题活动'!E19</f>
        <v>0</v>
      </c>
      <c r="E2154" s="1" t="str">
        <f ca="1" t="shared" si="631"/>
        <v/>
      </c>
      <c r="F2154" s="1">
        <f ca="1" t="shared" si="632"/>
        <v>0</v>
      </c>
    </row>
    <row r="2155" spans="2:6">
      <c r="B2155" s="9">
        <v>3</v>
      </c>
      <c r="C2155" s="1" t="str">
        <f ca="1" t="shared" si="630"/>
        <v/>
      </c>
      <c r="D2155" s="15">
        <f ca="1">'213_主题活动'!E20</f>
        <v>0</v>
      </c>
      <c r="E2155" s="1" t="str">
        <f ca="1" t="shared" si="631"/>
        <v/>
      </c>
      <c r="F2155" s="1">
        <f ca="1" t="shared" si="632"/>
        <v>0</v>
      </c>
    </row>
    <row r="2156" spans="2:6">
      <c r="B2156" s="9">
        <v>3.5</v>
      </c>
      <c r="C2156" s="1" t="str">
        <f ca="1" t="shared" si="630"/>
        <v/>
      </c>
      <c r="D2156" s="15">
        <f ca="1">'213_主题活动'!E21</f>
        <v>0</v>
      </c>
      <c r="E2156" s="1" t="str">
        <f ca="1" t="shared" si="631"/>
        <v/>
      </c>
      <c r="F2156" s="1">
        <f ca="1" t="shared" si="632"/>
        <v>0</v>
      </c>
    </row>
    <row r="2157" spans="2:6">
      <c r="B2157" s="9">
        <v>4</v>
      </c>
      <c r="C2157" s="1" t="str">
        <f ca="1" t="shared" si="630"/>
        <v/>
      </c>
      <c r="D2157" s="15">
        <f ca="1">'213_主题活动'!E22</f>
        <v>0</v>
      </c>
      <c r="E2157" s="1" t="str">
        <f ca="1" t="shared" si="631"/>
        <v/>
      </c>
      <c r="F2157" s="1">
        <f ca="1" t="shared" si="632"/>
        <v>0</v>
      </c>
    </row>
    <row r="2158" spans="2:6">
      <c r="B2158" s="9">
        <v>4.5</v>
      </c>
      <c r="C2158" s="1" t="str">
        <f ca="1" t="shared" si="630"/>
        <v/>
      </c>
      <c r="D2158" s="15">
        <f ca="1">'213_主题活动'!E23</f>
        <v>0</v>
      </c>
      <c r="E2158" s="1" t="str">
        <f ca="1" t="shared" si="631"/>
        <v/>
      </c>
      <c r="F2158" s="1">
        <f ca="1" t="shared" si="632"/>
        <v>0</v>
      </c>
    </row>
    <row r="2159" spans="2:6">
      <c r="B2159" s="9">
        <v>5</v>
      </c>
      <c r="C2159" s="1" t="str">
        <f ca="1" t="shared" si="630"/>
        <v/>
      </c>
      <c r="D2159" s="15">
        <f ca="1">'213_主题活动'!E24</f>
        <v>0</v>
      </c>
      <c r="E2159" s="1" t="str">
        <f ca="1" t="shared" si="631"/>
        <v/>
      </c>
      <c r="F2159" s="1">
        <f ca="1" t="shared" si="632"/>
        <v>0</v>
      </c>
    </row>
    <row r="2160" spans="2:6">
      <c r="B2160" s="9">
        <v>5.5</v>
      </c>
      <c r="C2160" s="1" t="str">
        <f ca="1" t="shared" si="630"/>
        <v/>
      </c>
      <c r="D2160" s="15">
        <f ca="1">'213_主题活动'!E25</f>
        <v>0</v>
      </c>
      <c r="E2160" s="1" t="str">
        <f ca="1" t="shared" si="631"/>
        <v/>
      </c>
      <c r="F2160" s="1">
        <f ca="1" t="shared" si="632"/>
        <v>0</v>
      </c>
    </row>
    <row r="2161" spans="2:6">
      <c r="B2161" s="9">
        <v>6</v>
      </c>
      <c r="C2161" s="1" t="str">
        <f ca="1" t="shared" si="630"/>
        <v/>
      </c>
      <c r="D2161" s="15">
        <f ca="1">'213_主题活动'!E26</f>
        <v>0</v>
      </c>
      <c r="E2161" s="1" t="str">
        <f ca="1" t="shared" si="631"/>
        <v/>
      </c>
      <c r="F2161" s="1">
        <f ca="1" t="shared" si="632"/>
        <v>0</v>
      </c>
    </row>
    <row r="2162" spans="2:6">
      <c r="B2162" s="9">
        <v>6.5</v>
      </c>
      <c r="C2162" s="1" t="str">
        <f ca="1" t="shared" si="630"/>
        <v/>
      </c>
      <c r="D2162" s="15">
        <f ca="1">'213_主题活动'!E27</f>
        <v>0</v>
      </c>
      <c r="E2162" s="1" t="str">
        <f ca="1" t="shared" si="631"/>
        <v/>
      </c>
      <c r="F2162" s="1">
        <f ca="1" t="shared" si="632"/>
        <v>0</v>
      </c>
    </row>
    <row r="2163" spans="2:6">
      <c r="B2163" s="9">
        <v>7</v>
      </c>
      <c r="C2163" s="1" t="str">
        <f ca="1" t="shared" si="630"/>
        <v/>
      </c>
      <c r="D2163" s="15">
        <f ca="1">'213_主题活动'!E28</f>
        <v>0</v>
      </c>
      <c r="E2163" s="1" t="str">
        <f ca="1" t="shared" si="631"/>
        <v/>
      </c>
      <c r="F2163" s="1">
        <f ca="1" t="shared" si="632"/>
        <v>0</v>
      </c>
    </row>
    <row r="2164" spans="2:6">
      <c r="B2164" s="10">
        <v>8</v>
      </c>
      <c r="C2164" s="1" t="str">
        <f ca="1" t="shared" si="630"/>
        <v/>
      </c>
      <c r="D2164" s="15">
        <f ca="1">'213_主题活动'!E29</f>
        <v>0</v>
      </c>
      <c r="E2164" s="1" t="str">
        <f ca="1" t="shared" si="631"/>
        <v/>
      </c>
      <c r="F2164" s="1">
        <f ca="1" t="shared" si="632"/>
        <v>0</v>
      </c>
    </row>
    <row r="2165" spans="2:6">
      <c r="B2165" s="10">
        <v>9</v>
      </c>
      <c r="C2165" s="1" t="str">
        <f ca="1" t="shared" si="630"/>
        <v/>
      </c>
      <c r="D2165" s="15">
        <f ca="1">'213_主题活动'!E30</f>
        <v>0</v>
      </c>
      <c r="E2165" s="1" t="str">
        <f ca="1" t="shared" si="631"/>
        <v/>
      </c>
      <c r="F2165" s="1">
        <f ca="1" t="shared" si="632"/>
        <v>0</v>
      </c>
    </row>
    <row r="2166" spans="2:6">
      <c r="B2166" s="10">
        <v>10</v>
      </c>
      <c r="C2166" s="1" t="str">
        <f ca="1" t="shared" si="630"/>
        <v/>
      </c>
      <c r="D2166" s="15">
        <f ca="1">'213_主题活动'!E31</f>
        <v>0</v>
      </c>
      <c r="E2166" s="1" t="str">
        <f ca="1" t="shared" si="631"/>
        <v/>
      </c>
      <c r="F2166" s="1">
        <f ca="1" t="shared" si="632"/>
        <v>0</v>
      </c>
    </row>
    <row r="2167" spans="2:6">
      <c r="B2167" s="10">
        <v>11</v>
      </c>
      <c r="C2167" s="1" t="str">
        <f ca="1" t="shared" si="630"/>
        <v/>
      </c>
      <c r="D2167" s="15">
        <f ca="1">'213_主题活动'!E32</f>
        <v>0</v>
      </c>
      <c r="E2167" s="1" t="str">
        <f ca="1" t="shared" si="631"/>
        <v/>
      </c>
      <c r="F2167" s="1">
        <f ca="1" t="shared" si="632"/>
        <v>0</v>
      </c>
    </row>
    <row r="2168" spans="2:6">
      <c r="B2168" s="10">
        <v>12</v>
      </c>
      <c r="C2168" s="1" t="str">
        <f ca="1" t="shared" si="630"/>
        <v/>
      </c>
      <c r="D2168" s="15">
        <f ca="1">'213_主题活动'!E33</f>
        <v>0</v>
      </c>
      <c r="E2168" s="1" t="str">
        <f ca="1" t="shared" si="631"/>
        <v/>
      </c>
      <c r="F2168" s="1">
        <f ca="1" t="shared" si="632"/>
        <v>0</v>
      </c>
    </row>
    <row r="2169" spans="2:6">
      <c r="B2169" s="10">
        <v>13</v>
      </c>
      <c r="C2169" s="1" t="str">
        <f ca="1" t="shared" si="630"/>
        <v/>
      </c>
      <c r="D2169" s="15">
        <f ca="1">'213_主题活动'!E34</f>
        <v>0</v>
      </c>
      <c r="E2169" s="1" t="str">
        <f ca="1" t="shared" si="631"/>
        <v/>
      </c>
      <c r="F2169" s="1">
        <f ca="1" t="shared" si="632"/>
        <v>0</v>
      </c>
    </row>
    <row r="2170" spans="2:6">
      <c r="B2170" s="10">
        <v>14</v>
      </c>
      <c r="C2170" s="1" t="str">
        <f ca="1" t="shared" si="630"/>
        <v/>
      </c>
      <c r="D2170" s="15">
        <f ca="1">'213_主题活动'!E35</f>
        <v>0</v>
      </c>
      <c r="E2170" s="1" t="str">
        <f ca="1" t="shared" si="631"/>
        <v/>
      </c>
      <c r="F2170" s="1">
        <f ca="1" t="shared" si="632"/>
        <v>0</v>
      </c>
    </row>
    <row r="2171" spans="2:6">
      <c r="B2171" s="10">
        <v>15</v>
      </c>
      <c r="C2171" s="1" t="str">
        <f ca="1" t="shared" si="630"/>
        <v/>
      </c>
      <c r="D2171" s="15">
        <f ca="1">'213_主题活动'!E36</f>
        <v>0</v>
      </c>
      <c r="E2171" s="1" t="str">
        <f ca="1" t="shared" si="631"/>
        <v/>
      </c>
      <c r="F2171" s="1">
        <f ca="1" t="shared" si="632"/>
        <v>0</v>
      </c>
    </row>
    <row r="2172" spans="2:6">
      <c r="B2172" s="10">
        <v>16</v>
      </c>
      <c r="C2172" s="1" t="str">
        <f ca="1" t="shared" si="630"/>
        <v/>
      </c>
      <c r="D2172" s="15">
        <f ca="1">'213_主题活动'!E37</f>
        <v>0</v>
      </c>
      <c r="E2172" s="1" t="str">
        <f ca="1" t="shared" si="631"/>
        <v/>
      </c>
      <c r="F2172" s="1">
        <f ca="1" t="shared" si="632"/>
        <v>0</v>
      </c>
    </row>
    <row r="2173" spans="2:6">
      <c r="B2173" s="10">
        <v>17</v>
      </c>
      <c r="C2173" s="1" t="str">
        <f ca="1" t="shared" ref="C2173:C2204" si="633">D2256</f>
        <v/>
      </c>
      <c r="D2173" s="15">
        <f ca="1">'213_主题活动'!E38</f>
        <v>0</v>
      </c>
      <c r="E2173" s="1" t="str">
        <f ca="1" t="shared" ref="E2173:E2204" si="634">C2173</f>
        <v/>
      </c>
      <c r="F2173" s="1">
        <f ca="1" t="shared" ref="F2173:F2204" si="635">SUM(D2173:D2173)</f>
        <v>0</v>
      </c>
    </row>
    <row r="2174" spans="2:6">
      <c r="B2174" s="10">
        <v>18</v>
      </c>
      <c r="C2174" s="1" t="str">
        <f ca="1" t="shared" si="633"/>
        <v/>
      </c>
      <c r="D2174" s="15">
        <f ca="1">'213_主题活动'!E39</f>
        <v>0</v>
      </c>
      <c r="E2174" s="1" t="str">
        <f ca="1" t="shared" si="634"/>
        <v/>
      </c>
      <c r="F2174" s="1">
        <f ca="1" t="shared" si="635"/>
        <v>0</v>
      </c>
    </row>
    <row r="2175" spans="2:6">
      <c r="B2175" s="10">
        <v>19</v>
      </c>
      <c r="C2175" s="1" t="str">
        <f ca="1" t="shared" si="633"/>
        <v/>
      </c>
      <c r="D2175" s="15">
        <f ca="1">'213_主题活动'!E40</f>
        <v>0</v>
      </c>
      <c r="E2175" s="1" t="str">
        <f ca="1" t="shared" si="634"/>
        <v/>
      </c>
      <c r="F2175" s="1">
        <f ca="1" t="shared" si="635"/>
        <v>0</v>
      </c>
    </row>
    <row r="2176" spans="2:6">
      <c r="B2176" s="10">
        <v>20</v>
      </c>
      <c r="C2176" s="1" t="str">
        <f ca="1" t="shared" si="633"/>
        <v/>
      </c>
      <c r="D2176" s="15">
        <f ca="1">'213_主题活动'!E41</f>
        <v>0</v>
      </c>
      <c r="E2176" s="1" t="str">
        <f ca="1" t="shared" si="634"/>
        <v/>
      </c>
      <c r="F2176" s="1">
        <f ca="1" t="shared" si="635"/>
        <v>0</v>
      </c>
    </row>
    <row r="2177" spans="2:6">
      <c r="B2177" s="10">
        <v>21</v>
      </c>
      <c r="C2177" s="1" t="str">
        <f ca="1" t="shared" si="633"/>
        <v/>
      </c>
      <c r="D2177" s="15">
        <f ca="1">'213_主题活动'!E42</f>
        <v>0</v>
      </c>
      <c r="E2177" s="1" t="str">
        <f ca="1" t="shared" si="634"/>
        <v/>
      </c>
      <c r="F2177" s="1">
        <f ca="1" t="shared" si="635"/>
        <v>0</v>
      </c>
    </row>
    <row r="2178" spans="2:6">
      <c r="B2178" s="10">
        <v>22</v>
      </c>
      <c r="C2178" s="1" t="str">
        <f ca="1" t="shared" si="633"/>
        <v/>
      </c>
      <c r="D2178" s="15">
        <f ca="1">'213_主题活动'!E43</f>
        <v>0</v>
      </c>
      <c r="E2178" s="1" t="str">
        <f ca="1" t="shared" si="634"/>
        <v/>
      </c>
      <c r="F2178" s="1">
        <f ca="1" t="shared" si="635"/>
        <v>0</v>
      </c>
    </row>
    <row r="2179" spans="2:6">
      <c r="B2179" s="10">
        <v>23</v>
      </c>
      <c r="C2179" s="1" t="str">
        <f ca="1" t="shared" si="633"/>
        <v/>
      </c>
      <c r="D2179" s="15">
        <f ca="1">'213_主题活动'!E44</f>
        <v>0</v>
      </c>
      <c r="E2179" s="1" t="str">
        <f ca="1" t="shared" si="634"/>
        <v/>
      </c>
      <c r="F2179" s="1">
        <f ca="1" t="shared" si="635"/>
        <v>0</v>
      </c>
    </row>
    <row r="2180" spans="2:6">
      <c r="B2180" s="10">
        <v>24</v>
      </c>
      <c r="C2180" s="1" t="str">
        <f ca="1" t="shared" si="633"/>
        <v/>
      </c>
      <c r="D2180" s="15">
        <f ca="1">'213_主题活动'!E45</f>
        <v>0</v>
      </c>
      <c r="E2180" s="1" t="str">
        <f ca="1" t="shared" si="634"/>
        <v/>
      </c>
      <c r="F2180" s="1">
        <f ca="1" t="shared" si="635"/>
        <v>0</v>
      </c>
    </row>
    <row r="2181" spans="2:6">
      <c r="B2181" s="10">
        <v>25</v>
      </c>
      <c r="C2181" s="1" t="str">
        <f ca="1" t="shared" si="633"/>
        <v/>
      </c>
      <c r="D2181" s="15">
        <f ca="1">'213_主题活动'!E46</f>
        <v>0</v>
      </c>
      <c r="E2181" s="1" t="str">
        <f ca="1" t="shared" si="634"/>
        <v/>
      </c>
      <c r="F2181" s="1">
        <f ca="1" t="shared" si="635"/>
        <v>0</v>
      </c>
    </row>
    <row r="2182" spans="2:6">
      <c r="B2182" s="10">
        <v>26</v>
      </c>
      <c r="C2182" s="1" t="str">
        <f ca="1" t="shared" si="633"/>
        <v/>
      </c>
      <c r="D2182" s="15">
        <f ca="1">'213_主题活动'!E47</f>
        <v>0</v>
      </c>
      <c r="E2182" s="1" t="str">
        <f ca="1" t="shared" si="634"/>
        <v/>
      </c>
      <c r="F2182" s="1">
        <f ca="1" t="shared" si="635"/>
        <v>0</v>
      </c>
    </row>
    <row r="2183" spans="2:6">
      <c r="B2183" s="10">
        <v>27</v>
      </c>
      <c r="C2183" s="1" t="str">
        <f ca="1" t="shared" si="633"/>
        <v/>
      </c>
      <c r="D2183" s="15">
        <f ca="1">'213_主题活动'!E48</f>
        <v>0</v>
      </c>
      <c r="E2183" s="1" t="str">
        <f ca="1" t="shared" si="634"/>
        <v/>
      </c>
      <c r="F2183" s="1">
        <f ca="1" t="shared" si="635"/>
        <v>0</v>
      </c>
    </row>
    <row r="2184" spans="2:6">
      <c r="B2184" s="10">
        <v>28</v>
      </c>
      <c r="C2184" s="1" t="str">
        <f ca="1" t="shared" si="633"/>
        <v/>
      </c>
      <c r="D2184" s="15">
        <f ca="1">'213_主题活动'!E49</f>
        <v>0</v>
      </c>
      <c r="E2184" s="1" t="str">
        <f ca="1" t="shared" si="634"/>
        <v/>
      </c>
      <c r="F2184" s="1">
        <f ca="1" t="shared" si="635"/>
        <v>0</v>
      </c>
    </row>
    <row r="2185" spans="2:6">
      <c r="B2185" s="10">
        <v>29</v>
      </c>
      <c r="C2185" s="1" t="str">
        <f ca="1" t="shared" si="633"/>
        <v/>
      </c>
      <c r="D2185" s="15">
        <f ca="1">'213_主题活动'!E50</f>
        <v>0</v>
      </c>
      <c r="E2185" s="1" t="str">
        <f ca="1" t="shared" si="634"/>
        <v/>
      </c>
      <c r="F2185" s="1">
        <f ca="1" t="shared" si="635"/>
        <v>0</v>
      </c>
    </row>
    <row r="2186" spans="2:6">
      <c r="B2186" s="10">
        <v>30</v>
      </c>
      <c r="C2186" s="1">
        <f ca="1" t="shared" si="633"/>
        <v>150</v>
      </c>
      <c r="D2186" s="15">
        <f ca="1">'213_主题活动'!E51</f>
        <v>0</v>
      </c>
      <c r="E2186" s="1">
        <f ca="1" t="shared" si="634"/>
        <v>150</v>
      </c>
      <c r="F2186" s="1">
        <f ca="1" t="shared" si="635"/>
        <v>0</v>
      </c>
    </row>
    <row r="2187" spans="2:6">
      <c r="B2187" s="11">
        <v>35</v>
      </c>
      <c r="C2187" s="1">
        <f ca="1" t="shared" si="633"/>
        <v>600</v>
      </c>
      <c r="D2187" s="15">
        <f ca="1">'213_主题活动'!E52</f>
        <v>500</v>
      </c>
      <c r="E2187" s="1">
        <f ca="1" t="shared" si="634"/>
        <v>600</v>
      </c>
      <c r="F2187" s="1">
        <f ca="1" t="shared" si="635"/>
        <v>500</v>
      </c>
    </row>
    <row r="2188" spans="2:6">
      <c r="B2188" s="11">
        <v>40</v>
      </c>
      <c r="C2188" s="1">
        <f ca="1" t="shared" si="633"/>
        <v>800</v>
      </c>
      <c r="D2188" s="15">
        <f ca="1">'213_主题活动'!E53</f>
        <v>1000</v>
      </c>
      <c r="E2188" s="1">
        <f ca="1" t="shared" si="634"/>
        <v>800</v>
      </c>
      <c r="F2188" s="1">
        <f ca="1" t="shared" si="635"/>
        <v>1000</v>
      </c>
    </row>
    <row r="2189" spans="2:6">
      <c r="B2189" s="11">
        <v>45</v>
      </c>
      <c r="C2189" s="1">
        <f ca="1" t="shared" si="633"/>
        <v>1900</v>
      </c>
      <c r="D2189" s="15">
        <f ca="1">'213_主题活动'!E54</f>
        <v>1500</v>
      </c>
      <c r="E2189" s="1">
        <f ca="1" t="shared" si="634"/>
        <v>1900</v>
      </c>
      <c r="F2189" s="1">
        <f ca="1" t="shared" si="635"/>
        <v>1500</v>
      </c>
    </row>
    <row r="2190" spans="2:6">
      <c r="B2190" s="11">
        <v>50</v>
      </c>
      <c r="C2190" s="1" t="str">
        <f ca="1" t="shared" si="633"/>
        <v/>
      </c>
      <c r="D2190" s="15">
        <f ca="1">'213_主题活动'!E55</f>
        <v>2500</v>
      </c>
      <c r="E2190" s="1" t="str">
        <f ca="1" t="shared" si="634"/>
        <v/>
      </c>
      <c r="F2190" s="1">
        <f ca="1" t="shared" si="635"/>
        <v>2500</v>
      </c>
    </row>
    <row r="2191" spans="2:6">
      <c r="B2191" s="11">
        <v>55</v>
      </c>
      <c r="C2191" s="1" t="str">
        <f ca="1" t="shared" si="633"/>
        <v/>
      </c>
      <c r="D2191" s="15">
        <f ca="1">'213_主题活动'!E56</f>
        <v>3500</v>
      </c>
      <c r="E2191" s="1" t="str">
        <f ca="1" t="shared" si="634"/>
        <v/>
      </c>
      <c r="F2191" s="1">
        <f ca="1" t="shared" si="635"/>
        <v>3500</v>
      </c>
    </row>
    <row r="2192" spans="2:6">
      <c r="B2192" s="11">
        <v>60</v>
      </c>
      <c r="C2192" s="1">
        <f ca="1" t="shared" si="633"/>
        <v>4100</v>
      </c>
      <c r="D2192" s="15">
        <f ca="1">'213_主题活动'!E57</f>
        <v>4500</v>
      </c>
      <c r="E2192" s="1">
        <f ca="1" t="shared" si="634"/>
        <v>4100</v>
      </c>
      <c r="F2192" s="1">
        <f ca="1" t="shared" si="635"/>
        <v>4500</v>
      </c>
    </row>
    <row r="2193" spans="2:6">
      <c r="B2193" s="11">
        <v>65</v>
      </c>
      <c r="C2193" s="1" t="str">
        <f ca="1" t="shared" si="633"/>
        <v/>
      </c>
      <c r="D2193" s="15">
        <f ca="1">'213_主题活动'!E58</f>
        <v>5500</v>
      </c>
      <c r="E2193" s="1" t="str">
        <f ca="1" t="shared" si="634"/>
        <v/>
      </c>
      <c r="F2193" s="1">
        <f ca="1" t="shared" si="635"/>
        <v>5500</v>
      </c>
    </row>
    <row r="2194" spans="2:6">
      <c r="B2194" s="11">
        <v>70</v>
      </c>
      <c r="C2194" s="1">
        <f ca="1" t="shared" si="633"/>
        <v>7400</v>
      </c>
      <c r="D2194" s="15">
        <f ca="1">'213_主题活动'!E59</f>
        <v>6500</v>
      </c>
      <c r="E2194" s="1">
        <f ca="1" t="shared" si="634"/>
        <v>7400</v>
      </c>
      <c r="F2194" s="1">
        <f ca="1" t="shared" si="635"/>
        <v>6500</v>
      </c>
    </row>
    <row r="2195" spans="2:6">
      <c r="B2195" s="11">
        <v>75</v>
      </c>
      <c r="C2195" s="1">
        <f ca="1" t="shared" si="633"/>
        <v>8400</v>
      </c>
      <c r="D2195" s="15">
        <f ca="1">'213_主题活动'!E60</f>
        <v>7500</v>
      </c>
      <c r="E2195" s="1">
        <f ca="1" t="shared" si="634"/>
        <v>8400</v>
      </c>
      <c r="F2195" s="1">
        <f ca="1" t="shared" si="635"/>
        <v>7500</v>
      </c>
    </row>
    <row r="2196" spans="2:6">
      <c r="B2196" s="11">
        <v>80</v>
      </c>
      <c r="C2196" s="1" t="str">
        <f ca="1" t="shared" si="633"/>
        <v/>
      </c>
      <c r="D2196" s="15">
        <f ca="1">'213_主题活动'!E61</f>
        <v>8500</v>
      </c>
      <c r="E2196" s="1" t="str">
        <f ca="1" t="shared" si="634"/>
        <v/>
      </c>
      <c r="F2196" s="1">
        <f ca="1" t="shared" si="635"/>
        <v>8500</v>
      </c>
    </row>
    <row r="2197" spans="2:6">
      <c r="B2197" s="11">
        <v>85</v>
      </c>
      <c r="C2197" s="1" t="str">
        <f ca="1" t="shared" si="633"/>
        <v/>
      </c>
      <c r="D2197" s="15">
        <f ca="1">'213_主题活动'!E62</f>
        <v>9500</v>
      </c>
      <c r="E2197" s="1" t="str">
        <f ca="1" t="shared" si="634"/>
        <v/>
      </c>
      <c r="F2197" s="1">
        <f ca="1" t="shared" si="635"/>
        <v>9500</v>
      </c>
    </row>
    <row r="2198" spans="2:6">
      <c r="B2198" s="11">
        <v>90</v>
      </c>
      <c r="C2198" s="1" t="str">
        <f ca="1" t="shared" si="633"/>
        <v/>
      </c>
      <c r="D2198" s="15">
        <f ca="1">'213_主题活动'!E63</f>
        <v>10500</v>
      </c>
      <c r="E2198" s="1" t="str">
        <f ca="1" t="shared" si="634"/>
        <v/>
      </c>
      <c r="F2198" s="1">
        <f ca="1" t="shared" si="635"/>
        <v>10500</v>
      </c>
    </row>
    <row r="2199" spans="2:6">
      <c r="B2199" s="11">
        <v>95</v>
      </c>
      <c r="C2199" s="1">
        <f ca="1" t="shared" si="633"/>
        <v>13900</v>
      </c>
      <c r="D2199" s="15">
        <f ca="1">'213_主题活动'!E64</f>
        <v>11500</v>
      </c>
      <c r="E2199" s="1">
        <f ca="1" t="shared" si="634"/>
        <v>13900</v>
      </c>
      <c r="F2199" s="1">
        <f ca="1" t="shared" si="635"/>
        <v>11500</v>
      </c>
    </row>
    <row r="2200" spans="2:6">
      <c r="B2200" s="11">
        <v>100</v>
      </c>
      <c r="C2200" s="1" t="str">
        <f ca="1" t="shared" si="633"/>
        <v/>
      </c>
      <c r="D2200" s="15">
        <f ca="1">'213_主题活动'!E65</f>
        <v>12500</v>
      </c>
      <c r="E2200" s="1" t="str">
        <f ca="1" t="shared" si="634"/>
        <v/>
      </c>
      <c r="F2200" s="1">
        <f ca="1" t="shared" si="635"/>
        <v>12500</v>
      </c>
    </row>
    <row r="2201" spans="2:6">
      <c r="B2201" s="11">
        <v>105</v>
      </c>
      <c r="C2201" s="1" t="str">
        <f ca="1" t="shared" si="633"/>
        <v/>
      </c>
      <c r="D2201" s="15">
        <f ca="1">'213_主题活动'!E66</f>
        <v>13500</v>
      </c>
      <c r="E2201" s="1" t="str">
        <f ca="1" t="shared" si="634"/>
        <v/>
      </c>
      <c r="F2201" s="1">
        <f ca="1" t="shared" si="635"/>
        <v>13500</v>
      </c>
    </row>
    <row r="2202" spans="2:6">
      <c r="B2202" s="11">
        <v>110</v>
      </c>
      <c r="C2202" s="1">
        <f ca="1" t="shared" si="633"/>
        <v>16650</v>
      </c>
      <c r="D2202" s="15">
        <f ca="1">'213_主题活动'!E67</f>
        <v>14500</v>
      </c>
      <c r="E2202" s="1">
        <f ca="1" t="shared" si="634"/>
        <v>16650</v>
      </c>
      <c r="F2202" s="1">
        <f ca="1" t="shared" si="635"/>
        <v>14500</v>
      </c>
    </row>
    <row r="2203" spans="2:6">
      <c r="B2203" s="11">
        <v>115</v>
      </c>
      <c r="C2203" s="1" t="str">
        <f ca="1" t="shared" si="633"/>
        <v/>
      </c>
      <c r="D2203" s="15">
        <f ca="1">'213_主题活动'!E68</f>
        <v>15500</v>
      </c>
      <c r="E2203" s="1" t="str">
        <f ca="1" t="shared" si="634"/>
        <v/>
      </c>
      <c r="F2203" s="1">
        <f ca="1" t="shared" si="635"/>
        <v>15500</v>
      </c>
    </row>
    <row r="2204" spans="2:6">
      <c r="B2204" s="11">
        <v>120</v>
      </c>
      <c r="C2204" s="1" t="str">
        <f ca="1" t="shared" si="633"/>
        <v/>
      </c>
      <c r="D2204" s="15">
        <f ca="1">'213_主题活动'!E69</f>
        <v>16500</v>
      </c>
      <c r="E2204" s="1" t="str">
        <f ca="1" t="shared" si="634"/>
        <v/>
      </c>
      <c r="F2204" s="1">
        <f ca="1" t="shared" si="635"/>
        <v>16500</v>
      </c>
    </row>
    <row r="2205" spans="2:6">
      <c r="B2205" s="12">
        <v>150</v>
      </c>
      <c r="C2205" s="1">
        <f ca="1" t="shared" ref="C2205:C2212" si="636">D2288</f>
        <v>24900</v>
      </c>
      <c r="D2205" s="15">
        <f ca="1">'213_主题活动'!E70</f>
        <v>22500</v>
      </c>
      <c r="E2205" s="1">
        <f ca="1" t="shared" ref="E2205:E2212" si="637">C2205</f>
        <v>24900</v>
      </c>
      <c r="F2205" s="1">
        <f ca="1" t="shared" ref="F2205:F2212" si="638">SUM(D2205:D2205)</f>
        <v>22500</v>
      </c>
    </row>
    <row r="2206" spans="2:6">
      <c r="B2206" s="12">
        <v>180</v>
      </c>
      <c r="C2206" s="1">
        <f ca="1" t="shared" si="636"/>
        <v>28900</v>
      </c>
      <c r="D2206" s="15">
        <f ca="1">'213_主题活动'!E71</f>
        <v>28500</v>
      </c>
      <c r="E2206" s="1">
        <f ca="1" t="shared" si="637"/>
        <v>28900</v>
      </c>
      <c r="F2206" s="1">
        <f ca="1" t="shared" si="638"/>
        <v>28500</v>
      </c>
    </row>
    <row r="2207" spans="2:6">
      <c r="B2207" s="12">
        <v>210</v>
      </c>
      <c r="C2207" s="1" t="str">
        <f ca="1" t="shared" si="636"/>
        <v/>
      </c>
      <c r="D2207" s="15">
        <f ca="1">'213_主题活动'!E72</f>
        <v>34500</v>
      </c>
      <c r="E2207" s="1" t="str">
        <f ca="1" t="shared" si="637"/>
        <v/>
      </c>
      <c r="F2207" s="1">
        <f ca="1" t="shared" si="638"/>
        <v>34500</v>
      </c>
    </row>
    <row r="2208" spans="2:6">
      <c r="B2208" s="12">
        <v>240</v>
      </c>
      <c r="C2208" s="1" t="str">
        <f ca="1" t="shared" si="636"/>
        <v/>
      </c>
      <c r="D2208" s="15">
        <f ca="1">'213_主题活动'!E73</f>
        <v>40500</v>
      </c>
      <c r="E2208" s="1" t="str">
        <f ca="1" t="shared" si="637"/>
        <v/>
      </c>
      <c r="F2208" s="1">
        <f ca="1" t="shared" si="638"/>
        <v>40500</v>
      </c>
    </row>
    <row r="2209" spans="2:6">
      <c r="B2209" s="12">
        <v>270</v>
      </c>
      <c r="C2209" s="1" t="str">
        <f ca="1" t="shared" si="636"/>
        <v/>
      </c>
      <c r="D2209" s="15">
        <f ca="1">'213_主题活动'!E74</f>
        <v>46500</v>
      </c>
      <c r="E2209" s="1" t="str">
        <f ca="1" t="shared" si="637"/>
        <v/>
      </c>
      <c r="F2209" s="1">
        <f ca="1" t="shared" si="638"/>
        <v>46500</v>
      </c>
    </row>
    <row r="2210" spans="2:6">
      <c r="B2210" s="12">
        <v>300</v>
      </c>
      <c r="C2210" s="1" t="str">
        <f ca="1" t="shared" si="636"/>
        <v/>
      </c>
      <c r="D2210" s="15">
        <f ca="1">'213_主题活动'!E75</f>
        <v>52500</v>
      </c>
      <c r="E2210" s="1" t="str">
        <f ca="1" t="shared" si="637"/>
        <v/>
      </c>
      <c r="F2210" s="1">
        <f ca="1" t="shared" si="638"/>
        <v>52500</v>
      </c>
    </row>
    <row r="2211" spans="2:6">
      <c r="B2211" s="12">
        <v>330</v>
      </c>
      <c r="C2211" s="1" t="str">
        <f ca="1" t="shared" si="636"/>
        <v/>
      </c>
      <c r="D2211" s="15">
        <f ca="1">'213_主题活动'!E76</f>
        <v>58500</v>
      </c>
      <c r="E2211" s="1" t="str">
        <f ca="1" t="shared" si="637"/>
        <v/>
      </c>
      <c r="F2211" s="1">
        <f ca="1" t="shared" si="638"/>
        <v>58500</v>
      </c>
    </row>
    <row r="2212" spans="2:6">
      <c r="B2212" s="12">
        <v>360</v>
      </c>
      <c r="C2212" s="1" t="str">
        <f ca="1" t="shared" si="636"/>
        <v/>
      </c>
      <c r="D2212" s="15">
        <f ca="1">'213_主题活动'!E77</f>
        <v>64500</v>
      </c>
      <c r="E2212" s="1" t="str">
        <f ca="1" t="shared" si="637"/>
        <v/>
      </c>
      <c r="F2212" s="1">
        <f ca="1" t="shared" si="638"/>
        <v>64500</v>
      </c>
    </row>
    <row r="2214" spans="2:12">
      <c r="B2214" s="27" t="s">
        <v>1267</v>
      </c>
      <c r="C2214" s="27"/>
      <c r="D2214" s="27"/>
      <c r="E2214" s="27"/>
      <c r="F2214" s="27"/>
      <c r="G2214" s="27"/>
      <c r="H2214" s="27"/>
      <c r="I2214" s="27"/>
      <c r="J2214" s="27"/>
      <c r="K2214" s="27"/>
      <c r="L2214" s="27"/>
    </row>
    <row r="2216" spans="2:10">
      <c r="B2216" s="1" t="s">
        <v>1268</v>
      </c>
      <c r="C2216" s="32"/>
      <c r="D2216" s="32" t="s">
        <v>450</v>
      </c>
      <c r="E2216" s="30">
        <v>1000</v>
      </c>
      <c r="F2216" s="1" t="s">
        <v>761</v>
      </c>
      <c r="I2216" s="32"/>
      <c r="J2216" s="32"/>
    </row>
    <row r="2217" spans="3:10">
      <c r="C2217" s="32"/>
      <c r="D2217" s="32"/>
      <c r="E2217" s="83"/>
      <c r="I2217" s="32"/>
      <c r="J2217" s="32"/>
    </row>
    <row r="2219" s="25" customFormat="1" spans="1:5">
      <c r="A2219" s="2" t="s">
        <v>473</v>
      </c>
      <c r="B2219" s="2"/>
      <c r="C2219" s="41" t="s">
        <v>436</v>
      </c>
      <c r="E2219" s="26" t="s">
        <v>1269</v>
      </c>
    </row>
    <row r="2221" spans="2:12">
      <c r="B2221" s="27" t="s">
        <v>1270</v>
      </c>
      <c r="C2221" s="27"/>
      <c r="D2221" s="27"/>
      <c r="E2221" s="27"/>
      <c r="F2221" s="27"/>
      <c r="G2221" s="27"/>
      <c r="H2221" s="27"/>
      <c r="I2221" s="27"/>
      <c r="J2221" s="27"/>
      <c r="K2221" s="27"/>
      <c r="L2221" s="27"/>
    </row>
    <row r="2223" spans="2:7">
      <c r="B2223" s="1" t="s">
        <v>382</v>
      </c>
      <c r="C2223" s="1" t="s">
        <v>1271</v>
      </c>
      <c r="D2223" s="5" t="s">
        <v>1272</v>
      </c>
      <c r="E2223" s="5" t="s">
        <v>864</v>
      </c>
      <c r="F2223" s="5" t="s">
        <v>863</v>
      </c>
      <c r="G2223" s="15" t="s">
        <v>779</v>
      </c>
    </row>
    <row r="2224" spans="2:7">
      <c r="B2224" s="7">
        <v>0</v>
      </c>
      <c r="C2224" s="30"/>
      <c r="D2224" s="5" t="str">
        <f ca="1" t="shared" ref="D2224:D2255" si="639">IFERROR(OFFSET($D$2300,MATCH(C2224,$B$2300:$B$2310,0)-1,0),"")</f>
        <v/>
      </c>
      <c r="E2224" s="5" t="str">
        <f ca="1" t="shared" ref="E2224:E2255" si="640">IFERROR(OFFSET($F$2300,MATCH(C2224,$B$2300:$B$2310,0)-1,0),"")</f>
        <v/>
      </c>
      <c r="F2224" s="5" t="str">
        <f ca="1" t="shared" ref="F2224:F2255" si="641">IFERROR(OFFSET($H$2300,MATCH(C2224,$B$2300:$B$2310,0)-1,0),"")</f>
        <v/>
      </c>
      <c r="G2224" s="84">
        <f ca="1" t="shared" ref="G2224:G2255" si="642">M198</f>
        <v>0</v>
      </c>
    </row>
    <row r="2225" spans="2:7">
      <c r="B2225" s="7">
        <v>0.1</v>
      </c>
      <c r="C2225" s="30"/>
      <c r="D2225" s="5" t="str">
        <f ca="1" t="shared" si="639"/>
        <v/>
      </c>
      <c r="E2225" s="5" t="str">
        <f ca="1" t="shared" si="640"/>
        <v/>
      </c>
      <c r="F2225" s="5" t="str">
        <f ca="1" t="shared" si="641"/>
        <v/>
      </c>
      <c r="G2225" s="84">
        <f ca="1" t="shared" si="642"/>
        <v>0</v>
      </c>
    </row>
    <row r="2226" spans="2:7">
      <c r="B2226" s="7">
        <v>0.2</v>
      </c>
      <c r="C2226" s="30"/>
      <c r="D2226" s="5" t="str">
        <f ca="1" t="shared" si="639"/>
        <v/>
      </c>
      <c r="E2226" s="5" t="str">
        <f ca="1" t="shared" si="640"/>
        <v/>
      </c>
      <c r="F2226" s="5" t="str">
        <f ca="1" t="shared" si="641"/>
        <v/>
      </c>
      <c r="G2226" s="84">
        <f ca="1" t="shared" si="642"/>
        <v>0.005</v>
      </c>
    </row>
    <row r="2227" spans="2:7">
      <c r="B2227" s="7">
        <v>0.3</v>
      </c>
      <c r="C2227" s="30"/>
      <c r="D2227" s="5" t="str">
        <f ca="1" t="shared" si="639"/>
        <v/>
      </c>
      <c r="E2227" s="5" t="str">
        <f ca="1" t="shared" si="640"/>
        <v/>
      </c>
      <c r="F2227" s="5" t="str">
        <f ca="1" t="shared" si="641"/>
        <v/>
      </c>
      <c r="G2227" s="84">
        <f ca="1" t="shared" si="642"/>
        <v>0.01</v>
      </c>
    </row>
    <row r="2228" spans="2:7">
      <c r="B2228" s="7">
        <v>0.4</v>
      </c>
      <c r="C2228" s="30"/>
      <c r="D2228" s="5" t="str">
        <f ca="1" t="shared" si="639"/>
        <v/>
      </c>
      <c r="E2228" s="5" t="str">
        <f ca="1" t="shared" si="640"/>
        <v/>
      </c>
      <c r="F2228" s="5" t="str">
        <f ca="1" t="shared" si="641"/>
        <v/>
      </c>
      <c r="G2228" s="84">
        <f ca="1" t="shared" si="642"/>
        <v>0.015</v>
      </c>
    </row>
    <row r="2229" spans="2:7">
      <c r="B2229" s="7">
        <v>0.5</v>
      </c>
      <c r="C2229" s="30"/>
      <c r="D2229" s="5" t="str">
        <f ca="1" t="shared" si="639"/>
        <v/>
      </c>
      <c r="E2229" s="5" t="str">
        <f ca="1" t="shared" si="640"/>
        <v/>
      </c>
      <c r="F2229" s="5" t="str">
        <f ca="1" t="shared" si="641"/>
        <v/>
      </c>
      <c r="G2229" s="84">
        <f ca="1" t="shared" si="642"/>
        <v>0.07</v>
      </c>
    </row>
    <row r="2230" spans="2:7">
      <c r="B2230" s="7">
        <v>0.6</v>
      </c>
      <c r="C2230" s="30"/>
      <c r="D2230" s="5" t="str">
        <f ca="1" t="shared" si="639"/>
        <v/>
      </c>
      <c r="E2230" s="5" t="str">
        <f ca="1" t="shared" si="640"/>
        <v/>
      </c>
      <c r="F2230" s="5" t="str">
        <f ca="1" t="shared" si="641"/>
        <v/>
      </c>
      <c r="G2230" s="84">
        <f ca="1" t="shared" si="642"/>
        <v>0.075</v>
      </c>
    </row>
    <row r="2231" spans="2:7">
      <c r="B2231" s="7">
        <v>0.7</v>
      </c>
      <c r="C2231" s="30"/>
      <c r="D2231" s="5" t="str">
        <f ca="1" t="shared" si="639"/>
        <v/>
      </c>
      <c r="E2231" s="5" t="str">
        <f ca="1" t="shared" si="640"/>
        <v/>
      </c>
      <c r="F2231" s="5" t="str">
        <f ca="1" t="shared" si="641"/>
        <v/>
      </c>
      <c r="G2231" s="84">
        <f ca="1" t="shared" si="642"/>
        <v>0.075</v>
      </c>
    </row>
    <row r="2232" spans="2:7">
      <c r="B2232" s="7">
        <v>0.8</v>
      </c>
      <c r="C2232" s="30"/>
      <c r="D2232" s="5" t="str">
        <f ca="1" t="shared" si="639"/>
        <v/>
      </c>
      <c r="E2232" s="5" t="str">
        <f ca="1" t="shared" si="640"/>
        <v/>
      </c>
      <c r="F2232" s="5" t="str">
        <f ca="1" t="shared" si="641"/>
        <v/>
      </c>
      <c r="G2232" s="84">
        <f ca="1" t="shared" si="642"/>
        <v>0.08</v>
      </c>
    </row>
    <row r="2233" spans="2:7">
      <c r="B2233" s="7">
        <v>0.9</v>
      </c>
      <c r="C2233" s="30"/>
      <c r="D2233" s="5" t="str">
        <f ca="1" t="shared" si="639"/>
        <v/>
      </c>
      <c r="E2233" s="5" t="str">
        <f ca="1" t="shared" si="640"/>
        <v/>
      </c>
      <c r="F2233" s="5" t="str">
        <f ca="1" t="shared" si="641"/>
        <v/>
      </c>
      <c r="G2233" s="84">
        <f ca="1" t="shared" si="642"/>
        <v>0.08</v>
      </c>
    </row>
    <row r="2234" spans="2:7">
      <c r="B2234" s="7">
        <v>1</v>
      </c>
      <c r="C2234" s="30"/>
      <c r="D2234" s="5" t="str">
        <f ca="1" t="shared" si="639"/>
        <v/>
      </c>
      <c r="E2234" s="5" t="str">
        <f ca="1" t="shared" si="640"/>
        <v/>
      </c>
      <c r="F2234" s="5" t="str">
        <f ca="1" t="shared" si="641"/>
        <v/>
      </c>
      <c r="G2234" s="84">
        <f ca="1" t="shared" si="642"/>
        <v>0.085</v>
      </c>
    </row>
    <row r="2235" spans="2:7">
      <c r="B2235" s="9">
        <v>1.5</v>
      </c>
      <c r="C2235" s="30"/>
      <c r="D2235" s="5" t="str">
        <f ca="1" t="shared" si="639"/>
        <v/>
      </c>
      <c r="E2235" s="5" t="str">
        <f ca="1" t="shared" si="640"/>
        <v/>
      </c>
      <c r="F2235" s="5" t="str">
        <f ca="1" t="shared" si="641"/>
        <v/>
      </c>
      <c r="G2235" s="84">
        <f ca="1" t="shared" si="642"/>
        <v>0.09</v>
      </c>
    </row>
    <row r="2236" spans="2:7">
      <c r="B2236" s="9">
        <v>2</v>
      </c>
      <c r="C2236" s="30"/>
      <c r="D2236" s="5" t="str">
        <f ca="1" t="shared" si="639"/>
        <v/>
      </c>
      <c r="E2236" s="5" t="str">
        <f ca="1" t="shared" si="640"/>
        <v/>
      </c>
      <c r="F2236" s="5" t="str">
        <f ca="1" t="shared" si="641"/>
        <v/>
      </c>
      <c r="G2236" s="84">
        <f ca="1" t="shared" si="642"/>
        <v>0.095</v>
      </c>
    </row>
    <row r="2237" spans="2:7">
      <c r="B2237" s="9">
        <v>2.5</v>
      </c>
      <c r="C2237" s="30"/>
      <c r="D2237" s="5" t="str">
        <f ca="1" t="shared" si="639"/>
        <v/>
      </c>
      <c r="E2237" s="5" t="str">
        <f ca="1" t="shared" si="640"/>
        <v/>
      </c>
      <c r="F2237" s="5" t="str">
        <f ca="1" t="shared" si="641"/>
        <v/>
      </c>
      <c r="G2237" s="84">
        <f ca="1" t="shared" si="642"/>
        <v>0.1</v>
      </c>
    </row>
    <row r="2238" spans="2:7">
      <c r="B2238" s="9">
        <v>3</v>
      </c>
      <c r="C2238" s="30"/>
      <c r="D2238" s="5" t="str">
        <f ca="1" t="shared" si="639"/>
        <v/>
      </c>
      <c r="E2238" s="5" t="str">
        <f ca="1" t="shared" si="640"/>
        <v/>
      </c>
      <c r="F2238" s="5" t="str">
        <f ca="1" t="shared" si="641"/>
        <v/>
      </c>
      <c r="G2238" s="84">
        <f ca="1" t="shared" si="642"/>
        <v>0.105</v>
      </c>
    </row>
    <row r="2239" spans="2:7">
      <c r="B2239" s="9">
        <v>3.5</v>
      </c>
      <c r="C2239" s="30"/>
      <c r="D2239" s="5" t="str">
        <f ca="1" t="shared" si="639"/>
        <v/>
      </c>
      <c r="E2239" s="5" t="str">
        <f ca="1" t="shared" si="640"/>
        <v/>
      </c>
      <c r="F2239" s="5" t="str">
        <f ca="1" t="shared" si="641"/>
        <v/>
      </c>
      <c r="G2239" s="84">
        <f ca="1" t="shared" si="642"/>
        <v>0.105</v>
      </c>
    </row>
    <row r="2240" spans="2:7">
      <c r="B2240" s="9">
        <v>4</v>
      </c>
      <c r="C2240" s="30"/>
      <c r="D2240" s="5" t="str">
        <f ca="1" t="shared" si="639"/>
        <v/>
      </c>
      <c r="E2240" s="5" t="str">
        <f ca="1" t="shared" si="640"/>
        <v/>
      </c>
      <c r="F2240" s="5" t="str">
        <f ca="1" t="shared" si="641"/>
        <v/>
      </c>
      <c r="G2240" s="84">
        <f ca="1" t="shared" si="642"/>
        <v>0.11</v>
      </c>
    </row>
    <row r="2241" spans="2:7">
      <c r="B2241" s="9">
        <v>4.5</v>
      </c>
      <c r="C2241" s="30"/>
      <c r="D2241" s="5" t="str">
        <f ca="1" t="shared" si="639"/>
        <v/>
      </c>
      <c r="E2241" s="5" t="str">
        <f ca="1" t="shared" si="640"/>
        <v/>
      </c>
      <c r="F2241" s="5" t="str">
        <f ca="1" t="shared" si="641"/>
        <v/>
      </c>
      <c r="G2241" s="84">
        <f ca="1" t="shared" si="642"/>
        <v>0.11</v>
      </c>
    </row>
    <row r="2242" spans="2:7">
      <c r="B2242" s="9">
        <v>5</v>
      </c>
      <c r="C2242" s="30"/>
      <c r="D2242" s="5" t="str">
        <f ca="1" t="shared" si="639"/>
        <v/>
      </c>
      <c r="E2242" s="5" t="str">
        <f ca="1" t="shared" si="640"/>
        <v/>
      </c>
      <c r="F2242" s="5" t="str">
        <f ca="1" t="shared" si="641"/>
        <v/>
      </c>
      <c r="G2242" s="84">
        <f ca="1" t="shared" si="642"/>
        <v>0.115</v>
      </c>
    </row>
    <row r="2243" spans="2:7">
      <c r="B2243" s="9">
        <v>5.5</v>
      </c>
      <c r="C2243" s="30"/>
      <c r="D2243" s="5" t="str">
        <f ca="1" t="shared" si="639"/>
        <v/>
      </c>
      <c r="E2243" s="5" t="str">
        <f ca="1" t="shared" si="640"/>
        <v/>
      </c>
      <c r="F2243" s="5" t="str">
        <f ca="1" t="shared" si="641"/>
        <v/>
      </c>
      <c r="G2243" s="84">
        <f ca="1" t="shared" si="642"/>
        <v>0.115</v>
      </c>
    </row>
    <row r="2244" spans="2:7">
      <c r="B2244" s="9">
        <v>6</v>
      </c>
      <c r="C2244" s="30"/>
      <c r="D2244" s="5" t="str">
        <f ca="1" t="shared" si="639"/>
        <v/>
      </c>
      <c r="E2244" s="5" t="str">
        <f ca="1" t="shared" si="640"/>
        <v/>
      </c>
      <c r="F2244" s="5" t="str">
        <f ca="1" t="shared" si="641"/>
        <v/>
      </c>
      <c r="G2244" s="84">
        <f ca="1" t="shared" si="642"/>
        <v>0.115</v>
      </c>
    </row>
    <row r="2245" spans="2:7">
      <c r="B2245" s="9">
        <v>6.5</v>
      </c>
      <c r="C2245" s="30"/>
      <c r="D2245" s="5" t="str">
        <f ca="1" t="shared" si="639"/>
        <v/>
      </c>
      <c r="E2245" s="5" t="str">
        <f ca="1" t="shared" si="640"/>
        <v/>
      </c>
      <c r="F2245" s="5" t="str">
        <f ca="1" t="shared" si="641"/>
        <v/>
      </c>
      <c r="G2245" s="84">
        <f ca="1" t="shared" si="642"/>
        <v>0.115</v>
      </c>
    </row>
    <row r="2246" spans="2:7">
      <c r="B2246" s="9">
        <v>7</v>
      </c>
      <c r="C2246" s="30"/>
      <c r="D2246" s="5" t="str">
        <f ca="1" t="shared" si="639"/>
        <v/>
      </c>
      <c r="E2246" s="5" t="str">
        <f ca="1" t="shared" si="640"/>
        <v/>
      </c>
      <c r="F2246" s="5" t="str">
        <f ca="1" t="shared" si="641"/>
        <v/>
      </c>
      <c r="G2246" s="84">
        <f ca="1" t="shared" si="642"/>
        <v>0.12</v>
      </c>
    </row>
    <row r="2247" spans="2:7">
      <c r="B2247" s="10">
        <v>8</v>
      </c>
      <c r="C2247" s="30"/>
      <c r="D2247" s="5" t="str">
        <f ca="1" t="shared" si="639"/>
        <v/>
      </c>
      <c r="E2247" s="5" t="str">
        <f ca="1" t="shared" si="640"/>
        <v/>
      </c>
      <c r="F2247" s="5" t="str">
        <f ca="1" t="shared" si="641"/>
        <v/>
      </c>
      <c r="G2247" s="84">
        <f ca="1" t="shared" si="642"/>
        <v>0.12</v>
      </c>
    </row>
    <row r="2248" spans="2:7">
      <c r="B2248" s="10">
        <v>9</v>
      </c>
      <c r="C2248" s="30"/>
      <c r="D2248" s="5" t="str">
        <f ca="1" t="shared" si="639"/>
        <v/>
      </c>
      <c r="E2248" s="5" t="str">
        <f ca="1" t="shared" si="640"/>
        <v/>
      </c>
      <c r="F2248" s="5" t="str">
        <f ca="1" t="shared" si="641"/>
        <v/>
      </c>
      <c r="G2248" s="84">
        <f ca="1" t="shared" si="642"/>
        <v>0.125</v>
      </c>
    </row>
    <row r="2249" spans="2:7">
      <c r="B2249" s="10">
        <v>10</v>
      </c>
      <c r="C2249" s="30"/>
      <c r="D2249" s="5" t="str">
        <f ca="1" t="shared" si="639"/>
        <v/>
      </c>
      <c r="E2249" s="5" t="str">
        <f ca="1" t="shared" si="640"/>
        <v/>
      </c>
      <c r="F2249" s="5" t="str">
        <f ca="1" t="shared" si="641"/>
        <v/>
      </c>
      <c r="G2249" s="84">
        <f ca="1" t="shared" si="642"/>
        <v>0.125</v>
      </c>
    </row>
    <row r="2250" spans="2:7">
      <c r="B2250" s="10">
        <v>11</v>
      </c>
      <c r="C2250" s="30"/>
      <c r="D2250" s="5" t="str">
        <f ca="1" t="shared" si="639"/>
        <v/>
      </c>
      <c r="E2250" s="5" t="str">
        <f ca="1" t="shared" si="640"/>
        <v/>
      </c>
      <c r="F2250" s="5" t="str">
        <f ca="1" t="shared" si="641"/>
        <v/>
      </c>
      <c r="G2250" s="84">
        <f ca="1" t="shared" si="642"/>
        <v>0.13</v>
      </c>
    </row>
    <row r="2251" spans="2:7">
      <c r="B2251" s="10">
        <v>12</v>
      </c>
      <c r="C2251" s="30"/>
      <c r="D2251" s="5" t="str">
        <f ca="1" t="shared" si="639"/>
        <v/>
      </c>
      <c r="E2251" s="5" t="str">
        <f ca="1" t="shared" si="640"/>
        <v/>
      </c>
      <c r="F2251" s="5" t="str">
        <f ca="1" t="shared" si="641"/>
        <v/>
      </c>
      <c r="G2251" s="84">
        <f ca="1" t="shared" si="642"/>
        <v>0.13</v>
      </c>
    </row>
    <row r="2252" spans="2:7">
      <c r="B2252" s="10">
        <v>13</v>
      </c>
      <c r="C2252" s="30"/>
      <c r="D2252" s="5" t="str">
        <f ca="1" t="shared" si="639"/>
        <v/>
      </c>
      <c r="E2252" s="5" t="str">
        <f ca="1" t="shared" si="640"/>
        <v/>
      </c>
      <c r="F2252" s="5" t="str">
        <f ca="1" t="shared" si="641"/>
        <v/>
      </c>
      <c r="G2252" s="84">
        <f ca="1" t="shared" si="642"/>
        <v>0.13</v>
      </c>
    </row>
    <row r="2253" spans="2:7">
      <c r="B2253" s="10">
        <v>14</v>
      </c>
      <c r="C2253" s="30"/>
      <c r="D2253" s="5" t="str">
        <f ca="1" t="shared" si="639"/>
        <v/>
      </c>
      <c r="E2253" s="5" t="str">
        <f ca="1" t="shared" si="640"/>
        <v/>
      </c>
      <c r="F2253" s="5" t="str">
        <f ca="1" t="shared" si="641"/>
        <v/>
      </c>
      <c r="G2253" s="84">
        <f ca="1" t="shared" si="642"/>
        <v>0.135</v>
      </c>
    </row>
    <row r="2254" spans="2:7">
      <c r="B2254" s="10">
        <v>15</v>
      </c>
      <c r="C2254" s="30"/>
      <c r="D2254" s="5" t="str">
        <f ca="1" t="shared" si="639"/>
        <v/>
      </c>
      <c r="E2254" s="5" t="str">
        <f ca="1" t="shared" si="640"/>
        <v/>
      </c>
      <c r="F2254" s="5" t="str">
        <f ca="1" t="shared" si="641"/>
        <v/>
      </c>
      <c r="G2254" s="84">
        <f ca="1" t="shared" si="642"/>
        <v>0.135</v>
      </c>
    </row>
    <row r="2255" spans="2:7">
      <c r="B2255" s="10">
        <v>16</v>
      </c>
      <c r="C2255" s="30"/>
      <c r="D2255" s="5" t="str">
        <f ca="1" t="shared" si="639"/>
        <v/>
      </c>
      <c r="E2255" s="5" t="str">
        <f ca="1" t="shared" si="640"/>
        <v/>
      </c>
      <c r="F2255" s="5" t="str">
        <f ca="1" t="shared" si="641"/>
        <v/>
      </c>
      <c r="G2255" s="84">
        <f ca="1" t="shared" si="642"/>
        <v>0.135</v>
      </c>
    </row>
    <row r="2256" spans="2:7">
      <c r="B2256" s="10">
        <v>17</v>
      </c>
      <c r="C2256" s="30"/>
      <c r="D2256" s="5" t="str">
        <f ca="1" t="shared" ref="D2256:D2287" si="643">IFERROR(OFFSET($D$2300,MATCH(C2256,$B$2300:$B$2310,0)-1,0),"")</f>
        <v/>
      </c>
      <c r="E2256" s="5" t="str">
        <f ca="1" t="shared" ref="E2256:E2287" si="644">IFERROR(OFFSET($F$2300,MATCH(C2256,$B$2300:$B$2310,0)-1,0),"")</f>
        <v/>
      </c>
      <c r="F2256" s="5" t="str">
        <f ca="1" t="shared" ref="F2256:F2287" si="645">IFERROR(OFFSET($H$2300,MATCH(C2256,$B$2300:$B$2310,0)-1,0),"")</f>
        <v/>
      </c>
      <c r="G2256" s="84">
        <f ca="1" t="shared" ref="G2256:G2287" si="646">M230</f>
        <v>0.14</v>
      </c>
    </row>
    <row r="2257" spans="2:7">
      <c r="B2257" s="10">
        <v>18</v>
      </c>
      <c r="C2257" s="30"/>
      <c r="D2257" s="5" t="str">
        <f ca="1" t="shared" si="643"/>
        <v/>
      </c>
      <c r="E2257" s="5" t="str">
        <f ca="1" t="shared" si="644"/>
        <v/>
      </c>
      <c r="F2257" s="5" t="str">
        <f ca="1" t="shared" si="645"/>
        <v/>
      </c>
      <c r="G2257" s="84">
        <f ca="1" t="shared" si="646"/>
        <v>0.14</v>
      </c>
    </row>
    <row r="2258" spans="2:7">
      <c r="B2258" s="10">
        <v>19</v>
      </c>
      <c r="C2258" s="30"/>
      <c r="D2258" s="5" t="str">
        <f ca="1" t="shared" si="643"/>
        <v/>
      </c>
      <c r="E2258" s="5" t="str">
        <f ca="1" t="shared" si="644"/>
        <v/>
      </c>
      <c r="F2258" s="5" t="str">
        <f ca="1" t="shared" si="645"/>
        <v/>
      </c>
      <c r="G2258" s="84">
        <f ca="1" t="shared" si="646"/>
        <v>0.14</v>
      </c>
    </row>
    <row r="2259" spans="2:7">
      <c r="B2259" s="10">
        <v>20</v>
      </c>
      <c r="C2259" s="30"/>
      <c r="D2259" s="5" t="str">
        <f ca="1" t="shared" si="643"/>
        <v/>
      </c>
      <c r="E2259" s="5" t="str">
        <f ca="1" t="shared" si="644"/>
        <v/>
      </c>
      <c r="F2259" s="5" t="str">
        <f ca="1" t="shared" si="645"/>
        <v/>
      </c>
      <c r="G2259" s="84">
        <f ca="1" t="shared" si="646"/>
        <v>0.4</v>
      </c>
    </row>
    <row r="2260" spans="2:7">
      <c r="B2260" s="10">
        <v>21</v>
      </c>
      <c r="C2260" s="30"/>
      <c r="D2260" s="5" t="str">
        <f ca="1" t="shared" si="643"/>
        <v/>
      </c>
      <c r="E2260" s="5" t="str">
        <f ca="1" t="shared" si="644"/>
        <v/>
      </c>
      <c r="F2260" s="5" t="str">
        <f ca="1" t="shared" si="645"/>
        <v/>
      </c>
      <c r="G2260" s="84">
        <f ca="1" t="shared" si="646"/>
        <v>0.4</v>
      </c>
    </row>
    <row r="2261" spans="2:7">
      <c r="B2261" s="10">
        <v>22</v>
      </c>
      <c r="C2261" s="30"/>
      <c r="D2261" s="5" t="str">
        <f ca="1" t="shared" si="643"/>
        <v/>
      </c>
      <c r="E2261" s="5" t="str">
        <f ca="1" t="shared" si="644"/>
        <v/>
      </c>
      <c r="F2261" s="5" t="str">
        <f ca="1" t="shared" si="645"/>
        <v/>
      </c>
      <c r="G2261" s="84">
        <f ca="1" t="shared" si="646"/>
        <v>0.4</v>
      </c>
    </row>
    <row r="2262" spans="2:7">
      <c r="B2262" s="10">
        <v>23</v>
      </c>
      <c r="C2262" s="30"/>
      <c r="D2262" s="5" t="str">
        <f ca="1" t="shared" si="643"/>
        <v/>
      </c>
      <c r="E2262" s="5" t="str">
        <f ca="1" t="shared" si="644"/>
        <v/>
      </c>
      <c r="F2262" s="5" t="str">
        <f ca="1" t="shared" si="645"/>
        <v/>
      </c>
      <c r="G2262" s="84">
        <f ca="1" t="shared" si="646"/>
        <v>0.41</v>
      </c>
    </row>
    <row r="2263" spans="2:7">
      <c r="B2263" s="10">
        <v>24</v>
      </c>
      <c r="C2263" s="30"/>
      <c r="D2263" s="5" t="str">
        <f ca="1" t="shared" si="643"/>
        <v/>
      </c>
      <c r="E2263" s="5" t="str">
        <f ca="1" t="shared" si="644"/>
        <v/>
      </c>
      <c r="F2263" s="5" t="str">
        <f ca="1" t="shared" si="645"/>
        <v/>
      </c>
      <c r="G2263" s="84">
        <f ca="1" t="shared" si="646"/>
        <v>0.41</v>
      </c>
    </row>
    <row r="2264" spans="2:7">
      <c r="B2264" s="10">
        <v>25</v>
      </c>
      <c r="C2264" s="30"/>
      <c r="D2264" s="5" t="str">
        <f ca="1" t="shared" si="643"/>
        <v/>
      </c>
      <c r="E2264" s="5" t="str">
        <f ca="1" t="shared" si="644"/>
        <v/>
      </c>
      <c r="F2264" s="5" t="str">
        <f ca="1" t="shared" si="645"/>
        <v/>
      </c>
      <c r="G2264" s="84">
        <f ca="1" t="shared" si="646"/>
        <v>0.41</v>
      </c>
    </row>
    <row r="2265" spans="2:7">
      <c r="B2265" s="10">
        <v>26</v>
      </c>
      <c r="C2265" s="30"/>
      <c r="D2265" s="5" t="str">
        <f ca="1" t="shared" si="643"/>
        <v/>
      </c>
      <c r="E2265" s="5" t="str">
        <f ca="1" t="shared" si="644"/>
        <v/>
      </c>
      <c r="F2265" s="5" t="str">
        <f ca="1" t="shared" si="645"/>
        <v/>
      </c>
      <c r="G2265" s="84">
        <f ca="1" t="shared" si="646"/>
        <v>0.42</v>
      </c>
    </row>
    <row r="2266" spans="2:7">
      <c r="B2266" s="10">
        <v>27</v>
      </c>
      <c r="C2266" s="30"/>
      <c r="D2266" s="5" t="str">
        <f ca="1" t="shared" si="643"/>
        <v/>
      </c>
      <c r="E2266" s="5" t="str">
        <f ca="1" t="shared" si="644"/>
        <v/>
      </c>
      <c r="F2266" s="5" t="str">
        <f ca="1" t="shared" si="645"/>
        <v/>
      </c>
      <c r="G2266" s="84">
        <f ca="1" t="shared" si="646"/>
        <v>0.42</v>
      </c>
    </row>
    <row r="2267" spans="2:7">
      <c r="B2267" s="10">
        <v>28</v>
      </c>
      <c r="C2267" s="30"/>
      <c r="D2267" s="5" t="str">
        <f ca="1" t="shared" si="643"/>
        <v/>
      </c>
      <c r="E2267" s="5" t="str">
        <f ca="1" t="shared" si="644"/>
        <v/>
      </c>
      <c r="F2267" s="5" t="str">
        <f ca="1" t="shared" si="645"/>
        <v/>
      </c>
      <c r="G2267" s="84">
        <f ca="1" t="shared" si="646"/>
        <v>0.42</v>
      </c>
    </row>
    <row r="2268" spans="2:7">
      <c r="B2268" s="10">
        <v>29</v>
      </c>
      <c r="C2268" s="30">
        <v>0</v>
      </c>
      <c r="D2268" s="5" t="str">
        <f ca="1" t="shared" si="643"/>
        <v/>
      </c>
      <c r="E2268" s="5" t="str">
        <f ca="1" t="shared" si="644"/>
        <v/>
      </c>
      <c r="F2268" s="5" t="str">
        <f ca="1" t="shared" si="645"/>
        <v/>
      </c>
      <c r="G2268" s="84">
        <f ca="1" t="shared" si="646"/>
        <v>0.42</v>
      </c>
    </row>
    <row r="2269" spans="2:7">
      <c r="B2269" s="10">
        <v>30</v>
      </c>
      <c r="C2269" s="30">
        <v>1</v>
      </c>
      <c r="D2269" s="5">
        <f ca="1" t="shared" si="643"/>
        <v>150</v>
      </c>
      <c r="E2269" s="5">
        <f ca="1" t="shared" si="644"/>
        <v>608.108108108108</v>
      </c>
      <c r="F2269" s="5">
        <f ca="1" t="shared" si="645"/>
        <v>450000</v>
      </c>
      <c r="G2269" s="84">
        <f ca="1" t="shared" si="646"/>
        <v>0.48</v>
      </c>
    </row>
    <row r="2270" spans="2:7">
      <c r="B2270" s="11">
        <v>35</v>
      </c>
      <c r="C2270" s="30">
        <v>2</v>
      </c>
      <c r="D2270" s="5">
        <f ca="1" t="shared" si="643"/>
        <v>600</v>
      </c>
      <c r="E2270" s="5">
        <f ca="1" t="shared" si="644"/>
        <v>4256.75675675676</v>
      </c>
      <c r="F2270" s="5">
        <f ca="1" t="shared" si="645"/>
        <v>1800000</v>
      </c>
      <c r="G2270" s="84">
        <f ca="1" t="shared" si="646"/>
        <v>0.48</v>
      </c>
    </row>
    <row r="2271" spans="2:7">
      <c r="B2271" s="11">
        <v>40</v>
      </c>
      <c r="C2271" s="30">
        <v>3</v>
      </c>
      <c r="D2271" s="5">
        <f ca="1" t="shared" si="643"/>
        <v>800</v>
      </c>
      <c r="E2271" s="5">
        <f ca="1" t="shared" si="644"/>
        <v>5464.81044803192</v>
      </c>
      <c r="F2271" s="5">
        <f ca="1" t="shared" si="645"/>
        <v>2400000</v>
      </c>
      <c r="G2271" s="84">
        <f ca="1" t="shared" si="646"/>
        <v>0.49</v>
      </c>
    </row>
    <row r="2272" spans="2:7">
      <c r="B2272" s="11">
        <v>45</v>
      </c>
      <c r="C2272" s="30">
        <v>4</v>
      </c>
      <c r="D2272" s="5">
        <f ca="1" t="shared" si="643"/>
        <v>1900</v>
      </c>
      <c r="E2272" s="5">
        <f ca="1" t="shared" si="644"/>
        <v>14323.8708507165</v>
      </c>
      <c r="F2272" s="5">
        <f ca="1" t="shared" si="645"/>
        <v>5700000</v>
      </c>
      <c r="G2272" s="84">
        <f ca="1" t="shared" si="646"/>
        <v>0.49</v>
      </c>
    </row>
    <row r="2273" spans="2:7">
      <c r="B2273" s="11">
        <v>50</v>
      </c>
      <c r="C2273" s="30"/>
      <c r="D2273" s="5" t="str">
        <f ca="1" t="shared" si="643"/>
        <v/>
      </c>
      <c r="E2273" s="5" t="str">
        <f ca="1" t="shared" si="644"/>
        <v/>
      </c>
      <c r="F2273" s="5" t="str">
        <f ca="1" t="shared" si="645"/>
        <v/>
      </c>
      <c r="G2273" s="84">
        <f ca="1" t="shared" si="646"/>
        <v>0.5</v>
      </c>
    </row>
    <row r="2274" spans="2:7">
      <c r="B2274" s="11">
        <v>55</v>
      </c>
      <c r="C2274" s="30"/>
      <c r="D2274" s="5" t="str">
        <f ca="1" t="shared" si="643"/>
        <v/>
      </c>
      <c r="E2274" s="5" t="str">
        <f ca="1" t="shared" si="644"/>
        <v/>
      </c>
      <c r="F2274" s="5" t="str">
        <f ca="1" t="shared" si="645"/>
        <v/>
      </c>
      <c r="G2274" s="84">
        <f ca="1" t="shared" si="646"/>
        <v>0.5</v>
      </c>
    </row>
    <row r="2275" spans="2:7">
      <c r="B2275" s="11">
        <v>60</v>
      </c>
      <c r="C2275" s="30">
        <v>5</v>
      </c>
      <c r="D2275" s="5">
        <f ca="1" t="shared" si="643"/>
        <v>4100</v>
      </c>
      <c r="E2275" s="5">
        <f ca="1" t="shared" si="644"/>
        <v>31807.3145593258</v>
      </c>
      <c r="F2275" s="5">
        <f ca="1" t="shared" si="645"/>
        <v>12300000</v>
      </c>
      <c r="G2275" s="84">
        <f ca="1" t="shared" si="646"/>
        <v>0.51</v>
      </c>
    </row>
    <row r="2276" spans="2:7">
      <c r="B2276" s="11">
        <v>65</v>
      </c>
      <c r="C2276" s="30"/>
      <c r="D2276" s="5" t="str">
        <f ca="1" t="shared" si="643"/>
        <v/>
      </c>
      <c r="E2276" s="5" t="str">
        <f ca="1" t="shared" si="644"/>
        <v/>
      </c>
      <c r="F2276" s="5" t="str">
        <f ca="1" t="shared" si="645"/>
        <v/>
      </c>
      <c r="G2276" s="84">
        <f ca="1" t="shared" si="646"/>
        <v>0.51</v>
      </c>
    </row>
    <row r="2277" spans="2:7">
      <c r="B2277" s="11">
        <v>70</v>
      </c>
      <c r="C2277" s="30">
        <v>6</v>
      </c>
      <c r="D2277" s="5">
        <f ca="1" t="shared" si="643"/>
        <v>7400</v>
      </c>
      <c r="E2277" s="5">
        <f ca="1" t="shared" si="644"/>
        <v>66774.2019765443</v>
      </c>
      <c r="F2277" s="5">
        <f ca="1" t="shared" si="645"/>
        <v>22200000</v>
      </c>
      <c r="G2277" s="84">
        <f ca="1" t="shared" si="646"/>
        <v>0.51</v>
      </c>
    </row>
    <row r="2278" spans="2:7">
      <c r="B2278" s="11">
        <v>75</v>
      </c>
      <c r="C2278" s="30">
        <v>7</v>
      </c>
      <c r="D2278" s="5">
        <f ca="1" t="shared" si="643"/>
        <v>8400</v>
      </c>
      <c r="E2278" s="5">
        <f ca="1" t="shared" si="644"/>
        <v>78694.7317778688</v>
      </c>
      <c r="F2278" s="5">
        <f ca="1" t="shared" si="645"/>
        <v>25200000</v>
      </c>
      <c r="G2278" s="84">
        <f ca="1" t="shared" si="646"/>
        <v>0.51</v>
      </c>
    </row>
    <row r="2279" spans="2:7">
      <c r="B2279" s="11">
        <v>80</v>
      </c>
      <c r="C2279" s="30"/>
      <c r="D2279" s="5" t="str">
        <f ca="1" t="shared" si="643"/>
        <v/>
      </c>
      <c r="E2279" s="5" t="str">
        <f ca="1" t="shared" si="644"/>
        <v/>
      </c>
      <c r="F2279" s="5" t="str">
        <f ca="1" t="shared" si="645"/>
        <v/>
      </c>
      <c r="G2279" s="84">
        <f ca="1" t="shared" si="646"/>
        <v>0.51</v>
      </c>
    </row>
    <row r="2280" spans="2:7">
      <c r="B2280" s="11">
        <v>85</v>
      </c>
      <c r="C2280" s="30"/>
      <c r="D2280" s="5" t="str">
        <f ca="1" t="shared" si="643"/>
        <v/>
      </c>
      <c r="E2280" s="5" t="str">
        <f ca="1" t="shared" si="644"/>
        <v/>
      </c>
      <c r="F2280" s="5" t="str">
        <f ca="1" t="shared" si="645"/>
        <v/>
      </c>
      <c r="G2280" s="84">
        <f ca="1" t="shared" si="646"/>
        <v>0.51</v>
      </c>
    </row>
    <row r="2281" spans="2:7">
      <c r="B2281" s="11">
        <v>90</v>
      </c>
      <c r="C2281" s="30"/>
      <c r="D2281" s="5" t="str">
        <f ca="1" t="shared" si="643"/>
        <v/>
      </c>
      <c r="E2281" s="5" t="str">
        <f ca="1" t="shared" si="644"/>
        <v/>
      </c>
      <c r="F2281" s="5" t="str">
        <f ca="1" t="shared" si="645"/>
        <v/>
      </c>
      <c r="G2281" s="84">
        <f ca="1" t="shared" si="646"/>
        <v>0.675</v>
      </c>
    </row>
    <row r="2282" spans="2:7">
      <c r="B2282" s="11">
        <v>95</v>
      </c>
      <c r="C2282" s="30">
        <v>8</v>
      </c>
      <c r="D2282" s="5">
        <f ca="1" t="shared" si="643"/>
        <v>13900</v>
      </c>
      <c r="E2282" s="5">
        <f ca="1" t="shared" si="644"/>
        <v>141739.507897272</v>
      </c>
      <c r="F2282" s="5">
        <f ca="1" t="shared" si="645"/>
        <v>41700000</v>
      </c>
      <c r="G2282" s="84">
        <f ca="1" t="shared" si="646"/>
        <v>0.675</v>
      </c>
    </row>
    <row r="2283" spans="2:7">
      <c r="B2283" s="11">
        <v>100</v>
      </c>
      <c r="C2283" s="30"/>
      <c r="D2283" s="5" t="str">
        <f ca="1" t="shared" si="643"/>
        <v/>
      </c>
      <c r="E2283" s="5" t="str">
        <f ca="1" t="shared" si="644"/>
        <v/>
      </c>
      <c r="F2283" s="5" t="str">
        <f ca="1" t="shared" si="645"/>
        <v/>
      </c>
      <c r="G2283" s="84">
        <f ca="1" t="shared" si="646"/>
        <v>0.675</v>
      </c>
    </row>
    <row r="2284" spans="2:7">
      <c r="B2284" s="11">
        <v>105</v>
      </c>
      <c r="C2284" s="30"/>
      <c r="D2284" s="5" t="str">
        <f ca="1" t="shared" si="643"/>
        <v/>
      </c>
      <c r="E2284" s="5" t="str">
        <f ca="1" t="shared" si="644"/>
        <v/>
      </c>
      <c r="F2284" s="5" t="str">
        <f ca="1" t="shared" si="645"/>
        <v/>
      </c>
      <c r="G2284" s="84">
        <f ca="1" t="shared" si="646"/>
        <v>0.675</v>
      </c>
    </row>
    <row r="2285" spans="2:7">
      <c r="B2285" s="11">
        <v>110</v>
      </c>
      <c r="C2285" s="30">
        <v>9</v>
      </c>
      <c r="D2285" s="5">
        <f ca="1" t="shared" si="643"/>
        <v>16650</v>
      </c>
      <c r="E2285" s="5">
        <f ca="1" t="shared" si="644"/>
        <v>196596.650754415</v>
      </c>
      <c r="F2285" s="5">
        <f ca="1" t="shared" si="645"/>
        <v>49950000</v>
      </c>
      <c r="G2285" s="84">
        <f ca="1" t="shared" si="646"/>
        <v>0.925</v>
      </c>
    </row>
    <row r="2286" spans="2:7">
      <c r="B2286" s="11">
        <v>115</v>
      </c>
      <c r="C2286" s="30"/>
      <c r="D2286" s="5" t="str">
        <f ca="1" t="shared" si="643"/>
        <v/>
      </c>
      <c r="E2286" s="5" t="str">
        <f ca="1" t="shared" si="644"/>
        <v/>
      </c>
      <c r="F2286" s="5" t="str">
        <f ca="1" t="shared" si="645"/>
        <v/>
      </c>
      <c r="G2286" s="84">
        <f ca="1" t="shared" si="646"/>
        <v>0.925</v>
      </c>
    </row>
    <row r="2287" spans="2:7">
      <c r="B2287" s="11">
        <v>120</v>
      </c>
      <c r="C2287" s="30"/>
      <c r="D2287" s="5" t="str">
        <f ca="1" t="shared" si="643"/>
        <v/>
      </c>
      <c r="E2287" s="5" t="str">
        <f ca="1" t="shared" si="644"/>
        <v/>
      </c>
      <c r="F2287" s="5" t="str">
        <f ca="1" t="shared" si="645"/>
        <v/>
      </c>
      <c r="G2287" s="84">
        <f ca="1" t="shared" si="646"/>
        <v>0.94</v>
      </c>
    </row>
    <row r="2288" spans="2:7">
      <c r="B2288" s="12">
        <v>150</v>
      </c>
      <c r="C2288" s="30">
        <v>10</v>
      </c>
      <c r="D2288" s="5">
        <f ca="1" t="shared" ref="D2288:D2295" si="647">IFERROR(OFFSET($D$2300,MATCH(C2288,$B$2300:$B$2310,0)-1,0),"")</f>
        <v>24900</v>
      </c>
      <c r="E2288" s="5">
        <f ca="1" t="shared" ref="E2288:E2295" si="648">IFERROR(OFFSET($F$2300,MATCH(C2288,$B$2300:$B$2310,0)-1,0),"")</f>
        <v>408857.957287078</v>
      </c>
      <c r="F2288" s="5">
        <f ca="1" t="shared" ref="F2288:F2295" si="649">IFERROR(OFFSET($H$2300,MATCH(C2288,$B$2300:$B$2310,0)-1,0),"")</f>
        <v>74700000</v>
      </c>
      <c r="G2288" s="84">
        <f ca="1" t="shared" ref="G2288:G2295" si="650">M262</f>
        <v>0.99</v>
      </c>
    </row>
    <row r="2289" spans="2:7">
      <c r="B2289" s="12">
        <v>180</v>
      </c>
      <c r="C2289" s="30">
        <v>11</v>
      </c>
      <c r="D2289" s="5">
        <f ca="1" t="shared" si="647"/>
        <v>28900</v>
      </c>
      <c r="E2289" s="5">
        <f ca="1" t="shared" si="648"/>
        <v>444768.181725981</v>
      </c>
      <c r="F2289" s="5">
        <f ca="1" t="shared" si="649"/>
        <v>86700000</v>
      </c>
      <c r="G2289" s="84">
        <f ca="1" t="shared" si="650"/>
        <v>1.005</v>
      </c>
    </row>
    <row r="2290" spans="2:7">
      <c r="B2290" s="12">
        <v>210</v>
      </c>
      <c r="C2290" s="30"/>
      <c r="D2290" s="5" t="str">
        <f ca="1" t="shared" si="647"/>
        <v/>
      </c>
      <c r="E2290" s="5" t="str">
        <f ca="1" t="shared" si="648"/>
        <v/>
      </c>
      <c r="F2290" s="5" t="str">
        <f ca="1" t="shared" si="649"/>
        <v/>
      </c>
      <c r="G2290" s="84">
        <f ca="1" t="shared" si="650"/>
        <v>1.005</v>
      </c>
    </row>
    <row r="2291" spans="2:7">
      <c r="B2291" s="12">
        <v>240</v>
      </c>
      <c r="C2291" s="30"/>
      <c r="D2291" s="5" t="str">
        <f ca="1" t="shared" si="647"/>
        <v/>
      </c>
      <c r="E2291" s="5" t="str">
        <f ca="1" t="shared" si="648"/>
        <v/>
      </c>
      <c r="F2291" s="5" t="str">
        <f ca="1" t="shared" si="649"/>
        <v/>
      </c>
      <c r="G2291" s="84">
        <f ca="1" t="shared" si="650"/>
        <v>1.02</v>
      </c>
    </row>
    <row r="2292" spans="2:7">
      <c r="B2292" s="12">
        <v>270</v>
      </c>
      <c r="C2292" s="30"/>
      <c r="D2292" s="5" t="str">
        <f ca="1" t="shared" si="647"/>
        <v/>
      </c>
      <c r="E2292" s="5" t="str">
        <f ca="1" t="shared" si="648"/>
        <v/>
      </c>
      <c r="F2292" s="5" t="str">
        <f ca="1" t="shared" si="649"/>
        <v/>
      </c>
      <c r="G2292" s="84">
        <f ca="1" t="shared" si="650"/>
        <v>1.02</v>
      </c>
    </row>
    <row r="2293" spans="2:7">
      <c r="B2293" s="12">
        <v>300</v>
      </c>
      <c r="C2293" s="30"/>
      <c r="D2293" s="5" t="str">
        <f ca="1" t="shared" si="647"/>
        <v/>
      </c>
      <c r="E2293" s="5" t="str">
        <f ca="1" t="shared" si="648"/>
        <v/>
      </c>
      <c r="F2293" s="5" t="str">
        <f ca="1" t="shared" si="649"/>
        <v/>
      </c>
      <c r="G2293" s="84">
        <f ca="1" t="shared" si="650"/>
        <v>1.05</v>
      </c>
    </row>
    <row r="2294" spans="2:7">
      <c r="B2294" s="12">
        <v>330</v>
      </c>
      <c r="C2294" s="30"/>
      <c r="D2294" s="5" t="str">
        <f ca="1" t="shared" si="647"/>
        <v/>
      </c>
      <c r="E2294" s="5" t="str">
        <f ca="1" t="shared" si="648"/>
        <v/>
      </c>
      <c r="F2294" s="5" t="str">
        <f ca="1" t="shared" si="649"/>
        <v/>
      </c>
      <c r="G2294" s="84">
        <f ca="1" t="shared" si="650"/>
        <v>1.05</v>
      </c>
    </row>
    <row r="2295" spans="2:7">
      <c r="B2295" s="12">
        <v>360</v>
      </c>
      <c r="C2295" s="30"/>
      <c r="D2295" s="5" t="str">
        <f ca="1" t="shared" si="647"/>
        <v/>
      </c>
      <c r="E2295" s="5" t="str">
        <f ca="1" t="shared" si="648"/>
        <v/>
      </c>
      <c r="F2295" s="5" t="str">
        <f ca="1" t="shared" si="649"/>
        <v/>
      </c>
      <c r="G2295" s="84">
        <f ca="1" t="shared" si="650"/>
        <v>1.15</v>
      </c>
    </row>
    <row r="2297" spans="2:12">
      <c r="B2297" s="27" t="s">
        <v>1273</v>
      </c>
      <c r="C2297" s="27"/>
      <c r="D2297" s="27"/>
      <c r="E2297" s="27"/>
      <c r="F2297" s="27"/>
      <c r="G2297" s="27"/>
      <c r="H2297" s="27"/>
      <c r="I2297" s="27"/>
      <c r="J2297" s="27"/>
      <c r="K2297" s="27"/>
      <c r="L2297" s="27"/>
    </row>
    <row r="2299" spans="2:8">
      <c r="B2299" s="1" t="s">
        <v>1274</v>
      </c>
      <c r="C2299" s="1" t="s">
        <v>1275</v>
      </c>
      <c r="D2299" s="5" t="s">
        <v>1272</v>
      </c>
      <c r="E2299" s="1" t="s">
        <v>927</v>
      </c>
      <c r="F2299" s="5" t="s">
        <v>864</v>
      </c>
      <c r="G2299" s="1" t="s">
        <v>926</v>
      </c>
      <c r="H2299" s="5" t="s">
        <v>863</v>
      </c>
    </row>
    <row r="2300" spans="2:8">
      <c r="B2300" s="1">
        <v>1</v>
      </c>
      <c r="C2300" s="1">
        <f t="shared" ref="C2300:C2310" si="651">SUMIF($D$2315:$D$2331,B2300,$I$2315:$I$2331)</f>
        <v>150</v>
      </c>
      <c r="D2300" s="5">
        <f t="shared" ref="D2300:H2300" si="652">C2300</f>
        <v>150</v>
      </c>
      <c r="E2300" s="1">
        <f ca="1" t="shared" ref="E2300:E2310" si="653">SUMIF($D$2315:$D$2331,B2300,$O$2315:$O$2331)</f>
        <v>608.108108108108</v>
      </c>
      <c r="F2300" s="5">
        <f ca="1" t="shared" si="652"/>
        <v>608.108108108108</v>
      </c>
      <c r="G2300" s="1">
        <f t="shared" ref="G2300:G2310" si="654">SUMIF($D$2315:$D$2331,B2300,$S$2315:$S$2331)*3</f>
        <v>450000</v>
      </c>
      <c r="H2300" s="5">
        <f t="shared" si="652"/>
        <v>450000</v>
      </c>
    </row>
    <row r="2301" spans="2:8">
      <c r="B2301" s="1">
        <v>2</v>
      </c>
      <c r="C2301" s="1">
        <f t="shared" si="651"/>
        <v>450</v>
      </c>
      <c r="D2301" s="5">
        <f>D2300+C2301</f>
        <v>600</v>
      </c>
      <c r="E2301" s="1">
        <f ca="1" t="shared" si="653"/>
        <v>3648.64864864865</v>
      </c>
      <c r="F2301" s="5">
        <f ca="1" t="shared" ref="F2301:F2310" si="655">F2300+E2301</f>
        <v>4256.75675675676</v>
      </c>
      <c r="G2301" s="1">
        <f t="shared" si="654"/>
        <v>1350000</v>
      </c>
      <c r="H2301" s="5">
        <f>H2300+G2301</f>
        <v>1800000</v>
      </c>
    </row>
    <row r="2302" spans="2:8">
      <c r="B2302" s="1">
        <v>3</v>
      </c>
      <c r="C2302" s="1">
        <f t="shared" si="651"/>
        <v>200</v>
      </c>
      <c r="D2302" s="5">
        <f t="shared" ref="D2302:D2310" si="656">D2301+C2302</f>
        <v>800</v>
      </c>
      <c r="E2302" s="1">
        <f ca="1" t="shared" si="653"/>
        <v>1208.05369127517</v>
      </c>
      <c r="F2302" s="5">
        <f ca="1" t="shared" si="655"/>
        <v>5464.81044803192</v>
      </c>
      <c r="G2302" s="1">
        <f t="shared" si="654"/>
        <v>600000</v>
      </c>
      <c r="H2302" s="5">
        <f t="shared" ref="H2302:H2310" si="657">H2301+G2302</f>
        <v>2400000</v>
      </c>
    </row>
    <row r="2303" spans="2:8">
      <c r="B2303" s="1">
        <v>4</v>
      </c>
      <c r="C2303" s="1">
        <f t="shared" si="651"/>
        <v>1100</v>
      </c>
      <c r="D2303" s="5">
        <f t="shared" si="656"/>
        <v>1900</v>
      </c>
      <c r="E2303" s="1">
        <f ca="1" t="shared" si="653"/>
        <v>8859.06040268456</v>
      </c>
      <c r="F2303" s="5">
        <f ca="1" t="shared" si="655"/>
        <v>14323.8708507165</v>
      </c>
      <c r="G2303" s="1">
        <f t="shared" si="654"/>
        <v>3300000</v>
      </c>
      <c r="H2303" s="5">
        <f t="shared" si="657"/>
        <v>5700000</v>
      </c>
    </row>
    <row r="2304" spans="2:8">
      <c r="B2304" s="1">
        <v>5</v>
      </c>
      <c r="C2304" s="1">
        <f t="shared" si="651"/>
        <v>2200</v>
      </c>
      <c r="D2304" s="5">
        <f t="shared" si="656"/>
        <v>4100</v>
      </c>
      <c r="E2304" s="1">
        <f ca="1" t="shared" si="653"/>
        <v>17483.4437086093</v>
      </c>
      <c r="F2304" s="5">
        <f ca="1" t="shared" si="655"/>
        <v>31807.3145593258</v>
      </c>
      <c r="G2304" s="1">
        <f t="shared" si="654"/>
        <v>6600000</v>
      </c>
      <c r="H2304" s="5">
        <f t="shared" si="657"/>
        <v>12300000</v>
      </c>
    </row>
    <row r="2305" spans="2:8">
      <c r="B2305" s="1">
        <v>6</v>
      </c>
      <c r="C2305" s="1">
        <f t="shared" si="651"/>
        <v>3300</v>
      </c>
      <c r="D2305" s="5">
        <f t="shared" si="656"/>
        <v>7400</v>
      </c>
      <c r="E2305" s="1">
        <f ca="1" t="shared" si="653"/>
        <v>34966.8874172185</v>
      </c>
      <c r="F2305" s="5">
        <f ca="1" t="shared" si="655"/>
        <v>66774.2019765443</v>
      </c>
      <c r="G2305" s="1">
        <f t="shared" si="654"/>
        <v>9900000</v>
      </c>
      <c r="H2305" s="5">
        <f t="shared" si="657"/>
        <v>22200000</v>
      </c>
    </row>
    <row r="2306" spans="2:8">
      <c r="B2306" s="1">
        <v>7</v>
      </c>
      <c r="C2306" s="1">
        <f t="shared" si="651"/>
        <v>1000</v>
      </c>
      <c r="D2306" s="5">
        <f t="shared" si="656"/>
        <v>8400</v>
      </c>
      <c r="E2306" s="1">
        <f ca="1" t="shared" si="653"/>
        <v>11920.5298013245</v>
      </c>
      <c r="F2306" s="5">
        <f ca="1" t="shared" si="655"/>
        <v>78694.7317778688</v>
      </c>
      <c r="G2306" s="1">
        <f t="shared" si="654"/>
        <v>3000000</v>
      </c>
      <c r="H2306" s="5">
        <f t="shared" si="657"/>
        <v>25200000</v>
      </c>
    </row>
    <row r="2307" spans="2:8">
      <c r="B2307" s="1">
        <v>8</v>
      </c>
      <c r="C2307" s="1">
        <f t="shared" si="651"/>
        <v>5500</v>
      </c>
      <c r="D2307" s="5">
        <f t="shared" si="656"/>
        <v>13900</v>
      </c>
      <c r="E2307" s="1">
        <f ca="1" t="shared" si="653"/>
        <v>63044.776119403</v>
      </c>
      <c r="F2307" s="5">
        <f ca="1" t="shared" si="655"/>
        <v>141739.507897272</v>
      </c>
      <c r="G2307" s="1">
        <f t="shared" si="654"/>
        <v>16500000</v>
      </c>
      <c r="H2307" s="5">
        <f t="shared" si="657"/>
        <v>41700000</v>
      </c>
    </row>
    <row r="2308" spans="2:8">
      <c r="B2308" s="1">
        <v>9</v>
      </c>
      <c r="C2308" s="1">
        <f t="shared" si="651"/>
        <v>2750</v>
      </c>
      <c r="D2308" s="5">
        <f t="shared" si="656"/>
        <v>16650</v>
      </c>
      <c r="E2308" s="1">
        <f ca="1" t="shared" si="653"/>
        <v>54857.1428571429</v>
      </c>
      <c r="F2308" s="5">
        <f ca="1" t="shared" si="655"/>
        <v>196596.650754415</v>
      </c>
      <c r="G2308" s="1">
        <f t="shared" si="654"/>
        <v>8250000</v>
      </c>
      <c r="H2308" s="5">
        <f t="shared" si="657"/>
        <v>49950000</v>
      </c>
    </row>
    <row r="2309" spans="2:8">
      <c r="B2309" s="1">
        <v>10</v>
      </c>
      <c r="C2309" s="1">
        <f t="shared" si="651"/>
        <v>8250</v>
      </c>
      <c r="D2309" s="5">
        <f t="shared" si="656"/>
        <v>24900</v>
      </c>
      <c r="E2309" s="1">
        <f ca="1" t="shared" si="653"/>
        <v>212261.306532663</v>
      </c>
      <c r="F2309" s="5">
        <f ca="1" t="shared" si="655"/>
        <v>408857.957287078</v>
      </c>
      <c r="G2309" s="1">
        <f t="shared" si="654"/>
        <v>24750000</v>
      </c>
      <c r="H2309" s="5">
        <f t="shared" si="657"/>
        <v>74700000</v>
      </c>
    </row>
    <row r="2310" spans="2:8">
      <c r="B2310" s="1">
        <v>11</v>
      </c>
      <c r="C2310" s="1">
        <f t="shared" si="651"/>
        <v>4000</v>
      </c>
      <c r="D2310" s="5">
        <f t="shared" si="656"/>
        <v>28900</v>
      </c>
      <c r="E2310" s="1">
        <f ca="1" t="shared" si="653"/>
        <v>35910.2244389027</v>
      </c>
      <c r="F2310" s="5">
        <f ca="1" t="shared" si="655"/>
        <v>444768.181725981</v>
      </c>
      <c r="G2310" s="1">
        <f t="shared" si="654"/>
        <v>12000000</v>
      </c>
      <c r="H2310" s="5">
        <f t="shared" si="657"/>
        <v>86700000</v>
      </c>
    </row>
    <row r="2312" spans="2:12">
      <c r="B2312" s="27" t="s">
        <v>1276</v>
      </c>
      <c r="C2312" s="27"/>
      <c r="D2312" s="27"/>
      <c r="E2312" s="27"/>
      <c r="F2312" s="27"/>
      <c r="G2312" s="27"/>
      <c r="H2312" s="27"/>
      <c r="I2312" s="27"/>
      <c r="J2312" s="27"/>
      <c r="K2312" s="27"/>
      <c r="L2312" s="27"/>
    </row>
    <row r="2313" spans="17:17">
      <c r="Q2313" s="30">
        <v>1000</v>
      </c>
    </row>
    <row r="2314" spans="2:21">
      <c r="B2314" s="1" t="s">
        <v>879</v>
      </c>
      <c r="C2314" s="1" t="s">
        <v>452</v>
      </c>
      <c r="D2314" s="1" t="s">
        <v>880</v>
      </c>
      <c r="E2314" s="1" t="s">
        <v>881</v>
      </c>
      <c r="F2314" s="1" t="s">
        <v>882</v>
      </c>
      <c r="G2314" s="1" t="s">
        <v>1277</v>
      </c>
      <c r="H2314" s="1" t="s">
        <v>1278</v>
      </c>
      <c r="I2314" s="1" t="s">
        <v>1279</v>
      </c>
      <c r="J2314" s="5" t="s">
        <v>1272</v>
      </c>
      <c r="K2314" s="1" t="s">
        <v>1280</v>
      </c>
      <c r="L2314" s="1" t="s">
        <v>1281</v>
      </c>
      <c r="M2314" s="1" t="s">
        <v>1282</v>
      </c>
      <c r="N2314" s="1" t="s">
        <v>779</v>
      </c>
      <c r="O2314" s="1" t="s">
        <v>1283</v>
      </c>
      <c r="P2314" s="5" t="s">
        <v>864</v>
      </c>
      <c r="Q2314" s="1" t="s">
        <v>1284</v>
      </c>
      <c r="R2314" s="1" t="s">
        <v>1285</v>
      </c>
      <c r="S2314" s="1" t="s">
        <v>1286</v>
      </c>
      <c r="T2314" s="1" t="s">
        <v>1287</v>
      </c>
      <c r="U2314" s="5" t="s">
        <v>863</v>
      </c>
    </row>
    <row r="2315" spans="2:21">
      <c r="B2315" s="1">
        <f>30000+D2315*100+E2315</f>
        <v>30102</v>
      </c>
      <c r="C2315" s="1" t="s">
        <v>1288</v>
      </c>
      <c r="D2315" s="1">
        <v>1</v>
      </c>
      <c r="E2315" s="1">
        <v>2</v>
      </c>
      <c r="F2315" s="1">
        <v>5</v>
      </c>
      <c r="G2315" s="30">
        <v>10</v>
      </c>
      <c r="H2315" s="30">
        <v>10</v>
      </c>
      <c r="I2315" s="1">
        <f>F2315*G2315+H2315*(F2315-1)*F2315/2</f>
        <v>150</v>
      </c>
      <c r="J2315" s="5">
        <f>I2315</f>
        <v>150</v>
      </c>
      <c r="K2315" s="30">
        <v>60</v>
      </c>
      <c r="L2315" s="30">
        <v>60</v>
      </c>
      <c r="M2315" s="1">
        <f>F2315*K2315+L2315*(F2315-1)*F2315/2</f>
        <v>900</v>
      </c>
      <c r="N2315" s="1">
        <f ca="1" t="shared" ref="N2315:N2331" si="658">OFFSET($G$2224,MATCH(D2315,$C$2224:$C$2295,0)-1,0)</f>
        <v>0.48</v>
      </c>
      <c r="O2315" s="1">
        <f ca="1" t="shared" ref="O2315:O2331" si="659">M2315/(1+N2315)</f>
        <v>608.108108108108</v>
      </c>
      <c r="P2315" s="5">
        <f ca="1">O2315</f>
        <v>608.108108108108</v>
      </c>
      <c r="Q2315" s="1">
        <f t="shared" ref="Q2315:Q2331" si="660">G2315*$Q$2313</f>
        <v>10000</v>
      </c>
      <c r="R2315" s="1">
        <f t="shared" ref="R2315:R2331" si="661">H2315*$Q$2313</f>
        <v>10000</v>
      </c>
      <c r="S2315" s="1">
        <f t="shared" ref="S2315:S2331" si="662">I2315*$Q$2313</f>
        <v>150000</v>
      </c>
      <c r="T2315" s="1">
        <f>S2315</f>
        <v>150000</v>
      </c>
      <c r="U2315" s="5">
        <f>T2315*3</f>
        <v>450000</v>
      </c>
    </row>
    <row r="2316" spans="2:21">
      <c r="B2316" s="1">
        <f t="shared" ref="B2316:B2331" si="663">30000+D2316*100+E2316</f>
        <v>30201</v>
      </c>
      <c r="C2316" s="1" t="s">
        <v>1289</v>
      </c>
      <c r="D2316" s="1">
        <v>2</v>
      </c>
      <c r="E2316" s="1">
        <v>1</v>
      </c>
      <c r="F2316" s="1">
        <v>5</v>
      </c>
      <c r="G2316" s="30">
        <v>10</v>
      </c>
      <c r="H2316" s="30">
        <v>10</v>
      </c>
      <c r="I2316" s="1">
        <f t="shared" ref="I2316:I2331" si="664">F2316*G2316+H2316*(F2316-1)*F2316/2</f>
        <v>150</v>
      </c>
      <c r="J2316" s="5">
        <f>I2316+J2315</f>
        <v>300</v>
      </c>
      <c r="K2316" s="30">
        <v>120</v>
      </c>
      <c r="L2316" s="30">
        <v>120</v>
      </c>
      <c r="M2316" s="1">
        <f t="shared" ref="M2316:M2331" si="665">F2316*K2316+L2316*(F2316-1)*F2316/2</f>
        <v>1800</v>
      </c>
      <c r="N2316" s="1">
        <f ca="1" t="shared" si="658"/>
        <v>0.48</v>
      </c>
      <c r="O2316" s="1">
        <f ca="1" t="shared" si="659"/>
        <v>1216.21621621622</v>
      </c>
      <c r="P2316" s="5">
        <f ca="1" t="shared" ref="P2316:P2331" si="666">P2315+O2316</f>
        <v>1824.32432432432</v>
      </c>
      <c r="Q2316" s="1">
        <f t="shared" si="660"/>
        <v>10000</v>
      </c>
      <c r="R2316" s="1">
        <f t="shared" si="661"/>
        <v>10000</v>
      </c>
      <c r="S2316" s="1">
        <f t="shared" si="662"/>
        <v>150000</v>
      </c>
      <c r="T2316" s="1">
        <f>T2315+S2316</f>
        <v>300000</v>
      </c>
      <c r="U2316" s="5">
        <f t="shared" ref="U2316:U2331" si="667">T2316*3</f>
        <v>900000</v>
      </c>
    </row>
    <row r="2317" spans="2:21">
      <c r="B2317" s="1">
        <f t="shared" si="663"/>
        <v>30202</v>
      </c>
      <c r="C2317" s="1" t="s">
        <v>1290</v>
      </c>
      <c r="D2317" s="1">
        <v>2</v>
      </c>
      <c r="E2317" s="1">
        <v>2</v>
      </c>
      <c r="F2317" s="1">
        <v>5</v>
      </c>
      <c r="G2317" s="30">
        <v>10</v>
      </c>
      <c r="H2317" s="30">
        <v>10</v>
      </c>
      <c r="I2317" s="1">
        <f t="shared" si="664"/>
        <v>150</v>
      </c>
      <c r="J2317" s="5">
        <f t="shared" ref="J2317:J2331" si="668">I2317+J2316</f>
        <v>450</v>
      </c>
      <c r="K2317" s="30">
        <v>120</v>
      </c>
      <c r="L2317" s="30">
        <v>120</v>
      </c>
      <c r="M2317" s="1">
        <f t="shared" si="665"/>
        <v>1800</v>
      </c>
      <c r="N2317" s="1">
        <f ca="1" t="shared" si="658"/>
        <v>0.48</v>
      </c>
      <c r="O2317" s="1">
        <f ca="1" t="shared" si="659"/>
        <v>1216.21621621622</v>
      </c>
      <c r="P2317" s="5">
        <f ca="1" t="shared" si="666"/>
        <v>3040.54054054054</v>
      </c>
      <c r="Q2317" s="1">
        <f t="shared" si="660"/>
        <v>10000</v>
      </c>
      <c r="R2317" s="1">
        <f t="shared" si="661"/>
        <v>10000</v>
      </c>
      <c r="S2317" s="1">
        <f t="shared" si="662"/>
        <v>150000</v>
      </c>
      <c r="T2317" s="1">
        <f t="shared" ref="T2317:T2331" si="669">T2316+S2317</f>
        <v>450000</v>
      </c>
      <c r="U2317" s="5">
        <f t="shared" si="667"/>
        <v>1350000</v>
      </c>
    </row>
    <row r="2318" spans="2:21">
      <c r="B2318" s="1">
        <f t="shared" si="663"/>
        <v>30203</v>
      </c>
      <c r="C2318" s="1" t="s">
        <v>1291</v>
      </c>
      <c r="D2318" s="1">
        <v>2</v>
      </c>
      <c r="E2318" s="1">
        <v>3</v>
      </c>
      <c r="F2318" s="1">
        <v>5</v>
      </c>
      <c r="G2318" s="30">
        <v>10</v>
      </c>
      <c r="H2318" s="30">
        <v>10</v>
      </c>
      <c r="I2318" s="1">
        <f t="shared" si="664"/>
        <v>150</v>
      </c>
      <c r="J2318" s="5">
        <f t="shared" si="668"/>
        <v>600</v>
      </c>
      <c r="K2318" s="30">
        <v>120</v>
      </c>
      <c r="L2318" s="30">
        <v>120</v>
      </c>
      <c r="M2318" s="1">
        <f t="shared" si="665"/>
        <v>1800</v>
      </c>
      <c r="N2318" s="1">
        <f ca="1" t="shared" si="658"/>
        <v>0.48</v>
      </c>
      <c r="O2318" s="1">
        <f ca="1" t="shared" si="659"/>
        <v>1216.21621621622</v>
      </c>
      <c r="P2318" s="5">
        <f ca="1" t="shared" si="666"/>
        <v>4256.75675675676</v>
      </c>
      <c r="Q2318" s="1">
        <f t="shared" si="660"/>
        <v>10000</v>
      </c>
      <c r="R2318" s="1">
        <f t="shared" si="661"/>
        <v>10000</v>
      </c>
      <c r="S2318" s="1">
        <f t="shared" si="662"/>
        <v>150000</v>
      </c>
      <c r="T2318" s="1">
        <f t="shared" si="669"/>
        <v>600000</v>
      </c>
      <c r="U2318" s="5">
        <f t="shared" si="667"/>
        <v>1800000</v>
      </c>
    </row>
    <row r="2319" spans="2:21">
      <c r="B2319" s="1">
        <f t="shared" si="663"/>
        <v>30302</v>
      </c>
      <c r="C2319" s="1" t="s">
        <v>1292</v>
      </c>
      <c r="D2319" s="1">
        <v>3</v>
      </c>
      <c r="E2319" s="1">
        <v>2</v>
      </c>
      <c r="F2319" s="1">
        <v>1</v>
      </c>
      <c r="G2319" s="30">
        <v>200</v>
      </c>
      <c r="H2319" s="30">
        <v>0</v>
      </c>
      <c r="I2319" s="1">
        <f t="shared" si="664"/>
        <v>200</v>
      </c>
      <c r="J2319" s="5">
        <f t="shared" si="668"/>
        <v>800</v>
      </c>
      <c r="K2319" s="30">
        <v>1800</v>
      </c>
      <c r="L2319" s="30"/>
      <c r="M2319" s="1">
        <f t="shared" si="665"/>
        <v>1800</v>
      </c>
      <c r="N2319" s="1">
        <f ca="1" t="shared" si="658"/>
        <v>0.49</v>
      </c>
      <c r="O2319" s="1">
        <f ca="1" t="shared" si="659"/>
        <v>1208.05369127517</v>
      </c>
      <c r="P2319" s="5">
        <f ca="1" t="shared" si="666"/>
        <v>5464.81044803192</v>
      </c>
      <c r="Q2319" s="1">
        <f t="shared" si="660"/>
        <v>200000</v>
      </c>
      <c r="R2319" s="1">
        <f t="shared" si="661"/>
        <v>0</v>
      </c>
      <c r="S2319" s="1">
        <f t="shared" si="662"/>
        <v>200000</v>
      </c>
      <c r="T2319" s="1">
        <f t="shared" si="669"/>
        <v>800000</v>
      </c>
      <c r="U2319" s="5">
        <f t="shared" si="667"/>
        <v>2400000</v>
      </c>
    </row>
    <row r="2320" spans="2:21">
      <c r="B2320" s="1">
        <f t="shared" si="663"/>
        <v>30402</v>
      </c>
      <c r="C2320" s="1" t="s">
        <v>1293</v>
      </c>
      <c r="D2320" s="1">
        <v>4</v>
      </c>
      <c r="E2320" s="1">
        <v>2</v>
      </c>
      <c r="F2320" s="1">
        <v>10</v>
      </c>
      <c r="G2320" s="30">
        <v>20</v>
      </c>
      <c r="H2320" s="30">
        <v>20</v>
      </c>
      <c r="I2320" s="1">
        <f t="shared" si="664"/>
        <v>1100</v>
      </c>
      <c r="J2320" s="5">
        <f t="shared" si="668"/>
        <v>1900</v>
      </c>
      <c r="K2320" s="30">
        <v>240</v>
      </c>
      <c r="L2320" s="30">
        <v>240</v>
      </c>
      <c r="M2320" s="1">
        <f t="shared" si="665"/>
        <v>13200</v>
      </c>
      <c r="N2320" s="1">
        <f ca="1" t="shared" si="658"/>
        <v>0.49</v>
      </c>
      <c r="O2320" s="1">
        <f ca="1" t="shared" si="659"/>
        <v>8859.06040268456</v>
      </c>
      <c r="P2320" s="5">
        <f ca="1" t="shared" si="666"/>
        <v>14323.8708507165</v>
      </c>
      <c r="Q2320" s="1">
        <f t="shared" si="660"/>
        <v>20000</v>
      </c>
      <c r="R2320" s="1">
        <f t="shared" si="661"/>
        <v>20000</v>
      </c>
      <c r="S2320" s="1">
        <f t="shared" si="662"/>
        <v>1100000</v>
      </c>
      <c r="T2320" s="1">
        <f t="shared" si="669"/>
        <v>1900000</v>
      </c>
      <c r="U2320" s="5">
        <f t="shared" si="667"/>
        <v>5700000</v>
      </c>
    </row>
    <row r="2321" spans="2:21">
      <c r="B2321" s="1">
        <f t="shared" si="663"/>
        <v>30501</v>
      </c>
      <c r="C2321" s="1" t="s">
        <v>1294</v>
      </c>
      <c r="D2321" s="1">
        <v>5</v>
      </c>
      <c r="E2321" s="1">
        <v>1</v>
      </c>
      <c r="F2321" s="1">
        <v>10</v>
      </c>
      <c r="G2321" s="30">
        <v>20</v>
      </c>
      <c r="H2321" s="30">
        <v>20</v>
      </c>
      <c r="I2321" s="1">
        <f t="shared" si="664"/>
        <v>1100</v>
      </c>
      <c r="J2321" s="5">
        <f t="shared" si="668"/>
        <v>3000</v>
      </c>
      <c r="K2321" s="30">
        <v>240</v>
      </c>
      <c r="L2321" s="30">
        <v>240</v>
      </c>
      <c r="M2321" s="1">
        <f t="shared" si="665"/>
        <v>13200</v>
      </c>
      <c r="N2321" s="1">
        <f ca="1" t="shared" si="658"/>
        <v>0.51</v>
      </c>
      <c r="O2321" s="1">
        <f ca="1" t="shared" si="659"/>
        <v>8741.72185430464</v>
      </c>
      <c r="P2321" s="5">
        <f ca="1" t="shared" si="666"/>
        <v>23065.5927050211</v>
      </c>
      <c r="Q2321" s="1">
        <f t="shared" si="660"/>
        <v>20000</v>
      </c>
      <c r="R2321" s="1">
        <f t="shared" si="661"/>
        <v>20000</v>
      </c>
      <c r="S2321" s="1">
        <f t="shared" si="662"/>
        <v>1100000</v>
      </c>
      <c r="T2321" s="1">
        <f t="shared" si="669"/>
        <v>3000000</v>
      </c>
      <c r="U2321" s="5">
        <f t="shared" si="667"/>
        <v>9000000</v>
      </c>
    </row>
    <row r="2322" spans="2:21">
      <c r="B2322" s="1">
        <f t="shared" si="663"/>
        <v>30502</v>
      </c>
      <c r="C2322" s="1" t="s">
        <v>1295</v>
      </c>
      <c r="D2322" s="1">
        <v>5</v>
      </c>
      <c r="E2322" s="1">
        <v>2</v>
      </c>
      <c r="F2322" s="1">
        <v>10</v>
      </c>
      <c r="G2322" s="30">
        <v>20</v>
      </c>
      <c r="H2322" s="30">
        <v>20</v>
      </c>
      <c r="I2322" s="1">
        <f t="shared" si="664"/>
        <v>1100</v>
      </c>
      <c r="J2322" s="5">
        <f t="shared" si="668"/>
        <v>4100</v>
      </c>
      <c r="K2322" s="30">
        <v>240</v>
      </c>
      <c r="L2322" s="30">
        <v>240</v>
      </c>
      <c r="M2322" s="1">
        <f t="shared" si="665"/>
        <v>13200</v>
      </c>
      <c r="N2322" s="1">
        <f ca="1" t="shared" si="658"/>
        <v>0.51</v>
      </c>
      <c r="O2322" s="1">
        <f ca="1" t="shared" si="659"/>
        <v>8741.72185430464</v>
      </c>
      <c r="P2322" s="5">
        <f ca="1" t="shared" si="666"/>
        <v>31807.3145593258</v>
      </c>
      <c r="Q2322" s="1">
        <f t="shared" si="660"/>
        <v>20000</v>
      </c>
      <c r="R2322" s="1">
        <f t="shared" si="661"/>
        <v>20000</v>
      </c>
      <c r="S2322" s="1">
        <f t="shared" si="662"/>
        <v>1100000</v>
      </c>
      <c r="T2322" s="1">
        <f t="shared" si="669"/>
        <v>4100000</v>
      </c>
      <c r="U2322" s="5">
        <f t="shared" si="667"/>
        <v>12300000</v>
      </c>
    </row>
    <row r="2323" spans="2:21">
      <c r="B2323" s="1">
        <f t="shared" si="663"/>
        <v>30601</v>
      </c>
      <c r="C2323" s="1" t="s">
        <v>1296</v>
      </c>
      <c r="D2323" s="1">
        <v>6</v>
      </c>
      <c r="E2323" s="1">
        <v>1</v>
      </c>
      <c r="F2323" s="1">
        <v>10</v>
      </c>
      <c r="G2323" s="30">
        <v>30</v>
      </c>
      <c r="H2323" s="30">
        <v>30</v>
      </c>
      <c r="I2323" s="1">
        <f t="shared" si="664"/>
        <v>1650</v>
      </c>
      <c r="J2323" s="5">
        <f t="shared" si="668"/>
        <v>5750</v>
      </c>
      <c r="K2323" s="30">
        <v>480</v>
      </c>
      <c r="L2323" s="30">
        <v>480</v>
      </c>
      <c r="M2323" s="1">
        <f t="shared" si="665"/>
        <v>26400</v>
      </c>
      <c r="N2323" s="1">
        <f ca="1" t="shared" si="658"/>
        <v>0.51</v>
      </c>
      <c r="O2323" s="1">
        <f ca="1" t="shared" si="659"/>
        <v>17483.4437086093</v>
      </c>
      <c r="P2323" s="5">
        <f ca="1" t="shared" si="666"/>
        <v>49290.758267935</v>
      </c>
      <c r="Q2323" s="1">
        <f t="shared" si="660"/>
        <v>30000</v>
      </c>
      <c r="R2323" s="1">
        <f t="shared" si="661"/>
        <v>30000</v>
      </c>
      <c r="S2323" s="1">
        <f t="shared" si="662"/>
        <v>1650000</v>
      </c>
      <c r="T2323" s="1">
        <f t="shared" si="669"/>
        <v>5750000</v>
      </c>
      <c r="U2323" s="5">
        <f t="shared" si="667"/>
        <v>17250000</v>
      </c>
    </row>
    <row r="2324" spans="2:21">
      <c r="B2324" s="1">
        <f t="shared" si="663"/>
        <v>30603</v>
      </c>
      <c r="C2324" s="1" t="s">
        <v>1297</v>
      </c>
      <c r="D2324" s="1">
        <v>6</v>
      </c>
      <c r="E2324" s="1">
        <v>3</v>
      </c>
      <c r="F2324" s="1">
        <v>10</v>
      </c>
      <c r="G2324" s="30">
        <v>30</v>
      </c>
      <c r="H2324" s="30">
        <v>30</v>
      </c>
      <c r="I2324" s="1">
        <f t="shared" si="664"/>
        <v>1650</v>
      </c>
      <c r="J2324" s="5">
        <f t="shared" si="668"/>
        <v>7400</v>
      </c>
      <c r="K2324" s="30">
        <v>480</v>
      </c>
      <c r="L2324" s="30">
        <v>480</v>
      </c>
      <c r="M2324" s="1">
        <f t="shared" si="665"/>
        <v>26400</v>
      </c>
      <c r="N2324" s="1">
        <f ca="1" t="shared" si="658"/>
        <v>0.51</v>
      </c>
      <c r="O2324" s="1">
        <f ca="1" t="shared" si="659"/>
        <v>17483.4437086093</v>
      </c>
      <c r="P2324" s="5">
        <f ca="1" t="shared" si="666"/>
        <v>66774.2019765443</v>
      </c>
      <c r="Q2324" s="1">
        <f t="shared" si="660"/>
        <v>30000</v>
      </c>
      <c r="R2324" s="1">
        <f t="shared" si="661"/>
        <v>30000</v>
      </c>
      <c r="S2324" s="1">
        <f t="shared" si="662"/>
        <v>1650000</v>
      </c>
      <c r="T2324" s="1">
        <f t="shared" si="669"/>
        <v>7400000</v>
      </c>
      <c r="U2324" s="5">
        <f t="shared" si="667"/>
        <v>22200000</v>
      </c>
    </row>
    <row r="2325" spans="2:21">
      <c r="B2325" s="1">
        <f t="shared" si="663"/>
        <v>30702</v>
      </c>
      <c r="C2325" s="1" t="s">
        <v>1298</v>
      </c>
      <c r="D2325" s="1">
        <v>7</v>
      </c>
      <c r="E2325" s="1">
        <v>2</v>
      </c>
      <c r="F2325" s="1">
        <v>1</v>
      </c>
      <c r="G2325" s="30">
        <v>1000</v>
      </c>
      <c r="H2325" s="30">
        <v>0</v>
      </c>
      <c r="I2325" s="1">
        <f t="shared" si="664"/>
        <v>1000</v>
      </c>
      <c r="J2325" s="5">
        <f t="shared" si="668"/>
        <v>8400</v>
      </c>
      <c r="K2325" s="30">
        <v>18000</v>
      </c>
      <c r="L2325" s="30"/>
      <c r="M2325" s="1">
        <f t="shared" si="665"/>
        <v>18000</v>
      </c>
      <c r="N2325" s="1">
        <f ca="1" t="shared" si="658"/>
        <v>0.51</v>
      </c>
      <c r="O2325" s="1">
        <f ca="1" t="shared" si="659"/>
        <v>11920.5298013245</v>
      </c>
      <c r="P2325" s="5">
        <f ca="1" t="shared" si="666"/>
        <v>78694.7317778688</v>
      </c>
      <c r="Q2325" s="1">
        <f t="shared" si="660"/>
        <v>1000000</v>
      </c>
      <c r="R2325" s="1">
        <f t="shared" si="661"/>
        <v>0</v>
      </c>
      <c r="S2325" s="1">
        <f t="shared" si="662"/>
        <v>1000000</v>
      </c>
      <c r="T2325" s="1">
        <f t="shared" si="669"/>
        <v>8400000</v>
      </c>
      <c r="U2325" s="5">
        <f t="shared" si="667"/>
        <v>25200000</v>
      </c>
    </row>
    <row r="2326" spans="2:21">
      <c r="B2326" s="1">
        <f t="shared" si="663"/>
        <v>30801</v>
      </c>
      <c r="C2326" s="1" t="s">
        <v>1299</v>
      </c>
      <c r="D2326" s="1">
        <v>8</v>
      </c>
      <c r="E2326" s="1">
        <v>1</v>
      </c>
      <c r="F2326" s="1">
        <v>10</v>
      </c>
      <c r="G2326" s="30">
        <v>50</v>
      </c>
      <c r="H2326" s="30">
        <v>50</v>
      </c>
      <c r="I2326" s="1">
        <f t="shared" si="664"/>
        <v>2750</v>
      </c>
      <c r="J2326" s="5">
        <f t="shared" si="668"/>
        <v>11150</v>
      </c>
      <c r="K2326" s="30">
        <v>960</v>
      </c>
      <c r="L2326" s="30">
        <v>960</v>
      </c>
      <c r="M2326" s="1">
        <f t="shared" si="665"/>
        <v>52800</v>
      </c>
      <c r="N2326" s="1">
        <f ca="1" t="shared" si="658"/>
        <v>0.675</v>
      </c>
      <c r="O2326" s="1">
        <f ca="1" t="shared" si="659"/>
        <v>31522.3880597015</v>
      </c>
      <c r="P2326" s="5">
        <f ca="1" t="shared" si="666"/>
        <v>110217.11983757</v>
      </c>
      <c r="Q2326" s="1">
        <f t="shared" si="660"/>
        <v>50000</v>
      </c>
      <c r="R2326" s="1">
        <f t="shared" si="661"/>
        <v>50000</v>
      </c>
      <c r="S2326" s="1">
        <f t="shared" si="662"/>
        <v>2750000</v>
      </c>
      <c r="T2326" s="1">
        <f t="shared" si="669"/>
        <v>11150000</v>
      </c>
      <c r="U2326" s="5">
        <f t="shared" si="667"/>
        <v>33450000</v>
      </c>
    </row>
    <row r="2327" spans="2:21">
      <c r="B2327" s="1">
        <f t="shared" si="663"/>
        <v>30803</v>
      </c>
      <c r="C2327" s="1" t="s">
        <v>1300</v>
      </c>
      <c r="D2327" s="1">
        <v>8</v>
      </c>
      <c r="E2327" s="1">
        <v>3</v>
      </c>
      <c r="F2327" s="1">
        <v>10</v>
      </c>
      <c r="G2327" s="30">
        <v>50</v>
      </c>
      <c r="H2327" s="30">
        <v>50</v>
      </c>
      <c r="I2327" s="1">
        <f t="shared" si="664"/>
        <v>2750</v>
      </c>
      <c r="J2327" s="5">
        <f t="shared" si="668"/>
        <v>13900</v>
      </c>
      <c r="K2327" s="30">
        <v>960</v>
      </c>
      <c r="L2327" s="30">
        <v>960</v>
      </c>
      <c r="M2327" s="1">
        <f t="shared" si="665"/>
        <v>52800</v>
      </c>
      <c r="N2327" s="1">
        <f ca="1" t="shared" si="658"/>
        <v>0.675</v>
      </c>
      <c r="O2327" s="1">
        <f ca="1" t="shared" si="659"/>
        <v>31522.3880597015</v>
      </c>
      <c r="P2327" s="5">
        <f ca="1" t="shared" si="666"/>
        <v>141739.507897272</v>
      </c>
      <c r="Q2327" s="1">
        <f t="shared" si="660"/>
        <v>50000</v>
      </c>
      <c r="R2327" s="1">
        <f t="shared" si="661"/>
        <v>50000</v>
      </c>
      <c r="S2327" s="1">
        <f t="shared" si="662"/>
        <v>2750000</v>
      </c>
      <c r="T2327" s="1">
        <f t="shared" si="669"/>
        <v>13900000</v>
      </c>
      <c r="U2327" s="5">
        <f t="shared" si="667"/>
        <v>41700000</v>
      </c>
    </row>
    <row r="2328" spans="2:21">
      <c r="B2328" s="1">
        <f t="shared" si="663"/>
        <v>30902</v>
      </c>
      <c r="C2328" s="1" t="s">
        <v>1293</v>
      </c>
      <c r="D2328" s="1">
        <v>9</v>
      </c>
      <c r="E2328" s="1">
        <v>2</v>
      </c>
      <c r="F2328" s="1">
        <v>10</v>
      </c>
      <c r="G2328" s="30">
        <v>50</v>
      </c>
      <c r="H2328" s="30">
        <v>50</v>
      </c>
      <c r="I2328" s="1">
        <f t="shared" si="664"/>
        <v>2750</v>
      </c>
      <c r="J2328" s="5">
        <f t="shared" si="668"/>
        <v>16650</v>
      </c>
      <c r="K2328" s="30">
        <v>1920</v>
      </c>
      <c r="L2328" s="30">
        <v>1920</v>
      </c>
      <c r="M2328" s="1">
        <f t="shared" si="665"/>
        <v>105600</v>
      </c>
      <c r="N2328" s="1">
        <f ca="1" t="shared" si="658"/>
        <v>0.925</v>
      </c>
      <c r="O2328" s="1">
        <f ca="1" t="shared" si="659"/>
        <v>54857.1428571429</v>
      </c>
      <c r="P2328" s="5">
        <f ca="1" t="shared" si="666"/>
        <v>196596.650754415</v>
      </c>
      <c r="Q2328" s="1">
        <f t="shared" si="660"/>
        <v>50000</v>
      </c>
      <c r="R2328" s="1">
        <f t="shared" si="661"/>
        <v>50000</v>
      </c>
      <c r="S2328" s="1">
        <f t="shared" si="662"/>
        <v>2750000</v>
      </c>
      <c r="T2328" s="1">
        <f t="shared" si="669"/>
        <v>16650000</v>
      </c>
      <c r="U2328" s="5">
        <f t="shared" si="667"/>
        <v>49950000</v>
      </c>
    </row>
    <row r="2329" spans="2:21">
      <c r="B2329" s="1">
        <f t="shared" si="663"/>
        <v>31001</v>
      </c>
      <c r="C2329" s="1" t="s">
        <v>1301</v>
      </c>
      <c r="D2329" s="1">
        <v>10</v>
      </c>
      <c r="E2329" s="1">
        <v>1</v>
      </c>
      <c r="F2329" s="1">
        <v>10</v>
      </c>
      <c r="G2329" s="30">
        <v>75</v>
      </c>
      <c r="H2329" s="30">
        <v>75</v>
      </c>
      <c r="I2329" s="1">
        <f t="shared" si="664"/>
        <v>4125</v>
      </c>
      <c r="J2329" s="5">
        <f t="shared" si="668"/>
        <v>20775</v>
      </c>
      <c r="K2329" s="30">
        <v>3840</v>
      </c>
      <c r="L2329" s="30">
        <v>3840</v>
      </c>
      <c r="M2329" s="1">
        <f t="shared" si="665"/>
        <v>211200</v>
      </c>
      <c r="N2329" s="1">
        <f ca="1" t="shared" si="658"/>
        <v>0.99</v>
      </c>
      <c r="O2329" s="1">
        <f ca="1" t="shared" si="659"/>
        <v>106130.653266332</v>
      </c>
      <c r="P2329" s="5">
        <f ca="1" t="shared" si="666"/>
        <v>302727.304020746</v>
      </c>
      <c r="Q2329" s="1">
        <f t="shared" si="660"/>
        <v>75000</v>
      </c>
      <c r="R2329" s="1">
        <f t="shared" si="661"/>
        <v>75000</v>
      </c>
      <c r="S2329" s="1">
        <f t="shared" si="662"/>
        <v>4125000</v>
      </c>
      <c r="T2329" s="1">
        <f t="shared" si="669"/>
        <v>20775000</v>
      </c>
      <c r="U2329" s="5">
        <f t="shared" si="667"/>
        <v>62325000</v>
      </c>
    </row>
    <row r="2330" spans="2:21">
      <c r="B2330" s="1">
        <f t="shared" si="663"/>
        <v>31002</v>
      </c>
      <c r="C2330" s="1" t="s">
        <v>1302</v>
      </c>
      <c r="D2330" s="1">
        <v>10</v>
      </c>
      <c r="E2330" s="1">
        <v>2</v>
      </c>
      <c r="F2330" s="1">
        <v>10</v>
      </c>
      <c r="G2330" s="30">
        <v>75</v>
      </c>
      <c r="H2330" s="30">
        <v>75</v>
      </c>
      <c r="I2330" s="1">
        <f t="shared" si="664"/>
        <v>4125</v>
      </c>
      <c r="J2330" s="5">
        <f t="shared" si="668"/>
        <v>24900</v>
      </c>
      <c r="K2330" s="30">
        <v>3840</v>
      </c>
      <c r="L2330" s="30">
        <v>3840</v>
      </c>
      <c r="M2330" s="1">
        <f t="shared" si="665"/>
        <v>211200</v>
      </c>
      <c r="N2330" s="1">
        <f ca="1" t="shared" si="658"/>
        <v>0.99</v>
      </c>
      <c r="O2330" s="1">
        <f ca="1" t="shared" si="659"/>
        <v>106130.653266332</v>
      </c>
      <c r="P2330" s="5">
        <f ca="1" t="shared" si="666"/>
        <v>408857.957287078</v>
      </c>
      <c r="Q2330" s="1">
        <f t="shared" si="660"/>
        <v>75000</v>
      </c>
      <c r="R2330" s="1">
        <f t="shared" si="661"/>
        <v>75000</v>
      </c>
      <c r="S2330" s="1">
        <f t="shared" si="662"/>
        <v>4125000</v>
      </c>
      <c r="T2330" s="1">
        <f t="shared" si="669"/>
        <v>24900000</v>
      </c>
      <c r="U2330" s="5">
        <f t="shared" si="667"/>
        <v>74700000</v>
      </c>
    </row>
    <row r="2331" spans="2:21">
      <c r="B2331" s="1">
        <f t="shared" si="663"/>
        <v>31101</v>
      </c>
      <c r="C2331" s="1" t="s">
        <v>1303</v>
      </c>
      <c r="D2331" s="1">
        <v>11</v>
      </c>
      <c r="E2331" s="1">
        <v>1</v>
      </c>
      <c r="F2331" s="1">
        <v>1</v>
      </c>
      <c r="G2331" s="30">
        <v>4000</v>
      </c>
      <c r="H2331" s="30">
        <v>0</v>
      </c>
      <c r="I2331" s="1">
        <f t="shared" si="664"/>
        <v>4000</v>
      </c>
      <c r="J2331" s="5">
        <f t="shared" si="668"/>
        <v>28900</v>
      </c>
      <c r="K2331" s="30">
        <v>72000</v>
      </c>
      <c r="L2331" s="30"/>
      <c r="M2331" s="1">
        <f t="shared" si="665"/>
        <v>72000</v>
      </c>
      <c r="N2331" s="1">
        <f ca="1" t="shared" si="658"/>
        <v>1.005</v>
      </c>
      <c r="O2331" s="1">
        <f ca="1" t="shared" si="659"/>
        <v>35910.2244389027</v>
      </c>
      <c r="P2331" s="5">
        <f ca="1" t="shared" si="666"/>
        <v>444768.181725981</v>
      </c>
      <c r="Q2331" s="1">
        <f t="shared" si="660"/>
        <v>4000000</v>
      </c>
      <c r="R2331" s="1">
        <f t="shared" si="661"/>
        <v>0</v>
      </c>
      <c r="S2331" s="1">
        <f t="shared" si="662"/>
        <v>4000000</v>
      </c>
      <c r="T2331" s="1">
        <f t="shared" si="669"/>
        <v>28900000</v>
      </c>
      <c r="U2331" s="5">
        <f t="shared" si="667"/>
        <v>86700000</v>
      </c>
    </row>
    <row r="2334" s="25" customFormat="1" spans="1:5">
      <c r="A2334" s="2" t="s">
        <v>1304</v>
      </c>
      <c r="B2334" s="2"/>
      <c r="C2334" s="41" t="s">
        <v>436</v>
      </c>
      <c r="E2334" s="41"/>
    </row>
    <row r="2345" s="25" customFormat="1" spans="1:5">
      <c r="A2345" s="2" t="s">
        <v>545</v>
      </c>
      <c r="B2345" s="2"/>
      <c r="C2345" s="41" t="s">
        <v>436</v>
      </c>
      <c r="E2345" s="26" t="s">
        <v>1305</v>
      </c>
    </row>
    <row r="2347" spans="2:12">
      <c r="B2347" s="27" t="s">
        <v>1306</v>
      </c>
      <c r="C2347" s="27"/>
      <c r="D2347" s="27"/>
      <c r="E2347" s="27"/>
      <c r="F2347" s="27"/>
      <c r="G2347" s="27"/>
      <c r="H2347" s="27"/>
      <c r="I2347" s="27"/>
      <c r="J2347" s="27"/>
      <c r="K2347" s="27"/>
      <c r="L2347" s="27"/>
    </row>
    <row r="2349" spans="2:6">
      <c r="B2349" s="1" t="s">
        <v>715</v>
      </c>
      <c r="E2349" s="1">
        <f>总规划!$D$106</f>
        <v>480</v>
      </c>
      <c r="F2349" s="1" t="str">
        <f>总规划!$C$106</f>
        <v>1天</v>
      </c>
    </row>
    <row r="2350" spans="2:5">
      <c r="B2350" s="1" t="s">
        <v>717</v>
      </c>
      <c r="E2350" s="42">
        <f>总规划!$E$137</f>
        <v>0.075</v>
      </c>
    </row>
    <row r="2351" spans="2:6">
      <c r="B2351" s="1" t="s">
        <v>1307</v>
      </c>
      <c r="E2351" s="1">
        <f>E2349/30*E2350*24*60</f>
        <v>1728</v>
      </c>
      <c r="F2351" s="1" t="s">
        <v>1308</v>
      </c>
    </row>
    <row r="2353" spans="2:12">
      <c r="B2353" s="27" t="s">
        <v>1309</v>
      </c>
      <c r="C2353" s="27"/>
      <c r="D2353" s="27"/>
      <c r="E2353" s="27"/>
      <c r="F2353" s="27"/>
      <c r="G2353" s="27"/>
      <c r="H2353" s="27"/>
      <c r="I2353" s="27"/>
      <c r="J2353" s="27"/>
      <c r="K2353" s="27"/>
      <c r="L2353" s="27"/>
    </row>
    <row r="2355" spans="2:5">
      <c r="B2355" s="1" t="s">
        <v>1310</v>
      </c>
      <c r="E2355" s="1">
        <f>$E$4721/2</f>
        <v>150</v>
      </c>
    </row>
    <row r="2356" spans="2:5">
      <c r="B2356" s="1" t="s">
        <v>1311</v>
      </c>
      <c r="E2356" s="30">
        <v>10</v>
      </c>
    </row>
    <row r="2358" spans="2:6">
      <c r="B2358" s="1" t="s">
        <v>1312</v>
      </c>
      <c r="E2358" s="1">
        <f>E2351/E2355</f>
        <v>11.52</v>
      </c>
      <c r="F2358" s="1" t="s">
        <v>1308</v>
      </c>
    </row>
    <row r="2359" spans="2:6">
      <c r="B2359" s="1" t="s">
        <v>1313</v>
      </c>
      <c r="E2359" s="5">
        <f>E2358*E2356</f>
        <v>115.2</v>
      </c>
      <c r="F2359" s="1" t="s">
        <v>1308</v>
      </c>
    </row>
    <row r="2361" spans="2:12">
      <c r="B2361" s="27" t="s">
        <v>1314</v>
      </c>
      <c r="C2361" s="27"/>
      <c r="D2361" s="27"/>
      <c r="E2361" s="27"/>
      <c r="F2361" s="27"/>
      <c r="G2361" s="27"/>
      <c r="H2361" s="27"/>
      <c r="I2361" s="27"/>
      <c r="J2361" s="27"/>
      <c r="K2361" s="27"/>
      <c r="L2361" s="27"/>
    </row>
    <row r="2363" spans="2:8">
      <c r="B2363" s="1" t="s">
        <v>381</v>
      </c>
      <c r="C2363" s="1" t="s">
        <v>382</v>
      </c>
      <c r="D2363" s="1" t="s">
        <v>1315</v>
      </c>
      <c r="E2363" s="1" t="s">
        <v>809</v>
      </c>
      <c r="F2363" s="1" t="s">
        <v>1316</v>
      </c>
      <c r="G2363" s="1" t="s">
        <v>871</v>
      </c>
      <c r="H2363" s="1" t="s">
        <v>1317</v>
      </c>
    </row>
    <row r="2364" spans="2:8">
      <c r="B2364" s="1">
        <v>0</v>
      </c>
      <c r="C2364" s="6">
        <v>0</v>
      </c>
      <c r="D2364" s="43">
        <v>0.02</v>
      </c>
      <c r="F2364" s="1">
        <f>$E$2359*D2364</f>
        <v>2.304</v>
      </c>
      <c r="G2364" s="1">
        <f ca="1" t="shared" ref="G2364:G2395" si="670">OFFSET($G$198,MATCH(C2364,$B$198:$B$269,1)-1,0)</f>
        <v>0</v>
      </c>
      <c r="H2364" s="1">
        <f ca="1" t="shared" ref="H2364:H2395" si="671">F2364*(1+G2364)</f>
        <v>2.304</v>
      </c>
    </row>
    <row r="2365" spans="2:8">
      <c r="B2365" s="1">
        <v>1</v>
      </c>
      <c r="C2365" s="6">
        <v>0</v>
      </c>
      <c r="D2365" s="43">
        <v>0.0200000000000003</v>
      </c>
      <c r="E2365" s="48">
        <f t="shared" ref="E2365:E2404" si="672">D2365/D2364</f>
        <v>1.00000000000001</v>
      </c>
      <c r="F2365" s="1">
        <f t="shared" ref="F2365:F2404" si="673">$E$2359*D2365</f>
        <v>2.30400000000003</v>
      </c>
      <c r="G2365" s="1">
        <f ca="1" t="shared" si="670"/>
        <v>0</v>
      </c>
      <c r="H2365" s="1">
        <f ca="1" t="shared" si="671"/>
        <v>2.30400000000003</v>
      </c>
    </row>
    <row r="2366" spans="2:8">
      <c r="B2366" s="1">
        <v>2</v>
      </c>
      <c r="C2366" s="6">
        <v>0</v>
      </c>
      <c r="D2366" s="43">
        <v>0.0400000000000002</v>
      </c>
      <c r="E2366" s="48">
        <f t="shared" si="672"/>
        <v>1.99999999999998</v>
      </c>
      <c r="F2366" s="1">
        <f t="shared" si="673"/>
        <v>4.60800000000002</v>
      </c>
      <c r="G2366" s="1">
        <f ca="1" t="shared" si="670"/>
        <v>0</v>
      </c>
      <c r="H2366" s="1">
        <f ca="1" t="shared" si="671"/>
        <v>4.60800000000002</v>
      </c>
    </row>
    <row r="2367" spans="2:8">
      <c r="B2367" s="1">
        <v>3</v>
      </c>
      <c r="C2367" s="6">
        <v>0</v>
      </c>
      <c r="D2367" s="43">
        <v>0.0600000000000001</v>
      </c>
      <c r="E2367" s="48">
        <f t="shared" si="672"/>
        <v>1.49999999999999</v>
      </c>
      <c r="F2367" s="1">
        <f t="shared" si="673"/>
        <v>6.91200000000001</v>
      </c>
      <c r="G2367" s="1">
        <f ca="1" t="shared" si="670"/>
        <v>0</v>
      </c>
      <c r="H2367" s="1">
        <f ca="1" t="shared" si="671"/>
        <v>6.91200000000001</v>
      </c>
    </row>
    <row r="2368" spans="2:8">
      <c r="B2368" s="1">
        <v>4</v>
      </c>
      <c r="C2368" s="6">
        <v>0</v>
      </c>
      <c r="D2368" s="43">
        <v>0.08</v>
      </c>
      <c r="E2368" s="48">
        <f t="shared" si="672"/>
        <v>1.33333333333333</v>
      </c>
      <c r="F2368" s="1">
        <f t="shared" si="673"/>
        <v>9.216</v>
      </c>
      <c r="G2368" s="1">
        <f ca="1" t="shared" si="670"/>
        <v>0</v>
      </c>
      <c r="H2368" s="1">
        <f ca="1" t="shared" si="671"/>
        <v>9.216</v>
      </c>
    </row>
    <row r="2369" spans="2:8">
      <c r="B2369" s="1">
        <v>5</v>
      </c>
      <c r="C2369" s="6">
        <v>0</v>
      </c>
      <c r="D2369" s="43">
        <v>0.0999999999999999</v>
      </c>
      <c r="E2369" s="48">
        <f t="shared" si="672"/>
        <v>1.25</v>
      </c>
      <c r="F2369" s="1">
        <f t="shared" si="673"/>
        <v>11.52</v>
      </c>
      <c r="G2369" s="1">
        <f ca="1" t="shared" si="670"/>
        <v>0</v>
      </c>
      <c r="H2369" s="1">
        <f ca="1" t="shared" si="671"/>
        <v>11.52</v>
      </c>
    </row>
    <row r="2370" spans="2:8">
      <c r="B2370" s="1">
        <v>6</v>
      </c>
      <c r="C2370" s="6">
        <v>0</v>
      </c>
      <c r="D2370" s="43">
        <v>0.11</v>
      </c>
      <c r="E2370" s="48">
        <f t="shared" si="672"/>
        <v>1.1</v>
      </c>
      <c r="F2370" s="1">
        <f t="shared" si="673"/>
        <v>12.672</v>
      </c>
      <c r="G2370" s="1">
        <f ca="1" t="shared" si="670"/>
        <v>0</v>
      </c>
      <c r="H2370" s="1">
        <f ca="1" t="shared" si="671"/>
        <v>12.672</v>
      </c>
    </row>
    <row r="2371" spans="2:8">
      <c r="B2371" s="1">
        <v>7</v>
      </c>
      <c r="C2371" s="6">
        <v>0</v>
      </c>
      <c r="D2371" s="43">
        <v>0.12</v>
      </c>
      <c r="E2371" s="48">
        <f t="shared" si="672"/>
        <v>1.09090909090909</v>
      </c>
      <c r="F2371" s="1">
        <f t="shared" si="673"/>
        <v>13.824</v>
      </c>
      <c r="G2371" s="1">
        <f ca="1" t="shared" si="670"/>
        <v>0</v>
      </c>
      <c r="H2371" s="1">
        <f ca="1" t="shared" si="671"/>
        <v>13.824</v>
      </c>
    </row>
    <row r="2372" spans="2:8">
      <c r="B2372" s="1">
        <v>8</v>
      </c>
      <c r="C2372" s="6">
        <v>0</v>
      </c>
      <c r="D2372" s="43">
        <v>0.13</v>
      </c>
      <c r="E2372" s="48">
        <f t="shared" si="672"/>
        <v>1.08333333333333</v>
      </c>
      <c r="F2372" s="1">
        <f t="shared" si="673"/>
        <v>14.976</v>
      </c>
      <c r="G2372" s="1">
        <f ca="1" t="shared" si="670"/>
        <v>0</v>
      </c>
      <c r="H2372" s="1">
        <f ca="1" t="shared" si="671"/>
        <v>14.976</v>
      </c>
    </row>
    <row r="2373" spans="2:8">
      <c r="B2373" s="1">
        <v>9</v>
      </c>
      <c r="C2373" s="6">
        <v>0</v>
      </c>
      <c r="D2373" s="43">
        <v>0.14</v>
      </c>
      <c r="E2373" s="48">
        <f t="shared" si="672"/>
        <v>1.07692307692308</v>
      </c>
      <c r="F2373" s="1">
        <f t="shared" si="673"/>
        <v>16.128</v>
      </c>
      <c r="G2373" s="1">
        <f ca="1" t="shared" si="670"/>
        <v>0</v>
      </c>
      <c r="H2373" s="1">
        <f ca="1" t="shared" si="671"/>
        <v>16.128</v>
      </c>
    </row>
    <row r="2374" spans="2:8">
      <c r="B2374" s="1">
        <v>10</v>
      </c>
      <c r="C2374" s="6">
        <v>0</v>
      </c>
      <c r="D2374" s="43">
        <v>0.16</v>
      </c>
      <c r="E2374" s="48">
        <f t="shared" si="672"/>
        <v>1.14285714285714</v>
      </c>
      <c r="F2374" s="1">
        <f t="shared" si="673"/>
        <v>18.432</v>
      </c>
      <c r="G2374" s="1">
        <f ca="1" t="shared" si="670"/>
        <v>0</v>
      </c>
      <c r="H2374" s="1">
        <f ca="1" t="shared" si="671"/>
        <v>18.432</v>
      </c>
    </row>
    <row r="2375" spans="2:8">
      <c r="B2375" s="1">
        <v>11</v>
      </c>
      <c r="C2375" s="6">
        <v>1</v>
      </c>
      <c r="D2375" s="43">
        <v>0.18</v>
      </c>
      <c r="E2375" s="48">
        <f t="shared" si="672"/>
        <v>1.125</v>
      </c>
      <c r="F2375" s="1">
        <f t="shared" si="673"/>
        <v>20.736</v>
      </c>
      <c r="G2375" s="1">
        <f ca="1" t="shared" si="670"/>
        <v>0</v>
      </c>
      <c r="H2375" s="1">
        <f ca="1" t="shared" si="671"/>
        <v>20.736</v>
      </c>
    </row>
    <row r="2376" spans="2:8">
      <c r="B2376" s="1">
        <v>12</v>
      </c>
      <c r="C2376" s="6">
        <v>2</v>
      </c>
      <c r="D2376" s="43">
        <v>0.2</v>
      </c>
      <c r="E2376" s="48">
        <f t="shared" si="672"/>
        <v>1.11111111111111</v>
      </c>
      <c r="F2376" s="1">
        <f t="shared" si="673"/>
        <v>23.04</v>
      </c>
      <c r="G2376" s="1">
        <f ca="1" t="shared" si="670"/>
        <v>0</v>
      </c>
      <c r="H2376" s="1">
        <f ca="1" t="shared" si="671"/>
        <v>23.04</v>
      </c>
    </row>
    <row r="2377" spans="2:8">
      <c r="B2377" s="1">
        <v>13</v>
      </c>
      <c r="C2377" s="6">
        <v>3</v>
      </c>
      <c r="D2377" s="43">
        <v>0.22</v>
      </c>
      <c r="E2377" s="48">
        <f t="shared" si="672"/>
        <v>1.1</v>
      </c>
      <c r="F2377" s="1">
        <f t="shared" si="673"/>
        <v>25.344</v>
      </c>
      <c r="G2377" s="1">
        <f ca="1" t="shared" si="670"/>
        <v>0.1</v>
      </c>
      <c r="H2377" s="1">
        <f ca="1" t="shared" si="671"/>
        <v>27.8784</v>
      </c>
    </row>
    <row r="2378" spans="2:8">
      <c r="B2378" s="1">
        <v>14</v>
      </c>
      <c r="C2378" s="6">
        <v>4</v>
      </c>
      <c r="D2378" s="43">
        <v>0.23</v>
      </c>
      <c r="E2378" s="48">
        <f t="shared" si="672"/>
        <v>1.04545454545455</v>
      </c>
      <c r="F2378" s="1">
        <f t="shared" si="673"/>
        <v>26.496</v>
      </c>
      <c r="G2378" s="1">
        <f ca="1" t="shared" si="670"/>
        <v>0.1</v>
      </c>
      <c r="H2378" s="1">
        <f ca="1" t="shared" si="671"/>
        <v>29.1456</v>
      </c>
    </row>
    <row r="2379" spans="2:8">
      <c r="B2379" s="1">
        <v>15</v>
      </c>
      <c r="C2379" s="6">
        <v>5</v>
      </c>
      <c r="D2379" s="43">
        <v>0.24</v>
      </c>
      <c r="E2379" s="48">
        <f t="shared" si="672"/>
        <v>1.04347826086957</v>
      </c>
      <c r="F2379" s="1">
        <f t="shared" si="673"/>
        <v>27.648</v>
      </c>
      <c r="G2379" s="1">
        <f ca="1" t="shared" si="670"/>
        <v>0.1</v>
      </c>
      <c r="H2379" s="1">
        <f ca="1" t="shared" si="671"/>
        <v>30.4128</v>
      </c>
    </row>
    <row r="2380" spans="2:8">
      <c r="B2380" s="1">
        <v>16</v>
      </c>
      <c r="C2380" s="6">
        <v>6</v>
      </c>
      <c r="D2380" s="43">
        <v>0.25</v>
      </c>
      <c r="E2380" s="48">
        <f t="shared" si="672"/>
        <v>1.04166666666667</v>
      </c>
      <c r="F2380" s="1">
        <f t="shared" si="673"/>
        <v>28.8</v>
      </c>
      <c r="G2380" s="1">
        <f ca="1" t="shared" si="670"/>
        <v>0.1</v>
      </c>
      <c r="H2380" s="1">
        <f ca="1" t="shared" si="671"/>
        <v>31.68</v>
      </c>
    </row>
    <row r="2381" spans="2:8">
      <c r="B2381" s="1">
        <v>17</v>
      </c>
      <c r="C2381" s="6">
        <v>7</v>
      </c>
      <c r="D2381" s="43">
        <v>0.26</v>
      </c>
      <c r="E2381" s="48">
        <f t="shared" si="672"/>
        <v>1.04</v>
      </c>
      <c r="F2381" s="1">
        <f t="shared" si="673"/>
        <v>29.952</v>
      </c>
      <c r="G2381" s="1">
        <f ca="1" t="shared" si="670"/>
        <v>0.1</v>
      </c>
      <c r="H2381" s="1">
        <f ca="1" t="shared" si="671"/>
        <v>32.9472</v>
      </c>
    </row>
    <row r="2382" spans="2:8">
      <c r="B2382" s="1">
        <v>18</v>
      </c>
      <c r="C2382" s="6">
        <v>8</v>
      </c>
      <c r="D2382" s="43">
        <v>0.27</v>
      </c>
      <c r="E2382" s="48">
        <f t="shared" si="672"/>
        <v>1.03846153846154</v>
      </c>
      <c r="F2382" s="1">
        <f t="shared" si="673"/>
        <v>31.104</v>
      </c>
      <c r="G2382" s="1">
        <f ca="1" t="shared" si="670"/>
        <v>0.1</v>
      </c>
      <c r="H2382" s="1">
        <f ca="1" t="shared" si="671"/>
        <v>34.2144</v>
      </c>
    </row>
    <row r="2383" spans="2:8">
      <c r="B2383" s="1">
        <v>19</v>
      </c>
      <c r="C2383" s="6">
        <v>9</v>
      </c>
      <c r="D2383" s="43">
        <v>0.28</v>
      </c>
      <c r="E2383" s="48">
        <f t="shared" si="672"/>
        <v>1.03703703703704</v>
      </c>
      <c r="F2383" s="1">
        <f t="shared" si="673"/>
        <v>32.256</v>
      </c>
      <c r="G2383" s="1">
        <f ca="1" t="shared" si="670"/>
        <v>0.1</v>
      </c>
      <c r="H2383" s="1">
        <f ca="1" t="shared" si="671"/>
        <v>35.4816</v>
      </c>
    </row>
    <row r="2384" spans="2:8">
      <c r="B2384" s="1">
        <v>20</v>
      </c>
      <c r="C2384" s="6">
        <v>10</v>
      </c>
      <c r="D2384" s="43">
        <v>0.3</v>
      </c>
      <c r="E2384" s="48">
        <f t="shared" si="672"/>
        <v>1.07142857142857</v>
      </c>
      <c r="F2384" s="1">
        <f t="shared" si="673"/>
        <v>34.56</v>
      </c>
      <c r="G2384" s="1">
        <f ca="1" t="shared" si="670"/>
        <v>0.1</v>
      </c>
      <c r="H2384" s="1">
        <f ca="1" t="shared" si="671"/>
        <v>38.016</v>
      </c>
    </row>
    <row r="2385" spans="2:8">
      <c r="B2385" s="1">
        <v>21</v>
      </c>
      <c r="C2385" s="6">
        <v>13</v>
      </c>
      <c r="D2385" s="43">
        <v>0.32</v>
      </c>
      <c r="E2385" s="48">
        <f t="shared" si="672"/>
        <v>1.06666666666667</v>
      </c>
      <c r="F2385" s="1">
        <f t="shared" si="673"/>
        <v>36.864</v>
      </c>
      <c r="G2385" s="1">
        <f ca="1" t="shared" si="670"/>
        <v>0.1</v>
      </c>
      <c r="H2385" s="1">
        <f ca="1" t="shared" si="671"/>
        <v>40.5504</v>
      </c>
    </row>
    <row r="2386" spans="2:8">
      <c r="B2386" s="1">
        <v>22</v>
      </c>
      <c r="C2386" s="6">
        <v>16</v>
      </c>
      <c r="D2386" s="43">
        <v>0.34</v>
      </c>
      <c r="E2386" s="48">
        <f t="shared" si="672"/>
        <v>1.0625</v>
      </c>
      <c r="F2386" s="1">
        <f t="shared" si="673"/>
        <v>39.168</v>
      </c>
      <c r="G2386" s="1">
        <f ca="1" t="shared" si="670"/>
        <v>0.1</v>
      </c>
      <c r="H2386" s="1">
        <f ca="1" t="shared" si="671"/>
        <v>43.0848</v>
      </c>
    </row>
    <row r="2387" spans="2:8">
      <c r="B2387" s="1">
        <v>23</v>
      </c>
      <c r="C2387" s="6">
        <v>19</v>
      </c>
      <c r="D2387" s="43">
        <v>0.36</v>
      </c>
      <c r="E2387" s="48">
        <f t="shared" si="672"/>
        <v>1.05882352941176</v>
      </c>
      <c r="F2387" s="1">
        <f t="shared" si="673"/>
        <v>41.472</v>
      </c>
      <c r="G2387" s="1">
        <f ca="1" t="shared" si="670"/>
        <v>0.1</v>
      </c>
      <c r="H2387" s="1">
        <f ca="1" t="shared" si="671"/>
        <v>45.6192</v>
      </c>
    </row>
    <row r="2388" spans="2:8">
      <c r="B2388" s="1">
        <v>24</v>
      </c>
      <c r="C2388" s="6">
        <v>22</v>
      </c>
      <c r="D2388" s="43">
        <v>0.38</v>
      </c>
      <c r="E2388" s="48">
        <f t="shared" si="672"/>
        <v>1.05555555555556</v>
      </c>
      <c r="F2388" s="1">
        <f t="shared" si="673"/>
        <v>43.776</v>
      </c>
      <c r="G2388" s="1">
        <f ca="1" t="shared" si="670"/>
        <v>0.35</v>
      </c>
      <c r="H2388" s="1">
        <f ca="1" t="shared" si="671"/>
        <v>59.0976</v>
      </c>
    </row>
    <row r="2389" spans="2:8">
      <c r="B2389" s="1">
        <v>25</v>
      </c>
      <c r="C2389" s="6">
        <v>25</v>
      </c>
      <c r="D2389" s="43">
        <v>0.4</v>
      </c>
      <c r="E2389" s="48">
        <f t="shared" si="672"/>
        <v>1.05263157894737</v>
      </c>
      <c r="F2389" s="1">
        <f t="shared" si="673"/>
        <v>46.08</v>
      </c>
      <c r="G2389" s="1">
        <f ca="1" t="shared" si="670"/>
        <v>0.35</v>
      </c>
      <c r="H2389" s="1">
        <f ca="1" t="shared" si="671"/>
        <v>62.208</v>
      </c>
    </row>
    <row r="2390" spans="2:8">
      <c r="B2390" s="1">
        <v>26</v>
      </c>
      <c r="C2390" s="6">
        <v>35</v>
      </c>
      <c r="D2390" s="43">
        <v>0.52</v>
      </c>
      <c r="E2390" s="48">
        <f t="shared" si="672"/>
        <v>1.3</v>
      </c>
      <c r="F2390" s="1">
        <f t="shared" si="673"/>
        <v>59.904</v>
      </c>
      <c r="G2390" s="1">
        <f ca="1" t="shared" si="670"/>
        <v>0.4</v>
      </c>
      <c r="H2390" s="1">
        <f ca="1" t="shared" si="671"/>
        <v>83.8656</v>
      </c>
    </row>
    <row r="2391" spans="2:8">
      <c r="B2391" s="1">
        <v>27</v>
      </c>
      <c r="C2391" s="6">
        <v>40</v>
      </c>
      <c r="D2391" s="43">
        <v>0.54</v>
      </c>
      <c r="E2391" s="48">
        <f t="shared" si="672"/>
        <v>1.03846153846154</v>
      </c>
      <c r="F2391" s="1">
        <f t="shared" si="673"/>
        <v>62.208</v>
      </c>
      <c r="G2391" s="1">
        <f ca="1" t="shared" si="670"/>
        <v>0.4</v>
      </c>
      <c r="H2391" s="1">
        <f ca="1" t="shared" si="671"/>
        <v>87.0912</v>
      </c>
    </row>
    <row r="2392" spans="2:8">
      <c r="B2392" s="1">
        <v>28</v>
      </c>
      <c r="C2392" s="6">
        <v>45</v>
      </c>
      <c r="D2392" s="43">
        <v>0.56</v>
      </c>
      <c r="E2392" s="48">
        <f t="shared" si="672"/>
        <v>1.03703703703704</v>
      </c>
      <c r="F2392" s="1">
        <f t="shared" si="673"/>
        <v>64.512</v>
      </c>
      <c r="G2392" s="1">
        <f ca="1" t="shared" si="670"/>
        <v>0.4</v>
      </c>
      <c r="H2392" s="1">
        <f ca="1" t="shared" si="671"/>
        <v>90.3168</v>
      </c>
    </row>
    <row r="2393" spans="2:8">
      <c r="B2393" s="1">
        <v>29</v>
      </c>
      <c r="C2393" s="6">
        <v>50</v>
      </c>
      <c r="D2393" s="43">
        <v>0.58</v>
      </c>
      <c r="E2393" s="48">
        <f t="shared" si="672"/>
        <v>1.03571428571429</v>
      </c>
      <c r="F2393" s="1">
        <f t="shared" si="673"/>
        <v>66.816</v>
      </c>
      <c r="G2393" s="1">
        <f ca="1" t="shared" si="670"/>
        <v>0.4</v>
      </c>
      <c r="H2393" s="1">
        <f ca="1" t="shared" si="671"/>
        <v>93.5424</v>
      </c>
    </row>
    <row r="2394" spans="2:8">
      <c r="B2394" s="1">
        <v>30</v>
      </c>
      <c r="C2394" s="6">
        <v>55</v>
      </c>
      <c r="D2394" s="43">
        <v>0.6</v>
      </c>
      <c r="E2394" s="48">
        <f t="shared" si="672"/>
        <v>1.03448275862069</v>
      </c>
      <c r="F2394" s="1">
        <f t="shared" si="673"/>
        <v>69.12</v>
      </c>
      <c r="G2394" s="1">
        <f ca="1" t="shared" si="670"/>
        <v>0.4</v>
      </c>
      <c r="H2394" s="1">
        <f ca="1" t="shared" si="671"/>
        <v>96.768</v>
      </c>
    </row>
    <row r="2395" spans="2:8">
      <c r="B2395" s="1">
        <v>31</v>
      </c>
      <c r="C2395" s="6">
        <v>65</v>
      </c>
      <c r="D2395" s="43">
        <v>0.72</v>
      </c>
      <c r="E2395" s="48">
        <f t="shared" si="672"/>
        <v>1.2</v>
      </c>
      <c r="F2395" s="1">
        <f t="shared" si="673"/>
        <v>82.944</v>
      </c>
      <c r="G2395" s="1">
        <f ca="1" t="shared" si="670"/>
        <v>0.4</v>
      </c>
      <c r="H2395" s="1">
        <f ca="1" t="shared" si="671"/>
        <v>116.1216</v>
      </c>
    </row>
    <row r="2396" spans="2:8">
      <c r="B2396" s="1">
        <v>32</v>
      </c>
      <c r="C2396" s="6">
        <v>70</v>
      </c>
      <c r="D2396" s="43">
        <v>0.74</v>
      </c>
      <c r="E2396" s="48">
        <f t="shared" si="672"/>
        <v>1.02777777777778</v>
      </c>
      <c r="F2396" s="1">
        <f t="shared" si="673"/>
        <v>85.248</v>
      </c>
      <c r="G2396" s="1">
        <f ca="1" t="shared" ref="G2396:G2414" si="674">OFFSET($G$198,MATCH(C2396,$B$198:$B$269,1)-1,0)</f>
        <v>0.4</v>
      </c>
      <c r="H2396" s="1">
        <f ca="1" t="shared" ref="H2396:H2414" si="675">F2396*(1+G2396)</f>
        <v>119.3472</v>
      </c>
    </row>
    <row r="2397" spans="2:8">
      <c r="B2397" s="1">
        <v>33</v>
      </c>
      <c r="C2397" s="6">
        <v>75</v>
      </c>
      <c r="D2397" s="43">
        <v>0.76</v>
      </c>
      <c r="E2397" s="48">
        <f t="shared" si="672"/>
        <v>1.02702702702703</v>
      </c>
      <c r="F2397" s="1">
        <f t="shared" si="673"/>
        <v>87.552</v>
      </c>
      <c r="G2397" s="1">
        <f ca="1" t="shared" si="674"/>
        <v>0.4</v>
      </c>
      <c r="H2397" s="1">
        <f ca="1" t="shared" si="675"/>
        <v>122.5728</v>
      </c>
    </row>
    <row r="2398" spans="2:8">
      <c r="B2398" s="1">
        <v>34</v>
      </c>
      <c r="C2398" s="6">
        <v>80</v>
      </c>
      <c r="D2398" s="43">
        <v>0.78</v>
      </c>
      <c r="E2398" s="48">
        <f t="shared" si="672"/>
        <v>1.02631578947368</v>
      </c>
      <c r="F2398" s="1">
        <f t="shared" si="673"/>
        <v>89.856</v>
      </c>
      <c r="G2398" s="1">
        <f ca="1" t="shared" si="674"/>
        <v>0.4</v>
      </c>
      <c r="H2398" s="1">
        <f ca="1" t="shared" si="675"/>
        <v>125.7984</v>
      </c>
    </row>
    <row r="2399" spans="2:8">
      <c r="B2399" s="1">
        <v>35</v>
      </c>
      <c r="C2399" s="6">
        <v>85</v>
      </c>
      <c r="D2399" s="43">
        <v>0.8</v>
      </c>
      <c r="E2399" s="48">
        <f t="shared" si="672"/>
        <v>1.02564102564103</v>
      </c>
      <c r="F2399" s="1">
        <f t="shared" si="673"/>
        <v>92.16</v>
      </c>
      <c r="G2399" s="1">
        <f ca="1" t="shared" si="674"/>
        <v>0.4</v>
      </c>
      <c r="H2399" s="1">
        <f ca="1" t="shared" si="675"/>
        <v>129.024</v>
      </c>
    </row>
    <row r="2400" spans="2:8">
      <c r="B2400" s="1">
        <v>36</v>
      </c>
      <c r="C2400" s="6">
        <v>120</v>
      </c>
      <c r="D2400" s="43">
        <v>0.82</v>
      </c>
      <c r="E2400" s="48">
        <f t="shared" si="672"/>
        <v>1.025</v>
      </c>
      <c r="F2400" s="1">
        <f t="shared" si="673"/>
        <v>94.464</v>
      </c>
      <c r="G2400" s="1">
        <f ca="1" t="shared" si="674"/>
        <v>0.8</v>
      </c>
      <c r="H2400" s="1">
        <f ca="1" t="shared" si="675"/>
        <v>170.0352</v>
      </c>
    </row>
    <row r="2401" spans="2:8">
      <c r="B2401" s="1">
        <v>37</v>
      </c>
      <c r="C2401" s="6">
        <v>123</v>
      </c>
      <c r="D2401" s="43">
        <v>0.84</v>
      </c>
      <c r="E2401" s="48">
        <f t="shared" si="672"/>
        <v>1.02439024390244</v>
      </c>
      <c r="F2401" s="1">
        <f t="shared" si="673"/>
        <v>96.768</v>
      </c>
      <c r="G2401" s="1">
        <f ca="1" t="shared" si="674"/>
        <v>0.8</v>
      </c>
      <c r="H2401" s="1">
        <f ca="1" t="shared" si="675"/>
        <v>174.1824</v>
      </c>
    </row>
    <row r="2402" spans="2:8">
      <c r="B2402" s="1">
        <v>38</v>
      </c>
      <c r="C2402" s="6">
        <v>126</v>
      </c>
      <c r="D2402" s="43">
        <v>0.86</v>
      </c>
      <c r="E2402" s="48">
        <f t="shared" si="672"/>
        <v>1.02380952380952</v>
      </c>
      <c r="F2402" s="1">
        <f t="shared" si="673"/>
        <v>99.072</v>
      </c>
      <c r="G2402" s="1">
        <f ca="1" t="shared" si="674"/>
        <v>0.8</v>
      </c>
      <c r="H2402" s="1">
        <f ca="1" t="shared" si="675"/>
        <v>178.3296</v>
      </c>
    </row>
    <row r="2403" spans="2:8">
      <c r="B2403" s="1">
        <v>39</v>
      </c>
      <c r="C2403" s="6">
        <v>129</v>
      </c>
      <c r="D2403" s="43">
        <v>0.88</v>
      </c>
      <c r="E2403" s="48">
        <f t="shared" si="672"/>
        <v>1.02325581395349</v>
      </c>
      <c r="F2403" s="1">
        <f t="shared" si="673"/>
        <v>101.376</v>
      </c>
      <c r="G2403" s="1">
        <f ca="1" t="shared" si="674"/>
        <v>0.8</v>
      </c>
      <c r="H2403" s="1">
        <f ca="1" t="shared" si="675"/>
        <v>182.4768</v>
      </c>
    </row>
    <row r="2404" spans="2:8">
      <c r="B2404" s="1">
        <v>40</v>
      </c>
      <c r="C2404" s="6">
        <v>133</v>
      </c>
      <c r="D2404" s="43">
        <v>0.9</v>
      </c>
      <c r="E2404" s="48">
        <f t="shared" si="672"/>
        <v>1.02272727272727</v>
      </c>
      <c r="F2404" s="1">
        <f t="shared" si="673"/>
        <v>103.68</v>
      </c>
      <c r="G2404" s="1">
        <f ca="1" t="shared" si="674"/>
        <v>0.8</v>
      </c>
      <c r="H2404" s="1">
        <f ca="1" t="shared" si="675"/>
        <v>186.624</v>
      </c>
    </row>
    <row r="2405" spans="2:8">
      <c r="B2405" s="1">
        <v>41</v>
      </c>
      <c r="C2405" s="6">
        <v>135</v>
      </c>
      <c r="D2405" s="43">
        <v>0.91</v>
      </c>
      <c r="E2405" s="48">
        <f t="shared" ref="E2405:E2414" si="676">D2405/D2404</f>
        <v>1.01111111111111</v>
      </c>
      <c r="F2405" s="1">
        <f t="shared" ref="F2405:F2414" si="677">$E$2359*D2405</f>
        <v>104.832</v>
      </c>
      <c r="G2405" s="1">
        <f ca="1" t="shared" si="674"/>
        <v>0.8</v>
      </c>
      <c r="H2405" s="1">
        <f ca="1" t="shared" si="675"/>
        <v>188.6976</v>
      </c>
    </row>
    <row r="2406" spans="2:8">
      <c r="B2406" s="1">
        <v>42</v>
      </c>
      <c r="C2406" s="6">
        <v>137</v>
      </c>
      <c r="D2406" s="43">
        <v>0.92</v>
      </c>
      <c r="E2406" s="48">
        <f t="shared" si="676"/>
        <v>1.01098901098901</v>
      </c>
      <c r="F2406" s="1">
        <f t="shared" si="677"/>
        <v>105.984</v>
      </c>
      <c r="G2406" s="1">
        <f ca="1" t="shared" si="674"/>
        <v>0.8</v>
      </c>
      <c r="H2406" s="1">
        <f ca="1" t="shared" si="675"/>
        <v>190.7712</v>
      </c>
    </row>
    <row r="2407" spans="2:8">
      <c r="B2407" s="1">
        <v>43</v>
      </c>
      <c r="C2407" s="6">
        <v>139</v>
      </c>
      <c r="D2407" s="43">
        <v>0.93</v>
      </c>
      <c r="E2407" s="48">
        <f t="shared" si="676"/>
        <v>1.01086956521739</v>
      </c>
      <c r="F2407" s="1">
        <f t="shared" si="677"/>
        <v>107.136</v>
      </c>
      <c r="G2407" s="1">
        <f ca="1" t="shared" si="674"/>
        <v>0.8</v>
      </c>
      <c r="H2407" s="1">
        <f ca="1" t="shared" si="675"/>
        <v>192.8448</v>
      </c>
    </row>
    <row r="2408" spans="2:8">
      <c r="B2408" s="1">
        <v>44</v>
      </c>
      <c r="C2408" s="6">
        <v>141</v>
      </c>
      <c r="D2408" s="43">
        <v>0.94</v>
      </c>
      <c r="E2408" s="48">
        <f t="shared" si="676"/>
        <v>1.01075268817204</v>
      </c>
      <c r="F2408" s="1">
        <f t="shared" si="677"/>
        <v>108.288</v>
      </c>
      <c r="G2408" s="1">
        <f ca="1" t="shared" si="674"/>
        <v>0.8</v>
      </c>
      <c r="H2408" s="1">
        <f ca="1" t="shared" si="675"/>
        <v>194.9184</v>
      </c>
    </row>
    <row r="2409" spans="2:8">
      <c r="B2409" s="1">
        <v>45</v>
      </c>
      <c r="C2409" s="6">
        <v>143</v>
      </c>
      <c r="D2409" s="43">
        <v>0.95</v>
      </c>
      <c r="E2409" s="48">
        <f t="shared" si="676"/>
        <v>1.01063829787234</v>
      </c>
      <c r="F2409" s="1">
        <f t="shared" si="677"/>
        <v>109.44</v>
      </c>
      <c r="G2409" s="1">
        <f ca="1" t="shared" si="674"/>
        <v>0.8</v>
      </c>
      <c r="H2409" s="1">
        <f ca="1" t="shared" si="675"/>
        <v>196.992</v>
      </c>
    </row>
    <row r="2410" spans="2:8">
      <c r="B2410" s="1">
        <v>46</v>
      </c>
      <c r="C2410" s="6">
        <v>147</v>
      </c>
      <c r="D2410" s="43">
        <v>0.96</v>
      </c>
      <c r="E2410" s="48">
        <f t="shared" si="676"/>
        <v>1.01052631578947</v>
      </c>
      <c r="F2410" s="1">
        <f t="shared" si="677"/>
        <v>110.592</v>
      </c>
      <c r="G2410" s="1">
        <f ca="1" t="shared" si="674"/>
        <v>0.8</v>
      </c>
      <c r="H2410" s="1">
        <f ca="1" t="shared" si="675"/>
        <v>199.0656</v>
      </c>
    </row>
    <row r="2411" spans="2:8">
      <c r="B2411" s="1">
        <v>47</v>
      </c>
      <c r="C2411" s="6">
        <v>151</v>
      </c>
      <c r="D2411" s="43">
        <v>0.97</v>
      </c>
      <c r="E2411" s="48">
        <f t="shared" si="676"/>
        <v>1.01041666666667</v>
      </c>
      <c r="F2411" s="1">
        <f t="shared" si="677"/>
        <v>111.744</v>
      </c>
      <c r="G2411" s="1">
        <f ca="1" t="shared" si="674"/>
        <v>0.85</v>
      </c>
      <c r="H2411" s="1">
        <f ca="1" t="shared" si="675"/>
        <v>206.7264</v>
      </c>
    </row>
    <row r="2412" spans="2:8">
      <c r="B2412" s="1">
        <v>48</v>
      </c>
      <c r="C2412" s="6">
        <v>155</v>
      </c>
      <c r="D2412" s="43">
        <v>0.98</v>
      </c>
      <c r="E2412" s="48">
        <f t="shared" si="676"/>
        <v>1.01030927835052</v>
      </c>
      <c r="F2412" s="1">
        <f t="shared" si="677"/>
        <v>112.896</v>
      </c>
      <c r="G2412" s="1">
        <f ca="1" t="shared" si="674"/>
        <v>0.85</v>
      </c>
      <c r="H2412" s="1">
        <f ca="1" t="shared" si="675"/>
        <v>208.8576</v>
      </c>
    </row>
    <row r="2413" spans="2:8">
      <c r="B2413" s="1">
        <v>49</v>
      </c>
      <c r="C2413" s="6">
        <v>159</v>
      </c>
      <c r="D2413" s="43">
        <v>0.99</v>
      </c>
      <c r="E2413" s="48">
        <f t="shared" si="676"/>
        <v>1.01020408163265</v>
      </c>
      <c r="F2413" s="1">
        <f t="shared" si="677"/>
        <v>114.048</v>
      </c>
      <c r="G2413" s="1">
        <f ca="1" t="shared" si="674"/>
        <v>0.85</v>
      </c>
      <c r="H2413" s="1">
        <f ca="1" t="shared" si="675"/>
        <v>210.9888</v>
      </c>
    </row>
    <row r="2414" spans="2:8">
      <c r="B2414" s="1">
        <v>50</v>
      </c>
      <c r="C2414" s="6">
        <v>163</v>
      </c>
      <c r="D2414" s="43">
        <v>1</v>
      </c>
      <c r="E2414" s="48">
        <f t="shared" si="676"/>
        <v>1.01010101010101</v>
      </c>
      <c r="F2414" s="1">
        <f t="shared" si="677"/>
        <v>115.2</v>
      </c>
      <c r="G2414" s="1">
        <f ca="1" t="shared" si="674"/>
        <v>0.85</v>
      </c>
      <c r="H2414" s="1">
        <f ca="1" t="shared" si="675"/>
        <v>213.12</v>
      </c>
    </row>
    <row r="2415" spans="2:3">
      <c r="B2415" s="1">
        <v>51</v>
      </c>
      <c r="C2415" s="30">
        <v>360</v>
      </c>
    </row>
    <row r="2418" s="25" customFormat="1" spans="1:5">
      <c r="A2418" s="2" t="s">
        <v>377</v>
      </c>
      <c r="B2418" s="2"/>
      <c r="C2418" s="41" t="s">
        <v>436</v>
      </c>
      <c r="E2418" s="26" t="s">
        <v>1318</v>
      </c>
    </row>
    <row r="2420" spans="2:12">
      <c r="B2420" s="27" t="s">
        <v>1306</v>
      </c>
      <c r="C2420" s="27"/>
      <c r="D2420" s="27"/>
      <c r="E2420" s="27"/>
      <c r="F2420" s="27"/>
      <c r="G2420" s="27"/>
      <c r="H2420" s="27"/>
      <c r="I2420" s="27"/>
      <c r="J2420" s="27"/>
      <c r="K2420" s="27"/>
      <c r="L2420" s="27"/>
    </row>
    <row r="2422" spans="2:6">
      <c r="B2422" s="1" t="s">
        <v>715</v>
      </c>
      <c r="E2422" s="1">
        <f>总规划!$D$106</f>
        <v>480</v>
      </c>
      <c r="F2422" s="1" t="str">
        <f>总规划!$C$106</f>
        <v>1天</v>
      </c>
    </row>
    <row r="2423" spans="2:5">
      <c r="B2423" s="1" t="s">
        <v>718</v>
      </c>
      <c r="E2423" s="42">
        <f>总规划!$E$138</f>
        <v>0.075</v>
      </c>
    </row>
    <row r="2424" spans="2:6">
      <c r="B2424" s="1" t="s">
        <v>1319</v>
      </c>
      <c r="E2424" s="1">
        <f>E2422/30*E2423*24*60</f>
        <v>1728</v>
      </c>
      <c r="F2424" s="1" t="s">
        <v>1308</v>
      </c>
    </row>
    <row r="2426" spans="2:6">
      <c r="B2426" s="1" t="s">
        <v>994</v>
      </c>
      <c r="E2426" s="8">
        <f>总规划!$D$109</f>
        <v>200</v>
      </c>
      <c r="F2426" s="1" t="str">
        <f>总规划!$C$109</f>
        <v>1k弹药</v>
      </c>
    </row>
    <row r="2427" spans="2:5">
      <c r="B2427" s="1" t="s">
        <v>995</v>
      </c>
      <c r="E2427" s="68">
        <f>总规划!$H$138</f>
        <v>0.05</v>
      </c>
    </row>
    <row r="2428" spans="2:6">
      <c r="B2428" s="1" t="s">
        <v>1320</v>
      </c>
      <c r="E2428" s="1">
        <f>E2426/30*1000*E2427</f>
        <v>333.333333333333</v>
      </c>
      <c r="F2428" s="1" t="s">
        <v>1321</v>
      </c>
    </row>
    <row r="2430" spans="2:12">
      <c r="B2430" s="27" t="s">
        <v>1309</v>
      </c>
      <c r="C2430" s="27"/>
      <c r="D2430" s="27"/>
      <c r="E2430" s="27"/>
      <c r="F2430" s="27"/>
      <c r="G2430" s="27"/>
      <c r="H2430" s="27"/>
      <c r="I2430" s="27"/>
      <c r="J2430" s="27"/>
      <c r="K2430" s="27"/>
      <c r="L2430" s="27"/>
    </row>
    <row r="2432" spans="2:5">
      <c r="B2432" s="1" t="s">
        <v>1310</v>
      </c>
      <c r="E2432" s="1">
        <f>$E$4721/2</f>
        <v>150</v>
      </c>
    </row>
    <row r="2433" spans="2:5">
      <c r="B2433" s="1" t="s">
        <v>1311</v>
      </c>
      <c r="E2433" s="30">
        <v>30</v>
      </c>
    </row>
    <row r="2435" spans="2:6">
      <c r="B2435" s="1" t="s">
        <v>1312</v>
      </c>
      <c r="E2435" s="1">
        <f>E2424/E2432</f>
        <v>11.52</v>
      </c>
      <c r="F2435" s="1" t="s">
        <v>1308</v>
      </c>
    </row>
    <row r="2436" spans="2:6">
      <c r="B2436" s="1" t="s">
        <v>1322</v>
      </c>
      <c r="E2436" s="5">
        <f>E2435*E2433</f>
        <v>345.6</v>
      </c>
      <c r="F2436" s="1" t="s">
        <v>1308</v>
      </c>
    </row>
    <row r="2437" spans="5:5">
      <c r="E2437" s="13"/>
    </row>
    <row r="2438" spans="2:6">
      <c r="B2438" s="1" t="s">
        <v>1323</v>
      </c>
      <c r="E2438" s="1">
        <f>E2428/E2432</f>
        <v>2.22222222222222</v>
      </c>
      <c r="F2438" s="1" t="s">
        <v>1321</v>
      </c>
    </row>
    <row r="2439" spans="2:6">
      <c r="B2439" s="1" t="s">
        <v>1324</v>
      </c>
      <c r="E2439" s="5">
        <f>E2438*E2433</f>
        <v>66.6666666666667</v>
      </c>
      <c r="F2439" s="1" t="s">
        <v>1321</v>
      </c>
    </row>
    <row r="2441" spans="2:12">
      <c r="B2441" s="27" t="s">
        <v>1315</v>
      </c>
      <c r="C2441" s="27"/>
      <c r="D2441" s="27"/>
      <c r="E2441" s="27"/>
      <c r="F2441" s="27"/>
      <c r="G2441" s="27"/>
      <c r="H2441" s="27"/>
      <c r="I2441" s="27"/>
      <c r="J2441" s="27"/>
      <c r="K2441" s="27"/>
      <c r="L2441" s="27"/>
    </row>
    <row r="2443" spans="2:7">
      <c r="B2443" s="1" t="s">
        <v>687</v>
      </c>
      <c r="C2443" s="1" t="s">
        <v>1325</v>
      </c>
      <c r="D2443" s="1" t="s">
        <v>810</v>
      </c>
      <c r="E2443" s="1" t="s">
        <v>809</v>
      </c>
      <c r="F2443" s="1" t="s">
        <v>1053</v>
      </c>
      <c r="G2443" s="1" t="s">
        <v>809</v>
      </c>
    </row>
    <row r="2444" spans="2:6">
      <c r="B2444" s="1">
        <v>0</v>
      </c>
      <c r="C2444" s="1">
        <f ca="1">OFFSET(养成规划!$B$85,MATCH(B2444,养成规划!$D$85:$D$156,0)-1,0)</f>
        <v>0</v>
      </c>
      <c r="D2444" s="43"/>
      <c r="E2444" s="85"/>
      <c r="F2444" s="43"/>
    </row>
    <row r="2445" spans="2:7">
      <c r="B2445" s="1">
        <v>1</v>
      </c>
      <c r="C2445" s="1">
        <f ca="1">OFFSET(养成规划!$B$85,MATCH(B2445,养成规划!$D$85:$D$156,0)-1,0)</f>
        <v>1</v>
      </c>
      <c r="D2445" s="43">
        <v>0.25</v>
      </c>
      <c r="E2445" s="48"/>
      <c r="F2445" s="43">
        <v>0.25</v>
      </c>
      <c r="G2445" s="48"/>
    </row>
    <row r="2446" spans="2:7">
      <c r="B2446" s="1">
        <v>2</v>
      </c>
      <c r="C2446" s="1">
        <f ca="1">OFFSET(养成规划!$B$85,MATCH(B2446,养成规划!$D$85:$D$156,0)-1,0)</f>
        <v>6</v>
      </c>
      <c r="D2446" s="43">
        <v>0.3</v>
      </c>
      <c r="E2446" s="48">
        <f t="shared" ref="E2446:G2452" si="678">D2446/D2445</f>
        <v>1.2</v>
      </c>
      <c r="F2446" s="43">
        <v>0.3</v>
      </c>
      <c r="G2446" s="48">
        <f t="shared" si="678"/>
        <v>1.2</v>
      </c>
    </row>
    <row r="2447" spans="2:7">
      <c r="B2447" s="1">
        <v>3</v>
      </c>
      <c r="C2447" s="1">
        <f ca="1">OFFSET(养成规划!$B$85,MATCH(B2447,养成规划!$D$85:$D$156,0)-1,0)</f>
        <v>13</v>
      </c>
      <c r="D2447" s="43">
        <v>0.4</v>
      </c>
      <c r="E2447" s="48">
        <f t="shared" si="678"/>
        <v>1.33333333333333</v>
      </c>
      <c r="F2447" s="43">
        <v>0.4</v>
      </c>
      <c r="G2447" s="48">
        <f t="shared" si="678"/>
        <v>1.33333333333333</v>
      </c>
    </row>
    <row r="2448" spans="2:7">
      <c r="B2448" s="1">
        <v>4</v>
      </c>
      <c r="C2448" s="1">
        <f ca="1">OFFSET(养成规划!$B$85,MATCH(B2448,养成规划!$D$85:$D$156,0)-1,0)</f>
        <v>35</v>
      </c>
      <c r="D2448" s="43">
        <v>0.5</v>
      </c>
      <c r="E2448" s="48">
        <f t="shared" si="678"/>
        <v>1.25</v>
      </c>
      <c r="F2448" s="43">
        <v>0.5</v>
      </c>
      <c r="G2448" s="48">
        <f t="shared" si="678"/>
        <v>1.25</v>
      </c>
    </row>
    <row r="2449" spans="2:7">
      <c r="B2449" s="1">
        <v>5</v>
      </c>
      <c r="C2449" s="1">
        <f ca="1">OFFSET(养成规划!$B$85,MATCH(B2449,养成规划!$D$85:$D$156,0)-1,0)</f>
        <v>45</v>
      </c>
      <c r="D2449" s="43">
        <v>0.6</v>
      </c>
      <c r="E2449" s="48">
        <f t="shared" si="678"/>
        <v>1.2</v>
      </c>
      <c r="F2449" s="43">
        <v>0.6</v>
      </c>
      <c r="G2449" s="48">
        <f t="shared" si="678"/>
        <v>1.2</v>
      </c>
    </row>
    <row r="2450" spans="2:7">
      <c r="B2450" s="1">
        <v>6</v>
      </c>
      <c r="C2450" s="1">
        <f ca="1">OFFSET(养成规划!$B$85,MATCH(B2450,养成规划!$D$85:$D$156,0)-1,0)</f>
        <v>55</v>
      </c>
      <c r="D2450" s="43">
        <v>0.65</v>
      </c>
      <c r="E2450" s="48">
        <f t="shared" si="678"/>
        <v>1.08333333333333</v>
      </c>
      <c r="F2450" s="43">
        <v>0.65</v>
      </c>
      <c r="G2450" s="48">
        <f t="shared" si="678"/>
        <v>1.08333333333333</v>
      </c>
    </row>
    <row r="2451" spans="2:7">
      <c r="B2451" s="1">
        <v>7</v>
      </c>
      <c r="C2451" s="1">
        <f ca="1">OFFSET(养成规划!$B$85,MATCH(B2451,养成规划!$D$85:$D$156,0)-1,0)</f>
        <v>65</v>
      </c>
      <c r="D2451" s="43">
        <v>0.7</v>
      </c>
      <c r="E2451" s="48">
        <f t="shared" si="678"/>
        <v>1.07692307692308</v>
      </c>
      <c r="F2451" s="43">
        <v>0.7</v>
      </c>
      <c r="G2451" s="48">
        <f t="shared" si="678"/>
        <v>1.07692307692308</v>
      </c>
    </row>
    <row r="2452" spans="2:7">
      <c r="B2452" s="1">
        <v>8</v>
      </c>
      <c r="C2452" s="1">
        <f ca="1">OFFSET(养成规划!$B$85,MATCH(B2452,养成规划!$D$85:$D$156,0)-1,0)</f>
        <v>75</v>
      </c>
      <c r="D2452" s="43">
        <v>0.75</v>
      </c>
      <c r="E2452" s="48">
        <f t="shared" si="678"/>
        <v>1.07142857142857</v>
      </c>
      <c r="F2452" s="43">
        <v>0.75</v>
      </c>
      <c r="G2452" s="48">
        <f t="shared" si="678"/>
        <v>1.07142857142857</v>
      </c>
    </row>
    <row r="2453" spans="2:7">
      <c r="B2453" s="1">
        <v>9</v>
      </c>
      <c r="C2453" s="1">
        <f ca="1">OFFSET(养成规划!$B$85,MATCH(B2453,养成规划!$D$85:$D$156,0)-1,0)</f>
        <v>85</v>
      </c>
      <c r="D2453" s="43">
        <v>0.8</v>
      </c>
      <c r="E2453" s="48">
        <f>D2453/D2452</f>
        <v>1.06666666666667</v>
      </c>
      <c r="F2453" s="43">
        <v>0.8</v>
      </c>
      <c r="G2453" s="48">
        <f>F2453/F2452</f>
        <v>1.06666666666667</v>
      </c>
    </row>
    <row r="2454" spans="2:7">
      <c r="B2454" s="1">
        <v>10</v>
      </c>
      <c r="C2454" s="1">
        <v>124</v>
      </c>
      <c r="D2454" s="43">
        <v>0.85</v>
      </c>
      <c r="E2454" s="48">
        <f t="shared" ref="E2454:E2457" si="679">D2454/D2453</f>
        <v>1.0625</v>
      </c>
      <c r="F2454" s="43">
        <v>0.85</v>
      </c>
      <c r="G2454" s="48">
        <f t="shared" ref="G2454:G2457" si="680">F2454/F2453</f>
        <v>1.0625</v>
      </c>
    </row>
    <row r="2455" spans="2:7">
      <c r="B2455" s="1">
        <v>11</v>
      </c>
      <c r="C2455" s="1">
        <v>134</v>
      </c>
      <c r="D2455" s="43">
        <v>0.9</v>
      </c>
      <c r="E2455" s="48">
        <f t="shared" si="679"/>
        <v>1.05882352941176</v>
      </c>
      <c r="F2455" s="43">
        <v>0.9</v>
      </c>
      <c r="G2455" s="48">
        <f t="shared" si="680"/>
        <v>1.05882352941176</v>
      </c>
    </row>
    <row r="2456" spans="2:7">
      <c r="B2456" s="1">
        <v>12</v>
      </c>
      <c r="C2456" s="1">
        <v>138</v>
      </c>
      <c r="D2456" s="43">
        <v>0.95</v>
      </c>
      <c r="E2456" s="48">
        <f t="shared" si="679"/>
        <v>1.05555555555556</v>
      </c>
      <c r="F2456" s="43">
        <v>0.95</v>
      </c>
      <c r="G2456" s="48">
        <f t="shared" si="680"/>
        <v>1.05555555555556</v>
      </c>
    </row>
    <row r="2457" spans="2:7">
      <c r="B2457" s="1">
        <v>13</v>
      </c>
      <c r="C2457" s="1">
        <v>144</v>
      </c>
      <c r="D2457" s="43">
        <v>1</v>
      </c>
      <c r="E2457" s="48">
        <f t="shared" si="679"/>
        <v>1.05263157894737</v>
      </c>
      <c r="F2457" s="43">
        <v>1</v>
      </c>
      <c r="G2457" s="48">
        <f t="shared" si="680"/>
        <v>1.05263157894737</v>
      </c>
    </row>
    <row r="2458" spans="2:3">
      <c r="B2458" s="1">
        <v>14</v>
      </c>
      <c r="C2458" s="30">
        <v>360</v>
      </c>
    </row>
    <row r="2461" s="25" customFormat="1" spans="1:5">
      <c r="A2461" s="2" t="s">
        <v>546</v>
      </c>
      <c r="B2461" s="2"/>
      <c r="C2461" s="41" t="s">
        <v>436</v>
      </c>
      <c r="E2461" s="26" t="s">
        <v>1326</v>
      </c>
    </row>
    <row r="2463" spans="2:12">
      <c r="B2463" s="27" t="s">
        <v>1306</v>
      </c>
      <c r="C2463" s="27"/>
      <c r="D2463" s="27"/>
      <c r="E2463" s="27"/>
      <c r="F2463" s="27"/>
      <c r="G2463" s="27"/>
      <c r="H2463" s="27"/>
      <c r="I2463" s="27"/>
      <c r="J2463" s="27"/>
      <c r="K2463" s="27"/>
      <c r="L2463" s="27"/>
    </row>
    <row r="2465" spans="2:6">
      <c r="B2465" s="1" t="s">
        <v>708</v>
      </c>
      <c r="E2465" s="1">
        <f>总规划!$D$105</f>
        <v>1800</v>
      </c>
      <c r="F2465" s="1" t="str">
        <f>总规划!$C$105</f>
        <v>1M资源</v>
      </c>
    </row>
    <row r="2466" spans="2:5">
      <c r="B2466" s="1" t="s">
        <v>709</v>
      </c>
      <c r="E2466" s="42">
        <f>总规划!$D$139</f>
        <v>0.5</v>
      </c>
    </row>
    <row r="2467" spans="2:6">
      <c r="B2467" s="1" t="s">
        <v>1327</v>
      </c>
      <c r="E2467" s="1">
        <f>E2465/30*E2466*1000000</f>
        <v>30000000</v>
      </c>
      <c r="F2467" s="1" t="s">
        <v>1328</v>
      </c>
    </row>
    <row r="2469" spans="2:12">
      <c r="B2469" s="27" t="s">
        <v>1329</v>
      </c>
      <c r="C2469" s="27"/>
      <c r="D2469" s="27"/>
      <c r="E2469" s="27"/>
      <c r="F2469" s="27"/>
      <c r="G2469" s="27"/>
      <c r="H2469" s="27"/>
      <c r="I2469" s="27"/>
      <c r="J2469" s="27"/>
      <c r="K2469" s="27"/>
      <c r="L2469" s="27"/>
    </row>
    <row r="2471" spans="2:5">
      <c r="B2471" s="1" t="s">
        <v>1330</v>
      </c>
      <c r="E2471" s="1">
        <f>E2467/3</f>
        <v>10000000</v>
      </c>
    </row>
    <row r="2473" spans="2:5">
      <c r="B2473" s="1" t="s">
        <v>1331</v>
      </c>
      <c r="E2473" s="30">
        <v>15</v>
      </c>
    </row>
    <row r="2474" spans="2:5">
      <c r="B2474" s="1" t="s">
        <v>1332</v>
      </c>
      <c r="E2474" s="43">
        <v>3</v>
      </c>
    </row>
    <row r="2476" spans="2:5">
      <c r="B2476" s="1" t="s">
        <v>1333</v>
      </c>
      <c r="E2476" s="1">
        <f ca="1">E2467/MAX($C$2494:$C$2565)/$E$2474</f>
        <v>2000000</v>
      </c>
    </row>
    <row r="2477" spans="2:5">
      <c r="B2477" s="1" t="s">
        <v>1334</v>
      </c>
      <c r="E2477" s="4">
        <f ca="1">_xlfn.FLOOR.MATH(E2476/E2473/3600)</f>
        <v>37</v>
      </c>
    </row>
    <row r="2479" spans="2:4">
      <c r="B2479" s="1" t="s">
        <v>1335</v>
      </c>
      <c r="C2479" s="1" t="s">
        <v>1336</v>
      </c>
      <c r="D2479" s="1" t="s">
        <v>1337</v>
      </c>
    </row>
    <row r="2480" spans="2:4">
      <c r="B2480" s="1">
        <v>1</v>
      </c>
      <c r="C2480" s="1">
        <f ca="1" t="shared" ref="C2480:C2489" si="681">D2480/3600/$E$2477</f>
        <v>0.900900900900901</v>
      </c>
      <c r="D2480" s="6">
        <v>120000</v>
      </c>
    </row>
    <row r="2481" spans="2:4">
      <c r="B2481" s="1">
        <v>2</v>
      </c>
      <c r="C2481" s="1">
        <f ca="1" t="shared" si="681"/>
        <v>1.35135135135135</v>
      </c>
      <c r="D2481" s="6">
        <v>180000</v>
      </c>
    </row>
    <row r="2482" spans="2:4">
      <c r="B2482" s="1">
        <v>3</v>
      </c>
      <c r="C2482" s="1">
        <f ca="1" t="shared" si="681"/>
        <v>1.8018018018018</v>
      </c>
      <c r="D2482" s="6">
        <v>240000</v>
      </c>
    </row>
    <row r="2483" spans="2:4">
      <c r="B2483" s="1">
        <v>4</v>
      </c>
      <c r="C2483" s="1">
        <f ca="1" t="shared" si="681"/>
        <v>2.7027027027027</v>
      </c>
      <c r="D2483" s="6">
        <v>360000</v>
      </c>
    </row>
    <row r="2484" spans="2:4">
      <c r="B2484" s="1">
        <v>5</v>
      </c>
      <c r="C2484" s="1">
        <f ca="1" t="shared" si="681"/>
        <v>4.05405405405405</v>
      </c>
      <c r="D2484" s="6">
        <v>540000</v>
      </c>
    </row>
    <row r="2485" spans="2:4">
      <c r="B2485" s="1">
        <v>6</v>
      </c>
      <c r="C2485" s="1">
        <f ca="1" t="shared" si="681"/>
        <v>7.20720720720721</v>
      </c>
      <c r="D2485" s="6">
        <v>960000</v>
      </c>
    </row>
    <row r="2486" spans="2:4">
      <c r="B2486" s="1">
        <v>7</v>
      </c>
      <c r="C2486" s="1">
        <f ca="1" t="shared" si="681"/>
        <v>8.10810810810811</v>
      </c>
      <c r="D2486" s="6">
        <v>1080000</v>
      </c>
    </row>
    <row r="2487" spans="2:4">
      <c r="B2487" s="1">
        <v>8</v>
      </c>
      <c r="C2487" s="1">
        <f ca="1" t="shared" si="681"/>
        <v>9.00900900900901</v>
      </c>
      <c r="D2487" s="6">
        <v>1200000</v>
      </c>
    </row>
    <row r="2488" spans="2:4">
      <c r="B2488" s="1">
        <v>9</v>
      </c>
      <c r="C2488" s="1">
        <f ca="1" t="shared" si="681"/>
        <v>10.2102102102102</v>
      </c>
      <c r="D2488" s="6">
        <v>1360000</v>
      </c>
    </row>
    <row r="2489" spans="2:4">
      <c r="B2489" s="1">
        <v>10</v>
      </c>
      <c r="C2489" s="1">
        <f ca="1" t="shared" si="681"/>
        <v>11.2612612612613</v>
      </c>
      <c r="D2489" s="6">
        <v>1500000</v>
      </c>
    </row>
    <row r="2491" spans="2:12">
      <c r="B2491" s="27" t="s">
        <v>1315</v>
      </c>
      <c r="C2491" s="27"/>
      <c r="D2491" s="27"/>
      <c r="E2491" s="27"/>
      <c r="F2491" s="27"/>
      <c r="G2491" s="27"/>
      <c r="H2491" s="27"/>
      <c r="I2491" s="27"/>
      <c r="J2491" s="27"/>
      <c r="K2491" s="27"/>
      <c r="L2491" s="27"/>
    </row>
    <row r="2493" spans="2:11">
      <c r="B2493" s="1" t="s">
        <v>382</v>
      </c>
      <c r="C2493" s="1" t="s">
        <v>869</v>
      </c>
      <c r="D2493" s="1" t="s">
        <v>870</v>
      </c>
      <c r="E2493" s="1" t="s">
        <v>1338</v>
      </c>
      <c r="F2493" s="1" t="s">
        <v>805</v>
      </c>
      <c r="G2493" s="1" t="s">
        <v>1315</v>
      </c>
      <c r="H2493" s="1" t="s">
        <v>1339</v>
      </c>
      <c r="J2493" s="44" t="s">
        <v>1340</v>
      </c>
      <c r="K2493" s="44" t="s">
        <v>1341</v>
      </c>
    </row>
    <row r="2494" spans="2:11">
      <c r="B2494" s="7">
        <v>0</v>
      </c>
      <c r="C2494" s="1">
        <f ca="1" t="shared" ref="C2494:C2525" si="682">M476</f>
        <v>0</v>
      </c>
      <c r="D2494" s="42">
        <f ca="1" t="shared" ref="D2494:D2525" si="683">Q198</f>
        <v>0.05</v>
      </c>
      <c r="E2494" s="14">
        <f ca="1" t="shared" ref="E2494:E2525" si="684">1+D2494</f>
        <v>1.05</v>
      </c>
      <c r="F2494" s="1">
        <f ca="1" t="shared" ref="F2494:F2525" si="685">C2494*E2494</f>
        <v>0</v>
      </c>
      <c r="G2494" s="58">
        <f ca="1" t="shared" ref="G2494:G2525" si="686">IF(F2494/$E$2474=0,0,F2494/$E$2474/MAX($C$2494:$C$2565))</f>
        <v>0</v>
      </c>
      <c r="H2494" s="43">
        <v>0.1</v>
      </c>
      <c r="J2494" s="44">
        <f ca="1" t="shared" ref="J2494:J2525" si="687">C2494*E2494*$E$2477*3600</f>
        <v>0</v>
      </c>
      <c r="K2494" s="44">
        <f ca="1" t="shared" ref="K2494:K2525" si="688">J2494*H2494*$E$2473</f>
        <v>0</v>
      </c>
    </row>
    <row r="2495" spans="2:11">
      <c r="B2495" s="7">
        <v>0.1</v>
      </c>
      <c r="C2495" s="1">
        <f ca="1" t="shared" si="682"/>
        <v>1</v>
      </c>
      <c r="D2495" s="42">
        <f ca="1" t="shared" si="683"/>
        <v>0.05</v>
      </c>
      <c r="E2495" s="14">
        <f ca="1" t="shared" si="684"/>
        <v>1.05</v>
      </c>
      <c r="F2495" s="1">
        <f ca="1" t="shared" si="685"/>
        <v>1.05</v>
      </c>
      <c r="G2495" s="58">
        <f ca="1" t="shared" si="686"/>
        <v>0.07</v>
      </c>
      <c r="H2495" s="43">
        <v>0.1</v>
      </c>
      <c r="J2495" s="44">
        <f ca="1" t="shared" si="687"/>
        <v>139860</v>
      </c>
      <c r="K2495" s="44">
        <f ca="1" t="shared" si="688"/>
        <v>209790</v>
      </c>
    </row>
    <row r="2496" spans="2:11">
      <c r="B2496" s="7">
        <v>0.2</v>
      </c>
      <c r="C2496" s="1">
        <f ca="1" t="shared" si="682"/>
        <v>1</v>
      </c>
      <c r="D2496" s="42">
        <f ca="1" t="shared" si="683"/>
        <v>0.05</v>
      </c>
      <c r="E2496" s="14">
        <f ca="1" t="shared" si="684"/>
        <v>1.05</v>
      </c>
      <c r="F2496" s="1">
        <f ca="1" t="shared" si="685"/>
        <v>1.05</v>
      </c>
      <c r="G2496" s="58">
        <f ca="1" t="shared" si="686"/>
        <v>0.07</v>
      </c>
      <c r="H2496" s="43">
        <v>0.1</v>
      </c>
      <c r="J2496" s="44">
        <f ca="1" t="shared" si="687"/>
        <v>139860</v>
      </c>
      <c r="K2496" s="44">
        <f ca="1" t="shared" si="688"/>
        <v>209790</v>
      </c>
    </row>
    <row r="2497" spans="2:11">
      <c r="B2497" s="7">
        <v>0.3</v>
      </c>
      <c r="C2497" s="1">
        <f ca="1" t="shared" si="682"/>
        <v>1</v>
      </c>
      <c r="D2497" s="42">
        <f ca="1" t="shared" si="683"/>
        <v>0.05</v>
      </c>
      <c r="E2497" s="14">
        <f ca="1" t="shared" si="684"/>
        <v>1.05</v>
      </c>
      <c r="F2497" s="1">
        <f ca="1" t="shared" si="685"/>
        <v>1.05</v>
      </c>
      <c r="G2497" s="58">
        <f ca="1" t="shared" si="686"/>
        <v>0.07</v>
      </c>
      <c r="H2497" s="43">
        <v>0.1</v>
      </c>
      <c r="J2497" s="44">
        <f ca="1" t="shared" si="687"/>
        <v>139860</v>
      </c>
      <c r="K2497" s="44">
        <f ca="1" t="shared" si="688"/>
        <v>209790</v>
      </c>
    </row>
    <row r="2498" spans="2:11">
      <c r="B2498" s="7">
        <v>0.4</v>
      </c>
      <c r="C2498" s="1">
        <f ca="1" t="shared" si="682"/>
        <v>1</v>
      </c>
      <c r="D2498" s="42">
        <f ca="1" t="shared" si="683"/>
        <v>0.05</v>
      </c>
      <c r="E2498" s="14">
        <f ca="1" t="shared" si="684"/>
        <v>1.05</v>
      </c>
      <c r="F2498" s="1">
        <f ca="1" t="shared" si="685"/>
        <v>1.05</v>
      </c>
      <c r="G2498" s="58">
        <f ca="1" t="shared" si="686"/>
        <v>0.07</v>
      </c>
      <c r="H2498" s="43">
        <v>0.1</v>
      </c>
      <c r="J2498" s="44">
        <f ca="1" t="shared" si="687"/>
        <v>139860</v>
      </c>
      <c r="K2498" s="44">
        <f ca="1" t="shared" si="688"/>
        <v>209790</v>
      </c>
    </row>
    <row r="2499" spans="2:11">
      <c r="B2499" s="7">
        <v>0.5</v>
      </c>
      <c r="C2499" s="1">
        <f ca="1" t="shared" si="682"/>
        <v>1</v>
      </c>
      <c r="D2499" s="42">
        <f ca="1" t="shared" si="683"/>
        <v>0.1</v>
      </c>
      <c r="E2499" s="14">
        <f ca="1" t="shared" si="684"/>
        <v>1.1</v>
      </c>
      <c r="F2499" s="1">
        <f ca="1" t="shared" si="685"/>
        <v>1.1</v>
      </c>
      <c r="G2499" s="58">
        <f ca="1" t="shared" si="686"/>
        <v>0.0733333333333333</v>
      </c>
      <c r="H2499" s="43">
        <v>0.1</v>
      </c>
      <c r="J2499" s="44">
        <f ca="1" t="shared" si="687"/>
        <v>146520</v>
      </c>
      <c r="K2499" s="44">
        <f ca="1" t="shared" si="688"/>
        <v>219780</v>
      </c>
    </row>
    <row r="2500" spans="2:11">
      <c r="B2500" s="7">
        <v>0.6</v>
      </c>
      <c r="C2500" s="1">
        <f ca="1" t="shared" si="682"/>
        <v>1</v>
      </c>
      <c r="D2500" s="42">
        <f ca="1" t="shared" si="683"/>
        <v>0.1</v>
      </c>
      <c r="E2500" s="14">
        <f ca="1" t="shared" si="684"/>
        <v>1.1</v>
      </c>
      <c r="F2500" s="1">
        <f ca="1" t="shared" si="685"/>
        <v>1.1</v>
      </c>
      <c r="G2500" s="58">
        <f ca="1" t="shared" si="686"/>
        <v>0.0733333333333333</v>
      </c>
      <c r="H2500" s="43">
        <v>0.1</v>
      </c>
      <c r="J2500" s="44">
        <f ca="1" t="shared" si="687"/>
        <v>146520</v>
      </c>
      <c r="K2500" s="44">
        <f ca="1" t="shared" si="688"/>
        <v>219780</v>
      </c>
    </row>
    <row r="2501" spans="2:11">
      <c r="B2501" s="7">
        <v>0.7</v>
      </c>
      <c r="C2501" s="1">
        <f ca="1" t="shared" si="682"/>
        <v>1</v>
      </c>
      <c r="D2501" s="42">
        <f ca="1" t="shared" si="683"/>
        <v>0.1</v>
      </c>
      <c r="E2501" s="14">
        <f ca="1" t="shared" si="684"/>
        <v>1.1</v>
      </c>
      <c r="F2501" s="1">
        <f ca="1" t="shared" si="685"/>
        <v>1.1</v>
      </c>
      <c r="G2501" s="58">
        <f ca="1" t="shared" si="686"/>
        <v>0.0733333333333333</v>
      </c>
      <c r="H2501" s="43">
        <v>0.1</v>
      </c>
      <c r="J2501" s="44">
        <f ca="1" t="shared" si="687"/>
        <v>146520</v>
      </c>
      <c r="K2501" s="44">
        <f ca="1" t="shared" si="688"/>
        <v>219780</v>
      </c>
    </row>
    <row r="2502" spans="2:11">
      <c r="B2502" s="7">
        <v>0.8</v>
      </c>
      <c r="C2502" s="1">
        <f ca="1" t="shared" si="682"/>
        <v>1</v>
      </c>
      <c r="D2502" s="42">
        <f ca="1" t="shared" si="683"/>
        <v>0.1</v>
      </c>
      <c r="E2502" s="14">
        <f ca="1" t="shared" si="684"/>
        <v>1.1</v>
      </c>
      <c r="F2502" s="1">
        <f ca="1" t="shared" si="685"/>
        <v>1.1</v>
      </c>
      <c r="G2502" s="58">
        <f ca="1" t="shared" si="686"/>
        <v>0.0733333333333333</v>
      </c>
      <c r="H2502" s="43">
        <v>0.1</v>
      </c>
      <c r="J2502" s="44">
        <f ca="1" t="shared" si="687"/>
        <v>146520</v>
      </c>
      <c r="K2502" s="44">
        <f ca="1" t="shared" si="688"/>
        <v>219780</v>
      </c>
    </row>
    <row r="2503" spans="2:11">
      <c r="B2503" s="7">
        <v>0.9</v>
      </c>
      <c r="C2503" s="1">
        <f ca="1" t="shared" si="682"/>
        <v>1</v>
      </c>
      <c r="D2503" s="42">
        <f ca="1" t="shared" si="683"/>
        <v>0.1</v>
      </c>
      <c r="E2503" s="14">
        <f ca="1" t="shared" si="684"/>
        <v>1.1</v>
      </c>
      <c r="F2503" s="1">
        <f ca="1" t="shared" si="685"/>
        <v>1.1</v>
      </c>
      <c r="G2503" s="58">
        <f ca="1" t="shared" si="686"/>
        <v>0.0733333333333333</v>
      </c>
      <c r="H2503" s="43">
        <v>0.1</v>
      </c>
      <c r="J2503" s="44">
        <f ca="1" t="shared" si="687"/>
        <v>146520</v>
      </c>
      <c r="K2503" s="44">
        <f ca="1" t="shared" si="688"/>
        <v>219780</v>
      </c>
    </row>
    <row r="2504" spans="2:11">
      <c r="B2504" s="7">
        <v>1</v>
      </c>
      <c r="C2504" s="1">
        <f ca="1" t="shared" si="682"/>
        <v>2</v>
      </c>
      <c r="D2504" s="42">
        <f ca="1" t="shared" si="683"/>
        <v>0.1</v>
      </c>
      <c r="E2504" s="14">
        <f ca="1" t="shared" si="684"/>
        <v>1.1</v>
      </c>
      <c r="F2504" s="1">
        <f ca="1" t="shared" si="685"/>
        <v>2.2</v>
      </c>
      <c r="G2504" s="58">
        <f ca="1" t="shared" si="686"/>
        <v>0.146666666666667</v>
      </c>
      <c r="H2504" s="43">
        <v>0.1</v>
      </c>
      <c r="J2504" s="44">
        <f ca="1" t="shared" si="687"/>
        <v>293040</v>
      </c>
      <c r="K2504" s="44">
        <f ca="1" t="shared" si="688"/>
        <v>439560</v>
      </c>
    </row>
    <row r="2505" spans="2:11">
      <c r="B2505" s="9">
        <v>1.5</v>
      </c>
      <c r="C2505" s="1">
        <f ca="1" t="shared" si="682"/>
        <v>2</v>
      </c>
      <c r="D2505" s="42">
        <f ca="1" t="shared" si="683"/>
        <v>0.18</v>
      </c>
      <c r="E2505" s="14">
        <f ca="1" t="shared" si="684"/>
        <v>1.18</v>
      </c>
      <c r="F2505" s="1">
        <f ca="1" t="shared" si="685"/>
        <v>2.36</v>
      </c>
      <c r="G2505" s="58">
        <f ca="1" t="shared" si="686"/>
        <v>0.157333333333333</v>
      </c>
      <c r="H2505" s="43">
        <v>0.2</v>
      </c>
      <c r="J2505" s="44">
        <f ca="1" t="shared" si="687"/>
        <v>314352</v>
      </c>
      <c r="K2505" s="44">
        <f ca="1" t="shared" si="688"/>
        <v>943056</v>
      </c>
    </row>
    <row r="2506" spans="2:11">
      <c r="B2506" s="9">
        <v>2</v>
      </c>
      <c r="C2506" s="1">
        <f ca="1" t="shared" si="682"/>
        <v>2</v>
      </c>
      <c r="D2506" s="42">
        <f ca="1" t="shared" si="683"/>
        <v>0.28</v>
      </c>
      <c r="E2506" s="14">
        <f ca="1" t="shared" si="684"/>
        <v>1.28</v>
      </c>
      <c r="F2506" s="1">
        <f ca="1" t="shared" si="685"/>
        <v>2.56</v>
      </c>
      <c r="G2506" s="58">
        <f ca="1" t="shared" si="686"/>
        <v>0.170666666666667</v>
      </c>
      <c r="H2506" s="43">
        <v>0.2</v>
      </c>
      <c r="J2506" s="44">
        <f ca="1" t="shared" si="687"/>
        <v>340992</v>
      </c>
      <c r="K2506" s="44">
        <f ca="1" t="shared" si="688"/>
        <v>1022976</v>
      </c>
    </row>
    <row r="2507" spans="2:11">
      <c r="B2507" s="9">
        <v>2.5</v>
      </c>
      <c r="C2507" s="1">
        <f ca="1" t="shared" si="682"/>
        <v>2</v>
      </c>
      <c r="D2507" s="42">
        <f ca="1" t="shared" si="683"/>
        <v>0.28</v>
      </c>
      <c r="E2507" s="14">
        <f ca="1" t="shared" si="684"/>
        <v>1.28</v>
      </c>
      <c r="F2507" s="1">
        <f ca="1" t="shared" si="685"/>
        <v>2.56</v>
      </c>
      <c r="G2507" s="58">
        <f ca="1" t="shared" si="686"/>
        <v>0.170666666666667</v>
      </c>
      <c r="H2507" s="43">
        <v>0.3</v>
      </c>
      <c r="J2507" s="44">
        <f ca="1" t="shared" si="687"/>
        <v>340992</v>
      </c>
      <c r="K2507" s="44">
        <f ca="1" t="shared" si="688"/>
        <v>1534464</v>
      </c>
    </row>
    <row r="2508" spans="2:11">
      <c r="B2508" s="9">
        <v>3</v>
      </c>
      <c r="C2508" s="1">
        <f ca="1" t="shared" si="682"/>
        <v>2</v>
      </c>
      <c r="D2508" s="42">
        <f ca="1" t="shared" si="683"/>
        <v>0.28</v>
      </c>
      <c r="E2508" s="14">
        <f ca="1" t="shared" si="684"/>
        <v>1.28</v>
      </c>
      <c r="F2508" s="1">
        <f ca="1" t="shared" si="685"/>
        <v>2.56</v>
      </c>
      <c r="G2508" s="58">
        <f ca="1" t="shared" si="686"/>
        <v>0.170666666666667</v>
      </c>
      <c r="H2508" s="43">
        <v>0.3</v>
      </c>
      <c r="J2508" s="44">
        <f ca="1" t="shared" si="687"/>
        <v>340992</v>
      </c>
      <c r="K2508" s="44">
        <f ca="1" t="shared" si="688"/>
        <v>1534464</v>
      </c>
    </row>
    <row r="2509" spans="2:11">
      <c r="B2509" s="9">
        <v>3.5</v>
      </c>
      <c r="C2509" s="1">
        <f ca="1" t="shared" si="682"/>
        <v>2</v>
      </c>
      <c r="D2509" s="42">
        <f ca="1" t="shared" si="683"/>
        <v>0.28</v>
      </c>
      <c r="E2509" s="14">
        <f ca="1" t="shared" si="684"/>
        <v>1.28</v>
      </c>
      <c r="F2509" s="1">
        <f ca="1" t="shared" si="685"/>
        <v>2.56</v>
      </c>
      <c r="G2509" s="58">
        <f ca="1" t="shared" si="686"/>
        <v>0.170666666666667</v>
      </c>
      <c r="H2509" s="43">
        <v>0.4</v>
      </c>
      <c r="J2509" s="44">
        <f ca="1" t="shared" si="687"/>
        <v>340992</v>
      </c>
      <c r="K2509" s="44">
        <f ca="1" t="shared" si="688"/>
        <v>2045952</v>
      </c>
    </row>
    <row r="2510" spans="2:11">
      <c r="B2510" s="9">
        <v>4</v>
      </c>
      <c r="C2510" s="1">
        <f ca="1" t="shared" si="682"/>
        <v>3</v>
      </c>
      <c r="D2510" s="42">
        <f ca="1" t="shared" si="683"/>
        <v>0.28</v>
      </c>
      <c r="E2510" s="14">
        <f ca="1" t="shared" si="684"/>
        <v>1.28</v>
      </c>
      <c r="F2510" s="1">
        <f ca="1" t="shared" si="685"/>
        <v>3.84</v>
      </c>
      <c r="G2510" s="58">
        <f ca="1" t="shared" si="686"/>
        <v>0.256</v>
      </c>
      <c r="H2510" s="43">
        <v>0.4</v>
      </c>
      <c r="J2510" s="44">
        <f ca="1" t="shared" si="687"/>
        <v>511488</v>
      </c>
      <c r="K2510" s="44">
        <f ca="1" t="shared" si="688"/>
        <v>3068928</v>
      </c>
    </row>
    <row r="2511" spans="2:11">
      <c r="B2511" s="9">
        <v>4.5</v>
      </c>
      <c r="C2511" s="1">
        <f ca="1" t="shared" si="682"/>
        <v>3</v>
      </c>
      <c r="D2511" s="42">
        <f ca="1" t="shared" si="683"/>
        <v>0.28</v>
      </c>
      <c r="E2511" s="14">
        <f ca="1" t="shared" si="684"/>
        <v>1.28</v>
      </c>
      <c r="F2511" s="1">
        <f ca="1" t="shared" si="685"/>
        <v>3.84</v>
      </c>
      <c r="G2511" s="58">
        <f ca="1" t="shared" si="686"/>
        <v>0.256</v>
      </c>
      <c r="H2511" s="43">
        <v>0.5</v>
      </c>
      <c r="J2511" s="44">
        <f ca="1" t="shared" si="687"/>
        <v>511488</v>
      </c>
      <c r="K2511" s="44">
        <f ca="1" t="shared" si="688"/>
        <v>3836160</v>
      </c>
    </row>
    <row r="2512" spans="2:11">
      <c r="B2512" s="9">
        <v>5</v>
      </c>
      <c r="C2512" s="1">
        <f ca="1" t="shared" si="682"/>
        <v>3</v>
      </c>
      <c r="D2512" s="42">
        <f ca="1" t="shared" si="683"/>
        <v>0.28</v>
      </c>
      <c r="E2512" s="14">
        <f ca="1" t="shared" si="684"/>
        <v>1.28</v>
      </c>
      <c r="F2512" s="1">
        <f ca="1" t="shared" si="685"/>
        <v>3.84</v>
      </c>
      <c r="G2512" s="58">
        <f ca="1" t="shared" si="686"/>
        <v>0.256</v>
      </c>
      <c r="H2512" s="43">
        <v>0.5</v>
      </c>
      <c r="J2512" s="44">
        <f ca="1" t="shared" si="687"/>
        <v>511488</v>
      </c>
      <c r="K2512" s="44">
        <f ca="1" t="shared" si="688"/>
        <v>3836160</v>
      </c>
    </row>
    <row r="2513" spans="2:11">
      <c r="B2513" s="9">
        <v>5.5</v>
      </c>
      <c r="C2513" s="1">
        <f ca="1" t="shared" si="682"/>
        <v>3</v>
      </c>
      <c r="D2513" s="42">
        <f ca="1" t="shared" si="683"/>
        <v>0.28</v>
      </c>
      <c r="E2513" s="14">
        <f ca="1" t="shared" si="684"/>
        <v>1.28</v>
      </c>
      <c r="F2513" s="1">
        <f ca="1" t="shared" si="685"/>
        <v>3.84</v>
      </c>
      <c r="G2513" s="58">
        <f ca="1" t="shared" si="686"/>
        <v>0.256</v>
      </c>
      <c r="H2513" s="43">
        <v>0.6</v>
      </c>
      <c r="J2513" s="44">
        <f ca="1" t="shared" si="687"/>
        <v>511488</v>
      </c>
      <c r="K2513" s="44">
        <f ca="1" t="shared" si="688"/>
        <v>4603392</v>
      </c>
    </row>
    <row r="2514" spans="2:11">
      <c r="B2514" s="9">
        <v>6</v>
      </c>
      <c r="C2514" s="1">
        <f ca="1" t="shared" si="682"/>
        <v>3</v>
      </c>
      <c r="D2514" s="42">
        <f ca="1" t="shared" si="683"/>
        <v>0.33</v>
      </c>
      <c r="E2514" s="14">
        <f ca="1" t="shared" si="684"/>
        <v>1.33</v>
      </c>
      <c r="F2514" s="1">
        <f ca="1" t="shared" si="685"/>
        <v>3.99</v>
      </c>
      <c r="G2514" s="58">
        <f ca="1" t="shared" si="686"/>
        <v>0.266</v>
      </c>
      <c r="H2514" s="43">
        <v>0.6</v>
      </c>
      <c r="J2514" s="44">
        <f ca="1" t="shared" si="687"/>
        <v>531468</v>
      </c>
      <c r="K2514" s="44">
        <f ca="1" t="shared" si="688"/>
        <v>4783212</v>
      </c>
    </row>
    <row r="2515" spans="2:11">
      <c r="B2515" s="9">
        <v>6.5</v>
      </c>
      <c r="C2515" s="1">
        <f ca="1" t="shared" si="682"/>
        <v>3</v>
      </c>
      <c r="D2515" s="42">
        <f ca="1" t="shared" si="683"/>
        <v>0.33</v>
      </c>
      <c r="E2515" s="14">
        <f ca="1" t="shared" si="684"/>
        <v>1.33</v>
      </c>
      <c r="F2515" s="1">
        <f ca="1" t="shared" si="685"/>
        <v>3.99</v>
      </c>
      <c r="G2515" s="58">
        <f ca="1" t="shared" si="686"/>
        <v>0.266</v>
      </c>
      <c r="H2515" s="43">
        <v>0.7</v>
      </c>
      <c r="J2515" s="44">
        <f ca="1" t="shared" si="687"/>
        <v>531468</v>
      </c>
      <c r="K2515" s="44">
        <f ca="1" t="shared" si="688"/>
        <v>5580414</v>
      </c>
    </row>
    <row r="2516" spans="2:11">
      <c r="B2516" s="9">
        <v>7</v>
      </c>
      <c r="C2516" s="1">
        <f ca="1" t="shared" si="682"/>
        <v>3</v>
      </c>
      <c r="D2516" s="42">
        <f ca="1" t="shared" si="683"/>
        <v>0.33</v>
      </c>
      <c r="E2516" s="14">
        <f ca="1" t="shared" si="684"/>
        <v>1.33</v>
      </c>
      <c r="F2516" s="1">
        <f ca="1" t="shared" si="685"/>
        <v>3.99</v>
      </c>
      <c r="G2516" s="58">
        <f ca="1" t="shared" si="686"/>
        <v>0.266</v>
      </c>
      <c r="H2516" s="43">
        <v>0.7</v>
      </c>
      <c r="J2516" s="44">
        <f ca="1" t="shared" si="687"/>
        <v>531468</v>
      </c>
      <c r="K2516" s="44">
        <f ca="1" t="shared" si="688"/>
        <v>5580414</v>
      </c>
    </row>
    <row r="2517" spans="2:11">
      <c r="B2517" s="10">
        <v>8</v>
      </c>
      <c r="C2517" s="1">
        <f ca="1" t="shared" si="682"/>
        <v>3</v>
      </c>
      <c r="D2517" s="42">
        <f ca="1" t="shared" si="683"/>
        <v>0.48</v>
      </c>
      <c r="E2517" s="14">
        <f ca="1" t="shared" si="684"/>
        <v>1.48</v>
      </c>
      <c r="F2517" s="1">
        <f ca="1" t="shared" si="685"/>
        <v>4.44</v>
      </c>
      <c r="G2517" s="58">
        <f ca="1" t="shared" si="686"/>
        <v>0.296</v>
      </c>
      <c r="H2517" s="43">
        <v>0.8</v>
      </c>
      <c r="J2517" s="44">
        <f ca="1" t="shared" si="687"/>
        <v>591408</v>
      </c>
      <c r="K2517" s="44">
        <f ca="1" t="shared" si="688"/>
        <v>7096896</v>
      </c>
    </row>
    <row r="2518" spans="2:11">
      <c r="B2518" s="10">
        <v>9</v>
      </c>
      <c r="C2518" s="1">
        <f ca="1" t="shared" si="682"/>
        <v>3</v>
      </c>
      <c r="D2518" s="42">
        <f ca="1" t="shared" si="683"/>
        <v>0.48</v>
      </c>
      <c r="E2518" s="14">
        <f ca="1" t="shared" si="684"/>
        <v>1.48</v>
      </c>
      <c r="F2518" s="1">
        <f ca="1" t="shared" si="685"/>
        <v>4.44</v>
      </c>
      <c r="G2518" s="58">
        <f ca="1" t="shared" si="686"/>
        <v>0.296</v>
      </c>
      <c r="H2518" s="43">
        <v>0.9</v>
      </c>
      <c r="J2518" s="44">
        <f ca="1" t="shared" si="687"/>
        <v>591408</v>
      </c>
      <c r="K2518" s="44">
        <f ca="1" t="shared" si="688"/>
        <v>7984008</v>
      </c>
    </row>
    <row r="2519" spans="2:11">
      <c r="B2519" s="10">
        <v>10</v>
      </c>
      <c r="C2519" s="1">
        <f ca="1" t="shared" si="682"/>
        <v>3</v>
      </c>
      <c r="D2519" s="42">
        <f ca="1" t="shared" si="683"/>
        <v>0.6</v>
      </c>
      <c r="E2519" s="14">
        <f ca="1" t="shared" si="684"/>
        <v>1.6</v>
      </c>
      <c r="F2519" s="1">
        <f ca="1" t="shared" si="685"/>
        <v>4.8</v>
      </c>
      <c r="G2519" s="58">
        <f ca="1" t="shared" si="686"/>
        <v>0.32</v>
      </c>
      <c r="H2519" s="43">
        <v>1</v>
      </c>
      <c r="J2519" s="44">
        <f ca="1" t="shared" si="687"/>
        <v>639360</v>
      </c>
      <c r="K2519" s="44">
        <f ca="1" t="shared" si="688"/>
        <v>9590400</v>
      </c>
    </row>
    <row r="2520" spans="2:11">
      <c r="B2520" s="10">
        <v>11</v>
      </c>
      <c r="C2520" s="1">
        <f ca="1" t="shared" si="682"/>
        <v>3</v>
      </c>
      <c r="D2520" s="42">
        <f ca="1" t="shared" si="683"/>
        <v>0.6</v>
      </c>
      <c r="E2520" s="14">
        <f ca="1" t="shared" si="684"/>
        <v>1.6</v>
      </c>
      <c r="F2520" s="1">
        <f ca="1" t="shared" si="685"/>
        <v>4.8</v>
      </c>
      <c r="G2520" s="58">
        <f ca="1" t="shared" si="686"/>
        <v>0.32</v>
      </c>
      <c r="H2520" s="43">
        <v>1</v>
      </c>
      <c r="J2520" s="44">
        <f ca="1" t="shared" si="687"/>
        <v>639360</v>
      </c>
      <c r="K2520" s="44">
        <f ca="1" t="shared" si="688"/>
        <v>9590400</v>
      </c>
    </row>
    <row r="2521" spans="2:11">
      <c r="B2521" s="10">
        <v>12</v>
      </c>
      <c r="C2521" s="1">
        <f ca="1" t="shared" si="682"/>
        <v>3</v>
      </c>
      <c r="D2521" s="42">
        <f ca="1" t="shared" si="683"/>
        <v>0.6</v>
      </c>
      <c r="E2521" s="14">
        <f ca="1" t="shared" si="684"/>
        <v>1.6</v>
      </c>
      <c r="F2521" s="1">
        <f ca="1" t="shared" si="685"/>
        <v>4.8</v>
      </c>
      <c r="G2521" s="58">
        <f ca="1" t="shared" si="686"/>
        <v>0.32</v>
      </c>
      <c r="H2521" s="43">
        <v>1</v>
      </c>
      <c r="J2521" s="44">
        <f ca="1" t="shared" si="687"/>
        <v>639360</v>
      </c>
      <c r="K2521" s="44">
        <f ca="1" t="shared" si="688"/>
        <v>9590400</v>
      </c>
    </row>
    <row r="2522" spans="2:11">
      <c r="B2522" s="10">
        <v>13</v>
      </c>
      <c r="C2522" s="1">
        <f ca="1" t="shared" si="682"/>
        <v>3</v>
      </c>
      <c r="D2522" s="42">
        <f ca="1" t="shared" si="683"/>
        <v>0.6</v>
      </c>
      <c r="E2522" s="14">
        <f ca="1" t="shared" si="684"/>
        <v>1.6</v>
      </c>
      <c r="F2522" s="1">
        <f ca="1" t="shared" si="685"/>
        <v>4.8</v>
      </c>
      <c r="G2522" s="58">
        <f ca="1" t="shared" si="686"/>
        <v>0.32</v>
      </c>
      <c r="H2522" s="43">
        <v>1</v>
      </c>
      <c r="J2522" s="44">
        <f ca="1" t="shared" si="687"/>
        <v>639360</v>
      </c>
      <c r="K2522" s="44">
        <f ca="1" t="shared" si="688"/>
        <v>9590400</v>
      </c>
    </row>
    <row r="2523" spans="2:11">
      <c r="B2523" s="10">
        <v>14</v>
      </c>
      <c r="C2523" s="1">
        <f ca="1" t="shared" si="682"/>
        <v>4</v>
      </c>
      <c r="D2523" s="42">
        <f ca="1" t="shared" si="683"/>
        <v>0.6</v>
      </c>
      <c r="E2523" s="14">
        <f ca="1" t="shared" si="684"/>
        <v>1.6</v>
      </c>
      <c r="F2523" s="1">
        <f ca="1" t="shared" si="685"/>
        <v>6.4</v>
      </c>
      <c r="G2523" s="58">
        <f ca="1" t="shared" si="686"/>
        <v>0.426666666666667</v>
      </c>
      <c r="H2523" s="43">
        <v>1</v>
      </c>
      <c r="J2523" s="44">
        <f ca="1" t="shared" si="687"/>
        <v>852480</v>
      </c>
      <c r="K2523" s="44">
        <f ca="1" t="shared" si="688"/>
        <v>12787200</v>
      </c>
    </row>
    <row r="2524" spans="2:11">
      <c r="B2524" s="10">
        <v>15</v>
      </c>
      <c r="C2524" s="1">
        <f ca="1" t="shared" si="682"/>
        <v>4</v>
      </c>
      <c r="D2524" s="42">
        <f ca="1" t="shared" si="683"/>
        <v>0.6</v>
      </c>
      <c r="E2524" s="14">
        <f ca="1" t="shared" si="684"/>
        <v>1.6</v>
      </c>
      <c r="F2524" s="1">
        <f ca="1" t="shared" si="685"/>
        <v>6.4</v>
      </c>
      <c r="G2524" s="58">
        <f ca="1" t="shared" si="686"/>
        <v>0.426666666666667</v>
      </c>
      <c r="H2524" s="43">
        <v>1</v>
      </c>
      <c r="J2524" s="44">
        <f ca="1" t="shared" si="687"/>
        <v>852480</v>
      </c>
      <c r="K2524" s="44">
        <f ca="1" t="shared" si="688"/>
        <v>12787200</v>
      </c>
    </row>
    <row r="2525" spans="2:11">
      <c r="B2525" s="10">
        <v>16</v>
      </c>
      <c r="C2525" s="1">
        <f ca="1" t="shared" si="682"/>
        <v>4</v>
      </c>
      <c r="D2525" s="42">
        <f ca="1" t="shared" si="683"/>
        <v>0.6</v>
      </c>
      <c r="E2525" s="14">
        <f ca="1" t="shared" si="684"/>
        <v>1.6</v>
      </c>
      <c r="F2525" s="1">
        <f ca="1" t="shared" si="685"/>
        <v>6.4</v>
      </c>
      <c r="G2525" s="58">
        <f ca="1" t="shared" si="686"/>
        <v>0.426666666666667</v>
      </c>
      <c r="H2525" s="43">
        <v>1</v>
      </c>
      <c r="J2525" s="44">
        <f ca="1" t="shared" si="687"/>
        <v>852480</v>
      </c>
      <c r="K2525" s="44">
        <f ca="1" t="shared" si="688"/>
        <v>12787200</v>
      </c>
    </row>
    <row r="2526" spans="2:11">
      <c r="B2526" s="10">
        <v>17</v>
      </c>
      <c r="C2526" s="1">
        <f ca="1" t="shared" ref="C2526:C2557" si="689">M508</f>
        <v>4</v>
      </c>
      <c r="D2526" s="42">
        <f ca="1" t="shared" ref="D2526:D2557" si="690">Q230</f>
        <v>0.6</v>
      </c>
      <c r="E2526" s="14">
        <f ca="1" t="shared" ref="E2526:E2557" si="691">1+D2526</f>
        <v>1.6</v>
      </c>
      <c r="F2526" s="1">
        <f ca="1" t="shared" ref="F2526:F2557" si="692">C2526*E2526</f>
        <v>6.4</v>
      </c>
      <c r="G2526" s="58">
        <f ca="1" t="shared" ref="G2526:G2557" si="693">IF(F2526/$E$2474=0,0,F2526/$E$2474/MAX($C$2494:$C$2565))</f>
        <v>0.426666666666667</v>
      </c>
      <c r="H2526" s="43">
        <v>1</v>
      </c>
      <c r="J2526" s="44">
        <f ca="1" t="shared" ref="J2526:J2557" si="694">C2526*E2526*$E$2477*3600</f>
        <v>852480</v>
      </c>
      <c r="K2526" s="44">
        <f ca="1" t="shared" ref="K2526:K2557" si="695">J2526*H2526*$E$2473</f>
        <v>12787200</v>
      </c>
    </row>
    <row r="2527" spans="2:11">
      <c r="B2527" s="10">
        <v>18</v>
      </c>
      <c r="C2527" s="1">
        <f ca="1" t="shared" si="689"/>
        <v>4</v>
      </c>
      <c r="D2527" s="42">
        <f ca="1" t="shared" si="690"/>
        <v>0.6</v>
      </c>
      <c r="E2527" s="14">
        <f ca="1" t="shared" si="691"/>
        <v>1.6</v>
      </c>
      <c r="F2527" s="1">
        <f ca="1" t="shared" si="692"/>
        <v>6.4</v>
      </c>
      <c r="G2527" s="58">
        <f ca="1" t="shared" si="693"/>
        <v>0.426666666666667</v>
      </c>
      <c r="H2527" s="43">
        <v>1</v>
      </c>
      <c r="J2527" s="44">
        <f ca="1" t="shared" si="694"/>
        <v>852480</v>
      </c>
      <c r="K2527" s="44">
        <f ca="1" t="shared" si="695"/>
        <v>12787200</v>
      </c>
    </row>
    <row r="2528" spans="2:11">
      <c r="B2528" s="10">
        <v>19</v>
      </c>
      <c r="C2528" s="1">
        <f ca="1" t="shared" si="689"/>
        <v>4</v>
      </c>
      <c r="D2528" s="42">
        <f ca="1" t="shared" si="690"/>
        <v>0.6</v>
      </c>
      <c r="E2528" s="14">
        <f ca="1" t="shared" si="691"/>
        <v>1.6</v>
      </c>
      <c r="F2528" s="1">
        <f ca="1" t="shared" si="692"/>
        <v>6.4</v>
      </c>
      <c r="G2528" s="58">
        <f ca="1" t="shared" si="693"/>
        <v>0.426666666666667</v>
      </c>
      <c r="H2528" s="43">
        <v>1</v>
      </c>
      <c r="J2528" s="44">
        <f ca="1" t="shared" si="694"/>
        <v>852480</v>
      </c>
      <c r="K2528" s="44">
        <f ca="1" t="shared" si="695"/>
        <v>12787200</v>
      </c>
    </row>
    <row r="2529" spans="2:11">
      <c r="B2529" s="10">
        <v>20</v>
      </c>
      <c r="C2529" s="1">
        <f ca="1" t="shared" si="689"/>
        <v>4</v>
      </c>
      <c r="D2529" s="42">
        <f ca="1" t="shared" si="690"/>
        <v>0.65</v>
      </c>
      <c r="E2529" s="14">
        <f ca="1" t="shared" si="691"/>
        <v>1.65</v>
      </c>
      <c r="F2529" s="1">
        <f ca="1" t="shared" si="692"/>
        <v>6.6</v>
      </c>
      <c r="G2529" s="58">
        <f ca="1" t="shared" si="693"/>
        <v>0.44</v>
      </c>
      <c r="H2529" s="43">
        <v>1</v>
      </c>
      <c r="J2529" s="44">
        <f ca="1" t="shared" si="694"/>
        <v>879120</v>
      </c>
      <c r="K2529" s="44">
        <f ca="1" t="shared" si="695"/>
        <v>13186800</v>
      </c>
    </row>
    <row r="2530" spans="2:11">
      <c r="B2530" s="10">
        <v>21</v>
      </c>
      <c r="C2530" s="1">
        <f ca="1" t="shared" si="689"/>
        <v>4</v>
      </c>
      <c r="D2530" s="42">
        <f ca="1" t="shared" si="690"/>
        <v>0.65</v>
      </c>
      <c r="E2530" s="14">
        <f ca="1" t="shared" si="691"/>
        <v>1.65</v>
      </c>
      <c r="F2530" s="1">
        <f ca="1" t="shared" si="692"/>
        <v>6.6</v>
      </c>
      <c r="G2530" s="58">
        <f ca="1" t="shared" si="693"/>
        <v>0.44</v>
      </c>
      <c r="H2530" s="43">
        <v>1</v>
      </c>
      <c r="J2530" s="44">
        <f ca="1" t="shared" si="694"/>
        <v>879120</v>
      </c>
      <c r="K2530" s="44">
        <f ca="1" t="shared" si="695"/>
        <v>13186800</v>
      </c>
    </row>
    <row r="2531" spans="2:11">
      <c r="B2531" s="10">
        <v>22</v>
      </c>
      <c r="C2531" s="1">
        <f ca="1" t="shared" si="689"/>
        <v>4</v>
      </c>
      <c r="D2531" s="42">
        <f ca="1" t="shared" si="690"/>
        <v>0.65</v>
      </c>
      <c r="E2531" s="14">
        <f ca="1" t="shared" si="691"/>
        <v>1.65</v>
      </c>
      <c r="F2531" s="1">
        <f ca="1" t="shared" si="692"/>
        <v>6.6</v>
      </c>
      <c r="G2531" s="58">
        <f ca="1" t="shared" si="693"/>
        <v>0.44</v>
      </c>
      <c r="H2531" s="43">
        <v>1</v>
      </c>
      <c r="J2531" s="44">
        <f ca="1" t="shared" si="694"/>
        <v>879120</v>
      </c>
      <c r="K2531" s="44">
        <f ca="1" t="shared" si="695"/>
        <v>13186800</v>
      </c>
    </row>
    <row r="2532" spans="2:11">
      <c r="B2532" s="10">
        <v>23</v>
      </c>
      <c r="C2532" s="1">
        <f ca="1" t="shared" si="689"/>
        <v>4</v>
      </c>
      <c r="D2532" s="42">
        <f ca="1" t="shared" si="690"/>
        <v>0.65</v>
      </c>
      <c r="E2532" s="14">
        <f ca="1" t="shared" si="691"/>
        <v>1.65</v>
      </c>
      <c r="F2532" s="1">
        <f ca="1" t="shared" si="692"/>
        <v>6.6</v>
      </c>
      <c r="G2532" s="58">
        <f ca="1" t="shared" si="693"/>
        <v>0.44</v>
      </c>
      <c r="H2532" s="43">
        <v>1</v>
      </c>
      <c r="J2532" s="44">
        <f ca="1" t="shared" si="694"/>
        <v>879120</v>
      </c>
      <c r="K2532" s="44">
        <f ca="1" t="shared" si="695"/>
        <v>13186800</v>
      </c>
    </row>
    <row r="2533" spans="2:11">
      <c r="B2533" s="10">
        <v>24</v>
      </c>
      <c r="C2533" s="1">
        <f ca="1" t="shared" si="689"/>
        <v>4</v>
      </c>
      <c r="D2533" s="42">
        <f ca="1" t="shared" si="690"/>
        <v>0.85</v>
      </c>
      <c r="E2533" s="14">
        <f ca="1" t="shared" si="691"/>
        <v>1.85</v>
      </c>
      <c r="F2533" s="1">
        <f ca="1" t="shared" si="692"/>
        <v>7.4</v>
      </c>
      <c r="G2533" s="58">
        <f ca="1" t="shared" si="693"/>
        <v>0.493333333333333</v>
      </c>
      <c r="H2533" s="43">
        <v>1</v>
      </c>
      <c r="J2533" s="44">
        <f ca="1" t="shared" si="694"/>
        <v>985680</v>
      </c>
      <c r="K2533" s="44">
        <f ca="1" t="shared" si="695"/>
        <v>14785200</v>
      </c>
    </row>
    <row r="2534" spans="2:11">
      <c r="B2534" s="10">
        <v>25</v>
      </c>
      <c r="C2534" s="1">
        <f ca="1" t="shared" si="689"/>
        <v>4</v>
      </c>
      <c r="D2534" s="42">
        <f ca="1" t="shared" si="690"/>
        <v>0.85</v>
      </c>
      <c r="E2534" s="14">
        <f ca="1" t="shared" si="691"/>
        <v>1.85</v>
      </c>
      <c r="F2534" s="1">
        <f ca="1" t="shared" si="692"/>
        <v>7.4</v>
      </c>
      <c r="G2534" s="58">
        <f ca="1" t="shared" si="693"/>
        <v>0.493333333333333</v>
      </c>
      <c r="H2534" s="43">
        <v>1</v>
      </c>
      <c r="J2534" s="44">
        <f ca="1" t="shared" si="694"/>
        <v>985680</v>
      </c>
      <c r="K2534" s="44">
        <f ca="1" t="shared" si="695"/>
        <v>14785200</v>
      </c>
    </row>
    <row r="2535" spans="2:11">
      <c r="B2535" s="10">
        <v>26</v>
      </c>
      <c r="C2535" s="1">
        <f ca="1" t="shared" si="689"/>
        <v>4</v>
      </c>
      <c r="D2535" s="42">
        <f ca="1" t="shared" si="690"/>
        <v>0.85</v>
      </c>
      <c r="E2535" s="14">
        <f ca="1" t="shared" si="691"/>
        <v>1.85</v>
      </c>
      <c r="F2535" s="1">
        <f ca="1" t="shared" si="692"/>
        <v>7.4</v>
      </c>
      <c r="G2535" s="58">
        <f ca="1" t="shared" si="693"/>
        <v>0.493333333333333</v>
      </c>
      <c r="H2535" s="43">
        <v>1</v>
      </c>
      <c r="J2535" s="44">
        <f ca="1" t="shared" si="694"/>
        <v>985680</v>
      </c>
      <c r="K2535" s="44">
        <f ca="1" t="shared" si="695"/>
        <v>14785200</v>
      </c>
    </row>
    <row r="2536" spans="2:11">
      <c r="B2536" s="10">
        <v>27</v>
      </c>
      <c r="C2536" s="1">
        <f ca="1" t="shared" si="689"/>
        <v>4</v>
      </c>
      <c r="D2536" s="42">
        <f ca="1" t="shared" si="690"/>
        <v>0.85</v>
      </c>
      <c r="E2536" s="14">
        <f ca="1" t="shared" si="691"/>
        <v>1.85</v>
      </c>
      <c r="F2536" s="1">
        <f ca="1" t="shared" si="692"/>
        <v>7.4</v>
      </c>
      <c r="G2536" s="58">
        <f ca="1" t="shared" si="693"/>
        <v>0.493333333333333</v>
      </c>
      <c r="H2536" s="43">
        <v>1</v>
      </c>
      <c r="J2536" s="44">
        <f ca="1" t="shared" si="694"/>
        <v>985680</v>
      </c>
      <c r="K2536" s="44">
        <f ca="1" t="shared" si="695"/>
        <v>14785200</v>
      </c>
    </row>
    <row r="2537" spans="2:11">
      <c r="B2537" s="10">
        <v>28</v>
      </c>
      <c r="C2537" s="1">
        <f ca="1" t="shared" si="689"/>
        <v>5</v>
      </c>
      <c r="D2537" s="42">
        <f ca="1" t="shared" si="690"/>
        <v>0.85</v>
      </c>
      <c r="E2537" s="14">
        <f ca="1" t="shared" si="691"/>
        <v>1.85</v>
      </c>
      <c r="F2537" s="1">
        <f ca="1" t="shared" si="692"/>
        <v>9.25</v>
      </c>
      <c r="G2537" s="58">
        <f ca="1" t="shared" si="693"/>
        <v>0.616666666666667</v>
      </c>
      <c r="H2537" s="43">
        <v>1</v>
      </c>
      <c r="J2537" s="44">
        <f ca="1" t="shared" si="694"/>
        <v>1232100</v>
      </c>
      <c r="K2537" s="44">
        <f ca="1" t="shared" si="695"/>
        <v>18481500</v>
      </c>
    </row>
    <row r="2538" spans="2:11">
      <c r="B2538" s="10">
        <v>29</v>
      </c>
      <c r="C2538" s="1">
        <f ca="1" t="shared" si="689"/>
        <v>5</v>
      </c>
      <c r="D2538" s="42">
        <f ca="1" t="shared" si="690"/>
        <v>0.85</v>
      </c>
      <c r="E2538" s="14">
        <f ca="1" t="shared" si="691"/>
        <v>1.85</v>
      </c>
      <c r="F2538" s="1">
        <f ca="1" t="shared" si="692"/>
        <v>9.25</v>
      </c>
      <c r="G2538" s="58">
        <f ca="1" t="shared" si="693"/>
        <v>0.616666666666667</v>
      </c>
      <c r="H2538" s="43">
        <v>1</v>
      </c>
      <c r="J2538" s="44">
        <f ca="1" t="shared" si="694"/>
        <v>1232100</v>
      </c>
      <c r="K2538" s="44">
        <f ca="1" t="shared" si="695"/>
        <v>18481500</v>
      </c>
    </row>
    <row r="2539" spans="2:11">
      <c r="B2539" s="10">
        <v>30</v>
      </c>
      <c r="C2539" s="1">
        <f ca="1" t="shared" si="689"/>
        <v>5</v>
      </c>
      <c r="D2539" s="42">
        <f ca="1" t="shared" si="690"/>
        <v>0.85</v>
      </c>
      <c r="E2539" s="14">
        <f ca="1" t="shared" si="691"/>
        <v>1.85</v>
      </c>
      <c r="F2539" s="1">
        <f ca="1" t="shared" si="692"/>
        <v>9.25</v>
      </c>
      <c r="G2539" s="58">
        <f ca="1" t="shared" si="693"/>
        <v>0.616666666666667</v>
      </c>
      <c r="H2539" s="43">
        <v>1</v>
      </c>
      <c r="J2539" s="44">
        <f ca="1" t="shared" si="694"/>
        <v>1232100</v>
      </c>
      <c r="K2539" s="44">
        <f ca="1" t="shared" si="695"/>
        <v>18481500</v>
      </c>
    </row>
    <row r="2540" spans="2:11">
      <c r="B2540" s="11">
        <v>35</v>
      </c>
      <c r="C2540" s="1">
        <f ca="1" t="shared" si="689"/>
        <v>5</v>
      </c>
      <c r="D2540" s="42">
        <f ca="1" t="shared" si="690"/>
        <v>0.85</v>
      </c>
      <c r="E2540" s="14">
        <f ca="1" t="shared" si="691"/>
        <v>1.85</v>
      </c>
      <c r="F2540" s="1">
        <f ca="1" t="shared" si="692"/>
        <v>9.25</v>
      </c>
      <c r="G2540" s="58">
        <f ca="1" t="shared" si="693"/>
        <v>0.616666666666667</v>
      </c>
      <c r="H2540" s="43">
        <v>1</v>
      </c>
      <c r="J2540" s="44">
        <f ca="1" t="shared" si="694"/>
        <v>1232100</v>
      </c>
      <c r="K2540" s="44">
        <f ca="1" t="shared" si="695"/>
        <v>18481500</v>
      </c>
    </row>
    <row r="2541" spans="2:11">
      <c r="B2541" s="11">
        <v>40</v>
      </c>
      <c r="C2541" s="1">
        <f ca="1" t="shared" si="689"/>
        <v>5</v>
      </c>
      <c r="D2541" s="42">
        <f ca="1" t="shared" si="690"/>
        <v>0.85</v>
      </c>
      <c r="E2541" s="14">
        <f ca="1" t="shared" si="691"/>
        <v>1.85</v>
      </c>
      <c r="F2541" s="1">
        <f ca="1" t="shared" si="692"/>
        <v>9.25</v>
      </c>
      <c r="G2541" s="58">
        <f ca="1" t="shared" si="693"/>
        <v>0.616666666666667</v>
      </c>
      <c r="H2541" s="43">
        <v>1</v>
      </c>
      <c r="J2541" s="44">
        <f ca="1" t="shared" si="694"/>
        <v>1232100</v>
      </c>
      <c r="K2541" s="44">
        <f ca="1" t="shared" si="695"/>
        <v>18481500</v>
      </c>
    </row>
    <row r="2542" spans="2:11">
      <c r="B2542" s="11">
        <v>45</v>
      </c>
      <c r="C2542" s="1">
        <f ca="1" t="shared" si="689"/>
        <v>5</v>
      </c>
      <c r="D2542" s="42">
        <f ca="1" t="shared" si="690"/>
        <v>1.1</v>
      </c>
      <c r="E2542" s="14">
        <f ca="1" t="shared" si="691"/>
        <v>2.1</v>
      </c>
      <c r="F2542" s="1">
        <f ca="1" t="shared" si="692"/>
        <v>10.5</v>
      </c>
      <c r="G2542" s="58">
        <f ca="1" t="shared" si="693"/>
        <v>0.7</v>
      </c>
      <c r="H2542" s="43">
        <v>1</v>
      </c>
      <c r="J2542" s="44">
        <f ca="1" t="shared" si="694"/>
        <v>1398600</v>
      </c>
      <c r="K2542" s="44">
        <f ca="1" t="shared" si="695"/>
        <v>20979000</v>
      </c>
    </row>
    <row r="2543" spans="2:11">
      <c r="B2543" s="11">
        <v>50</v>
      </c>
      <c r="C2543" s="1">
        <f ca="1" t="shared" si="689"/>
        <v>5</v>
      </c>
      <c r="D2543" s="42">
        <f ca="1" t="shared" si="690"/>
        <v>1.1</v>
      </c>
      <c r="E2543" s="14">
        <f ca="1" t="shared" si="691"/>
        <v>2.1</v>
      </c>
      <c r="F2543" s="1">
        <f ca="1" t="shared" si="692"/>
        <v>10.5</v>
      </c>
      <c r="G2543" s="58">
        <f ca="1" t="shared" si="693"/>
        <v>0.7</v>
      </c>
      <c r="H2543" s="43">
        <v>1</v>
      </c>
      <c r="J2543" s="44">
        <f ca="1" t="shared" si="694"/>
        <v>1398600</v>
      </c>
      <c r="K2543" s="44">
        <f ca="1" t="shared" si="695"/>
        <v>20979000</v>
      </c>
    </row>
    <row r="2544" spans="2:11">
      <c r="B2544" s="11">
        <v>55</v>
      </c>
      <c r="C2544" s="1">
        <f ca="1" t="shared" si="689"/>
        <v>5</v>
      </c>
      <c r="D2544" s="42">
        <f ca="1" t="shared" si="690"/>
        <v>1.1</v>
      </c>
      <c r="E2544" s="14">
        <f ca="1" t="shared" si="691"/>
        <v>2.1</v>
      </c>
      <c r="F2544" s="1">
        <f ca="1" t="shared" si="692"/>
        <v>10.5</v>
      </c>
      <c r="G2544" s="58">
        <f ca="1" t="shared" si="693"/>
        <v>0.7</v>
      </c>
      <c r="H2544" s="43">
        <v>1</v>
      </c>
      <c r="J2544" s="44">
        <f ca="1" t="shared" si="694"/>
        <v>1398600</v>
      </c>
      <c r="K2544" s="44">
        <f ca="1" t="shared" si="695"/>
        <v>20979000</v>
      </c>
    </row>
    <row r="2545" spans="2:11">
      <c r="B2545" s="11">
        <v>60</v>
      </c>
      <c r="C2545" s="1">
        <f ca="1" t="shared" si="689"/>
        <v>5</v>
      </c>
      <c r="D2545" s="42">
        <f ca="1" t="shared" si="690"/>
        <v>1.25</v>
      </c>
      <c r="E2545" s="14">
        <f ca="1" t="shared" si="691"/>
        <v>2.25</v>
      </c>
      <c r="F2545" s="1">
        <f ca="1" t="shared" si="692"/>
        <v>11.25</v>
      </c>
      <c r="G2545" s="58">
        <f ca="1" t="shared" si="693"/>
        <v>0.75</v>
      </c>
      <c r="H2545" s="43">
        <v>1</v>
      </c>
      <c r="J2545" s="44">
        <f ca="1" t="shared" si="694"/>
        <v>1498500</v>
      </c>
      <c r="K2545" s="44">
        <f ca="1" t="shared" si="695"/>
        <v>22477500</v>
      </c>
    </row>
    <row r="2546" spans="2:11">
      <c r="B2546" s="11">
        <v>65</v>
      </c>
      <c r="C2546" s="1">
        <f ca="1" t="shared" si="689"/>
        <v>5</v>
      </c>
      <c r="D2546" s="42">
        <f ca="1" t="shared" si="690"/>
        <v>1.25</v>
      </c>
      <c r="E2546" s="14">
        <f ca="1" t="shared" si="691"/>
        <v>2.25</v>
      </c>
      <c r="F2546" s="1">
        <f ca="1" t="shared" si="692"/>
        <v>11.25</v>
      </c>
      <c r="G2546" s="58">
        <f ca="1" t="shared" si="693"/>
        <v>0.75</v>
      </c>
      <c r="H2546" s="43">
        <v>1</v>
      </c>
      <c r="J2546" s="44">
        <f ca="1" t="shared" si="694"/>
        <v>1498500</v>
      </c>
      <c r="K2546" s="44">
        <f ca="1" t="shared" si="695"/>
        <v>22477500</v>
      </c>
    </row>
    <row r="2547" spans="2:11">
      <c r="B2547" s="11">
        <v>70</v>
      </c>
      <c r="C2547" s="1">
        <f ca="1" t="shared" si="689"/>
        <v>5</v>
      </c>
      <c r="D2547" s="42">
        <f ca="1" t="shared" si="690"/>
        <v>1.25</v>
      </c>
      <c r="E2547" s="14">
        <f ca="1" t="shared" si="691"/>
        <v>2.25</v>
      </c>
      <c r="F2547" s="1">
        <f ca="1" t="shared" si="692"/>
        <v>11.25</v>
      </c>
      <c r="G2547" s="58">
        <f ca="1" t="shared" si="693"/>
        <v>0.75</v>
      </c>
      <c r="H2547" s="43">
        <v>1</v>
      </c>
      <c r="J2547" s="44">
        <f ca="1" t="shared" si="694"/>
        <v>1498500</v>
      </c>
      <c r="K2547" s="44">
        <f ca="1" t="shared" si="695"/>
        <v>22477500</v>
      </c>
    </row>
    <row r="2548" spans="2:11">
      <c r="B2548" s="11">
        <v>75</v>
      </c>
      <c r="C2548" s="1">
        <f ca="1" t="shared" si="689"/>
        <v>5</v>
      </c>
      <c r="D2548" s="42">
        <f ca="1" t="shared" si="690"/>
        <v>1.25</v>
      </c>
      <c r="E2548" s="14">
        <f ca="1" t="shared" si="691"/>
        <v>2.25</v>
      </c>
      <c r="F2548" s="1">
        <f ca="1" t="shared" si="692"/>
        <v>11.25</v>
      </c>
      <c r="G2548" s="58">
        <f ca="1" t="shared" si="693"/>
        <v>0.75</v>
      </c>
      <c r="H2548" s="43">
        <v>1</v>
      </c>
      <c r="J2548" s="44">
        <f ca="1" t="shared" si="694"/>
        <v>1498500</v>
      </c>
      <c r="K2548" s="44">
        <f ca="1" t="shared" si="695"/>
        <v>22477500</v>
      </c>
    </row>
    <row r="2549" spans="2:11">
      <c r="B2549" s="11">
        <v>80</v>
      </c>
      <c r="C2549" s="1">
        <f ca="1" t="shared" si="689"/>
        <v>5</v>
      </c>
      <c r="D2549" s="42">
        <f ca="1" t="shared" si="690"/>
        <v>1.25</v>
      </c>
      <c r="E2549" s="14">
        <f ca="1" t="shared" si="691"/>
        <v>2.25</v>
      </c>
      <c r="F2549" s="1">
        <f ca="1" t="shared" si="692"/>
        <v>11.25</v>
      </c>
      <c r="G2549" s="58">
        <f ca="1" t="shared" si="693"/>
        <v>0.75</v>
      </c>
      <c r="H2549" s="43">
        <v>1</v>
      </c>
      <c r="J2549" s="44">
        <f ca="1" t="shared" si="694"/>
        <v>1498500</v>
      </c>
      <c r="K2549" s="44">
        <f ca="1" t="shared" si="695"/>
        <v>22477500</v>
      </c>
    </row>
    <row r="2550" spans="2:11">
      <c r="B2550" s="11">
        <v>85</v>
      </c>
      <c r="C2550" s="1">
        <f ca="1" t="shared" si="689"/>
        <v>5</v>
      </c>
      <c r="D2550" s="42">
        <f ca="1" t="shared" si="690"/>
        <v>1.25</v>
      </c>
      <c r="E2550" s="14">
        <f ca="1" t="shared" si="691"/>
        <v>2.25</v>
      </c>
      <c r="F2550" s="1">
        <f ca="1" t="shared" si="692"/>
        <v>11.25</v>
      </c>
      <c r="G2550" s="58">
        <f ca="1" t="shared" si="693"/>
        <v>0.75</v>
      </c>
      <c r="H2550" s="43">
        <v>1</v>
      </c>
      <c r="J2550" s="44">
        <f ca="1" t="shared" si="694"/>
        <v>1498500</v>
      </c>
      <c r="K2550" s="44">
        <f ca="1" t="shared" si="695"/>
        <v>22477500</v>
      </c>
    </row>
    <row r="2551" spans="2:11">
      <c r="B2551" s="11">
        <v>90</v>
      </c>
      <c r="C2551" s="1">
        <f ca="1" t="shared" si="689"/>
        <v>5</v>
      </c>
      <c r="D2551" s="42">
        <f ca="1" t="shared" si="690"/>
        <v>1.3</v>
      </c>
      <c r="E2551" s="14">
        <f ca="1" t="shared" si="691"/>
        <v>2.3</v>
      </c>
      <c r="F2551" s="1">
        <f ca="1" t="shared" si="692"/>
        <v>11.5</v>
      </c>
      <c r="G2551" s="58">
        <f ca="1" t="shared" si="693"/>
        <v>0.766666666666667</v>
      </c>
      <c r="H2551" s="43">
        <v>1</v>
      </c>
      <c r="J2551" s="44">
        <f ca="1" t="shared" si="694"/>
        <v>1531800</v>
      </c>
      <c r="K2551" s="44">
        <f ca="1" t="shared" si="695"/>
        <v>22977000</v>
      </c>
    </row>
    <row r="2552" spans="2:11">
      <c r="B2552" s="11">
        <v>95</v>
      </c>
      <c r="C2552" s="1">
        <f ca="1" t="shared" si="689"/>
        <v>5</v>
      </c>
      <c r="D2552" s="42">
        <f ca="1" t="shared" si="690"/>
        <v>1.3</v>
      </c>
      <c r="E2552" s="14">
        <f ca="1" t="shared" si="691"/>
        <v>2.3</v>
      </c>
      <c r="F2552" s="1">
        <f ca="1" t="shared" si="692"/>
        <v>11.5</v>
      </c>
      <c r="G2552" s="58">
        <f ca="1" t="shared" si="693"/>
        <v>0.766666666666667</v>
      </c>
      <c r="H2552" s="43">
        <v>1</v>
      </c>
      <c r="J2552" s="44">
        <f ca="1" t="shared" si="694"/>
        <v>1531800</v>
      </c>
      <c r="K2552" s="44">
        <f ca="1" t="shared" si="695"/>
        <v>22977000</v>
      </c>
    </row>
    <row r="2553" spans="2:11">
      <c r="B2553" s="11">
        <v>100</v>
      </c>
      <c r="C2553" s="1">
        <f ca="1" t="shared" si="689"/>
        <v>5</v>
      </c>
      <c r="D2553" s="42">
        <f ca="1" t="shared" si="690"/>
        <v>1.3</v>
      </c>
      <c r="E2553" s="14">
        <f ca="1" t="shared" si="691"/>
        <v>2.3</v>
      </c>
      <c r="F2553" s="1">
        <f ca="1" t="shared" si="692"/>
        <v>11.5</v>
      </c>
      <c r="G2553" s="58">
        <f ca="1" t="shared" si="693"/>
        <v>0.766666666666667</v>
      </c>
      <c r="H2553" s="43">
        <v>1</v>
      </c>
      <c r="J2553" s="44">
        <f ca="1" t="shared" si="694"/>
        <v>1531800</v>
      </c>
      <c r="K2553" s="44">
        <f ca="1" t="shared" si="695"/>
        <v>22977000</v>
      </c>
    </row>
    <row r="2554" spans="2:11">
      <c r="B2554" s="11">
        <v>105</v>
      </c>
      <c r="C2554" s="1">
        <f ca="1" t="shared" si="689"/>
        <v>5</v>
      </c>
      <c r="D2554" s="42">
        <f ca="1" t="shared" si="690"/>
        <v>1.3</v>
      </c>
      <c r="E2554" s="14">
        <f ca="1" t="shared" si="691"/>
        <v>2.3</v>
      </c>
      <c r="F2554" s="1">
        <f ca="1" t="shared" si="692"/>
        <v>11.5</v>
      </c>
      <c r="G2554" s="58">
        <f ca="1" t="shared" si="693"/>
        <v>0.766666666666667</v>
      </c>
      <c r="H2554" s="43">
        <v>1</v>
      </c>
      <c r="J2554" s="44">
        <f ca="1" t="shared" si="694"/>
        <v>1531800</v>
      </c>
      <c r="K2554" s="44">
        <f ca="1" t="shared" si="695"/>
        <v>22977000</v>
      </c>
    </row>
    <row r="2555" spans="2:11">
      <c r="B2555" s="11">
        <v>110</v>
      </c>
      <c r="C2555" s="1">
        <f ca="1" t="shared" si="689"/>
        <v>5</v>
      </c>
      <c r="D2555" s="42">
        <f ca="1" t="shared" si="690"/>
        <v>1.3</v>
      </c>
      <c r="E2555" s="14">
        <f ca="1" t="shared" si="691"/>
        <v>2.3</v>
      </c>
      <c r="F2555" s="1">
        <f ca="1" t="shared" si="692"/>
        <v>11.5</v>
      </c>
      <c r="G2555" s="58">
        <f ca="1" t="shared" si="693"/>
        <v>0.766666666666667</v>
      </c>
      <c r="H2555" s="43">
        <v>1</v>
      </c>
      <c r="J2555" s="44">
        <f ca="1" t="shared" si="694"/>
        <v>1531800</v>
      </c>
      <c r="K2555" s="44">
        <f ca="1" t="shared" si="695"/>
        <v>22977000</v>
      </c>
    </row>
    <row r="2556" spans="2:11">
      <c r="B2556" s="11">
        <v>115</v>
      </c>
      <c r="C2556" s="1">
        <f ca="1" t="shared" si="689"/>
        <v>5</v>
      </c>
      <c r="D2556" s="42">
        <f ca="1" t="shared" si="690"/>
        <v>1.3</v>
      </c>
      <c r="E2556" s="14">
        <f ca="1" t="shared" si="691"/>
        <v>2.3</v>
      </c>
      <c r="F2556" s="1">
        <f ca="1" t="shared" si="692"/>
        <v>11.5</v>
      </c>
      <c r="G2556" s="58">
        <f ca="1" t="shared" si="693"/>
        <v>0.766666666666667</v>
      </c>
      <c r="H2556" s="43">
        <v>1</v>
      </c>
      <c r="J2556" s="44">
        <f ca="1" t="shared" si="694"/>
        <v>1531800</v>
      </c>
      <c r="K2556" s="44">
        <f ca="1" t="shared" si="695"/>
        <v>22977000</v>
      </c>
    </row>
    <row r="2557" spans="2:11">
      <c r="B2557" s="11">
        <v>120</v>
      </c>
      <c r="C2557" s="1">
        <f ca="1" t="shared" si="689"/>
        <v>5</v>
      </c>
      <c r="D2557" s="42">
        <f ca="1" t="shared" si="690"/>
        <v>1.3</v>
      </c>
      <c r="E2557" s="14">
        <f ca="1" t="shared" si="691"/>
        <v>2.3</v>
      </c>
      <c r="F2557" s="1">
        <f ca="1" t="shared" si="692"/>
        <v>11.5</v>
      </c>
      <c r="G2557" s="58">
        <f ca="1" t="shared" si="693"/>
        <v>0.766666666666667</v>
      </c>
      <c r="H2557" s="43">
        <v>1</v>
      </c>
      <c r="J2557" s="44">
        <f ca="1" t="shared" si="694"/>
        <v>1531800</v>
      </c>
      <c r="K2557" s="44">
        <f ca="1" t="shared" si="695"/>
        <v>22977000</v>
      </c>
    </row>
    <row r="2558" spans="2:11">
      <c r="B2558" s="12">
        <v>150</v>
      </c>
      <c r="C2558" s="1">
        <f ca="1" t="shared" ref="C2558:C2565" si="696">M540</f>
        <v>5</v>
      </c>
      <c r="D2558" s="42">
        <f ca="1" t="shared" ref="D2558:D2565" si="697">Q262</f>
        <v>1.8</v>
      </c>
      <c r="E2558" s="14">
        <f ca="1" t="shared" ref="E2558:E2565" si="698">1+D2558</f>
        <v>2.8</v>
      </c>
      <c r="F2558" s="1">
        <f ca="1" t="shared" ref="F2558:F2565" si="699">C2558*E2558</f>
        <v>14</v>
      </c>
      <c r="G2558" s="58">
        <f ca="1" t="shared" ref="G2558:G2565" si="700">IF(F2558/$E$2474=0,0,F2558/$E$2474/MAX($C$2494:$C$2565))</f>
        <v>0.933333333333333</v>
      </c>
      <c r="H2558" s="43">
        <v>1</v>
      </c>
      <c r="J2558" s="44">
        <f ca="1" t="shared" ref="J2558:J2565" si="701">C2558*E2558*$E$2477*3600</f>
        <v>1864800</v>
      </c>
      <c r="K2558" s="44">
        <f ca="1" t="shared" ref="K2558:K2565" si="702">J2558*H2558*$E$2473</f>
        <v>27972000</v>
      </c>
    </row>
    <row r="2559" spans="2:11">
      <c r="B2559" s="12">
        <v>180</v>
      </c>
      <c r="C2559" s="1">
        <f ca="1" t="shared" si="696"/>
        <v>5</v>
      </c>
      <c r="D2559" s="42">
        <f ca="1" t="shared" si="697"/>
        <v>1.8</v>
      </c>
      <c r="E2559" s="14">
        <f ca="1" t="shared" si="698"/>
        <v>2.8</v>
      </c>
      <c r="F2559" s="1">
        <f ca="1" t="shared" si="699"/>
        <v>14</v>
      </c>
      <c r="G2559" s="58">
        <f ca="1" t="shared" si="700"/>
        <v>0.933333333333333</v>
      </c>
      <c r="H2559" s="43">
        <v>1</v>
      </c>
      <c r="J2559" s="44">
        <f ca="1" t="shared" si="701"/>
        <v>1864800</v>
      </c>
      <c r="K2559" s="44">
        <f ca="1" t="shared" si="702"/>
        <v>27972000</v>
      </c>
    </row>
    <row r="2560" spans="2:11">
      <c r="B2560" s="12">
        <v>210</v>
      </c>
      <c r="C2560" s="1">
        <f ca="1" t="shared" si="696"/>
        <v>5</v>
      </c>
      <c r="D2560" s="42">
        <f ca="1" t="shared" si="697"/>
        <v>1.8</v>
      </c>
      <c r="E2560" s="14">
        <f ca="1" t="shared" si="698"/>
        <v>2.8</v>
      </c>
      <c r="F2560" s="1">
        <f ca="1" t="shared" si="699"/>
        <v>14</v>
      </c>
      <c r="G2560" s="58">
        <f ca="1" t="shared" si="700"/>
        <v>0.933333333333333</v>
      </c>
      <c r="H2560" s="43">
        <v>1</v>
      </c>
      <c r="J2560" s="44">
        <f ca="1" t="shared" si="701"/>
        <v>1864800</v>
      </c>
      <c r="K2560" s="44">
        <f ca="1" t="shared" si="702"/>
        <v>27972000</v>
      </c>
    </row>
    <row r="2561" spans="2:11">
      <c r="B2561" s="12">
        <v>240</v>
      </c>
      <c r="C2561" s="1">
        <f ca="1" t="shared" si="696"/>
        <v>5</v>
      </c>
      <c r="D2561" s="42">
        <f ca="1" t="shared" si="697"/>
        <v>1.8</v>
      </c>
      <c r="E2561" s="14">
        <f ca="1" t="shared" si="698"/>
        <v>2.8</v>
      </c>
      <c r="F2561" s="1">
        <f ca="1" t="shared" si="699"/>
        <v>14</v>
      </c>
      <c r="G2561" s="58">
        <f ca="1" t="shared" si="700"/>
        <v>0.933333333333333</v>
      </c>
      <c r="H2561" s="43">
        <v>1</v>
      </c>
      <c r="J2561" s="44">
        <f ca="1" t="shared" si="701"/>
        <v>1864800</v>
      </c>
      <c r="K2561" s="44">
        <f ca="1" t="shared" si="702"/>
        <v>27972000</v>
      </c>
    </row>
    <row r="2562" spans="2:11">
      <c r="B2562" s="12">
        <v>270</v>
      </c>
      <c r="C2562" s="1">
        <f ca="1" t="shared" si="696"/>
        <v>5</v>
      </c>
      <c r="D2562" s="42">
        <f ca="1" t="shared" si="697"/>
        <v>1.8</v>
      </c>
      <c r="E2562" s="14">
        <f ca="1" t="shared" si="698"/>
        <v>2.8</v>
      </c>
      <c r="F2562" s="1">
        <f ca="1" t="shared" si="699"/>
        <v>14</v>
      </c>
      <c r="G2562" s="58">
        <f ca="1" t="shared" si="700"/>
        <v>0.933333333333333</v>
      </c>
      <c r="H2562" s="43">
        <v>1</v>
      </c>
      <c r="J2562" s="44">
        <f ca="1" t="shared" si="701"/>
        <v>1864800</v>
      </c>
      <c r="K2562" s="44">
        <f ca="1" t="shared" si="702"/>
        <v>27972000</v>
      </c>
    </row>
    <row r="2563" spans="2:11">
      <c r="B2563" s="12">
        <v>300</v>
      </c>
      <c r="C2563" s="1">
        <f ca="1" t="shared" si="696"/>
        <v>5</v>
      </c>
      <c r="D2563" s="42">
        <f ca="1" t="shared" si="697"/>
        <v>1.8</v>
      </c>
      <c r="E2563" s="14">
        <f ca="1" t="shared" si="698"/>
        <v>2.8</v>
      </c>
      <c r="F2563" s="1">
        <f ca="1" t="shared" si="699"/>
        <v>14</v>
      </c>
      <c r="G2563" s="58">
        <f ca="1" t="shared" si="700"/>
        <v>0.933333333333333</v>
      </c>
      <c r="H2563" s="43">
        <v>1</v>
      </c>
      <c r="J2563" s="44">
        <f ca="1" t="shared" si="701"/>
        <v>1864800</v>
      </c>
      <c r="K2563" s="44">
        <f ca="1" t="shared" si="702"/>
        <v>27972000</v>
      </c>
    </row>
    <row r="2564" spans="2:11">
      <c r="B2564" s="12">
        <v>330</v>
      </c>
      <c r="C2564" s="1">
        <f ca="1" t="shared" si="696"/>
        <v>5</v>
      </c>
      <c r="D2564" s="42">
        <f ca="1" t="shared" si="697"/>
        <v>1.8</v>
      </c>
      <c r="E2564" s="14">
        <f ca="1" t="shared" si="698"/>
        <v>2.8</v>
      </c>
      <c r="F2564" s="1">
        <f ca="1" t="shared" si="699"/>
        <v>14</v>
      </c>
      <c r="G2564" s="58">
        <f ca="1" t="shared" si="700"/>
        <v>0.933333333333333</v>
      </c>
      <c r="H2564" s="43">
        <v>1</v>
      </c>
      <c r="J2564" s="44">
        <f ca="1" t="shared" si="701"/>
        <v>1864800</v>
      </c>
      <c r="K2564" s="44">
        <f ca="1" t="shared" si="702"/>
        <v>27972000</v>
      </c>
    </row>
    <row r="2565" spans="2:11">
      <c r="B2565" s="12">
        <v>360</v>
      </c>
      <c r="C2565" s="1">
        <f ca="1" t="shared" si="696"/>
        <v>5</v>
      </c>
      <c r="D2565" s="42">
        <f ca="1" t="shared" si="697"/>
        <v>1.85</v>
      </c>
      <c r="E2565" s="14">
        <f ca="1" t="shared" si="698"/>
        <v>2.85</v>
      </c>
      <c r="F2565" s="1">
        <f ca="1" t="shared" si="699"/>
        <v>14.25</v>
      </c>
      <c r="G2565" s="58">
        <f ca="1" t="shared" si="700"/>
        <v>0.95</v>
      </c>
      <c r="H2565" s="43">
        <v>1</v>
      </c>
      <c r="J2565" s="44">
        <f ca="1" t="shared" si="701"/>
        <v>1898100</v>
      </c>
      <c r="K2565" s="44">
        <f ca="1" t="shared" si="702"/>
        <v>28471500</v>
      </c>
    </row>
    <row r="2567" spans="2:12">
      <c r="B2567" s="27" t="s">
        <v>1342</v>
      </c>
      <c r="C2567" s="27"/>
      <c r="D2567" s="27"/>
      <c r="E2567" s="27"/>
      <c r="F2567" s="27"/>
      <c r="G2567" s="27"/>
      <c r="H2567" s="27"/>
      <c r="I2567" s="27"/>
      <c r="J2567" s="27"/>
      <c r="K2567" s="27"/>
      <c r="L2567" s="27"/>
    </row>
    <row r="2569" spans="2:3">
      <c r="B2569" s="1" t="s">
        <v>382</v>
      </c>
      <c r="C2569" s="1" t="s">
        <v>1343</v>
      </c>
    </row>
    <row r="2570" spans="2:3">
      <c r="B2570" s="1">
        <f ca="1" t="shared" ref="B2570:B2582" si="703">OFFSET($B$2494,MATCH(C2570,$E$2494:$E$2565,0)-1,0)</f>
        <v>0</v>
      </c>
      <c r="C2570" s="13">
        <f ca="1">MIN($E$2494:$E$2565)</f>
        <v>1.05</v>
      </c>
    </row>
    <row r="2571" spans="2:3">
      <c r="B2571" s="1">
        <f ca="1" t="shared" si="703"/>
        <v>0.5</v>
      </c>
      <c r="C2571" s="13">
        <f ca="1" t="array" ref="C2571">MIN(IF($E$2494:$E$2565&gt;C2570,$E$2494:$E$2565))</f>
        <v>1.1</v>
      </c>
    </row>
    <row r="2572" spans="2:3">
      <c r="B2572" s="1">
        <f ca="1" t="shared" si="703"/>
        <v>1.5</v>
      </c>
      <c r="C2572" s="13">
        <f ca="1" t="array" ref="C2572">MIN(IF($E$2494:$E$2565&gt;C2571,$E$2494:$E$2565))</f>
        <v>1.18</v>
      </c>
    </row>
    <row r="2573" spans="2:3">
      <c r="B2573" s="1">
        <f ca="1" t="shared" si="703"/>
        <v>2</v>
      </c>
      <c r="C2573" s="13">
        <f ca="1" t="array" ref="C2573">MIN(IF($E$2494:$E$2565&gt;C2572,$E$2494:$E$2565))</f>
        <v>1.28</v>
      </c>
    </row>
    <row r="2574" spans="2:3">
      <c r="B2574" s="1">
        <f ca="1" t="shared" si="703"/>
        <v>6</v>
      </c>
      <c r="C2574" s="13">
        <f ca="1" t="array" ref="C2574">MIN(IF($E$2494:$E$2565&gt;C2573,$E$2494:$E$2565))</f>
        <v>1.33</v>
      </c>
    </row>
    <row r="2575" spans="2:3">
      <c r="B2575" s="1">
        <f ca="1" t="shared" si="703"/>
        <v>8</v>
      </c>
      <c r="C2575" s="13">
        <f ca="1" t="array" ref="C2575">MIN(IF($E$2494:$E$2565&gt;C2574,$E$2494:$E$2565))</f>
        <v>1.48</v>
      </c>
    </row>
    <row r="2576" spans="2:3">
      <c r="B2576" s="1">
        <f ca="1" t="shared" si="703"/>
        <v>10</v>
      </c>
      <c r="C2576" s="13">
        <f ca="1" t="array" ref="C2576">MIN(IF($E$2494:$E$2565&gt;C2575,$E$2494:$E$2565))</f>
        <v>1.6</v>
      </c>
    </row>
    <row r="2577" spans="2:3">
      <c r="B2577" s="1">
        <f ca="1" t="shared" si="703"/>
        <v>20</v>
      </c>
      <c r="C2577" s="13">
        <f ca="1" t="array" ref="C2577">MIN(IF($E$2494:$E$2565&gt;C2576,$E$2494:$E$2565))</f>
        <v>1.65</v>
      </c>
    </row>
    <row r="2578" spans="2:3">
      <c r="B2578" s="1">
        <f ca="1" t="shared" si="703"/>
        <v>24</v>
      </c>
      <c r="C2578" s="13">
        <f ca="1" t="array" ref="C2578">MIN(IF($E$2494:$E$2565&gt;C2577,$E$2494:$E$2565))</f>
        <v>1.85</v>
      </c>
    </row>
    <row r="2579" spans="2:3">
      <c r="B2579" s="1">
        <f ca="1" t="shared" si="703"/>
        <v>45</v>
      </c>
      <c r="C2579" s="13">
        <f ca="1" t="array" ref="C2579">MIN(IF($E$2494:$E$2565&gt;C2578,$E$2494:$E$2565))</f>
        <v>2.1</v>
      </c>
    </row>
    <row r="2580" spans="2:3">
      <c r="B2580" s="1">
        <f ca="1" t="shared" si="703"/>
        <v>60</v>
      </c>
      <c r="C2580" s="13">
        <f ca="1" t="array" ref="C2580">MIN(IF($E$2494:$E$2565&gt;C2579,$E$2494:$E$2565))</f>
        <v>2.25</v>
      </c>
    </row>
    <row r="2581" spans="2:3">
      <c r="B2581" s="1">
        <f ca="1" t="shared" si="703"/>
        <v>90</v>
      </c>
      <c r="C2581" s="13">
        <f ca="1" t="array" ref="C2581">MIN(IF($E$2494:$E$2565&gt;C2580,$E$2494:$E$2565))</f>
        <v>2.3</v>
      </c>
    </row>
    <row r="2582" spans="2:3">
      <c r="B2582" s="1">
        <f ca="1" t="shared" si="703"/>
        <v>150</v>
      </c>
      <c r="C2582" s="13">
        <f ca="1" t="array" ref="C2582">MIN(IF($E$2494:$E$2565&gt;C2581,$E$2494:$E$2565))</f>
        <v>2.8</v>
      </c>
    </row>
    <row r="2583" spans="2:3">
      <c r="B2583" s="30">
        <v>360</v>
      </c>
      <c r="C2583" s="43">
        <v>2.85</v>
      </c>
    </row>
    <row r="2586" s="25" customFormat="1" spans="1:5">
      <c r="A2586" s="2" t="s">
        <v>547</v>
      </c>
      <c r="B2586" s="2"/>
      <c r="C2586" s="41" t="s">
        <v>436</v>
      </c>
      <c r="E2586" s="26" t="s">
        <v>1344</v>
      </c>
    </row>
    <row r="2588" spans="2:12">
      <c r="B2588" s="27" t="s">
        <v>1306</v>
      </c>
      <c r="C2588" s="27"/>
      <c r="D2588" s="27"/>
      <c r="E2588" s="27"/>
      <c r="F2588" s="27"/>
      <c r="G2588" s="27"/>
      <c r="H2588" s="27"/>
      <c r="I2588" s="27"/>
      <c r="J2588" s="27"/>
      <c r="K2588" s="27"/>
      <c r="L2588" s="27"/>
    </row>
    <row r="2590" spans="2:6">
      <c r="B2590" s="1" t="s">
        <v>1172</v>
      </c>
      <c r="E2590" s="1">
        <f>总规划!$D$113</f>
        <v>120</v>
      </c>
      <c r="F2590" s="1" t="str">
        <f>总规划!$C$113</f>
        <v>1M军经</v>
      </c>
    </row>
    <row r="2591" spans="2:5">
      <c r="B2591" s="1" t="s">
        <v>1173</v>
      </c>
      <c r="E2591" s="68">
        <f>总规划!$L$140</f>
        <v>0.5</v>
      </c>
    </row>
    <row r="2592" spans="2:6">
      <c r="B2592" s="1" t="s">
        <v>1345</v>
      </c>
      <c r="E2592" s="1">
        <f>E2590/30*E2591*1000000</f>
        <v>2000000</v>
      </c>
      <c r="F2592" s="1" t="s">
        <v>1346</v>
      </c>
    </row>
    <row r="2594" spans="2:6">
      <c r="B2594" s="1" t="s">
        <v>1184</v>
      </c>
      <c r="E2594" s="1">
        <f>总规划!$D$115</f>
        <v>10.8</v>
      </c>
      <c r="F2594" s="1" t="str">
        <f>总规划!$C$115</f>
        <v>1M阵经</v>
      </c>
    </row>
    <row r="2595" spans="2:5">
      <c r="B2595" s="1" t="s">
        <v>1185</v>
      </c>
      <c r="E2595" s="68">
        <f>总规划!$N$140</f>
        <v>1</v>
      </c>
    </row>
    <row r="2596" spans="2:6">
      <c r="B2596" s="1" t="s">
        <v>1347</v>
      </c>
      <c r="E2596" s="1">
        <f>E2594/30*E2595*1000000</f>
        <v>360000</v>
      </c>
      <c r="F2596" s="1" t="s">
        <v>1348</v>
      </c>
    </row>
    <row r="2598" spans="2:6">
      <c r="B2598" s="1" t="s">
        <v>1349</v>
      </c>
      <c r="E2598" s="1">
        <f>总规划!$D$105</f>
        <v>1800</v>
      </c>
      <c r="F2598" s="1" t="str">
        <f>总规划!$C$105</f>
        <v>1M资源</v>
      </c>
    </row>
    <row r="2599" spans="2:5">
      <c r="B2599" s="1" t="s">
        <v>1350</v>
      </c>
      <c r="E2599" s="68">
        <f>总规划!$D$140</f>
        <v>0.02</v>
      </c>
    </row>
    <row r="2600" spans="2:6">
      <c r="B2600" s="1" t="s">
        <v>1351</v>
      </c>
      <c r="E2600" s="1">
        <f>E2598/30*E2599*1000000</f>
        <v>1200000</v>
      </c>
      <c r="F2600" s="1" t="s">
        <v>1328</v>
      </c>
    </row>
    <row r="2602" spans="2:6">
      <c r="B2602" s="1" t="s">
        <v>715</v>
      </c>
      <c r="E2602" s="1">
        <f>总规划!$D$106</f>
        <v>480</v>
      </c>
      <c r="F2602" s="1" t="str">
        <f>总规划!$C$106</f>
        <v>1天</v>
      </c>
    </row>
    <row r="2603" spans="2:5">
      <c r="B2603" s="1" t="s">
        <v>719</v>
      </c>
      <c r="E2603" s="68">
        <f>总规划!$E$140</f>
        <v>0.015</v>
      </c>
    </row>
    <row r="2604" spans="2:6">
      <c r="B2604" s="1" t="s">
        <v>1352</v>
      </c>
      <c r="E2604" s="1">
        <f>E2602/30*E2603*60*24</f>
        <v>345.6</v>
      </c>
      <c r="F2604" s="1" t="s">
        <v>1308</v>
      </c>
    </row>
    <row r="2606" spans="2:6">
      <c r="B2606" s="1" t="s">
        <v>944</v>
      </c>
      <c r="E2606" s="1">
        <f>总规划!$D$107</f>
        <v>1500</v>
      </c>
      <c r="F2606" s="1" t="str">
        <f>总规划!$C$107</f>
        <v>1四星卡</v>
      </c>
    </row>
    <row r="2607" spans="2:5">
      <c r="B2607" s="1" t="s">
        <v>945</v>
      </c>
      <c r="E2607" s="68">
        <f>总规划!$F$140</f>
        <v>0.04</v>
      </c>
    </row>
    <row r="2608" spans="2:6">
      <c r="B2608" s="1" t="s">
        <v>1353</v>
      </c>
      <c r="E2608" s="1">
        <f>E2606/30*E2607</f>
        <v>2</v>
      </c>
      <c r="F2608" s="1" t="str">
        <f>总规划!$C$107</f>
        <v>1四星卡</v>
      </c>
    </row>
    <row r="2610" spans="2:6">
      <c r="B2610" s="1" t="s">
        <v>1057</v>
      </c>
      <c r="E2610" s="1">
        <f>总规划!$D$110</f>
        <v>60</v>
      </c>
      <c r="F2610" s="1" t="str">
        <f>总规划!$C$110</f>
        <v>1k零件</v>
      </c>
    </row>
    <row r="2611" spans="2:5">
      <c r="B2611" s="1" t="s">
        <v>1058</v>
      </c>
      <c r="E2611" s="68">
        <f>总规划!$I$140</f>
        <v>0.023</v>
      </c>
    </row>
    <row r="2612" spans="2:6">
      <c r="B2612" s="1" t="s">
        <v>1354</v>
      </c>
      <c r="E2612" s="1">
        <f>E2610/30*E2611*1000</f>
        <v>46</v>
      </c>
      <c r="F2612" s="1" t="s">
        <v>1355</v>
      </c>
    </row>
    <row r="2614" spans="2:6">
      <c r="B2614" s="1" t="s">
        <v>1103</v>
      </c>
      <c r="E2614" s="1">
        <f>总规划!$D$111</f>
        <v>360</v>
      </c>
      <c r="F2614" s="1" t="str">
        <f>总规划!$C$111</f>
        <v>1k铜材料</v>
      </c>
    </row>
    <row r="2615" spans="2:5">
      <c r="B2615" s="1" t="s">
        <v>1104</v>
      </c>
      <c r="E2615" s="68">
        <f>总规划!$J$140</f>
        <v>0.05</v>
      </c>
    </row>
    <row r="2616" spans="2:6">
      <c r="B2616" s="1" t="s">
        <v>1356</v>
      </c>
      <c r="E2616" s="1">
        <f>E2614/30*E2615*1000</f>
        <v>600</v>
      </c>
      <c r="F2616" s="1" t="s">
        <v>1357</v>
      </c>
    </row>
    <row r="2618" spans="2:6">
      <c r="B2618" s="1" t="s">
        <v>1358</v>
      </c>
      <c r="E2618" s="1">
        <f>总规划!$D$114</f>
        <v>180</v>
      </c>
      <c r="F2618" s="1" t="str">
        <f>总规划!$C$114</f>
        <v>1技书</v>
      </c>
    </row>
    <row r="2619" spans="2:5">
      <c r="B2619" s="1" t="s">
        <v>1359</v>
      </c>
      <c r="E2619" s="68">
        <f>总规划!$M$140</f>
        <v>0.5</v>
      </c>
    </row>
    <row r="2620" spans="2:6">
      <c r="B2620" s="1" t="s">
        <v>1360</v>
      </c>
      <c r="E2620" s="1">
        <f>E2618/30*E2619</f>
        <v>3</v>
      </c>
      <c r="F2620" s="1" t="str">
        <f>总规划!$C$114</f>
        <v>1技书</v>
      </c>
    </row>
    <row r="2622" spans="2:12">
      <c r="B2622" s="27" t="s">
        <v>1315</v>
      </c>
      <c r="C2622" s="27"/>
      <c r="D2622" s="27"/>
      <c r="E2622" s="27"/>
      <c r="F2622" s="27"/>
      <c r="G2622" s="27"/>
      <c r="H2622" s="27"/>
      <c r="I2622" s="27"/>
      <c r="J2622" s="27"/>
      <c r="K2622" s="27"/>
      <c r="L2622" s="27"/>
    </row>
    <row r="2624" spans="2:21">
      <c r="B2624" s="1" t="s">
        <v>1361</v>
      </c>
      <c r="C2624" s="1" t="s">
        <v>62</v>
      </c>
      <c r="D2624" s="1" t="s">
        <v>382</v>
      </c>
      <c r="E2624" s="1" t="s">
        <v>1362</v>
      </c>
      <c r="F2624" s="1" t="s">
        <v>1363</v>
      </c>
      <c r="G2624" s="1" t="s">
        <v>809</v>
      </c>
      <c r="H2624" s="1" t="s">
        <v>1364</v>
      </c>
      <c r="I2624" s="1" t="s">
        <v>809</v>
      </c>
      <c r="J2624" s="1" t="s">
        <v>808</v>
      </c>
      <c r="K2624" s="1" t="s">
        <v>809</v>
      </c>
      <c r="L2624" s="1" t="s">
        <v>810</v>
      </c>
      <c r="M2624" s="1" t="s">
        <v>809</v>
      </c>
      <c r="N2624" s="1" t="s">
        <v>1365</v>
      </c>
      <c r="O2624" s="1" t="s">
        <v>809</v>
      </c>
      <c r="P2624" s="1" t="s">
        <v>1366</v>
      </c>
      <c r="Q2624" s="1" t="s">
        <v>809</v>
      </c>
      <c r="R2624" s="1" t="s">
        <v>1367</v>
      </c>
      <c r="S2624" s="1" t="s">
        <v>809</v>
      </c>
      <c r="T2624" s="1" t="s">
        <v>1368</v>
      </c>
      <c r="U2624" s="1" t="s">
        <v>809</v>
      </c>
    </row>
    <row r="2625" spans="2:20">
      <c r="B2625" s="1">
        <v>0</v>
      </c>
      <c r="C2625" s="30">
        <v>0</v>
      </c>
      <c r="D2625" s="1">
        <f ca="1">OFFSET($B$1814,MATCH(C2625,$D$1814:$D$1885,0)-1,0)</f>
        <v>0</v>
      </c>
      <c r="E2625" s="30"/>
      <c r="F2625" s="43"/>
      <c r="G2625" s="68"/>
      <c r="H2625" s="43"/>
      <c r="J2625" s="30"/>
      <c r="L2625" s="30"/>
      <c r="N2625" s="30"/>
      <c r="P2625" s="30"/>
      <c r="R2625" s="30"/>
      <c r="T2625" s="30"/>
    </row>
    <row r="2626" spans="2:20">
      <c r="B2626" s="1">
        <v>1</v>
      </c>
      <c r="C2626" s="30">
        <v>1</v>
      </c>
      <c r="D2626" s="1">
        <f ca="1" t="shared" ref="D2626:D2630" si="704">OFFSET($B$1814,MATCH(C2626,$D$1814:$D$1885,0)-1,0)</f>
        <v>1</v>
      </c>
      <c r="E2626" s="30">
        <v>1</v>
      </c>
      <c r="F2626" s="43">
        <v>0.3</v>
      </c>
      <c r="G2626" s="68"/>
      <c r="H2626" s="43">
        <v>0.03</v>
      </c>
      <c r="J2626" s="43">
        <v>0.18</v>
      </c>
      <c r="L2626" s="43">
        <v>0.18</v>
      </c>
      <c r="N2626" s="43">
        <v>0.18</v>
      </c>
      <c r="P2626" s="43">
        <v>0.18</v>
      </c>
      <c r="R2626" s="43">
        <v>0.18</v>
      </c>
      <c r="T2626" s="43">
        <v>0.18</v>
      </c>
    </row>
    <row r="2627" spans="2:21">
      <c r="B2627" s="1">
        <v>2</v>
      </c>
      <c r="C2627" s="30">
        <v>2</v>
      </c>
      <c r="D2627" s="1">
        <f ca="1" t="shared" si="704"/>
        <v>1.5</v>
      </c>
      <c r="E2627" s="30">
        <v>2</v>
      </c>
      <c r="F2627" s="43">
        <v>0.6</v>
      </c>
      <c r="G2627" s="68">
        <f t="shared" ref="G2627:G2630" si="705">F2627/F2626</f>
        <v>2</v>
      </c>
      <c r="H2627" s="43">
        <v>0.12</v>
      </c>
      <c r="I2627" s="68">
        <f t="shared" ref="I2627:I2630" si="706">H2627/H2626</f>
        <v>4</v>
      </c>
      <c r="J2627" s="43">
        <v>0.27</v>
      </c>
      <c r="K2627" s="68">
        <f t="shared" ref="K2627:K2630" si="707">J2627/J2626</f>
        <v>1.5</v>
      </c>
      <c r="L2627" s="43">
        <v>0.27</v>
      </c>
      <c r="M2627" s="68">
        <f t="shared" ref="M2627:M2630" si="708">L2627/L2626</f>
        <v>1.5</v>
      </c>
      <c r="N2627" s="43">
        <v>0.27</v>
      </c>
      <c r="O2627" s="68">
        <f t="shared" ref="O2627:O2630" si="709">N2627/N2626</f>
        <v>1.5</v>
      </c>
      <c r="P2627" s="43">
        <v>0.27</v>
      </c>
      <c r="Q2627" s="68">
        <f t="shared" ref="Q2627:Q2630" si="710">P2627/P2626</f>
        <v>1.5</v>
      </c>
      <c r="R2627" s="43">
        <v>0.27</v>
      </c>
      <c r="S2627" s="68">
        <f t="shared" ref="S2627:U2628" si="711">R2627/R2626</f>
        <v>1.5</v>
      </c>
      <c r="T2627" s="43">
        <v>0.27</v>
      </c>
      <c r="U2627" s="68">
        <f t="shared" si="711"/>
        <v>1.5</v>
      </c>
    </row>
    <row r="2628" spans="2:21">
      <c r="B2628" s="1">
        <v>3</v>
      </c>
      <c r="C2628" s="30">
        <v>4</v>
      </c>
      <c r="D2628" s="1">
        <f ca="1" t="shared" si="704"/>
        <v>7</v>
      </c>
      <c r="E2628" s="30">
        <v>3</v>
      </c>
      <c r="F2628" s="43">
        <v>0.8</v>
      </c>
      <c r="G2628" s="68">
        <f t="shared" si="705"/>
        <v>1.33333333333333</v>
      </c>
      <c r="H2628" s="43">
        <v>0.36</v>
      </c>
      <c r="I2628" s="68">
        <f t="shared" si="706"/>
        <v>3</v>
      </c>
      <c r="J2628" s="43">
        <v>0.36</v>
      </c>
      <c r="K2628" s="68">
        <f t="shared" si="707"/>
        <v>1.33333333333333</v>
      </c>
      <c r="L2628" s="43">
        <v>0.36</v>
      </c>
      <c r="M2628" s="68">
        <f t="shared" si="708"/>
        <v>1.33333333333333</v>
      </c>
      <c r="N2628" s="43">
        <v>0.36</v>
      </c>
      <c r="O2628" s="68">
        <f t="shared" si="709"/>
        <v>1.33333333333333</v>
      </c>
      <c r="P2628" s="43">
        <v>0.36</v>
      </c>
      <c r="Q2628" s="68">
        <f t="shared" si="710"/>
        <v>1.33333333333333</v>
      </c>
      <c r="R2628" s="43">
        <v>0.36</v>
      </c>
      <c r="S2628" s="68">
        <f t="shared" si="711"/>
        <v>1.33333333333333</v>
      </c>
      <c r="T2628" s="43">
        <v>0.36</v>
      </c>
      <c r="U2628" s="68">
        <f t="shared" si="711"/>
        <v>1.33333333333333</v>
      </c>
    </row>
    <row r="2629" spans="2:21">
      <c r="B2629" s="1">
        <v>4</v>
      </c>
      <c r="C2629" s="30">
        <v>7</v>
      </c>
      <c r="D2629" s="1">
        <f ca="1" t="shared" si="704"/>
        <v>28</v>
      </c>
      <c r="E2629" s="30">
        <v>3</v>
      </c>
      <c r="F2629" s="43">
        <v>0.9</v>
      </c>
      <c r="G2629" s="68">
        <f t="shared" si="705"/>
        <v>1.125</v>
      </c>
      <c r="H2629" s="43">
        <v>0.6</v>
      </c>
      <c r="I2629" s="68">
        <f t="shared" si="706"/>
        <v>1.66666666666667</v>
      </c>
      <c r="J2629" s="43">
        <v>0.6</v>
      </c>
      <c r="K2629" s="68">
        <f t="shared" si="707"/>
        <v>1.66666666666667</v>
      </c>
      <c r="L2629" s="43">
        <v>0.6</v>
      </c>
      <c r="M2629" s="68">
        <f t="shared" si="708"/>
        <v>1.66666666666667</v>
      </c>
      <c r="N2629" s="43">
        <v>0.6</v>
      </c>
      <c r="O2629" s="68">
        <f t="shared" si="709"/>
        <v>1.66666666666667</v>
      </c>
      <c r="P2629" s="43">
        <v>0.6</v>
      </c>
      <c r="Q2629" s="68">
        <f t="shared" si="710"/>
        <v>1.66666666666667</v>
      </c>
      <c r="R2629" s="43">
        <v>0.6</v>
      </c>
      <c r="S2629" s="68">
        <f>R2629/R2628</f>
        <v>1.66666666666667</v>
      </c>
      <c r="T2629" s="43">
        <v>0.6</v>
      </c>
      <c r="U2629" s="68">
        <f>T2629/T2628</f>
        <v>1.66666666666667</v>
      </c>
    </row>
    <row r="2630" spans="2:21">
      <c r="B2630" s="1">
        <v>5</v>
      </c>
      <c r="C2630" s="30">
        <v>11</v>
      </c>
      <c r="D2630" s="1">
        <f ca="1" t="shared" si="704"/>
        <v>95</v>
      </c>
      <c r="E2630" s="30">
        <v>3</v>
      </c>
      <c r="F2630" s="43">
        <v>1</v>
      </c>
      <c r="G2630" s="68">
        <f t="shared" si="705"/>
        <v>1.11111111111111</v>
      </c>
      <c r="H2630" s="43">
        <v>1</v>
      </c>
      <c r="I2630" s="68">
        <f t="shared" si="706"/>
        <v>1.66666666666667</v>
      </c>
      <c r="J2630" s="43">
        <v>1</v>
      </c>
      <c r="K2630" s="68">
        <f t="shared" si="707"/>
        <v>1.66666666666667</v>
      </c>
      <c r="L2630" s="43">
        <v>1</v>
      </c>
      <c r="M2630" s="68">
        <f t="shared" si="708"/>
        <v>1.66666666666667</v>
      </c>
      <c r="N2630" s="43">
        <v>1</v>
      </c>
      <c r="O2630" s="68">
        <f t="shared" si="709"/>
        <v>1.66666666666667</v>
      </c>
      <c r="P2630" s="43">
        <v>1</v>
      </c>
      <c r="Q2630" s="68">
        <f t="shared" si="710"/>
        <v>1.66666666666667</v>
      </c>
      <c r="R2630" s="43">
        <v>1</v>
      </c>
      <c r="S2630" s="68">
        <f>R2630/R2629</f>
        <v>1.66666666666667</v>
      </c>
      <c r="T2630" s="43">
        <v>1</v>
      </c>
      <c r="U2630" s="68">
        <f>T2630/T2629</f>
        <v>1.66666666666667</v>
      </c>
    </row>
    <row r="2632" spans="2:12">
      <c r="B2632" s="27" t="s">
        <v>1369</v>
      </c>
      <c r="C2632" s="27"/>
      <c r="D2632" s="27"/>
      <c r="E2632" s="27"/>
      <c r="F2632" s="27"/>
      <c r="G2632" s="27"/>
      <c r="H2632" s="27"/>
      <c r="I2632" s="27"/>
      <c r="J2632" s="27"/>
      <c r="K2632" s="27"/>
      <c r="L2632" s="27"/>
    </row>
    <row r="2634" spans="2:5">
      <c r="B2634" s="1" t="s">
        <v>1370</v>
      </c>
      <c r="E2634" s="30">
        <v>3</v>
      </c>
    </row>
    <row r="2635" spans="2:5">
      <c r="B2635" s="1" t="s">
        <v>1181</v>
      </c>
      <c r="E2635" s="1">
        <f>$E$1738</f>
        <v>10</v>
      </c>
    </row>
    <row r="2636" spans="2:5">
      <c r="B2636" s="1" t="s">
        <v>1371</v>
      </c>
      <c r="E2636" s="6">
        <v>1.2</v>
      </c>
    </row>
    <row r="2637" spans="2:5">
      <c r="B2637" s="1" t="s">
        <v>1372</v>
      </c>
      <c r="E2637" s="6">
        <v>1.2</v>
      </c>
    </row>
    <row r="2638" spans="2:5">
      <c r="B2638" s="1" t="s">
        <v>1373</v>
      </c>
      <c r="E2638" s="30">
        <v>0.3</v>
      </c>
    </row>
    <row r="2640" spans="2:27">
      <c r="B2640" s="1" t="s">
        <v>1361</v>
      </c>
      <c r="C2640" s="1" t="s">
        <v>1374</v>
      </c>
      <c r="D2640" s="4" t="s">
        <v>1375</v>
      </c>
      <c r="E2640" s="1" t="s">
        <v>1376</v>
      </c>
      <c r="F2640" s="15" t="s">
        <v>1377</v>
      </c>
      <c r="G2640" s="16" t="s">
        <v>1378</v>
      </c>
      <c r="H2640" s="17" t="s">
        <v>1379</v>
      </c>
      <c r="I2640" s="15" t="s">
        <v>1380</v>
      </c>
      <c r="J2640" s="1" t="s">
        <v>1381</v>
      </c>
      <c r="K2640" s="4" t="s">
        <v>1378</v>
      </c>
      <c r="L2640" s="5" t="s">
        <v>1382</v>
      </c>
      <c r="M2640" s="1" t="s">
        <v>1380</v>
      </c>
      <c r="N2640" s="15" t="s">
        <v>1383</v>
      </c>
      <c r="O2640" s="15" t="s">
        <v>1384</v>
      </c>
      <c r="P2640" s="15" t="s">
        <v>1385</v>
      </c>
      <c r="Q2640" s="15" t="s">
        <v>1386</v>
      </c>
      <c r="R2640" s="15" t="s">
        <v>1387</v>
      </c>
      <c r="S2640" s="15" t="s">
        <v>1388</v>
      </c>
      <c r="T2640" s="15" t="s">
        <v>1389</v>
      </c>
      <c r="U2640" s="5" t="s">
        <v>1390</v>
      </c>
      <c r="V2640" s="5" t="s">
        <v>1391</v>
      </c>
      <c r="W2640" s="5" t="s">
        <v>1392</v>
      </c>
      <c r="X2640" s="5" t="s">
        <v>1393</v>
      </c>
      <c r="Y2640" s="5" t="s">
        <v>1394</v>
      </c>
      <c r="Z2640" s="5" t="s">
        <v>1395</v>
      </c>
      <c r="AA2640" s="5" t="s">
        <v>1396</v>
      </c>
    </row>
    <row r="2641" spans="2:27">
      <c r="B2641" s="1">
        <v>1</v>
      </c>
      <c r="C2641" s="30">
        <v>0.5</v>
      </c>
      <c r="D2641" s="4">
        <f t="shared" ref="D2641:D2645" si="712">C2641*3600</f>
        <v>1800</v>
      </c>
      <c r="E2641" s="30">
        <v>12</v>
      </c>
      <c r="F2641" s="15">
        <f>$E$2592*F2626/$E$2634/E2626*C2641/E2641/$E$2636*$E$2638</f>
        <v>2083.33333333333</v>
      </c>
      <c r="G2641" s="16">
        <f>_xlfn.FLOOR.MATH(F2641,POWER(10,MAX(0,INT(LOG10(F2641)-1))))</f>
        <v>2000</v>
      </c>
      <c r="H2641" s="17">
        <f t="shared" ref="H2641:H2645" si="713">G2641*E2641/C2641*$E$2636*$E$2634*E2626</f>
        <v>172800</v>
      </c>
      <c r="I2641" s="59">
        <f t="shared" ref="I2641:I2645" si="714">H2641/MAX($H$2641:$H$2645)</f>
        <v>0.290909090909091</v>
      </c>
      <c r="J2641" s="30">
        <v>300</v>
      </c>
      <c r="K2641" s="4">
        <f>_xlfn.FLOOR.MATH(J2641,POWER(10,MAX(0,INT(LOG10(J2641)-1))))</f>
        <v>300</v>
      </c>
      <c r="L2641" s="5">
        <f t="shared" ref="L2641:L2645" si="715">K2641*E2641/C2641*$E$2634*$E$2637</f>
        <v>25920</v>
      </c>
      <c r="M2641" s="58">
        <f t="shared" ref="M2641:M2645" si="716">L2641/MAX($L$2641:$L$2645)</f>
        <v>0.072</v>
      </c>
      <c r="N2641" s="15">
        <f t="shared" ref="N2641:N2645" si="717">$E$2600*J2626/$E$2634*C2641/E2641</f>
        <v>3000</v>
      </c>
      <c r="O2641" s="15">
        <f t="shared" ref="O2641:O2645" si="718">$E$2604*L2626/$E$2634*C2641/E2641</f>
        <v>0.864</v>
      </c>
      <c r="P2641" s="15">
        <f t="shared" ref="P2641:P2645" si="719">$E$2608*N2626/$E$2634*C2641/E2641</f>
        <v>0.005</v>
      </c>
      <c r="Q2641" s="15">
        <f t="shared" ref="Q2641:Q2645" si="720">$E$2612*P2626/$E$2634*C2641/E2641</f>
        <v>0.115</v>
      </c>
      <c r="R2641" s="15">
        <f t="shared" ref="R2641:R2645" si="721">$E$2616*R2626/$E$2634*C2641/E2641</f>
        <v>1.5</v>
      </c>
      <c r="S2641" s="15">
        <f t="shared" ref="S2641:S2645" si="722">$E$2620*T2626/$E$2634*C2641/E2641</f>
        <v>0.0075</v>
      </c>
      <c r="T2641" s="15">
        <f>$E$2592*F2626*(1-$E$2638)/$E$2634*C2641/E2641</f>
        <v>5833.33333333333</v>
      </c>
      <c r="U2641" s="5">
        <f t="shared" ref="U2641:AA2641" si="723">N2641*$E2641/$C2641*$E$2634</f>
        <v>216000</v>
      </c>
      <c r="V2641" s="5">
        <f t="shared" si="723"/>
        <v>62.208</v>
      </c>
      <c r="W2641" s="5">
        <f t="shared" si="723"/>
        <v>0.36</v>
      </c>
      <c r="X2641" s="5">
        <f t="shared" si="723"/>
        <v>8.28</v>
      </c>
      <c r="Y2641" s="5">
        <f t="shared" si="723"/>
        <v>108</v>
      </c>
      <c r="Z2641" s="5">
        <f t="shared" si="723"/>
        <v>0.54</v>
      </c>
      <c r="AA2641" s="5">
        <f t="shared" si="723"/>
        <v>420000</v>
      </c>
    </row>
    <row r="2642" spans="2:27">
      <c r="B2642" s="1">
        <v>2</v>
      </c>
      <c r="C2642" s="30">
        <v>4</v>
      </c>
      <c r="D2642" s="4">
        <f t="shared" si="712"/>
        <v>14400</v>
      </c>
      <c r="E2642" s="30">
        <v>16</v>
      </c>
      <c r="F2642" s="15">
        <f t="shared" ref="F2642:F2645" si="724">$E$2592*F2627/$E$2634/E2627*C2642/E2642/$E$2636*$E$2638</f>
        <v>12500</v>
      </c>
      <c r="G2642" s="16">
        <f>_xlfn.FLOOR.MATH(F2642,POWER(10,MAX(0,INT(LOG10(F2642)-1))))</f>
        <v>12000</v>
      </c>
      <c r="H2642" s="17">
        <f t="shared" si="713"/>
        <v>345600</v>
      </c>
      <c r="I2642" s="59">
        <f t="shared" si="714"/>
        <v>0.581818181818182</v>
      </c>
      <c r="J2642" s="1">
        <f t="shared" ref="J2642:J2645" si="725">$E$2596*H2627/$E$2634*C2642/E2642/$E$2637</f>
        <v>3000</v>
      </c>
      <c r="K2642" s="4">
        <f>_xlfn.FLOOR.MATH(J2642,POWER(10,MAX(0,INT(LOG10(J2642)-1))))</f>
        <v>3000</v>
      </c>
      <c r="L2642" s="5">
        <f t="shared" si="715"/>
        <v>43200</v>
      </c>
      <c r="M2642" s="58">
        <f t="shared" si="716"/>
        <v>0.12</v>
      </c>
      <c r="N2642" s="15">
        <f t="shared" si="717"/>
        <v>27000</v>
      </c>
      <c r="O2642" s="15">
        <f t="shared" si="718"/>
        <v>7.776</v>
      </c>
      <c r="P2642" s="15">
        <f t="shared" si="719"/>
        <v>0.045</v>
      </c>
      <c r="Q2642" s="15">
        <f t="shared" si="720"/>
        <v>1.035</v>
      </c>
      <c r="R2642" s="15">
        <f t="shared" si="721"/>
        <v>13.5</v>
      </c>
      <c r="S2642" s="15">
        <f t="shared" si="722"/>
        <v>0.0675</v>
      </c>
      <c r="T2642" s="15">
        <f t="shared" ref="T2642:T2645" si="726">$E$2592*F2627*(1-$E$2638)/$E$2634*C2642/E2642</f>
        <v>70000</v>
      </c>
      <c r="U2642" s="5">
        <f t="shared" ref="U2642:Z2645" si="727">N2642*$E2642/$C2642*$E$2634</f>
        <v>324000</v>
      </c>
      <c r="V2642" s="5">
        <f t="shared" si="727"/>
        <v>93.312</v>
      </c>
      <c r="W2642" s="5">
        <f t="shared" si="727"/>
        <v>0.54</v>
      </c>
      <c r="X2642" s="5">
        <f t="shared" si="727"/>
        <v>12.42</v>
      </c>
      <c r="Y2642" s="5">
        <f t="shared" si="727"/>
        <v>162</v>
      </c>
      <c r="Z2642" s="5">
        <f t="shared" si="727"/>
        <v>0.81</v>
      </c>
      <c r="AA2642" s="5">
        <f t="shared" ref="AA2642:AA2645" si="728">T2642*$E2642/$C2642*$E$2634</f>
        <v>840000</v>
      </c>
    </row>
    <row r="2643" spans="2:27">
      <c r="B2643" s="1">
        <v>3</v>
      </c>
      <c r="C2643" s="30">
        <v>7</v>
      </c>
      <c r="D2643" s="4">
        <f t="shared" si="712"/>
        <v>25200</v>
      </c>
      <c r="E2643" s="30">
        <v>21</v>
      </c>
      <c r="F2643" s="15">
        <f t="shared" si="724"/>
        <v>14814.8148148148</v>
      </c>
      <c r="G2643" s="16">
        <f>_xlfn.FLOOR.MATH(F2643,POWER(10,MAX(0,INT(LOG10(F2643)-1))))</f>
        <v>14000</v>
      </c>
      <c r="H2643" s="17">
        <f t="shared" si="713"/>
        <v>453600</v>
      </c>
      <c r="I2643" s="59">
        <f t="shared" si="714"/>
        <v>0.763636363636364</v>
      </c>
      <c r="J2643" s="1">
        <f t="shared" si="725"/>
        <v>12000</v>
      </c>
      <c r="K2643" s="4">
        <f>_xlfn.FLOOR.MATH(J2643,POWER(10,MAX(0,INT(LOG10(J2643)-1))))</f>
        <v>12000</v>
      </c>
      <c r="L2643" s="5">
        <f t="shared" si="715"/>
        <v>129600</v>
      </c>
      <c r="M2643" s="58">
        <f t="shared" si="716"/>
        <v>0.36</v>
      </c>
      <c r="N2643" s="15">
        <f t="shared" si="717"/>
        <v>48000</v>
      </c>
      <c r="O2643" s="15">
        <f t="shared" si="718"/>
        <v>13.824</v>
      </c>
      <c r="P2643" s="15">
        <f t="shared" si="719"/>
        <v>0.08</v>
      </c>
      <c r="Q2643" s="15">
        <f t="shared" si="720"/>
        <v>1.84</v>
      </c>
      <c r="R2643" s="15">
        <f t="shared" si="721"/>
        <v>24</v>
      </c>
      <c r="S2643" s="15">
        <f t="shared" si="722"/>
        <v>0.12</v>
      </c>
      <c r="T2643" s="15">
        <f t="shared" si="726"/>
        <v>124444.444444444</v>
      </c>
      <c r="U2643" s="5">
        <f t="shared" si="727"/>
        <v>432000</v>
      </c>
      <c r="V2643" s="5">
        <f t="shared" si="727"/>
        <v>124.416</v>
      </c>
      <c r="W2643" s="5">
        <f t="shared" si="727"/>
        <v>0.72</v>
      </c>
      <c r="X2643" s="5">
        <f t="shared" si="727"/>
        <v>16.56</v>
      </c>
      <c r="Y2643" s="5">
        <f t="shared" si="727"/>
        <v>216</v>
      </c>
      <c r="Z2643" s="5">
        <f t="shared" si="727"/>
        <v>1.08</v>
      </c>
      <c r="AA2643" s="5">
        <f t="shared" si="728"/>
        <v>1120000</v>
      </c>
    </row>
    <row r="2644" spans="2:27">
      <c r="B2644" s="1">
        <v>4</v>
      </c>
      <c r="C2644" s="30">
        <v>11</v>
      </c>
      <c r="D2644" s="4">
        <f t="shared" si="712"/>
        <v>39600</v>
      </c>
      <c r="E2644" s="30">
        <v>22</v>
      </c>
      <c r="F2644" s="15">
        <f t="shared" si="724"/>
        <v>25000</v>
      </c>
      <c r="G2644" s="16">
        <f>_xlfn.FLOOR.MATH(F2644,POWER(10,MAX(0,INT(LOG10(F2644)-1))))</f>
        <v>25000</v>
      </c>
      <c r="H2644" s="17">
        <f t="shared" si="713"/>
        <v>540000</v>
      </c>
      <c r="I2644" s="59">
        <f t="shared" si="714"/>
        <v>0.909090909090909</v>
      </c>
      <c r="J2644" s="1">
        <f t="shared" si="725"/>
        <v>30000</v>
      </c>
      <c r="K2644" s="4">
        <f>_xlfn.FLOOR.MATH(J2644,POWER(10,MAX(0,INT(LOG10(J2644)-1))))</f>
        <v>30000</v>
      </c>
      <c r="L2644" s="5">
        <f t="shared" si="715"/>
        <v>216000</v>
      </c>
      <c r="M2644" s="58">
        <f t="shared" si="716"/>
        <v>0.6</v>
      </c>
      <c r="N2644" s="15">
        <f t="shared" si="717"/>
        <v>120000</v>
      </c>
      <c r="O2644" s="15">
        <f t="shared" si="718"/>
        <v>34.56</v>
      </c>
      <c r="P2644" s="15">
        <f t="shared" si="719"/>
        <v>0.2</v>
      </c>
      <c r="Q2644" s="15">
        <f t="shared" si="720"/>
        <v>4.6</v>
      </c>
      <c r="R2644" s="15">
        <f t="shared" si="721"/>
        <v>60</v>
      </c>
      <c r="S2644" s="15">
        <f t="shared" si="722"/>
        <v>0.3</v>
      </c>
      <c r="T2644" s="15">
        <f t="shared" si="726"/>
        <v>210000</v>
      </c>
      <c r="U2644" s="5">
        <f t="shared" si="727"/>
        <v>720000</v>
      </c>
      <c r="V2644" s="5">
        <f t="shared" si="727"/>
        <v>207.36</v>
      </c>
      <c r="W2644" s="5">
        <f t="shared" si="727"/>
        <v>1.2</v>
      </c>
      <c r="X2644" s="5">
        <f t="shared" si="727"/>
        <v>27.6</v>
      </c>
      <c r="Y2644" s="5">
        <f t="shared" si="727"/>
        <v>360</v>
      </c>
      <c r="Z2644" s="5">
        <f t="shared" si="727"/>
        <v>1.8</v>
      </c>
      <c r="AA2644" s="5">
        <f t="shared" si="728"/>
        <v>1260000</v>
      </c>
    </row>
    <row r="2645" spans="2:27">
      <c r="B2645" s="1">
        <v>5</v>
      </c>
      <c r="C2645" s="30">
        <v>23</v>
      </c>
      <c r="D2645" s="4">
        <f t="shared" si="712"/>
        <v>82800</v>
      </c>
      <c r="E2645" s="30">
        <v>23</v>
      </c>
      <c r="F2645" s="15">
        <f t="shared" si="724"/>
        <v>55555.5555555556</v>
      </c>
      <c r="G2645" s="16">
        <f>_xlfn.FLOOR.MATH(F2645,POWER(10,MAX(0,INT(LOG10(F2645)-1))))</f>
        <v>55000</v>
      </c>
      <c r="H2645" s="17">
        <f t="shared" si="713"/>
        <v>594000</v>
      </c>
      <c r="I2645" s="59">
        <f t="shared" si="714"/>
        <v>1</v>
      </c>
      <c r="J2645" s="1">
        <f t="shared" si="725"/>
        <v>100000</v>
      </c>
      <c r="K2645" s="4">
        <f>_xlfn.FLOOR.MATH(J2645,POWER(10,MAX(0,INT(LOG10(J2645)-1))))</f>
        <v>100000</v>
      </c>
      <c r="L2645" s="5">
        <f t="shared" si="715"/>
        <v>360000</v>
      </c>
      <c r="M2645" s="58">
        <f t="shared" si="716"/>
        <v>1</v>
      </c>
      <c r="N2645" s="15">
        <f t="shared" si="717"/>
        <v>400000</v>
      </c>
      <c r="O2645" s="15">
        <f t="shared" si="718"/>
        <v>115.2</v>
      </c>
      <c r="P2645" s="15">
        <f t="shared" si="719"/>
        <v>0.666666666666667</v>
      </c>
      <c r="Q2645" s="15">
        <f t="shared" si="720"/>
        <v>15.3333333333333</v>
      </c>
      <c r="R2645" s="15">
        <f t="shared" si="721"/>
        <v>200</v>
      </c>
      <c r="S2645" s="15">
        <f t="shared" si="722"/>
        <v>1</v>
      </c>
      <c r="T2645" s="15">
        <f t="shared" si="726"/>
        <v>466666.666666667</v>
      </c>
      <c r="U2645" s="5">
        <f t="shared" si="727"/>
        <v>1200000</v>
      </c>
      <c r="V2645" s="5">
        <f t="shared" si="727"/>
        <v>345.6</v>
      </c>
      <c r="W2645" s="5">
        <f t="shared" si="727"/>
        <v>2</v>
      </c>
      <c r="X2645" s="5">
        <f t="shared" si="727"/>
        <v>46</v>
      </c>
      <c r="Y2645" s="5">
        <f t="shared" si="727"/>
        <v>600</v>
      </c>
      <c r="Z2645" s="5">
        <f t="shared" si="727"/>
        <v>3</v>
      </c>
      <c r="AA2645" s="5">
        <f t="shared" si="728"/>
        <v>1400000</v>
      </c>
    </row>
    <row r="2647" spans="2:12">
      <c r="B2647" s="27" t="s">
        <v>1397</v>
      </c>
      <c r="C2647" s="27"/>
      <c r="D2647" s="27"/>
      <c r="E2647" s="27"/>
      <c r="F2647" s="27"/>
      <c r="G2647" s="27"/>
      <c r="H2647" s="27"/>
      <c r="I2647" s="27"/>
      <c r="J2647" s="27"/>
      <c r="K2647" s="27"/>
      <c r="L2647" s="27"/>
    </row>
    <row r="2649" spans="2:14">
      <c r="B2649" s="29" t="s">
        <v>1398</v>
      </c>
      <c r="C2649" s="1" t="s">
        <v>1399</v>
      </c>
      <c r="D2649" s="1" t="s">
        <v>1400</v>
      </c>
      <c r="E2649" s="1" t="s">
        <v>1401</v>
      </c>
      <c r="F2649" s="1" t="s">
        <v>1402</v>
      </c>
      <c r="G2649" s="1" t="s">
        <v>1403</v>
      </c>
      <c r="I2649" s="86" t="s">
        <v>1404</v>
      </c>
      <c r="J2649" s="5" t="s">
        <v>1399</v>
      </c>
      <c r="K2649" s="5" t="s">
        <v>1400</v>
      </c>
      <c r="L2649" s="5" t="s">
        <v>1401</v>
      </c>
      <c r="M2649" s="5" t="s">
        <v>1402</v>
      </c>
      <c r="N2649" s="5" t="s">
        <v>1403</v>
      </c>
    </row>
    <row r="2650" spans="2:14">
      <c r="B2650" s="1" t="s">
        <v>726</v>
      </c>
      <c r="C2650" s="1">
        <f t="array" ref="C2650:G2656">TRANSPOSE(N2641:T2645)</f>
        <v>3000</v>
      </c>
      <c r="D2650" s="1">
        <v>27000</v>
      </c>
      <c r="E2650" s="1">
        <v>48000</v>
      </c>
      <c r="F2650" s="1">
        <v>120000</v>
      </c>
      <c r="G2650" s="1">
        <v>400000</v>
      </c>
      <c r="I2650" s="5" t="s">
        <v>726</v>
      </c>
      <c r="J2650" s="5">
        <f>SUMPRODUCT(C2659:C2664,D2659:D2664)</f>
        <v>3250</v>
      </c>
      <c r="K2650" s="5">
        <f>SUMPRODUCT(G2659:G2664,H2659:H2664)</f>
        <v>26000</v>
      </c>
      <c r="L2650" s="5">
        <f>SUMPRODUCT(K2659:K2664,L2659:L2664)</f>
        <v>52000</v>
      </c>
      <c r="M2650" s="5">
        <f>SUMPRODUCT(O2659:O2664,P2659:P2664)</f>
        <v>130000</v>
      </c>
      <c r="N2650" s="5">
        <f>SUMPRODUCT(S2659:S2664,T2659:T2664)</f>
        <v>390000</v>
      </c>
    </row>
    <row r="2651" spans="2:14">
      <c r="B2651" s="1" t="s">
        <v>478</v>
      </c>
      <c r="C2651" s="1">
        <v>0.864</v>
      </c>
      <c r="D2651" s="1">
        <v>7.776</v>
      </c>
      <c r="E2651" s="1">
        <v>13.824</v>
      </c>
      <c r="F2651" s="1">
        <v>34.56</v>
      </c>
      <c r="G2651" s="1">
        <v>115.2</v>
      </c>
      <c r="I2651" s="5" t="s">
        <v>478</v>
      </c>
      <c r="J2651" s="5">
        <f>SUMPRODUCT(C2668:C2673,D2668:D2673)</f>
        <v>3</v>
      </c>
      <c r="K2651" s="5">
        <f>SUMPRODUCT(G2668:G2673,H2668:H2673)</f>
        <v>7.8</v>
      </c>
      <c r="L2651" s="5">
        <f>SUMPRODUCT(K2668:K2673,L2668:L2673)</f>
        <v>13.8</v>
      </c>
      <c r="M2651" s="5">
        <f>SUMPRODUCT(O2668:O2673,P2668:P2673)</f>
        <v>34.8</v>
      </c>
      <c r="N2651" s="5">
        <f>SUMPRODUCT(S2668:S2673,T2668:T2673)</f>
        <v>115.2</v>
      </c>
    </row>
    <row r="2652" spans="2:14">
      <c r="B2652" s="1" t="s">
        <v>454</v>
      </c>
      <c r="C2652" s="1">
        <v>0.005</v>
      </c>
      <c r="D2652" s="1">
        <v>0.045</v>
      </c>
      <c r="E2652" s="1">
        <v>0.08</v>
      </c>
      <c r="F2652" s="1">
        <v>0.2</v>
      </c>
      <c r="G2652" s="1">
        <v>0.666666666666667</v>
      </c>
      <c r="I2652" s="5" t="s">
        <v>454</v>
      </c>
      <c r="J2652" s="5">
        <f>SUMPRODUCT(C2677:C2677,D2677:D2677)*$E$4819</f>
        <v>0.0052</v>
      </c>
      <c r="K2652" s="5">
        <f>SUMPRODUCT(G2677:G2677,H2677:H2677)*$E$4819</f>
        <v>0.0448</v>
      </c>
      <c r="L2652" s="5">
        <f>SUMPRODUCT(K2677:K2677,L2677:L2677)*$E$4819</f>
        <v>0.08</v>
      </c>
      <c r="M2652" s="5">
        <f>SUMPRODUCT(O2677:O2677,P2677:P2677)*$E$4819</f>
        <v>0.2</v>
      </c>
      <c r="N2652" s="5">
        <f>SUMPRODUCT(S2677:S2677,T2677:T2677)*$E$4819</f>
        <v>0.664</v>
      </c>
    </row>
    <row r="2653" spans="2:14">
      <c r="B2653" s="1" t="s">
        <v>458</v>
      </c>
      <c r="C2653" s="1">
        <v>0.115</v>
      </c>
      <c r="D2653" s="1">
        <v>1.035</v>
      </c>
      <c r="E2653" s="1">
        <v>1.84</v>
      </c>
      <c r="F2653" s="1">
        <v>4.6</v>
      </c>
      <c r="G2653" s="1">
        <v>15.3333333333333</v>
      </c>
      <c r="I2653" s="5" t="s">
        <v>458</v>
      </c>
      <c r="J2653" s="5">
        <f>SUMPRODUCT(C2677:C2677,D2677:D2677)*$E$4820</f>
        <v>0.11895</v>
      </c>
      <c r="K2653" s="5">
        <f>SUMPRODUCT(G2677:G2677,H2677:H2677)*$E$4820</f>
        <v>1.0248</v>
      </c>
      <c r="L2653" s="5">
        <f>SUMPRODUCT(K2677:K2677,L2677:L2677)*$E$4820</f>
        <v>1.83</v>
      </c>
      <c r="M2653" s="5">
        <f>SUMPRODUCT(O2677:O2677,P2677:P2677)*$E$4820</f>
        <v>4.575</v>
      </c>
      <c r="N2653" s="5">
        <f>SUMPRODUCT(S2677:S2677,T2677:T2677)*$E$4820</f>
        <v>15.189</v>
      </c>
    </row>
    <row r="2654" spans="2:14">
      <c r="B2654" s="1" t="s">
        <v>1405</v>
      </c>
      <c r="C2654" s="1">
        <v>1.5</v>
      </c>
      <c r="D2654" s="1">
        <v>13.5</v>
      </c>
      <c r="E2654" s="1">
        <v>24</v>
      </c>
      <c r="F2654" s="1">
        <v>60</v>
      </c>
      <c r="G2654" s="1">
        <v>200</v>
      </c>
      <c r="I2654" s="5" t="s">
        <v>1405</v>
      </c>
      <c r="J2654" s="5">
        <f>SUMPRODUCT(C2680:C2685,D2680:D2685,$G$1507:$G$1512)</f>
        <v>5</v>
      </c>
      <c r="K2654" s="5">
        <f>SUMPRODUCT(G2680:G2685,H2680:H2685,$G$1507:$G$1512)</f>
        <v>13.55</v>
      </c>
      <c r="L2654" s="5">
        <f>SUMPRODUCT(K2680:K2685,L2680:L2685,$G$1507:$G$1512)</f>
        <v>24.2</v>
      </c>
      <c r="M2654" s="5">
        <f>SUMPRODUCT(O2680:O2685,P2680:P2685,$G$1507:$G$1512)</f>
        <v>60.2</v>
      </c>
      <c r="N2654" s="5">
        <f>SUMPRODUCT(S2680:S2685,T2680:T2685,$G$1507:$G$1512)</f>
        <v>201</v>
      </c>
    </row>
    <row r="2655" spans="2:14">
      <c r="B2655" s="1" t="s">
        <v>1406</v>
      </c>
      <c r="C2655" s="1">
        <v>0.0075</v>
      </c>
      <c r="D2655" s="1">
        <v>0.0675</v>
      </c>
      <c r="E2655" s="1">
        <v>0.12</v>
      </c>
      <c r="F2655" s="1">
        <v>0.3</v>
      </c>
      <c r="G2655" s="1">
        <v>1</v>
      </c>
      <c r="I2655" s="5" t="s">
        <v>1406</v>
      </c>
      <c r="J2655" s="5">
        <f>C2689*D2689</f>
        <v>0.0075</v>
      </c>
      <c r="K2655" s="5">
        <f>G2689*H2689</f>
        <v>0.0675</v>
      </c>
      <c r="L2655" s="5">
        <f>K2689*L2689</f>
        <v>0.12</v>
      </c>
      <c r="M2655" s="5">
        <f>O2689*P2689</f>
        <v>0.3</v>
      </c>
      <c r="N2655" s="5">
        <f>S2689*T2689</f>
        <v>1</v>
      </c>
    </row>
    <row r="2656" spans="2:14">
      <c r="B2656" s="1" t="s">
        <v>1407</v>
      </c>
      <c r="C2656" s="1">
        <v>5833.33333333333</v>
      </c>
      <c r="D2656" s="1">
        <v>70000</v>
      </c>
      <c r="E2656" s="1">
        <v>124444.444444444</v>
      </c>
      <c r="F2656" s="1">
        <v>210000</v>
      </c>
      <c r="G2656" s="1">
        <v>466666.666666667</v>
      </c>
      <c r="I2656" s="5" t="s">
        <v>1407</v>
      </c>
      <c r="J2656" s="5">
        <f>SUMPRODUCT(C2692:C2695,D2692:D2695,$A$2692:$A$2695)</f>
        <v>10000</v>
      </c>
      <c r="K2656" s="5">
        <f>SUMPRODUCT(G2692:G2695,H2692:H2695,$A$2692:$A$2695)</f>
        <v>69500</v>
      </c>
      <c r="L2656" s="5">
        <f>SUMPRODUCT(K2692:K2695,L2692:L2695,$A$2692:$A$2695)</f>
        <v>125000</v>
      </c>
      <c r="M2656" s="5">
        <f>SUMPRODUCT(O2692:O2695,P2692:P2695,$A$2692:$A$2695)</f>
        <v>200000</v>
      </c>
      <c r="N2656" s="5">
        <f>SUMPRODUCT(S2692:S2695,T2692:T2695,$A$2692:$A$2695)</f>
        <v>464000</v>
      </c>
    </row>
    <row r="2658" spans="2:21">
      <c r="B2658" s="29" t="s">
        <v>1408</v>
      </c>
      <c r="C2658" s="1" t="s">
        <v>1409</v>
      </c>
      <c r="D2658" s="1" t="s">
        <v>1410</v>
      </c>
      <c r="E2658" s="1" t="s">
        <v>1411</v>
      </c>
      <c r="G2658" s="1" t="s">
        <v>1412</v>
      </c>
      <c r="H2658" s="1" t="s">
        <v>1413</v>
      </c>
      <c r="I2658" s="1" t="s">
        <v>1414</v>
      </c>
      <c r="K2658" s="1" t="s">
        <v>1415</v>
      </c>
      <c r="L2658" s="1" t="s">
        <v>1416</v>
      </c>
      <c r="M2658" s="1" t="s">
        <v>1417</v>
      </c>
      <c r="O2658" s="1" t="s">
        <v>1418</v>
      </c>
      <c r="P2658" s="1" t="s">
        <v>1419</v>
      </c>
      <c r="Q2658" s="1" t="s">
        <v>1420</v>
      </c>
      <c r="S2658" s="1" t="s">
        <v>1421</v>
      </c>
      <c r="T2658" s="1" t="s">
        <v>1422</v>
      </c>
      <c r="U2658" s="1" t="s">
        <v>1423</v>
      </c>
    </row>
    <row r="2659" spans="2:21">
      <c r="B2659" s="1" t="s">
        <v>728</v>
      </c>
      <c r="C2659" s="6">
        <v>2500</v>
      </c>
      <c r="D2659" s="56">
        <v>0.24</v>
      </c>
      <c r="E2659" s="4">
        <f>D2659*10000</f>
        <v>2400</v>
      </c>
      <c r="G2659" s="6">
        <v>20000</v>
      </c>
      <c r="H2659" s="56">
        <v>0.24</v>
      </c>
      <c r="I2659" s="4">
        <f>H2659*10000</f>
        <v>2400</v>
      </c>
      <c r="K2659" s="6">
        <v>40000</v>
      </c>
      <c r="L2659" s="56">
        <v>0.24</v>
      </c>
      <c r="M2659" s="4">
        <f>L2659*10000</f>
        <v>2400</v>
      </c>
      <c r="O2659" s="6">
        <v>100000</v>
      </c>
      <c r="P2659" s="56">
        <v>0.24</v>
      </c>
      <c r="Q2659" s="4">
        <f>P2659*10000</f>
        <v>2400</v>
      </c>
      <c r="S2659" s="6">
        <v>300000</v>
      </c>
      <c r="T2659" s="56">
        <v>0.24</v>
      </c>
      <c r="U2659" s="4">
        <f>T2659*10000</f>
        <v>2400</v>
      </c>
    </row>
    <row r="2660" spans="2:21">
      <c r="B2660" s="1" t="s">
        <v>729</v>
      </c>
      <c r="C2660" s="6">
        <v>2500</v>
      </c>
      <c r="D2660" s="56">
        <v>0.23</v>
      </c>
      <c r="E2660" s="4">
        <f t="shared" ref="E2660:E2685" si="729">D2660*10000</f>
        <v>2300</v>
      </c>
      <c r="G2660" s="6">
        <v>20000</v>
      </c>
      <c r="H2660" s="56">
        <v>0.23</v>
      </c>
      <c r="I2660" s="4">
        <f t="shared" ref="I2660:I2685" si="730">H2660*10000</f>
        <v>2300</v>
      </c>
      <c r="K2660" s="6">
        <v>40000</v>
      </c>
      <c r="L2660" s="56">
        <v>0.23</v>
      </c>
      <c r="M2660" s="4">
        <f t="shared" ref="M2660:M2685" si="731">L2660*10000</f>
        <v>2300</v>
      </c>
      <c r="O2660" s="6">
        <v>100000</v>
      </c>
      <c r="P2660" s="56">
        <v>0.23</v>
      </c>
      <c r="Q2660" s="4">
        <f t="shared" ref="Q2660:Q2685" si="732">P2660*10000</f>
        <v>2300</v>
      </c>
      <c r="S2660" s="6">
        <v>300000</v>
      </c>
      <c r="T2660" s="56">
        <v>0.23</v>
      </c>
      <c r="U2660" s="4">
        <f t="shared" ref="U2660:U2685" si="733">T2660*10000</f>
        <v>2300</v>
      </c>
    </row>
    <row r="2661" spans="2:21">
      <c r="B2661" s="1" t="s">
        <v>730</v>
      </c>
      <c r="C2661" s="6">
        <v>2500</v>
      </c>
      <c r="D2661" s="56">
        <v>0.23</v>
      </c>
      <c r="E2661" s="4">
        <f t="shared" si="729"/>
        <v>2300</v>
      </c>
      <c r="G2661" s="6">
        <v>20000</v>
      </c>
      <c r="H2661" s="56">
        <v>0.23</v>
      </c>
      <c r="I2661" s="4">
        <f t="shared" si="730"/>
        <v>2300</v>
      </c>
      <c r="K2661" s="6">
        <v>40000</v>
      </c>
      <c r="L2661" s="56">
        <v>0.23</v>
      </c>
      <c r="M2661" s="4">
        <f t="shared" si="731"/>
        <v>2300</v>
      </c>
      <c r="O2661" s="6">
        <v>100000</v>
      </c>
      <c r="P2661" s="56">
        <v>0.23</v>
      </c>
      <c r="Q2661" s="4">
        <f t="shared" si="732"/>
        <v>2300</v>
      </c>
      <c r="S2661" s="6">
        <v>300000</v>
      </c>
      <c r="T2661" s="56">
        <v>0.23</v>
      </c>
      <c r="U2661" s="4">
        <f t="shared" si="733"/>
        <v>2300</v>
      </c>
    </row>
    <row r="2662" spans="2:21">
      <c r="B2662" s="1" t="s">
        <v>728</v>
      </c>
      <c r="C2662" s="6">
        <v>5000</v>
      </c>
      <c r="D2662" s="56">
        <v>0.1</v>
      </c>
      <c r="E2662" s="4">
        <f t="shared" si="729"/>
        <v>1000</v>
      </c>
      <c r="G2662" s="6">
        <v>40000</v>
      </c>
      <c r="H2662" s="56">
        <v>0.1</v>
      </c>
      <c r="I2662" s="4">
        <f t="shared" si="730"/>
        <v>1000</v>
      </c>
      <c r="K2662" s="6">
        <v>80000</v>
      </c>
      <c r="L2662" s="56">
        <v>0.1</v>
      </c>
      <c r="M2662" s="4">
        <f t="shared" si="731"/>
        <v>1000</v>
      </c>
      <c r="O2662" s="6">
        <v>200000</v>
      </c>
      <c r="P2662" s="56">
        <v>0.1</v>
      </c>
      <c r="Q2662" s="4">
        <f t="shared" si="732"/>
        <v>1000</v>
      </c>
      <c r="S2662" s="6">
        <v>600000</v>
      </c>
      <c r="T2662" s="56">
        <v>0.1</v>
      </c>
      <c r="U2662" s="4">
        <f t="shared" si="733"/>
        <v>1000</v>
      </c>
    </row>
    <row r="2663" spans="2:21">
      <c r="B2663" s="1" t="s">
        <v>729</v>
      </c>
      <c r="C2663" s="6">
        <v>5000</v>
      </c>
      <c r="D2663" s="56">
        <v>0.1</v>
      </c>
      <c r="E2663" s="4">
        <f t="shared" si="729"/>
        <v>1000</v>
      </c>
      <c r="G2663" s="6">
        <v>40000</v>
      </c>
      <c r="H2663" s="56">
        <v>0.1</v>
      </c>
      <c r="I2663" s="4">
        <f t="shared" si="730"/>
        <v>1000</v>
      </c>
      <c r="K2663" s="6">
        <v>80000</v>
      </c>
      <c r="L2663" s="56">
        <v>0.1</v>
      </c>
      <c r="M2663" s="4">
        <f t="shared" si="731"/>
        <v>1000</v>
      </c>
      <c r="O2663" s="6">
        <v>200000</v>
      </c>
      <c r="P2663" s="56">
        <v>0.1</v>
      </c>
      <c r="Q2663" s="4">
        <f t="shared" si="732"/>
        <v>1000</v>
      </c>
      <c r="S2663" s="6">
        <v>600000</v>
      </c>
      <c r="T2663" s="56">
        <v>0.1</v>
      </c>
      <c r="U2663" s="4">
        <f t="shared" si="733"/>
        <v>1000</v>
      </c>
    </row>
    <row r="2664" spans="2:21">
      <c r="B2664" s="1" t="s">
        <v>730</v>
      </c>
      <c r="C2664" s="6">
        <v>5000</v>
      </c>
      <c r="D2664" s="56">
        <v>0.1</v>
      </c>
      <c r="E2664" s="4">
        <f t="shared" si="729"/>
        <v>1000</v>
      </c>
      <c r="G2664" s="6">
        <v>40000</v>
      </c>
      <c r="H2664" s="56">
        <v>0.1</v>
      </c>
      <c r="I2664" s="4">
        <f t="shared" si="730"/>
        <v>1000</v>
      </c>
      <c r="K2664" s="6">
        <v>80000</v>
      </c>
      <c r="L2664" s="56">
        <v>0.1</v>
      </c>
      <c r="M2664" s="4">
        <f t="shared" si="731"/>
        <v>1000</v>
      </c>
      <c r="O2664" s="6">
        <v>200000</v>
      </c>
      <c r="P2664" s="56">
        <v>0.1</v>
      </c>
      <c r="Q2664" s="4">
        <f t="shared" si="732"/>
        <v>1000</v>
      </c>
      <c r="S2664" s="6">
        <v>600000</v>
      </c>
      <c r="T2664" s="56">
        <v>0.1</v>
      </c>
      <c r="U2664" s="4">
        <f t="shared" si="733"/>
        <v>1000</v>
      </c>
    </row>
    <row r="2665" spans="4:20">
      <c r="D2665" s="42">
        <f>SUM(D2659:D2664)</f>
        <v>1</v>
      </c>
      <c r="H2665" s="42">
        <f>SUM(H2659:H2664)</f>
        <v>1</v>
      </c>
      <c r="L2665" s="42">
        <f>SUM(L2659:L2664)</f>
        <v>1</v>
      </c>
      <c r="P2665" s="42">
        <f>SUM(P2659:P2664)</f>
        <v>1</v>
      </c>
      <c r="T2665" s="42">
        <f>SUM(T2659:T2664)</f>
        <v>1</v>
      </c>
    </row>
    <row r="2667" spans="2:21">
      <c r="B2667" s="29" t="s">
        <v>1424</v>
      </c>
      <c r="C2667" s="1" t="s">
        <v>1409</v>
      </c>
      <c r="D2667" s="1" t="s">
        <v>1410</v>
      </c>
      <c r="E2667" s="1" t="s">
        <v>1411</v>
      </c>
      <c r="G2667" s="1" t="s">
        <v>1412</v>
      </c>
      <c r="H2667" s="1" t="s">
        <v>1413</v>
      </c>
      <c r="I2667" s="1" t="s">
        <v>1414</v>
      </c>
      <c r="K2667" s="1" t="s">
        <v>1415</v>
      </c>
      <c r="L2667" s="1" t="s">
        <v>1416</v>
      </c>
      <c r="M2667" s="1" t="s">
        <v>1417</v>
      </c>
      <c r="O2667" s="1" t="s">
        <v>1418</v>
      </c>
      <c r="P2667" s="1" t="s">
        <v>1419</v>
      </c>
      <c r="Q2667" s="1" t="s">
        <v>1420</v>
      </c>
      <c r="S2667" s="1" t="s">
        <v>1421</v>
      </c>
      <c r="T2667" s="1" t="s">
        <v>1422</v>
      </c>
      <c r="U2667" s="1" t="s">
        <v>1423</v>
      </c>
    </row>
    <row r="2668" spans="2:21">
      <c r="B2668" s="1" t="s">
        <v>735</v>
      </c>
      <c r="C2668" s="6">
        <v>3</v>
      </c>
      <c r="D2668" s="56">
        <v>1</v>
      </c>
      <c r="E2668" s="4">
        <f t="shared" si="729"/>
        <v>10000</v>
      </c>
      <c r="G2668" s="6">
        <v>3</v>
      </c>
      <c r="H2668" s="56">
        <v>0.6</v>
      </c>
      <c r="I2668" s="4">
        <f t="shared" si="730"/>
        <v>6000</v>
      </c>
      <c r="K2668" s="6">
        <v>3</v>
      </c>
      <c r="L2668" s="56">
        <v>0.1</v>
      </c>
      <c r="M2668" s="4">
        <f t="shared" si="731"/>
        <v>1000</v>
      </c>
      <c r="O2668" s="6">
        <v>3</v>
      </c>
      <c r="P2668" s="56">
        <v>0</v>
      </c>
      <c r="Q2668" s="4">
        <f t="shared" si="732"/>
        <v>0</v>
      </c>
      <c r="S2668" s="6">
        <v>3</v>
      </c>
      <c r="T2668" s="56">
        <v>0</v>
      </c>
      <c r="U2668" s="4">
        <f t="shared" si="733"/>
        <v>0</v>
      </c>
    </row>
    <row r="2669" spans="2:21">
      <c r="B2669" s="1" t="s">
        <v>735</v>
      </c>
      <c r="C2669" s="6">
        <v>15</v>
      </c>
      <c r="D2669" s="56">
        <v>0</v>
      </c>
      <c r="E2669" s="4">
        <f t="shared" si="729"/>
        <v>0</v>
      </c>
      <c r="G2669" s="6">
        <v>15</v>
      </c>
      <c r="H2669" s="56">
        <v>0.4</v>
      </c>
      <c r="I2669" s="4">
        <f t="shared" si="730"/>
        <v>4000</v>
      </c>
      <c r="K2669" s="6">
        <v>15</v>
      </c>
      <c r="L2669" s="56">
        <v>0.9</v>
      </c>
      <c r="M2669" s="4">
        <f t="shared" si="731"/>
        <v>9000</v>
      </c>
      <c r="O2669" s="6">
        <v>15</v>
      </c>
      <c r="P2669" s="56">
        <v>0.56</v>
      </c>
      <c r="Q2669" s="4">
        <f t="shared" si="732"/>
        <v>5600</v>
      </c>
      <c r="S2669" s="6">
        <v>15</v>
      </c>
      <c r="T2669" s="56">
        <v>0</v>
      </c>
      <c r="U2669" s="4">
        <f t="shared" si="733"/>
        <v>0</v>
      </c>
    </row>
    <row r="2670" spans="2:21">
      <c r="B2670" s="1" t="s">
        <v>735</v>
      </c>
      <c r="C2670" s="6">
        <v>60</v>
      </c>
      <c r="D2670" s="56">
        <v>0</v>
      </c>
      <c r="E2670" s="4">
        <f t="shared" si="729"/>
        <v>0</v>
      </c>
      <c r="G2670" s="6">
        <v>60</v>
      </c>
      <c r="H2670" s="56">
        <v>0</v>
      </c>
      <c r="I2670" s="4">
        <f t="shared" si="730"/>
        <v>0</v>
      </c>
      <c r="K2670" s="6">
        <v>60</v>
      </c>
      <c r="L2670" s="56">
        <v>0</v>
      </c>
      <c r="M2670" s="4">
        <f t="shared" si="731"/>
        <v>0</v>
      </c>
      <c r="O2670" s="6">
        <v>60</v>
      </c>
      <c r="P2670" s="56">
        <v>0.44</v>
      </c>
      <c r="Q2670" s="4">
        <f t="shared" si="732"/>
        <v>4400</v>
      </c>
      <c r="S2670" s="6">
        <v>60</v>
      </c>
      <c r="T2670" s="56">
        <v>0.54</v>
      </c>
      <c r="U2670" s="4">
        <f t="shared" si="733"/>
        <v>5400</v>
      </c>
    </row>
    <row r="2671" spans="2:21">
      <c r="B2671" s="1" t="s">
        <v>735</v>
      </c>
      <c r="C2671" s="6">
        <v>180</v>
      </c>
      <c r="D2671" s="56">
        <v>0</v>
      </c>
      <c r="E2671" s="4">
        <f t="shared" si="729"/>
        <v>0</v>
      </c>
      <c r="G2671" s="6">
        <v>180</v>
      </c>
      <c r="H2671" s="56">
        <v>0</v>
      </c>
      <c r="I2671" s="4">
        <f t="shared" si="730"/>
        <v>0</v>
      </c>
      <c r="K2671" s="6">
        <v>180</v>
      </c>
      <c r="L2671" s="56">
        <v>0</v>
      </c>
      <c r="M2671" s="4">
        <f t="shared" ref="M2671" si="734">L2671*10000</f>
        <v>0</v>
      </c>
      <c r="O2671" s="6">
        <v>180</v>
      </c>
      <c r="P2671" s="56">
        <v>0</v>
      </c>
      <c r="Q2671" s="4">
        <f t="shared" si="732"/>
        <v>0</v>
      </c>
      <c r="S2671" s="6">
        <v>180</v>
      </c>
      <c r="T2671" s="56">
        <v>0.46</v>
      </c>
      <c r="U2671" s="4">
        <f t="shared" si="733"/>
        <v>4600</v>
      </c>
    </row>
    <row r="2672" spans="2:21">
      <c r="B2672" s="1" t="s">
        <v>735</v>
      </c>
      <c r="C2672" s="6">
        <v>480</v>
      </c>
      <c r="D2672" s="56">
        <v>0</v>
      </c>
      <c r="E2672" s="4">
        <f t="shared" si="729"/>
        <v>0</v>
      </c>
      <c r="G2672" s="6">
        <v>480</v>
      </c>
      <c r="H2672" s="56">
        <v>0</v>
      </c>
      <c r="I2672" s="4">
        <f t="shared" si="730"/>
        <v>0</v>
      </c>
      <c r="K2672" s="6">
        <v>480</v>
      </c>
      <c r="L2672" s="56">
        <v>0</v>
      </c>
      <c r="M2672" s="4">
        <f t="shared" ref="M2672:M2673" si="735">L2672*10000</f>
        <v>0</v>
      </c>
      <c r="O2672" s="6">
        <v>480</v>
      </c>
      <c r="P2672" s="56">
        <v>0</v>
      </c>
      <c r="Q2672" s="4">
        <f t="shared" si="732"/>
        <v>0</v>
      </c>
      <c r="S2672" s="6">
        <v>480</v>
      </c>
      <c r="T2672" s="56">
        <v>0</v>
      </c>
      <c r="U2672" s="4">
        <f t="shared" si="733"/>
        <v>0</v>
      </c>
    </row>
    <row r="2673" spans="2:21">
      <c r="B2673" s="1" t="s">
        <v>735</v>
      </c>
      <c r="C2673" s="6">
        <v>1440</v>
      </c>
      <c r="D2673" s="56">
        <v>0</v>
      </c>
      <c r="E2673" s="4">
        <f t="shared" si="729"/>
        <v>0</v>
      </c>
      <c r="G2673" s="6">
        <v>1440</v>
      </c>
      <c r="H2673" s="56">
        <v>0</v>
      </c>
      <c r="I2673" s="4">
        <f t="shared" si="730"/>
        <v>0</v>
      </c>
      <c r="K2673" s="6">
        <v>1440</v>
      </c>
      <c r="L2673" s="56">
        <v>0</v>
      </c>
      <c r="M2673" s="4">
        <f t="shared" si="735"/>
        <v>0</v>
      </c>
      <c r="O2673" s="6">
        <v>1440</v>
      </c>
      <c r="P2673" s="56">
        <v>0</v>
      </c>
      <c r="Q2673" s="4">
        <f t="shared" si="732"/>
        <v>0</v>
      </c>
      <c r="S2673" s="6">
        <v>1440</v>
      </c>
      <c r="T2673" s="56">
        <v>0</v>
      </c>
      <c r="U2673" s="4">
        <f t="shared" si="733"/>
        <v>0</v>
      </c>
    </row>
    <row r="2674" spans="4:20">
      <c r="D2674" s="42">
        <f>SUM(D2668:D2673)</f>
        <v>1</v>
      </c>
      <c r="H2674" s="42">
        <f>SUM(H2668:H2673)</f>
        <v>1</v>
      </c>
      <c r="L2674" s="42">
        <f>SUM(L2668:L2673)</f>
        <v>1</v>
      </c>
      <c r="P2674" s="42">
        <f>SUM(P2668:P2673)</f>
        <v>1</v>
      </c>
      <c r="T2674" s="42">
        <f>SUM(T2668:T2673)</f>
        <v>1</v>
      </c>
    </row>
    <row r="2676" spans="2:21">
      <c r="B2676" s="29" t="s">
        <v>63</v>
      </c>
      <c r="C2676" s="1" t="s">
        <v>1409</v>
      </c>
      <c r="D2676" s="1" t="s">
        <v>1410</v>
      </c>
      <c r="E2676" s="1" t="s">
        <v>1411</v>
      </c>
      <c r="G2676" s="1" t="s">
        <v>1412</v>
      </c>
      <c r="H2676" s="1" t="s">
        <v>1413</v>
      </c>
      <c r="I2676" s="1" t="s">
        <v>1414</v>
      </c>
      <c r="K2676" s="1" t="s">
        <v>1415</v>
      </c>
      <c r="L2676" s="1" t="s">
        <v>1416</v>
      </c>
      <c r="M2676" s="1" t="s">
        <v>1417</v>
      </c>
      <c r="O2676" s="1" t="s">
        <v>1418</v>
      </c>
      <c r="P2676" s="1" t="s">
        <v>1419</v>
      </c>
      <c r="Q2676" s="1" t="s">
        <v>1420</v>
      </c>
      <c r="S2676" s="1" t="s">
        <v>1421</v>
      </c>
      <c r="T2676" s="1" t="s">
        <v>1422</v>
      </c>
      <c r="U2676" s="1" t="s">
        <v>1423</v>
      </c>
    </row>
    <row r="2677" spans="2:21">
      <c r="B2677" s="1" t="s">
        <v>63</v>
      </c>
      <c r="C2677" s="6">
        <v>1</v>
      </c>
      <c r="D2677" s="56">
        <v>0.0065</v>
      </c>
      <c r="E2677" s="4">
        <f t="shared" si="729"/>
        <v>65</v>
      </c>
      <c r="G2677" s="6">
        <v>1</v>
      </c>
      <c r="H2677" s="56">
        <v>0.056</v>
      </c>
      <c r="I2677" s="4">
        <f t="shared" si="730"/>
        <v>560</v>
      </c>
      <c r="K2677" s="6">
        <v>1</v>
      </c>
      <c r="L2677" s="56">
        <v>0.1</v>
      </c>
      <c r="M2677" s="4">
        <f t="shared" si="731"/>
        <v>1000</v>
      </c>
      <c r="O2677" s="6">
        <v>1</v>
      </c>
      <c r="P2677" s="56">
        <v>0.25</v>
      </c>
      <c r="Q2677" s="4">
        <f t="shared" si="732"/>
        <v>2500</v>
      </c>
      <c r="S2677" s="6">
        <v>1</v>
      </c>
      <c r="T2677" s="56">
        <v>0.83</v>
      </c>
      <c r="U2677" s="4">
        <f t="shared" si="733"/>
        <v>8300</v>
      </c>
    </row>
    <row r="2679" spans="2:21">
      <c r="B2679" s="29" t="s">
        <v>1425</v>
      </c>
      <c r="C2679" s="1" t="s">
        <v>1409</v>
      </c>
      <c r="D2679" s="1" t="s">
        <v>1410</v>
      </c>
      <c r="E2679" s="1" t="s">
        <v>1411</v>
      </c>
      <c r="G2679" s="1" t="s">
        <v>1412</v>
      </c>
      <c r="H2679" s="1" t="s">
        <v>1413</v>
      </c>
      <c r="I2679" s="1" t="s">
        <v>1414</v>
      </c>
      <c r="K2679" s="1" t="s">
        <v>1415</v>
      </c>
      <c r="L2679" s="1" t="s">
        <v>1416</v>
      </c>
      <c r="M2679" s="1" t="s">
        <v>1417</v>
      </c>
      <c r="O2679" s="1" t="s">
        <v>1418</v>
      </c>
      <c r="P2679" s="1" t="s">
        <v>1419</v>
      </c>
      <c r="Q2679" s="1" t="s">
        <v>1420</v>
      </c>
      <c r="S2679" s="1" t="s">
        <v>1421</v>
      </c>
      <c r="T2679" s="1" t="s">
        <v>1422</v>
      </c>
      <c r="U2679" s="1" t="s">
        <v>1423</v>
      </c>
    </row>
    <row r="2680" spans="2:21">
      <c r="B2680" s="1" t="s">
        <v>1426</v>
      </c>
      <c r="C2680" s="6">
        <v>1</v>
      </c>
      <c r="D2680" s="56">
        <v>1</v>
      </c>
      <c r="E2680" s="4">
        <f t="shared" si="729"/>
        <v>10000</v>
      </c>
      <c r="G2680" s="6">
        <v>1</v>
      </c>
      <c r="H2680" s="56">
        <v>0.43</v>
      </c>
      <c r="I2680" s="4">
        <f t="shared" si="730"/>
        <v>4300</v>
      </c>
      <c r="K2680" s="6">
        <v>1</v>
      </c>
      <c r="L2680" s="56">
        <v>0</v>
      </c>
      <c r="M2680" s="4">
        <f t="shared" ref="M2680" si="736">L2680*10000</f>
        <v>0</v>
      </c>
      <c r="O2680" s="6">
        <v>1</v>
      </c>
      <c r="P2680" s="56">
        <v>0</v>
      </c>
      <c r="Q2680" s="4">
        <f t="shared" si="732"/>
        <v>0</v>
      </c>
      <c r="S2680" s="6">
        <v>1</v>
      </c>
      <c r="T2680" s="56">
        <v>0</v>
      </c>
      <c r="U2680" s="4">
        <f t="shared" si="733"/>
        <v>0</v>
      </c>
    </row>
    <row r="2681" spans="2:21">
      <c r="B2681" s="1" t="s">
        <v>1427</v>
      </c>
      <c r="C2681" s="6">
        <v>1</v>
      </c>
      <c r="D2681" s="56">
        <v>0</v>
      </c>
      <c r="E2681" s="4">
        <f t="shared" si="729"/>
        <v>0</v>
      </c>
      <c r="G2681" s="6">
        <v>1</v>
      </c>
      <c r="H2681" s="56">
        <v>0.57</v>
      </c>
      <c r="I2681" s="4">
        <f t="shared" si="730"/>
        <v>5700</v>
      </c>
      <c r="K2681" s="6">
        <v>1</v>
      </c>
      <c r="L2681" s="56">
        <v>0.93</v>
      </c>
      <c r="M2681" s="4">
        <f t="shared" si="731"/>
        <v>9300</v>
      </c>
      <c r="O2681" s="6">
        <v>1</v>
      </c>
      <c r="P2681" s="56">
        <v>0.33</v>
      </c>
      <c r="Q2681" s="4">
        <f t="shared" si="732"/>
        <v>3300</v>
      </c>
      <c r="S2681" s="6">
        <v>1</v>
      </c>
      <c r="T2681" s="56">
        <v>0</v>
      </c>
      <c r="U2681" s="4">
        <f t="shared" si="733"/>
        <v>0</v>
      </c>
    </row>
    <row r="2682" spans="2:21">
      <c r="B2682" s="1" t="s">
        <v>1428</v>
      </c>
      <c r="C2682" s="6">
        <v>1</v>
      </c>
      <c r="D2682" s="56">
        <v>0</v>
      </c>
      <c r="E2682" s="4">
        <f t="shared" si="729"/>
        <v>0</v>
      </c>
      <c r="G2682" s="6">
        <v>1</v>
      </c>
      <c r="H2682" s="56">
        <v>0</v>
      </c>
      <c r="I2682" s="4">
        <f t="shared" si="730"/>
        <v>0</v>
      </c>
      <c r="K2682" s="6">
        <v>1</v>
      </c>
      <c r="L2682" s="56">
        <v>0.07</v>
      </c>
      <c r="M2682" s="4">
        <f t="shared" si="731"/>
        <v>700</v>
      </c>
      <c r="O2682" s="6">
        <v>1</v>
      </c>
      <c r="P2682" s="56">
        <v>0.67</v>
      </c>
      <c r="Q2682" s="4">
        <f t="shared" si="732"/>
        <v>6700</v>
      </c>
      <c r="S2682" s="6">
        <v>1</v>
      </c>
      <c r="T2682" s="56">
        <v>0.45</v>
      </c>
      <c r="U2682" s="4">
        <f t="shared" si="733"/>
        <v>4500</v>
      </c>
    </row>
    <row r="2683" spans="2:21">
      <c r="B2683" s="1" t="s">
        <v>1429</v>
      </c>
      <c r="C2683" s="6">
        <v>1</v>
      </c>
      <c r="D2683" s="56">
        <v>0</v>
      </c>
      <c r="E2683" s="4">
        <f t="shared" si="729"/>
        <v>0</v>
      </c>
      <c r="G2683" s="6">
        <v>1</v>
      </c>
      <c r="H2683" s="56">
        <v>0</v>
      </c>
      <c r="I2683" s="4">
        <f t="shared" si="730"/>
        <v>0</v>
      </c>
      <c r="K2683" s="6">
        <v>1</v>
      </c>
      <c r="L2683" s="56">
        <v>0</v>
      </c>
      <c r="M2683" s="4">
        <f t="shared" si="731"/>
        <v>0</v>
      </c>
      <c r="O2683" s="6">
        <v>1</v>
      </c>
      <c r="P2683" s="56">
        <v>0</v>
      </c>
      <c r="Q2683" s="4">
        <f t="shared" si="732"/>
        <v>0</v>
      </c>
      <c r="S2683" s="6">
        <v>1</v>
      </c>
      <c r="T2683" s="56">
        <v>0.55</v>
      </c>
      <c r="U2683" s="4">
        <f t="shared" si="733"/>
        <v>5500</v>
      </c>
    </row>
    <row r="2684" spans="2:21">
      <c r="B2684" s="1" t="s">
        <v>1430</v>
      </c>
      <c r="C2684" s="6">
        <v>1</v>
      </c>
      <c r="D2684" s="56">
        <v>0</v>
      </c>
      <c r="E2684" s="4">
        <f t="shared" si="729"/>
        <v>0</v>
      </c>
      <c r="G2684" s="6">
        <v>1</v>
      </c>
      <c r="H2684" s="56">
        <v>0</v>
      </c>
      <c r="I2684" s="4">
        <f t="shared" si="730"/>
        <v>0</v>
      </c>
      <c r="K2684" s="6">
        <v>1</v>
      </c>
      <c r="L2684" s="56">
        <v>0</v>
      </c>
      <c r="M2684" s="4">
        <f t="shared" si="731"/>
        <v>0</v>
      </c>
      <c r="O2684" s="6">
        <v>1</v>
      </c>
      <c r="P2684" s="56">
        <v>0</v>
      </c>
      <c r="Q2684" s="4">
        <f t="shared" si="732"/>
        <v>0</v>
      </c>
      <c r="S2684" s="6">
        <v>1</v>
      </c>
      <c r="T2684" s="56">
        <v>0</v>
      </c>
      <c r="U2684" s="4">
        <f t="shared" si="733"/>
        <v>0</v>
      </c>
    </row>
    <row r="2685" spans="2:21">
      <c r="B2685" s="1" t="s">
        <v>1431</v>
      </c>
      <c r="C2685" s="6">
        <v>1</v>
      </c>
      <c r="D2685" s="56">
        <v>0</v>
      </c>
      <c r="E2685" s="4">
        <f t="shared" si="729"/>
        <v>0</v>
      </c>
      <c r="G2685" s="6">
        <v>1</v>
      </c>
      <c r="H2685" s="56">
        <v>0</v>
      </c>
      <c r="I2685" s="4">
        <f t="shared" si="730"/>
        <v>0</v>
      </c>
      <c r="K2685" s="6">
        <v>1</v>
      </c>
      <c r="L2685" s="56">
        <v>0</v>
      </c>
      <c r="M2685" s="4">
        <f t="shared" si="731"/>
        <v>0</v>
      </c>
      <c r="O2685" s="6">
        <v>1</v>
      </c>
      <c r="P2685" s="56">
        <v>0</v>
      </c>
      <c r="Q2685" s="4">
        <f t="shared" si="732"/>
        <v>0</v>
      </c>
      <c r="S2685" s="6">
        <v>1</v>
      </c>
      <c r="T2685" s="56">
        <v>0</v>
      </c>
      <c r="U2685" s="4">
        <f t="shared" si="733"/>
        <v>0</v>
      </c>
    </row>
    <row r="2686" spans="4:20">
      <c r="D2686" s="42">
        <f>SUM(D2680:D2685)</f>
        <v>1</v>
      </c>
      <c r="H2686" s="42">
        <f>SUM(H2680:H2685)</f>
        <v>1</v>
      </c>
      <c r="L2686" s="42">
        <f>SUM(L2680:L2685)</f>
        <v>1</v>
      </c>
      <c r="P2686" s="42">
        <f>SUM(P2680:P2685)</f>
        <v>1</v>
      </c>
      <c r="T2686" s="42">
        <f>SUM(T2680:T2685)</f>
        <v>1</v>
      </c>
    </row>
    <row r="2688" spans="2:21">
      <c r="B2688" s="29" t="s">
        <v>468</v>
      </c>
      <c r="C2688" s="1" t="s">
        <v>1409</v>
      </c>
      <c r="D2688" s="1" t="s">
        <v>1410</v>
      </c>
      <c r="E2688" s="1" t="s">
        <v>1411</v>
      </c>
      <c r="G2688" s="1" t="s">
        <v>1412</v>
      </c>
      <c r="H2688" s="1" t="s">
        <v>1413</v>
      </c>
      <c r="I2688" s="1" t="s">
        <v>1414</v>
      </c>
      <c r="K2688" s="1" t="s">
        <v>1415</v>
      </c>
      <c r="L2688" s="1" t="s">
        <v>1416</v>
      </c>
      <c r="M2688" s="1" t="s">
        <v>1417</v>
      </c>
      <c r="O2688" s="1" t="s">
        <v>1418</v>
      </c>
      <c r="P2688" s="1" t="s">
        <v>1419</v>
      </c>
      <c r="Q2688" s="1" t="s">
        <v>1420</v>
      </c>
      <c r="S2688" s="1" t="s">
        <v>1421</v>
      </c>
      <c r="T2688" s="1" t="s">
        <v>1422</v>
      </c>
      <c r="U2688" s="1" t="s">
        <v>1423</v>
      </c>
    </row>
    <row r="2689" spans="2:21">
      <c r="B2689" s="1" t="s">
        <v>468</v>
      </c>
      <c r="C2689" s="6">
        <v>1</v>
      </c>
      <c r="D2689" s="56">
        <v>0.0075</v>
      </c>
      <c r="E2689" s="4">
        <f>D2689*10000</f>
        <v>75</v>
      </c>
      <c r="G2689" s="6">
        <v>1</v>
      </c>
      <c r="H2689" s="56">
        <v>0.0675</v>
      </c>
      <c r="I2689" s="4">
        <f>H2689*10000</f>
        <v>675</v>
      </c>
      <c r="K2689" s="6">
        <v>1</v>
      </c>
      <c r="L2689" s="56">
        <v>0.12</v>
      </c>
      <c r="M2689" s="4">
        <f>L2689*10000</f>
        <v>1200</v>
      </c>
      <c r="O2689" s="6">
        <v>1</v>
      </c>
      <c r="P2689" s="56">
        <v>0.3</v>
      </c>
      <c r="Q2689" s="4">
        <f>P2689*10000</f>
        <v>3000</v>
      </c>
      <c r="S2689" s="6">
        <v>1</v>
      </c>
      <c r="T2689" s="56">
        <v>1</v>
      </c>
      <c r="U2689" s="4">
        <f>T2689*10000</f>
        <v>10000</v>
      </c>
    </row>
    <row r="2691" spans="1:21">
      <c r="A2691" s="29" t="s">
        <v>466</v>
      </c>
      <c r="B2691" s="29" t="s">
        <v>1432</v>
      </c>
      <c r="C2691" s="1" t="s">
        <v>1409</v>
      </c>
      <c r="D2691" s="1" t="s">
        <v>1410</v>
      </c>
      <c r="E2691" s="1" t="s">
        <v>1411</v>
      </c>
      <c r="G2691" s="1" t="s">
        <v>1412</v>
      </c>
      <c r="H2691" s="1" t="s">
        <v>1413</v>
      </c>
      <c r="I2691" s="1" t="s">
        <v>1414</v>
      </c>
      <c r="K2691" s="1" t="s">
        <v>1415</v>
      </c>
      <c r="L2691" s="1" t="s">
        <v>1416</v>
      </c>
      <c r="M2691" s="1" t="s">
        <v>1417</v>
      </c>
      <c r="O2691" s="1" t="s">
        <v>1418</v>
      </c>
      <c r="P2691" s="1" t="s">
        <v>1419</v>
      </c>
      <c r="Q2691" s="1" t="s">
        <v>1420</v>
      </c>
      <c r="S2691" s="1" t="s">
        <v>1421</v>
      </c>
      <c r="T2691" s="1" t="s">
        <v>1422</v>
      </c>
      <c r="U2691" s="1" t="s">
        <v>1423</v>
      </c>
    </row>
    <row r="2692" spans="1:21">
      <c r="A2692" s="1">
        <v>10000</v>
      </c>
      <c r="B2692" s="1" t="s">
        <v>1433</v>
      </c>
      <c r="C2692" s="6">
        <v>1</v>
      </c>
      <c r="D2692" s="56">
        <v>1</v>
      </c>
      <c r="E2692" s="4">
        <f t="shared" ref="E2692:E2695" si="737">D2692*10000</f>
        <v>10000</v>
      </c>
      <c r="G2692" s="6">
        <v>1</v>
      </c>
      <c r="H2692" s="56">
        <v>0</v>
      </c>
      <c r="I2692" s="4">
        <f t="shared" ref="I2692:I2695" si="738">H2692*10000</f>
        <v>0</v>
      </c>
      <c r="K2692" s="6">
        <v>1</v>
      </c>
      <c r="L2692" s="56">
        <v>0</v>
      </c>
      <c r="M2692" s="4">
        <f t="shared" ref="M2692:M2695" si="739">L2692*10000</f>
        <v>0</v>
      </c>
      <c r="O2692" s="6">
        <v>1</v>
      </c>
      <c r="P2692" s="56">
        <v>0</v>
      </c>
      <c r="Q2692" s="4">
        <f t="shared" ref="Q2692:Q2695" si="740">P2692*10000</f>
        <v>0</v>
      </c>
      <c r="S2692" s="6">
        <v>1</v>
      </c>
      <c r="T2692" s="56">
        <v>0</v>
      </c>
      <c r="U2692" s="4">
        <f t="shared" ref="U2692:U2695" si="741">T2692*10000</f>
        <v>0</v>
      </c>
    </row>
    <row r="2693" spans="1:21">
      <c r="A2693" s="1">
        <v>50000</v>
      </c>
      <c r="B2693" s="1" t="s">
        <v>1434</v>
      </c>
      <c r="C2693" s="6">
        <v>1</v>
      </c>
      <c r="D2693" s="56">
        <v>0</v>
      </c>
      <c r="E2693" s="4">
        <f t="shared" si="737"/>
        <v>0</v>
      </c>
      <c r="G2693" s="6">
        <v>1</v>
      </c>
      <c r="H2693" s="56">
        <v>0.87</v>
      </c>
      <c r="I2693" s="4">
        <f t="shared" si="738"/>
        <v>8700</v>
      </c>
      <c r="K2693" s="6">
        <v>1</v>
      </c>
      <c r="L2693" s="56">
        <v>0.5</v>
      </c>
      <c r="M2693" s="4">
        <f t="shared" si="739"/>
        <v>5000</v>
      </c>
      <c r="O2693" s="6">
        <v>1</v>
      </c>
      <c r="P2693" s="56">
        <v>0</v>
      </c>
      <c r="Q2693" s="4">
        <f t="shared" si="740"/>
        <v>0</v>
      </c>
      <c r="S2693" s="6">
        <v>1</v>
      </c>
      <c r="T2693" s="56">
        <v>0</v>
      </c>
      <c r="U2693" s="4">
        <f t="shared" si="741"/>
        <v>0</v>
      </c>
    </row>
    <row r="2694" spans="1:21">
      <c r="A2694" s="1">
        <v>200000</v>
      </c>
      <c r="B2694" s="1" t="s">
        <v>1435</v>
      </c>
      <c r="C2694" s="6">
        <v>1</v>
      </c>
      <c r="D2694" s="56">
        <v>0</v>
      </c>
      <c r="E2694" s="4">
        <f t="shared" si="737"/>
        <v>0</v>
      </c>
      <c r="G2694" s="6">
        <v>1</v>
      </c>
      <c r="H2694" s="56">
        <v>0.13</v>
      </c>
      <c r="I2694" s="4">
        <f t="shared" si="738"/>
        <v>1300</v>
      </c>
      <c r="K2694" s="6">
        <v>1</v>
      </c>
      <c r="L2694" s="56">
        <v>0.5</v>
      </c>
      <c r="M2694" s="4">
        <f t="shared" si="739"/>
        <v>5000</v>
      </c>
      <c r="O2694" s="6">
        <v>1</v>
      </c>
      <c r="P2694" s="56">
        <v>1</v>
      </c>
      <c r="Q2694" s="4">
        <f t="shared" si="740"/>
        <v>10000</v>
      </c>
      <c r="S2694" s="6">
        <v>1</v>
      </c>
      <c r="T2694" s="56">
        <v>0.67</v>
      </c>
      <c r="U2694" s="4">
        <f t="shared" si="741"/>
        <v>6700</v>
      </c>
    </row>
    <row r="2695" spans="1:21">
      <c r="A2695" s="1">
        <v>200000</v>
      </c>
      <c r="B2695" s="1" t="s">
        <v>1435</v>
      </c>
      <c r="C2695" s="6">
        <v>5</v>
      </c>
      <c r="D2695" s="56">
        <v>0</v>
      </c>
      <c r="E2695" s="4">
        <f t="shared" si="737"/>
        <v>0</v>
      </c>
      <c r="G2695" s="6">
        <v>5</v>
      </c>
      <c r="H2695" s="56">
        <v>0</v>
      </c>
      <c r="I2695" s="4">
        <f t="shared" si="738"/>
        <v>0</v>
      </c>
      <c r="K2695" s="6">
        <v>5</v>
      </c>
      <c r="L2695" s="56">
        <v>0</v>
      </c>
      <c r="M2695" s="4">
        <f t="shared" si="739"/>
        <v>0</v>
      </c>
      <c r="O2695" s="6">
        <v>5</v>
      </c>
      <c r="P2695" s="56">
        <v>0</v>
      </c>
      <c r="Q2695" s="4">
        <f t="shared" si="740"/>
        <v>0</v>
      </c>
      <c r="S2695" s="6">
        <v>5</v>
      </c>
      <c r="T2695" s="56">
        <v>0.33</v>
      </c>
      <c r="U2695" s="4">
        <f t="shared" si="741"/>
        <v>3300</v>
      </c>
    </row>
    <row r="2696" spans="4:20">
      <c r="D2696" s="42">
        <f>SUM(D2692:D2695)</f>
        <v>1</v>
      </c>
      <c r="H2696" s="42">
        <f>SUM(H2692:H2695)</f>
        <v>1</v>
      </c>
      <c r="L2696" s="42">
        <f>SUM(L2692:L2695)</f>
        <v>1</v>
      </c>
      <c r="P2696" s="42">
        <f>SUM(P2692:P2695)</f>
        <v>1</v>
      </c>
      <c r="T2696" s="42">
        <f>SUM(T2692:T2695)</f>
        <v>1</v>
      </c>
    </row>
    <row r="2699" s="25" customFormat="1" spans="1:5">
      <c r="A2699" s="2" t="s">
        <v>548</v>
      </c>
      <c r="B2699" s="2"/>
      <c r="C2699" s="41" t="s">
        <v>436</v>
      </c>
      <c r="E2699" s="26" t="s">
        <v>1436</v>
      </c>
    </row>
    <row r="2701" spans="2:12">
      <c r="B2701" s="27" t="s">
        <v>1306</v>
      </c>
      <c r="C2701" s="27"/>
      <c r="D2701" s="27"/>
      <c r="E2701" s="27"/>
      <c r="F2701" s="27"/>
      <c r="G2701" s="27"/>
      <c r="H2701" s="27"/>
      <c r="I2701" s="27"/>
      <c r="J2701" s="27"/>
      <c r="K2701" s="27"/>
      <c r="L2701" s="27"/>
    </row>
    <row r="2703" spans="2:5">
      <c r="B2703" s="1" t="s">
        <v>1437</v>
      </c>
      <c r="E2703" s="1">
        <f>总规划!$D$245</f>
        <v>90000</v>
      </c>
    </row>
    <row r="2704" spans="2:5">
      <c r="B2704" s="1" t="s">
        <v>1438</v>
      </c>
      <c r="E2704" s="42">
        <f>总规划!$C$141</f>
        <v>0.2</v>
      </c>
    </row>
    <row r="2705" spans="2:5">
      <c r="B2705" s="1" t="s">
        <v>1439</v>
      </c>
      <c r="E2705" s="1">
        <f>E2703/30*E2704</f>
        <v>600</v>
      </c>
    </row>
    <row r="2707" spans="2:6">
      <c r="B2707" s="1" t="s">
        <v>708</v>
      </c>
      <c r="E2707" s="1">
        <f>总规划!$D$105</f>
        <v>1800</v>
      </c>
      <c r="F2707" s="1" t="str">
        <f>总规划!$C$105</f>
        <v>1M资源</v>
      </c>
    </row>
    <row r="2708" spans="2:5">
      <c r="B2708" s="1" t="s">
        <v>711</v>
      </c>
      <c r="E2708" s="42">
        <f>总规划!$D$141</f>
        <v>0.02</v>
      </c>
    </row>
    <row r="2709" spans="2:6">
      <c r="B2709" s="1" t="s">
        <v>1440</v>
      </c>
      <c r="E2709" s="1">
        <f>E2707*1000000/30*E2708</f>
        <v>1200000</v>
      </c>
      <c r="F2709" s="1" t="s">
        <v>1328</v>
      </c>
    </row>
    <row r="2711" spans="2:6">
      <c r="B2711" s="1" t="s">
        <v>715</v>
      </c>
      <c r="E2711" s="1">
        <f>总规划!$D$106</f>
        <v>480</v>
      </c>
      <c r="F2711" s="1" t="str">
        <f>总规划!$C$106</f>
        <v>1天</v>
      </c>
    </row>
    <row r="2712" spans="2:5">
      <c r="B2712" s="1" t="s">
        <v>720</v>
      </c>
      <c r="E2712" s="42">
        <f>总规划!$E$141</f>
        <v>0.02</v>
      </c>
    </row>
    <row r="2713" spans="2:6">
      <c r="B2713" s="1" t="s">
        <v>1441</v>
      </c>
      <c r="E2713" s="8">
        <f>E2711/30*E2712*24*60</f>
        <v>460.8</v>
      </c>
      <c r="F2713" s="1" t="s">
        <v>1308</v>
      </c>
    </row>
    <row r="2715" spans="2:6">
      <c r="B2715" s="1" t="s">
        <v>944</v>
      </c>
      <c r="E2715" s="1">
        <f>总规划!$D$107</f>
        <v>1500</v>
      </c>
      <c r="F2715" s="1" t="str">
        <f>总规划!$C$107</f>
        <v>1四星卡</v>
      </c>
    </row>
    <row r="2716" spans="2:5">
      <c r="B2716" s="1" t="s">
        <v>946</v>
      </c>
      <c r="E2716" s="42">
        <f>总规划!$F$141</f>
        <v>0.04</v>
      </c>
    </row>
    <row r="2717" spans="2:6">
      <c r="B2717" s="1" t="s">
        <v>1442</v>
      </c>
      <c r="E2717" s="18">
        <f>E2715/30*E2716</f>
        <v>2</v>
      </c>
      <c r="F2717" s="1" t="str">
        <f>总规划!$C$107</f>
        <v>1四星卡</v>
      </c>
    </row>
    <row r="2719" spans="2:6">
      <c r="B2719" s="1" t="s">
        <v>1057</v>
      </c>
      <c r="E2719" s="1">
        <f>总规划!$D$110</f>
        <v>60</v>
      </c>
      <c r="F2719" s="1" t="str">
        <f>总规划!$C$110</f>
        <v>1k零件</v>
      </c>
    </row>
    <row r="2720" spans="2:5">
      <c r="B2720" s="1" t="s">
        <v>1059</v>
      </c>
      <c r="E2720" s="42">
        <f>总规划!$I$141</f>
        <v>0.09</v>
      </c>
    </row>
    <row r="2721" spans="2:6">
      <c r="B2721" s="1" t="s">
        <v>1443</v>
      </c>
      <c r="E2721" s="19">
        <f>E2719*1000/30*E2720</f>
        <v>180</v>
      </c>
      <c r="F2721" s="1" t="s">
        <v>1355</v>
      </c>
    </row>
    <row r="2722" spans="5:5">
      <c r="E2722" s="19"/>
    </row>
    <row r="2723" spans="2:6">
      <c r="B2723" s="1" t="s">
        <v>1077</v>
      </c>
      <c r="E2723" s="1">
        <f>总规划!$D$120</f>
        <v>30</v>
      </c>
      <c r="F2723" s="1" t="str">
        <f>总规划!$C$110</f>
        <v>1k零件</v>
      </c>
    </row>
    <row r="2724" spans="2:5">
      <c r="B2724" s="1" t="s">
        <v>1078</v>
      </c>
      <c r="E2724" s="42">
        <f>总规划!$S$141</f>
        <v>0.09</v>
      </c>
    </row>
    <row r="2725" spans="2:6">
      <c r="B2725" s="1" t="s">
        <v>1444</v>
      </c>
      <c r="E2725" s="19">
        <f>E2723*1000/30*E2724</f>
        <v>90</v>
      </c>
      <c r="F2725" s="1" t="s">
        <v>1355</v>
      </c>
    </row>
    <row r="2727" spans="2:12">
      <c r="B2727" s="27" t="s">
        <v>1445</v>
      </c>
      <c r="C2727" s="27"/>
      <c r="D2727" s="27"/>
      <c r="E2727" s="27"/>
      <c r="F2727" s="27"/>
      <c r="G2727" s="27"/>
      <c r="H2727" s="27"/>
      <c r="I2727" s="27"/>
      <c r="J2727" s="27"/>
      <c r="K2727" s="27"/>
      <c r="L2727" s="27"/>
    </row>
    <row r="2729" spans="2:5">
      <c r="B2729" s="1" t="s">
        <v>1446</v>
      </c>
      <c r="E2729" s="1">
        <f>E2705</f>
        <v>600</v>
      </c>
    </row>
    <row r="2730" spans="2:5">
      <c r="B2730" s="1" t="s">
        <v>1447</v>
      </c>
      <c r="E2730" s="1" t="s">
        <v>1448</v>
      </c>
    </row>
    <row r="2731" spans="2:6">
      <c r="B2731" s="1" t="s">
        <v>1449</v>
      </c>
      <c r="E2731" s="1">
        <f>E2713</f>
        <v>460.8</v>
      </c>
      <c r="F2731" s="1" t="s">
        <v>1450</v>
      </c>
    </row>
    <row r="2733" spans="2:5">
      <c r="B2733" s="1" t="s">
        <v>1451</v>
      </c>
      <c r="E2733" s="30">
        <v>2</v>
      </c>
    </row>
    <row r="2734" spans="2:6">
      <c r="B2734" s="1" t="s">
        <v>1452</v>
      </c>
      <c r="E2734" s="1">
        <f>E2733*$E$4819</f>
        <v>1.6</v>
      </c>
      <c r="F2734" s="1" t="str">
        <f>总规划!$C$107</f>
        <v>1四星卡</v>
      </c>
    </row>
    <row r="2735" spans="2:5">
      <c r="B2735" s="1" t="s">
        <v>1453</v>
      </c>
      <c r="E2735" s="1">
        <f>E2733*$E$4820</f>
        <v>36.6</v>
      </c>
    </row>
    <row r="2737" spans="2:5">
      <c r="B2737" s="1" t="s">
        <v>1454</v>
      </c>
      <c r="E2737" s="1">
        <f>(E2717-E2734)*$E$695</f>
        <v>20</v>
      </c>
    </row>
    <row r="2738" spans="2:5">
      <c r="B2738" s="1" t="s">
        <v>1455</v>
      </c>
      <c r="E2738" s="87">
        <f>_xlfn.FLOOR.MATH(E2721-E2735)</f>
        <v>143</v>
      </c>
    </row>
    <row r="2739" spans="5:5">
      <c r="E2739" s="88"/>
    </row>
    <row r="2740" spans="2:5">
      <c r="B2740" s="1" t="s">
        <v>1456</v>
      </c>
      <c r="E2740" s="87">
        <f>E4725</f>
        <v>100</v>
      </c>
    </row>
    <row r="2742" spans="2:12">
      <c r="B2742" s="27" t="s">
        <v>1457</v>
      </c>
      <c r="C2742" s="27"/>
      <c r="D2742" s="27"/>
      <c r="E2742" s="27"/>
      <c r="F2742" s="27"/>
      <c r="G2742" s="27"/>
      <c r="H2742" s="27"/>
      <c r="I2742" s="27"/>
      <c r="J2742" s="27"/>
      <c r="K2742" s="27"/>
      <c r="L2742" s="27"/>
    </row>
    <row r="2745" s="25" customFormat="1" spans="1:5">
      <c r="A2745" s="2" t="s">
        <v>549</v>
      </c>
      <c r="B2745" s="2"/>
      <c r="C2745" s="41" t="s">
        <v>436</v>
      </c>
      <c r="E2745" s="26" t="s">
        <v>1458</v>
      </c>
    </row>
    <row r="2747" spans="2:12">
      <c r="B2747" s="27" t="s">
        <v>1306</v>
      </c>
      <c r="C2747" s="27"/>
      <c r="D2747" s="27"/>
      <c r="E2747" s="27"/>
      <c r="F2747" s="27"/>
      <c r="G2747" s="27"/>
      <c r="H2747" s="27"/>
      <c r="I2747" s="27"/>
      <c r="J2747" s="27"/>
      <c r="K2747" s="27"/>
      <c r="L2747" s="27"/>
    </row>
    <row r="2749" spans="2:6">
      <c r="B2749" s="1" t="s">
        <v>989</v>
      </c>
      <c r="E2749" s="1">
        <f>总规划!$D$108</f>
        <v>300</v>
      </c>
      <c r="F2749" s="1" t="str">
        <f>总规划!$C$108</f>
        <v>1M陆经</v>
      </c>
    </row>
    <row r="2750" spans="2:5">
      <c r="B2750" s="1" t="s">
        <v>990</v>
      </c>
      <c r="E2750" s="68">
        <f>总规划!$G$142</f>
        <v>0.5</v>
      </c>
    </row>
    <row r="2751" spans="2:6">
      <c r="B2751" s="1" t="s">
        <v>1459</v>
      </c>
      <c r="E2751" s="1">
        <f>E2749*1000000/30*E2750</f>
        <v>5000000</v>
      </c>
      <c r="F2751" s="1" t="s">
        <v>1460</v>
      </c>
    </row>
    <row r="2753" spans="2:6">
      <c r="B2753" s="1" t="s">
        <v>994</v>
      </c>
      <c r="E2753" s="1">
        <f>总规划!$D$109</f>
        <v>200</v>
      </c>
      <c r="F2753" s="1" t="str">
        <f>总规划!$C$109</f>
        <v>1k弹药</v>
      </c>
    </row>
    <row r="2754" spans="2:5">
      <c r="B2754" s="1" t="s">
        <v>996</v>
      </c>
      <c r="E2754" s="68">
        <f>总规划!$H$142</f>
        <v>0.45</v>
      </c>
    </row>
    <row r="2755" spans="2:6">
      <c r="B2755" s="1" t="s">
        <v>1461</v>
      </c>
      <c r="E2755" s="1">
        <f>E2753/30*1000*E2754</f>
        <v>3000</v>
      </c>
      <c r="F2755" s="1" t="s">
        <v>1321</v>
      </c>
    </row>
    <row r="2757" spans="2:6">
      <c r="B2757" s="1" t="s">
        <v>944</v>
      </c>
      <c r="E2757" s="1">
        <f>总规划!$D$107</f>
        <v>1500</v>
      </c>
      <c r="F2757" s="1" t="str">
        <f>总规划!$C$107</f>
        <v>1四星卡</v>
      </c>
    </row>
    <row r="2758" spans="2:5">
      <c r="B2758" s="1" t="s">
        <v>947</v>
      </c>
      <c r="E2758" s="42">
        <f>总规划!$F$142</f>
        <v>0.06</v>
      </c>
    </row>
    <row r="2759" spans="2:6">
      <c r="B2759" s="1" t="s">
        <v>1462</v>
      </c>
      <c r="E2759" s="8">
        <f>E2757/30*E2758</f>
        <v>3</v>
      </c>
      <c r="F2759" s="1" t="str">
        <f>总规划!$C$107</f>
        <v>1四星卡</v>
      </c>
    </row>
    <row r="2760" spans="5:5">
      <c r="E2760" s="8"/>
    </row>
    <row r="2761" spans="2:6">
      <c r="B2761" s="1" t="s">
        <v>1103</v>
      </c>
      <c r="E2761" s="1">
        <f>总规划!$D$111</f>
        <v>360</v>
      </c>
      <c r="F2761" s="1" t="str">
        <f>总规划!$C$111</f>
        <v>1k铜材料</v>
      </c>
    </row>
    <row r="2762" spans="2:5">
      <c r="B2762" s="1" t="s">
        <v>1105</v>
      </c>
      <c r="E2762" s="42">
        <f>总规划!$J$142</f>
        <v>0.25</v>
      </c>
    </row>
    <row r="2763" spans="2:6">
      <c r="B2763" s="1" t="s">
        <v>1463</v>
      </c>
      <c r="E2763" s="8">
        <f>E2761/30*E2762*1000</f>
        <v>3000</v>
      </c>
      <c r="F2763" s="1" t="s">
        <v>1357</v>
      </c>
    </row>
    <row r="2764" spans="5:5">
      <c r="E2764" s="8"/>
    </row>
    <row r="2765" spans="2:6">
      <c r="B2765" s="1" t="s">
        <v>1057</v>
      </c>
      <c r="E2765" s="1">
        <f>总规划!$D$110</f>
        <v>60</v>
      </c>
      <c r="F2765" s="1" t="str">
        <f>总规划!$C$110</f>
        <v>1k零件</v>
      </c>
    </row>
    <row r="2766" spans="2:5">
      <c r="B2766" s="1" t="s">
        <v>1060</v>
      </c>
      <c r="E2766" s="42">
        <f>总规划!$I$142</f>
        <v>0.023</v>
      </c>
    </row>
    <row r="2767" spans="2:6">
      <c r="B2767" s="1" t="s">
        <v>1464</v>
      </c>
      <c r="E2767" s="8">
        <f>E2765/30*E2766*1000</f>
        <v>46</v>
      </c>
      <c r="F2767" s="1" t="s">
        <v>1355</v>
      </c>
    </row>
    <row r="2768" spans="5:5">
      <c r="E2768" s="8"/>
    </row>
    <row r="2769" spans="2:6">
      <c r="B2769" s="1" t="s">
        <v>1016</v>
      </c>
      <c r="E2769" s="1">
        <f>总规划!$D$118</f>
        <v>150</v>
      </c>
      <c r="F2769" s="1" t="str">
        <f>总规划!$C$108</f>
        <v>1M陆经</v>
      </c>
    </row>
    <row r="2770" spans="2:5">
      <c r="B2770" s="1" t="s">
        <v>1017</v>
      </c>
      <c r="E2770" s="68">
        <f>总规划!$Q$142</f>
        <v>0.5</v>
      </c>
    </row>
    <row r="2771" spans="2:6">
      <c r="B2771" s="1" t="s">
        <v>1465</v>
      </c>
      <c r="E2771" s="1">
        <f>E2769*1000000/30*E2770</f>
        <v>2500000</v>
      </c>
      <c r="F2771" s="1" t="s">
        <v>1460</v>
      </c>
    </row>
    <row r="2773" spans="2:6">
      <c r="B2773" s="1" t="s">
        <v>1021</v>
      </c>
      <c r="E2773" s="1">
        <f>总规划!$D$119</f>
        <v>100</v>
      </c>
      <c r="F2773" s="1" t="str">
        <f>总规划!$C$109</f>
        <v>1k弹药</v>
      </c>
    </row>
    <row r="2774" spans="2:5">
      <c r="B2774" s="1" t="s">
        <v>1022</v>
      </c>
      <c r="E2774" s="68">
        <f>总规划!$R$142</f>
        <v>0.45</v>
      </c>
    </row>
    <row r="2775" spans="2:6">
      <c r="B2775" s="1" t="s">
        <v>1466</v>
      </c>
      <c r="E2775" s="1">
        <f>E2773/30*1000*E2774</f>
        <v>1500</v>
      </c>
      <c r="F2775" s="1" t="s">
        <v>1321</v>
      </c>
    </row>
    <row r="2776" spans="5:5">
      <c r="E2776" s="8"/>
    </row>
    <row r="2777" spans="2:6">
      <c r="B2777" s="1" t="s">
        <v>1077</v>
      </c>
      <c r="E2777" s="1">
        <f>总规划!$D$120</f>
        <v>30</v>
      </c>
      <c r="F2777" s="1" t="str">
        <f>总规划!$C$110</f>
        <v>1k零件</v>
      </c>
    </row>
    <row r="2778" spans="2:5">
      <c r="B2778" s="1" t="s">
        <v>1079</v>
      </c>
      <c r="E2778" s="68">
        <f>总规划!$S$142</f>
        <v>0.05</v>
      </c>
    </row>
    <row r="2779" spans="2:6">
      <c r="B2779" s="1" t="s">
        <v>1467</v>
      </c>
      <c r="E2779" s="8">
        <f>E2777/30*E2778*1000</f>
        <v>50</v>
      </c>
      <c r="F2779" s="1" t="s">
        <v>1355</v>
      </c>
    </row>
    <row r="2780" spans="5:5">
      <c r="E2780" s="8"/>
    </row>
    <row r="2781" spans="5:5">
      <c r="E2781" s="8"/>
    </row>
    <row r="2782" spans="2:12">
      <c r="B2782" s="27" t="s">
        <v>1468</v>
      </c>
      <c r="C2782" s="27"/>
      <c r="D2782" s="27"/>
      <c r="E2782" s="27"/>
      <c r="F2782" s="27"/>
      <c r="G2782" s="27"/>
      <c r="H2782" s="27"/>
      <c r="I2782" s="27"/>
      <c r="J2782" s="27"/>
      <c r="K2782" s="27"/>
      <c r="L2782" s="27"/>
    </row>
    <row r="2784" spans="2:5">
      <c r="B2784" s="1" t="s">
        <v>1469</v>
      </c>
      <c r="E2784" s="92">
        <v>10</v>
      </c>
    </row>
    <row r="2785" spans="2:5">
      <c r="B2785" s="1" t="s">
        <v>1470</v>
      </c>
      <c r="E2785" s="92">
        <v>1800</v>
      </c>
    </row>
    <row r="2786" spans="2:5">
      <c r="B2786" s="1" t="s">
        <v>1471</v>
      </c>
      <c r="E2786" s="92">
        <v>7200</v>
      </c>
    </row>
    <row r="2787" spans="5:5">
      <c r="E2787" s="61"/>
    </row>
    <row r="2788" spans="2:12">
      <c r="B2788" s="27" t="s">
        <v>1472</v>
      </c>
      <c r="C2788" s="27"/>
      <c r="D2788" s="27"/>
      <c r="E2788" s="27"/>
      <c r="F2788" s="27"/>
      <c r="G2788" s="27"/>
      <c r="H2788" s="27"/>
      <c r="I2788" s="27"/>
      <c r="J2788" s="27"/>
      <c r="K2788" s="27"/>
      <c r="L2788" s="27"/>
    </row>
    <row r="2790" spans="2:5">
      <c r="B2790" s="1" t="s">
        <v>1473</v>
      </c>
      <c r="E2790" s="92">
        <v>1</v>
      </c>
    </row>
    <row r="2791" spans="2:5">
      <c r="B2791" s="1" t="s">
        <v>1474</v>
      </c>
      <c r="E2791" s="61">
        <f>E2759/$E$4819/24/3600*$E$2786*10000</f>
        <v>3125</v>
      </c>
    </row>
    <row r="2792" spans="5:5">
      <c r="E2792" s="8"/>
    </row>
    <row r="2793" spans="2:12">
      <c r="B2793" s="27" t="s">
        <v>1315</v>
      </c>
      <c r="C2793" s="27"/>
      <c r="D2793" s="27"/>
      <c r="E2793" s="27"/>
      <c r="F2793" s="27"/>
      <c r="G2793" s="27"/>
      <c r="H2793" s="27"/>
      <c r="I2793" s="27"/>
      <c r="J2793" s="27"/>
      <c r="K2793" s="27"/>
      <c r="L2793" s="27"/>
    </row>
    <row r="2795" ht="13.85" spans="4:22">
      <c r="D2795" s="1" t="s">
        <v>1475</v>
      </c>
      <c r="V2795" s="1" t="s">
        <v>1476</v>
      </c>
    </row>
    <row r="2796" spans="2:35">
      <c r="B2796" s="1" t="s">
        <v>1477</v>
      </c>
      <c r="C2796" s="1" t="s">
        <v>1478</v>
      </c>
      <c r="D2796" s="89" t="s">
        <v>1052</v>
      </c>
      <c r="E2796" s="93" t="s">
        <v>1479</v>
      </c>
      <c r="F2796" s="93" t="s">
        <v>1053</v>
      </c>
      <c r="G2796" s="93" t="s">
        <v>1480</v>
      </c>
      <c r="H2796" s="94" t="s">
        <v>1481</v>
      </c>
      <c r="I2796" s="93" t="s">
        <v>1482</v>
      </c>
      <c r="J2796" s="93" t="s">
        <v>1483</v>
      </c>
      <c r="K2796" s="94" t="s">
        <v>1484</v>
      </c>
      <c r="L2796" s="93" t="s">
        <v>1367</v>
      </c>
      <c r="M2796" s="93" t="s">
        <v>1485</v>
      </c>
      <c r="N2796" s="94" t="s">
        <v>1486</v>
      </c>
      <c r="O2796" s="93" t="s">
        <v>1487</v>
      </c>
      <c r="P2796" s="94" t="s">
        <v>1488</v>
      </c>
      <c r="Q2796" s="98" t="s">
        <v>1489</v>
      </c>
      <c r="R2796" s="98" t="s">
        <v>1490</v>
      </c>
      <c r="S2796" s="93" t="s">
        <v>1491</v>
      </c>
      <c r="T2796" s="94" t="s">
        <v>1492</v>
      </c>
      <c r="U2796" s="100" t="s">
        <v>1493</v>
      </c>
      <c r="V2796" s="89" t="s">
        <v>1054</v>
      </c>
      <c r="W2796" s="93" t="s">
        <v>1479</v>
      </c>
      <c r="X2796" s="93" t="s">
        <v>1055</v>
      </c>
      <c r="Y2796" s="93" t="s">
        <v>1494</v>
      </c>
      <c r="Z2796" s="94" t="s">
        <v>1495</v>
      </c>
      <c r="AA2796" s="94" t="s">
        <v>1496</v>
      </c>
      <c r="AB2796" s="94" t="s">
        <v>1484</v>
      </c>
      <c r="AC2796" s="93" t="s">
        <v>1497</v>
      </c>
      <c r="AD2796" s="94" t="s">
        <v>1498</v>
      </c>
      <c r="AE2796" s="98" t="s">
        <v>1489</v>
      </c>
      <c r="AF2796" s="98" t="s">
        <v>1499</v>
      </c>
      <c r="AG2796" s="93" t="s">
        <v>1491</v>
      </c>
      <c r="AH2796" s="94" t="s">
        <v>1500</v>
      </c>
      <c r="AI2796" s="100" t="s">
        <v>1493</v>
      </c>
    </row>
    <row r="2797" spans="2:35">
      <c r="B2797" s="1">
        <v>0</v>
      </c>
      <c r="C2797" s="1">
        <f ca="1">OFFSET(养成规划!$B$85,MATCH(B2797,养成规划!$E$85:$E$156,0)-1,0)</f>
        <v>0</v>
      </c>
      <c r="D2797" s="90">
        <v>0.1</v>
      </c>
      <c r="E2797" s="1">
        <f>D2797*$E$2751</f>
        <v>500000</v>
      </c>
      <c r="F2797" s="49">
        <v>0.1</v>
      </c>
      <c r="G2797" s="1">
        <f>F2797*$E$2755</f>
        <v>300</v>
      </c>
      <c r="H2797" s="5">
        <f ca="1" t="shared" ref="H2797:H2809" si="742">IFERROR(OFFSET($I$3025,MATCH(Q2797,$B$3025:$B$3031,0)-1,0),0)+(P2797-R2797)*IFERROR(OFFSET($J$3025,MATCH(Q2797+1,$B$3025:$B$3031,0)-1,0),$D$3046/2)</f>
        <v>22.2222222222223</v>
      </c>
      <c r="I2797" s="49">
        <v>0</v>
      </c>
      <c r="J2797" s="1">
        <f t="shared" ref="J2797:J2809" si="743">I2797*$E$2759/$E$4819</f>
        <v>0</v>
      </c>
      <c r="K2797" s="5">
        <f ca="1" t="shared" ref="K2797:K2809" si="744">IFERROR(OFFSET($O$3025,MATCH(Q2797,$B$3025:$B$3031,0)-1,0),0)+(P2797-R2797)*IFERROR(OFFSET($P$3025,MATCH(Q2797+1,$B$3025:$B$3031,0)-1,0),0)</f>
        <v>0</v>
      </c>
      <c r="L2797" s="49">
        <v>0</v>
      </c>
      <c r="M2797" s="1">
        <f>L2797*$E$2763</f>
        <v>0</v>
      </c>
      <c r="N2797" s="5">
        <f ca="1" t="shared" ref="N2797:N2809" si="745">IFERROR(OFFSET($L$3025,MATCH(Q2797,$B$3025:$B$3031,0)-1,0),0)+(P2797-R2797)*IFERROR(OFFSET($M$3025,MATCH(Q2797+1,$B$3025:$B$3031,0)-1,0),$D$3047/2)</f>
        <v>0</v>
      </c>
      <c r="O2797" s="49">
        <v>0.005</v>
      </c>
      <c r="P2797" s="5">
        <f t="shared" ref="P2797:P2809" si="746">O2797*$D$2850</f>
        <v>50</v>
      </c>
      <c r="Q2797" s="15">
        <f ca="1" t="shared" ref="Q2797:Q2809" si="747">IFERROR(OFFSET($B$3025,MATCH(P2797,$E$3025:$E$3031,1)-1,0),0)</f>
        <v>1</v>
      </c>
      <c r="R2797" s="15">
        <f ca="1" t="shared" ref="R2797:R2809" si="748">IFERROR(OFFSET($E$3025,MATCH(Q2797,$B$3025:$B$3031,0)-1,0),0)</f>
        <v>33.3333333333333</v>
      </c>
      <c r="S2797" s="1">
        <f ca="1" t="shared" ref="S2797:S2809" si="749">OFFSET($C$3025,MATCH(Q2797,$B$3025:$B$3031,0)-1,0)</f>
        <v>0</v>
      </c>
      <c r="T2797" s="5">
        <f ca="1" t="shared" ref="T2797:T2809" si="750">IFERROR(OFFSET($E$3025,MATCH(S2797,$C$3025:$C$3031,1)-1,0),0)</f>
        <v>783.333333333333</v>
      </c>
      <c r="U2797" s="101">
        <f ca="1" t="shared" ref="U2797:U2809" si="751">IF(P2797&gt;T2797,IFERROR(OFFSET($C$3025,MATCH(Q2797,$B$3025:$B$3031,1),0),0),S2797)</f>
        <v>0</v>
      </c>
      <c r="V2797" s="90">
        <v>0</v>
      </c>
      <c r="W2797" s="1">
        <f>V2797*$E$2771</f>
        <v>0</v>
      </c>
      <c r="X2797" s="49">
        <v>0</v>
      </c>
      <c r="Y2797" s="1">
        <f>X2797*$E$2775</f>
        <v>0</v>
      </c>
      <c r="Z2797" s="5">
        <f ca="1" t="shared" ref="Z2797:Z2809" si="752">IFERROR(OFFSET($I$3036,MATCH(AE2797,$B$3036:$B$3042,0)-1,0),0)+(AD2797-AF2797)*IFERROR(OFFSET($J$3036,MATCH(AE2797+1,$B$3036:$B$3042,0)-1,0),$D$3050*$E$2824)</f>
        <v>31.1111111111111</v>
      </c>
      <c r="AA2797" s="5">
        <f ca="1" t="shared" ref="AA2797:AA2809" si="753">IFERROR(OFFSET($L$3036,MATCH(AE2797,$B$3036:$B$3042,0)-1,0),0)+(AD2797-AF2797)*IFERROR(OFFSET($M$3036,MATCH(AE2797+1,$B$3036:$B$3042,0)-1,0),$D$3051*$E$2825)</f>
        <v>0</v>
      </c>
      <c r="AB2797" s="5">
        <f ca="1" t="shared" ref="AB2797:AB2809" si="754">IFERROR(OFFSET($O$3036,MATCH(AE2797,$B$3036:$B$3042,0)-1,0),0)+(AD2797-AF2797)*IFERROR(OFFSET($P$3036,MATCH(AE2797+1,$B$3036:$B$3043,0)-1,0),0)</f>
        <v>0</v>
      </c>
      <c r="AC2797" s="49">
        <v>0.01</v>
      </c>
      <c r="AD2797" s="5">
        <f t="shared" ref="AD2797:AD2809" si="755">AC2797*$H$2850</f>
        <v>40</v>
      </c>
      <c r="AE2797" s="15">
        <f ca="1" t="shared" ref="AE2797:AE2809" si="756">IFERROR(OFFSET($B$3036,MATCH(AD2797,$E$3036:$E$3042,1)-1,0),0)</f>
        <v>1</v>
      </c>
      <c r="AF2797" s="15">
        <f ca="1" t="shared" ref="AF2797:AF2809" si="757">IFERROR(OFFSET($E$3036,MATCH(AE2797,$B$3036:$B$3042,0)-1,0),0)</f>
        <v>16.6666666666667</v>
      </c>
      <c r="AG2797" s="1">
        <f ca="1" t="shared" ref="AG2797:AG2809" si="758">OFFSET($C$3036,MATCH(AE2797,$B$3036:$B$3042,0)-1,0)</f>
        <v>0</v>
      </c>
      <c r="AH2797" s="5">
        <f ca="1" t="shared" ref="AH2797:AH2809" si="759">IFERROR(OFFSET($E$3036,MATCH(AG2797,$C$3036:$C$3042,1)-1,0),0)</f>
        <v>166.666666666667</v>
      </c>
      <c r="AI2797" s="101">
        <f ca="1" t="shared" ref="AI2797:AI2809" si="760">IF(AD2797&gt;AH2797,IFERROR(OFFSET($C$3036,MATCH(AE2797,$B$3036:$B$3042,1),0),0),AG2797)</f>
        <v>0</v>
      </c>
    </row>
    <row r="2798" spans="2:35">
      <c r="B2798" s="1">
        <v>1</v>
      </c>
      <c r="C2798" s="1">
        <f ca="1">OFFSET(养成规划!$B$85,MATCH(B2798,养成规划!$E$85:$E$156,0)-1,0)</f>
        <v>1</v>
      </c>
      <c r="D2798" s="90">
        <v>0.2</v>
      </c>
      <c r="E2798" s="1">
        <f t="shared" ref="E2798:E2809" si="761">D2798*$E$2751</f>
        <v>1000000</v>
      </c>
      <c r="F2798" s="49">
        <v>0.2</v>
      </c>
      <c r="G2798" s="1">
        <f t="shared" ref="G2798:G2809" si="762">F2798*$E$2755</f>
        <v>600</v>
      </c>
      <c r="H2798" s="5">
        <f ca="1" t="shared" si="742"/>
        <v>355.555555555556</v>
      </c>
      <c r="I2798" s="49">
        <v>0.05</v>
      </c>
      <c r="J2798" s="1">
        <f t="shared" si="743"/>
        <v>0.1875</v>
      </c>
      <c r="K2798" s="5">
        <f ca="1" t="shared" si="744"/>
        <v>0</v>
      </c>
      <c r="L2798" s="49">
        <v>0</v>
      </c>
      <c r="M2798" s="1">
        <f t="shared" ref="M2798:M2809" si="763">L2798*$E$2763</f>
        <v>0</v>
      </c>
      <c r="N2798" s="5">
        <f ca="1" t="shared" si="745"/>
        <v>0</v>
      </c>
      <c r="O2798" s="49">
        <v>0.03</v>
      </c>
      <c r="P2798" s="5">
        <f t="shared" si="746"/>
        <v>300</v>
      </c>
      <c r="Q2798" s="15">
        <f ca="1" t="shared" si="747"/>
        <v>1</v>
      </c>
      <c r="R2798" s="15">
        <f ca="1" t="shared" si="748"/>
        <v>33.3333333333333</v>
      </c>
      <c r="S2798" s="1">
        <f ca="1" t="shared" si="749"/>
        <v>0</v>
      </c>
      <c r="T2798" s="5">
        <f ca="1" t="shared" si="750"/>
        <v>783.333333333333</v>
      </c>
      <c r="U2798" s="101">
        <f ca="1" t="shared" si="751"/>
        <v>0</v>
      </c>
      <c r="V2798" s="90">
        <v>0</v>
      </c>
      <c r="W2798" s="1">
        <f t="shared" ref="W2798:W2809" si="764">V2798*$E$2771</f>
        <v>0</v>
      </c>
      <c r="X2798" s="49">
        <v>0</v>
      </c>
      <c r="Y2798" s="1">
        <f t="shared" ref="Y2798:Y2809" si="765">X2798*$E$2775</f>
        <v>0</v>
      </c>
      <c r="Z2798" s="5">
        <f ca="1" t="shared" si="752"/>
        <v>84.4444444444444</v>
      </c>
      <c r="AA2798" s="5">
        <f ca="1" t="shared" si="753"/>
        <v>0</v>
      </c>
      <c r="AB2798" s="5">
        <f ca="1" t="shared" si="754"/>
        <v>0</v>
      </c>
      <c r="AC2798" s="49">
        <v>0.02</v>
      </c>
      <c r="AD2798" s="5">
        <f t="shared" si="755"/>
        <v>80</v>
      </c>
      <c r="AE2798" s="15">
        <f ca="1" t="shared" si="756"/>
        <v>1</v>
      </c>
      <c r="AF2798" s="15">
        <f ca="1" t="shared" si="757"/>
        <v>16.6666666666667</v>
      </c>
      <c r="AG2798" s="1">
        <f ca="1" t="shared" si="758"/>
        <v>0</v>
      </c>
      <c r="AH2798" s="5">
        <f ca="1" t="shared" si="759"/>
        <v>166.666666666667</v>
      </c>
      <c r="AI2798" s="101">
        <f ca="1" t="shared" si="760"/>
        <v>0</v>
      </c>
    </row>
    <row r="2799" spans="2:35">
      <c r="B2799" s="1">
        <v>2</v>
      </c>
      <c r="C2799" s="1">
        <f ca="1">OFFSET(养成规划!$B$85,MATCH(B2799,养成规划!$E$85:$E$156,0)-1,0)</f>
        <v>5</v>
      </c>
      <c r="D2799" s="90">
        <v>0.3</v>
      </c>
      <c r="E2799" s="1">
        <f t="shared" si="761"/>
        <v>1500000</v>
      </c>
      <c r="F2799" s="49">
        <v>0.3</v>
      </c>
      <c r="G2799" s="1">
        <f t="shared" si="762"/>
        <v>900</v>
      </c>
      <c r="H2799" s="5">
        <f ca="1" t="shared" si="742"/>
        <v>622.222222222222</v>
      </c>
      <c r="I2799" s="49">
        <v>0.1</v>
      </c>
      <c r="J2799" s="1">
        <f t="shared" si="743"/>
        <v>0.375</v>
      </c>
      <c r="K2799" s="5">
        <f ca="1" t="shared" si="744"/>
        <v>0</v>
      </c>
      <c r="L2799" s="49">
        <v>0.05</v>
      </c>
      <c r="M2799" s="1">
        <f t="shared" si="763"/>
        <v>150</v>
      </c>
      <c r="N2799" s="5">
        <f ca="1" t="shared" si="745"/>
        <v>0</v>
      </c>
      <c r="O2799" s="49">
        <v>0.05</v>
      </c>
      <c r="P2799" s="5">
        <f t="shared" si="746"/>
        <v>500</v>
      </c>
      <c r="Q2799" s="15">
        <f ca="1" t="shared" si="747"/>
        <v>1</v>
      </c>
      <c r="R2799" s="15">
        <f ca="1" t="shared" si="748"/>
        <v>33.3333333333333</v>
      </c>
      <c r="S2799" s="1">
        <f ca="1" t="shared" si="749"/>
        <v>0</v>
      </c>
      <c r="T2799" s="5">
        <f ca="1" t="shared" si="750"/>
        <v>783.333333333333</v>
      </c>
      <c r="U2799" s="101">
        <f ca="1" t="shared" si="751"/>
        <v>0</v>
      </c>
      <c r="V2799" s="90">
        <v>0.3</v>
      </c>
      <c r="W2799" s="1">
        <f t="shared" si="764"/>
        <v>750000</v>
      </c>
      <c r="X2799" s="49">
        <v>0.3</v>
      </c>
      <c r="Y2799" s="1">
        <f t="shared" si="765"/>
        <v>450</v>
      </c>
      <c r="Z2799" s="5">
        <f ca="1" t="shared" si="752"/>
        <v>191.111111111111</v>
      </c>
      <c r="AA2799" s="5">
        <f ca="1" t="shared" si="753"/>
        <v>0</v>
      </c>
      <c r="AB2799" s="5">
        <f ca="1" t="shared" si="754"/>
        <v>0</v>
      </c>
      <c r="AC2799" s="49">
        <v>0.04</v>
      </c>
      <c r="AD2799" s="5">
        <f t="shared" si="755"/>
        <v>160</v>
      </c>
      <c r="AE2799" s="15">
        <f ca="1" t="shared" si="756"/>
        <v>1</v>
      </c>
      <c r="AF2799" s="15">
        <f ca="1" t="shared" si="757"/>
        <v>16.6666666666667</v>
      </c>
      <c r="AG2799" s="1">
        <f ca="1" t="shared" si="758"/>
        <v>0</v>
      </c>
      <c r="AH2799" s="5">
        <f ca="1" t="shared" si="759"/>
        <v>166.666666666667</v>
      </c>
      <c r="AI2799" s="101">
        <f ca="1" t="shared" si="760"/>
        <v>0</v>
      </c>
    </row>
    <row r="2800" spans="2:35">
      <c r="B2800" s="1">
        <v>3</v>
      </c>
      <c r="C2800" s="1">
        <f ca="1">OFFSET(养成规划!$B$85,MATCH(B2800,养成规划!$E$85:$E$156,0)-1,0)</f>
        <v>13</v>
      </c>
      <c r="D2800" s="90">
        <v>0.4</v>
      </c>
      <c r="E2800" s="1">
        <f t="shared" si="761"/>
        <v>2000000</v>
      </c>
      <c r="F2800" s="49">
        <v>0.4</v>
      </c>
      <c r="G2800" s="1">
        <f t="shared" si="762"/>
        <v>1200</v>
      </c>
      <c r="H2800" s="5">
        <f ca="1" t="shared" si="742"/>
        <v>1000</v>
      </c>
      <c r="I2800" s="49">
        <v>0.15</v>
      </c>
      <c r="J2800" s="1">
        <f t="shared" si="743"/>
        <v>0.5625</v>
      </c>
      <c r="K2800" s="5">
        <f ca="1" t="shared" si="744"/>
        <v>0.255555555555556</v>
      </c>
      <c r="L2800" s="49">
        <v>0.1</v>
      </c>
      <c r="M2800" s="1">
        <f t="shared" si="763"/>
        <v>300</v>
      </c>
      <c r="N2800" s="5">
        <f ca="1" t="shared" si="745"/>
        <v>350</v>
      </c>
      <c r="O2800" s="49">
        <v>0.1</v>
      </c>
      <c r="P2800" s="5">
        <f t="shared" si="746"/>
        <v>1000</v>
      </c>
      <c r="Q2800" s="15">
        <f ca="1" t="shared" si="747"/>
        <v>3</v>
      </c>
      <c r="R2800" s="15">
        <f ca="1" t="shared" si="748"/>
        <v>923.333333333333</v>
      </c>
      <c r="S2800" s="1">
        <f ca="1" t="shared" si="749"/>
        <v>1</v>
      </c>
      <c r="T2800" s="5">
        <f ca="1" t="shared" si="750"/>
        <v>1623.33333333333</v>
      </c>
      <c r="U2800" s="101">
        <f ca="1" t="shared" si="751"/>
        <v>1</v>
      </c>
      <c r="V2800" s="90">
        <v>0.4</v>
      </c>
      <c r="W2800" s="1">
        <f t="shared" si="764"/>
        <v>1000000</v>
      </c>
      <c r="X2800" s="49">
        <v>0.4</v>
      </c>
      <c r="Y2800" s="1">
        <f t="shared" si="765"/>
        <v>600</v>
      </c>
      <c r="Z2800" s="5">
        <f ca="1" t="shared" si="752"/>
        <v>200</v>
      </c>
      <c r="AA2800" s="5">
        <f ca="1" t="shared" si="753"/>
        <v>13.3333333333332</v>
      </c>
      <c r="AB2800" s="5">
        <f ca="1" t="shared" si="754"/>
        <v>0</v>
      </c>
      <c r="AC2800" s="49">
        <v>0.05</v>
      </c>
      <c r="AD2800" s="5">
        <f t="shared" si="755"/>
        <v>200</v>
      </c>
      <c r="AE2800" s="15">
        <f ca="1" t="shared" si="756"/>
        <v>2</v>
      </c>
      <c r="AF2800" s="15">
        <f ca="1" t="shared" si="757"/>
        <v>166.666666666667</v>
      </c>
      <c r="AG2800" s="1">
        <f ca="1" t="shared" si="758"/>
        <v>0</v>
      </c>
      <c r="AH2800" s="5">
        <f ca="1" t="shared" si="759"/>
        <v>166.666666666667</v>
      </c>
      <c r="AI2800" s="101">
        <f ca="1" t="shared" si="760"/>
        <v>1</v>
      </c>
    </row>
    <row r="2801" spans="2:35">
      <c r="B2801" s="1">
        <v>4</v>
      </c>
      <c r="C2801" s="1">
        <f ca="1">OFFSET(养成规划!$B$85,MATCH(B2801,养成规划!$E$85:$E$156,0)-1,0)</f>
        <v>23</v>
      </c>
      <c r="D2801" s="90">
        <v>0.5</v>
      </c>
      <c r="E2801" s="1">
        <f t="shared" si="761"/>
        <v>2500000</v>
      </c>
      <c r="F2801" s="49">
        <v>0.5</v>
      </c>
      <c r="G2801" s="1">
        <f t="shared" si="762"/>
        <v>1500</v>
      </c>
      <c r="H2801" s="5">
        <f ca="1" t="shared" si="742"/>
        <v>1154.54545454545</v>
      </c>
      <c r="I2801" s="49">
        <v>0.2</v>
      </c>
      <c r="J2801" s="1">
        <f t="shared" si="743"/>
        <v>0.75</v>
      </c>
      <c r="K2801" s="5">
        <f ca="1" t="shared" si="744"/>
        <v>2.33333333333333</v>
      </c>
      <c r="L2801" s="49">
        <v>0.2</v>
      </c>
      <c r="M2801" s="1">
        <f t="shared" si="763"/>
        <v>600</v>
      </c>
      <c r="N2801" s="5">
        <f ca="1" t="shared" si="745"/>
        <v>583.333333333333</v>
      </c>
      <c r="O2801" s="49">
        <v>0.2</v>
      </c>
      <c r="P2801" s="5">
        <f t="shared" si="746"/>
        <v>2000</v>
      </c>
      <c r="Q2801" s="15">
        <f ca="1" t="shared" si="747"/>
        <v>5</v>
      </c>
      <c r="R2801" s="15">
        <f ca="1" t="shared" si="748"/>
        <v>1716.66666666667</v>
      </c>
      <c r="S2801" s="1">
        <f ca="1" t="shared" si="749"/>
        <v>2</v>
      </c>
      <c r="T2801" s="5">
        <f ca="1" t="shared" si="750"/>
        <v>4466.66666666667</v>
      </c>
      <c r="U2801" s="101">
        <f ca="1" t="shared" si="751"/>
        <v>2</v>
      </c>
      <c r="V2801" s="90">
        <v>0.5</v>
      </c>
      <c r="W2801" s="1">
        <f t="shared" si="764"/>
        <v>1250000</v>
      </c>
      <c r="X2801" s="49">
        <v>0.5</v>
      </c>
      <c r="Y2801" s="1">
        <f t="shared" si="765"/>
        <v>750</v>
      </c>
      <c r="Z2801" s="5">
        <f ca="1" t="shared" si="752"/>
        <v>255.454545454546</v>
      </c>
      <c r="AA2801" s="5">
        <f ca="1" t="shared" si="753"/>
        <v>16.6666666666667</v>
      </c>
      <c r="AB2801" s="5">
        <f ca="1" t="shared" si="754"/>
        <v>1</v>
      </c>
      <c r="AC2801" s="49">
        <v>0.1</v>
      </c>
      <c r="AD2801" s="5">
        <f t="shared" si="755"/>
        <v>400</v>
      </c>
      <c r="AE2801" s="15">
        <f ca="1" t="shared" si="756"/>
        <v>4</v>
      </c>
      <c r="AF2801" s="15">
        <f ca="1" t="shared" si="757"/>
        <v>298.333333333333</v>
      </c>
      <c r="AG2801" s="1">
        <f ca="1" t="shared" si="758"/>
        <v>1</v>
      </c>
      <c r="AH2801" s="5">
        <f ca="1" t="shared" si="759"/>
        <v>298.333333333333</v>
      </c>
      <c r="AI2801" s="101">
        <f ca="1" t="shared" si="760"/>
        <v>2</v>
      </c>
    </row>
    <row r="2802" spans="2:35">
      <c r="B2802" s="1">
        <v>5</v>
      </c>
      <c r="C2802" s="1">
        <f ca="1">OFFSET(养成规划!$B$85,MATCH(B2802,养成规划!$E$85:$E$156,0)-1,0)</f>
        <v>35</v>
      </c>
      <c r="D2802" s="90">
        <v>0.6</v>
      </c>
      <c r="E2802" s="1">
        <f t="shared" si="761"/>
        <v>3000000</v>
      </c>
      <c r="F2802" s="49">
        <v>0.6</v>
      </c>
      <c r="G2802" s="1">
        <f t="shared" si="762"/>
        <v>1800</v>
      </c>
      <c r="H2802" s="5">
        <f ca="1" t="shared" si="742"/>
        <v>1700</v>
      </c>
      <c r="I2802" s="49">
        <v>0.3</v>
      </c>
      <c r="J2802" s="1">
        <f t="shared" si="743"/>
        <v>1.125</v>
      </c>
      <c r="K2802" s="5">
        <f ca="1" t="shared" si="744"/>
        <v>2.33333333333333</v>
      </c>
      <c r="L2802" s="49">
        <v>0.3</v>
      </c>
      <c r="M2802" s="1">
        <f t="shared" si="763"/>
        <v>900</v>
      </c>
      <c r="N2802" s="5">
        <f ca="1" t="shared" si="745"/>
        <v>583.333333333333</v>
      </c>
      <c r="O2802" s="49">
        <v>0.3</v>
      </c>
      <c r="P2802" s="5">
        <f t="shared" si="746"/>
        <v>3000</v>
      </c>
      <c r="Q2802" s="15">
        <f ca="1" t="shared" si="747"/>
        <v>5</v>
      </c>
      <c r="R2802" s="15">
        <f ca="1" t="shared" si="748"/>
        <v>1716.66666666667</v>
      </c>
      <c r="S2802" s="1">
        <f ca="1" t="shared" si="749"/>
        <v>2</v>
      </c>
      <c r="T2802" s="5">
        <f ca="1" t="shared" si="750"/>
        <v>4466.66666666667</v>
      </c>
      <c r="U2802" s="101">
        <f ca="1" t="shared" si="751"/>
        <v>2</v>
      </c>
      <c r="V2802" s="90">
        <v>0.6</v>
      </c>
      <c r="W2802" s="1">
        <f t="shared" si="764"/>
        <v>1500000</v>
      </c>
      <c r="X2802" s="49">
        <v>0.6</v>
      </c>
      <c r="Y2802" s="1">
        <f t="shared" si="765"/>
        <v>900</v>
      </c>
      <c r="Z2802" s="5">
        <f ca="1" t="shared" si="752"/>
        <v>364.545454545455</v>
      </c>
      <c r="AA2802" s="5">
        <f ca="1" t="shared" si="753"/>
        <v>16.6666666666667</v>
      </c>
      <c r="AB2802" s="5">
        <f ca="1" t="shared" si="754"/>
        <v>1</v>
      </c>
      <c r="AC2802" s="49">
        <v>0.15</v>
      </c>
      <c r="AD2802" s="5">
        <f t="shared" si="755"/>
        <v>600</v>
      </c>
      <c r="AE2802" s="15">
        <f ca="1" t="shared" si="756"/>
        <v>4</v>
      </c>
      <c r="AF2802" s="15">
        <f ca="1" t="shared" si="757"/>
        <v>298.333333333333</v>
      </c>
      <c r="AG2802" s="1">
        <f ca="1" t="shared" si="758"/>
        <v>1</v>
      </c>
      <c r="AH2802" s="5">
        <f ca="1" t="shared" si="759"/>
        <v>298.333333333333</v>
      </c>
      <c r="AI2802" s="101">
        <f ca="1" t="shared" si="760"/>
        <v>2</v>
      </c>
    </row>
    <row r="2803" spans="2:35">
      <c r="B2803" s="1">
        <v>6</v>
      </c>
      <c r="C2803" s="1">
        <f ca="1">OFFSET(养成规划!$B$85,MATCH(B2803,养成规划!$E$85:$E$156,0)-1,0)</f>
        <v>50</v>
      </c>
      <c r="D2803" s="90">
        <v>0.7</v>
      </c>
      <c r="E2803" s="1">
        <f t="shared" si="761"/>
        <v>3500000</v>
      </c>
      <c r="F2803" s="49">
        <v>0.7</v>
      </c>
      <c r="G2803" s="1">
        <f t="shared" si="762"/>
        <v>2100</v>
      </c>
      <c r="H2803" s="5">
        <f ca="1" t="shared" si="742"/>
        <v>2245.45454545454</v>
      </c>
      <c r="I2803" s="49">
        <v>0.4</v>
      </c>
      <c r="J2803" s="1">
        <f t="shared" si="743"/>
        <v>1.5</v>
      </c>
      <c r="K2803" s="5">
        <f ca="1" t="shared" si="744"/>
        <v>2.33333333333333</v>
      </c>
      <c r="L2803" s="49">
        <v>0.4</v>
      </c>
      <c r="M2803" s="1">
        <f t="shared" si="763"/>
        <v>1200</v>
      </c>
      <c r="N2803" s="5">
        <f ca="1" t="shared" si="745"/>
        <v>583.333333333333</v>
      </c>
      <c r="O2803" s="49">
        <v>0.4</v>
      </c>
      <c r="P2803" s="5">
        <f t="shared" si="746"/>
        <v>4000</v>
      </c>
      <c r="Q2803" s="15">
        <f ca="1" t="shared" si="747"/>
        <v>5</v>
      </c>
      <c r="R2803" s="15">
        <f ca="1" t="shared" si="748"/>
        <v>1716.66666666667</v>
      </c>
      <c r="S2803" s="1">
        <f ca="1" t="shared" si="749"/>
        <v>2</v>
      </c>
      <c r="T2803" s="5">
        <f ca="1" t="shared" si="750"/>
        <v>4466.66666666667</v>
      </c>
      <c r="U2803" s="101">
        <f ca="1" t="shared" si="751"/>
        <v>2</v>
      </c>
      <c r="V2803" s="90">
        <v>0.7</v>
      </c>
      <c r="W2803" s="1">
        <f t="shared" si="764"/>
        <v>1750000</v>
      </c>
      <c r="X2803" s="49">
        <v>0.7</v>
      </c>
      <c r="Y2803" s="1">
        <f t="shared" si="765"/>
        <v>1050</v>
      </c>
      <c r="Z2803" s="5">
        <f ca="1" t="shared" si="752"/>
        <v>691.818181818182</v>
      </c>
      <c r="AA2803" s="5">
        <f ca="1" t="shared" si="753"/>
        <v>16.6666666666667</v>
      </c>
      <c r="AB2803" s="5">
        <f ca="1" t="shared" si="754"/>
        <v>1</v>
      </c>
      <c r="AC2803" s="49">
        <v>0.3</v>
      </c>
      <c r="AD2803" s="5">
        <f t="shared" si="755"/>
        <v>1200</v>
      </c>
      <c r="AE2803" s="15">
        <f ca="1" t="shared" si="756"/>
        <v>4</v>
      </c>
      <c r="AF2803" s="15">
        <f ca="1" t="shared" si="757"/>
        <v>298.333333333333</v>
      </c>
      <c r="AG2803" s="1">
        <f ca="1" t="shared" si="758"/>
        <v>1</v>
      </c>
      <c r="AH2803" s="5">
        <f ca="1" t="shared" si="759"/>
        <v>298.333333333333</v>
      </c>
      <c r="AI2803" s="101">
        <f ca="1" t="shared" si="760"/>
        <v>2</v>
      </c>
    </row>
    <row r="2804" spans="2:35">
      <c r="B2804" s="1">
        <v>7</v>
      </c>
      <c r="C2804" s="1">
        <f ca="1">OFFSET(养成规划!$B$85,MATCH(B2804,养成规划!$E$85:$E$156,0)-1,0)</f>
        <v>75</v>
      </c>
      <c r="D2804" s="90">
        <v>0.8</v>
      </c>
      <c r="E2804" s="1">
        <f t="shared" si="761"/>
        <v>4000000</v>
      </c>
      <c r="F2804" s="49">
        <v>0.8</v>
      </c>
      <c r="G2804" s="1">
        <f t="shared" si="762"/>
        <v>2400</v>
      </c>
      <c r="H2804" s="5">
        <f ca="1" t="shared" si="742"/>
        <v>2500</v>
      </c>
      <c r="I2804" s="49">
        <v>0.5</v>
      </c>
      <c r="J2804" s="1">
        <f t="shared" si="743"/>
        <v>1.875</v>
      </c>
      <c r="K2804" s="5">
        <f ca="1" t="shared" si="744"/>
        <v>2.33333333333333</v>
      </c>
      <c r="L2804" s="49">
        <v>0.5</v>
      </c>
      <c r="M2804" s="1">
        <f t="shared" si="763"/>
        <v>1500</v>
      </c>
      <c r="N2804" s="5">
        <f ca="1" t="shared" si="745"/>
        <v>1096.15384615384</v>
      </c>
      <c r="O2804" s="49">
        <v>0.5</v>
      </c>
      <c r="P2804" s="5">
        <f t="shared" si="746"/>
        <v>5000</v>
      </c>
      <c r="Q2804" s="15">
        <f ca="1" t="shared" si="747"/>
        <v>6</v>
      </c>
      <c r="R2804" s="15">
        <f ca="1" t="shared" si="748"/>
        <v>4466.66666666667</v>
      </c>
      <c r="S2804" s="1">
        <f ca="1" t="shared" si="749"/>
        <v>2</v>
      </c>
      <c r="T2804" s="5">
        <f ca="1" t="shared" si="750"/>
        <v>4466.66666666667</v>
      </c>
      <c r="U2804" s="101">
        <f ca="1" t="shared" si="751"/>
        <v>3</v>
      </c>
      <c r="V2804" s="90">
        <v>0.8</v>
      </c>
      <c r="W2804" s="1">
        <f t="shared" si="764"/>
        <v>2000000</v>
      </c>
      <c r="X2804" s="49">
        <v>0.8</v>
      </c>
      <c r="Y2804" s="1">
        <f t="shared" si="765"/>
        <v>1200</v>
      </c>
      <c r="Z2804" s="5">
        <f ca="1" t="shared" si="752"/>
        <v>855.454545454545</v>
      </c>
      <c r="AA2804" s="5">
        <f ca="1" t="shared" si="753"/>
        <v>33.3333333333334</v>
      </c>
      <c r="AB2804" s="5">
        <f ca="1" t="shared" si="754"/>
        <v>1</v>
      </c>
      <c r="AC2804" s="49">
        <v>0.4</v>
      </c>
      <c r="AD2804" s="5">
        <f t="shared" si="755"/>
        <v>1600</v>
      </c>
      <c r="AE2804" s="15">
        <f ca="1" t="shared" si="756"/>
        <v>6</v>
      </c>
      <c r="AF2804" s="15">
        <f ca="1" t="shared" si="757"/>
        <v>1315</v>
      </c>
      <c r="AG2804" s="1">
        <f ca="1" t="shared" si="758"/>
        <v>2</v>
      </c>
      <c r="AH2804" s="5">
        <f ca="1" t="shared" si="759"/>
        <v>1315</v>
      </c>
      <c r="AI2804" s="101">
        <f ca="1" t="shared" si="760"/>
        <v>3</v>
      </c>
    </row>
    <row r="2805" spans="2:35">
      <c r="B2805" s="1">
        <v>8</v>
      </c>
      <c r="C2805" s="1">
        <f ca="1">OFFSET(养成规划!$B$85,MATCH(B2805,养成规划!$E$85:$E$156,0)-1,0)</f>
        <v>120</v>
      </c>
      <c r="D2805" s="90">
        <v>0.84</v>
      </c>
      <c r="E2805" s="1">
        <f t="shared" si="761"/>
        <v>4200000</v>
      </c>
      <c r="F2805" s="49">
        <v>0.84</v>
      </c>
      <c r="G2805" s="1">
        <f t="shared" si="762"/>
        <v>2520</v>
      </c>
      <c r="H2805" s="5">
        <f ca="1" t="shared" si="742"/>
        <v>2531.11111111111</v>
      </c>
      <c r="I2805" s="49">
        <v>0.6</v>
      </c>
      <c r="J2805" s="1">
        <f t="shared" si="743"/>
        <v>2.25</v>
      </c>
      <c r="K2805" s="5">
        <f ca="1" t="shared" si="744"/>
        <v>2.33333333333333</v>
      </c>
      <c r="L2805" s="49">
        <v>0.6</v>
      </c>
      <c r="M2805" s="1">
        <f t="shared" si="763"/>
        <v>1800</v>
      </c>
      <c r="N2805" s="5">
        <f ca="1" t="shared" si="745"/>
        <v>1889.42307692308</v>
      </c>
      <c r="O2805" s="49">
        <v>0.6</v>
      </c>
      <c r="P2805" s="5">
        <f t="shared" si="746"/>
        <v>6000</v>
      </c>
      <c r="Q2805" s="15">
        <f ca="1" t="shared" si="747"/>
        <v>7</v>
      </c>
      <c r="R2805" s="15">
        <f ca="1" t="shared" si="748"/>
        <v>5766.66666666667</v>
      </c>
      <c r="S2805" s="1">
        <f ca="1" t="shared" si="749"/>
        <v>3</v>
      </c>
      <c r="T2805" s="5">
        <f ca="1" t="shared" si="750"/>
        <v>5766.66666666667</v>
      </c>
      <c r="U2805" s="101">
        <f ca="1" t="shared" si="751"/>
        <v>0</v>
      </c>
      <c r="V2805" s="90">
        <v>0.84</v>
      </c>
      <c r="W2805" s="1">
        <f t="shared" si="764"/>
        <v>2100000</v>
      </c>
      <c r="X2805" s="49">
        <v>0.84</v>
      </c>
      <c r="Y2805" s="1">
        <f t="shared" si="765"/>
        <v>1260</v>
      </c>
      <c r="Z2805" s="5">
        <f ca="1" t="shared" si="752"/>
        <v>1073.63636363636</v>
      </c>
      <c r="AA2805" s="5">
        <f ca="1" t="shared" si="753"/>
        <v>33.3333333333334</v>
      </c>
      <c r="AB2805" s="5">
        <f ca="1" t="shared" si="754"/>
        <v>1</v>
      </c>
      <c r="AC2805" s="49">
        <v>0.5</v>
      </c>
      <c r="AD2805" s="5">
        <f t="shared" si="755"/>
        <v>2000</v>
      </c>
      <c r="AE2805" s="15">
        <f ca="1" t="shared" si="756"/>
        <v>6</v>
      </c>
      <c r="AF2805" s="15">
        <f ca="1" t="shared" si="757"/>
        <v>1315</v>
      </c>
      <c r="AG2805" s="1">
        <f ca="1" t="shared" si="758"/>
        <v>2</v>
      </c>
      <c r="AH2805" s="5">
        <f ca="1" t="shared" si="759"/>
        <v>1315</v>
      </c>
      <c r="AI2805" s="101">
        <f ca="1" t="shared" si="760"/>
        <v>3</v>
      </c>
    </row>
    <row r="2806" spans="2:35">
      <c r="B2806" s="1">
        <v>9</v>
      </c>
      <c r="C2806" s="1">
        <f ca="1">OFFSET(养成规划!$B$85,MATCH(B2806,养成规划!$E$85:$E$156,0)-1,0)</f>
        <v>180</v>
      </c>
      <c r="D2806" s="90">
        <v>0.88</v>
      </c>
      <c r="E2806" s="1">
        <f t="shared" si="761"/>
        <v>4400000</v>
      </c>
      <c r="F2806" s="49">
        <v>0.88</v>
      </c>
      <c r="G2806" s="1">
        <f t="shared" si="762"/>
        <v>2640</v>
      </c>
      <c r="H2806" s="5">
        <f ca="1" t="shared" si="742"/>
        <v>2664.44444444444</v>
      </c>
      <c r="I2806" s="49">
        <v>0.7</v>
      </c>
      <c r="J2806" s="1">
        <f t="shared" si="743"/>
        <v>2.625</v>
      </c>
      <c r="K2806" s="5">
        <f ca="1" t="shared" si="744"/>
        <v>2.33333333333333</v>
      </c>
      <c r="L2806" s="49">
        <v>0.7</v>
      </c>
      <c r="M2806" s="1">
        <f t="shared" si="763"/>
        <v>2100</v>
      </c>
      <c r="N2806" s="5">
        <f ca="1" t="shared" si="745"/>
        <v>2129.80769230769</v>
      </c>
      <c r="O2806" s="49">
        <v>0.7</v>
      </c>
      <c r="P2806" s="5">
        <f t="shared" si="746"/>
        <v>7000</v>
      </c>
      <c r="Q2806" s="15">
        <f ca="1" t="shared" si="747"/>
        <v>7</v>
      </c>
      <c r="R2806" s="15">
        <f ca="1" t="shared" si="748"/>
        <v>5766.66666666667</v>
      </c>
      <c r="S2806" s="1">
        <f ca="1" t="shared" si="749"/>
        <v>3</v>
      </c>
      <c r="T2806" s="5">
        <f ca="1" t="shared" si="750"/>
        <v>5766.66666666667</v>
      </c>
      <c r="U2806" s="101">
        <f ca="1" t="shared" si="751"/>
        <v>0</v>
      </c>
      <c r="V2806" s="90">
        <v>0.88</v>
      </c>
      <c r="W2806" s="1">
        <f t="shared" si="764"/>
        <v>2200000</v>
      </c>
      <c r="X2806" s="49">
        <v>0.88</v>
      </c>
      <c r="Y2806" s="1">
        <f t="shared" si="765"/>
        <v>1320</v>
      </c>
      <c r="Z2806" s="5">
        <f ca="1" t="shared" si="752"/>
        <v>1263.04545454546</v>
      </c>
      <c r="AA2806" s="5">
        <f ca="1" t="shared" si="753"/>
        <v>37.5533333333334</v>
      </c>
      <c r="AB2806" s="5">
        <f ca="1" t="shared" si="754"/>
        <v>1</v>
      </c>
      <c r="AC2806" s="49">
        <v>0.6</v>
      </c>
      <c r="AD2806" s="5">
        <f t="shared" si="755"/>
        <v>2400</v>
      </c>
      <c r="AE2806" s="15">
        <f ca="1" t="shared" si="756"/>
        <v>7</v>
      </c>
      <c r="AF2806" s="15">
        <f ca="1" t="shared" si="757"/>
        <v>2048.33333333333</v>
      </c>
      <c r="AG2806" s="1">
        <f ca="1" t="shared" si="758"/>
        <v>3</v>
      </c>
      <c r="AH2806" s="5">
        <f ca="1" t="shared" si="759"/>
        <v>2048.33333333333</v>
      </c>
      <c r="AI2806" s="101">
        <f ca="1" t="shared" si="760"/>
        <v>0</v>
      </c>
    </row>
    <row r="2807" spans="2:35">
      <c r="B2807" s="1">
        <v>10</v>
      </c>
      <c r="C2807" s="1">
        <f ca="1">OFFSET(养成规划!$B$85,MATCH(B2807,养成规划!$E$85:$E$156,0)-1,0)</f>
        <v>240</v>
      </c>
      <c r="D2807" s="90">
        <v>0.92</v>
      </c>
      <c r="E2807" s="1">
        <f t="shared" si="761"/>
        <v>4600000</v>
      </c>
      <c r="F2807" s="49">
        <v>0.92</v>
      </c>
      <c r="G2807" s="1">
        <f t="shared" si="762"/>
        <v>2760</v>
      </c>
      <c r="H2807" s="5">
        <f ca="1" t="shared" si="742"/>
        <v>2797.77777777778</v>
      </c>
      <c r="I2807" s="49">
        <v>0.8</v>
      </c>
      <c r="J2807" s="1">
        <f t="shared" si="743"/>
        <v>3</v>
      </c>
      <c r="K2807" s="5">
        <f ca="1" t="shared" si="744"/>
        <v>2.33333333333333</v>
      </c>
      <c r="L2807" s="49">
        <v>0.8</v>
      </c>
      <c r="M2807" s="1">
        <f t="shared" si="763"/>
        <v>2400</v>
      </c>
      <c r="N2807" s="5">
        <f ca="1" t="shared" si="745"/>
        <v>2370.19230769231</v>
      </c>
      <c r="O2807" s="49">
        <v>0.8</v>
      </c>
      <c r="P2807" s="5">
        <f t="shared" si="746"/>
        <v>8000</v>
      </c>
      <c r="Q2807" s="15">
        <f ca="1" t="shared" si="747"/>
        <v>7</v>
      </c>
      <c r="R2807" s="15">
        <f ca="1" t="shared" si="748"/>
        <v>5766.66666666667</v>
      </c>
      <c r="S2807" s="1">
        <f ca="1" t="shared" si="749"/>
        <v>3</v>
      </c>
      <c r="T2807" s="5">
        <f ca="1" t="shared" si="750"/>
        <v>5766.66666666667</v>
      </c>
      <c r="U2807" s="101">
        <f ca="1" t="shared" si="751"/>
        <v>0</v>
      </c>
      <c r="V2807" s="90">
        <v>0.92</v>
      </c>
      <c r="W2807" s="1">
        <f t="shared" si="764"/>
        <v>2300000</v>
      </c>
      <c r="X2807" s="49">
        <v>0.92</v>
      </c>
      <c r="Y2807" s="1">
        <f t="shared" si="765"/>
        <v>1380</v>
      </c>
      <c r="Z2807" s="5">
        <f ca="1" t="shared" si="752"/>
        <v>1448.5</v>
      </c>
      <c r="AA2807" s="5">
        <f ca="1" t="shared" si="753"/>
        <v>42.3533333333334</v>
      </c>
      <c r="AB2807" s="5">
        <f ca="1" t="shared" si="754"/>
        <v>1</v>
      </c>
      <c r="AC2807" s="49">
        <v>0.7</v>
      </c>
      <c r="AD2807" s="5">
        <f t="shared" si="755"/>
        <v>2800</v>
      </c>
      <c r="AE2807" s="15">
        <f ca="1" t="shared" si="756"/>
        <v>7</v>
      </c>
      <c r="AF2807" s="15">
        <f ca="1" t="shared" si="757"/>
        <v>2048.33333333333</v>
      </c>
      <c r="AG2807" s="1">
        <f ca="1" t="shared" si="758"/>
        <v>3</v>
      </c>
      <c r="AH2807" s="5">
        <f ca="1" t="shared" si="759"/>
        <v>2048.33333333333</v>
      </c>
      <c r="AI2807" s="101">
        <f ca="1" t="shared" si="760"/>
        <v>0</v>
      </c>
    </row>
    <row r="2808" spans="2:35">
      <c r="B2808" s="1">
        <v>11</v>
      </c>
      <c r="C2808" s="1">
        <f ca="1">OFFSET(养成规划!$B$85,MATCH(B2808,养成规划!$E$85:$E$156,0)-1,0)</f>
        <v>300</v>
      </c>
      <c r="D2808" s="90">
        <v>0.96</v>
      </c>
      <c r="E2808" s="1">
        <f t="shared" si="761"/>
        <v>4800000</v>
      </c>
      <c r="F2808" s="49">
        <v>0.96</v>
      </c>
      <c r="G2808" s="1">
        <f t="shared" si="762"/>
        <v>2880</v>
      </c>
      <c r="H2808" s="5">
        <f ca="1" t="shared" si="742"/>
        <v>2931.11111111111</v>
      </c>
      <c r="I2808" s="49">
        <v>0.9</v>
      </c>
      <c r="J2808" s="1">
        <f t="shared" si="743"/>
        <v>3.375</v>
      </c>
      <c r="K2808" s="5">
        <f ca="1" t="shared" si="744"/>
        <v>2.33333333333333</v>
      </c>
      <c r="L2808" s="49">
        <v>0.9</v>
      </c>
      <c r="M2808" s="1">
        <f t="shared" si="763"/>
        <v>2700</v>
      </c>
      <c r="N2808" s="5">
        <f ca="1" t="shared" si="745"/>
        <v>2610.57692307692</v>
      </c>
      <c r="O2808" s="49">
        <v>0.9</v>
      </c>
      <c r="P2808" s="5">
        <f t="shared" si="746"/>
        <v>9000</v>
      </c>
      <c r="Q2808" s="15">
        <f ca="1" t="shared" si="747"/>
        <v>7</v>
      </c>
      <c r="R2808" s="15">
        <f ca="1" t="shared" si="748"/>
        <v>5766.66666666667</v>
      </c>
      <c r="S2808" s="1">
        <f ca="1" t="shared" si="749"/>
        <v>3</v>
      </c>
      <c r="T2808" s="5">
        <f ca="1" t="shared" si="750"/>
        <v>5766.66666666667</v>
      </c>
      <c r="U2808" s="101">
        <f ca="1" t="shared" si="751"/>
        <v>0</v>
      </c>
      <c r="V2808" s="90">
        <v>0.96</v>
      </c>
      <c r="W2808" s="1">
        <f t="shared" si="764"/>
        <v>2400000</v>
      </c>
      <c r="X2808" s="49">
        <v>0.96</v>
      </c>
      <c r="Y2808" s="1">
        <f t="shared" si="765"/>
        <v>1440</v>
      </c>
      <c r="Z2808" s="5">
        <f ca="1" t="shared" si="752"/>
        <v>1726.68181818182</v>
      </c>
      <c r="AA2808" s="5">
        <f ca="1" t="shared" si="753"/>
        <v>49.5533333333334</v>
      </c>
      <c r="AB2808" s="5">
        <f ca="1" t="shared" si="754"/>
        <v>1</v>
      </c>
      <c r="AC2808" s="49">
        <v>0.85</v>
      </c>
      <c r="AD2808" s="5">
        <f t="shared" si="755"/>
        <v>3400</v>
      </c>
      <c r="AE2808" s="15">
        <f ca="1" t="shared" si="756"/>
        <v>7</v>
      </c>
      <c r="AF2808" s="15">
        <f ca="1" t="shared" si="757"/>
        <v>2048.33333333333</v>
      </c>
      <c r="AG2808" s="1">
        <f ca="1" t="shared" si="758"/>
        <v>3</v>
      </c>
      <c r="AH2808" s="5">
        <f ca="1" t="shared" si="759"/>
        <v>2048.33333333333</v>
      </c>
      <c r="AI2808" s="101">
        <f ca="1" t="shared" si="760"/>
        <v>0</v>
      </c>
    </row>
    <row r="2809" ht="13.85" spans="2:35">
      <c r="B2809" s="1">
        <v>12</v>
      </c>
      <c r="C2809" s="1">
        <f ca="1">OFFSET(养成规划!$B$85,MATCH(B2809,养成规划!$E$85:$E$156,0)-1,0)</f>
        <v>360</v>
      </c>
      <c r="D2809" s="91">
        <v>1</v>
      </c>
      <c r="E2809" s="95">
        <f t="shared" si="761"/>
        <v>5000000</v>
      </c>
      <c r="F2809" s="96">
        <v>1</v>
      </c>
      <c r="G2809" s="95">
        <f t="shared" si="762"/>
        <v>3000</v>
      </c>
      <c r="H2809" s="97">
        <f ca="1" t="shared" si="742"/>
        <v>3064.44444444444</v>
      </c>
      <c r="I2809" s="96">
        <v>1</v>
      </c>
      <c r="J2809" s="95">
        <f t="shared" si="743"/>
        <v>3.75</v>
      </c>
      <c r="K2809" s="97">
        <f ca="1" t="shared" si="744"/>
        <v>2.33333333333333</v>
      </c>
      <c r="L2809" s="96">
        <v>1</v>
      </c>
      <c r="M2809" s="95">
        <f t="shared" si="763"/>
        <v>3000</v>
      </c>
      <c r="N2809" s="97">
        <f ca="1" t="shared" si="745"/>
        <v>2850.96153846154</v>
      </c>
      <c r="O2809" s="96">
        <v>1</v>
      </c>
      <c r="P2809" s="97">
        <f t="shared" si="746"/>
        <v>10000</v>
      </c>
      <c r="Q2809" s="99">
        <f ca="1" t="shared" si="747"/>
        <v>7</v>
      </c>
      <c r="R2809" s="99">
        <f ca="1" t="shared" si="748"/>
        <v>5766.66666666667</v>
      </c>
      <c r="S2809" s="95">
        <f ca="1" t="shared" si="749"/>
        <v>3</v>
      </c>
      <c r="T2809" s="97">
        <f ca="1" t="shared" si="750"/>
        <v>5766.66666666667</v>
      </c>
      <c r="U2809" s="102">
        <f ca="1" t="shared" si="751"/>
        <v>0</v>
      </c>
      <c r="V2809" s="91">
        <v>1</v>
      </c>
      <c r="W2809" s="95">
        <f t="shared" si="764"/>
        <v>2500000</v>
      </c>
      <c r="X2809" s="96">
        <v>1</v>
      </c>
      <c r="Y2809" s="95">
        <f t="shared" si="765"/>
        <v>1500</v>
      </c>
      <c r="Z2809" s="97">
        <f ca="1" t="shared" si="752"/>
        <v>2004.86363636364</v>
      </c>
      <c r="AA2809" s="97">
        <f ca="1" t="shared" si="753"/>
        <v>56.7533333333334</v>
      </c>
      <c r="AB2809" s="97">
        <f ca="1" t="shared" si="754"/>
        <v>1</v>
      </c>
      <c r="AC2809" s="96">
        <v>1</v>
      </c>
      <c r="AD2809" s="97">
        <f t="shared" si="755"/>
        <v>4000</v>
      </c>
      <c r="AE2809" s="99">
        <f ca="1" t="shared" si="756"/>
        <v>7</v>
      </c>
      <c r="AF2809" s="99">
        <f ca="1" t="shared" si="757"/>
        <v>2048.33333333333</v>
      </c>
      <c r="AG2809" s="95">
        <f ca="1" t="shared" si="758"/>
        <v>3</v>
      </c>
      <c r="AH2809" s="97">
        <f ca="1" t="shared" si="759"/>
        <v>2048.33333333333</v>
      </c>
      <c r="AI2809" s="102">
        <f ca="1" t="shared" si="760"/>
        <v>0</v>
      </c>
    </row>
    <row r="2812" spans="2:12">
      <c r="B2812" s="27" t="s">
        <v>1501</v>
      </c>
      <c r="C2812" s="27"/>
      <c r="D2812" s="27"/>
      <c r="E2812" s="27"/>
      <c r="F2812" s="27"/>
      <c r="G2812" s="27"/>
      <c r="H2812" s="27"/>
      <c r="I2812" s="27"/>
      <c r="J2812" s="27"/>
      <c r="K2812" s="27"/>
      <c r="L2812" s="27"/>
    </row>
    <row r="2814" spans="2:10">
      <c r="B2814" s="1" t="s">
        <v>1502</v>
      </c>
      <c r="E2814" s="30">
        <v>8</v>
      </c>
      <c r="G2814" s="1" t="s">
        <v>1503</v>
      </c>
      <c r="J2814" s="30">
        <v>4</v>
      </c>
    </row>
    <row r="2815" spans="2:10">
      <c r="B2815" s="1" t="s">
        <v>1504</v>
      </c>
      <c r="E2815" s="1">
        <f>E2814/10*3600*24</f>
        <v>69120</v>
      </c>
      <c r="G2815" s="1" t="s">
        <v>1505</v>
      </c>
      <c r="J2815" s="1">
        <f>J2814/10*3600*24</f>
        <v>34560</v>
      </c>
    </row>
    <row r="2816" spans="2:10">
      <c r="B2816" s="1" t="s">
        <v>1506</v>
      </c>
      <c r="E2816" s="1">
        <f>E2815*$E$2829</f>
        <v>207360</v>
      </c>
      <c r="G2816" s="1" t="s">
        <v>1507</v>
      </c>
      <c r="J2816" s="1">
        <f>J2815*$E$2829</f>
        <v>103680</v>
      </c>
    </row>
    <row r="2819" spans="2:12">
      <c r="B2819" s="27" t="s">
        <v>1508</v>
      </c>
      <c r="C2819" s="27"/>
      <c r="D2819" s="27"/>
      <c r="E2819" s="27"/>
      <c r="F2819" s="27"/>
      <c r="G2819" s="27"/>
      <c r="H2819" s="27"/>
      <c r="I2819" s="27"/>
      <c r="J2819" s="27"/>
      <c r="K2819" s="27"/>
      <c r="L2819" s="27"/>
    </row>
    <row r="2821" spans="2:6">
      <c r="B2821" s="1" t="s">
        <v>1467</v>
      </c>
      <c r="E2821" s="8">
        <f>E2779</f>
        <v>50</v>
      </c>
      <c r="F2821" s="1" t="s">
        <v>1355</v>
      </c>
    </row>
    <row r="2822" spans="2:5">
      <c r="B2822" s="1" t="s">
        <v>1509</v>
      </c>
      <c r="E2822" s="1">
        <f>E2821*$E$2829</f>
        <v>150</v>
      </c>
    </row>
    <row r="2824" spans="2:5">
      <c r="B2824" s="1" t="s">
        <v>1510</v>
      </c>
      <c r="E2824" s="30">
        <v>0.85</v>
      </c>
    </row>
    <row r="2825" spans="2:5">
      <c r="B2825" s="1" t="s">
        <v>1511</v>
      </c>
      <c r="E2825" s="1">
        <f>1-E2824</f>
        <v>0.15</v>
      </c>
    </row>
    <row r="2827" spans="2:12">
      <c r="B2827" s="27" t="s">
        <v>1512</v>
      </c>
      <c r="C2827" s="27"/>
      <c r="D2827" s="27"/>
      <c r="E2827" s="27"/>
      <c r="F2827" s="27"/>
      <c r="G2827" s="27"/>
      <c r="H2827" s="27"/>
      <c r="I2827" s="27"/>
      <c r="J2827" s="27"/>
      <c r="K2827" s="27"/>
      <c r="L2827" s="27"/>
    </row>
    <row r="2829" spans="2:5">
      <c r="B2829" s="1" t="s">
        <v>1512</v>
      </c>
      <c r="E2829" s="30">
        <v>3</v>
      </c>
    </row>
    <row r="2831" spans="2:12">
      <c r="B2831" s="27" t="s">
        <v>1513</v>
      </c>
      <c r="C2831" s="27"/>
      <c r="D2831" s="27"/>
      <c r="E2831" s="27"/>
      <c r="F2831" s="27"/>
      <c r="G2831" s="27"/>
      <c r="H2831" s="27"/>
      <c r="I2831" s="27"/>
      <c r="J2831" s="27"/>
      <c r="K2831" s="27"/>
      <c r="L2831" s="27"/>
    </row>
    <row r="2833" spans="2:3">
      <c r="B2833" s="29" t="s">
        <v>1514</v>
      </c>
      <c r="C2833" s="29" t="s">
        <v>1478</v>
      </c>
    </row>
    <row r="2834" spans="2:4">
      <c r="B2834" s="1" t="s">
        <v>1515</v>
      </c>
      <c r="C2834" s="30">
        <v>14</v>
      </c>
      <c r="D2834" s="5"/>
    </row>
    <row r="2835" spans="2:4">
      <c r="B2835" s="1" t="s">
        <v>1516</v>
      </c>
      <c r="C2835" s="30">
        <v>90</v>
      </c>
      <c r="D2835" s="5"/>
    </row>
    <row r="2837" spans="2:12">
      <c r="B2837" s="27" t="s">
        <v>1517</v>
      </c>
      <c r="C2837" s="27"/>
      <c r="D2837" s="27"/>
      <c r="E2837" s="27"/>
      <c r="F2837" s="27"/>
      <c r="G2837" s="27"/>
      <c r="H2837" s="27"/>
      <c r="I2837" s="27"/>
      <c r="J2837" s="27"/>
      <c r="K2837" s="27"/>
      <c r="L2837" s="27"/>
    </row>
    <row r="2839" spans="2:12">
      <c r="B2839" s="29" t="s">
        <v>1491</v>
      </c>
      <c r="C2839" s="29" t="s">
        <v>1478</v>
      </c>
      <c r="D2839" s="29" t="s">
        <v>1518</v>
      </c>
      <c r="E2839" s="104" t="s">
        <v>1519</v>
      </c>
      <c r="G2839" s="29" t="s">
        <v>1491</v>
      </c>
      <c r="H2839" s="29" t="s">
        <v>1478</v>
      </c>
      <c r="I2839" s="29" t="s">
        <v>1520</v>
      </c>
      <c r="J2839" s="104" t="s">
        <v>1519</v>
      </c>
      <c r="L2839" s="29"/>
    </row>
    <row r="2840" spans="2:10">
      <c r="B2840" s="1">
        <v>0</v>
      </c>
      <c r="C2840" s="30">
        <v>0</v>
      </c>
      <c r="D2840" s="1">
        <f ca="1">OFFSET('206_副本挂机'!$T$125,MATCH(C2840,'206_副本挂机'!$A$125:$A$196,0)-1,0)</f>
        <v>0</v>
      </c>
      <c r="E2840" s="6">
        <v>0</v>
      </c>
      <c r="G2840" s="1">
        <v>0</v>
      </c>
      <c r="H2840" s="30">
        <v>0</v>
      </c>
      <c r="I2840" s="1">
        <f ca="1">OFFSET('206_副本挂机'!$AF$125,MATCH(H2840,'206_副本挂机'!$A$125:$A$196,0)-1,0)</f>
        <v>0</v>
      </c>
      <c r="J2840" s="6">
        <v>0</v>
      </c>
    </row>
    <row r="2841" spans="2:10">
      <c r="B2841" s="1">
        <v>1</v>
      </c>
      <c r="C2841" s="30">
        <v>10</v>
      </c>
      <c r="D2841" s="1">
        <f ca="1">OFFSET('206_副本挂机'!$T$125,MATCH(C2841,'206_副本挂机'!$A$125:$A$196,0)-1,0)</f>
        <v>4867.2</v>
      </c>
      <c r="E2841" s="6">
        <v>5000</v>
      </c>
      <c r="G2841" s="1">
        <v>1</v>
      </c>
      <c r="H2841" s="30">
        <v>10</v>
      </c>
      <c r="I2841" s="1">
        <f ca="1">OFFSET('206_副本挂机'!$AF$125,MATCH(H2841,'206_副本挂机'!$A$125:$A$196,0)-1,0)</f>
        <v>1171.2</v>
      </c>
      <c r="J2841" s="6">
        <v>1200</v>
      </c>
    </row>
    <row r="2842" spans="2:10">
      <c r="B2842" s="1">
        <v>2</v>
      </c>
      <c r="C2842" s="30">
        <v>20</v>
      </c>
      <c r="D2842" s="1">
        <f ca="1">OFFSET('206_副本挂机'!$T$125,MATCH(C2842,'206_副本挂机'!$A$125:$A$196,0)-1,0)</f>
        <v>17203.2</v>
      </c>
      <c r="E2842" s="6">
        <v>18000</v>
      </c>
      <c r="G2842" s="1">
        <v>2</v>
      </c>
      <c r="H2842" s="30">
        <v>20</v>
      </c>
      <c r="I2842" s="1">
        <f ca="1">OFFSET('206_副本挂机'!$AF$125,MATCH(H2842,'206_副本挂机'!$A$125:$A$196,0)-1,0)</f>
        <v>3523.2</v>
      </c>
      <c r="J2842" s="6">
        <v>3500</v>
      </c>
    </row>
    <row r="2843" spans="2:10">
      <c r="B2843" s="1">
        <v>3</v>
      </c>
      <c r="C2843" s="30">
        <v>60</v>
      </c>
      <c r="D2843" s="1">
        <f ca="1">OFFSET('206_副本挂机'!$T$125,MATCH(C2843,'206_副本挂机'!$A$125:$A$196,0)-1,0)</f>
        <v>150499.2</v>
      </c>
      <c r="E2843" s="6">
        <v>150000</v>
      </c>
      <c r="G2843" s="1">
        <v>3</v>
      </c>
      <c r="H2843" s="30">
        <v>60</v>
      </c>
      <c r="I2843" s="1">
        <f ca="1">OFFSET('206_副本挂机'!$AF$125,MATCH(H2843,'206_副本挂机'!$A$125:$A$196,0)-1,0)</f>
        <v>38131.2</v>
      </c>
      <c r="J2843" s="6">
        <v>40000</v>
      </c>
    </row>
    <row r="2844" spans="2:10">
      <c r="B2844" s="1">
        <v>4</v>
      </c>
      <c r="C2844" s="30">
        <v>120</v>
      </c>
      <c r="D2844" s="1">
        <f ca="1">OFFSET('206_副本挂机'!$T$125,MATCH(C2844,'206_副本挂机'!$A$125:$A$196,0)-1,0)</f>
        <v>469219.2</v>
      </c>
      <c r="E2844" s="6">
        <v>450000</v>
      </c>
      <c r="G2844" s="1">
        <v>4</v>
      </c>
      <c r="H2844" s="30">
        <v>120</v>
      </c>
      <c r="I2844" s="1">
        <f ca="1">OFFSET('206_副本挂机'!$AF$125,MATCH(H2844,'206_副本挂机'!$A$125:$A$196,0)-1,0)</f>
        <v>141091.2</v>
      </c>
      <c r="J2844" s="6">
        <v>15000</v>
      </c>
    </row>
    <row r="2845" spans="2:10">
      <c r="B2845" s="1">
        <v>5</v>
      </c>
      <c r="C2845" s="30">
        <v>180</v>
      </c>
      <c r="D2845" s="1">
        <f ca="1">OFFSET('206_副本挂机'!$T$125,MATCH(C2845,'206_副本挂机'!$A$125:$A$196,0)-1,0)</f>
        <v>872419.2</v>
      </c>
      <c r="E2845" s="6">
        <v>900000</v>
      </c>
      <c r="G2845" s="1">
        <v>5</v>
      </c>
      <c r="H2845" s="30">
        <v>180</v>
      </c>
      <c r="I2845" s="1">
        <f ca="1">OFFSET('206_副本挂机'!$AF$125,MATCH(H2845,'206_副本挂机'!$A$125:$A$196,0)-1,0)</f>
        <v>277891.2</v>
      </c>
      <c r="J2845" s="6">
        <v>300000</v>
      </c>
    </row>
    <row r="2847" spans="2:12">
      <c r="B2847" s="27" t="s">
        <v>617</v>
      </c>
      <c r="C2847" s="27"/>
      <c r="D2847" s="27"/>
      <c r="E2847" s="27"/>
      <c r="F2847" s="27"/>
      <c r="G2847" s="27"/>
      <c r="H2847" s="27"/>
      <c r="I2847" s="27"/>
      <c r="J2847" s="27"/>
      <c r="K2847" s="27"/>
      <c r="L2847" s="27"/>
    </row>
    <row r="2849" spans="2:8">
      <c r="B2849" s="1" t="s">
        <v>1521</v>
      </c>
      <c r="D2849" s="103">
        <v>1</v>
      </c>
      <c r="F2849" s="1" t="s">
        <v>1522</v>
      </c>
      <c r="H2849" s="103">
        <v>2</v>
      </c>
    </row>
    <row r="2850" spans="2:8">
      <c r="B2850" s="1" t="s">
        <v>1523</v>
      </c>
      <c r="D2850" s="60">
        <v>10000</v>
      </c>
      <c r="F2850" s="1" t="s">
        <v>1523</v>
      </c>
      <c r="H2850" s="60">
        <v>4000</v>
      </c>
    </row>
    <row r="2851" spans="4:4">
      <c r="D2851" s="8"/>
    </row>
    <row r="2852" spans="2:12">
      <c r="B2852" s="27" t="s">
        <v>1524</v>
      </c>
      <c r="C2852" s="27"/>
      <c r="D2852" s="27"/>
      <c r="E2852" s="27"/>
      <c r="F2852" s="27"/>
      <c r="G2852" s="27"/>
      <c r="H2852" s="27"/>
      <c r="I2852" s="27"/>
      <c r="J2852" s="27"/>
      <c r="K2852" s="27"/>
      <c r="L2852" s="27"/>
    </row>
    <row r="2854" spans="2:15">
      <c r="B2854" s="29" t="str">
        <f>总规划!B259</f>
        <v>萝卜</v>
      </c>
      <c r="C2854" s="29" t="str">
        <f>总规划!C259</f>
        <v>单位</v>
      </c>
      <c r="D2854" s="29" t="str">
        <f>总规划!D259</f>
        <v>内部美元价</v>
      </c>
      <c r="E2854" s="29" t="str">
        <f>总规划!E259</f>
        <v>内部黄金价</v>
      </c>
      <c r="F2854" s="29" t="str">
        <f>总规划!F259</f>
        <v>显示黄金价</v>
      </c>
      <c r="G2854" s="29" t="str">
        <f>总规划!G259</f>
        <v>资源内部价</v>
      </c>
      <c r="H2854" s="29" t="str">
        <f>总规划!H259</f>
        <v>资源显示价</v>
      </c>
      <c r="I2854" s="29" t="str">
        <f>总规划!I259</f>
        <v>资源单位</v>
      </c>
      <c r="J2854" s="29" t="str">
        <f>总规划!J259</f>
        <v>战币内部价</v>
      </c>
      <c r="K2854" s="29" t="str">
        <f>总规划!K259</f>
        <v>战币显示价</v>
      </c>
      <c r="L2854" s="29" t="str">
        <f>总规划!L259</f>
        <v>战币单位</v>
      </c>
      <c r="M2854" s="29" t="str">
        <f>总规划!P259</f>
        <v>空战币内部价</v>
      </c>
      <c r="N2854" s="29" t="str">
        <f>总规划!Q259</f>
        <v>空战币显示价</v>
      </c>
      <c r="O2854" s="29" t="str">
        <f>总规划!R259</f>
        <v>空战币单位</v>
      </c>
    </row>
    <row r="2855" spans="2:15">
      <c r="B2855" s="1" t="str">
        <f>总规划!B260</f>
        <v>基础资源</v>
      </c>
      <c r="C2855" s="1" t="str">
        <f>总规划!C260</f>
        <v>1M资源</v>
      </c>
      <c r="D2855" s="1">
        <f>总规划!D260</f>
        <v>0.416666666666667</v>
      </c>
      <c r="E2855" s="1">
        <f>总规划!E260</f>
        <v>500</v>
      </c>
      <c r="F2855" s="1">
        <f>总规划!F260</f>
        <v>1000</v>
      </c>
      <c r="G2855" s="1">
        <f>总规划!G260</f>
        <v>1</v>
      </c>
      <c r="H2855" s="1">
        <f>总规划!H260</f>
        <v>1</v>
      </c>
      <c r="I2855" s="1" t="str">
        <f>总规划!I260</f>
        <v>1M资源</v>
      </c>
      <c r="J2855" s="1">
        <f>总规划!J260</f>
        <v>416.666666666667</v>
      </c>
      <c r="K2855" s="1">
        <f>总规划!K260</f>
        <v>416.666666666667</v>
      </c>
      <c r="L2855" s="1" t="str">
        <f>总规划!L260</f>
        <v>1战役币</v>
      </c>
      <c r="M2855" s="1">
        <f>总规划!P260</f>
        <v>208.333333333333</v>
      </c>
      <c r="N2855" s="1">
        <f>总规划!Q260</f>
        <v>208.333333333333</v>
      </c>
      <c r="O2855" s="1" t="str">
        <f>总规划!R260</f>
        <v>1空战币</v>
      </c>
    </row>
    <row r="2856" spans="2:15">
      <c r="B2856" s="1" t="str">
        <f>总规划!B261</f>
        <v>加速</v>
      </c>
      <c r="C2856" s="1" t="str">
        <f>总规划!C261</f>
        <v>1天</v>
      </c>
      <c r="D2856" s="1">
        <f>总规划!D261</f>
        <v>1.5625</v>
      </c>
      <c r="E2856" s="1">
        <f>总规划!E261</f>
        <v>1875</v>
      </c>
      <c r="F2856" s="1">
        <f>总规划!F261</f>
        <v>4320</v>
      </c>
      <c r="G2856" s="1">
        <f>总规划!G261</f>
        <v>3.75</v>
      </c>
      <c r="H2856" s="1">
        <f>总规划!H261</f>
        <v>4.32</v>
      </c>
      <c r="I2856" s="1" t="str">
        <f>总规划!I261</f>
        <v>1M资源</v>
      </c>
      <c r="J2856" s="1">
        <f>总规划!J261</f>
        <v>1562.5</v>
      </c>
      <c r="K2856" s="1">
        <f>总规划!K261</f>
        <v>1800</v>
      </c>
      <c r="L2856" s="1" t="str">
        <f>总规划!L261</f>
        <v>1战役币</v>
      </c>
      <c r="M2856" s="1">
        <f>总规划!P261</f>
        <v>781.25</v>
      </c>
      <c r="N2856" s="1">
        <f>总规划!Q261</f>
        <v>900</v>
      </c>
      <c r="O2856" s="1" t="str">
        <f>总规划!R261</f>
        <v>1空战币</v>
      </c>
    </row>
    <row r="2857" spans="2:15">
      <c r="B2857" s="1" t="str">
        <f>总规划!B262</f>
        <v>卡牌</v>
      </c>
      <c r="C2857" s="1" t="str">
        <f>总规划!C262</f>
        <v>1四星卡</v>
      </c>
      <c r="D2857" s="1">
        <f>总规划!D262</f>
        <v>0.5</v>
      </c>
      <c r="E2857" s="1">
        <f>总规划!E262</f>
        <v>600</v>
      </c>
      <c r="F2857" s="1">
        <f>总规划!F262</f>
        <v>1200</v>
      </c>
      <c r="G2857" s="1">
        <f>总规划!G262</f>
        <v>1.2</v>
      </c>
      <c r="H2857" s="1">
        <f>总规划!H262</f>
        <v>1.2</v>
      </c>
      <c r="I2857" s="1" t="str">
        <f>总规划!I262</f>
        <v>1M资源</v>
      </c>
      <c r="J2857" s="1">
        <f>总规划!J262</f>
        <v>500</v>
      </c>
      <c r="K2857" s="1">
        <f>总规划!K262</f>
        <v>500</v>
      </c>
      <c r="L2857" s="1" t="str">
        <f>总规划!L262</f>
        <v>1战役币</v>
      </c>
      <c r="M2857" s="1">
        <f>总规划!P262</f>
        <v>250</v>
      </c>
      <c r="N2857" s="1">
        <f>总规划!Q262</f>
        <v>250</v>
      </c>
      <c r="O2857" s="1" t="str">
        <f>总规划!R262</f>
        <v>1空战币</v>
      </c>
    </row>
    <row r="2858" spans="2:15">
      <c r="B2858" s="1" t="str">
        <f>总规划!B263</f>
        <v>陆军经验</v>
      </c>
      <c r="C2858" s="1" t="str">
        <f>总规划!C263</f>
        <v>1M陆经</v>
      </c>
      <c r="D2858" s="1">
        <f>总规划!D263</f>
        <v>2.5</v>
      </c>
      <c r="E2858" s="1">
        <f>总规划!E263</f>
        <v>3000</v>
      </c>
      <c r="F2858" s="1">
        <f>总规划!F263</f>
        <v>6000</v>
      </c>
      <c r="G2858" s="1">
        <f>总规划!G263</f>
        <v>6</v>
      </c>
      <c r="H2858" s="1">
        <f>总规划!H263</f>
        <v>6</v>
      </c>
      <c r="I2858" s="1" t="str">
        <f>总规划!I263</f>
        <v>1M资源</v>
      </c>
      <c r="J2858" s="1">
        <f>总规划!J263</f>
        <v>2500</v>
      </c>
      <c r="K2858" s="1">
        <f>总规划!K263</f>
        <v>2500</v>
      </c>
      <c r="L2858" s="1" t="str">
        <f>总规划!L263</f>
        <v>1战役币</v>
      </c>
      <c r="M2858" s="1">
        <f>总规划!P263</f>
        <v>1250</v>
      </c>
      <c r="N2858" s="1">
        <f>总规划!Q263</f>
        <v>1250</v>
      </c>
      <c r="O2858" s="1" t="str">
        <f>总规划!R263</f>
        <v>1空战币</v>
      </c>
    </row>
    <row r="2859" spans="2:15">
      <c r="B2859" s="1" t="str">
        <f>总规划!B264</f>
        <v>弹药</v>
      </c>
      <c r="C2859" s="1" t="str">
        <f>总规划!C264</f>
        <v>1k弹药</v>
      </c>
      <c r="D2859" s="1">
        <f>总规划!D264</f>
        <v>3.75</v>
      </c>
      <c r="E2859" s="1">
        <f>总规划!E264</f>
        <v>4500</v>
      </c>
      <c r="F2859" s="1">
        <f>总规划!F264</f>
        <v>9000</v>
      </c>
      <c r="G2859" s="1">
        <f>总规划!G264</f>
        <v>9</v>
      </c>
      <c r="H2859" s="1">
        <f>总规划!H264</f>
        <v>9</v>
      </c>
      <c r="I2859" s="1" t="str">
        <f>总规划!I264</f>
        <v>1M资源</v>
      </c>
      <c r="J2859" s="1">
        <f>总规划!J264</f>
        <v>3750</v>
      </c>
      <c r="K2859" s="1">
        <f>总规划!K264</f>
        <v>3750</v>
      </c>
      <c r="L2859" s="1" t="str">
        <f>总规划!L264</f>
        <v>1战役币</v>
      </c>
      <c r="M2859" s="1">
        <f>总规划!P264</f>
        <v>1875</v>
      </c>
      <c r="N2859" s="1">
        <f>总规划!Q264</f>
        <v>1875</v>
      </c>
      <c r="O2859" s="1" t="str">
        <f>总规划!R264</f>
        <v>1空战币</v>
      </c>
    </row>
    <row r="2860" spans="2:15">
      <c r="B2860" s="1" t="str">
        <f>总规划!B265</f>
        <v>零件</v>
      </c>
      <c r="C2860" s="1" t="str">
        <f>总规划!C265</f>
        <v>1k零件</v>
      </c>
      <c r="D2860" s="1">
        <f>总规划!D265</f>
        <v>12.5</v>
      </c>
      <c r="E2860" s="1">
        <f>总规划!E265</f>
        <v>15000</v>
      </c>
      <c r="F2860" s="1">
        <f>总规划!F265</f>
        <v>30000</v>
      </c>
      <c r="G2860" s="1">
        <f>总规划!G265</f>
        <v>30</v>
      </c>
      <c r="H2860" s="1">
        <f>总规划!H265</f>
        <v>30</v>
      </c>
      <c r="I2860" s="1" t="str">
        <f>总规划!I265</f>
        <v>1M资源</v>
      </c>
      <c r="J2860" s="1">
        <f>总规划!J265</f>
        <v>12500</v>
      </c>
      <c r="K2860" s="1">
        <f>总规划!K265</f>
        <v>12500</v>
      </c>
      <c r="L2860" s="1" t="str">
        <f>总规划!L265</f>
        <v>1战役币</v>
      </c>
      <c r="M2860" s="1">
        <f>总规划!P265</f>
        <v>6250</v>
      </c>
      <c r="N2860" s="1">
        <f>总规划!Q265</f>
        <v>6250</v>
      </c>
      <c r="O2860" s="1" t="str">
        <f>总规划!R265</f>
        <v>1空战币</v>
      </c>
    </row>
    <row r="2861" spans="2:15">
      <c r="B2861" s="1" t="str">
        <f>总规划!B266</f>
        <v>配件材料</v>
      </c>
      <c r="C2861" s="1" t="str">
        <f>总规划!C266</f>
        <v>1k铜材料</v>
      </c>
      <c r="D2861" s="1">
        <f>总规划!D266</f>
        <v>2.08333333333333</v>
      </c>
      <c r="E2861" s="1">
        <f>总规划!E266</f>
        <v>2500</v>
      </c>
      <c r="F2861" s="1">
        <f>总规划!F266</f>
        <v>5000</v>
      </c>
      <c r="G2861" s="1">
        <f>总规划!G266</f>
        <v>5</v>
      </c>
      <c r="H2861" s="1">
        <f>总规划!H266</f>
        <v>5</v>
      </c>
      <c r="I2861" s="1" t="str">
        <f>总规划!I266</f>
        <v>1M资源</v>
      </c>
      <c r="J2861" s="1">
        <f>总规划!J266</f>
        <v>2083.33333333333</v>
      </c>
      <c r="K2861" s="1">
        <f>总规划!K266</f>
        <v>2083.33333333333</v>
      </c>
      <c r="L2861" s="1" t="str">
        <f>总规划!L266</f>
        <v>1战役币</v>
      </c>
      <c r="M2861" s="1">
        <f>总规划!P266</f>
        <v>1041.66666666667</v>
      </c>
      <c r="N2861" s="1">
        <f>总规划!Q266</f>
        <v>1041.66666666667</v>
      </c>
      <c r="O2861" s="1" t="str">
        <f>总规划!R266</f>
        <v>1空战币</v>
      </c>
    </row>
    <row r="2862" spans="2:15">
      <c r="B2862" s="1" t="str">
        <f>总规划!B267</f>
        <v>配件图纸</v>
      </c>
      <c r="C2862" s="1" t="str">
        <f>总规划!C267</f>
        <v>1金++</v>
      </c>
      <c r="D2862" s="1">
        <f>总规划!D267</f>
        <v>62.5</v>
      </c>
      <c r="E2862" s="1">
        <f>总规划!E267</f>
        <v>75000</v>
      </c>
      <c r="F2862" s="1">
        <f>总规划!F267</f>
        <v>150000</v>
      </c>
      <c r="G2862" s="1">
        <f>总规划!G267</f>
        <v>150</v>
      </c>
      <c r="H2862" s="1">
        <f>总规划!H267</f>
        <v>150</v>
      </c>
      <c r="I2862" s="1" t="str">
        <f>总规划!I267</f>
        <v>1M资源</v>
      </c>
      <c r="J2862" s="1">
        <f>总规划!J267</f>
        <v>62500</v>
      </c>
      <c r="K2862" s="1">
        <f>总规划!K267</f>
        <v>62500</v>
      </c>
      <c r="L2862" s="1" t="str">
        <f>总规划!L267</f>
        <v>1战役币</v>
      </c>
      <c r="M2862" s="1">
        <f>总规划!P267</f>
        <v>31250</v>
      </c>
      <c r="N2862" s="1">
        <f>总规划!Q267</f>
        <v>31250</v>
      </c>
      <c r="O2862" s="1" t="str">
        <f>总规划!R267</f>
        <v>1空战币</v>
      </c>
    </row>
    <row r="2863" spans="2:15">
      <c r="B2863" s="1" t="str">
        <f>总规划!B268</f>
        <v>军官经验</v>
      </c>
      <c r="C2863" s="1" t="str">
        <f>总规划!C268</f>
        <v>1M军经</v>
      </c>
      <c r="D2863" s="1">
        <f>总规划!D268</f>
        <v>6.25</v>
      </c>
      <c r="E2863" s="1">
        <f>总规划!E268</f>
        <v>7500</v>
      </c>
      <c r="F2863" s="1">
        <f>总规划!F268</f>
        <v>15000</v>
      </c>
      <c r="G2863" s="1">
        <f>总规划!G268</f>
        <v>15</v>
      </c>
      <c r="H2863" s="1">
        <f>总规划!H268</f>
        <v>15</v>
      </c>
      <c r="I2863" s="1" t="str">
        <f>总规划!I268</f>
        <v>1M资源</v>
      </c>
      <c r="J2863" s="1">
        <f>总规划!J268</f>
        <v>6250</v>
      </c>
      <c r="K2863" s="1">
        <f>总规划!K268</f>
        <v>6250</v>
      </c>
      <c r="L2863" s="1" t="str">
        <f>总规划!L268</f>
        <v>1战役币</v>
      </c>
      <c r="M2863" s="1">
        <f>总规划!P268</f>
        <v>3125</v>
      </c>
      <c r="N2863" s="1">
        <f>总规划!Q268</f>
        <v>3125</v>
      </c>
      <c r="O2863" s="1" t="str">
        <f>总规划!R268</f>
        <v>1空战币</v>
      </c>
    </row>
    <row r="2864" spans="2:15">
      <c r="B2864" s="1" t="str">
        <f>总规划!B269</f>
        <v>军官技能书</v>
      </c>
      <c r="C2864" s="1" t="str">
        <f>总规划!C269</f>
        <v>1技书</v>
      </c>
      <c r="D2864" s="1">
        <f>总规划!D269</f>
        <v>3.33333333333333</v>
      </c>
      <c r="E2864" s="1">
        <f>总规划!E269</f>
        <v>4000</v>
      </c>
      <c r="F2864" s="1">
        <f>总规划!F269</f>
        <v>8000</v>
      </c>
      <c r="G2864" s="1">
        <f>总规划!G269</f>
        <v>8</v>
      </c>
      <c r="H2864" s="1">
        <f>总规划!H269</f>
        <v>8</v>
      </c>
      <c r="I2864" s="1" t="str">
        <f>总规划!I269</f>
        <v>1M资源</v>
      </c>
      <c r="J2864" s="1">
        <f>总规划!J269</f>
        <v>3333.33333333333</v>
      </c>
      <c r="K2864" s="1">
        <f>总规划!K269</f>
        <v>3333.33333333333</v>
      </c>
      <c r="L2864" s="1" t="str">
        <f>总规划!L269</f>
        <v>1战役币</v>
      </c>
      <c r="M2864" s="1">
        <f>总规划!P269</f>
        <v>1666.66666666667</v>
      </c>
      <c r="N2864" s="1">
        <f>总规划!Q269</f>
        <v>1666.66666666667</v>
      </c>
      <c r="O2864" s="1" t="str">
        <f>总规划!R269</f>
        <v>1空战币</v>
      </c>
    </row>
    <row r="2865" spans="2:15">
      <c r="B2865" s="1" t="str">
        <f>总规划!B270</f>
        <v>阵营经验</v>
      </c>
      <c r="C2865" s="1" t="str">
        <f>总规划!C270</f>
        <v>1M阵经</v>
      </c>
      <c r="D2865" s="1">
        <f>总规划!D270</f>
        <v>69.4444444444444</v>
      </c>
      <c r="E2865" s="1">
        <f>总规划!E270</f>
        <v>83333.3333333333</v>
      </c>
      <c r="F2865" s="1">
        <f>总规划!F270</f>
        <v>166666.666666667</v>
      </c>
      <c r="G2865" s="1">
        <f>总规划!G270</f>
        <v>166.666666666667</v>
      </c>
      <c r="H2865" s="1">
        <f>总规划!H270</f>
        <v>166.666666666667</v>
      </c>
      <c r="I2865" s="1" t="str">
        <f>总规划!I270</f>
        <v>1M资源</v>
      </c>
      <c r="J2865" s="1">
        <f>总规划!J270</f>
        <v>69444.4444444444</v>
      </c>
      <c r="K2865" s="1">
        <f>总规划!K270</f>
        <v>69444.4444444444</v>
      </c>
      <c r="L2865" s="1" t="str">
        <f>总规划!L270</f>
        <v>1战役币</v>
      </c>
      <c r="M2865" s="1">
        <f>总规划!P270</f>
        <v>34722.2222222222</v>
      </c>
      <c r="N2865" s="1">
        <f>总规划!Q270</f>
        <v>34722.2222222222</v>
      </c>
      <c r="O2865" s="1" t="str">
        <f>总规划!R270</f>
        <v>1空战币</v>
      </c>
    </row>
    <row r="2866" spans="2:15">
      <c r="B2866" s="1" t="str">
        <f>总规划!B271</f>
        <v>VIP经验</v>
      </c>
      <c r="C2866" s="1" t="str">
        <f>总规划!C271</f>
        <v>1k经验</v>
      </c>
      <c r="D2866" s="1">
        <f>总规划!D271</f>
        <v>0.833333333333333</v>
      </c>
      <c r="E2866" s="1">
        <f>总规划!E271</f>
        <v>1000</v>
      </c>
      <c r="F2866" s="1">
        <f>总规划!F271</f>
        <v>1000</v>
      </c>
      <c r="G2866" s="1">
        <f>总规划!G271</f>
        <v>2</v>
      </c>
      <c r="H2866" s="1">
        <f>总规划!H271</f>
        <v>1</v>
      </c>
      <c r="I2866" s="1" t="str">
        <f>总规划!I271</f>
        <v>1M资源</v>
      </c>
      <c r="J2866" s="1">
        <f>总规划!J271</f>
        <v>833.333333333333</v>
      </c>
      <c r="K2866" s="1">
        <f>总规划!K271</f>
        <v>416.666666666667</v>
      </c>
      <c r="L2866" s="1" t="str">
        <f>总规划!L271</f>
        <v>1战役币</v>
      </c>
      <c r="M2866" s="1">
        <f>总规划!P271</f>
        <v>416.666666666667</v>
      </c>
      <c r="N2866" s="1">
        <f>总规划!Q271</f>
        <v>208.333333333333</v>
      </c>
      <c r="O2866" s="1" t="str">
        <f>总规划!R271</f>
        <v>1空战币</v>
      </c>
    </row>
    <row r="2867" spans="2:15">
      <c r="B2867" s="1" t="str">
        <f>总规划!B272</f>
        <v>科技书</v>
      </c>
      <c r="C2867" s="1" t="str">
        <f>总规划!C272</f>
        <v>1科技书</v>
      </c>
      <c r="D2867" s="1">
        <f>总规划!D272</f>
        <v>0.05</v>
      </c>
      <c r="E2867" s="1">
        <f>总规划!E272</f>
        <v>60</v>
      </c>
      <c r="F2867" s="1">
        <f>总规划!F272</f>
        <v>120</v>
      </c>
      <c r="G2867" s="1">
        <f>总规划!G272</f>
        <v>0.12</v>
      </c>
      <c r="H2867" s="1">
        <f>总规划!H272</f>
        <v>0.12</v>
      </c>
      <c r="I2867" s="1" t="str">
        <f>总规划!I272</f>
        <v>1M资源</v>
      </c>
      <c r="J2867" s="1">
        <f>总规划!J272</f>
        <v>50</v>
      </c>
      <c r="K2867" s="1">
        <f>总规划!K272</f>
        <v>50</v>
      </c>
      <c r="L2867" s="1" t="str">
        <f>总规划!L272</f>
        <v>1战役币</v>
      </c>
      <c r="M2867" s="1">
        <f>总规划!P272</f>
        <v>25</v>
      </c>
      <c r="N2867" s="1">
        <f>总规划!Q272</f>
        <v>25</v>
      </c>
      <c r="O2867" s="1" t="str">
        <f>总规划!R272</f>
        <v>1空战币</v>
      </c>
    </row>
    <row r="2868" spans="2:15">
      <c r="B2868" s="1" t="str">
        <f>总规划!B273</f>
        <v>空军经验</v>
      </c>
      <c r="C2868" s="1" t="str">
        <f>总规划!C273</f>
        <v>1M空经</v>
      </c>
      <c r="D2868" s="1">
        <f>总规划!D273</f>
        <v>5</v>
      </c>
      <c r="E2868" s="1">
        <f>总规划!E273</f>
        <v>6000</v>
      </c>
      <c r="F2868" s="1">
        <f>总规划!F273</f>
        <v>12000</v>
      </c>
      <c r="G2868" s="1">
        <f>总规划!G273</f>
        <v>12</v>
      </c>
      <c r="H2868" s="1">
        <f>总规划!H273</f>
        <v>12</v>
      </c>
      <c r="I2868" s="1" t="str">
        <f>总规划!I273</f>
        <v>1M资源</v>
      </c>
      <c r="J2868" s="1">
        <f>总规划!J273</f>
        <v>5000</v>
      </c>
      <c r="K2868" s="1">
        <f>总规划!K273</f>
        <v>5000</v>
      </c>
      <c r="L2868" s="1" t="str">
        <f>总规划!L273</f>
        <v>1战役币</v>
      </c>
      <c r="M2868" s="1">
        <f>总规划!P273</f>
        <v>2500</v>
      </c>
      <c r="N2868" s="1">
        <f>总规划!Q273</f>
        <v>2500</v>
      </c>
      <c r="O2868" s="1" t="str">
        <f>总规划!R273</f>
        <v>1空战币</v>
      </c>
    </row>
    <row r="2869" spans="2:15">
      <c r="B2869" s="1" t="str">
        <f>总规划!B274</f>
        <v>空军弹药</v>
      </c>
      <c r="C2869" s="1" t="str">
        <f>总规划!C274</f>
        <v>1k空弹</v>
      </c>
      <c r="D2869" s="1">
        <f>总规划!D274</f>
        <v>7.5</v>
      </c>
      <c r="E2869" s="1">
        <f>总规划!E274</f>
        <v>9000</v>
      </c>
      <c r="F2869" s="1">
        <f>总规划!F274</f>
        <v>18000</v>
      </c>
      <c r="G2869" s="1">
        <f>总规划!G274</f>
        <v>18</v>
      </c>
      <c r="H2869" s="1">
        <f>总规划!H274</f>
        <v>18</v>
      </c>
      <c r="I2869" s="1" t="str">
        <f>总规划!I274</f>
        <v>1M资源</v>
      </c>
      <c r="J2869" s="1">
        <f>总规划!J274</f>
        <v>7500</v>
      </c>
      <c r="K2869" s="1">
        <f>总规划!K274</f>
        <v>7500</v>
      </c>
      <c r="L2869" s="1" t="str">
        <f>总规划!L274</f>
        <v>1战役币</v>
      </c>
      <c r="M2869" s="1">
        <f>总规划!P274</f>
        <v>3750</v>
      </c>
      <c r="N2869" s="1">
        <f>总规划!Q274</f>
        <v>3750</v>
      </c>
      <c r="O2869" s="1" t="str">
        <f>总规划!R274</f>
        <v>1空战币</v>
      </c>
    </row>
    <row r="2870" spans="2:15">
      <c r="B2870" s="1" t="str">
        <f>总规划!B275</f>
        <v>空军零件</v>
      </c>
      <c r="C2870" s="1" t="str">
        <f>总规划!C275</f>
        <v>1k空零</v>
      </c>
      <c r="D2870" s="1">
        <f>总规划!D275</f>
        <v>25</v>
      </c>
      <c r="E2870" s="1">
        <f>总规划!E275</f>
        <v>30000</v>
      </c>
      <c r="F2870" s="1">
        <f>总规划!F275</f>
        <v>60000</v>
      </c>
      <c r="G2870" s="1">
        <f>总规划!G275</f>
        <v>60</v>
      </c>
      <c r="H2870" s="1">
        <f>总规划!H275</f>
        <v>60</v>
      </c>
      <c r="I2870" s="1" t="str">
        <f>总规划!I275</f>
        <v>1M资源</v>
      </c>
      <c r="J2870" s="1">
        <f>总规划!J275</f>
        <v>25000</v>
      </c>
      <c r="K2870" s="1">
        <f>总规划!K275</f>
        <v>25000</v>
      </c>
      <c r="L2870" s="1" t="str">
        <f>总规划!L275</f>
        <v>1战役币</v>
      </c>
      <c r="M2870" s="1">
        <f>总规划!P275</f>
        <v>12500</v>
      </c>
      <c r="N2870" s="1">
        <f>总规划!Q275</f>
        <v>12500</v>
      </c>
      <c r="O2870" s="1" t="str">
        <f>总规划!R275</f>
        <v>1空战币</v>
      </c>
    </row>
    <row r="2872" spans="2:12">
      <c r="B2872" s="27" t="s">
        <v>1525</v>
      </c>
      <c r="C2872" s="27"/>
      <c r="D2872" s="27"/>
      <c r="E2872" s="27"/>
      <c r="F2872" s="27"/>
      <c r="G2872" s="27"/>
      <c r="H2872" s="27"/>
      <c r="I2872" s="27"/>
      <c r="J2872" s="27"/>
      <c r="K2872" s="27"/>
      <c r="L2872" s="27"/>
    </row>
    <row r="2874" spans="2:19">
      <c r="B2874" s="29" t="str">
        <f>总规划!B279</f>
        <v>物品</v>
      </c>
      <c r="C2874" s="29" t="str">
        <f>总规划!C279</f>
        <v>单位</v>
      </c>
      <c r="D2874" s="29" t="str">
        <f>总规划!D279</f>
        <v>内部美元价</v>
      </c>
      <c r="E2874" s="29" t="str">
        <f>总规划!E279</f>
        <v>内部黄金价</v>
      </c>
      <c r="F2874" s="29" t="str">
        <f>总规划!F279</f>
        <v>显示黄金价</v>
      </c>
      <c r="G2874" s="29" t="str">
        <f>总规划!G279</f>
        <v>资源内部价</v>
      </c>
      <c r="H2874" s="29" t="str">
        <f>总规划!H279</f>
        <v>资源显示价</v>
      </c>
      <c r="I2874" s="29" t="str">
        <f>总规划!I279</f>
        <v>资源单位</v>
      </c>
      <c r="J2874" s="29" t="str">
        <f>总规划!J279</f>
        <v>战币内部价</v>
      </c>
      <c r="K2874" s="29" t="str">
        <f>总规划!K279</f>
        <v>战币显示价</v>
      </c>
      <c r="L2874" s="29" t="str">
        <f>总规划!L279</f>
        <v>战币单位</v>
      </c>
      <c r="M2874" s="29" t="str">
        <f>总规划!P279</f>
        <v>空战币内部价</v>
      </c>
      <c r="N2874" s="29" t="str">
        <f>总规划!Q279</f>
        <v>空战币显示价</v>
      </c>
      <c r="O2874" s="29" t="str">
        <f>总规划!R279</f>
        <v>空战币单位</v>
      </c>
      <c r="S2874" s="29"/>
    </row>
    <row r="2875" spans="2:19">
      <c r="B2875" s="1" t="str">
        <f>总规划!B280</f>
        <v>体力药水</v>
      </c>
      <c r="C2875" s="1" t="str">
        <f>总规划!C280</f>
        <v>1体力</v>
      </c>
      <c r="D2875" s="1">
        <f>总规划!D280</f>
        <v>0.0125</v>
      </c>
      <c r="E2875" s="1">
        <f>总规划!E280</f>
        <v>15</v>
      </c>
      <c r="F2875" s="1">
        <f>总规划!F280</f>
        <v>30</v>
      </c>
      <c r="G2875" s="1">
        <f>总规划!G280</f>
        <v>0.03</v>
      </c>
      <c r="H2875" s="1">
        <f>总规划!H280</f>
        <v>0.03</v>
      </c>
      <c r="I2875" s="1" t="str">
        <f>总规划!I280</f>
        <v>1M资源</v>
      </c>
      <c r="J2875" s="1">
        <f>总规划!J280</f>
        <v>12.5</v>
      </c>
      <c r="K2875" s="1">
        <f>总规划!K280</f>
        <v>12.5</v>
      </c>
      <c r="L2875" s="1" t="str">
        <f>总规划!L280</f>
        <v>1战役币</v>
      </c>
      <c r="M2875" s="1">
        <f>总规划!P280</f>
        <v>6.25</v>
      </c>
      <c r="N2875" s="1">
        <f>总规划!Q280</f>
        <v>6.25</v>
      </c>
      <c r="O2875" s="1" t="str">
        <f>总规划!R280</f>
        <v>1空战币</v>
      </c>
      <c r="S2875" s="29"/>
    </row>
    <row r="2876" spans="2:19">
      <c r="B2876" s="1" t="str">
        <f>总规划!B281</f>
        <v>抽卡券</v>
      </c>
      <c r="C2876" s="1" t="str">
        <f>总规划!C281</f>
        <v>1张</v>
      </c>
      <c r="D2876" s="1">
        <f>总规划!D281</f>
        <v>0.62875</v>
      </c>
      <c r="E2876" s="1">
        <f>总规划!E281</f>
        <v>754.5</v>
      </c>
      <c r="F2876" s="1">
        <f>总规划!F281</f>
        <v>900</v>
      </c>
      <c r="G2876" s="1">
        <f>总规划!G281</f>
        <v>1.509</v>
      </c>
      <c r="H2876" s="1">
        <f>总规划!H281</f>
        <v>0.9</v>
      </c>
      <c r="I2876" s="1" t="str">
        <f>总规划!I281</f>
        <v>1M资源</v>
      </c>
      <c r="J2876" s="1">
        <f>总规划!J281</f>
        <v>628.75</v>
      </c>
      <c r="K2876" s="1">
        <f>总规划!K281</f>
        <v>375</v>
      </c>
      <c r="L2876" s="1" t="str">
        <f>总规划!L281</f>
        <v>1战役币</v>
      </c>
      <c r="M2876" s="1">
        <f>总规划!P281</f>
        <v>314.375</v>
      </c>
      <c r="N2876" s="1">
        <f>总规划!Q281</f>
        <v>187.5</v>
      </c>
      <c r="O2876" s="1" t="str">
        <f>总规划!R281</f>
        <v>1空战币</v>
      </c>
      <c r="S2876" s="29"/>
    </row>
    <row r="2877" spans="2:19">
      <c r="B2877" s="1" t="str">
        <f>总规划!B282</f>
        <v>阵营券</v>
      </c>
      <c r="C2877" s="1" t="str">
        <f>总规划!C282</f>
        <v>1张</v>
      </c>
      <c r="D2877" s="1">
        <f>总规划!D282</f>
        <v>0.62875</v>
      </c>
      <c r="E2877" s="1">
        <f>总规划!E282</f>
        <v>754.5</v>
      </c>
      <c r="F2877" s="1">
        <f>总规划!F282</f>
        <v>1500</v>
      </c>
      <c r="G2877" s="1">
        <f>总规划!G282</f>
        <v>1.509</v>
      </c>
      <c r="H2877" s="1">
        <f>总规划!H282</f>
        <v>1.5</v>
      </c>
      <c r="I2877" s="1" t="str">
        <f>总规划!I282</f>
        <v>1M资源</v>
      </c>
      <c r="J2877" s="1">
        <f>总规划!J282</f>
        <v>628.75</v>
      </c>
      <c r="K2877" s="1">
        <f>总规划!K282</f>
        <v>625</v>
      </c>
      <c r="L2877" s="1" t="str">
        <f>总规划!L282</f>
        <v>1战役币</v>
      </c>
      <c r="M2877" s="1">
        <f>总规划!P282</f>
        <v>314.375</v>
      </c>
      <c r="N2877" s="1">
        <f>总规划!Q282</f>
        <v>312.5</v>
      </c>
      <c r="O2877" s="1" t="str">
        <f>总规划!R282</f>
        <v>1空战币</v>
      </c>
      <c r="S2877" s="29"/>
    </row>
    <row r="2878" spans="2:19">
      <c r="B2878" s="1" t="str">
        <f>总规划!B283</f>
        <v>空降券</v>
      </c>
      <c r="C2878" s="1" t="str">
        <f>总规划!C283</f>
        <v>1张</v>
      </c>
      <c r="D2878" s="1">
        <f>总规划!D283</f>
        <v>0.5</v>
      </c>
      <c r="E2878" s="1">
        <f>总规划!E283</f>
        <v>600</v>
      </c>
      <c r="F2878" s="1">
        <f>总规划!F283</f>
        <v>1200</v>
      </c>
      <c r="G2878" s="1">
        <f>总规划!G283</f>
        <v>1.2</v>
      </c>
      <c r="H2878" s="1">
        <f>总规划!H283</f>
        <v>1.2</v>
      </c>
      <c r="I2878" s="1" t="str">
        <f>总规划!I283</f>
        <v>1M资源</v>
      </c>
      <c r="J2878" s="1">
        <f>总规划!J283</f>
        <v>500</v>
      </c>
      <c r="K2878" s="1">
        <f>总规划!K283</f>
        <v>500</v>
      </c>
      <c r="L2878" s="1" t="str">
        <f>总规划!L283</f>
        <v>1战役币</v>
      </c>
      <c r="M2878" s="1">
        <f>总规划!P283</f>
        <v>250</v>
      </c>
      <c r="N2878" s="1">
        <f>总规划!Q283</f>
        <v>250</v>
      </c>
      <c r="O2878" s="1" t="str">
        <f>总规划!R283</f>
        <v>1空战币</v>
      </c>
      <c r="S2878" s="29"/>
    </row>
    <row r="2879" spans="2:19">
      <c r="B2879" s="1" t="str">
        <f>总规划!B284</f>
        <v>跨城券</v>
      </c>
      <c r="C2879" s="1" t="str">
        <f>总规划!C284</f>
        <v>1张</v>
      </c>
      <c r="D2879" s="1">
        <f>总规划!D284</f>
        <v>1.5</v>
      </c>
      <c r="E2879" s="1">
        <f>总规划!E284</f>
        <v>1800</v>
      </c>
      <c r="F2879" s="1">
        <f>总规划!F284</f>
        <v>3600</v>
      </c>
      <c r="G2879" s="1">
        <f>总规划!G284</f>
        <v>3.6</v>
      </c>
      <c r="H2879" s="1">
        <f>总规划!H284</f>
        <v>3.6</v>
      </c>
      <c r="I2879" s="1" t="str">
        <f>总规划!I284</f>
        <v>1M资源</v>
      </c>
      <c r="J2879" s="1">
        <f>总规划!J284</f>
        <v>1500</v>
      </c>
      <c r="K2879" s="1">
        <f>总规划!K284</f>
        <v>1500</v>
      </c>
      <c r="L2879" s="1" t="str">
        <f>总规划!L284</f>
        <v>1战役币</v>
      </c>
      <c r="M2879" s="1">
        <f>总规划!P284</f>
        <v>750</v>
      </c>
      <c r="N2879" s="1">
        <f>总规划!Q284</f>
        <v>750</v>
      </c>
      <c r="O2879" s="1" t="str">
        <f>总规划!R284</f>
        <v>1空战币</v>
      </c>
      <c r="S2879" s="29"/>
    </row>
    <row r="2880" spans="2:19">
      <c r="B2880" s="1" t="str">
        <f>总规划!B285</f>
        <v>预备役</v>
      </c>
      <c r="C2880" s="1" t="str">
        <f>总规划!C285</f>
        <v>1个</v>
      </c>
      <c r="D2880" s="1">
        <f>总规划!D285</f>
        <v>0.025</v>
      </c>
      <c r="E2880" s="1">
        <f>总规划!E285</f>
        <v>30</v>
      </c>
      <c r="F2880" s="1">
        <f>总规划!F285</f>
        <v>60</v>
      </c>
      <c r="G2880" s="1">
        <f>总规划!G285</f>
        <v>0.06</v>
      </c>
      <c r="H2880" s="1">
        <f>总规划!H285</f>
        <v>0.06</v>
      </c>
      <c r="I2880" s="1" t="str">
        <f>总规划!I285</f>
        <v>1M资源</v>
      </c>
      <c r="J2880" s="1">
        <f>总规划!J285</f>
        <v>25</v>
      </c>
      <c r="K2880" s="1">
        <f>总规划!K285</f>
        <v>25</v>
      </c>
      <c r="L2880" s="1" t="str">
        <f>总规划!L285</f>
        <v>1战役币</v>
      </c>
      <c r="M2880" s="1">
        <f>总规划!P285</f>
        <v>12.5</v>
      </c>
      <c r="N2880" s="1">
        <f>总规划!Q285</f>
        <v>12.5</v>
      </c>
      <c r="O2880" s="1" t="str">
        <f>总规划!R285</f>
        <v>1空战币</v>
      </c>
      <c r="S2880" s="29"/>
    </row>
    <row r="2881" spans="2:19">
      <c r="B2881" s="1" t="str">
        <f>总规划!B286</f>
        <v>表情</v>
      </c>
      <c r="C2881" s="1" t="str">
        <f>总规划!C286</f>
        <v>1个</v>
      </c>
      <c r="D2881" s="1">
        <f>总规划!D286</f>
        <v>2.5</v>
      </c>
      <c r="E2881" s="1">
        <f>总规划!E286</f>
        <v>3000</v>
      </c>
      <c r="F2881" s="1">
        <f>总规划!F286</f>
        <v>6000</v>
      </c>
      <c r="G2881" s="1">
        <f>总规划!G286</f>
        <v>6</v>
      </c>
      <c r="H2881" s="1">
        <f>总规划!H286</f>
        <v>6</v>
      </c>
      <c r="I2881" s="1" t="str">
        <f>总规划!I286</f>
        <v>1M资源</v>
      </c>
      <c r="J2881" s="1">
        <f>总规划!J286</f>
        <v>2500</v>
      </c>
      <c r="K2881" s="1">
        <f>总规划!K286</f>
        <v>2500</v>
      </c>
      <c r="L2881" s="1" t="str">
        <f>总规划!L286</f>
        <v>1战役币</v>
      </c>
      <c r="M2881" s="1">
        <f>总规划!P286</f>
        <v>1250</v>
      </c>
      <c r="N2881" s="1">
        <f>总规划!Q286</f>
        <v>1250</v>
      </c>
      <c r="O2881" s="1" t="str">
        <f>总规划!R286</f>
        <v>1空战币</v>
      </c>
      <c r="S2881" s="29"/>
    </row>
    <row r="2882" spans="2:19">
      <c r="B2882" s="1" t="str">
        <f>总规划!B287</f>
        <v>头像框</v>
      </c>
      <c r="C2882" s="1" t="str">
        <f>总规划!C287</f>
        <v>1个</v>
      </c>
      <c r="D2882" s="1">
        <f>总规划!D287</f>
        <v>1.25</v>
      </c>
      <c r="E2882" s="1">
        <f>总规划!E287</f>
        <v>1500</v>
      </c>
      <c r="F2882" s="1">
        <f>总规划!F287</f>
        <v>3000</v>
      </c>
      <c r="G2882" s="1">
        <f>总规划!G287</f>
        <v>3</v>
      </c>
      <c r="H2882" s="1">
        <f>总规划!H287</f>
        <v>3</v>
      </c>
      <c r="I2882" s="1" t="str">
        <f>总规划!I287</f>
        <v>1M资源</v>
      </c>
      <c r="J2882" s="1">
        <f>总规划!J287</f>
        <v>1250</v>
      </c>
      <c r="K2882" s="1">
        <f>总规划!K287</f>
        <v>1250</v>
      </c>
      <c r="L2882" s="1" t="str">
        <f>总规划!L287</f>
        <v>1战役币</v>
      </c>
      <c r="M2882" s="1">
        <f>总规划!P287</f>
        <v>625</v>
      </c>
      <c r="N2882" s="1">
        <f>总规划!Q287</f>
        <v>625</v>
      </c>
      <c r="O2882" s="1" t="str">
        <f>总规划!R287</f>
        <v>1空战币</v>
      </c>
      <c r="S2882" s="29"/>
    </row>
    <row r="2883" spans="2:19">
      <c r="B2883" s="1" t="str">
        <f>总规划!B288</f>
        <v>战役币</v>
      </c>
      <c r="C2883" s="1" t="str">
        <f>总规划!C288</f>
        <v>1k战役币</v>
      </c>
      <c r="D2883" s="1">
        <f>总规划!D288</f>
        <v>1</v>
      </c>
      <c r="E2883" s="1">
        <f>总规划!E288</f>
        <v>1200</v>
      </c>
      <c r="F2883" s="1">
        <f>总规划!F288</f>
        <v>2400</v>
      </c>
      <c r="G2883" s="1">
        <f>总规划!G288</f>
        <v>2.4</v>
      </c>
      <c r="H2883" s="1">
        <f>总规划!H288</f>
        <v>2.4</v>
      </c>
      <c r="I2883" s="1" t="str">
        <f>总规划!I288</f>
        <v>1M资源</v>
      </c>
      <c r="J2883" s="1">
        <f>总规划!J288</f>
        <v>1000</v>
      </c>
      <c r="K2883" s="1">
        <f>总规划!K288</f>
        <v>1000</v>
      </c>
      <c r="L2883" s="1" t="str">
        <f>总规划!L288</f>
        <v>1战役币</v>
      </c>
      <c r="M2883" s="1">
        <f>总规划!P288</f>
        <v>500</v>
      </c>
      <c r="N2883" s="1">
        <f>总规划!Q288</f>
        <v>500</v>
      </c>
      <c r="O2883" s="1" t="str">
        <f>总规划!R288</f>
        <v>1空战币</v>
      </c>
      <c r="S2883" s="29"/>
    </row>
    <row r="2884" spans="2:19">
      <c r="B2884" s="1" t="str">
        <f>总规划!B289</f>
        <v>空战币</v>
      </c>
      <c r="C2884" s="1" t="str">
        <f>总规划!C289</f>
        <v>1k空战币</v>
      </c>
      <c r="D2884" s="1">
        <f>总规划!D289</f>
        <v>2</v>
      </c>
      <c r="E2884" s="1">
        <f>总规划!E289</f>
        <v>2400</v>
      </c>
      <c r="F2884" s="1">
        <f>总规划!F289</f>
        <v>4800</v>
      </c>
      <c r="G2884" s="1">
        <f>总规划!G289</f>
        <v>4.8</v>
      </c>
      <c r="H2884" s="1">
        <f>总规划!H289</f>
        <v>4.8</v>
      </c>
      <c r="I2884" s="1" t="str">
        <f>总规划!I289</f>
        <v>1M资源</v>
      </c>
      <c r="J2884" s="1">
        <f>总规划!J289</f>
        <v>2000</v>
      </c>
      <c r="K2884" s="1">
        <f>总规划!K289</f>
        <v>2000</v>
      </c>
      <c r="L2884" s="1" t="str">
        <f>总规划!L289</f>
        <v>1战役币</v>
      </c>
      <c r="M2884" s="1">
        <f>总规划!P289</f>
        <v>1000</v>
      </c>
      <c r="N2884" s="1">
        <f>总规划!Q289</f>
        <v>1000</v>
      </c>
      <c r="O2884" s="1" t="str">
        <f>总规划!R289</f>
        <v>1空战币</v>
      </c>
      <c r="S2884" s="29"/>
    </row>
    <row r="2885" spans="2:19">
      <c r="B2885" s="1" t="str">
        <f>总规划!B290</f>
        <v>银随机步兵配件图纸宝箱</v>
      </c>
      <c r="C2885" s="1" t="str">
        <f>总规划!C290</f>
        <v>1个</v>
      </c>
      <c r="D2885" s="1">
        <f ca="1">总规划!D290</f>
        <v>0.9125</v>
      </c>
      <c r="E2885" s="1">
        <f ca="1">总规划!E290</f>
        <v>1095</v>
      </c>
      <c r="F2885" s="1">
        <f ca="1">总规划!F290</f>
        <v>2190</v>
      </c>
      <c r="G2885" s="1">
        <f ca="1">总规划!G290</f>
        <v>2.19</v>
      </c>
      <c r="H2885" s="1">
        <f ca="1">总规划!H290</f>
        <v>2.19</v>
      </c>
      <c r="I2885" s="1" t="str">
        <f>总规划!I290</f>
        <v>1M资源</v>
      </c>
      <c r="J2885" s="1">
        <f ca="1">总规划!J290</f>
        <v>912.5</v>
      </c>
      <c r="K2885" s="1">
        <f ca="1">总规划!K290</f>
        <v>912.5</v>
      </c>
      <c r="L2885" s="1" t="str">
        <f>总规划!L290</f>
        <v>1战役币</v>
      </c>
      <c r="M2885" s="1">
        <f ca="1">总规划!P290</f>
        <v>456.25</v>
      </c>
      <c r="N2885" s="1">
        <f ca="1">总规划!Q290</f>
        <v>456.25</v>
      </c>
      <c r="O2885" s="1" t="str">
        <f>总规划!R290</f>
        <v>1空战币</v>
      </c>
      <c r="S2885" s="29"/>
    </row>
    <row r="2886" spans="2:19">
      <c r="B2886" s="1" t="str">
        <f>总规划!B291</f>
        <v>银随机中坦配件图纸宝箱</v>
      </c>
      <c r="C2886" s="1" t="str">
        <f>总规划!C291</f>
        <v>1个</v>
      </c>
      <c r="D2886" s="1">
        <f ca="1">总规划!D291</f>
        <v>0.9125</v>
      </c>
      <c r="E2886" s="1">
        <f ca="1">总规划!E291</f>
        <v>1095</v>
      </c>
      <c r="F2886" s="1">
        <f ca="1">总规划!F291</f>
        <v>2190</v>
      </c>
      <c r="G2886" s="1">
        <f ca="1">总规划!G291</f>
        <v>2.19</v>
      </c>
      <c r="H2886" s="1">
        <f ca="1">总规划!H291</f>
        <v>2.19</v>
      </c>
      <c r="I2886" s="1" t="str">
        <f>总规划!I291</f>
        <v>1M资源</v>
      </c>
      <c r="J2886" s="1">
        <f ca="1">总规划!J291</f>
        <v>912.5</v>
      </c>
      <c r="K2886" s="1">
        <f ca="1">总规划!K291</f>
        <v>912.5</v>
      </c>
      <c r="L2886" s="1" t="str">
        <f>总规划!L290</f>
        <v>1战役币</v>
      </c>
      <c r="M2886" s="1">
        <f ca="1">总规划!P291</f>
        <v>456.25</v>
      </c>
      <c r="N2886" s="1">
        <f ca="1">总规划!Q291</f>
        <v>456.25</v>
      </c>
      <c r="O2886" s="1" t="str">
        <f>总规划!R291</f>
        <v>1空战币</v>
      </c>
      <c r="S2886" s="29"/>
    </row>
    <row r="2887" spans="2:19">
      <c r="B2887" s="1" t="str">
        <f>总规划!B292</f>
        <v>银随机重坦配件图纸宝箱</v>
      </c>
      <c r="C2887" s="1" t="str">
        <f>总规划!C292</f>
        <v>1个</v>
      </c>
      <c r="D2887" s="1">
        <f ca="1">总规划!D292</f>
        <v>0.9125</v>
      </c>
      <c r="E2887" s="1">
        <f ca="1">总规划!E292</f>
        <v>1095</v>
      </c>
      <c r="F2887" s="1">
        <f ca="1">总规划!F292</f>
        <v>2190</v>
      </c>
      <c r="G2887" s="1">
        <f ca="1">总规划!G292</f>
        <v>2.19</v>
      </c>
      <c r="H2887" s="1">
        <f ca="1">总规划!H292</f>
        <v>2.19</v>
      </c>
      <c r="I2887" s="1" t="str">
        <f>总规划!I292</f>
        <v>1M资源</v>
      </c>
      <c r="J2887" s="1">
        <f ca="1">总规划!J292</f>
        <v>912.5</v>
      </c>
      <c r="K2887" s="1">
        <f ca="1">总规划!K292</f>
        <v>912.5</v>
      </c>
      <c r="L2887" s="1" t="str">
        <f>总规划!L291</f>
        <v>1战役币</v>
      </c>
      <c r="M2887" s="1">
        <f ca="1">总规划!P292</f>
        <v>456.25</v>
      </c>
      <c r="N2887" s="1">
        <f ca="1">总规划!Q292</f>
        <v>456.25</v>
      </c>
      <c r="O2887" s="1" t="str">
        <f>总规划!R292</f>
        <v>1空战币</v>
      </c>
      <c r="S2887" s="29"/>
    </row>
    <row r="2888" spans="2:19">
      <c r="B2888" s="1" t="str">
        <f>总规划!B293</f>
        <v>银随机坦歼配件图纸宝箱</v>
      </c>
      <c r="C2888" s="1" t="str">
        <f>总规划!C293</f>
        <v>1个</v>
      </c>
      <c r="D2888" s="1">
        <f ca="1">总规划!D293</f>
        <v>0.9125</v>
      </c>
      <c r="E2888" s="1">
        <f ca="1">总规划!E293</f>
        <v>1095</v>
      </c>
      <c r="F2888" s="1">
        <f ca="1">总规划!F293</f>
        <v>2190</v>
      </c>
      <c r="G2888" s="1">
        <f ca="1">总规划!G293</f>
        <v>2.19</v>
      </c>
      <c r="H2888" s="1">
        <f ca="1">总规划!H293</f>
        <v>2.19</v>
      </c>
      <c r="I2888" s="1" t="str">
        <f>总规划!I293</f>
        <v>1M资源</v>
      </c>
      <c r="J2888" s="1">
        <f ca="1">总规划!J293</f>
        <v>912.5</v>
      </c>
      <c r="K2888" s="1">
        <f ca="1">总规划!K293</f>
        <v>912.5</v>
      </c>
      <c r="L2888" s="1" t="str">
        <f>总规划!L292</f>
        <v>1战役币</v>
      </c>
      <c r="M2888" s="1">
        <f ca="1">总规划!P293</f>
        <v>456.25</v>
      </c>
      <c r="N2888" s="1">
        <f ca="1">总规划!Q293</f>
        <v>456.25</v>
      </c>
      <c r="O2888" s="1" t="str">
        <f>总规划!R293</f>
        <v>1空战币</v>
      </c>
      <c r="S2888" s="29"/>
    </row>
    <row r="2889" spans="2:19">
      <c r="B2889" s="1" t="str">
        <f>总规划!B294</f>
        <v>银随机榴弹炮配件图纸宝箱</v>
      </c>
      <c r="C2889" s="1" t="str">
        <f>总规划!C294</f>
        <v>1个</v>
      </c>
      <c r="D2889" s="1">
        <f ca="1">总规划!D294</f>
        <v>0.9125</v>
      </c>
      <c r="E2889" s="1">
        <f ca="1">总规划!E294</f>
        <v>1095</v>
      </c>
      <c r="F2889" s="1">
        <f ca="1">总规划!F294</f>
        <v>2190</v>
      </c>
      <c r="G2889" s="1">
        <f ca="1">总规划!G294</f>
        <v>2.19</v>
      </c>
      <c r="H2889" s="1">
        <f ca="1">总规划!H294</f>
        <v>2.19</v>
      </c>
      <c r="I2889" s="1" t="str">
        <f>总规划!I294</f>
        <v>1M资源</v>
      </c>
      <c r="J2889" s="1">
        <f ca="1">总规划!J294</f>
        <v>912.5</v>
      </c>
      <c r="K2889" s="1">
        <f ca="1">总规划!K294</f>
        <v>912.5</v>
      </c>
      <c r="L2889" s="1" t="str">
        <f>总规划!L293</f>
        <v>1战役币</v>
      </c>
      <c r="M2889" s="1">
        <f ca="1">总规划!P294</f>
        <v>456.25</v>
      </c>
      <c r="N2889" s="1">
        <f ca="1">总规划!Q294</f>
        <v>456.25</v>
      </c>
      <c r="O2889" s="1" t="str">
        <f>总规划!R294</f>
        <v>1空战币</v>
      </c>
      <c r="S2889" s="29"/>
    </row>
    <row r="2890" spans="2:19">
      <c r="B2890" s="1" t="str">
        <f>总规划!B295</f>
        <v>银随机反坦克炮配件图纸宝箱</v>
      </c>
      <c r="C2890" s="1" t="str">
        <f>总规划!C295</f>
        <v>1个</v>
      </c>
      <c r="D2890" s="1">
        <f ca="1">总规划!D295</f>
        <v>1.825</v>
      </c>
      <c r="E2890" s="1">
        <f ca="1">总规划!E295</f>
        <v>2190</v>
      </c>
      <c r="F2890" s="1">
        <f ca="1">总规划!F295</f>
        <v>4380</v>
      </c>
      <c r="G2890" s="1">
        <f ca="1">总规划!G295</f>
        <v>4.38</v>
      </c>
      <c r="H2890" s="1">
        <f ca="1">总规划!H295</f>
        <v>4.38</v>
      </c>
      <c r="I2890" s="1" t="str">
        <f>总规划!I295</f>
        <v>1M资源</v>
      </c>
      <c r="J2890" s="1">
        <f ca="1">总规划!J295</f>
        <v>1825</v>
      </c>
      <c r="K2890" s="1">
        <f ca="1">总规划!K295</f>
        <v>1825</v>
      </c>
      <c r="L2890" s="1" t="str">
        <f>总规划!L294</f>
        <v>1战役币</v>
      </c>
      <c r="M2890" s="1">
        <f ca="1">总规划!P295</f>
        <v>912.5</v>
      </c>
      <c r="N2890" s="1">
        <f ca="1">总规划!Q295</f>
        <v>912.5</v>
      </c>
      <c r="O2890" s="1" t="str">
        <f>总规划!R295</f>
        <v>1空战币</v>
      </c>
      <c r="S2890" s="29"/>
    </row>
    <row r="2891" spans="2:19">
      <c r="B2891" s="1" t="str">
        <f>总规划!B296</f>
        <v>银随机轻坦配件图纸宝箱</v>
      </c>
      <c r="C2891" s="1" t="str">
        <f>总规划!C296</f>
        <v>1个</v>
      </c>
      <c r="D2891" s="1">
        <f ca="1">总规划!D296</f>
        <v>1.825</v>
      </c>
      <c r="E2891" s="1">
        <f ca="1">总规划!E296</f>
        <v>2190</v>
      </c>
      <c r="F2891" s="1">
        <f ca="1">总规划!F296</f>
        <v>4380</v>
      </c>
      <c r="G2891" s="1">
        <f ca="1">总规划!G296</f>
        <v>4.38</v>
      </c>
      <c r="H2891" s="1">
        <f ca="1">总规划!H296</f>
        <v>4.38</v>
      </c>
      <c r="I2891" s="1" t="str">
        <f>总规划!I296</f>
        <v>1M资源</v>
      </c>
      <c r="J2891" s="1">
        <f ca="1">总规划!J296</f>
        <v>1825</v>
      </c>
      <c r="K2891" s="1">
        <f ca="1">总规划!K296</f>
        <v>1825</v>
      </c>
      <c r="L2891" s="1" t="str">
        <f>总规划!L295</f>
        <v>1战役币</v>
      </c>
      <c r="M2891" s="1">
        <f ca="1">总规划!P296</f>
        <v>912.5</v>
      </c>
      <c r="N2891" s="1">
        <f ca="1">总规划!Q296</f>
        <v>912.5</v>
      </c>
      <c r="O2891" s="1" t="str">
        <f>总规划!R296</f>
        <v>1空战币</v>
      </c>
      <c r="S2891" s="29"/>
    </row>
    <row r="2892" spans="2:19">
      <c r="B2892" s="1" t="str">
        <f>总规划!B297</f>
        <v>银随机超重坦配件图纸宝箱</v>
      </c>
      <c r="C2892" s="1" t="str">
        <f>总规划!C297</f>
        <v>1个</v>
      </c>
      <c r="D2892" s="1">
        <f ca="1">总规划!D297</f>
        <v>1.825</v>
      </c>
      <c r="E2892" s="1">
        <f ca="1">总规划!E297</f>
        <v>2190</v>
      </c>
      <c r="F2892" s="1">
        <f ca="1">总规划!F297</f>
        <v>4380</v>
      </c>
      <c r="G2892" s="1">
        <f ca="1">总规划!G297</f>
        <v>4.38</v>
      </c>
      <c r="H2892" s="1">
        <f ca="1">总规划!H297</f>
        <v>4.38</v>
      </c>
      <c r="I2892" s="1" t="str">
        <f>总规划!I297</f>
        <v>1M资源</v>
      </c>
      <c r="J2892" s="1">
        <f ca="1">总规划!J297</f>
        <v>1825</v>
      </c>
      <c r="K2892" s="1">
        <f ca="1">总规划!K297</f>
        <v>1825</v>
      </c>
      <c r="L2892" s="1" t="str">
        <f>总规划!L296</f>
        <v>1战役币</v>
      </c>
      <c r="M2892" s="1">
        <f ca="1">总规划!P297</f>
        <v>912.5</v>
      </c>
      <c r="N2892" s="1">
        <f ca="1">总规划!Q297</f>
        <v>912.5</v>
      </c>
      <c r="O2892" s="1" t="str">
        <f>总规划!R297</f>
        <v>1空战币</v>
      </c>
      <c r="S2892" s="29"/>
    </row>
    <row r="2893" spans="2:19">
      <c r="B2893" s="1" t="str">
        <f>总规划!B298</f>
        <v>银随机火箭炮配件图纸宝箱</v>
      </c>
      <c r="C2893" s="1" t="str">
        <f>总规划!C298</f>
        <v>1个</v>
      </c>
      <c r="D2893" s="1">
        <f ca="1">总规划!D298</f>
        <v>1.825</v>
      </c>
      <c r="E2893" s="1">
        <f ca="1">总规划!E298</f>
        <v>2190</v>
      </c>
      <c r="F2893" s="1">
        <f ca="1">总规划!F298</f>
        <v>4380</v>
      </c>
      <c r="G2893" s="1">
        <f ca="1">总规划!G298</f>
        <v>4.38</v>
      </c>
      <c r="H2893" s="1">
        <f ca="1">总规划!H298</f>
        <v>4.38</v>
      </c>
      <c r="I2893" s="1" t="str">
        <f>总规划!I298</f>
        <v>1M资源</v>
      </c>
      <c r="J2893" s="1">
        <f ca="1">总规划!J298</f>
        <v>1825</v>
      </c>
      <c r="K2893" s="1">
        <f ca="1">总规划!K298</f>
        <v>1825</v>
      </c>
      <c r="L2893" s="1" t="str">
        <f>总规划!L297</f>
        <v>1战役币</v>
      </c>
      <c r="M2893" s="1">
        <f ca="1">总规划!P298</f>
        <v>912.5</v>
      </c>
      <c r="N2893" s="1">
        <f ca="1">总规划!Q298</f>
        <v>912.5</v>
      </c>
      <c r="O2893" s="1" t="str">
        <f>总规划!R298</f>
        <v>1空战币</v>
      </c>
      <c r="S2893" s="29"/>
    </row>
    <row r="2894" spans="2:19">
      <c r="B2894" s="1" t="str">
        <f>总规划!B299</f>
        <v>银随机配件图纸宝箱</v>
      </c>
      <c r="C2894" s="1" t="str">
        <f>总规划!C299</f>
        <v>1个</v>
      </c>
      <c r="D2894" s="1">
        <f ca="1">总规划!D299</f>
        <v>0.45625</v>
      </c>
      <c r="E2894" s="1">
        <f ca="1">总规划!E299</f>
        <v>547.5</v>
      </c>
      <c r="F2894" s="1">
        <f ca="1">总规划!F299</f>
        <v>1095</v>
      </c>
      <c r="G2894" s="1">
        <f ca="1">总规划!G299</f>
        <v>1.095</v>
      </c>
      <c r="H2894" s="1">
        <f ca="1">总规划!H299</f>
        <v>1.095</v>
      </c>
      <c r="I2894" s="1" t="str">
        <f>总规划!I299</f>
        <v>1M资源</v>
      </c>
      <c r="J2894" s="1">
        <f ca="1">总规划!J299</f>
        <v>456.25</v>
      </c>
      <c r="K2894" s="1">
        <f ca="1">总规划!K299</f>
        <v>456.25</v>
      </c>
      <c r="L2894" s="1" t="str">
        <f>总规划!L298</f>
        <v>1战役币</v>
      </c>
      <c r="M2894" s="1">
        <f ca="1">总规划!P299</f>
        <v>228.125</v>
      </c>
      <c r="N2894" s="1">
        <f ca="1">总规划!Q299</f>
        <v>228.125</v>
      </c>
      <c r="O2894" s="1" t="str">
        <f>总规划!R299</f>
        <v>1空战币</v>
      </c>
      <c r="S2894" s="29"/>
    </row>
    <row r="2895" spans="2:19">
      <c r="B2895" s="1" t="str">
        <f>总规划!B300</f>
        <v>金随机步兵配件图纸宝箱</v>
      </c>
      <c r="C2895" s="1" t="str">
        <f>总规划!C300</f>
        <v>1个</v>
      </c>
      <c r="D2895" s="1">
        <f ca="1">总规划!D300</f>
        <v>14.75</v>
      </c>
      <c r="E2895" s="1">
        <f ca="1">总规划!E300</f>
        <v>17700</v>
      </c>
      <c r="F2895" s="1">
        <f ca="1">总规划!F300</f>
        <v>35400</v>
      </c>
      <c r="G2895" s="1">
        <f ca="1">总规划!G300</f>
        <v>35.4</v>
      </c>
      <c r="H2895" s="1">
        <f ca="1">总规划!H300</f>
        <v>35.4</v>
      </c>
      <c r="I2895" s="1" t="str">
        <f>总规划!I300</f>
        <v>1M资源</v>
      </c>
      <c r="J2895" s="1">
        <f ca="1">总规划!J300</f>
        <v>14750</v>
      </c>
      <c r="K2895" s="1">
        <f ca="1">总规划!K300</f>
        <v>14750</v>
      </c>
      <c r="L2895" s="1" t="str">
        <f>总规划!L299</f>
        <v>1战役币</v>
      </c>
      <c r="M2895" s="1">
        <f ca="1">总规划!P300</f>
        <v>7375</v>
      </c>
      <c r="N2895" s="1">
        <f ca="1">总规划!Q300</f>
        <v>7375</v>
      </c>
      <c r="O2895" s="1" t="str">
        <f>总规划!R300</f>
        <v>1空战币</v>
      </c>
      <c r="S2895" s="29"/>
    </row>
    <row r="2896" spans="2:19">
      <c r="B2896" s="1" t="str">
        <f>总规划!B301</f>
        <v>金随机中坦配件图纸宝箱</v>
      </c>
      <c r="C2896" s="1" t="str">
        <f>总规划!C301</f>
        <v>1个</v>
      </c>
      <c r="D2896" s="1">
        <f ca="1">总规划!D301</f>
        <v>14.75</v>
      </c>
      <c r="E2896" s="1">
        <f ca="1">总规划!E301</f>
        <v>17700</v>
      </c>
      <c r="F2896" s="1">
        <f ca="1">总规划!F301</f>
        <v>35400</v>
      </c>
      <c r="G2896" s="1">
        <f ca="1">总规划!G301</f>
        <v>35.4</v>
      </c>
      <c r="H2896" s="1">
        <f ca="1">总规划!H301</f>
        <v>35.4</v>
      </c>
      <c r="I2896" s="1" t="str">
        <f>总规划!I301</f>
        <v>1M资源</v>
      </c>
      <c r="J2896" s="1">
        <f ca="1">总规划!J301</f>
        <v>14750</v>
      </c>
      <c r="K2896" s="1">
        <f ca="1">总规划!K301</f>
        <v>14750</v>
      </c>
      <c r="L2896" s="1" t="str">
        <f>总规划!L300</f>
        <v>1战役币</v>
      </c>
      <c r="M2896" s="1">
        <f ca="1">总规划!P301</f>
        <v>7375</v>
      </c>
      <c r="N2896" s="1">
        <f ca="1">总规划!Q301</f>
        <v>7375</v>
      </c>
      <c r="O2896" s="1" t="str">
        <f>总规划!R301</f>
        <v>1空战币</v>
      </c>
      <c r="S2896" s="29"/>
    </row>
    <row r="2897" spans="2:19">
      <c r="B2897" s="1" t="str">
        <f>总规划!B302</f>
        <v>金随机重坦配件图纸宝箱</v>
      </c>
      <c r="C2897" s="1" t="str">
        <f>总规划!C302</f>
        <v>1个</v>
      </c>
      <c r="D2897" s="1">
        <f ca="1">总规划!D302</f>
        <v>14.75</v>
      </c>
      <c r="E2897" s="1">
        <f ca="1">总规划!E302</f>
        <v>17700</v>
      </c>
      <c r="F2897" s="1">
        <f ca="1">总规划!F302</f>
        <v>35400</v>
      </c>
      <c r="G2897" s="1">
        <f ca="1">总规划!G302</f>
        <v>35.4</v>
      </c>
      <c r="H2897" s="1">
        <f ca="1">总规划!H302</f>
        <v>35.4</v>
      </c>
      <c r="I2897" s="1" t="str">
        <f>总规划!I302</f>
        <v>1M资源</v>
      </c>
      <c r="J2897" s="1">
        <f ca="1">总规划!J302</f>
        <v>14750</v>
      </c>
      <c r="K2897" s="1">
        <f ca="1">总规划!K302</f>
        <v>14750</v>
      </c>
      <c r="L2897" s="1" t="str">
        <f>总规划!L301</f>
        <v>1战役币</v>
      </c>
      <c r="M2897" s="1">
        <f ca="1">总规划!P302</f>
        <v>7375</v>
      </c>
      <c r="N2897" s="1">
        <f ca="1">总规划!Q302</f>
        <v>7375</v>
      </c>
      <c r="O2897" s="1" t="str">
        <f>总规划!R302</f>
        <v>1空战币</v>
      </c>
      <c r="S2897" s="29"/>
    </row>
    <row r="2898" spans="2:19">
      <c r="B2898" s="1" t="str">
        <f>总规划!B303</f>
        <v>金随机坦歼配件图纸宝箱</v>
      </c>
      <c r="C2898" s="1" t="str">
        <f>总规划!C303</f>
        <v>1个</v>
      </c>
      <c r="D2898" s="1">
        <f ca="1">总规划!D303</f>
        <v>14.75</v>
      </c>
      <c r="E2898" s="1">
        <f ca="1">总规划!E303</f>
        <v>17700</v>
      </c>
      <c r="F2898" s="1">
        <f ca="1">总规划!F303</f>
        <v>35400</v>
      </c>
      <c r="G2898" s="1">
        <f ca="1">总规划!G303</f>
        <v>35.4</v>
      </c>
      <c r="H2898" s="1">
        <f ca="1">总规划!H303</f>
        <v>35.4</v>
      </c>
      <c r="I2898" s="1" t="str">
        <f>总规划!I303</f>
        <v>1M资源</v>
      </c>
      <c r="J2898" s="1">
        <f ca="1">总规划!J303</f>
        <v>14750</v>
      </c>
      <c r="K2898" s="1">
        <f ca="1">总规划!K303</f>
        <v>14750</v>
      </c>
      <c r="L2898" s="1" t="str">
        <f>总规划!L302</f>
        <v>1战役币</v>
      </c>
      <c r="M2898" s="1">
        <f ca="1">总规划!P303</f>
        <v>7375</v>
      </c>
      <c r="N2898" s="1">
        <f ca="1">总规划!Q303</f>
        <v>7375</v>
      </c>
      <c r="O2898" s="1" t="str">
        <f>总规划!R303</f>
        <v>1空战币</v>
      </c>
      <c r="S2898" s="29"/>
    </row>
    <row r="2899" spans="2:19">
      <c r="B2899" s="1" t="str">
        <f>总规划!B304</f>
        <v>金随机榴弹炮配件图纸宝箱</v>
      </c>
      <c r="C2899" s="1" t="str">
        <f>总规划!C304</f>
        <v>1个</v>
      </c>
      <c r="D2899" s="1">
        <f ca="1">总规划!D304</f>
        <v>14.75</v>
      </c>
      <c r="E2899" s="1">
        <f ca="1">总规划!E304</f>
        <v>17700</v>
      </c>
      <c r="F2899" s="1">
        <f ca="1">总规划!F304</f>
        <v>35400</v>
      </c>
      <c r="G2899" s="1">
        <f ca="1">总规划!G304</f>
        <v>35.4</v>
      </c>
      <c r="H2899" s="1">
        <f ca="1">总规划!H304</f>
        <v>35.4</v>
      </c>
      <c r="I2899" s="1" t="str">
        <f>总规划!I304</f>
        <v>1M资源</v>
      </c>
      <c r="J2899" s="1">
        <f ca="1">总规划!J304</f>
        <v>14750</v>
      </c>
      <c r="K2899" s="1">
        <f ca="1">总规划!K304</f>
        <v>14750</v>
      </c>
      <c r="L2899" s="1" t="str">
        <f>总规划!L303</f>
        <v>1战役币</v>
      </c>
      <c r="M2899" s="1">
        <f ca="1">总规划!P304</f>
        <v>7375</v>
      </c>
      <c r="N2899" s="1">
        <f ca="1">总规划!Q304</f>
        <v>7375</v>
      </c>
      <c r="O2899" s="1" t="str">
        <f>总规划!R304</f>
        <v>1空战币</v>
      </c>
      <c r="S2899" s="29"/>
    </row>
    <row r="2900" spans="2:19">
      <c r="B2900" s="1" t="str">
        <f>总规划!B305</f>
        <v>金随机反坦克炮配件图纸宝箱</v>
      </c>
      <c r="C2900" s="1" t="str">
        <f>总规划!C305</f>
        <v>1个</v>
      </c>
      <c r="D2900" s="1">
        <f ca="1">总规划!D305</f>
        <v>29.5</v>
      </c>
      <c r="E2900" s="1">
        <f ca="1">总规划!E305</f>
        <v>35400</v>
      </c>
      <c r="F2900" s="1">
        <f ca="1">总规划!F305</f>
        <v>70800</v>
      </c>
      <c r="G2900" s="1">
        <f ca="1">总规划!G305</f>
        <v>70.8</v>
      </c>
      <c r="H2900" s="1">
        <f ca="1">总规划!H305</f>
        <v>70.8</v>
      </c>
      <c r="I2900" s="1" t="str">
        <f>总规划!I305</f>
        <v>1M资源</v>
      </c>
      <c r="J2900" s="1">
        <f ca="1">总规划!J305</f>
        <v>29500</v>
      </c>
      <c r="K2900" s="1">
        <f ca="1">总规划!K305</f>
        <v>29500</v>
      </c>
      <c r="L2900" s="1" t="str">
        <f>总规划!L304</f>
        <v>1战役币</v>
      </c>
      <c r="M2900" s="1">
        <f ca="1">总规划!P305</f>
        <v>14750</v>
      </c>
      <c r="N2900" s="1">
        <f ca="1">总规划!Q305</f>
        <v>14750</v>
      </c>
      <c r="O2900" s="1" t="str">
        <f>总规划!R305</f>
        <v>1空战币</v>
      </c>
      <c r="S2900" s="29"/>
    </row>
    <row r="2901" spans="2:19">
      <c r="B2901" s="1" t="str">
        <f>总规划!B306</f>
        <v>金随机轻坦配件图纸宝箱</v>
      </c>
      <c r="C2901" s="1" t="str">
        <f>总规划!C306</f>
        <v>1个</v>
      </c>
      <c r="D2901" s="1">
        <f ca="1">总规划!D306</f>
        <v>29.5</v>
      </c>
      <c r="E2901" s="1">
        <f ca="1">总规划!E306</f>
        <v>35400</v>
      </c>
      <c r="F2901" s="1">
        <f ca="1">总规划!F306</f>
        <v>70800</v>
      </c>
      <c r="G2901" s="1">
        <f ca="1">总规划!G306</f>
        <v>70.8</v>
      </c>
      <c r="H2901" s="1">
        <f ca="1">总规划!H306</f>
        <v>70.8</v>
      </c>
      <c r="I2901" s="1" t="str">
        <f>总规划!I306</f>
        <v>1M资源</v>
      </c>
      <c r="J2901" s="1">
        <f ca="1">总规划!J306</f>
        <v>29500</v>
      </c>
      <c r="K2901" s="1">
        <f ca="1">总规划!K306</f>
        <v>29500</v>
      </c>
      <c r="L2901" s="1" t="str">
        <f>总规划!L305</f>
        <v>1战役币</v>
      </c>
      <c r="M2901" s="1">
        <f ca="1">总规划!P306</f>
        <v>14750</v>
      </c>
      <c r="N2901" s="1">
        <f ca="1">总规划!Q306</f>
        <v>14750</v>
      </c>
      <c r="O2901" s="1" t="str">
        <f>总规划!R306</f>
        <v>1空战币</v>
      </c>
      <c r="S2901" s="29"/>
    </row>
    <row r="2902" spans="2:19">
      <c r="B2902" s="1" t="str">
        <f>总规划!B307</f>
        <v>金随机超重坦配件图纸宝箱</v>
      </c>
      <c r="C2902" s="1" t="str">
        <f>总规划!C307</f>
        <v>1个</v>
      </c>
      <c r="D2902" s="1">
        <f ca="1">总规划!D307</f>
        <v>29.5</v>
      </c>
      <c r="E2902" s="1">
        <f ca="1">总规划!E307</f>
        <v>35400</v>
      </c>
      <c r="F2902" s="1">
        <f ca="1">总规划!F307</f>
        <v>70800</v>
      </c>
      <c r="G2902" s="1">
        <f ca="1">总规划!G307</f>
        <v>70.8</v>
      </c>
      <c r="H2902" s="1">
        <f ca="1">总规划!H307</f>
        <v>70.8</v>
      </c>
      <c r="I2902" s="1" t="str">
        <f>总规划!I307</f>
        <v>1M资源</v>
      </c>
      <c r="J2902" s="1">
        <f ca="1">总规划!J307</f>
        <v>29500</v>
      </c>
      <c r="K2902" s="1">
        <f ca="1">总规划!K307</f>
        <v>29500</v>
      </c>
      <c r="L2902" s="1" t="str">
        <f>总规划!L306</f>
        <v>1战役币</v>
      </c>
      <c r="M2902" s="1">
        <f ca="1">总规划!P307</f>
        <v>14750</v>
      </c>
      <c r="N2902" s="1">
        <f ca="1">总规划!Q307</f>
        <v>14750</v>
      </c>
      <c r="O2902" s="1" t="str">
        <f>总规划!R307</f>
        <v>1空战币</v>
      </c>
      <c r="S2902" s="29"/>
    </row>
    <row r="2903" spans="2:19">
      <c r="B2903" s="1" t="str">
        <f>总规划!B308</f>
        <v>金随机火箭炮配件图纸宝箱</v>
      </c>
      <c r="C2903" s="1" t="str">
        <f>总规划!C308</f>
        <v>1个</v>
      </c>
      <c r="D2903" s="1">
        <f ca="1">总规划!D308</f>
        <v>29.5</v>
      </c>
      <c r="E2903" s="1">
        <f ca="1">总规划!E308</f>
        <v>35400</v>
      </c>
      <c r="F2903" s="1">
        <f ca="1">总规划!F308</f>
        <v>70800</v>
      </c>
      <c r="G2903" s="1">
        <f ca="1">总规划!G308</f>
        <v>70.8</v>
      </c>
      <c r="H2903" s="1">
        <f ca="1">总规划!H308</f>
        <v>70.8</v>
      </c>
      <c r="I2903" s="1" t="str">
        <f>总规划!I308</f>
        <v>1M资源</v>
      </c>
      <c r="J2903" s="1">
        <f ca="1">总规划!J308</f>
        <v>29500</v>
      </c>
      <c r="K2903" s="1">
        <f ca="1">总规划!K308</f>
        <v>29500</v>
      </c>
      <c r="L2903" s="1" t="str">
        <f>总规划!L307</f>
        <v>1战役币</v>
      </c>
      <c r="M2903" s="1">
        <f ca="1">总规划!P308</f>
        <v>14750</v>
      </c>
      <c r="N2903" s="1">
        <f ca="1">总规划!Q308</f>
        <v>14750</v>
      </c>
      <c r="O2903" s="1" t="str">
        <f>总规划!R308</f>
        <v>1空战币</v>
      </c>
      <c r="S2903" s="29"/>
    </row>
    <row r="2904" spans="2:19">
      <c r="B2904" s="1" t="str">
        <f>总规划!B309</f>
        <v>金随机配件图纸宝箱</v>
      </c>
      <c r="C2904" s="1" t="str">
        <f>总规划!C309</f>
        <v>1个</v>
      </c>
      <c r="D2904" s="1">
        <f ca="1">总规划!D309</f>
        <v>7.375</v>
      </c>
      <c r="E2904" s="1">
        <f ca="1">总规划!E309</f>
        <v>8850</v>
      </c>
      <c r="F2904" s="1">
        <f ca="1">总规划!F309</f>
        <v>17700</v>
      </c>
      <c r="G2904" s="1">
        <f ca="1">总规划!G309</f>
        <v>17.7</v>
      </c>
      <c r="H2904" s="1">
        <f ca="1">总规划!H309</f>
        <v>17.7</v>
      </c>
      <c r="I2904" s="1" t="str">
        <f>总规划!I309</f>
        <v>1M资源</v>
      </c>
      <c r="J2904" s="1">
        <f ca="1">总规划!J309</f>
        <v>7375</v>
      </c>
      <c r="K2904" s="1">
        <f ca="1">总规划!K309</f>
        <v>7375</v>
      </c>
      <c r="L2904" s="1" t="str">
        <f>总规划!L308</f>
        <v>1战役币</v>
      </c>
      <c r="M2904" s="1">
        <f ca="1">总规划!P309</f>
        <v>3687.5</v>
      </c>
      <c r="N2904" s="1">
        <f ca="1">总规划!Q309</f>
        <v>3687.5</v>
      </c>
      <c r="O2904" s="1" t="str">
        <f>总规划!R309</f>
        <v>1空战币</v>
      </c>
      <c r="S2904" s="29"/>
    </row>
    <row r="2905" spans="2:19">
      <c r="B2905" s="1" t="str">
        <f>总规划!B310</f>
        <v>金+随机步兵配件图纸宝箱</v>
      </c>
      <c r="C2905" s="1" t="str">
        <f>总规划!C310</f>
        <v>1个</v>
      </c>
      <c r="D2905" s="1">
        <f ca="1">总规划!D310</f>
        <v>35</v>
      </c>
      <c r="E2905" s="1">
        <f ca="1">总规划!E310</f>
        <v>42000</v>
      </c>
      <c r="F2905" s="1">
        <f ca="1">总规划!F310</f>
        <v>84000</v>
      </c>
      <c r="G2905" s="1">
        <f ca="1">总规划!G310</f>
        <v>84</v>
      </c>
      <c r="H2905" s="1">
        <f ca="1">总规划!H310</f>
        <v>84</v>
      </c>
      <c r="I2905" s="1" t="str">
        <f>总规划!I310</f>
        <v>1M资源</v>
      </c>
      <c r="J2905" s="1">
        <f ca="1">总规划!J310</f>
        <v>35000</v>
      </c>
      <c r="K2905" s="1">
        <f ca="1">总规划!K310</f>
        <v>35000</v>
      </c>
      <c r="L2905" s="1" t="str">
        <f>总规划!L309</f>
        <v>1战役币</v>
      </c>
      <c r="M2905" s="1">
        <f ca="1">总规划!P310</f>
        <v>17500</v>
      </c>
      <c r="N2905" s="1">
        <f ca="1">总规划!Q310</f>
        <v>17500</v>
      </c>
      <c r="O2905" s="1" t="str">
        <f>总规划!R310</f>
        <v>1空战币</v>
      </c>
      <c r="S2905" s="29"/>
    </row>
    <row r="2906" spans="2:19">
      <c r="B2906" s="1" t="str">
        <f>总规划!B311</f>
        <v>金+随机中坦配件图纸宝箱</v>
      </c>
      <c r="C2906" s="1" t="str">
        <f>总规划!C311</f>
        <v>1个</v>
      </c>
      <c r="D2906" s="1">
        <f ca="1">总规划!D311</f>
        <v>35</v>
      </c>
      <c r="E2906" s="1">
        <f ca="1">总规划!E311</f>
        <v>42000</v>
      </c>
      <c r="F2906" s="1">
        <f ca="1">总规划!F311</f>
        <v>84000</v>
      </c>
      <c r="G2906" s="1">
        <f ca="1">总规划!G311</f>
        <v>84</v>
      </c>
      <c r="H2906" s="1">
        <f ca="1">总规划!H311</f>
        <v>84</v>
      </c>
      <c r="I2906" s="1" t="str">
        <f>总规划!I311</f>
        <v>1M资源</v>
      </c>
      <c r="J2906" s="1">
        <f ca="1">总规划!J311</f>
        <v>35000</v>
      </c>
      <c r="K2906" s="1">
        <f ca="1">总规划!K311</f>
        <v>35000</v>
      </c>
      <c r="L2906" s="1" t="str">
        <f>总规划!L310</f>
        <v>1战役币</v>
      </c>
      <c r="M2906" s="1">
        <f ca="1">总规划!P311</f>
        <v>17500</v>
      </c>
      <c r="N2906" s="1">
        <f ca="1">总规划!Q311</f>
        <v>17500</v>
      </c>
      <c r="O2906" s="1" t="str">
        <f>总规划!R311</f>
        <v>1空战币</v>
      </c>
      <c r="S2906" s="29"/>
    </row>
    <row r="2907" spans="2:19">
      <c r="B2907" s="1" t="str">
        <f>总规划!B312</f>
        <v>金+随机重坦配件图纸宝箱</v>
      </c>
      <c r="C2907" s="1" t="str">
        <f>总规划!C312</f>
        <v>1个</v>
      </c>
      <c r="D2907" s="1">
        <f ca="1">总规划!D312</f>
        <v>35</v>
      </c>
      <c r="E2907" s="1">
        <f ca="1">总规划!E312</f>
        <v>42000</v>
      </c>
      <c r="F2907" s="1">
        <f ca="1">总规划!F312</f>
        <v>84000</v>
      </c>
      <c r="G2907" s="1">
        <f ca="1">总规划!G312</f>
        <v>84</v>
      </c>
      <c r="H2907" s="1">
        <f ca="1">总规划!H312</f>
        <v>84</v>
      </c>
      <c r="I2907" s="1" t="str">
        <f>总规划!I312</f>
        <v>1M资源</v>
      </c>
      <c r="J2907" s="1">
        <f ca="1">总规划!J312</f>
        <v>35000</v>
      </c>
      <c r="K2907" s="1">
        <f ca="1">总规划!K312</f>
        <v>35000</v>
      </c>
      <c r="L2907" s="1" t="str">
        <f>总规划!L311</f>
        <v>1战役币</v>
      </c>
      <c r="M2907" s="1">
        <f ca="1">总规划!P312</f>
        <v>17500</v>
      </c>
      <c r="N2907" s="1">
        <f ca="1">总规划!Q312</f>
        <v>17500</v>
      </c>
      <c r="O2907" s="1" t="str">
        <f>总规划!R312</f>
        <v>1空战币</v>
      </c>
      <c r="S2907" s="29"/>
    </row>
    <row r="2908" spans="2:19">
      <c r="B2908" s="1" t="str">
        <f>总规划!B313</f>
        <v>金+随机坦歼配件图纸宝箱</v>
      </c>
      <c r="C2908" s="1" t="str">
        <f>总规划!C313</f>
        <v>1个</v>
      </c>
      <c r="D2908" s="1">
        <f ca="1">总规划!D313</f>
        <v>35</v>
      </c>
      <c r="E2908" s="1">
        <f ca="1">总规划!E313</f>
        <v>42000</v>
      </c>
      <c r="F2908" s="1">
        <f ca="1">总规划!F313</f>
        <v>84000</v>
      </c>
      <c r="G2908" s="1">
        <f ca="1">总规划!G313</f>
        <v>84</v>
      </c>
      <c r="H2908" s="1">
        <f ca="1">总规划!H313</f>
        <v>84</v>
      </c>
      <c r="I2908" s="1" t="str">
        <f>总规划!I313</f>
        <v>1M资源</v>
      </c>
      <c r="J2908" s="1">
        <f ca="1">总规划!J313</f>
        <v>35000</v>
      </c>
      <c r="K2908" s="1">
        <f ca="1">总规划!K313</f>
        <v>35000</v>
      </c>
      <c r="L2908" s="1" t="str">
        <f>总规划!L312</f>
        <v>1战役币</v>
      </c>
      <c r="M2908" s="1">
        <f ca="1">总规划!P313</f>
        <v>17500</v>
      </c>
      <c r="N2908" s="1">
        <f ca="1">总规划!Q313</f>
        <v>17500</v>
      </c>
      <c r="O2908" s="1" t="str">
        <f>总规划!R313</f>
        <v>1空战币</v>
      </c>
      <c r="S2908" s="29"/>
    </row>
    <row r="2909" spans="2:19">
      <c r="B2909" s="1" t="str">
        <f>总规划!B314</f>
        <v>金+随机榴弹炮配件图纸宝箱</v>
      </c>
      <c r="C2909" s="1" t="str">
        <f>总规划!C314</f>
        <v>1个</v>
      </c>
      <c r="D2909" s="1">
        <f ca="1">总规划!D314</f>
        <v>35</v>
      </c>
      <c r="E2909" s="1">
        <f ca="1">总规划!E314</f>
        <v>42000</v>
      </c>
      <c r="F2909" s="1">
        <f ca="1">总规划!F314</f>
        <v>84000</v>
      </c>
      <c r="G2909" s="1">
        <f ca="1">总规划!G314</f>
        <v>84</v>
      </c>
      <c r="H2909" s="1">
        <f ca="1">总规划!H314</f>
        <v>84</v>
      </c>
      <c r="I2909" s="1" t="str">
        <f>总规划!I314</f>
        <v>1M资源</v>
      </c>
      <c r="J2909" s="1">
        <f ca="1">总规划!J314</f>
        <v>35000</v>
      </c>
      <c r="K2909" s="1">
        <f ca="1">总规划!K314</f>
        <v>35000</v>
      </c>
      <c r="L2909" s="1" t="str">
        <f>总规划!L313</f>
        <v>1战役币</v>
      </c>
      <c r="M2909" s="1">
        <f ca="1">总规划!P314</f>
        <v>17500</v>
      </c>
      <c r="N2909" s="1">
        <f ca="1">总规划!Q314</f>
        <v>17500</v>
      </c>
      <c r="O2909" s="1" t="str">
        <f>总规划!R314</f>
        <v>1空战币</v>
      </c>
      <c r="S2909" s="29"/>
    </row>
    <row r="2910" spans="2:19">
      <c r="B2910" s="1" t="str">
        <f>总规划!B315</f>
        <v>金+随机反坦克炮配件图纸宝箱</v>
      </c>
      <c r="C2910" s="1" t="str">
        <f>总规划!C315</f>
        <v>1个</v>
      </c>
      <c r="D2910" s="1">
        <f ca="1">总规划!D315</f>
        <v>70</v>
      </c>
      <c r="E2910" s="1">
        <f ca="1">总规划!E315</f>
        <v>84000</v>
      </c>
      <c r="F2910" s="1">
        <f ca="1">总规划!F315</f>
        <v>168000</v>
      </c>
      <c r="G2910" s="1">
        <f ca="1">总规划!G315</f>
        <v>168</v>
      </c>
      <c r="H2910" s="1">
        <f ca="1">总规划!H315</f>
        <v>168</v>
      </c>
      <c r="I2910" s="1" t="str">
        <f>总规划!I315</f>
        <v>1M资源</v>
      </c>
      <c r="J2910" s="1">
        <f ca="1">总规划!J315</f>
        <v>70000</v>
      </c>
      <c r="K2910" s="1">
        <f ca="1">总规划!K315</f>
        <v>70000</v>
      </c>
      <c r="L2910" s="1" t="str">
        <f>总规划!L314</f>
        <v>1战役币</v>
      </c>
      <c r="M2910" s="1">
        <f ca="1">总规划!P315</f>
        <v>35000</v>
      </c>
      <c r="N2910" s="1">
        <f ca="1">总规划!Q315</f>
        <v>35000</v>
      </c>
      <c r="O2910" s="1" t="str">
        <f>总规划!R315</f>
        <v>1空战币</v>
      </c>
      <c r="S2910" s="29"/>
    </row>
    <row r="2911" spans="2:19">
      <c r="B2911" s="1" t="str">
        <f>总规划!B316</f>
        <v>金+随机轻坦配件图纸宝箱</v>
      </c>
      <c r="C2911" s="1" t="str">
        <f>总规划!C316</f>
        <v>1个</v>
      </c>
      <c r="D2911" s="1">
        <f ca="1">总规划!D316</f>
        <v>70</v>
      </c>
      <c r="E2911" s="1">
        <f ca="1">总规划!E316</f>
        <v>84000</v>
      </c>
      <c r="F2911" s="1">
        <f ca="1">总规划!F316</f>
        <v>168000</v>
      </c>
      <c r="G2911" s="1">
        <f ca="1">总规划!G316</f>
        <v>168</v>
      </c>
      <c r="H2911" s="1">
        <f ca="1">总规划!H316</f>
        <v>168</v>
      </c>
      <c r="I2911" s="1" t="str">
        <f>总规划!I316</f>
        <v>1M资源</v>
      </c>
      <c r="J2911" s="1">
        <f ca="1">总规划!J316</f>
        <v>70000</v>
      </c>
      <c r="K2911" s="1">
        <f ca="1">总规划!K316</f>
        <v>70000</v>
      </c>
      <c r="L2911" s="1" t="str">
        <f>总规划!L315</f>
        <v>1战役币</v>
      </c>
      <c r="M2911" s="1">
        <f ca="1">总规划!P316</f>
        <v>35000</v>
      </c>
      <c r="N2911" s="1">
        <f ca="1">总规划!Q316</f>
        <v>35000</v>
      </c>
      <c r="O2911" s="1" t="str">
        <f>总规划!R316</f>
        <v>1空战币</v>
      </c>
      <c r="S2911" s="29"/>
    </row>
    <row r="2912" spans="2:19">
      <c r="B2912" s="1" t="str">
        <f>总规划!B317</f>
        <v>金+随机超重坦配件图纸宝箱</v>
      </c>
      <c r="C2912" s="1" t="str">
        <f>总规划!C317</f>
        <v>1个</v>
      </c>
      <c r="D2912" s="1">
        <f ca="1">总规划!D317</f>
        <v>70</v>
      </c>
      <c r="E2912" s="1">
        <f ca="1">总规划!E317</f>
        <v>84000</v>
      </c>
      <c r="F2912" s="1">
        <f ca="1">总规划!F317</f>
        <v>168000</v>
      </c>
      <c r="G2912" s="1">
        <f ca="1">总规划!G317</f>
        <v>168</v>
      </c>
      <c r="H2912" s="1">
        <f ca="1">总规划!H317</f>
        <v>168</v>
      </c>
      <c r="I2912" s="1" t="str">
        <f>总规划!I317</f>
        <v>1M资源</v>
      </c>
      <c r="J2912" s="1">
        <f ca="1">总规划!J317</f>
        <v>70000</v>
      </c>
      <c r="K2912" s="1">
        <f ca="1">总规划!K317</f>
        <v>70000</v>
      </c>
      <c r="L2912" s="1" t="str">
        <f>总规划!L316</f>
        <v>1战役币</v>
      </c>
      <c r="M2912" s="1">
        <f ca="1">总规划!P317</f>
        <v>35000</v>
      </c>
      <c r="N2912" s="1">
        <f ca="1">总规划!Q317</f>
        <v>35000</v>
      </c>
      <c r="O2912" s="1" t="str">
        <f>总规划!R317</f>
        <v>1空战币</v>
      </c>
      <c r="S2912" s="29"/>
    </row>
    <row r="2913" spans="2:19">
      <c r="B2913" s="1" t="str">
        <f>总规划!B318</f>
        <v>金+随机火箭炮配件图纸宝箱</v>
      </c>
      <c r="C2913" s="1" t="str">
        <f>总规划!C318</f>
        <v>1个</v>
      </c>
      <c r="D2913" s="1">
        <f ca="1">总规划!D318</f>
        <v>70</v>
      </c>
      <c r="E2913" s="1">
        <f ca="1">总规划!E318</f>
        <v>84000</v>
      </c>
      <c r="F2913" s="1">
        <f ca="1">总规划!F318</f>
        <v>168000</v>
      </c>
      <c r="G2913" s="1">
        <f ca="1">总规划!G318</f>
        <v>168</v>
      </c>
      <c r="H2913" s="1">
        <f ca="1">总规划!H318</f>
        <v>168</v>
      </c>
      <c r="I2913" s="1" t="str">
        <f>总规划!I318</f>
        <v>1M资源</v>
      </c>
      <c r="J2913" s="1">
        <f ca="1">总规划!J318</f>
        <v>70000</v>
      </c>
      <c r="K2913" s="1">
        <f ca="1">总规划!K318</f>
        <v>70000</v>
      </c>
      <c r="L2913" s="1" t="str">
        <f>总规划!L317</f>
        <v>1战役币</v>
      </c>
      <c r="M2913" s="1">
        <f ca="1">总规划!P318</f>
        <v>35000</v>
      </c>
      <c r="N2913" s="1">
        <f ca="1">总规划!Q318</f>
        <v>35000</v>
      </c>
      <c r="O2913" s="1" t="str">
        <f>总规划!R318</f>
        <v>1空战币</v>
      </c>
      <c r="S2913" s="29"/>
    </row>
    <row r="2914" spans="2:19">
      <c r="B2914" s="1" t="str">
        <f>总规划!B319</f>
        <v>金+随机配件图纸宝箱</v>
      </c>
      <c r="C2914" s="1" t="str">
        <f>总规划!C319</f>
        <v>1个</v>
      </c>
      <c r="D2914" s="1">
        <f ca="1">总规划!D319</f>
        <v>17.5</v>
      </c>
      <c r="E2914" s="1">
        <f ca="1">总规划!E319</f>
        <v>21000</v>
      </c>
      <c r="F2914" s="1">
        <f ca="1">总规划!F319</f>
        <v>42000</v>
      </c>
      <c r="G2914" s="1">
        <f ca="1">总规划!G319</f>
        <v>42</v>
      </c>
      <c r="H2914" s="1">
        <f ca="1">总规划!H319</f>
        <v>42</v>
      </c>
      <c r="I2914" s="1" t="str">
        <f>总规划!I319</f>
        <v>1M资源</v>
      </c>
      <c r="J2914" s="1">
        <f ca="1">总规划!J319</f>
        <v>17500</v>
      </c>
      <c r="K2914" s="1">
        <f ca="1">总规划!K319</f>
        <v>17500</v>
      </c>
      <c r="L2914" s="1" t="str">
        <f>总规划!L318</f>
        <v>1战役币</v>
      </c>
      <c r="M2914" s="1">
        <f ca="1">总规划!P319</f>
        <v>8750</v>
      </c>
      <c r="N2914" s="1">
        <f ca="1">总规划!Q319</f>
        <v>8750</v>
      </c>
      <c r="O2914" s="1" t="str">
        <f>总规划!R319</f>
        <v>1空战币</v>
      </c>
      <c r="S2914" s="29"/>
    </row>
    <row r="2915" spans="2:19">
      <c r="B2915" s="1" t="str">
        <f>总规划!B320</f>
        <v>银随机战斗机配件图纸宝箱</v>
      </c>
      <c r="C2915" s="1" t="str">
        <f>总规划!C320</f>
        <v>1个</v>
      </c>
      <c r="D2915" s="1">
        <f ca="1">总规划!D320</f>
        <v>0.9125</v>
      </c>
      <c r="E2915" s="1">
        <f ca="1">总规划!E320</f>
        <v>1095</v>
      </c>
      <c r="F2915" s="1">
        <f ca="1">总规划!F320</f>
        <v>2190</v>
      </c>
      <c r="G2915" s="1">
        <f ca="1">总规划!G320</f>
        <v>2.19</v>
      </c>
      <c r="H2915" s="1">
        <f ca="1">总规划!H320</f>
        <v>2.19</v>
      </c>
      <c r="I2915" s="1" t="str">
        <f>总规划!I320</f>
        <v>1M资源</v>
      </c>
      <c r="J2915" s="1">
        <f ca="1">总规划!J320</f>
        <v>912.5</v>
      </c>
      <c r="K2915" s="1">
        <f ca="1">总规划!K320</f>
        <v>912.5</v>
      </c>
      <c r="L2915" s="1" t="str">
        <f>总规划!L319</f>
        <v>1战役币</v>
      </c>
      <c r="M2915" s="1">
        <f ca="1">总规划!P320</f>
        <v>456.25</v>
      </c>
      <c r="N2915" s="1">
        <f ca="1">总规划!Q320</f>
        <v>456.25</v>
      </c>
      <c r="O2915" s="1" t="str">
        <f>总规划!R320</f>
        <v>1空战币</v>
      </c>
      <c r="S2915" s="29"/>
    </row>
    <row r="2916" spans="2:19">
      <c r="B2916" s="1" t="str">
        <f>总规划!B321</f>
        <v>银随机攻击机配件图纸宝箱</v>
      </c>
      <c r="C2916" s="1" t="str">
        <f>总规划!C321</f>
        <v>1个</v>
      </c>
      <c r="D2916" s="1">
        <f ca="1">总规划!D321</f>
        <v>0.9125</v>
      </c>
      <c r="E2916" s="1">
        <f ca="1">总规划!E321</f>
        <v>1095</v>
      </c>
      <c r="F2916" s="1">
        <f ca="1">总规划!F321</f>
        <v>2190</v>
      </c>
      <c r="G2916" s="1">
        <f ca="1">总规划!G321</f>
        <v>2.19</v>
      </c>
      <c r="H2916" s="1">
        <f ca="1">总规划!H321</f>
        <v>2.19</v>
      </c>
      <c r="I2916" s="1" t="str">
        <f>总规划!I321</f>
        <v>1M资源</v>
      </c>
      <c r="J2916" s="1">
        <f ca="1">总规划!J321</f>
        <v>912.5</v>
      </c>
      <c r="K2916" s="1">
        <f ca="1">总规划!K321</f>
        <v>912.5</v>
      </c>
      <c r="L2916" s="1" t="str">
        <f>总规划!L320</f>
        <v>1战役币</v>
      </c>
      <c r="M2916" s="1">
        <f ca="1">总规划!P321</f>
        <v>456.25</v>
      </c>
      <c r="N2916" s="1">
        <f ca="1">总规划!Q321</f>
        <v>456.25</v>
      </c>
      <c r="O2916" s="1" t="str">
        <f>总规划!R321</f>
        <v>1空战币</v>
      </c>
      <c r="S2916" s="29"/>
    </row>
    <row r="2917" spans="2:19">
      <c r="B2917" s="1" t="str">
        <f>总规划!B322</f>
        <v>银随机战术轰炸机配件图纸宝箱</v>
      </c>
      <c r="C2917" s="1" t="str">
        <f>总规划!C322</f>
        <v>1个</v>
      </c>
      <c r="D2917" s="1">
        <f ca="1">总规划!D322</f>
        <v>1.825</v>
      </c>
      <c r="E2917" s="1">
        <f ca="1">总规划!E322</f>
        <v>2190</v>
      </c>
      <c r="F2917" s="1">
        <f ca="1">总规划!F322</f>
        <v>4380</v>
      </c>
      <c r="G2917" s="1">
        <f ca="1">总规划!G322</f>
        <v>4.38</v>
      </c>
      <c r="H2917" s="1">
        <f ca="1">总规划!H322</f>
        <v>4.38</v>
      </c>
      <c r="I2917" s="1" t="str">
        <f>总规划!I322</f>
        <v>1M资源</v>
      </c>
      <c r="J2917" s="1">
        <f ca="1">总规划!J322</f>
        <v>1825</v>
      </c>
      <c r="K2917" s="1">
        <f ca="1">总规划!K322</f>
        <v>1825</v>
      </c>
      <c r="L2917" s="1" t="str">
        <f>总规划!L321</f>
        <v>1战役币</v>
      </c>
      <c r="M2917" s="1">
        <f ca="1">总规划!P322</f>
        <v>912.5</v>
      </c>
      <c r="N2917" s="1">
        <f ca="1">总规划!Q322</f>
        <v>912.5</v>
      </c>
      <c r="O2917" s="1" t="str">
        <f>总规划!R322</f>
        <v>1空战币</v>
      </c>
      <c r="S2917" s="29"/>
    </row>
    <row r="2918" spans="2:19">
      <c r="B2918" s="1" t="str">
        <f>总规划!B323</f>
        <v>银随机战略轰炸机配件图纸宝箱</v>
      </c>
      <c r="C2918" s="1" t="str">
        <f>总规划!C323</f>
        <v>1个</v>
      </c>
      <c r="D2918" s="1">
        <f ca="1">总规划!D323</f>
        <v>1.825</v>
      </c>
      <c r="E2918" s="1">
        <f ca="1">总规划!E323</f>
        <v>2190</v>
      </c>
      <c r="F2918" s="1">
        <f ca="1">总规划!F323</f>
        <v>4380</v>
      </c>
      <c r="G2918" s="1">
        <f ca="1">总规划!G323</f>
        <v>4.38</v>
      </c>
      <c r="H2918" s="1">
        <f ca="1">总规划!H323</f>
        <v>4.38</v>
      </c>
      <c r="I2918" s="1" t="str">
        <f>总规划!I323</f>
        <v>1M资源</v>
      </c>
      <c r="J2918" s="1">
        <f ca="1">总规划!J323</f>
        <v>1825</v>
      </c>
      <c r="K2918" s="1">
        <f ca="1">总规划!K323</f>
        <v>1825</v>
      </c>
      <c r="L2918" s="1" t="str">
        <f>总规划!L322</f>
        <v>1战役币</v>
      </c>
      <c r="M2918" s="1">
        <f ca="1">总规划!P323</f>
        <v>912.5</v>
      </c>
      <c r="N2918" s="1">
        <f ca="1">总规划!Q323</f>
        <v>912.5</v>
      </c>
      <c r="O2918" s="1" t="str">
        <f>总规划!R323</f>
        <v>1空战币</v>
      </c>
      <c r="S2918" s="29"/>
    </row>
    <row r="2919" spans="2:19">
      <c r="B2919" s="1" t="str">
        <f>总规划!B324</f>
        <v>银随机空军配件图纸宝箱</v>
      </c>
      <c r="C2919" s="1" t="str">
        <f>总规划!C324</f>
        <v>1个</v>
      </c>
      <c r="D2919" s="1">
        <f ca="1">总规划!D324</f>
        <v>0.45625</v>
      </c>
      <c r="E2919" s="1">
        <f ca="1">总规划!E324</f>
        <v>547.5</v>
      </c>
      <c r="F2919" s="1">
        <f ca="1">总规划!F324</f>
        <v>1095</v>
      </c>
      <c r="G2919" s="1">
        <f ca="1">总规划!G324</f>
        <v>1.095</v>
      </c>
      <c r="H2919" s="1">
        <f ca="1">总规划!H324</f>
        <v>1.095</v>
      </c>
      <c r="I2919" s="1" t="str">
        <f>总规划!I324</f>
        <v>1M资源</v>
      </c>
      <c r="J2919" s="1">
        <f ca="1">总规划!J324</f>
        <v>456.25</v>
      </c>
      <c r="K2919" s="1">
        <f ca="1">总规划!K324</f>
        <v>456.25</v>
      </c>
      <c r="L2919" s="1" t="str">
        <f>总规划!L323</f>
        <v>1战役币</v>
      </c>
      <c r="M2919" s="1">
        <f ca="1">总规划!P324</f>
        <v>228.125</v>
      </c>
      <c r="N2919" s="1">
        <f ca="1">总规划!Q324</f>
        <v>228.125</v>
      </c>
      <c r="O2919" s="1" t="str">
        <f>总规划!R324</f>
        <v>1空战币</v>
      </c>
      <c r="S2919" s="29"/>
    </row>
    <row r="2920" spans="2:19">
      <c r="B2920" s="1" t="str">
        <f>总规划!B325</f>
        <v>金随机战斗机配件图纸宝箱</v>
      </c>
      <c r="C2920" s="1" t="str">
        <f>总规划!C325</f>
        <v>1个</v>
      </c>
      <c r="D2920" s="1">
        <f ca="1">总规划!D325</f>
        <v>14.75</v>
      </c>
      <c r="E2920" s="1">
        <f ca="1">总规划!E325</f>
        <v>17700</v>
      </c>
      <c r="F2920" s="1">
        <f ca="1">总规划!F325</f>
        <v>35400</v>
      </c>
      <c r="G2920" s="1">
        <f ca="1">总规划!G325</f>
        <v>35.4</v>
      </c>
      <c r="H2920" s="1">
        <f ca="1">总规划!H325</f>
        <v>35.4</v>
      </c>
      <c r="I2920" s="1" t="str">
        <f>总规划!I325</f>
        <v>1M资源</v>
      </c>
      <c r="J2920" s="1">
        <f ca="1">总规划!J325</f>
        <v>14750</v>
      </c>
      <c r="K2920" s="1">
        <f ca="1">总规划!K325</f>
        <v>14750</v>
      </c>
      <c r="L2920" s="1" t="str">
        <f>总规划!L324</f>
        <v>1战役币</v>
      </c>
      <c r="M2920" s="1">
        <f ca="1">总规划!P325</f>
        <v>7375</v>
      </c>
      <c r="N2920" s="1">
        <f ca="1">总规划!Q325</f>
        <v>7375</v>
      </c>
      <c r="O2920" s="1" t="str">
        <f>总规划!R325</f>
        <v>1空战币</v>
      </c>
      <c r="S2920" s="29"/>
    </row>
    <row r="2921" spans="2:19">
      <c r="B2921" s="1" t="str">
        <f>总规划!B326</f>
        <v>金随机攻击机配件图纸宝箱</v>
      </c>
      <c r="C2921" s="1" t="str">
        <f>总规划!C326</f>
        <v>1个</v>
      </c>
      <c r="D2921" s="1">
        <f ca="1">总规划!D326</f>
        <v>14.75</v>
      </c>
      <c r="E2921" s="1">
        <f ca="1">总规划!E326</f>
        <v>17700</v>
      </c>
      <c r="F2921" s="1">
        <f ca="1">总规划!F326</f>
        <v>35400</v>
      </c>
      <c r="G2921" s="1">
        <f ca="1">总规划!G326</f>
        <v>35.4</v>
      </c>
      <c r="H2921" s="1">
        <f ca="1">总规划!H326</f>
        <v>35.4</v>
      </c>
      <c r="I2921" s="1" t="str">
        <f>总规划!I326</f>
        <v>1M资源</v>
      </c>
      <c r="J2921" s="1">
        <f ca="1">总规划!J326</f>
        <v>14750</v>
      </c>
      <c r="K2921" s="1">
        <f ca="1">总规划!K326</f>
        <v>14750</v>
      </c>
      <c r="L2921" s="1" t="str">
        <f>总规划!L325</f>
        <v>1战役币</v>
      </c>
      <c r="M2921" s="1">
        <f ca="1">总规划!P326</f>
        <v>7375</v>
      </c>
      <c r="N2921" s="1">
        <f ca="1">总规划!Q326</f>
        <v>7375</v>
      </c>
      <c r="O2921" s="1" t="str">
        <f>总规划!R326</f>
        <v>1空战币</v>
      </c>
      <c r="S2921" s="29"/>
    </row>
    <row r="2922" spans="2:19">
      <c r="B2922" s="1" t="str">
        <f>总规划!B327</f>
        <v>金随机战术轰炸机配件图纸宝箱</v>
      </c>
      <c r="C2922" s="1" t="str">
        <f>总规划!C327</f>
        <v>1个</v>
      </c>
      <c r="D2922" s="1">
        <f ca="1">总规划!D327</f>
        <v>29.5</v>
      </c>
      <c r="E2922" s="1">
        <f ca="1">总规划!E327</f>
        <v>35400</v>
      </c>
      <c r="F2922" s="1">
        <f ca="1">总规划!F327</f>
        <v>70800</v>
      </c>
      <c r="G2922" s="1">
        <f ca="1">总规划!G327</f>
        <v>70.8</v>
      </c>
      <c r="H2922" s="1">
        <f ca="1">总规划!H327</f>
        <v>70.8</v>
      </c>
      <c r="I2922" s="1" t="str">
        <f>总规划!I327</f>
        <v>1M资源</v>
      </c>
      <c r="J2922" s="1">
        <f ca="1">总规划!J327</f>
        <v>29500</v>
      </c>
      <c r="K2922" s="1">
        <f ca="1">总规划!K327</f>
        <v>29500</v>
      </c>
      <c r="L2922" s="1" t="str">
        <f>总规划!L326</f>
        <v>1战役币</v>
      </c>
      <c r="M2922" s="1">
        <f ca="1">总规划!P327</f>
        <v>14750</v>
      </c>
      <c r="N2922" s="1">
        <f ca="1">总规划!Q327</f>
        <v>14750</v>
      </c>
      <c r="O2922" s="1" t="str">
        <f>总规划!R327</f>
        <v>1空战币</v>
      </c>
      <c r="S2922" s="29"/>
    </row>
    <row r="2923" spans="2:19">
      <c r="B2923" s="1" t="str">
        <f>总规划!B328</f>
        <v>金随机战略轰炸机配件图纸宝箱</v>
      </c>
      <c r="C2923" s="1" t="str">
        <f>总规划!C328</f>
        <v>1个</v>
      </c>
      <c r="D2923" s="1">
        <f ca="1">总规划!D328</f>
        <v>29.5</v>
      </c>
      <c r="E2923" s="1">
        <f ca="1">总规划!E328</f>
        <v>35400</v>
      </c>
      <c r="F2923" s="1">
        <f ca="1">总规划!F328</f>
        <v>70800</v>
      </c>
      <c r="G2923" s="1">
        <f ca="1">总规划!G328</f>
        <v>70.8</v>
      </c>
      <c r="H2923" s="1">
        <f ca="1">总规划!H328</f>
        <v>70.8</v>
      </c>
      <c r="I2923" s="1" t="str">
        <f>总规划!I328</f>
        <v>1M资源</v>
      </c>
      <c r="J2923" s="1">
        <f ca="1">总规划!J328</f>
        <v>29500</v>
      </c>
      <c r="K2923" s="1">
        <f ca="1">总规划!K328</f>
        <v>29500</v>
      </c>
      <c r="L2923" s="1" t="str">
        <f>总规划!L327</f>
        <v>1战役币</v>
      </c>
      <c r="M2923" s="1">
        <f ca="1">总规划!P328</f>
        <v>14750</v>
      </c>
      <c r="N2923" s="1">
        <f ca="1">总规划!Q328</f>
        <v>14750</v>
      </c>
      <c r="O2923" s="1" t="str">
        <f>总规划!R328</f>
        <v>1空战币</v>
      </c>
      <c r="S2923" s="29"/>
    </row>
    <row r="2924" spans="2:19">
      <c r="B2924" s="1" t="str">
        <f>总规划!B329</f>
        <v>金随机空军配件图纸宝箱</v>
      </c>
      <c r="C2924" s="1" t="str">
        <f>总规划!C329</f>
        <v>1个</v>
      </c>
      <c r="D2924" s="1">
        <f ca="1">总规划!D329</f>
        <v>7.375</v>
      </c>
      <c r="E2924" s="1">
        <f ca="1">总规划!E329</f>
        <v>8850</v>
      </c>
      <c r="F2924" s="1">
        <f ca="1">总规划!F329</f>
        <v>17700</v>
      </c>
      <c r="G2924" s="1">
        <f ca="1">总规划!G329</f>
        <v>17.7</v>
      </c>
      <c r="H2924" s="1">
        <f ca="1">总规划!H329</f>
        <v>17.7</v>
      </c>
      <c r="I2924" s="1" t="str">
        <f>总规划!I329</f>
        <v>1M资源</v>
      </c>
      <c r="J2924" s="1">
        <f ca="1">总规划!J329</f>
        <v>7375</v>
      </c>
      <c r="K2924" s="1">
        <f ca="1">总规划!K329</f>
        <v>7375</v>
      </c>
      <c r="L2924" s="1" t="str">
        <f>总规划!L328</f>
        <v>1战役币</v>
      </c>
      <c r="M2924" s="1">
        <f ca="1">总规划!P329</f>
        <v>3687.5</v>
      </c>
      <c r="N2924" s="1">
        <f ca="1">总规划!Q329</f>
        <v>3687.5</v>
      </c>
      <c r="O2924" s="1" t="str">
        <f>总规划!R329</f>
        <v>1空战币</v>
      </c>
      <c r="S2924" s="29"/>
    </row>
    <row r="2925" spans="2:19">
      <c r="B2925" s="1" t="str">
        <f>总规划!B330</f>
        <v>金+随机战斗机配件图纸宝箱</v>
      </c>
      <c r="C2925" s="1" t="str">
        <f>总规划!C330</f>
        <v>1个</v>
      </c>
      <c r="D2925" s="1">
        <f ca="1">总规划!D330</f>
        <v>14.75</v>
      </c>
      <c r="E2925" s="1">
        <f ca="1">总规划!E330</f>
        <v>17700</v>
      </c>
      <c r="F2925" s="1">
        <f ca="1">总规划!F330</f>
        <v>35400</v>
      </c>
      <c r="G2925" s="1">
        <f ca="1">总规划!G330</f>
        <v>35.4</v>
      </c>
      <c r="H2925" s="1">
        <f ca="1">总规划!H330</f>
        <v>35.4</v>
      </c>
      <c r="I2925" s="1" t="str">
        <f>总规划!I330</f>
        <v>1M资源</v>
      </c>
      <c r="J2925" s="1">
        <f ca="1">总规划!J330</f>
        <v>14750</v>
      </c>
      <c r="K2925" s="1">
        <f ca="1">总规划!K330</f>
        <v>14750</v>
      </c>
      <c r="L2925" s="1" t="str">
        <f>总规划!L329</f>
        <v>1战役币</v>
      </c>
      <c r="M2925" s="1">
        <f ca="1">总规划!P330</f>
        <v>7375</v>
      </c>
      <c r="N2925" s="1">
        <f ca="1">总规划!Q330</f>
        <v>7375</v>
      </c>
      <c r="O2925" s="1" t="str">
        <f>总规划!R330</f>
        <v>1空战币</v>
      </c>
      <c r="S2925" s="29"/>
    </row>
    <row r="2926" spans="2:19">
      <c r="B2926" s="1" t="str">
        <f>总规划!B331</f>
        <v>金+随机攻击机配件图纸宝箱</v>
      </c>
      <c r="C2926" s="1" t="str">
        <f>总规划!C331</f>
        <v>1个</v>
      </c>
      <c r="D2926" s="1">
        <f ca="1">总规划!D331</f>
        <v>14.75</v>
      </c>
      <c r="E2926" s="1">
        <f ca="1">总规划!E331</f>
        <v>17700</v>
      </c>
      <c r="F2926" s="1">
        <f ca="1">总规划!F331</f>
        <v>35400</v>
      </c>
      <c r="G2926" s="1">
        <f ca="1">总规划!G331</f>
        <v>35.4</v>
      </c>
      <c r="H2926" s="1">
        <f ca="1">总规划!H331</f>
        <v>35.4</v>
      </c>
      <c r="I2926" s="1" t="str">
        <f>总规划!I331</f>
        <v>1M资源</v>
      </c>
      <c r="J2926" s="1">
        <f ca="1">总规划!J331</f>
        <v>14750</v>
      </c>
      <c r="K2926" s="1">
        <f ca="1">总规划!K331</f>
        <v>14750</v>
      </c>
      <c r="L2926" s="1" t="str">
        <f>总规划!L330</f>
        <v>1战役币</v>
      </c>
      <c r="M2926" s="1">
        <f ca="1">总规划!P331</f>
        <v>7375</v>
      </c>
      <c r="N2926" s="1">
        <f ca="1">总规划!Q331</f>
        <v>7375</v>
      </c>
      <c r="O2926" s="1" t="str">
        <f>总规划!R331</f>
        <v>1空战币</v>
      </c>
      <c r="S2926" s="29"/>
    </row>
    <row r="2927" spans="2:19">
      <c r="B2927" s="1" t="str">
        <f>总规划!B332</f>
        <v>金+随机战术轰炸机配件图纸宝箱</v>
      </c>
      <c r="C2927" s="1" t="str">
        <f>总规划!C332</f>
        <v>1个</v>
      </c>
      <c r="D2927" s="1">
        <f ca="1">总规划!D332</f>
        <v>29.5</v>
      </c>
      <c r="E2927" s="1">
        <f ca="1">总规划!E332</f>
        <v>35400</v>
      </c>
      <c r="F2927" s="1">
        <f ca="1">总规划!F332</f>
        <v>70800</v>
      </c>
      <c r="G2927" s="1">
        <f ca="1">总规划!G332</f>
        <v>70.8</v>
      </c>
      <c r="H2927" s="1">
        <f ca="1">总规划!H332</f>
        <v>70.8</v>
      </c>
      <c r="I2927" s="1" t="str">
        <f>总规划!I332</f>
        <v>1M资源</v>
      </c>
      <c r="J2927" s="1">
        <f ca="1">总规划!J332</f>
        <v>29500</v>
      </c>
      <c r="K2927" s="1">
        <f ca="1">总规划!K332</f>
        <v>29500</v>
      </c>
      <c r="L2927" s="1" t="str">
        <f>总规划!L331</f>
        <v>1战役币</v>
      </c>
      <c r="M2927" s="1">
        <f ca="1">总规划!P332</f>
        <v>14750</v>
      </c>
      <c r="N2927" s="1">
        <f ca="1">总规划!Q332</f>
        <v>14750</v>
      </c>
      <c r="O2927" s="1" t="str">
        <f>总规划!R332</f>
        <v>1空战币</v>
      </c>
      <c r="S2927" s="29"/>
    </row>
    <row r="2928" spans="2:19">
      <c r="B2928" s="1" t="str">
        <f>总规划!B333</f>
        <v>金+随机战略轰炸机配件图纸宝箱</v>
      </c>
      <c r="C2928" s="1" t="str">
        <f>总规划!C333</f>
        <v>1个</v>
      </c>
      <c r="D2928" s="1">
        <f ca="1">总规划!D333</f>
        <v>29.5</v>
      </c>
      <c r="E2928" s="1">
        <f ca="1">总规划!E333</f>
        <v>35400</v>
      </c>
      <c r="F2928" s="1">
        <f ca="1">总规划!F333</f>
        <v>70800</v>
      </c>
      <c r="G2928" s="1">
        <f ca="1">总规划!G333</f>
        <v>70.8</v>
      </c>
      <c r="H2928" s="1">
        <f ca="1">总规划!H333</f>
        <v>70.8</v>
      </c>
      <c r="I2928" s="1" t="str">
        <f>总规划!I333</f>
        <v>1M资源</v>
      </c>
      <c r="J2928" s="1">
        <f ca="1">总规划!J333</f>
        <v>29500</v>
      </c>
      <c r="K2928" s="1">
        <f ca="1">总规划!K333</f>
        <v>29500</v>
      </c>
      <c r="L2928" s="1" t="str">
        <f>总规划!L332</f>
        <v>1战役币</v>
      </c>
      <c r="M2928" s="1">
        <f ca="1">总规划!P333</f>
        <v>14750</v>
      </c>
      <c r="N2928" s="1">
        <f ca="1">总规划!Q333</f>
        <v>14750</v>
      </c>
      <c r="O2928" s="1" t="str">
        <f>总规划!R333</f>
        <v>1空战币</v>
      </c>
      <c r="S2928" s="29"/>
    </row>
    <row r="2929" spans="2:19">
      <c r="B2929" s="1" t="str">
        <f>总规划!B334</f>
        <v>金+随机空军配件图纸宝箱</v>
      </c>
      <c r="C2929" s="1" t="str">
        <f>总规划!C334</f>
        <v>1个</v>
      </c>
      <c r="D2929" s="1">
        <f ca="1">总规划!D334</f>
        <v>7.375</v>
      </c>
      <c r="E2929" s="1">
        <f ca="1">总规划!E334</f>
        <v>8850</v>
      </c>
      <c r="F2929" s="1">
        <f ca="1">总规划!F334</f>
        <v>17700</v>
      </c>
      <c r="G2929" s="1">
        <f ca="1">总规划!G334</f>
        <v>17.7</v>
      </c>
      <c r="H2929" s="1">
        <f ca="1">总规划!H334</f>
        <v>17.7</v>
      </c>
      <c r="I2929" s="1" t="str">
        <f>总规划!I334</f>
        <v>1M资源</v>
      </c>
      <c r="J2929" s="1">
        <f ca="1">总规划!J334</f>
        <v>7375</v>
      </c>
      <c r="K2929" s="1">
        <f ca="1">总规划!K334</f>
        <v>7375</v>
      </c>
      <c r="L2929" s="1" t="str">
        <f>总规划!L333</f>
        <v>1战役币</v>
      </c>
      <c r="M2929" s="1">
        <f ca="1">总规划!P334</f>
        <v>3687.5</v>
      </c>
      <c r="N2929" s="1">
        <f ca="1">总规划!Q334</f>
        <v>3687.5</v>
      </c>
      <c r="O2929" s="1" t="str">
        <f>总规划!R334</f>
        <v>1空战币</v>
      </c>
      <c r="S2929" s="29"/>
    </row>
    <row r="2930" spans="2:19">
      <c r="B2930" s="1" t="str">
        <f>总规划!B335</f>
        <v>联盟币</v>
      </c>
      <c r="C2930" s="1" t="str">
        <f>总规划!C335</f>
        <v>1k联盟币</v>
      </c>
      <c r="D2930" s="1">
        <f>总规划!D335</f>
        <v>2.5</v>
      </c>
      <c r="E2930" s="1">
        <f>总规划!E335</f>
        <v>3000</v>
      </c>
      <c r="F2930" s="1">
        <f>总规划!F335</f>
        <v>6000</v>
      </c>
      <c r="G2930" s="1">
        <f>总规划!G335</f>
        <v>6</v>
      </c>
      <c r="H2930" s="1">
        <f>总规划!H335</f>
        <v>6</v>
      </c>
      <c r="I2930" s="1" t="str">
        <f>总规划!I335</f>
        <v>1M资源</v>
      </c>
      <c r="J2930" s="1">
        <f>总规划!J335</f>
        <v>2500</v>
      </c>
      <c r="K2930" s="1">
        <f>总规划!K335</f>
        <v>2500</v>
      </c>
      <c r="L2930" s="1" t="str">
        <f>总规划!L319</f>
        <v>1战役币</v>
      </c>
      <c r="M2930" s="1">
        <f>总规划!P335</f>
        <v>1250</v>
      </c>
      <c r="N2930" s="1">
        <f>总规划!Q335</f>
        <v>1250</v>
      </c>
      <c r="O2930" s="1" t="str">
        <f>总规划!R335</f>
        <v>1空战币</v>
      </c>
      <c r="S2930" s="29"/>
    </row>
    <row r="2932" spans="2:12">
      <c r="B2932" s="27" t="s">
        <v>1526</v>
      </c>
      <c r="C2932" s="27"/>
      <c r="D2932" s="27"/>
      <c r="E2932" s="27"/>
      <c r="F2932" s="27"/>
      <c r="G2932" s="27"/>
      <c r="H2932" s="27"/>
      <c r="I2932" s="27"/>
      <c r="J2932" s="27"/>
      <c r="K2932" s="27"/>
      <c r="L2932" s="27"/>
    </row>
    <row r="2934" spans="2:22">
      <c r="B2934" s="4" t="s">
        <v>1527</v>
      </c>
      <c r="E2934" s="4" t="s">
        <v>607</v>
      </c>
      <c r="F2934" s="4"/>
      <c r="G2934" s="4"/>
      <c r="H2934" s="6" t="s">
        <v>1528</v>
      </c>
      <c r="I2934" s="4" t="s">
        <v>1529</v>
      </c>
      <c r="J2934" s="5" t="s">
        <v>1530</v>
      </c>
      <c r="K2934" s="92" t="s">
        <v>1493</v>
      </c>
      <c r="L2934" s="60" t="s">
        <v>1531</v>
      </c>
      <c r="M2934" s="60" t="s">
        <v>1532</v>
      </c>
      <c r="N2934" s="30" t="s">
        <v>1514</v>
      </c>
      <c r="O2934" s="6" t="s">
        <v>1533</v>
      </c>
      <c r="P2934" s="1" t="s">
        <v>594</v>
      </c>
      <c r="Q2934" s="1" t="s">
        <v>595</v>
      </c>
      <c r="R2934" s="1" t="s">
        <v>1534</v>
      </c>
      <c r="S2934" s="4" t="s">
        <v>1378</v>
      </c>
      <c r="T2934" s="6" t="s">
        <v>1535</v>
      </c>
      <c r="U2934" s="1" t="s">
        <v>1536</v>
      </c>
      <c r="V2934" s="1" t="s">
        <v>1537</v>
      </c>
    </row>
    <row r="2935" spans="2:22">
      <c r="B2935" s="4" t="s">
        <v>1538</v>
      </c>
      <c r="E2935" s="4" t="s">
        <v>1539</v>
      </c>
      <c r="H2935" s="6">
        <v>10000</v>
      </c>
      <c r="I2935" s="4" t="str">
        <f t="shared" ref="I2935:I2967" si="766">IF(O2935&gt;-0.5,"purple","yellow")</f>
        <v>yellow</v>
      </c>
      <c r="J2935" s="105">
        <f t="shared" ref="J2935:J2954" si="767">P2935/S2935</f>
        <v>5</v>
      </c>
      <c r="K2935" s="106">
        <v>0</v>
      </c>
      <c r="L2935" s="69">
        <v>1</v>
      </c>
      <c r="M2935" s="69" t="s">
        <v>479</v>
      </c>
      <c r="N2935" s="30" t="s">
        <v>1515</v>
      </c>
      <c r="O2935" s="6">
        <v>-0.8</v>
      </c>
      <c r="P2935" s="1">
        <v>25</v>
      </c>
      <c r="Q2935" s="1">
        <v>25</v>
      </c>
      <c r="R2935" s="1">
        <f t="shared" ref="R2935:R2939" si="768">Q2935*(1+O2935)</f>
        <v>5</v>
      </c>
      <c r="S2935" s="4">
        <f>_xlfn.FLOOR.MATH(R2935,5)</f>
        <v>5</v>
      </c>
      <c r="T2935" s="6">
        <v>20</v>
      </c>
      <c r="U2935" s="1">
        <f t="shared" ref="U2935:U2954" si="769">T2935*H2935</f>
        <v>200000</v>
      </c>
      <c r="V2935" s="1">
        <f t="shared" ref="V2935:V2945" si="770">T2935*S2935</f>
        <v>100</v>
      </c>
    </row>
    <row r="2936" spans="2:22">
      <c r="B2936" s="4" t="s">
        <v>1540</v>
      </c>
      <c r="E2936" s="4" t="s">
        <v>1541</v>
      </c>
      <c r="H2936" s="6">
        <v>60</v>
      </c>
      <c r="I2936" s="4" t="str">
        <f t="shared" ref="I2936:I2939" si="771">IF(O2936&gt;-0.5,"purple","yellow")</f>
        <v>yellow</v>
      </c>
      <c r="J2936" s="105">
        <f t="shared" ref="J2936:J2939" si="772">P2936/S2936</f>
        <v>5</v>
      </c>
      <c r="K2936" s="106">
        <v>0</v>
      </c>
      <c r="L2936" s="69">
        <v>2</v>
      </c>
      <c r="M2936" s="69" t="s">
        <v>379</v>
      </c>
      <c r="N2936" s="30" t="s">
        <v>1515</v>
      </c>
      <c r="O2936" s="6">
        <v>-0.8</v>
      </c>
      <c r="P2936" s="1">
        <v>225</v>
      </c>
      <c r="Q2936" s="1">
        <v>225</v>
      </c>
      <c r="R2936" s="1">
        <f t="shared" si="768"/>
        <v>45</v>
      </c>
      <c r="S2936" s="4">
        <f>_xlfn.FLOOR.MATH(R2936,5)</f>
        <v>45</v>
      </c>
      <c r="T2936" s="6">
        <v>50</v>
      </c>
      <c r="U2936" s="1">
        <f t="shared" ref="U2936:U2939" si="773">T2936*H2936</f>
        <v>3000</v>
      </c>
      <c r="V2936" s="1">
        <f t="shared" si="770"/>
        <v>2250</v>
      </c>
    </row>
    <row r="2937" spans="2:22">
      <c r="B2937" s="4" t="s">
        <v>1542</v>
      </c>
      <c r="E2937" s="4" t="s">
        <v>1543</v>
      </c>
      <c r="H2937" s="6">
        <v>1</v>
      </c>
      <c r="I2937" s="4" t="str">
        <f t="shared" si="771"/>
        <v>purple</v>
      </c>
      <c r="J2937" s="105">
        <f t="shared" si="772"/>
        <v>1.04166666666667</v>
      </c>
      <c r="K2937" s="106">
        <v>0</v>
      </c>
      <c r="L2937" s="69"/>
      <c r="M2937" s="69" t="s">
        <v>476</v>
      </c>
      <c r="N2937" s="30"/>
      <c r="O2937" s="6"/>
      <c r="P2937" s="1">
        <v>20.8333333333333</v>
      </c>
      <c r="Q2937" s="1">
        <v>20.8333333333333</v>
      </c>
      <c r="R2937" s="1">
        <f t="shared" si="768"/>
        <v>20.8333333333333</v>
      </c>
      <c r="S2937" s="4">
        <f>_xlfn.FLOOR.MATH(R2937,5)</f>
        <v>20</v>
      </c>
      <c r="T2937" s="6"/>
      <c r="U2937" s="1">
        <f t="shared" si="773"/>
        <v>0</v>
      </c>
      <c r="V2937" s="1">
        <f t="shared" si="770"/>
        <v>0</v>
      </c>
    </row>
    <row r="2938" spans="2:22">
      <c r="B2938" s="4" t="s">
        <v>1544</v>
      </c>
      <c r="E2938" s="4" t="s">
        <v>1545</v>
      </c>
      <c r="H2938" s="6">
        <v>1</v>
      </c>
      <c r="I2938" s="4" t="str">
        <f t="shared" si="771"/>
        <v>purple</v>
      </c>
      <c r="J2938" s="105">
        <f t="shared" si="772"/>
        <v>1.04166666666667</v>
      </c>
      <c r="K2938" s="106">
        <v>0</v>
      </c>
      <c r="L2938" s="69"/>
      <c r="M2938" s="69" t="s">
        <v>476</v>
      </c>
      <c r="N2938" s="30"/>
      <c r="O2938" s="6"/>
      <c r="P2938" s="1">
        <v>20.8333333333333</v>
      </c>
      <c r="Q2938" s="1">
        <v>20.8333333333333</v>
      </c>
      <c r="R2938" s="1">
        <f t="shared" si="768"/>
        <v>20.8333333333333</v>
      </c>
      <c r="S2938" s="4">
        <f>_xlfn.FLOOR.MATH(R2938,5)</f>
        <v>20</v>
      </c>
      <c r="T2938" s="6"/>
      <c r="U2938" s="1">
        <f t="shared" si="773"/>
        <v>0</v>
      </c>
      <c r="V2938" s="1">
        <f t="shared" si="770"/>
        <v>0</v>
      </c>
    </row>
    <row r="2939" spans="2:22">
      <c r="B2939" s="4" t="s">
        <v>1546</v>
      </c>
      <c r="E2939" s="4" t="s">
        <v>1547</v>
      </c>
      <c r="H2939" s="6">
        <v>1</v>
      </c>
      <c r="I2939" s="4" t="str">
        <f t="shared" si="771"/>
        <v>purple</v>
      </c>
      <c r="J2939" s="105">
        <f t="shared" si="772"/>
        <v>1.04166666666667</v>
      </c>
      <c r="K2939" s="106">
        <v>0</v>
      </c>
      <c r="L2939" s="69"/>
      <c r="M2939" s="69" t="s">
        <v>476</v>
      </c>
      <c r="N2939" s="30"/>
      <c r="O2939" s="6"/>
      <c r="P2939" s="1">
        <v>20.8333333333333</v>
      </c>
      <c r="Q2939" s="1">
        <v>20.8333333333333</v>
      </c>
      <c r="R2939" s="1">
        <f t="shared" si="768"/>
        <v>20.8333333333333</v>
      </c>
      <c r="S2939" s="4">
        <f>_xlfn.FLOOR.MATH(R2939,5)</f>
        <v>20</v>
      </c>
      <c r="T2939" s="6"/>
      <c r="U2939" s="1">
        <f t="shared" si="773"/>
        <v>0</v>
      </c>
      <c r="V2939" s="1">
        <f t="shared" si="770"/>
        <v>0</v>
      </c>
    </row>
    <row r="2940" spans="2:22">
      <c r="B2940" s="4" t="s">
        <v>1548</v>
      </c>
      <c r="E2940" s="4" t="s">
        <v>1549</v>
      </c>
      <c r="H2940" s="6">
        <v>50</v>
      </c>
      <c r="I2940" s="4" t="str">
        <f t="shared" si="766"/>
        <v>yellow</v>
      </c>
      <c r="J2940" s="105">
        <f t="shared" si="767"/>
        <v>5.20833333333333</v>
      </c>
      <c r="K2940" s="106">
        <v>1</v>
      </c>
      <c r="L2940" s="69">
        <v>3</v>
      </c>
      <c r="M2940" s="69" t="s">
        <v>483</v>
      </c>
      <c r="N2940" s="30" t="s">
        <v>1515</v>
      </c>
      <c r="O2940" s="6">
        <v>-0.8</v>
      </c>
      <c r="P2940" s="1">
        <v>104.166666666667</v>
      </c>
      <c r="Q2940" s="1">
        <v>104.166666666667</v>
      </c>
      <c r="R2940" s="1">
        <f t="shared" ref="R2940:R2954" si="774">Q2940*(1+O2940)</f>
        <v>20.8333333333333</v>
      </c>
      <c r="S2940" s="4">
        <f>_xlfn.FLOOR.MATH(R2940,5)</f>
        <v>20</v>
      </c>
      <c r="T2940" s="6">
        <v>7</v>
      </c>
      <c r="U2940" s="1">
        <f t="shared" si="769"/>
        <v>350</v>
      </c>
      <c r="V2940" s="1">
        <f t="shared" si="770"/>
        <v>140</v>
      </c>
    </row>
    <row r="2941" spans="2:22">
      <c r="B2941" s="4" t="s">
        <v>1550</v>
      </c>
      <c r="E2941" s="4" t="s">
        <v>1551</v>
      </c>
      <c r="H2941" s="6">
        <v>50</v>
      </c>
      <c r="I2941" s="4" t="str">
        <f t="shared" ref="I2941" si="775">IF(O2941&gt;-0.5,"purple","yellow")</f>
        <v>yellow</v>
      </c>
      <c r="J2941" s="105">
        <f t="shared" ref="J2941" si="776">P2941/S2941</f>
        <v>5.20833333333333</v>
      </c>
      <c r="K2941" s="106">
        <v>1</v>
      </c>
      <c r="L2941" s="69">
        <v>3</v>
      </c>
      <c r="M2941" s="69" t="s">
        <v>483</v>
      </c>
      <c r="N2941" s="30" t="s">
        <v>1515</v>
      </c>
      <c r="O2941" s="6">
        <v>-0.8</v>
      </c>
      <c r="P2941" s="1">
        <v>104.166666666667</v>
      </c>
      <c r="Q2941" s="1">
        <v>104.166666666667</v>
      </c>
      <c r="R2941" s="1">
        <f t="shared" ref="R2941" si="777">Q2941*(1+O2941)</f>
        <v>20.8333333333333</v>
      </c>
      <c r="S2941" s="4">
        <f>_xlfn.FLOOR.MATH(R2941,5)</f>
        <v>20</v>
      </c>
      <c r="T2941" s="6">
        <v>7</v>
      </c>
      <c r="U2941" s="1">
        <f t="shared" ref="U2941" si="778">T2941*H2941</f>
        <v>350</v>
      </c>
      <c r="V2941" s="1">
        <f t="shared" ref="V2941" si="779">T2941*S2941</f>
        <v>140</v>
      </c>
    </row>
    <row r="2942" spans="2:22">
      <c r="B2942" s="4" t="s">
        <v>1552</v>
      </c>
      <c r="E2942" s="4" t="s">
        <v>1553</v>
      </c>
      <c r="H2942" s="6">
        <v>50</v>
      </c>
      <c r="I2942" s="4" t="str">
        <f t="shared" ref="I2942" si="780">IF(O2942&gt;-0.5,"purple","yellow")</f>
        <v>yellow</v>
      </c>
      <c r="J2942" s="105">
        <f t="shared" ref="J2942" si="781">P2942/S2942</f>
        <v>5.20833333333333</v>
      </c>
      <c r="K2942" s="106">
        <v>1</v>
      </c>
      <c r="L2942" s="69">
        <v>3</v>
      </c>
      <c r="M2942" s="69" t="s">
        <v>483</v>
      </c>
      <c r="N2942" s="30" t="s">
        <v>1515</v>
      </c>
      <c r="O2942" s="6">
        <v>-0.8</v>
      </c>
      <c r="P2942" s="1">
        <v>104.166666666667</v>
      </c>
      <c r="Q2942" s="1">
        <v>104.166666666667</v>
      </c>
      <c r="R2942" s="1">
        <f t="shared" ref="R2942" si="782">Q2942*(1+O2942)</f>
        <v>20.8333333333333</v>
      </c>
      <c r="S2942" s="4">
        <f>_xlfn.FLOOR.MATH(R2942,5)</f>
        <v>20</v>
      </c>
      <c r="T2942" s="6">
        <v>7</v>
      </c>
      <c r="U2942" s="1">
        <f t="shared" ref="U2942" si="783">T2942*H2942</f>
        <v>350</v>
      </c>
      <c r="V2942" s="1">
        <f t="shared" ref="V2942" si="784">T2942*S2942</f>
        <v>140</v>
      </c>
    </row>
    <row r="2943" spans="2:22">
      <c r="B2943" s="4" t="s">
        <v>1554</v>
      </c>
      <c r="E2943" s="4" t="s">
        <v>1555</v>
      </c>
      <c r="H2943" s="6">
        <v>1</v>
      </c>
      <c r="I2943" s="4" t="str">
        <f t="shared" ref="I2943:I2945" si="785">IF(O2943&gt;-0.5,"purple","yellow")</f>
        <v>purple</v>
      </c>
      <c r="J2943" s="105">
        <f t="shared" ref="J2943:J2945" si="786">P2943/S2943</f>
        <v>2.09583333333333</v>
      </c>
      <c r="K2943" s="106">
        <v>1</v>
      </c>
      <c r="L2943" s="69">
        <v>4</v>
      </c>
      <c r="M2943" s="69" t="s">
        <v>63</v>
      </c>
      <c r="N2943" s="30" t="s">
        <v>1516</v>
      </c>
      <c r="O2943" s="6">
        <v>-0.2</v>
      </c>
      <c r="P2943" s="1">
        <v>628.75</v>
      </c>
      <c r="Q2943" s="1">
        <v>375</v>
      </c>
      <c r="R2943" s="1">
        <f t="shared" ref="R2943:R2945" si="787">Q2943*(1+O2943)</f>
        <v>300</v>
      </c>
      <c r="S2943" s="4">
        <f>_xlfn.FLOOR.MATH(R2943,5)</f>
        <v>300</v>
      </c>
      <c r="T2943" s="6">
        <v>7</v>
      </c>
      <c r="U2943" s="1">
        <f t="shared" ref="U2943:U2945" si="788">T2943*H2943</f>
        <v>7</v>
      </c>
      <c r="V2943" s="1">
        <f t="shared" si="770"/>
        <v>2100</v>
      </c>
    </row>
    <row r="2944" spans="2:22">
      <c r="B2944" s="4" t="s">
        <v>1556</v>
      </c>
      <c r="E2944" s="4" t="s">
        <v>1541</v>
      </c>
      <c r="H2944" s="6">
        <v>60</v>
      </c>
      <c r="I2944" s="4" t="str">
        <f t="shared" si="785"/>
        <v>yellow</v>
      </c>
      <c r="J2944" s="105">
        <f t="shared" si="786"/>
        <v>2.04545454545455</v>
      </c>
      <c r="K2944" s="106">
        <v>2</v>
      </c>
      <c r="L2944" s="69">
        <v>6</v>
      </c>
      <c r="M2944" s="69" t="s">
        <v>379</v>
      </c>
      <c r="N2944" s="30" t="s">
        <v>1516</v>
      </c>
      <c r="O2944" s="6">
        <v>-0.5</v>
      </c>
      <c r="P2944" s="1">
        <v>225</v>
      </c>
      <c r="Q2944" s="1">
        <v>225</v>
      </c>
      <c r="R2944" s="1">
        <f t="shared" si="787"/>
        <v>112.5</v>
      </c>
      <c r="S2944" s="4">
        <f>_xlfn.FLOOR.MATH(R2944,5)</f>
        <v>110</v>
      </c>
      <c r="T2944" s="6">
        <v>75</v>
      </c>
      <c r="U2944" s="1">
        <f t="shared" si="788"/>
        <v>4500</v>
      </c>
      <c r="V2944" s="1">
        <f t="shared" si="770"/>
        <v>8250</v>
      </c>
    </row>
    <row r="2945" spans="2:22">
      <c r="B2945" s="4" t="s">
        <v>1557</v>
      </c>
      <c r="E2945" s="4" t="s">
        <v>1541</v>
      </c>
      <c r="H2945" s="6">
        <v>60</v>
      </c>
      <c r="I2945" s="4" t="str">
        <f t="shared" si="785"/>
        <v>purple</v>
      </c>
      <c r="J2945" s="105">
        <f t="shared" si="786"/>
        <v>1</v>
      </c>
      <c r="K2945" s="106">
        <v>2</v>
      </c>
      <c r="L2945" s="69"/>
      <c r="M2945" s="69" t="s">
        <v>379</v>
      </c>
      <c r="N2945" s="30"/>
      <c r="O2945" s="6"/>
      <c r="P2945" s="1">
        <v>225</v>
      </c>
      <c r="Q2945" s="1">
        <v>225</v>
      </c>
      <c r="R2945" s="1">
        <f t="shared" si="787"/>
        <v>225</v>
      </c>
      <c r="S2945" s="4">
        <f>_xlfn.FLOOR.MATH(R2945,5)</f>
        <v>225</v>
      </c>
      <c r="T2945" s="6"/>
      <c r="U2945" s="1">
        <f t="shared" si="788"/>
        <v>0</v>
      </c>
      <c r="V2945" s="1">
        <f t="shared" si="770"/>
        <v>0</v>
      </c>
    </row>
    <row r="2946" spans="2:22">
      <c r="B2946" s="4" t="s">
        <v>1558</v>
      </c>
      <c r="E2946" s="4" t="s">
        <v>1559</v>
      </c>
      <c r="H2946" s="6">
        <v>50</v>
      </c>
      <c r="I2946" s="4" t="str">
        <f t="shared" ref="I2946" si="789">IF(O2946&gt;-0.5,"purple","yellow")</f>
        <v>yellow</v>
      </c>
      <c r="J2946" s="105">
        <f t="shared" ref="J2946" si="790">P2946/S2946</f>
        <v>5.20833333333333</v>
      </c>
      <c r="K2946" s="106">
        <v>2</v>
      </c>
      <c r="L2946" s="69">
        <v>5</v>
      </c>
      <c r="M2946" s="69" t="s">
        <v>483</v>
      </c>
      <c r="N2946" s="30" t="s">
        <v>1515</v>
      </c>
      <c r="O2946" s="6">
        <v>-0.8</v>
      </c>
      <c r="P2946" s="1">
        <v>104.166666666667</v>
      </c>
      <c r="Q2946" s="1">
        <v>104.166666666667</v>
      </c>
      <c r="R2946" s="1">
        <f t="shared" ref="R2946" si="791">Q2946*(1+O2946)</f>
        <v>20.8333333333333</v>
      </c>
      <c r="S2946" s="4">
        <f>_xlfn.FLOOR.MATH(R2946,5)</f>
        <v>20</v>
      </c>
      <c r="T2946" s="6">
        <v>7</v>
      </c>
      <c r="U2946" s="1">
        <f t="shared" ref="U2946" si="792">T2946*H2946</f>
        <v>350</v>
      </c>
      <c r="V2946" s="1">
        <f t="shared" ref="V2946" si="793">T2946*S2946</f>
        <v>140</v>
      </c>
    </row>
    <row r="2947" spans="2:22">
      <c r="B2947" s="4" t="s">
        <v>1560</v>
      </c>
      <c r="E2947" s="4" t="s">
        <v>1561</v>
      </c>
      <c r="H2947" s="6">
        <v>50</v>
      </c>
      <c r="I2947" s="4" t="str">
        <f t="shared" ref="I2947" si="794">IF(O2947&gt;-0.5,"purple","yellow")</f>
        <v>yellow</v>
      </c>
      <c r="J2947" s="105">
        <f t="shared" ref="J2947:J2952" si="795">P2947/S2947</f>
        <v>5.20833333333333</v>
      </c>
      <c r="K2947" s="106">
        <v>2</v>
      </c>
      <c r="L2947" s="69">
        <v>5</v>
      </c>
      <c r="M2947" s="69" t="s">
        <v>483</v>
      </c>
      <c r="N2947" s="30" t="s">
        <v>1515</v>
      </c>
      <c r="O2947" s="6">
        <v>-0.8</v>
      </c>
      <c r="P2947" s="1">
        <v>104.166666666667</v>
      </c>
      <c r="Q2947" s="1">
        <v>104.166666666667</v>
      </c>
      <c r="R2947" s="1">
        <f t="shared" ref="R2947:R2952" si="796">Q2947*(1+O2947)</f>
        <v>20.8333333333333</v>
      </c>
      <c r="S2947" s="4">
        <f>_xlfn.FLOOR.MATH(R2947,5)</f>
        <v>20</v>
      </c>
      <c r="T2947" s="6">
        <v>7</v>
      </c>
      <c r="U2947" s="1">
        <f t="shared" ref="U2947" si="797">T2947*H2947</f>
        <v>350</v>
      </c>
      <c r="V2947" s="1">
        <f t="shared" ref="V2947:V2952" si="798">T2947*S2947</f>
        <v>140</v>
      </c>
    </row>
    <row r="2948" spans="2:22">
      <c r="B2948" s="4" t="s">
        <v>1562</v>
      </c>
      <c r="E2948" s="4" t="s">
        <v>1563</v>
      </c>
      <c r="H2948" s="6">
        <v>1</v>
      </c>
      <c r="I2948" s="4" t="str">
        <f t="shared" ref="I2948:I2952" si="799">IF(O2948&gt;-0.5,"purple","yellow")</f>
        <v>yellow</v>
      </c>
      <c r="J2948" s="105">
        <f t="shared" si="795"/>
        <v>2.00549450549451</v>
      </c>
      <c r="K2948" s="106">
        <v>2</v>
      </c>
      <c r="L2948" s="69"/>
      <c r="M2948" s="69" t="s">
        <v>484</v>
      </c>
      <c r="N2948" s="30"/>
      <c r="O2948" s="6">
        <v>-0.5</v>
      </c>
      <c r="P2948" s="1">
        <v>912.5</v>
      </c>
      <c r="Q2948" s="1">
        <v>912.5</v>
      </c>
      <c r="R2948" s="1">
        <f t="shared" si="796"/>
        <v>456.25</v>
      </c>
      <c r="S2948" s="4">
        <f>_xlfn.FLOOR.MATH(R2948,5)</f>
        <v>455</v>
      </c>
      <c r="T2948" s="6">
        <v>1</v>
      </c>
      <c r="U2948" s="1">
        <f t="shared" ref="U2948:U2952" si="800">T2948*H2948</f>
        <v>1</v>
      </c>
      <c r="V2948" s="1">
        <f t="shared" si="798"/>
        <v>455</v>
      </c>
    </row>
    <row r="2949" spans="2:22">
      <c r="B2949" s="4" t="s">
        <v>1564</v>
      </c>
      <c r="E2949" s="4" t="s">
        <v>1565</v>
      </c>
      <c r="H2949" s="6">
        <v>1</v>
      </c>
      <c r="I2949" s="4" t="str">
        <f t="shared" si="799"/>
        <v>yellow</v>
      </c>
      <c r="J2949" s="105">
        <f t="shared" si="795"/>
        <v>2.00549450549451</v>
      </c>
      <c r="K2949" s="106">
        <v>2</v>
      </c>
      <c r="L2949" s="69"/>
      <c r="M2949" s="69" t="s">
        <v>484</v>
      </c>
      <c r="N2949" s="30"/>
      <c r="O2949" s="6">
        <v>-0.5</v>
      </c>
      <c r="P2949" s="1">
        <v>912.5</v>
      </c>
      <c r="Q2949" s="1">
        <v>912.5</v>
      </c>
      <c r="R2949" s="1">
        <f t="shared" si="796"/>
        <v>456.25</v>
      </c>
      <c r="S2949" s="4">
        <f>_xlfn.FLOOR.MATH(R2949,5)</f>
        <v>455</v>
      </c>
      <c r="T2949" s="6">
        <v>1</v>
      </c>
      <c r="U2949" s="1">
        <f t="shared" si="800"/>
        <v>1</v>
      </c>
      <c r="V2949" s="1">
        <f t="shared" si="798"/>
        <v>455</v>
      </c>
    </row>
    <row r="2950" spans="2:22">
      <c r="B2950" s="4" t="s">
        <v>1566</v>
      </c>
      <c r="E2950" s="4" t="s">
        <v>1567</v>
      </c>
      <c r="H2950" s="6">
        <v>1</v>
      </c>
      <c r="I2950" s="4" t="str">
        <f t="shared" si="799"/>
        <v>yellow</v>
      </c>
      <c r="J2950" s="105">
        <f t="shared" si="795"/>
        <v>2.00549450549451</v>
      </c>
      <c r="K2950" s="106">
        <v>2</v>
      </c>
      <c r="L2950" s="69"/>
      <c r="M2950" s="69" t="s">
        <v>484</v>
      </c>
      <c r="N2950" s="30"/>
      <c r="O2950" s="6">
        <v>-0.5</v>
      </c>
      <c r="P2950" s="1">
        <v>912.5</v>
      </c>
      <c r="Q2950" s="1">
        <v>912.5</v>
      </c>
      <c r="R2950" s="1">
        <f t="shared" si="796"/>
        <v>456.25</v>
      </c>
      <c r="S2950" s="4">
        <f>_xlfn.FLOOR.MATH(R2950,5)</f>
        <v>455</v>
      </c>
      <c r="T2950" s="6">
        <v>1</v>
      </c>
      <c r="U2950" s="1">
        <f t="shared" si="800"/>
        <v>1</v>
      </c>
      <c r="V2950" s="1">
        <f t="shared" si="798"/>
        <v>455</v>
      </c>
    </row>
    <row r="2951" spans="2:22">
      <c r="B2951" s="4" t="s">
        <v>1568</v>
      </c>
      <c r="E2951" s="4" t="s">
        <v>1569</v>
      </c>
      <c r="H2951" s="6">
        <v>1</v>
      </c>
      <c r="I2951" s="4" t="str">
        <f t="shared" si="799"/>
        <v>yellow</v>
      </c>
      <c r="J2951" s="105">
        <f t="shared" si="795"/>
        <v>2.00549450549451</v>
      </c>
      <c r="K2951" s="106">
        <v>2</v>
      </c>
      <c r="L2951" s="69"/>
      <c r="M2951" s="69" t="s">
        <v>484</v>
      </c>
      <c r="N2951" s="30"/>
      <c r="O2951" s="6">
        <v>-0.5</v>
      </c>
      <c r="P2951" s="1">
        <v>912.5</v>
      </c>
      <c r="Q2951" s="1">
        <v>912.5</v>
      </c>
      <c r="R2951" s="1">
        <f t="shared" si="796"/>
        <v>456.25</v>
      </c>
      <c r="S2951" s="4">
        <f>_xlfn.FLOOR.MATH(R2951,5)</f>
        <v>455</v>
      </c>
      <c r="T2951" s="6">
        <v>1</v>
      </c>
      <c r="U2951" s="1">
        <f t="shared" si="800"/>
        <v>1</v>
      </c>
      <c r="V2951" s="1">
        <f t="shared" si="798"/>
        <v>455</v>
      </c>
    </row>
    <row r="2952" spans="2:22">
      <c r="B2952" s="4" t="s">
        <v>1570</v>
      </c>
      <c r="E2952" s="4" t="s">
        <v>1571</v>
      </c>
      <c r="H2952" s="6">
        <v>1</v>
      </c>
      <c r="I2952" s="4" t="str">
        <f t="shared" si="799"/>
        <v>yellow</v>
      </c>
      <c r="J2952" s="105">
        <f t="shared" si="795"/>
        <v>2.00549450549451</v>
      </c>
      <c r="K2952" s="106">
        <v>2</v>
      </c>
      <c r="L2952" s="69"/>
      <c r="M2952" s="69" t="s">
        <v>484</v>
      </c>
      <c r="N2952" s="30"/>
      <c r="O2952" s="6">
        <v>-0.5</v>
      </c>
      <c r="P2952" s="1">
        <v>912.5</v>
      </c>
      <c r="Q2952" s="1">
        <v>912.5</v>
      </c>
      <c r="R2952" s="1">
        <f t="shared" si="796"/>
        <v>456.25</v>
      </c>
      <c r="S2952" s="4">
        <f>_xlfn.FLOOR.MATH(R2952,5)</f>
        <v>455</v>
      </c>
      <c r="T2952" s="6">
        <v>1</v>
      </c>
      <c r="U2952" s="1">
        <f t="shared" si="800"/>
        <v>1</v>
      </c>
      <c r="V2952" s="1">
        <f t="shared" si="798"/>
        <v>455</v>
      </c>
    </row>
    <row r="2953" spans="2:22">
      <c r="B2953" s="4" t="s">
        <v>1572</v>
      </c>
      <c r="E2953" s="4" t="s">
        <v>1573</v>
      </c>
      <c r="H2953" s="6">
        <v>250</v>
      </c>
      <c r="I2953" s="4" t="str">
        <f t="shared" si="766"/>
        <v>yellow</v>
      </c>
      <c r="J2953" s="105">
        <f t="shared" si="767"/>
        <v>2.00320512820513</v>
      </c>
      <c r="K2953" s="106">
        <v>3</v>
      </c>
      <c r="L2953" s="69">
        <v>7</v>
      </c>
      <c r="M2953" s="69" t="s">
        <v>483</v>
      </c>
      <c r="N2953" s="30" t="s">
        <v>1516</v>
      </c>
      <c r="O2953" s="6">
        <v>-0.5</v>
      </c>
      <c r="P2953" s="1">
        <v>520.833333333333</v>
      </c>
      <c r="Q2953" s="1">
        <v>520.833333333333</v>
      </c>
      <c r="R2953" s="1">
        <f t="shared" si="774"/>
        <v>260.416666666667</v>
      </c>
      <c r="S2953" s="4">
        <f>_xlfn.FLOOR.MATH(R2953,5)</f>
        <v>260</v>
      </c>
      <c r="T2953" s="6">
        <v>15</v>
      </c>
      <c r="U2953" s="1">
        <f t="shared" si="769"/>
        <v>3750</v>
      </c>
      <c r="V2953" s="1">
        <f t="shared" ref="V2953" si="801">T2953*S2953</f>
        <v>3900</v>
      </c>
    </row>
    <row r="2954" spans="2:22">
      <c r="B2954" s="4" t="s">
        <v>1574</v>
      </c>
      <c r="E2954" s="4" t="s">
        <v>1573</v>
      </c>
      <c r="H2954" s="6">
        <v>250</v>
      </c>
      <c r="I2954" s="4" t="str">
        <f t="shared" si="766"/>
        <v>purple</v>
      </c>
      <c r="J2954" s="105">
        <f t="shared" si="767"/>
        <v>1.00160256410256</v>
      </c>
      <c r="K2954" s="106">
        <v>3</v>
      </c>
      <c r="L2954" s="69"/>
      <c r="M2954" s="69" t="s">
        <v>483</v>
      </c>
      <c r="N2954" s="30"/>
      <c r="O2954" s="6"/>
      <c r="P2954" s="1">
        <v>520.833333333333</v>
      </c>
      <c r="Q2954" s="1">
        <v>520.833333333333</v>
      </c>
      <c r="R2954" s="1">
        <f t="shared" si="774"/>
        <v>520.833333333333</v>
      </c>
      <c r="S2954" s="4">
        <f>_xlfn.FLOOR.MATH(R2954,5)</f>
        <v>520</v>
      </c>
      <c r="T2954" s="6"/>
      <c r="U2954" s="1">
        <f t="shared" si="769"/>
        <v>0</v>
      </c>
      <c r="V2954" s="1">
        <f t="shared" ref="V2954" si="802">T2954*S2954</f>
        <v>0</v>
      </c>
    </row>
    <row r="2955" spans="2:22">
      <c r="B2955" s="4" t="s">
        <v>1575</v>
      </c>
      <c r="E2955" s="4" t="s">
        <v>1576</v>
      </c>
      <c r="H2955" s="6">
        <v>1</v>
      </c>
      <c r="I2955" s="4" t="str">
        <f t="shared" ref="I2955:I2958" si="803">IF(O2955&gt;-0.5,"purple","yellow")</f>
        <v>yellow</v>
      </c>
      <c r="J2955" s="105">
        <f t="shared" ref="J2955:J2968" si="804">P2955/S2955</f>
        <v>2.00549450549451</v>
      </c>
      <c r="K2955" s="106">
        <v>3</v>
      </c>
      <c r="L2955" s="69"/>
      <c r="M2955" s="69" t="s">
        <v>484</v>
      </c>
      <c r="N2955" s="30"/>
      <c r="O2955" s="6">
        <v>-0.5</v>
      </c>
      <c r="P2955" s="1">
        <v>1825</v>
      </c>
      <c r="Q2955" s="1">
        <v>1825</v>
      </c>
      <c r="R2955" s="1">
        <f t="shared" ref="R2955:R2968" si="805">Q2955*(1+O2955)</f>
        <v>912.5</v>
      </c>
      <c r="S2955" s="4">
        <f>_xlfn.FLOOR.MATH(R2955,5)</f>
        <v>910</v>
      </c>
      <c r="T2955" s="6">
        <v>1</v>
      </c>
      <c r="U2955" s="1">
        <f t="shared" ref="U2955:U2958" si="806">T2955*H2955</f>
        <v>1</v>
      </c>
      <c r="V2955" s="1">
        <f t="shared" ref="V2955:V2968" si="807">T2955*S2955</f>
        <v>910</v>
      </c>
    </row>
    <row r="2956" spans="2:22">
      <c r="B2956" s="4" t="s">
        <v>1577</v>
      </c>
      <c r="E2956" s="4" t="s">
        <v>1578</v>
      </c>
      <c r="H2956" s="6">
        <v>1</v>
      </c>
      <c r="I2956" s="4" t="str">
        <f t="shared" si="803"/>
        <v>yellow</v>
      </c>
      <c r="J2956" s="105">
        <f t="shared" si="804"/>
        <v>2.00549450549451</v>
      </c>
      <c r="K2956" s="106">
        <v>3</v>
      </c>
      <c r="L2956" s="69"/>
      <c r="M2956" s="69" t="s">
        <v>484</v>
      </c>
      <c r="N2956" s="30"/>
      <c r="O2956" s="6">
        <v>-0.5</v>
      </c>
      <c r="P2956" s="1">
        <v>1825</v>
      </c>
      <c r="Q2956" s="1">
        <v>1825</v>
      </c>
      <c r="R2956" s="1">
        <f t="shared" si="805"/>
        <v>912.5</v>
      </c>
      <c r="S2956" s="4">
        <f>_xlfn.FLOOR.MATH(R2956,5)</f>
        <v>910</v>
      </c>
      <c r="T2956" s="6">
        <v>1</v>
      </c>
      <c r="U2956" s="1">
        <f t="shared" si="806"/>
        <v>1</v>
      </c>
      <c r="V2956" s="1">
        <f t="shared" si="807"/>
        <v>910</v>
      </c>
    </row>
    <row r="2957" spans="2:22">
      <c r="B2957" s="4" t="s">
        <v>1579</v>
      </c>
      <c r="E2957" s="4" t="s">
        <v>1580</v>
      </c>
      <c r="H2957" s="6">
        <v>1</v>
      </c>
      <c r="I2957" s="4" t="str">
        <f t="shared" si="803"/>
        <v>yellow</v>
      </c>
      <c r="J2957" s="105">
        <f t="shared" si="804"/>
        <v>2.00549450549451</v>
      </c>
      <c r="K2957" s="106">
        <v>3</v>
      </c>
      <c r="L2957" s="69"/>
      <c r="M2957" s="69" t="s">
        <v>484</v>
      </c>
      <c r="N2957" s="30"/>
      <c r="O2957" s="6">
        <v>-0.5</v>
      </c>
      <c r="P2957" s="1">
        <v>1825</v>
      </c>
      <c r="Q2957" s="1">
        <v>1825</v>
      </c>
      <c r="R2957" s="1">
        <f t="shared" si="805"/>
        <v>912.5</v>
      </c>
      <c r="S2957" s="4">
        <f>_xlfn.FLOOR.MATH(R2957,5)</f>
        <v>910</v>
      </c>
      <c r="T2957" s="6">
        <v>1</v>
      </c>
      <c r="U2957" s="1">
        <f t="shared" si="806"/>
        <v>1</v>
      </c>
      <c r="V2957" s="1">
        <f t="shared" si="807"/>
        <v>910</v>
      </c>
    </row>
    <row r="2958" spans="2:22">
      <c r="B2958" s="4" t="s">
        <v>1581</v>
      </c>
      <c r="E2958" s="4" t="s">
        <v>1582</v>
      </c>
      <c r="H2958" s="6">
        <v>1</v>
      </c>
      <c r="I2958" s="4" t="str">
        <f t="shared" si="803"/>
        <v>yellow</v>
      </c>
      <c r="J2958" s="105">
        <f t="shared" si="804"/>
        <v>2.00549450549451</v>
      </c>
      <c r="K2958" s="106">
        <v>3</v>
      </c>
      <c r="L2958" s="69"/>
      <c r="M2958" s="69" t="s">
        <v>484</v>
      </c>
      <c r="N2958" s="30"/>
      <c r="O2958" s="6">
        <v>-0.5</v>
      </c>
      <c r="P2958" s="1">
        <v>1825</v>
      </c>
      <c r="Q2958" s="1">
        <v>1825</v>
      </c>
      <c r="R2958" s="1">
        <f t="shared" si="805"/>
        <v>912.5</v>
      </c>
      <c r="S2958" s="4">
        <f>_xlfn.FLOOR.MATH(R2958,5)</f>
        <v>910</v>
      </c>
      <c r="T2958" s="6">
        <v>1</v>
      </c>
      <c r="U2958" s="1">
        <f t="shared" si="806"/>
        <v>1</v>
      </c>
      <c r="V2958" s="1">
        <f t="shared" si="807"/>
        <v>910</v>
      </c>
    </row>
    <row r="2959" spans="2:22">
      <c r="B2959" s="4" t="s">
        <v>1583</v>
      </c>
      <c r="E2959" s="4" t="s">
        <v>1584</v>
      </c>
      <c r="H2959" s="6">
        <v>1</v>
      </c>
      <c r="I2959" s="4" t="str">
        <f t="shared" si="766"/>
        <v>purple</v>
      </c>
      <c r="J2959" s="105">
        <f t="shared" si="804"/>
        <v>1</v>
      </c>
      <c r="K2959" s="106">
        <v>4</v>
      </c>
      <c r="L2959" s="69"/>
      <c r="M2959" s="69" t="s">
        <v>484</v>
      </c>
      <c r="N2959" s="30"/>
      <c r="O2959" s="6"/>
      <c r="P2959" s="1">
        <v>14750</v>
      </c>
      <c r="Q2959" s="1">
        <v>14750</v>
      </c>
      <c r="R2959" s="1">
        <f t="shared" si="805"/>
        <v>14750</v>
      </c>
      <c r="S2959" s="4">
        <f>_xlfn.FLOOR.MATH(R2959,5)</f>
        <v>14750</v>
      </c>
      <c r="T2959" s="6">
        <v>1</v>
      </c>
      <c r="U2959" s="1">
        <f t="shared" ref="U2959:U2968" si="808">T2959*H2959</f>
        <v>1</v>
      </c>
      <c r="V2959" s="1">
        <f t="shared" si="807"/>
        <v>14750</v>
      </c>
    </row>
    <row r="2960" spans="2:22">
      <c r="B2960" s="4" t="s">
        <v>1585</v>
      </c>
      <c r="E2960" s="4" t="s">
        <v>1586</v>
      </c>
      <c r="H2960" s="6">
        <v>1</v>
      </c>
      <c r="I2960" s="4" t="str">
        <f t="shared" si="766"/>
        <v>purple</v>
      </c>
      <c r="J2960" s="105">
        <f t="shared" si="804"/>
        <v>1</v>
      </c>
      <c r="K2960" s="106">
        <v>4</v>
      </c>
      <c r="L2960" s="69"/>
      <c r="M2960" s="69" t="s">
        <v>484</v>
      </c>
      <c r="N2960" s="30"/>
      <c r="O2960" s="6"/>
      <c r="P2960" s="1">
        <v>14750</v>
      </c>
      <c r="Q2960" s="1">
        <v>14750</v>
      </c>
      <c r="R2960" s="1">
        <f t="shared" si="805"/>
        <v>14750</v>
      </c>
      <c r="S2960" s="4">
        <f>_xlfn.FLOOR.MATH(R2960,5)</f>
        <v>14750</v>
      </c>
      <c r="T2960" s="6">
        <v>1</v>
      </c>
      <c r="U2960" s="1">
        <f t="shared" si="808"/>
        <v>1</v>
      </c>
      <c r="V2960" s="1">
        <f t="shared" si="807"/>
        <v>14750</v>
      </c>
    </row>
    <row r="2961" spans="2:22">
      <c r="B2961" s="4" t="s">
        <v>1587</v>
      </c>
      <c r="E2961" s="4" t="s">
        <v>1588</v>
      </c>
      <c r="H2961" s="6">
        <v>1</v>
      </c>
      <c r="I2961" s="4" t="str">
        <f t="shared" si="766"/>
        <v>purple</v>
      </c>
      <c r="J2961" s="105">
        <f t="shared" si="804"/>
        <v>1</v>
      </c>
      <c r="K2961" s="106">
        <v>4</v>
      </c>
      <c r="L2961" s="69"/>
      <c r="M2961" s="69" t="s">
        <v>484</v>
      </c>
      <c r="N2961" s="30"/>
      <c r="O2961" s="6"/>
      <c r="P2961" s="1">
        <v>14750</v>
      </c>
      <c r="Q2961" s="1">
        <v>14750</v>
      </c>
      <c r="R2961" s="1">
        <f t="shared" si="805"/>
        <v>14750</v>
      </c>
      <c r="S2961" s="4">
        <f>_xlfn.FLOOR.MATH(R2961,5)</f>
        <v>14750</v>
      </c>
      <c r="T2961" s="6">
        <v>1</v>
      </c>
      <c r="U2961" s="1">
        <f t="shared" si="808"/>
        <v>1</v>
      </c>
      <c r="V2961" s="1">
        <f t="shared" si="807"/>
        <v>14750</v>
      </c>
    </row>
    <row r="2962" spans="2:22">
      <c r="B2962" s="4" t="s">
        <v>1589</v>
      </c>
      <c r="E2962" s="4" t="s">
        <v>1590</v>
      </c>
      <c r="H2962" s="6">
        <v>1</v>
      </c>
      <c r="I2962" s="4" t="str">
        <f t="shared" si="766"/>
        <v>purple</v>
      </c>
      <c r="J2962" s="105">
        <f t="shared" si="804"/>
        <v>1</v>
      </c>
      <c r="K2962" s="106">
        <v>4</v>
      </c>
      <c r="L2962" s="69"/>
      <c r="M2962" s="69" t="s">
        <v>484</v>
      </c>
      <c r="N2962" s="30"/>
      <c r="O2962" s="6"/>
      <c r="P2962" s="1">
        <v>14750</v>
      </c>
      <c r="Q2962" s="1">
        <v>14750</v>
      </c>
      <c r="R2962" s="1">
        <f t="shared" si="805"/>
        <v>14750</v>
      </c>
      <c r="S2962" s="4">
        <f>_xlfn.FLOOR.MATH(R2962,5)</f>
        <v>14750</v>
      </c>
      <c r="T2962" s="6">
        <v>1</v>
      </c>
      <c r="U2962" s="1">
        <f t="shared" si="808"/>
        <v>1</v>
      </c>
      <c r="V2962" s="1">
        <f t="shared" si="807"/>
        <v>14750</v>
      </c>
    </row>
    <row r="2963" spans="2:22">
      <c r="B2963" s="4" t="s">
        <v>1591</v>
      </c>
      <c r="E2963" s="4" t="s">
        <v>1592</v>
      </c>
      <c r="H2963" s="6">
        <v>1</v>
      </c>
      <c r="I2963" s="4" t="str">
        <f t="shared" si="766"/>
        <v>purple</v>
      </c>
      <c r="J2963" s="105">
        <f t="shared" si="804"/>
        <v>1</v>
      </c>
      <c r="K2963" s="106">
        <v>4</v>
      </c>
      <c r="L2963" s="69"/>
      <c r="M2963" s="69" t="s">
        <v>484</v>
      </c>
      <c r="N2963" s="30"/>
      <c r="O2963" s="6"/>
      <c r="P2963" s="1">
        <v>14750</v>
      </c>
      <c r="Q2963" s="1">
        <v>14750</v>
      </c>
      <c r="R2963" s="1">
        <f t="shared" si="805"/>
        <v>14750</v>
      </c>
      <c r="S2963" s="4">
        <f>_xlfn.FLOOR.MATH(R2963,5)</f>
        <v>14750</v>
      </c>
      <c r="T2963" s="6">
        <v>1</v>
      </c>
      <c r="U2963" s="1">
        <f t="shared" si="808"/>
        <v>1</v>
      </c>
      <c r="V2963" s="1">
        <f t="shared" si="807"/>
        <v>14750</v>
      </c>
    </row>
    <row r="2964" spans="2:22">
      <c r="B2964" s="4" t="s">
        <v>1593</v>
      </c>
      <c r="E2964" s="4" t="s">
        <v>1594</v>
      </c>
      <c r="H2964" s="6">
        <v>1</v>
      </c>
      <c r="I2964" s="4" t="str">
        <f t="shared" ref="I2964" si="809">IF(O2964&gt;-0.5,"purple","yellow")</f>
        <v>purple</v>
      </c>
      <c r="J2964" s="105">
        <f t="shared" si="804"/>
        <v>1</v>
      </c>
      <c r="K2964" s="106">
        <v>5</v>
      </c>
      <c r="L2964" s="69"/>
      <c r="M2964" s="69" t="s">
        <v>484</v>
      </c>
      <c r="N2964" s="30"/>
      <c r="O2964" s="6"/>
      <c r="P2964" s="1">
        <v>29500</v>
      </c>
      <c r="Q2964" s="1">
        <v>29500</v>
      </c>
      <c r="R2964" s="1">
        <f t="shared" si="805"/>
        <v>29500</v>
      </c>
      <c r="S2964" s="4">
        <f>_xlfn.FLOOR.MATH(R2964,5)</f>
        <v>29500</v>
      </c>
      <c r="T2964" s="6">
        <v>1</v>
      </c>
      <c r="U2964" s="1">
        <f t="shared" ref="U2964" si="810">T2964*H2964</f>
        <v>1</v>
      </c>
      <c r="V2964" s="1">
        <f t="shared" si="807"/>
        <v>29500</v>
      </c>
    </row>
    <row r="2965" spans="2:22">
      <c r="B2965" s="4" t="s">
        <v>1595</v>
      </c>
      <c r="E2965" s="4" t="s">
        <v>1596</v>
      </c>
      <c r="H2965" s="6">
        <v>1</v>
      </c>
      <c r="I2965" s="4" t="str">
        <f t="shared" si="766"/>
        <v>purple</v>
      </c>
      <c r="J2965" s="105">
        <f t="shared" si="804"/>
        <v>1</v>
      </c>
      <c r="K2965" s="106">
        <v>5</v>
      </c>
      <c r="L2965" s="69"/>
      <c r="M2965" s="69" t="s">
        <v>484</v>
      </c>
      <c r="N2965" s="30"/>
      <c r="O2965" s="6"/>
      <c r="P2965" s="1">
        <v>29500</v>
      </c>
      <c r="Q2965" s="1">
        <v>29500</v>
      </c>
      <c r="R2965" s="1">
        <f t="shared" si="805"/>
        <v>29500</v>
      </c>
      <c r="S2965" s="4">
        <f>_xlfn.FLOOR.MATH(R2965,5)</f>
        <v>29500</v>
      </c>
      <c r="T2965" s="6">
        <v>1</v>
      </c>
      <c r="U2965" s="1">
        <f t="shared" si="808"/>
        <v>1</v>
      </c>
      <c r="V2965" s="1">
        <f t="shared" si="807"/>
        <v>29500</v>
      </c>
    </row>
    <row r="2966" spans="2:22">
      <c r="B2966" s="4" t="s">
        <v>1597</v>
      </c>
      <c r="E2966" s="4" t="s">
        <v>1598</v>
      </c>
      <c r="H2966" s="6">
        <v>1</v>
      </c>
      <c r="I2966" s="4" t="str">
        <f t="shared" si="766"/>
        <v>purple</v>
      </c>
      <c r="J2966" s="105">
        <f t="shared" si="804"/>
        <v>1</v>
      </c>
      <c r="K2966" s="106">
        <v>5</v>
      </c>
      <c r="L2966" s="69"/>
      <c r="M2966" s="69" t="s">
        <v>484</v>
      </c>
      <c r="N2966" s="30"/>
      <c r="O2966" s="6"/>
      <c r="P2966" s="1">
        <v>29500</v>
      </c>
      <c r="Q2966" s="1">
        <v>29500</v>
      </c>
      <c r="R2966" s="1">
        <f t="shared" si="805"/>
        <v>29500</v>
      </c>
      <c r="S2966" s="4">
        <f>_xlfn.FLOOR.MATH(R2966,5)</f>
        <v>29500</v>
      </c>
      <c r="T2966" s="6">
        <v>1</v>
      </c>
      <c r="U2966" s="1">
        <f t="shared" si="808"/>
        <v>1</v>
      </c>
      <c r="V2966" s="1">
        <f t="shared" si="807"/>
        <v>29500</v>
      </c>
    </row>
    <row r="2967" spans="2:22">
      <c r="B2967" s="4" t="s">
        <v>1599</v>
      </c>
      <c r="E2967" s="4" t="s">
        <v>1600</v>
      </c>
      <c r="H2967" s="6">
        <v>1</v>
      </c>
      <c r="I2967" s="4" t="str">
        <f t="shared" si="766"/>
        <v>purple</v>
      </c>
      <c r="J2967" s="105">
        <f t="shared" si="804"/>
        <v>1</v>
      </c>
      <c r="K2967" s="106">
        <v>5</v>
      </c>
      <c r="L2967" s="69"/>
      <c r="M2967" s="69" t="s">
        <v>484</v>
      </c>
      <c r="N2967" s="30"/>
      <c r="O2967" s="6"/>
      <c r="P2967" s="1">
        <v>29500</v>
      </c>
      <c r="Q2967" s="1">
        <v>29500</v>
      </c>
      <c r="R2967" s="1">
        <f t="shared" si="805"/>
        <v>29500</v>
      </c>
      <c r="S2967" s="4">
        <f>_xlfn.FLOOR.MATH(R2967,5)</f>
        <v>29500</v>
      </c>
      <c r="T2967" s="6">
        <v>1</v>
      </c>
      <c r="U2967" s="1">
        <f t="shared" si="808"/>
        <v>1</v>
      </c>
      <c r="V2967" s="1">
        <f t="shared" si="807"/>
        <v>29500</v>
      </c>
    </row>
    <row r="2968" spans="2:22">
      <c r="B2968" s="4"/>
      <c r="E2968" s="4" t="s">
        <v>1539</v>
      </c>
      <c r="H2968" s="6">
        <v>10000</v>
      </c>
      <c r="I2968" s="4" t="str">
        <f t="shared" ref="I2968" si="811">IF(O2968&gt;-0.5,"purple","yellow")</f>
        <v>purple</v>
      </c>
      <c r="J2968" s="105">
        <f t="shared" si="804"/>
        <v>1</v>
      </c>
      <c r="K2968" s="106">
        <v>1</v>
      </c>
      <c r="L2968" s="69"/>
      <c r="M2968" s="69" t="s">
        <v>479</v>
      </c>
      <c r="N2968" s="30"/>
      <c r="O2968" s="6"/>
      <c r="P2968" s="1">
        <v>25</v>
      </c>
      <c r="Q2968" s="1">
        <v>25</v>
      </c>
      <c r="R2968" s="1">
        <f t="shared" si="805"/>
        <v>25</v>
      </c>
      <c r="S2968" s="4">
        <f>_xlfn.FLOOR.MATH(R2968,5)</f>
        <v>25</v>
      </c>
      <c r="T2968" s="6"/>
      <c r="U2968" s="1">
        <f t="shared" si="808"/>
        <v>0</v>
      </c>
      <c r="V2968" s="1">
        <f t="shared" si="807"/>
        <v>0</v>
      </c>
    </row>
    <row r="2969" spans="2:22">
      <c r="B2969" s="4"/>
      <c r="E2969" s="4"/>
      <c r="H2969" s="4"/>
      <c r="I2969" s="4"/>
      <c r="J2969" s="105"/>
      <c r="K2969" s="105"/>
      <c r="L2969" s="105"/>
      <c r="N2969" s="4"/>
      <c r="Q2969" s="4"/>
      <c r="U2969" s="1" t="s">
        <v>1601</v>
      </c>
      <c r="V2969" s="5">
        <f>SUMIFS($V$2935:$V$2967,$N$2935:$N$2967,"一档")</f>
        <v>3050</v>
      </c>
    </row>
    <row r="2970" spans="2:22">
      <c r="B2970" s="4"/>
      <c r="E2970" s="4"/>
      <c r="H2970" s="4"/>
      <c r="I2970" s="4"/>
      <c r="J2970" s="105"/>
      <c r="K2970" s="105"/>
      <c r="L2970" s="105"/>
      <c r="N2970" s="4"/>
      <c r="Q2970" s="4"/>
      <c r="U2970" s="1" t="s">
        <v>1602</v>
      </c>
      <c r="V2970" s="5">
        <f>SUMIFS($V$2935:$V$2967,$N$2935:$N$2967,"二档")</f>
        <v>14250</v>
      </c>
    </row>
    <row r="2971" spans="2:22">
      <c r="B2971" s="4"/>
      <c r="E2971" s="4"/>
      <c r="H2971" s="4"/>
      <c r="I2971" s="4"/>
      <c r="J2971" s="105"/>
      <c r="K2971" s="105"/>
      <c r="L2971" s="105"/>
      <c r="N2971" s="4"/>
      <c r="Q2971" s="4"/>
      <c r="U2971" s="1" t="s">
        <v>1603</v>
      </c>
      <c r="V2971" s="5">
        <f>SUM(V2969:V2970)</f>
        <v>17300</v>
      </c>
    </row>
    <row r="2972" spans="2:22">
      <c r="B2972" s="4"/>
      <c r="E2972" s="4"/>
      <c r="H2972" s="4"/>
      <c r="I2972" s="4"/>
      <c r="J2972" s="105"/>
      <c r="K2972" s="105"/>
      <c r="L2972" s="105"/>
      <c r="N2972" s="4"/>
      <c r="Q2972" s="4"/>
      <c r="V2972" s="5"/>
    </row>
    <row r="2973" spans="2:22">
      <c r="B2973" s="4"/>
      <c r="E2973" s="4"/>
      <c r="H2973" s="4"/>
      <c r="I2973" s="4"/>
      <c r="J2973" s="105"/>
      <c r="K2973" s="105"/>
      <c r="L2973" s="105"/>
      <c r="N2973" s="4"/>
      <c r="Q2973" s="4"/>
      <c r="V2973" s="5"/>
    </row>
    <row r="2974" spans="2:22">
      <c r="B2974" s="4" t="s">
        <v>1527</v>
      </c>
      <c r="E2974" s="4" t="s">
        <v>607</v>
      </c>
      <c r="F2974" s="4"/>
      <c r="G2974" s="4"/>
      <c r="H2974" s="6" t="s">
        <v>1528</v>
      </c>
      <c r="I2974" s="4" t="s">
        <v>1529</v>
      </c>
      <c r="J2974" s="5" t="s">
        <v>1530</v>
      </c>
      <c r="K2974" s="92" t="s">
        <v>1493</v>
      </c>
      <c r="L2974" s="60" t="s">
        <v>1531</v>
      </c>
      <c r="M2974" s="60" t="s">
        <v>1532</v>
      </c>
      <c r="N2974" s="30" t="s">
        <v>1514</v>
      </c>
      <c r="O2974" s="6" t="s">
        <v>1533</v>
      </c>
      <c r="P2974" s="1" t="s">
        <v>1604</v>
      </c>
      <c r="Q2974" s="1" t="s">
        <v>1605</v>
      </c>
      <c r="R2974" s="1" t="s">
        <v>1606</v>
      </c>
      <c r="S2974" s="4" t="s">
        <v>1378</v>
      </c>
      <c r="T2974" s="6" t="s">
        <v>1535</v>
      </c>
      <c r="U2974" s="1" t="s">
        <v>1536</v>
      </c>
      <c r="V2974" s="1" t="s">
        <v>1607</v>
      </c>
    </row>
    <row r="2975" spans="2:22">
      <c r="B2975" s="4" t="s">
        <v>1538</v>
      </c>
      <c r="E2975" s="4" t="s">
        <v>1608</v>
      </c>
      <c r="H2975" s="6">
        <v>10000</v>
      </c>
      <c r="I2975" s="4" t="str">
        <f t="shared" ref="I2975:I2976" si="812">IF(O2975&gt;-0.5,"purple","yellow")</f>
        <v>yellow</v>
      </c>
      <c r="J2975" s="105">
        <f t="shared" ref="J2975:J2976" si="813">P2975/S2975</f>
        <v>5</v>
      </c>
      <c r="K2975" s="106">
        <v>0</v>
      </c>
      <c r="L2975" s="69">
        <v>1</v>
      </c>
      <c r="M2975" s="69" t="s">
        <v>481</v>
      </c>
      <c r="N2975" s="30" t="s">
        <v>1515</v>
      </c>
      <c r="O2975" s="6">
        <v>-0.8</v>
      </c>
      <c r="P2975" s="1">
        <v>25</v>
      </c>
      <c r="Q2975" s="1">
        <v>25</v>
      </c>
      <c r="R2975" s="1">
        <f t="shared" ref="R2975:R2977" si="814">Q2975*(1+O2975)</f>
        <v>5</v>
      </c>
      <c r="S2975" s="4">
        <f>_xlfn.FLOOR.MATH(R2975,5)</f>
        <v>5</v>
      </c>
      <c r="T2975" s="6">
        <v>10</v>
      </c>
      <c r="U2975" s="1">
        <f t="shared" ref="U2975:U2976" si="815">T2975*H2975</f>
        <v>100000</v>
      </c>
      <c r="V2975" s="1">
        <f t="shared" ref="V2975:V2976" si="816">T2975*S2975</f>
        <v>50</v>
      </c>
    </row>
    <row r="2976" spans="2:22">
      <c r="B2976" s="4" t="s">
        <v>1540</v>
      </c>
      <c r="E2976" s="4" t="s">
        <v>1609</v>
      </c>
      <c r="H2976" s="6">
        <v>60</v>
      </c>
      <c r="I2976" s="4" t="str">
        <f t="shared" si="812"/>
        <v>yellow</v>
      </c>
      <c r="J2976" s="105">
        <f t="shared" si="813"/>
        <v>5</v>
      </c>
      <c r="K2976" s="106">
        <v>0</v>
      </c>
      <c r="L2976" s="69">
        <v>2</v>
      </c>
      <c r="M2976" s="69" t="s">
        <v>482</v>
      </c>
      <c r="N2976" s="30" t="s">
        <v>1515</v>
      </c>
      <c r="O2976" s="6">
        <v>-0.8</v>
      </c>
      <c r="P2976" s="1">
        <v>225</v>
      </c>
      <c r="Q2976" s="1">
        <v>225</v>
      </c>
      <c r="R2976" s="1">
        <f t="shared" si="814"/>
        <v>45</v>
      </c>
      <c r="S2976" s="4">
        <f>_xlfn.FLOOR.MATH(R2976,5)</f>
        <v>45</v>
      </c>
      <c r="T2976" s="6">
        <v>10</v>
      </c>
      <c r="U2976" s="1">
        <f t="shared" si="815"/>
        <v>600</v>
      </c>
      <c r="V2976" s="1">
        <f t="shared" si="816"/>
        <v>450</v>
      </c>
    </row>
    <row r="2977" spans="2:22">
      <c r="B2977" s="4" t="s">
        <v>1542</v>
      </c>
      <c r="E2977" s="4" t="s">
        <v>1610</v>
      </c>
      <c r="H2977" s="6">
        <v>10</v>
      </c>
      <c r="I2977" s="4" t="str">
        <f t="shared" ref="I2977" si="817">IF(O2977&gt;-0.5,"purple","yellow")</f>
        <v>yellow</v>
      </c>
      <c r="J2977" s="105">
        <f t="shared" ref="J2977" si="818">P2977/S2977</f>
        <v>5</v>
      </c>
      <c r="K2977" s="106">
        <v>1</v>
      </c>
      <c r="L2977" s="69">
        <v>3</v>
      </c>
      <c r="M2977" s="69" t="s">
        <v>462</v>
      </c>
      <c r="N2977" s="30" t="s">
        <v>1515</v>
      </c>
      <c r="O2977" s="6">
        <v>-0.8</v>
      </c>
      <c r="P2977" s="1">
        <v>125</v>
      </c>
      <c r="Q2977" s="1">
        <v>125</v>
      </c>
      <c r="R2977" s="1">
        <f t="shared" si="814"/>
        <v>25</v>
      </c>
      <c r="S2977" s="4">
        <f>_xlfn.FLOOR.MATH(R2977,5)</f>
        <v>25</v>
      </c>
      <c r="T2977" s="6">
        <v>5</v>
      </c>
      <c r="U2977" s="1">
        <f t="shared" ref="U2977" si="819">T2977*H2977</f>
        <v>50</v>
      </c>
      <c r="V2977" s="1">
        <f t="shared" ref="V2977" si="820">T2977*S2977</f>
        <v>125</v>
      </c>
    </row>
    <row r="2978" spans="2:22">
      <c r="B2978" s="4" t="s">
        <v>1544</v>
      </c>
      <c r="E2978" s="4" t="s">
        <v>1555</v>
      </c>
      <c r="H2978" s="6">
        <v>1</v>
      </c>
      <c r="I2978" s="4" t="str">
        <f t="shared" ref="I2978:I2990" si="821">IF(O2978&gt;-0.5,"purple","yellow")</f>
        <v>yellow</v>
      </c>
      <c r="J2978" s="105">
        <f t="shared" ref="J2978:J2979" si="822">P2978/S2978</f>
        <v>3.49305555555555</v>
      </c>
      <c r="K2978" s="106">
        <v>1</v>
      </c>
      <c r="L2978" s="69">
        <v>4</v>
      </c>
      <c r="M2978" s="69" t="s">
        <v>63</v>
      </c>
      <c r="N2978" s="30" t="s">
        <v>1516</v>
      </c>
      <c r="O2978" s="6">
        <v>-0.5</v>
      </c>
      <c r="P2978" s="1">
        <v>314.375</v>
      </c>
      <c r="Q2978" s="1">
        <v>187.5</v>
      </c>
      <c r="R2978" s="1">
        <f t="shared" ref="R2978:R2983" si="823">Q2978*(1+O2978)</f>
        <v>93.75</v>
      </c>
      <c r="S2978" s="4">
        <f>_xlfn.FLOOR.MATH(R2978,5)</f>
        <v>90</v>
      </c>
      <c r="T2978" s="6">
        <v>3</v>
      </c>
      <c r="U2978" s="1">
        <f t="shared" ref="U2978:U2990" si="824">T2978*H2978</f>
        <v>3</v>
      </c>
      <c r="V2978" s="1">
        <f t="shared" ref="V2978:V2983" si="825">T2978*S2978</f>
        <v>270</v>
      </c>
    </row>
    <row r="2979" spans="2:22">
      <c r="B2979" s="4" t="s">
        <v>1546</v>
      </c>
      <c r="E2979" s="4" t="s">
        <v>1609</v>
      </c>
      <c r="H2979" s="6">
        <v>60</v>
      </c>
      <c r="I2979" s="4" t="str">
        <f t="shared" si="821"/>
        <v>yellow</v>
      </c>
      <c r="J2979" s="105">
        <f t="shared" si="822"/>
        <v>2.04545454545455</v>
      </c>
      <c r="K2979" s="106">
        <v>2</v>
      </c>
      <c r="L2979" s="69">
        <v>5</v>
      </c>
      <c r="M2979" s="69" t="s">
        <v>482</v>
      </c>
      <c r="N2979" s="30" t="s">
        <v>1516</v>
      </c>
      <c r="O2979" s="6">
        <v>-0.5</v>
      </c>
      <c r="P2979" s="1">
        <v>225</v>
      </c>
      <c r="Q2979" s="1">
        <v>225</v>
      </c>
      <c r="R2979" s="1">
        <f t="shared" si="823"/>
        <v>112.5</v>
      </c>
      <c r="S2979" s="4">
        <f>_xlfn.FLOOR.MATH(R2979,5)</f>
        <v>110</v>
      </c>
      <c r="T2979" s="6">
        <v>25</v>
      </c>
      <c r="U2979" s="1">
        <f t="shared" si="824"/>
        <v>1500</v>
      </c>
      <c r="V2979" s="1">
        <f t="shared" si="825"/>
        <v>2750</v>
      </c>
    </row>
    <row r="2980" spans="2:22">
      <c r="B2980" s="4" t="s">
        <v>1554</v>
      </c>
      <c r="E2980" s="4" t="s">
        <v>1610</v>
      </c>
      <c r="H2980" s="6">
        <v>10</v>
      </c>
      <c r="I2980" s="4" t="str">
        <f t="shared" ref="I2980:I2983" si="826">IF(O2980&gt;-0.5,"purple","yellow")</f>
        <v>yellow</v>
      </c>
      <c r="J2980" s="105">
        <f t="shared" ref="J2980:J2983" si="827">P2980/S2980</f>
        <v>2.08333333333333</v>
      </c>
      <c r="K2980" s="106">
        <v>2</v>
      </c>
      <c r="L2980" s="69">
        <v>6</v>
      </c>
      <c r="M2980" s="69" t="s">
        <v>462</v>
      </c>
      <c r="N2980" s="30" t="s">
        <v>1516</v>
      </c>
      <c r="O2980" s="6">
        <v>-0.5</v>
      </c>
      <c r="P2980" s="1">
        <v>125</v>
      </c>
      <c r="Q2980" s="1">
        <v>125</v>
      </c>
      <c r="R2980" s="1">
        <f t="shared" si="823"/>
        <v>62.5</v>
      </c>
      <c r="S2980" s="4">
        <f>_xlfn.FLOOR.MATH(R2980,5)</f>
        <v>60</v>
      </c>
      <c r="T2980" s="6">
        <v>5</v>
      </c>
      <c r="U2980" s="1">
        <f t="shared" si="824"/>
        <v>50</v>
      </c>
      <c r="V2980" s="1">
        <f t="shared" si="825"/>
        <v>300</v>
      </c>
    </row>
    <row r="2981" spans="2:22">
      <c r="B2981" s="4" t="s">
        <v>1548</v>
      </c>
      <c r="E2981" s="4" t="s">
        <v>1543</v>
      </c>
      <c r="H2981" s="6">
        <v>1</v>
      </c>
      <c r="I2981" s="4" t="str">
        <f t="shared" si="826"/>
        <v>purple</v>
      </c>
      <c r="J2981" s="105">
        <f t="shared" si="827"/>
        <v>1.04166666666667</v>
      </c>
      <c r="K2981" s="106">
        <v>2</v>
      </c>
      <c r="L2981" s="69"/>
      <c r="M2981" s="69" t="s">
        <v>476</v>
      </c>
      <c r="N2981" s="30"/>
      <c r="O2981" s="6"/>
      <c r="P2981" s="1">
        <v>10.4166666666667</v>
      </c>
      <c r="Q2981" s="1">
        <v>10.4166666666667</v>
      </c>
      <c r="R2981" s="1">
        <f t="shared" si="823"/>
        <v>10.4166666666667</v>
      </c>
      <c r="S2981" s="4">
        <f>_xlfn.FLOOR.MATH(R2981,5)</f>
        <v>10</v>
      </c>
      <c r="T2981" s="6"/>
      <c r="U2981" s="1">
        <f t="shared" si="824"/>
        <v>0</v>
      </c>
      <c r="V2981" s="1">
        <f t="shared" si="825"/>
        <v>0</v>
      </c>
    </row>
    <row r="2982" spans="2:22">
      <c r="B2982" s="4" t="s">
        <v>1550</v>
      </c>
      <c r="E2982" s="4" t="s">
        <v>1545</v>
      </c>
      <c r="H2982" s="6">
        <v>1</v>
      </c>
      <c r="I2982" s="4" t="str">
        <f t="shared" si="826"/>
        <v>purple</v>
      </c>
      <c r="J2982" s="105">
        <f t="shared" si="827"/>
        <v>1.04166666666667</v>
      </c>
      <c r="K2982" s="106">
        <v>2</v>
      </c>
      <c r="L2982" s="69"/>
      <c r="M2982" s="69" t="s">
        <v>476</v>
      </c>
      <c r="N2982" s="30"/>
      <c r="O2982" s="6"/>
      <c r="P2982" s="1">
        <v>10.4166666666667</v>
      </c>
      <c r="Q2982" s="1">
        <v>10.4166666666667</v>
      </c>
      <c r="R2982" s="1">
        <f t="shared" si="823"/>
        <v>10.4166666666667</v>
      </c>
      <c r="S2982" s="4">
        <f>_xlfn.FLOOR.MATH(R2982,5)</f>
        <v>10</v>
      </c>
      <c r="T2982" s="6"/>
      <c r="U2982" s="1">
        <f t="shared" si="824"/>
        <v>0</v>
      </c>
      <c r="V2982" s="1">
        <f t="shared" si="825"/>
        <v>0</v>
      </c>
    </row>
    <row r="2983" spans="2:22">
      <c r="B2983" s="4" t="s">
        <v>1552</v>
      </c>
      <c r="E2983" s="4" t="s">
        <v>1547</v>
      </c>
      <c r="H2983" s="6">
        <v>1</v>
      </c>
      <c r="I2983" s="4" t="str">
        <f t="shared" si="826"/>
        <v>purple</v>
      </c>
      <c r="J2983" s="105">
        <f t="shared" si="827"/>
        <v>1.04166666666667</v>
      </c>
      <c r="K2983" s="106">
        <v>2</v>
      </c>
      <c r="L2983" s="69"/>
      <c r="M2983" s="69" t="s">
        <v>476</v>
      </c>
      <c r="N2983" s="30"/>
      <c r="O2983" s="6"/>
      <c r="P2983" s="1">
        <v>10.4166666666667</v>
      </c>
      <c r="Q2983" s="1">
        <v>10.4166666666667</v>
      </c>
      <c r="R2983" s="1">
        <f t="shared" si="823"/>
        <v>10.4166666666667</v>
      </c>
      <c r="S2983" s="4">
        <f>_xlfn.FLOOR.MATH(R2983,5)</f>
        <v>10</v>
      </c>
      <c r="T2983" s="6"/>
      <c r="U2983" s="1">
        <f t="shared" si="824"/>
        <v>0</v>
      </c>
      <c r="V2983" s="1">
        <f t="shared" si="825"/>
        <v>0</v>
      </c>
    </row>
    <row r="2984" spans="2:22">
      <c r="B2984" s="4" t="s">
        <v>1556</v>
      </c>
      <c r="E2984" s="4" t="s">
        <v>1611</v>
      </c>
      <c r="H2984" s="6">
        <v>1</v>
      </c>
      <c r="I2984" s="4" t="str">
        <f t="shared" si="821"/>
        <v>yellow</v>
      </c>
      <c r="J2984" s="105">
        <f t="shared" ref="J2984:J2994" si="828">P2984/S2984</f>
        <v>2.02777777777778</v>
      </c>
      <c r="K2984" s="106">
        <v>2</v>
      </c>
      <c r="L2984" s="69"/>
      <c r="M2984" s="69" t="s">
        <v>484</v>
      </c>
      <c r="N2984" s="30"/>
      <c r="O2984" s="6">
        <v>-0.5</v>
      </c>
      <c r="P2984" s="1">
        <v>456.25</v>
      </c>
      <c r="Q2984" s="1">
        <v>456.25</v>
      </c>
      <c r="R2984" s="1">
        <f t="shared" ref="R2984:R2994" si="829">Q2984*(1+O2984)</f>
        <v>228.125</v>
      </c>
      <c r="S2984" s="4">
        <f>_xlfn.FLOOR.MATH(R2984,5)</f>
        <v>225</v>
      </c>
      <c r="T2984" s="6">
        <v>1</v>
      </c>
      <c r="U2984" s="1">
        <f t="shared" si="824"/>
        <v>1</v>
      </c>
      <c r="V2984" s="1">
        <f t="shared" ref="V2984:V2994" si="830">T2984*S2984</f>
        <v>225</v>
      </c>
    </row>
    <row r="2985" spans="2:22">
      <c r="B2985" s="4" t="s">
        <v>1557</v>
      </c>
      <c r="E2985" s="4" t="s">
        <v>1612</v>
      </c>
      <c r="H2985" s="6">
        <v>1</v>
      </c>
      <c r="I2985" s="4" t="str">
        <f t="shared" si="821"/>
        <v>yellow</v>
      </c>
      <c r="J2985" s="105">
        <f t="shared" si="828"/>
        <v>2.02777777777778</v>
      </c>
      <c r="K2985" s="106">
        <v>2</v>
      </c>
      <c r="L2985" s="69"/>
      <c r="M2985" s="69" t="s">
        <v>484</v>
      </c>
      <c r="N2985" s="30"/>
      <c r="O2985" s="6">
        <v>-0.5</v>
      </c>
      <c r="P2985" s="1">
        <v>456.25</v>
      </c>
      <c r="Q2985" s="1">
        <v>456.25</v>
      </c>
      <c r="R2985" s="1">
        <f t="shared" si="829"/>
        <v>228.125</v>
      </c>
      <c r="S2985" s="4">
        <f>_xlfn.FLOOR.MATH(R2985,5)</f>
        <v>225</v>
      </c>
      <c r="T2985" s="6">
        <v>1</v>
      </c>
      <c r="U2985" s="1">
        <f t="shared" si="824"/>
        <v>1</v>
      </c>
      <c r="V2985" s="1">
        <f t="shared" si="830"/>
        <v>225</v>
      </c>
    </row>
    <row r="2986" spans="2:22">
      <c r="B2986" s="4" t="s">
        <v>1558</v>
      </c>
      <c r="E2986" s="4" t="s">
        <v>1541</v>
      </c>
      <c r="H2986" s="6">
        <v>60</v>
      </c>
      <c r="I2986" s="4" t="str">
        <f t="shared" si="821"/>
        <v>purple</v>
      </c>
      <c r="J2986" s="105">
        <f t="shared" si="828"/>
        <v>1.02272727272727</v>
      </c>
      <c r="K2986" s="106">
        <v>2</v>
      </c>
      <c r="L2986" s="69"/>
      <c r="M2986" s="69" t="s">
        <v>482</v>
      </c>
      <c r="N2986" s="30"/>
      <c r="O2986" s="6"/>
      <c r="P2986" s="1">
        <v>112.5</v>
      </c>
      <c r="Q2986" s="1">
        <v>112.5</v>
      </c>
      <c r="R2986" s="1">
        <f t="shared" si="829"/>
        <v>112.5</v>
      </c>
      <c r="S2986" s="4">
        <f>_xlfn.FLOOR.MATH(R2986,5)</f>
        <v>110</v>
      </c>
      <c r="T2986" s="6"/>
      <c r="U2986" s="1">
        <f t="shared" si="824"/>
        <v>0</v>
      </c>
      <c r="V2986" s="1">
        <f t="shared" si="830"/>
        <v>0</v>
      </c>
    </row>
    <row r="2987" spans="2:22">
      <c r="B2987" s="4" t="s">
        <v>1560</v>
      </c>
      <c r="E2987" s="4" t="s">
        <v>1610</v>
      </c>
      <c r="H2987" s="6">
        <v>10</v>
      </c>
      <c r="I2987" s="4" t="str">
        <f t="shared" si="821"/>
        <v>purple</v>
      </c>
      <c r="J2987" s="105">
        <f t="shared" si="828"/>
        <v>1</v>
      </c>
      <c r="K2987" s="106">
        <v>2</v>
      </c>
      <c r="L2987" s="69"/>
      <c r="M2987" s="69" t="s">
        <v>462</v>
      </c>
      <c r="N2987" s="30"/>
      <c r="O2987" s="6"/>
      <c r="P2987" s="1">
        <v>125</v>
      </c>
      <c r="Q2987" s="1">
        <v>125</v>
      </c>
      <c r="R2987" s="1">
        <f t="shared" si="829"/>
        <v>125</v>
      </c>
      <c r="S2987" s="4">
        <f>_xlfn.FLOOR.MATH(R2987,5)</f>
        <v>125</v>
      </c>
      <c r="T2987" s="6"/>
      <c r="U2987" s="1">
        <f t="shared" si="824"/>
        <v>0</v>
      </c>
      <c r="V2987" s="1">
        <f t="shared" si="830"/>
        <v>0</v>
      </c>
    </row>
    <row r="2988" spans="2:22">
      <c r="B2988" s="4" t="s">
        <v>1546</v>
      </c>
      <c r="E2988" s="4" t="s">
        <v>1609</v>
      </c>
      <c r="H2988" s="6">
        <v>60</v>
      </c>
      <c r="I2988" s="4" t="str">
        <f t="shared" ref="I2988" si="831">IF(O2988&gt;-0.5,"purple","yellow")</f>
        <v>yellow</v>
      </c>
      <c r="J2988" s="105">
        <f t="shared" ref="J2988" si="832">P2988/S2988</f>
        <v>2.04545454545455</v>
      </c>
      <c r="K2988" s="106">
        <v>3</v>
      </c>
      <c r="L2988" s="69">
        <v>7</v>
      </c>
      <c r="M2988" s="69" t="s">
        <v>482</v>
      </c>
      <c r="N2988" s="30" t="s">
        <v>1516</v>
      </c>
      <c r="O2988" s="6">
        <v>-0.5</v>
      </c>
      <c r="P2988" s="1">
        <v>225</v>
      </c>
      <c r="Q2988" s="1">
        <v>225</v>
      </c>
      <c r="R2988" s="1">
        <f t="shared" ref="R2988" si="833">Q2988*(1+O2988)</f>
        <v>112.5</v>
      </c>
      <c r="S2988" s="4">
        <f>_xlfn.FLOOR.MATH(R2988,5)</f>
        <v>110</v>
      </c>
      <c r="T2988" s="6">
        <v>20</v>
      </c>
      <c r="U2988" s="1">
        <f t="shared" ref="U2988" si="834">T2988*H2988</f>
        <v>1200</v>
      </c>
      <c r="V2988" s="1">
        <f t="shared" ref="V2988" si="835">T2988*S2988</f>
        <v>2200</v>
      </c>
    </row>
    <row r="2989" spans="2:22">
      <c r="B2989" s="4" t="s">
        <v>1562</v>
      </c>
      <c r="E2989" s="4" t="s">
        <v>1613</v>
      </c>
      <c r="H2989" s="6">
        <v>1</v>
      </c>
      <c r="I2989" s="4" t="str">
        <f t="shared" si="821"/>
        <v>yellow</v>
      </c>
      <c r="J2989" s="105">
        <f t="shared" si="828"/>
        <v>2.00549450549451</v>
      </c>
      <c r="K2989" s="106">
        <v>3</v>
      </c>
      <c r="L2989" s="69"/>
      <c r="M2989" s="69" t="s">
        <v>484</v>
      </c>
      <c r="N2989" s="30"/>
      <c r="O2989" s="6">
        <v>-0.5</v>
      </c>
      <c r="P2989" s="1">
        <v>912.5</v>
      </c>
      <c r="Q2989" s="1">
        <v>912.5</v>
      </c>
      <c r="R2989" s="1">
        <f t="shared" si="829"/>
        <v>456.25</v>
      </c>
      <c r="S2989" s="4">
        <f>_xlfn.FLOOR.MATH(R2989,5)</f>
        <v>455</v>
      </c>
      <c r="T2989" s="6">
        <v>1</v>
      </c>
      <c r="U2989" s="1">
        <f t="shared" si="824"/>
        <v>1</v>
      </c>
      <c r="V2989" s="1">
        <f t="shared" si="830"/>
        <v>455</v>
      </c>
    </row>
    <row r="2990" spans="2:22">
      <c r="B2990" s="4" t="s">
        <v>1564</v>
      </c>
      <c r="E2990" s="4" t="s">
        <v>1614</v>
      </c>
      <c r="H2990" s="6">
        <v>1</v>
      </c>
      <c r="I2990" s="4" t="str">
        <f t="shared" si="821"/>
        <v>yellow</v>
      </c>
      <c r="J2990" s="105">
        <f t="shared" si="828"/>
        <v>2.00549450549451</v>
      </c>
      <c r="K2990" s="106">
        <v>3</v>
      </c>
      <c r="L2990" s="69"/>
      <c r="M2990" s="69" t="s">
        <v>484</v>
      </c>
      <c r="N2990" s="30"/>
      <c r="O2990" s="6">
        <v>-0.5</v>
      </c>
      <c r="P2990" s="1">
        <v>912.5</v>
      </c>
      <c r="Q2990" s="1">
        <v>912.5</v>
      </c>
      <c r="R2990" s="1">
        <f t="shared" si="829"/>
        <v>456.25</v>
      </c>
      <c r="S2990" s="4">
        <f>_xlfn.FLOOR.MATH(R2990,5)</f>
        <v>455</v>
      </c>
      <c r="T2990" s="6">
        <v>1</v>
      </c>
      <c r="U2990" s="1">
        <f t="shared" si="824"/>
        <v>1</v>
      </c>
      <c r="V2990" s="1">
        <f t="shared" si="830"/>
        <v>455</v>
      </c>
    </row>
    <row r="2991" spans="2:22">
      <c r="B2991" s="4" t="s">
        <v>1566</v>
      </c>
      <c r="E2991" s="4" t="s">
        <v>1615</v>
      </c>
      <c r="H2991" s="6">
        <v>1</v>
      </c>
      <c r="I2991" s="4" t="str">
        <f t="shared" ref="I2991:I2994" si="836">IF(O2991&gt;-0.5,"purple","yellow")</f>
        <v>purple</v>
      </c>
      <c r="J2991" s="105">
        <f t="shared" si="828"/>
        <v>1</v>
      </c>
      <c r="K2991" s="106">
        <v>4</v>
      </c>
      <c r="L2991" s="69"/>
      <c r="M2991" s="69" t="s">
        <v>484</v>
      </c>
      <c r="N2991" s="30"/>
      <c r="O2991" s="6"/>
      <c r="P2991" s="1">
        <v>7375</v>
      </c>
      <c r="Q2991" s="1">
        <v>7375</v>
      </c>
      <c r="R2991" s="1">
        <f t="shared" si="829"/>
        <v>7375</v>
      </c>
      <c r="S2991" s="4">
        <f>_xlfn.FLOOR.MATH(R2991,5)</f>
        <v>7375</v>
      </c>
      <c r="T2991" s="6">
        <v>1</v>
      </c>
      <c r="U2991" s="1">
        <f t="shared" ref="U2991:U2994" si="837">T2991*H2991</f>
        <v>1</v>
      </c>
      <c r="V2991" s="1">
        <f t="shared" si="830"/>
        <v>7375</v>
      </c>
    </row>
    <row r="2992" spans="2:22">
      <c r="B2992" s="4" t="s">
        <v>1568</v>
      </c>
      <c r="E2992" s="4" t="s">
        <v>1616</v>
      </c>
      <c r="H2992" s="6">
        <v>1</v>
      </c>
      <c r="I2992" s="4" t="str">
        <f t="shared" si="836"/>
        <v>purple</v>
      </c>
      <c r="J2992" s="105">
        <f t="shared" si="828"/>
        <v>1</v>
      </c>
      <c r="K2992" s="106">
        <v>4</v>
      </c>
      <c r="L2992" s="69"/>
      <c r="M2992" s="69" t="s">
        <v>484</v>
      </c>
      <c r="N2992" s="30"/>
      <c r="O2992" s="6"/>
      <c r="P2992" s="1">
        <v>7375</v>
      </c>
      <c r="Q2992" s="1">
        <v>7375</v>
      </c>
      <c r="R2992" s="1">
        <f t="shared" si="829"/>
        <v>7375</v>
      </c>
      <c r="S2992" s="4">
        <f>_xlfn.FLOOR.MATH(R2992,5)</f>
        <v>7375</v>
      </c>
      <c r="T2992" s="6">
        <v>1</v>
      </c>
      <c r="U2992" s="1">
        <f t="shared" si="837"/>
        <v>1</v>
      </c>
      <c r="V2992" s="1">
        <f t="shared" si="830"/>
        <v>7375</v>
      </c>
    </row>
    <row r="2993" spans="2:22">
      <c r="B2993" s="4" t="s">
        <v>1570</v>
      </c>
      <c r="E2993" s="4" t="s">
        <v>1617</v>
      </c>
      <c r="H2993" s="6">
        <v>1</v>
      </c>
      <c r="I2993" s="4" t="str">
        <f t="shared" si="836"/>
        <v>purple</v>
      </c>
      <c r="J2993" s="105">
        <f t="shared" si="828"/>
        <v>1</v>
      </c>
      <c r="K2993" s="106">
        <v>5</v>
      </c>
      <c r="L2993" s="69"/>
      <c r="M2993" s="69" t="s">
        <v>484</v>
      </c>
      <c r="N2993" s="30"/>
      <c r="O2993" s="6"/>
      <c r="P2993" s="1">
        <v>14750</v>
      </c>
      <c r="Q2993" s="1">
        <v>14750</v>
      </c>
      <c r="R2993" s="1">
        <f t="shared" si="829"/>
        <v>14750</v>
      </c>
      <c r="S2993" s="4">
        <f>_xlfn.FLOOR.MATH(R2993,5)</f>
        <v>14750</v>
      </c>
      <c r="T2993" s="6">
        <v>1</v>
      </c>
      <c r="U2993" s="1">
        <f t="shared" si="837"/>
        <v>1</v>
      </c>
      <c r="V2993" s="1">
        <f t="shared" si="830"/>
        <v>14750</v>
      </c>
    </row>
    <row r="2994" spans="2:22">
      <c r="B2994" s="4" t="s">
        <v>1572</v>
      </c>
      <c r="E2994" s="4" t="s">
        <v>1618</v>
      </c>
      <c r="H2994" s="6">
        <v>1</v>
      </c>
      <c r="I2994" s="4" t="str">
        <f t="shared" si="836"/>
        <v>purple</v>
      </c>
      <c r="J2994" s="105">
        <f t="shared" si="828"/>
        <v>1</v>
      </c>
      <c r="K2994" s="106">
        <v>5</v>
      </c>
      <c r="L2994" s="69"/>
      <c r="M2994" s="69" t="s">
        <v>484</v>
      </c>
      <c r="N2994" s="30"/>
      <c r="O2994" s="6"/>
      <c r="P2994" s="1">
        <v>14750</v>
      </c>
      <c r="Q2994" s="1">
        <v>14750</v>
      </c>
      <c r="R2994" s="1">
        <f t="shared" si="829"/>
        <v>14750</v>
      </c>
      <c r="S2994" s="4">
        <f>_xlfn.FLOOR.MATH(R2994,5)</f>
        <v>14750</v>
      </c>
      <c r="T2994" s="6">
        <v>1</v>
      </c>
      <c r="U2994" s="1">
        <f t="shared" si="837"/>
        <v>1</v>
      </c>
      <c r="V2994" s="1">
        <f t="shared" si="830"/>
        <v>14750</v>
      </c>
    </row>
    <row r="2995" spans="2:22">
      <c r="B2995" s="4"/>
      <c r="E2995" s="4"/>
      <c r="H2995" s="4"/>
      <c r="I2995" s="4"/>
      <c r="J2995" s="105"/>
      <c r="K2995" s="105"/>
      <c r="L2995" s="105"/>
      <c r="N2995" s="4"/>
      <c r="Q2995" s="4"/>
      <c r="U2995" s="1" t="s">
        <v>1601</v>
      </c>
      <c r="V2995" s="5">
        <f>SUMIFS($V$2975:$V$2994,$N$2975:$N$2994,"一档")</f>
        <v>625</v>
      </c>
    </row>
    <row r="2996" spans="2:22">
      <c r="B2996" s="4"/>
      <c r="E2996" s="4"/>
      <c r="H2996" s="4"/>
      <c r="I2996" s="4"/>
      <c r="J2996" s="105"/>
      <c r="K2996" s="105"/>
      <c r="L2996" s="105"/>
      <c r="N2996" s="4"/>
      <c r="Q2996" s="4"/>
      <c r="U2996" s="1" t="s">
        <v>1602</v>
      </c>
      <c r="V2996" s="5">
        <f>SUMIFS($V$2975:$V$2994,$N$2975:$N$2994,"二档")</f>
        <v>5520</v>
      </c>
    </row>
    <row r="2997" spans="2:22">
      <c r="B2997" s="4"/>
      <c r="E2997" s="4"/>
      <c r="H2997" s="4"/>
      <c r="I2997" s="4"/>
      <c r="J2997" s="105"/>
      <c r="K2997" s="105"/>
      <c r="L2997" s="105"/>
      <c r="N2997" s="4"/>
      <c r="Q2997" s="4"/>
      <c r="U2997" s="1" t="s">
        <v>1603</v>
      </c>
      <c r="V2997" s="5">
        <f>SUM(V2995:V2996)</f>
        <v>6145</v>
      </c>
    </row>
    <row r="2998" spans="2:22">
      <c r="B2998" s="27" t="s">
        <v>1619</v>
      </c>
      <c r="C2998" s="27"/>
      <c r="D2998" s="27"/>
      <c r="E2998" s="27"/>
      <c r="F2998" s="27"/>
      <c r="G2998" s="27"/>
      <c r="H2998" s="27"/>
      <c r="I2998" s="27"/>
      <c r="J2998" s="27"/>
      <c r="K2998" s="27"/>
      <c r="L2998" s="27"/>
      <c r="V2998" s="5"/>
    </row>
    <row r="2999" spans="2:19">
      <c r="B2999" s="4"/>
      <c r="D2999" s="4"/>
      <c r="G2999" s="4"/>
      <c r="H2999" s="4"/>
      <c r="I2999" s="105"/>
      <c r="J2999" s="105"/>
      <c r="L2999" s="4"/>
      <c r="O2999" s="4"/>
      <c r="S2999" s="5"/>
    </row>
    <row r="3000" spans="2:17">
      <c r="B3000" s="4" t="s">
        <v>1527</v>
      </c>
      <c r="E3000" s="4" t="s">
        <v>607</v>
      </c>
      <c r="F3000" s="4"/>
      <c r="G3000" s="4"/>
      <c r="H3000" s="6" t="s">
        <v>1528</v>
      </c>
      <c r="I3000" s="5" t="s">
        <v>1530</v>
      </c>
      <c r="J3000" s="1" t="s">
        <v>594</v>
      </c>
      <c r="K3000" s="1" t="s">
        <v>595</v>
      </c>
      <c r="L3000" s="6" t="s">
        <v>1534</v>
      </c>
      <c r="M3000" s="4" t="s">
        <v>1378</v>
      </c>
      <c r="N3000" s="6" t="s">
        <v>1535</v>
      </c>
      <c r="O3000" s="1" t="s">
        <v>1537</v>
      </c>
      <c r="P3000" s="6" t="s">
        <v>1620</v>
      </c>
      <c r="Q3000" s="1" t="s">
        <v>1154</v>
      </c>
    </row>
    <row r="3001" spans="2:17">
      <c r="B3001" s="4" t="s">
        <v>1621</v>
      </c>
      <c r="E3001" s="4" t="s">
        <v>1622</v>
      </c>
      <c r="H3001" s="6">
        <v>1</v>
      </c>
      <c r="I3001" s="107">
        <f t="shared" ref="I3001:I3010" si="838">J3001/M3001</f>
        <v>520.833333333333</v>
      </c>
      <c r="J3001" s="1">
        <v>520.833333333333</v>
      </c>
      <c r="K3001" s="1">
        <v>600</v>
      </c>
      <c r="L3001" s="6">
        <v>1</v>
      </c>
      <c r="M3001" s="4">
        <f>L3001</f>
        <v>1</v>
      </c>
      <c r="N3001" s="6">
        <v>1</v>
      </c>
      <c r="O3001" s="1">
        <f t="shared" ref="O3001:O3010" si="839">N3001*M3001</f>
        <v>1</v>
      </c>
      <c r="P3001" s="6">
        <v>100</v>
      </c>
      <c r="Q3001" s="68">
        <f t="shared" ref="Q3001:Q3010" si="840">P3001/$P$3011</f>
        <v>0.125</v>
      </c>
    </row>
    <row r="3002" spans="2:17">
      <c r="B3002" s="4" t="s">
        <v>1623</v>
      </c>
      <c r="E3002" s="4" t="s">
        <v>1624</v>
      </c>
      <c r="H3002" s="6">
        <v>1</v>
      </c>
      <c r="I3002" s="107">
        <f t="shared" si="838"/>
        <v>1562.5</v>
      </c>
      <c r="J3002" s="1">
        <v>1562.5</v>
      </c>
      <c r="K3002" s="1">
        <v>1800</v>
      </c>
      <c r="L3002" s="6">
        <v>1</v>
      </c>
      <c r="M3002" s="4">
        <f t="shared" ref="M3002:M3010" si="841">L3002</f>
        <v>1</v>
      </c>
      <c r="N3002" s="6">
        <v>1</v>
      </c>
      <c r="O3002" s="1">
        <f t="shared" si="839"/>
        <v>1</v>
      </c>
      <c r="P3002" s="6">
        <v>50</v>
      </c>
      <c r="Q3002" s="68">
        <f t="shared" si="840"/>
        <v>0.0625</v>
      </c>
    </row>
    <row r="3003" spans="2:17">
      <c r="B3003" s="4" t="s">
        <v>1625</v>
      </c>
      <c r="E3003" s="4" t="s">
        <v>1626</v>
      </c>
      <c r="H3003" s="6">
        <v>1</v>
      </c>
      <c r="I3003" s="107">
        <f t="shared" si="838"/>
        <v>416.666666666667</v>
      </c>
      <c r="J3003" s="1">
        <v>416.666666666667</v>
      </c>
      <c r="K3003" s="1">
        <v>208.333333333333</v>
      </c>
      <c r="L3003" s="6">
        <v>1</v>
      </c>
      <c r="M3003" s="4">
        <f t="shared" si="841"/>
        <v>1</v>
      </c>
      <c r="N3003" s="6">
        <v>1</v>
      </c>
      <c r="O3003" s="1">
        <f t="shared" si="839"/>
        <v>1</v>
      </c>
      <c r="P3003" s="6">
        <v>100</v>
      </c>
      <c r="Q3003" s="68">
        <f t="shared" si="840"/>
        <v>0.125</v>
      </c>
    </row>
    <row r="3004" spans="2:17">
      <c r="B3004" s="4" t="s">
        <v>1627</v>
      </c>
      <c r="E3004" s="4" t="s">
        <v>1628</v>
      </c>
      <c r="H3004" s="6">
        <v>1</v>
      </c>
      <c r="I3004" s="107">
        <f t="shared" si="838"/>
        <v>833.333333333333</v>
      </c>
      <c r="J3004" s="1">
        <v>833.333333333333</v>
      </c>
      <c r="K3004" s="1">
        <v>416.666666666667</v>
      </c>
      <c r="L3004" s="6">
        <v>1</v>
      </c>
      <c r="M3004" s="4">
        <f t="shared" si="841"/>
        <v>1</v>
      </c>
      <c r="N3004" s="6">
        <v>1</v>
      </c>
      <c r="O3004" s="1">
        <f t="shared" si="839"/>
        <v>1</v>
      </c>
      <c r="P3004" s="6">
        <v>50</v>
      </c>
      <c r="Q3004" s="68">
        <f t="shared" si="840"/>
        <v>0.0625</v>
      </c>
    </row>
    <row r="3005" spans="2:17">
      <c r="B3005" s="4" t="s">
        <v>1629</v>
      </c>
      <c r="E3005" s="4" t="s">
        <v>1630</v>
      </c>
      <c r="H3005" s="6">
        <v>1</v>
      </c>
      <c r="I3005" s="107">
        <f t="shared" si="838"/>
        <v>3333.33333333333</v>
      </c>
      <c r="J3005" s="1">
        <v>3333.33333333333</v>
      </c>
      <c r="K3005" s="1">
        <v>3333.33333333333</v>
      </c>
      <c r="L3005" s="6">
        <v>1</v>
      </c>
      <c r="M3005" s="4">
        <f t="shared" si="841"/>
        <v>1</v>
      </c>
      <c r="N3005" s="6">
        <v>1</v>
      </c>
      <c r="O3005" s="1">
        <f t="shared" si="839"/>
        <v>1</v>
      </c>
      <c r="P3005" s="6">
        <v>50</v>
      </c>
      <c r="Q3005" s="68">
        <f t="shared" si="840"/>
        <v>0.0625</v>
      </c>
    </row>
    <row r="3006" spans="2:17">
      <c r="B3006" s="4" t="s">
        <v>1631</v>
      </c>
      <c r="E3006" s="4" t="s">
        <v>1632</v>
      </c>
      <c r="H3006" s="6">
        <v>1</v>
      </c>
      <c r="I3006" s="107">
        <f t="shared" si="838"/>
        <v>208.333333333333</v>
      </c>
      <c r="J3006" s="1">
        <v>208.333333333333</v>
      </c>
      <c r="K3006" s="1">
        <v>208.333333333333</v>
      </c>
      <c r="L3006" s="6">
        <v>1</v>
      </c>
      <c r="M3006" s="4">
        <f t="shared" si="841"/>
        <v>1</v>
      </c>
      <c r="N3006" s="6">
        <v>1</v>
      </c>
      <c r="O3006" s="1">
        <f t="shared" si="839"/>
        <v>1</v>
      </c>
      <c r="P3006" s="6">
        <v>100</v>
      </c>
      <c r="Q3006" s="68">
        <f t="shared" si="840"/>
        <v>0.125</v>
      </c>
    </row>
    <row r="3007" spans="2:17">
      <c r="B3007" s="4" t="s">
        <v>1633</v>
      </c>
      <c r="E3007" s="4" t="s">
        <v>1634</v>
      </c>
      <c r="H3007" s="6">
        <v>1</v>
      </c>
      <c r="I3007" s="107">
        <f t="shared" si="838"/>
        <v>208.333333333333</v>
      </c>
      <c r="J3007" s="1">
        <v>208.333333333333</v>
      </c>
      <c r="K3007" s="1">
        <v>208.333333333333</v>
      </c>
      <c r="L3007" s="6">
        <v>1</v>
      </c>
      <c r="M3007" s="4">
        <f t="shared" si="841"/>
        <v>1</v>
      </c>
      <c r="N3007" s="6">
        <v>1</v>
      </c>
      <c r="O3007" s="1">
        <f t="shared" si="839"/>
        <v>1</v>
      </c>
      <c r="P3007" s="6">
        <v>100</v>
      </c>
      <c r="Q3007" s="68">
        <f t="shared" si="840"/>
        <v>0.125</v>
      </c>
    </row>
    <row r="3008" spans="2:17">
      <c r="B3008" s="4" t="s">
        <v>1635</v>
      </c>
      <c r="E3008" s="4" t="s">
        <v>1636</v>
      </c>
      <c r="H3008" s="6">
        <v>1</v>
      </c>
      <c r="I3008" s="107">
        <f t="shared" si="838"/>
        <v>208.333333333333</v>
      </c>
      <c r="J3008" s="1">
        <v>208.333333333333</v>
      </c>
      <c r="K3008" s="1">
        <v>208.333333333333</v>
      </c>
      <c r="L3008" s="6">
        <v>1</v>
      </c>
      <c r="M3008" s="4">
        <f t="shared" si="841"/>
        <v>1</v>
      </c>
      <c r="N3008" s="6">
        <v>1</v>
      </c>
      <c r="O3008" s="1">
        <f t="shared" si="839"/>
        <v>1</v>
      </c>
      <c r="P3008" s="6">
        <v>100</v>
      </c>
      <c r="Q3008" s="68">
        <f t="shared" si="840"/>
        <v>0.125</v>
      </c>
    </row>
    <row r="3009" spans="2:17">
      <c r="B3009" s="4" t="s">
        <v>1637</v>
      </c>
      <c r="E3009" s="4" t="s">
        <v>1638</v>
      </c>
      <c r="H3009" s="6">
        <v>50</v>
      </c>
      <c r="I3009" s="107">
        <f t="shared" si="838"/>
        <v>625</v>
      </c>
      <c r="J3009" s="1">
        <v>625</v>
      </c>
      <c r="K3009" s="1">
        <v>625</v>
      </c>
      <c r="L3009" s="6">
        <v>1</v>
      </c>
      <c r="M3009" s="4">
        <f t="shared" si="841"/>
        <v>1</v>
      </c>
      <c r="N3009" s="6">
        <v>1</v>
      </c>
      <c r="O3009" s="1">
        <f t="shared" si="839"/>
        <v>1</v>
      </c>
      <c r="P3009" s="6">
        <v>100</v>
      </c>
      <c r="Q3009" s="68">
        <f t="shared" si="840"/>
        <v>0.125</v>
      </c>
    </row>
    <row r="3010" spans="2:17">
      <c r="B3010" s="4" t="s">
        <v>1639</v>
      </c>
      <c r="E3010" s="4" t="s">
        <v>1638</v>
      </c>
      <c r="H3010" s="6">
        <v>200</v>
      </c>
      <c r="I3010" s="107">
        <f t="shared" si="838"/>
        <v>2500</v>
      </c>
      <c r="J3010" s="1">
        <v>2500</v>
      </c>
      <c r="K3010" s="1">
        <v>2500</v>
      </c>
      <c r="L3010" s="6">
        <v>1</v>
      </c>
      <c r="M3010" s="4">
        <f t="shared" si="841"/>
        <v>1</v>
      </c>
      <c r="N3010" s="6">
        <v>1</v>
      </c>
      <c r="O3010" s="1">
        <f t="shared" si="839"/>
        <v>1</v>
      </c>
      <c r="P3010" s="6">
        <v>50</v>
      </c>
      <c r="Q3010" s="68">
        <f t="shared" si="840"/>
        <v>0.0625</v>
      </c>
    </row>
    <row r="3011" spans="2:18">
      <c r="B3011" s="4"/>
      <c r="E3011" s="4"/>
      <c r="H3011" s="4"/>
      <c r="I3011" s="105"/>
      <c r="K3011" s="4"/>
      <c r="N3011" s="4"/>
      <c r="O3011" s="1">
        <f>SUMPRODUCT(O3001:O3010,Q3001:Q3010)</f>
        <v>1</v>
      </c>
      <c r="P3011" s="1">
        <f>SUM(P3001:P3010)</f>
        <v>800</v>
      </c>
      <c r="R3011" s="5"/>
    </row>
    <row r="3012" spans="2:20">
      <c r="B3012" s="4"/>
      <c r="E3012" s="4"/>
      <c r="H3012" s="4"/>
      <c r="I3012" s="4"/>
      <c r="J3012" s="105"/>
      <c r="K3012" s="105"/>
      <c r="M3012" s="4"/>
      <c r="P3012" s="4"/>
      <c r="T3012" s="5"/>
    </row>
    <row r="3013" spans="2:12">
      <c r="B3013" s="27" t="s">
        <v>1640</v>
      </c>
      <c r="C3013" s="27"/>
      <c r="D3013" s="27"/>
      <c r="E3013" s="27"/>
      <c r="F3013" s="27"/>
      <c r="G3013" s="27"/>
      <c r="H3013" s="27"/>
      <c r="I3013" s="27"/>
      <c r="J3013" s="27"/>
      <c r="K3013" s="27"/>
      <c r="L3013" s="27"/>
    </row>
    <row r="3014" spans="2:19">
      <c r="B3014" s="4"/>
      <c r="D3014" s="4"/>
      <c r="G3014" s="4"/>
      <c r="H3014" s="4"/>
      <c r="I3014" s="105"/>
      <c r="J3014" s="105"/>
      <c r="L3014" s="4"/>
      <c r="O3014" s="4"/>
      <c r="S3014" s="5"/>
    </row>
    <row r="3015" spans="2:18">
      <c r="B3015" s="4" t="s">
        <v>1527</v>
      </c>
      <c r="E3015" s="4" t="s">
        <v>607</v>
      </c>
      <c r="F3015" s="4"/>
      <c r="G3015" s="4"/>
      <c r="H3015" s="6" t="s">
        <v>1528</v>
      </c>
      <c r="I3015" s="4" t="s">
        <v>1529</v>
      </c>
      <c r="J3015" s="5" t="s">
        <v>1530</v>
      </c>
      <c r="K3015" s="6" t="s">
        <v>1533</v>
      </c>
      <c r="L3015" s="1" t="s">
        <v>594</v>
      </c>
      <c r="M3015" s="1" t="s">
        <v>595</v>
      </c>
      <c r="N3015" s="1" t="s">
        <v>1534</v>
      </c>
      <c r="O3015" s="4" t="s">
        <v>1378</v>
      </c>
      <c r="P3015" s="6" t="s">
        <v>1535</v>
      </c>
      <c r="Q3015" s="1" t="s">
        <v>1537</v>
      </c>
      <c r="R3015" s="6" t="s">
        <v>1493</v>
      </c>
    </row>
    <row r="3016" spans="2:18">
      <c r="B3016" s="4" t="s">
        <v>1641</v>
      </c>
      <c r="E3016" s="4" t="s">
        <v>1630</v>
      </c>
      <c r="H3016" s="6">
        <v>5</v>
      </c>
      <c r="I3016" s="4" t="str">
        <f t="shared" ref="I3016:I3020" si="842">IF(K3016&gt;-0.5,"purple","yellow")</f>
        <v>yellow</v>
      </c>
      <c r="J3016" s="105">
        <f t="shared" ref="J3016:J3020" si="843">L3016/O3016</f>
        <v>11.1111111111111</v>
      </c>
      <c r="K3016" s="6">
        <v>-0.91</v>
      </c>
      <c r="L3016" s="1">
        <v>16666.6666666667</v>
      </c>
      <c r="M3016" s="1">
        <v>16666.6666666667</v>
      </c>
      <c r="N3016" s="1">
        <f t="shared" ref="N3016:N3020" si="844">M3016*(1+K3016)</f>
        <v>1500</v>
      </c>
      <c r="O3016" s="4">
        <f>_xlfn.FLOOR.MATH(N3016,5)</f>
        <v>1500</v>
      </c>
      <c r="P3016" s="6">
        <v>1</v>
      </c>
      <c r="Q3016" s="1">
        <f t="shared" ref="Q3016:Q3020" si="845">P3016*O3016</f>
        <v>1500</v>
      </c>
      <c r="R3016" s="6">
        <v>1</v>
      </c>
    </row>
    <row r="3017" spans="2:18">
      <c r="B3017" s="4" t="s">
        <v>1642</v>
      </c>
      <c r="E3017" s="4" t="s">
        <v>1630</v>
      </c>
      <c r="H3017" s="6">
        <v>5</v>
      </c>
      <c r="I3017" s="4" t="str">
        <f t="shared" si="842"/>
        <v>yellow</v>
      </c>
      <c r="J3017" s="105">
        <f t="shared" si="843"/>
        <v>5.55555555555556</v>
      </c>
      <c r="K3017" s="6">
        <v>-0.82</v>
      </c>
      <c r="L3017" s="1">
        <v>16666.6666666667</v>
      </c>
      <c r="M3017" s="1">
        <v>16666.6666666667</v>
      </c>
      <c r="N3017" s="1">
        <f t="shared" si="844"/>
        <v>3000</v>
      </c>
      <c r="O3017" s="4">
        <f>_xlfn.FLOOR.MATH(N3017,5)</f>
        <v>3000</v>
      </c>
      <c r="P3017" s="6">
        <v>1</v>
      </c>
      <c r="Q3017" s="1">
        <f t="shared" si="845"/>
        <v>3000</v>
      </c>
      <c r="R3017" s="6">
        <v>2</v>
      </c>
    </row>
    <row r="3018" spans="2:18">
      <c r="B3018" s="4" t="s">
        <v>1643</v>
      </c>
      <c r="E3018" s="4" t="s">
        <v>1630</v>
      </c>
      <c r="H3018" s="6">
        <v>10</v>
      </c>
      <c r="I3018" s="4" t="str">
        <f t="shared" si="842"/>
        <v>yellow</v>
      </c>
      <c r="J3018" s="105">
        <f t="shared" si="843"/>
        <v>6.66666666666667</v>
      </c>
      <c r="K3018" s="6">
        <v>-0.85</v>
      </c>
      <c r="L3018" s="1">
        <v>33333.3333333333</v>
      </c>
      <c r="M3018" s="1">
        <v>33333.3333333333</v>
      </c>
      <c r="N3018" s="1">
        <f t="shared" si="844"/>
        <v>5000</v>
      </c>
      <c r="O3018" s="4">
        <f>_xlfn.FLOOR.MATH(N3018,5)</f>
        <v>5000</v>
      </c>
      <c r="P3018" s="6">
        <v>1</v>
      </c>
      <c r="Q3018" s="1">
        <f t="shared" si="845"/>
        <v>5000</v>
      </c>
      <c r="R3018" s="6">
        <v>3</v>
      </c>
    </row>
    <row r="3019" spans="2:18">
      <c r="B3019" s="4" t="s">
        <v>1644</v>
      </c>
      <c r="E3019" s="4" t="s">
        <v>1630</v>
      </c>
      <c r="H3019" s="6">
        <v>10</v>
      </c>
      <c r="I3019" s="4" t="str">
        <f t="shared" si="842"/>
        <v>yellow</v>
      </c>
      <c r="J3019" s="105">
        <f t="shared" si="843"/>
        <v>5.55555555555556</v>
      </c>
      <c r="K3019" s="6">
        <v>-0.82</v>
      </c>
      <c r="L3019" s="1">
        <v>33333.3333333333</v>
      </c>
      <c r="M3019" s="1">
        <v>33333.3333333333</v>
      </c>
      <c r="N3019" s="1">
        <f t="shared" si="844"/>
        <v>6000</v>
      </c>
      <c r="O3019" s="4">
        <f>_xlfn.FLOOR.MATH(N3019,5)</f>
        <v>6000</v>
      </c>
      <c r="P3019" s="6">
        <v>1</v>
      </c>
      <c r="Q3019" s="1">
        <f t="shared" si="845"/>
        <v>6000</v>
      </c>
      <c r="R3019" s="6">
        <v>4</v>
      </c>
    </row>
    <row r="3020" spans="2:18">
      <c r="B3020" s="4" t="s">
        <v>1645</v>
      </c>
      <c r="E3020" s="4" t="s">
        <v>1630</v>
      </c>
      <c r="H3020" s="6">
        <v>10</v>
      </c>
      <c r="I3020" s="4" t="str">
        <f t="shared" si="842"/>
        <v>yellow</v>
      </c>
      <c r="J3020" s="105">
        <f t="shared" si="843"/>
        <v>4.16666666666667</v>
      </c>
      <c r="K3020" s="6">
        <v>-0.76</v>
      </c>
      <c r="L3020" s="1">
        <v>33333.3333333333</v>
      </c>
      <c r="M3020" s="1">
        <v>33333.3333333333</v>
      </c>
      <c r="N3020" s="1">
        <f t="shared" si="844"/>
        <v>8000</v>
      </c>
      <c r="O3020" s="4">
        <f>_xlfn.FLOOR.MATH(N3020,5)</f>
        <v>8000</v>
      </c>
      <c r="P3020" s="6">
        <v>1</v>
      </c>
      <c r="Q3020" s="1">
        <f t="shared" si="845"/>
        <v>8000</v>
      </c>
      <c r="R3020" s="6">
        <v>5</v>
      </c>
    </row>
    <row r="3021" spans="2:20">
      <c r="B3021" s="4"/>
      <c r="E3021" s="4"/>
      <c r="H3021" s="4"/>
      <c r="I3021" s="4"/>
      <c r="J3021" s="105"/>
      <c r="K3021" s="105"/>
      <c r="M3021" s="4"/>
      <c r="P3021" s="4"/>
      <c r="T3021" s="5"/>
    </row>
    <row r="3022" spans="2:12">
      <c r="B3022" s="27" t="s">
        <v>1646</v>
      </c>
      <c r="C3022" s="27"/>
      <c r="D3022" s="27"/>
      <c r="E3022" s="27"/>
      <c r="F3022" s="27"/>
      <c r="G3022" s="27"/>
      <c r="H3022" s="27"/>
      <c r="I3022" s="27"/>
      <c r="J3022" s="27"/>
      <c r="K3022" s="27"/>
      <c r="L3022" s="27"/>
    </row>
    <row r="3023" spans="2:14">
      <c r="B3023" s="4"/>
      <c r="D3023" s="4"/>
      <c r="G3023" s="4"/>
      <c r="H3023" s="4"/>
      <c r="I3023" s="105"/>
      <c r="K3023" s="4"/>
      <c r="N3023" s="4"/>
    </row>
    <row r="3024" spans="2:17">
      <c r="B3024" s="8" t="s">
        <v>1531</v>
      </c>
      <c r="C3024" s="8" t="s">
        <v>1493</v>
      </c>
      <c r="D3024" s="8" t="s">
        <v>1647</v>
      </c>
      <c r="E3024" s="8" t="s">
        <v>1101</v>
      </c>
      <c r="F3024" s="8" t="s">
        <v>1536</v>
      </c>
      <c r="G3024" s="8" t="s">
        <v>1532</v>
      </c>
      <c r="H3024" s="64" t="s">
        <v>1648</v>
      </c>
      <c r="I3024" s="64" t="s">
        <v>1649</v>
      </c>
      <c r="J3024" s="64" t="s">
        <v>1650</v>
      </c>
      <c r="K3024" s="8" t="s">
        <v>1651</v>
      </c>
      <c r="L3024" s="8" t="s">
        <v>1652</v>
      </c>
      <c r="M3024" s="8" t="s">
        <v>1653</v>
      </c>
      <c r="N3024" s="62" t="s">
        <v>1451</v>
      </c>
      <c r="O3024" s="64" t="s">
        <v>1654</v>
      </c>
      <c r="P3024" s="64" t="s">
        <v>1655</v>
      </c>
      <c r="Q3024" s="8"/>
    </row>
    <row r="3025" spans="2:17">
      <c r="B3025" s="8">
        <v>1</v>
      </c>
      <c r="C3025" s="8">
        <f ca="1" t="shared" ref="C3025:C3031" si="846">OFFSET($K$2935,MATCH(B3025,$L$2935:$L$2967,0)-1,0)</f>
        <v>0</v>
      </c>
      <c r="D3025" s="8">
        <f t="shared" ref="D3025:D3031" si="847">SUMIFS($V$2935:$V$2967,$L$2935:$L$2967,B3025)/$E$2829</f>
        <v>33.3333333333333</v>
      </c>
      <c r="E3025" s="8">
        <f>D3025</f>
        <v>33.3333333333333</v>
      </c>
      <c r="F3025" s="8">
        <f t="shared" ref="F3025:F3031" si="848">SUMIFS($U$2935:$U$2967,$L$2935:$L$2967,B3025)/$E$2829</f>
        <v>66666.6666666667</v>
      </c>
      <c r="G3025" s="8" t="str">
        <f ca="1" t="shared" ref="G3025:G3031" si="849">OFFSET($M$2935,MATCH(B3025,$L$2935:$L$2967,0)-1,0)</f>
        <v>陆军经验</v>
      </c>
      <c r="H3025" s="64">
        <f ca="1" t="shared" ref="H3025:H3031" si="850">IF(G3025="弹药",F3025,0)</f>
        <v>0</v>
      </c>
      <c r="I3025" s="64">
        <f ca="1">H3025</f>
        <v>0</v>
      </c>
      <c r="J3025" s="64">
        <f ca="1" t="shared" ref="J3025:J3031" si="851">H3025/D3025</f>
        <v>0</v>
      </c>
      <c r="K3025" s="8">
        <f ca="1" t="shared" ref="K3025:K3031" si="852">IF(G3025="配件材料",F3025,0)</f>
        <v>0</v>
      </c>
      <c r="L3025" s="8">
        <f ca="1">K3025</f>
        <v>0</v>
      </c>
      <c r="M3025" s="8">
        <f ca="1" t="shared" ref="M3025:M3031" si="853">K3025/D3025</f>
        <v>0</v>
      </c>
      <c r="N3025" s="62">
        <f ca="1" t="shared" ref="N3025:N3031" si="854">IF(G3025="抽卡券",F3025,0)</f>
        <v>0</v>
      </c>
      <c r="O3025" s="64">
        <f ca="1">N3025</f>
        <v>0</v>
      </c>
      <c r="P3025" s="64">
        <f ca="1" t="shared" ref="P3025:P3031" si="855">N3025/D3025</f>
        <v>0</v>
      </c>
      <c r="Q3025" s="8"/>
    </row>
    <row r="3026" spans="2:17">
      <c r="B3026" s="8">
        <v>2</v>
      </c>
      <c r="C3026" s="8">
        <f ca="1" t="shared" si="846"/>
        <v>0</v>
      </c>
      <c r="D3026" s="8">
        <f t="shared" si="847"/>
        <v>750</v>
      </c>
      <c r="E3026" s="8">
        <f>E3025+D3026</f>
        <v>783.333333333333</v>
      </c>
      <c r="F3026" s="8">
        <f t="shared" si="848"/>
        <v>1000</v>
      </c>
      <c r="G3026" s="8" t="str">
        <f ca="1" t="shared" si="849"/>
        <v>弹药</v>
      </c>
      <c r="H3026" s="64">
        <f ca="1" t="shared" si="850"/>
        <v>1000</v>
      </c>
      <c r="I3026" s="64">
        <f ca="1" t="shared" ref="I3026:I3031" si="856">I3025+H3026</f>
        <v>1000</v>
      </c>
      <c r="J3026" s="64">
        <f ca="1" t="shared" si="851"/>
        <v>1.33333333333333</v>
      </c>
      <c r="K3026" s="8">
        <f ca="1" t="shared" si="852"/>
        <v>0</v>
      </c>
      <c r="L3026" s="8">
        <f ca="1" t="shared" ref="L3026:L3031" si="857">L3025+K3026</f>
        <v>0</v>
      </c>
      <c r="M3026" s="8">
        <f ca="1" t="shared" si="853"/>
        <v>0</v>
      </c>
      <c r="N3026" s="62">
        <f ca="1" t="shared" si="854"/>
        <v>0</v>
      </c>
      <c r="O3026" s="64">
        <f ca="1" t="shared" ref="O3026:O3031" si="858">O3025+N3026</f>
        <v>0</v>
      </c>
      <c r="P3026" s="64">
        <f ca="1" t="shared" si="855"/>
        <v>0</v>
      </c>
      <c r="Q3026" s="8"/>
    </row>
    <row r="3027" spans="2:17">
      <c r="B3027" s="8">
        <v>3</v>
      </c>
      <c r="C3027" s="8">
        <f ca="1" t="shared" si="846"/>
        <v>1</v>
      </c>
      <c r="D3027" s="8">
        <f t="shared" si="847"/>
        <v>140</v>
      </c>
      <c r="E3027" s="8">
        <f t="shared" ref="E3027:E3029" si="859">E3026+D3027</f>
        <v>923.333333333333</v>
      </c>
      <c r="F3027" s="8">
        <f t="shared" si="848"/>
        <v>350</v>
      </c>
      <c r="G3027" s="8" t="str">
        <f ca="1" t="shared" si="849"/>
        <v>配件材料</v>
      </c>
      <c r="H3027" s="64">
        <f ca="1" t="shared" si="850"/>
        <v>0</v>
      </c>
      <c r="I3027" s="64">
        <f ca="1" t="shared" si="856"/>
        <v>1000</v>
      </c>
      <c r="J3027" s="64">
        <f ca="1" t="shared" si="851"/>
        <v>0</v>
      </c>
      <c r="K3027" s="8">
        <f ca="1" t="shared" si="852"/>
        <v>350</v>
      </c>
      <c r="L3027" s="8">
        <f ca="1" t="shared" si="857"/>
        <v>350</v>
      </c>
      <c r="M3027" s="8">
        <f ca="1" t="shared" si="853"/>
        <v>2.5</v>
      </c>
      <c r="N3027" s="62">
        <f ca="1" t="shared" si="854"/>
        <v>0</v>
      </c>
      <c r="O3027" s="64">
        <f ca="1" t="shared" si="858"/>
        <v>0</v>
      </c>
      <c r="P3027" s="64">
        <f ca="1" t="shared" si="855"/>
        <v>0</v>
      </c>
      <c r="Q3027" s="8"/>
    </row>
    <row r="3028" spans="2:17">
      <c r="B3028" s="8">
        <v>4</v>
      </c>
      <c r="C3028" s="8">
        <f ca="1" t="shared" si="846"/>
        <v>1</v>
      </c>
      <c r="D3028" s="8">
        <f t="shared" si="847"/>
        <v>700</v>
      </c>
      <c r="E3028" s="8">
        <f t="shared" si="859"/>
        <v>1623.33333333333</v>
      </c>
      <c r="F3028" s="8">
        <f t="shared" si="848"/>
        <v>2.33333333333333</v>
      </c>
      <c r="G3028" s="8" t="str">
        <f ca="1" t="shared" si="849"/>
        <v>抽卡券</v>
      </c>
      <c r="H3028" s="64">
        <f ca="1" t="shared" si="850"/>
        <v>0</v>
      </c>
      <c r="I3028" s="64">
        <f ca="1" t="shared" si="856"/>
        <v>1000</v>
      </c>
      <c r="J3028" s="64">
        <f ca="1" t="shared" si="851"/>
        <v>0</v>
      </c>
      <c r="K3028" s="8">
        <f ca="1" t="shared" si="852"/>
        <v>0</v>
      </c>
      <c r="L3028" s="8">
        <f ca="1" t="shared" si="857"/>
        <v>350</v>
      </c>
      <c r="M3028" s="8">
        <f ca="1" t="shared" si="853"/>
        <v>0</v>
      </c>
      <c r="N3028" s="62">
        <f ca="1" t="shared" si="854"/>
        <v>2.33333333333333</v>
      </c>
      <c r="O3028" s="64">
        <f ca="1" t="shared" si="858"/>
        <v>2.33333333333333</v>
      </c>
      <c r="P3028" s="64">
        <f ca="1" t="shared" si="855"/>
        <v>0.00333333333333333</v>
      </c>
      <c r="Q3028" s="8"/>
    </row>
    <row r="3029" spans="2:17">
      <c r="B3029" s="8">
        <v>5</v>
      </c>
      <c r="C3029" s="8">
        <f ca="1" t="shared" si="846"/>
        <v>2</v>
      </c>
      <c r="D3029" s="8">
        <f t="shared" si="847"/>
        <v>93.3333333333333</v>
      </c>
      <c r="E3029" s="8">
        <f t="shared" si="859"/>
        <v>1716.66666666667</v>
      </c>
      <c r="F3029" s="8">
        <f t="shared" si="848"/>
        <v>233.333333333333</v>
      </c>
      <c r="G3029" s="8" t="str">
        <f ca="1" t="shared" si="849"/>
        <v>配件材料</v>
      </c>
      <c r="H3029" s="64">
        <f ca="1" t="shared" si="850"/>
        <v>0</v>
      </c>
      <c r="I3029" s="64">
        <f ca="1" t="shared" si="856"/>
        <v>1000</v>
      </c>
      <c r="J3029" s="64">
        <f ca="1" t="shared" si="851"/>
        <v>0</v>
      </c>
      <c r="K3029" s="8">
        <f ca="1" t="shared" si="852"/>
        <v>233.333333333333</v>
      </c>
      <c r="L3029" s="8">
        <f ca="1" t="shared" si="857"/>
        <v>583.333333333333</v>
      </c>
      <c r="M3029" s="8">
        <f ca="1" t="shared" si="853"/>
        <v>2.5</v>
      </c>
      <c r="N3029" s="62">
        <f ca="1" t="shared" si="854"/>
        <v>0</v>
      </c>
      <c r="O3029" s="64">
        <f ca="1" t="shared" si="858"/>
        <v>2.33333333333333</v>
      </c>
      <c r="P3029" s="64">
        <f ca="1" t="shared" si="855"/>
        <v>0</v>
      </c>
      <c r="Q3029" s="8"/>
    </row>
    <row r="3030" spans="2:17">
      <c r="B3030" s="8">
        <v>6</v>
      </c>
      <c r="C3030" s="8">
        <f ca="1" t="shared" si="846"/>
        <v>2</v>
      </c>
      <c r="D3030" s="8">
        <f t="shared" si="847"/>
        <v>2750</v>
      </c>
      <c r="E3030" s="8">
        <f t="shared" ref="E3030" si="860">E3029+D3030</f>
        <v>4466.66666666667</v>
      </c>
      <c r="F3030" s="8">
        <f t="shared" si="848"/>
        <v>1500</v>
      </c>
      <c r="G3030" s="8" t="str">
        <f ca="1" t="shared" si="849"/>
        <v>弹药</v>
      </c>
      <c r="H3030" s="64">
        <f ca="1" t="shared" si="850"/>
        <v>1500</v>
      </c>
      <c r="I3030" s="64">
        <f ca="1" t="shared" si="856"/>
        <v>2500</v>
      </c>
      <c r="J3030" s="64">
        <f ca="1" t="shared" si="851"/>
        <v>0.545454545454545</v>
      </c>
      <c r="K3030" s="8">
        <f ca="1" t="shared" si="852"/>
        <v>0</v>
      </c>
      <c r="L3030" s="8">
        <f ca="1" t="shared" si="857"/>
        <v>583.333333333333</v>
      </c>
      <c r="M3030" s="8">
        <f ca="1" t="shared" si="853"/>
        <v>0</v>
      </c>
      <c r="N3030" s="62">
        <f ca="1" t="shared" si="854"/>
        <v>0</v>
      </c>
      <c r="O3030" s="64">
        <f ca="1" t="shared" si="858"/>
        <v>2.33333333333333</v>
      </c>
      <c r="P3030" s="64">
        <f ca="1" t="shared" si="855"/>
        <v>0</v>
      </c>
      <c r="Q3030" s="8"/>
    </row>
    <row r="3031" spans="2:17">
      <c r="B3031" s="8">
        <v>7</v>
      </c>
      <c r="C3031" s="8">
        <f ca="1" t="shared" si="846"/>
        <v>3</v>
      </c>
      <c r="D3031" s="8">
        <f t="shared" si="847"/>
        <v>1300</v>
      </c>
      <c r="E3031" s="8">
        <f t="shared" ref="E3031" si="861">E3030+D3031</f>
        <v>5766.66666666667</v>
      </c>
      <c r="F3031" s="8">
        <f t="shared" si="848"/>
        <v>1250</v>
      </c>
      <c r="G3031" s="8" t="str">
        <f ca="1" t="shared" si="849"/>
        <v>配件材料</v>
      </c>
      <c r="H3031" s="64">
        <f ca="1" t="shared" si="850"/>
        <v>0</v>
      </c>
      <c r="I3031" s="64">
        <f ca="1" t="shared" si="856"/>
        <v>2500</v>
      </c>
      <c r="J3031" s="64">
        <f ca="1" t="shared" si="851"/>
        <v>0</v>
      </c>
      <c r="K3031" s="8">
        <f ca="1" t="shared" si="852"/>
        <v>1250</v>
      </c>
      <c r="L3031" s="8">
        <f ca="1" t="shared" si="857"/>
        <v>1833.33333333333</v>
      </c>
      <c r="M3031" s="8">
        <f ca="1" t="shared" si="853"/>
        <v>0.961538461538462</v>
      </c>
      <c r="N3031" s="62">
        <f ca="1" t="shared" si="854"/>
        <v>0</v>
      </c>
      <c r="O3031" s="64">
        <f ca="1" t="shared" si="858"/>
        <v>2.33333333333333</v>
      </c>
      <c r="P3031" s="64">
        <f ca="1" t="shared" si="855"/>
        <v>0</v>
      </c>
      <c r="Q3031" s="8"/>
    </row>
    <row r="3033" spans="2:12">
      <c r="B3033" s="27" t="s">
        <v>1656</v>
      </c>
      <c r="C3033" s="27"/>
      <c r="D3033" s="27"/>
      <c r="E3033" s="27"/>
      <c r="F3033" s="27"/>
      <c r="G3033" s="27"/>
      <c r="H3033" s="27"/>
      <c r="I3033" s="27"/>
      <c r="J3033" s="27"/>
      <c r="K3033" s="27"/>
      <c r="L3033" s="27"/>
    </row>
    <row r="3034" spans="2:14">
      <c r="B3034" s="4"/>
      <c r="D3034" s="4"/>
      <c r="G3034" s="4"/>
      <c r="H3034" s="4"/>
      <c r="I3034" s="105"/>
      <c r="K3034" s="4"/>
      <c r="N3034" s="4"/>
    </row>
    <row r="3035" spans="2:17">
      <c r="B3035" s="8" t="s">
        <v>1531</v>
      </c>
      <c r="C3035" s="8" t="s">
        <v>1493</v>
      </c>
      <c r="D3035" s="8" t="s">
        <v>1657</v>
      </c>
      <c r="E3035" s="8" t="s">
        <v>1101</v>
      </c>
      <c r="F3035" s="8" t="s">
        <v>1536</v>
      </c>
      <c r="G3035" s="8" t="s">
        <v>1532</v>
      </c>
      <c r="H3035" s="64" t="s">
        <v>1658</v>
      </c>
      <c r="I3035" s="64" t="s">
        <v>1659</v>
      </c>
      <c r="J3035" s="64" t="s">
        <v>1660</v>
      </c>
      <c r="K3035" s="8" t="s">
        <v>1661</v>
      </c>
      <c r="L3035" s="8" t="s">
        <v>1662</v>
      </c>
      <c r="M3035" s="8" t="s">
        <v>1663</v>
      </c>
      <c r="N3035" s="62" t="s">
        <v>1206</v>
      </c>
      <c r="O3035" s="64" t="s">
        <v>1664</v>
      </c>
      <c r="P3035" s="64" t="s">
        <v>1665</v>
      </c>
      <c r="Q3035" s="8"/>
    </row>
    <row r="3036" spans="2:17">
      <c r="B3036" s="8">
        <v>1</v>
      </c>
      <c r="C3036" s="8">
        <f ca="1" t="shared" ref="C3036:C3042" si="862">OFFSET($K$2975,MATCH(B3036,$L$2975:$L$2994,0)-1,0)</f>
        <v>0</v>
      </c>
      <c r="D3036" s="8">
        <f t="shared" ref="D3036:D3042" si="863">SUMIFS($V$2975:$V$2994,$L$2975:$L$2994,B3036)/$E$2829</f>
        <v>16.6666666666667</v>
      </c>
      <c r="E3036" s="8">
        <f>D3036</f>
        <v>16.6666666666667</v>
      </c>
      <c r="F3036" s="8">
        <f t="shared" ref="F3036:F3042" si="864">SUMIFS($U$2975:$U$2994,$L$2975:$L$2994,B3036)/$E$2829</f>
        <v>33333.3333333333</v>
      </c>
      <c r="G3036" s="8" t="str">
        <f ca="1" t="shared" ref="G3036:G3042" si="865">OFFSET($M$2975,MATCH(B3036,$L$2975:$L$2994,0)-1,0)</f>
        <v>空军经验</v>
      </c>
      <c r="H3036" s="64">
        <f ca="1">IF(G3036="空军弹药",F3036,0)</f>
        <v>0</v>
      </c>
      <c r="I3036" s="64">
        <f ca="1">H3036</f>
        <v>0</v>
      </c>
      <c r="J3036" s="64">
        <f ca="1" t="shared" ref="J3036:J3042" si="866">H3036/D3036</f>
        <v>0</v>
      </c>
      <c r="K3036" s="8">
        <f ca="1">IF(G3036="空军零件",F3036,0)</f>
        <v>0</v>
      </c>
      <c r="L3036" s="8">
        <f ca="1">K3036</f>
        <v>0</v>
      </c>
      <c r="M3036" s="8">
        <f ca="1" t="shared" ref="M3036:M3042" si="867">K3036/D3036</f>
        <v>0</v>
      </c>
      <c r="N3036" s="62">
        <f ca="1">IF(G3036="抽卡券",F3036,0)</f>
        <v>0</v>
      </c>
      <c r="O3036" s="64">
        <f ca="1">N3036</f>
        <v>0</v>
      </c>
      <c r="P3036" s="64">
        <f ca="1" t="shared" ref="P3036:P3042" si="868">N3036/D3036</f>
        <v>0</v>
      </c>
      <c r="Q3036" s="8"/>
    </row>
    <row r="3037" spans="2:17">
      <c r="B3037" s="8">
        <v>2</v>
      </c>
      <c r="C3037" s="8">
        <f ca="1" t="shared" si="862"/>
        <v>0</v>
      </c>
      <c r="D3037" s="8">
        <f t="shared" si="863"/>
        <v>150</v>
      </c>
      <c r="E3037" s="8">
        <f>E3036+D3037</f>
        <v>166.666666666667</v>
      </c>
      <c r="F3037" s="8">
        <f t="shared" si="864"/>
        <v>200</v>
      </c>
      <c r="G3037" s="8" t="str">
        <f ca="1" t="shared" si="865"/>
        <v>空军弹药</v>
      </c>
      <c r="H3037" s="64">
        <f ca="1" t="shared" ref="H3037:H3039" si="869">IF(G3037="空军弹药",F3037,0)</f>
        <v>200</v>
      </c>
      <c r="I3037" s="64">
        <f ca="1" t="shared" ref="I3037:I3042" si="870">I3036+H3037</f>
        <v>200</v>
      </c>
      <c r="J3037" s="64">
        <f ca="1" t="shared" si="866"/>
        <v>1.33333333333333</v>
      </c>
      <c r="K3037" s="8">
        <f ca="1" t="shared" ref="K3037:K3042" si="871">IF(G3037="空军零件",F3037,0)</f>
        <v>0</v>
      </c>
      <c r="L3037" s="8">
        <f ca="1" t="shared" ref="L3037:L3042" si="872">L3036+K3037</f>
        <v>0</v>
      </c>
      <c r="M3037" s="8">
        <f ca="1" t="shared" si="867"/>
        <v>0</v>
      </c>
      <c r="N3037" s="62">
        <f ca="1" t="shared" ref="N3037:N3042" si="873">IF(G3037="抽卡券",F3037,0)</f>
        <v>0</v>
      </c>
      <c r="O3037" s="64">
        <f ca="1" t="shared" ref="O3037:O3042" si="874">O3036+N3037</f>
        <v>0</v>
      </c>
      <c r="P3037" s="64">
        <f ca="1" t="shared" si="868"/>
        <v>0</v>
      </c>
      <c r="Q3037" s="8"/>
    </row>
    <row r="3038" spans="2:17">
      <c r="B3038" s="8">
        <v>3</v>
      </c>
      <c r="C3038" s="8">
        <f ca="1" t="shared" si="862"/>
        <v>1</v>
      </c>
      <c r="D3038" s="8">
        <f t="shared" si="863"/>
        <v>41.6666666666667</v>
      </c>
      <c r="E3038" s="8">
        <f t="shared" ref="E3038:E3039" si="875">E3037+D3038</f>
        <v>208.333333333333</v>
      </c>
      <c r="F3038" s="8">
        <f t="shared" si="864"/>
        <v>16.6666666666667</v>
      </c>
      <c r="G3038" s="8" t="str">
        <f ca="1" t="shared" si="865"/>
        <v>空军零件</v>
      </c>
      <c r="H3038" s="64">
        <f ca="1" t="shared" si="869"/>
        <v>0</v>
      </c>
      <c r="I3038" s="64">
        <f ca="1" t="shared" si="870"/>
        <v>200</v>
      </c>
      <c r="J3038" s="64">
        <f ca="1" t="shared" si="866"/>
        <v>0</v>
      </c>
      <c r="K3038" s="8">
        <f ca="1" t="shared" si="871"/>
        <v>16.6666666666667</v>
      </c>
      <c r="L3038" s="8">
        <f ca="1" t="shared" si="872"/>
        <v>16.6666666666667</v>
      </c>
      <c r="M3038" s="8">
        <f ca="1" t="shared" si="867"/>
        <v>0.4</v>
      </c>
      <c r="N3038" s="62">
        <f ca="1" t="shared" si="873"/>
        <v>0</v>
      </c>
      <c r="O3038" s="64">
        <f ca="1" t="shared" si="874"/>
        <v>0</v>
      </c>
      <c r="P3038" s="64">
        <f ca="1" t="shared" si="868"/>
        <v>0</v>
      </c>
      <c r="Q3038" s="8"/>
    </row>
    <row r="3039" spans="2:17">
      <c r="B3039" s="8">
        <v>4</v>
      </c>
      <c r="C3039" s="8">
        <f ca="1" t="shared" si="862"/>
        <v>1</v>
      </c>
      <c r="D3039" s="8">
        <f t="shared" si="863"/>
        <v>90</v>
      </c>
      <c r="E3039" s="8">
        <f t="shared" si="875"/>
        <v>298.333333333333</v>
      </c>
      <c r="F3039" s="8">
        <f t="shared" si="864"/>
        <v>1</v>
      </c>
      <c r="G3039" s="8" t="str">
        <f ca="1" t="shared" si="865"/>
        <v>抽卡券</v>
      </c>
      <c r="H3039" s="64">
        <f ca="1" t="shared" si="869"/>
        <v>0</v>
      </c>
      <c r="I3039" s="64">
        <f ca="1" t="shared" si="870"/>
        <v>200</v>
      </c>
      <c r="J3039" s="64">
        <f ca="1" t="shared" si="866"/>
        <v>0</v>
      </c>
      <c r="K3039" s="8">
        <f ca="1" t="shared" si="871"/>
        <v>0</v>
      </c>
      <c r="L3039" s="8">
        <f ca="1" t="shared" si="872"/>
        <v>16.6666666666667</v>
      </c>
      <c r="M3039" s="8">
        <f ca="1" t="shared" si="867"/>
        <v>0</v>
      </c>
      <c r="N3039" s="62">
        <f ca="1" t="shared" si="873"/>
        <v>1</v>
      </c>
      <c r="O3039" s="64">
        <f ca="1" t="shared" si="874"/>
        <v>1</v>
      </c>
      <c r="P3039" s="64">
        <f ca="1" t="shared" si="868"/>
        <v>0.0111111111111111</v>
      </c>
      <c r="Q3039" s="8"/>
    </row>
    <row r="3040" spans="2:17">
      <c r="B3040" s="8">
        <v>5</v>
      </c>
      <c r="C3040" s="8">
        <f ca="1" t="shared" si="862"/>
        <v>2</v>
      </c>
      <c r="D3040" s="8">
        <f t="shared" si="863"/>
        <v>916.666666666667</v>
      </c>
      <c r="E3040" s="8">
        <f t="shared" ref="E3040:E3042" si="876">E3039+D3040</f>
        <v>1215</v>
      </c>
      <c r="F3040" s="8">
        <f t="shared" si="864"/>
        <v>500</v>
      </c>
      <c r="G3040" s="8" t="str">
        <f ca="1" t="shared" si="865"/>
        <v>空军弹药</v>
      </c>
      <c r="H3040" s="64">
        <f ca="1" t="shared" ref="H3040:H3042" si="877">IF(G3040="空军弹药",F3040,0)</f>
        <v>500</v>
      </c>
      <c r="I3040" s="64">
        <f ca="1" t="shared" si="870"/>
        <v>700</v>
      </c>
      <c r="J3040" s="64">
        <f ca="1" t="shared" si="866"/>
        <v>0.545454545454545</v>
      </c>
      <c r="K3040" s="8">
        <f ca="1" t="shared" si="871"/>
        <v>0</v>
      </c>
      <c r="L3040" s="8">
        <f ca="1" t="shared" si="872"/>
        <v>16.6666666666667</v>
      </c>
      <c r="M3040" s="8">
        <f ca="1" t="shared" si="867"/>
        <v>0</v>
      </c>
      <c r="N3040" s="62">
        <f ca="1" t="shared" si="873"/>
        <v>0</v>
      </c>
      <c r="O3040" s="64">
        <f ca="1" t="shared" si="874"/>
        <v>1</v>
      </c>
      <c r="P3040" s="64">
        <f ca="1" t="shared" si="868"/>
        <v>0</v>
      </c>
      <c r="Q3040" s="8"/>
    </row>
    <row r="3041" spans="2:17">
      <c r="B3041" s="8">
        <v>6</v>
      </c>
      <c r="C3041" s="8">
        <f ca="1" t="shared" si="862"/>
        <v>2</v>
      </c>
      <c r="D3041" s="8">
        <f t="shared" si="863"/>
        <v>100</v>
      </c>
      <c r="E3041" s="8">
        <f t="shared" si="876"/>
        <v>1315</v>
      </c>
      <c r="F3041" s="8">
        <f t="shared" si="864"/>
        <v>16.6666666666667</v>
      </c>
      <c r="G3041" s="8" t="str">
        <f ca="1" t="shared" si="865"/>
        <v>空军零件</v>
      </c>
      <c r="H3041" s="64">
        <f ca="1" t="shared" si="877"/>
        <v>0</v>
      </c>
      <c r="I3041" s="64">
        <f ca="1" t="shared" si="870"/>
        <v>700</v>
      </c>
      <c r="J3041" s="64">
        <f ca="1" t="shared" si="866"/>
        <v>0</v>
      </c>
      <c r="K3041" s="8">
        <f ca="1" t="shared" si="871"/>
        <v>16.6666666666667</v>
      </c>
      <c r="L3041" s="8">
        <f ca="1" t="shared" si="872"/>
        <v>33.3333333333334</v>
      </c>
      <c r="M3041" s="8">
        <f ca="1" t="shared" si="867"/>
        <v>0.166666666666667</v>
      </c>
      <c r="N3041" s="62">
        <f ca="1" t="shared" si="873"/>
        <v>0</v>
      </c>
      <c r="O3041" s="64">
        <f ca="1" t="shared" si="874"/>
        <v>1</v>
      </c>
      <c r="P3041" s="64">
        <f ca="1" t="shared" si="868"/>
        <v>0</v>
      </c>
      <c r="Q3041" s="8"/>
    </row>
    <row r="3042" spans="2:17">
      <c r="B3042" s="8">
        <v>7</v>
      </c>
      <c r="C3042" s="8">
        <f ca="1" t="shared" si="862"/>
        <v>3</v>
      </c>
      <c r="D3042" s="8">
        <f t="shared" si="863"/>
        <v>733.333333333333</v>
      </c>
      <c r="E3042" s="8">
        <f t="shared" si="876"/>
        <v>2048.33333333333</v>
      </c>
      <c r="F3042" s="8">
        <f t="shared" si="864"/>
        <v>400</v>
      </c>
      <c r="G3042" s="8" t="str">
        <f ca="1" t="shared" si="865"/>
        <v>空军弹药</v>
      </c>
      <c r="H3042" s="64">
        <f ca="1" t="shared" si="877"/>
        <v>400</v>
      </c>
      <c r="I3042" s="64">
        <f ca="1" t="shared" si="870"/>
        <v>1100</v>
      </c>
      <c r="J3042" s="64">
        <f ca="1" t="shared" si="866"/>
        <v>0.545454545454546</v>
      </c>
      <c r="K3042" s="8">
        <f ca="1" t="shared" si="871"/>
        <v>0</v>
      </c>
      <c r="L3042" s="8">
        <f ca="1" t="shared" si="872"/>
        <v>33.3333333333334</v>
      </c>
      <c r="M3042" s="8">
        <f ca="1" t="shared" si="867"/>
        <v>0</v>
      </c>
      <c r="N3042" s="62">
        <f ca="1" t="shared" si="873"/>
        <v>0</v>
      </c>
      <c r="O3042" s="64">
        <f ca="1" t="shared" si="874"/>
        <v>1</v>
      </c>
      <c r="P3042" s="64">
        <f ca="1" t="shared" si="868"/>
        <v>0</v>
      </c>
      <c r="Q3042" s="8"/>
    </row>
    <row r="3043" spans="9:9">
      <c r="I3043" s="68"/>
    </row>
    <row r="3044" spans="2:12">
      <c r="B3044" s="27" t="s">
        <v>1666</v>
      </c>
      <c r="C3044" s="27"/>
      <c r="D3044" s="27"/>
      <c r="E3044" s="27"/>
      <c r="F3044" s="27"/>
      <c r="G3044" s="27"/>
      <c r="H3044" s="27"/>
      <c r="I3044" s="27"/>
      <c r="J3044" s="27"/>
      <c r="K3044" s="27"/>
      <c r="L3044" s="27"/>
    </row>
    <row r="3045" spans="9:9">
      <c r="I3045" s="68"/>
    </row>
    <row r="3046" spans="2:9">
      <c r="B3046" s="1" t="s">
        <v>379</v>
      </c>
      <c r="D3046" s="1">
        <f>$H$2945/$S$2945</f>
        <v>0.266666666666667</v>
      </c>
      <c r="I3046" s="68"/>
    </row>
    <row r="3047" spans="2:9">
      <c r="B3047" s="1" t="s">
        <v>483</v>
      </c>
      <c r="D3047" s="1">
        <f>$H$2954/$S$2954</f>
        <v>0.480769230769231</v>
      </c>
      <c r="I3047" s="68"/>
    </row>
    <row r="3048" spans="9:9">
      <c r="I3048" s="68"/>
    </row>
    <row r="3049" spans="2:12">
      <c r="B3049" s="27" t="s">
        <v>1667</v>
      </c>
      <c r="C3049" s="27"/>
      <c r="D3049" s="27"/>
      <c r="E3049" s="27"/>
      <c r="F3049" s="27"/>
      <c r="G3049" s="27"/>
      <c r="H3049" s="27"/>
      <c r="I3049" s="27"/>
      <c r="J3049" s="27"/>
      <c r="K3049" s="27"/>
      <c r="L3049" s="27"/>
    </row>
    <row r="3050" ht="15" customHeight="1" spans="2:9">
      <c r="B3050" s="1" t="s">
        <v>541</v>
      </c>
      <c r="D3050" s="1">
        <f>$H$2986/$S$2986</f>
        <v>0.545454545454545</v>
      </c>
      <c r="I3050" s="68"/>
    </row>
    <row r="3051" spans="2:9">
      <c r="B3051" s="1" t="s">
        <v>542</v>
      </c>
      <c r="D3051" s="1">
        <f>$H$2987/$S$2987</f>
        <v>0.08</v>
      </c>
      <c r="I3051" s="68"/>
    </row>
    <row r="3052" spans="2:14">
      <c r="B3052" s="4"/>
      <c r="D3052" s="4"/>
      <c r="G3052" s="4"/>
      <c r="H3052" s="4"/>
      <c r="I3052" s="105"/>
      <c r="K3052" s="4"/>
      <c r="N3052" s="4"/>
    </row>
    <row r="3053" s="25" customFormat="1" spans="1:5">
      <c r="A3053" s="2" t="s">
        <v>703</v>
      </c>
      <c r="B3053" s="2"/>
      <c r="C3053" s="41" t="s">
        <v>436</v>
      </c>
      <c r="E3053" s="26" t="s">
        <v>1668</v>
      </c>
    </row>
    <row r="3055" spans="2:12">
      <c r="B3055" s="27" t="s">
        <v>1306</v>
      </c>
      <c r="C3055" s="27"/>
      <c r="D3055" s="27"/>
      <c r="E3055" s="27"/>
      <c r="F3055" s="27"/>
      <c r="G3055" s="27"/>
      <c r="H3055" s="27"/>
      <c r="I3055" s="27"/>
      <c r="J3055" s="27"/>
      <c r="K3055" s="27"/>
      <c r="L3055" s="27"/>
    </row>
    <row r="3057" spans="2:5">
      <c r="B3057" s="1" t="s">
        <v>1437</v>
      </c>
      <c r="E3057" s="1">
        <f>总规划!$D$245</f>
        <v>90000</v>
      </c>
    </row>
    <row r="3058" spans="2:5">
      <c r="B3058" s="1" t="s">
        <v>1669</v>
      </c>
      <c r="E3058" s="42">
        <f>总规划!$C$143</f>
        <v>0.2</v>
      </c>
    </row>
    <row r="3059" spans="2:5">
      <c r="B3059" s="1" t="s">
        <v>1670</v>
      </c>
      <c r="E3059" s="1">
        <f>E3057/30*E3058</f>
        <v>600</v>
      </c>
    </row>
    <row r="3061" spans="2:6">
      <c r="B3061" s="1" t="s">
        <v>708</v>
      </c>
      <c r="E3061" s="1">
        <f>总规划!$D$105</f>
        <v>1800</v>
      </c>
      <c r="F3061" s="1" t="str">
        <f>总规划!$C$105</f>
        <v>1M资源</v>
      </c>
    </row>
    <row r="3062" spans="2:5">
      <c r="B3062" s="1" t="s">
        <v>712</v>
      </c>
      <c r="E3062" s="42">
        <f>总规划!$D$143</f>
        <v>0.12</v>
      </c>
    </row>
    <row r="3063" spans="2:6">
      <c r="B3063" s="1" t="s">
        <v>1671</v>
      </c>
      <c r="E3063" s="1">
        <f>E3061/30*E3062*1000000</f>
        <v>7200000</v>
      </c>
      <c r="F3063" s="1" t="s">
        <v>1328</v>
      </c>
    </row>
    <row r="3065" spans="2:6">
      <c r="B3065" s="1" t="s">
        <v>944</v>
      </c>
      <c r="E3065" s="1">
        <f>总规划!$D$107</f>
        <v>1500</v>
      </c>
      <c r="F3065" s="1" t="str">
        <f>总规划!$C$107</f>
        <v>1四星卡</v>
      </c>
    </row>
    <row r="3066" spans="2:5">
      <c r="B3066" s="1" t="s">
        <v>948</v>
      </c>
      <c r="E3066" s="42">
        <f>总规划!$F$143</f>
        <v>0.08</v>
      </c>
    </row>
    <row r="3067" spans="2:6">
      <c r="B3067" s="1" t="s">
        <v>1672</v>
      </c>
      <c r="E3067" s="1">
        <f>E3065/30*E3066</f>
        <v>4</v>
      </c>
      <c r="F3067" s="1" t="str">
        <f>总规划!$C$107</f>
        <v>1四星卡</v>
      </c>
    </row>
    <row r="3069" spans="2:6">
      <c r="B3069" s="1" t="s">
        <v>1057</v>
      </c>
      <c r="E3069" s="1">
        <f>总规划!$D$110</f>
        <v>60</v>
      </c>
      <c r="F3069" s="1" t="str">
        <f>总规划!$C$110</f>
        <v>1k零件</v>
      </c>
    </row>
    <row r="3070" spans="2:5">
      <c r="B3070" s="1" t="s">
        <v>1061</v>
      </c>
      <c r="E3070" s="42">
        <f>总规划!$I$143</f>
        <v>0.15</v>
      </c>
    </row>
    <row r="3071" spans="2:6">
      <c r="B3071" s="1" t="s">
        <v>1673</v>
      </c>
      <c r="E3071" s="1">
        <f>E3069*1000/30*E3070</f>
        <v>300</v>
      </c>
      <c r="F3071" s="1" t="s">
        <v>1355</v>
      </c>
    </row>
    <row r="3073" spans="2:6">
      <c r="B3073" s="1" t="s">
        <v>1077</v>
      </c>
      <c r="E3073" s="1">
        <f>总规划!$D$120</f>
        <v>30</v>
      </c>
      <c r="F3073" s="1" t="str">
        <f>总规划!$C$110</f>
        <v>1k零件</v>
      </c>
    </row>
    <row r="3074" spans="2:5">
      <c r="B3074" s="1" t="s">
        <v>1080</v>
      </c>
      <c r="E3074" s="42">
        <f>总规划!$S$143</f>
        <v>0.15</v>
      </c>
    </row>
    <row r="3075" spans="2:6">
      <c r="B3075" s="1" t="s">
        <v>1674</v>
      </c>
      <c r="E3075" s="1">
        <f>E3073*1000/30*E3074</f>
        <v>150</v>
      </c>
      <c r="F3075" s="1" t="s">
        <v>1675</v>
      </c>
    </row>
    <row r="3077" spans="2:12">
      <c r="B3077" s="27" t="s">
        <v>1676</v>
      </c>
      <c r="C3077" s="27"/>
      <c r="D3077" s="27"/>
      <c r="E3077" s="27"/>
      <c r="F3077" s="27"/>
      <c r="G3077" s="27"/>
      <c r="H3077" s="27"/>
      <c r="I3077" s="27"/>
      <c r="J3077" s="27"/>
      <c r="K3077" s="27"/>
      <c r="L3077" s="27"/>
    </row>
    <row r="3079" spans="2:5">
      <c r="B3079" s="1" t="s">
        <v>1677</v>
      </c>
      <c r="E3079" s="30">
        <v>3</v>
      </c>
    </row>
    <row r="3080" spans="2:5">
      <c r="B3080" s="1" t="s">
        <v>1678</v>
      </c>
      <c r="E3080" s="1">
        <f>MAX($C$3100:$C$3131)</f>
        <v>15</v>
      </c>
    </row>
    <row r="3082" spans="3:13">
      <c r="C3082" s="1" t="s">
        <v>795</v>
      </c>
      <c r="D3082" s="1" t="s">
        <v>1154</v>
      </c>
      <c r="E3082" s="4" t="s">
        <v>795</v>
      </c>
      <c r="F3082" s="4" t="s">
        <v>799</v>
      </c>
      <c r="G3082" s="1" t="s">
        <v>1679</v>
      </c>
      <c r="J3082" s="1" t="s">
        <v>1680</v>
      </c>
      <c r="L3082" s="1" t="s">
        <v>1681</v>
      </c>
      <c r="M3082" s="5" t="s">
        <v>1682</v>
      </c>
    </row>
    <row r="3083" spans="2:13">
      <c r="B3083" s="1" t="s">
        <v>1683</v>
      </c>
      <c r="C3083" s="30">
        <v>150</v>
      </c>
      <c r="D3083" s="56">
        <v>0.069</v>
      </c>
      <c r="E3083" s="4">
        <f>C3083</f>
        <v>150</v>
      </c>
      <c r="F3083" s="4">
        <f>D3083*10000</f>
        <v>690</v>
      </c>
      <c r="G3083" s="108">
        <f>C3083/总规划!$D$249</f>
        <v>0.125</v>
      </c>
      <c r="J3083" s="1" t="s">
        <v>1684</v>
      </c>
      <c r="L3083" s="1">
        <f>(C3083*D3083+C3084*D3084)*E3079*E3080</f>
        <v>600.75</v>
      </c>
      <c r="M3083" s="5">
        <f>$E$3059</f>
        <v>600</v>
      </c>
    </row>
    <row r="3084" spans="2:13">
      <c r="B3084" s="1" t="s">
        <v>1685</v>
      </c>
      <c r="C3084" s="30">
        <v>300</v>
      </c>
      <c r="D3084" s="56">
        <v>0.01</v>
      </c>
      <c r="E3084" s="4">
        <f t="shared" ref="E3084:E3093" si="878">C3084</f>
        <v>300</v>
      </c>
      <c r="F3084" s="4">
        <f t="shared" ref="F3084:F3092" si="879">D3084*10000</f>
        <v>100</v>
      </c>
      <c r="G3084" s="108">
        <f>C3084/总规划!$D$249</f>
        <v>0.25</v>
      </c>
      <c r="J3084" s="1" t="s">
        <v>1686</v>
      </c>
      <c r="L3084" s="1">
        <f>(C3085*D3085+C3086*D3086+D3087*C3087)*E3079*E3080</f>
        <v>7200000</v>
      </c>
      <c r="M3084" s="5">
        <f>$E$3063</f>
        <v>7200000</v>
      </c>
    </row>
    <row r="3085" spans="2:13">
      <c r="B3085" s="1" t="s">
        <v>728</v>
      </c>
      <c r="C3085" s="30">
        <v>250000</v>
      </c>
      <c r="D3085" s="56">
        <v>0.24</v>
      </c>
      <c r="E3085" s="4">
        <f t="shared" si="878"/>
        <v>250000</v>
      </c>
      <c r="F3085" s="4">
        <f t="shared" si="879"/>
        <v>2400</v>
      </c>
      <c r="G3085" s="108">
        <f>C3085/1000000*总规划!$G$105</f>
        <v>0.104166666666667</v>
      </c>
      <c r="J3085" s="1" t="s">
        <v>1687</v>
      </c>
      <c r="L3085" s="1">
        <f>C3090*D3090*E3079*E3080</f>
        <v>1.728</v>
      </c>
      <c r="M3085" s="5"/>
    </row>
    <row r="3086" spans="2:13">
      <c r="B3086" s="1" t="s">
        <v>729</v>
      </c>
      <c r="C3086" s="30">
        <v>250000</v>
      </c>
      <c r="D3086" s="56">
        <v>0.2</v>
      </c>
      <c r="E3086" s="4">
        <f t="shared" si="878"/>
        <v>250000</v>
      </c>
      <c r="F3086" s="4">
        <f t="shared" si="879"/>
        <v>2000</v>
      </c>
      <c r="G3086" s="108">
        <f>C3086/1000000*总规划!$G$105</f>
        <v>0.104166666666667</v>
      </c>
      <c r="J3086" s="1" t="s">
        <v>1688</v>
      </c>
      <c r="L3086" s="1">
        <f>C3091*D3091*E3079*E3080</f>
        <v>0.252</v>
      </c>
      <c r="M3086" s="5"/>
    </row>
    <row r="3087" spans="2:13">
      <c r="B3087" s="1" t="s">
        <v>730</v>
      </c>
      <c r="C3087" s="30">
        <v>250000</v>
      </c>
      <c r="D3087" s="56">
        <v>0.2</v>
      </c>
      <c r="E3087" s="4">
        <f t="shared" si="878"/>
        <v>250000</v>
      </c>
      <c r="F3087" s="4">
        <f t="shared" si="879"/>
        <v>2000</v>
      </c>
      <c r="G3087" s="108">
        <f>C3087/1000000*总规划!$G$105</f>
        <v>0.104166666666667</v>
      </c>
      <c r="J3087" s="1" t="s">
        <v>1689</v>
      </c>
      <c r="L3087" s="1">
        <f>L3085+L3086*$L$786</f>
        <v>3.996</v>
      </c>
      <c r="M3087" s="5">
        <f>$E$3067</f>
        <v>4</v>
      </c>
    </row>
    <row r="3088" spans="2:13">
      <c r="B3088" s="1" t="s">
        <v>1690</v>
      </c>
      <c r="C3088" s="30">
        <v>50</v>
      </c>
      <c r="D3088" s="56">
        <v>0.103</v>
      </c>
      <c r="E3088" s="4">
        <f t="shared" si="878"/>
        <v>50</v>
      </c>
      <c r="F3088" s="4">
        <f t="shared" si="879"/>
        <v>1030</v>
      </c>
      <c r="G3088" s="108">
        <f>C3088/1000*总规划!$G$110</f>
        <v>0.625</v>
      </c>
      <c r="J3088" s="1" t="s">
        <v>1691</v>
      </c>
      <c r="L3088" s="1">
        <f>(C3088*D3088+C3089*D3089)*E3079*E3080</f>
        <v>301.5</v>
      </c>
      <c r="M3088" s="5">
        <f>$E$3071</f>
        <v>300</v>
      </c>
    </row>
    <row r="3089" spans="2:13">
      <c r="B3089" s="1" t="s">
        <v>1692</v>
      </c>
      <c r="C3089" s="30">
        <v>100</v>
      </c>
      <c r="D3089" s="56">
        <v>0.0155</v>
      </c>
      <c r="E3089" s="4">
        <f t="shared" si="878"/>
        <v>100</v>
      </c>
      <c r="F3089" s="4">
        <f t="shared" si="879"/>
        <v>155</v>
      </c>
      <c r="G3089" s="108">
        <f>C3089/1000*总规划!$G$110</f>
        <v>1.25</v>
      </c>
      <c r="J3089" s="1" t="s">
        <v>1693</v>
      </c>
      <c r="L3089" s="1">
        <f>(C3092*D3092+C3093*D3093)*E3079*E3080</f>
        <v>150.75</v>
      </c>
      <c r="M3089" s="5">
        <f>$E$3075</f>
        <v>150</v>
      </c>
    </row>
    <row r="3090" spans="2:7">
      <c r="B3090" s="1" t="s">
        <v>1694</v>
      </c>
      <c r="C3090" s="30">
        <v>1</v>
      </c>
      <c r="D3090" s="56">
        <v>0.0384</v>
      </c>
      <c r="E3090" s="4">
        <f t="shared" si="878"/>
        <v>1</v>
      </c>
      <c r="F3090" s="4">
        <f t="shared" si="879"/>
        <v>384</v>
      </c>
      <c r="G3090" s="108">
        <f>C3090*总规划!$G$107</f>
        <v>0.5</v>
      </c>
    </row>
    <row r="3091" spans="2:7">
      <c r="B3091" s="1" t="s">
        <v>1695</v>
      </c>
      <c r="C3091" s="30">
        <v>1</v>
      </c>
      <c r="D3091" s="56">
        <v>0.0056</v>
      </c>
      <c r="E3091" s="4">
        <f t="shared" si="878"/>
        <v>1</v>
      </c>
      <c r="F3091" s="4">
        <f t="shared" si="879"/>
        <v>56</v>
      </c>
      <c r="G3091" s="108">
        <f>C3091*$L$786*总规划!$G$107</f>
        <v>4.5</v>
      </c>
    </row>
    <row r="3092" spans="2:7">
      <c r="B3092" s="1" t="s">
        <v>1696</v>
      </c>
      <c r="C3092" s="30">
        <v>25</v>
      </c>
      <c r="D3092" s="56">
        <v>0.103</v>
      </c>
      <c r="E3092" s="4">
        <f t="shared" si="878"/>
        <v>25</v>
      </c>
      <c r="F3092" s="4">
        <f t="shared" si="879"/>
        <v>1030</v>
      </c>
      <c r="G3092" s="108">
        <f>C3092/1000*总规划!$G$120</f>
        <v>0.625</v>
      </c>
    </row>
    <row r="3093" spans="2:7">
      <c r="B3093" s="1" t="s">
        <v>1697</v>
      </c>
      <c r="C3093" s="30">
        <v>50</v>
      </c>
      <c r="D3093" s="56">
        <v>0.0155</v>
      </c>
      <c r="E3093" s="4">
        <f t="shared" si="878"/>
        <v>50</v>
      </c>
      <c r="F3093" s="4">
        <f t="shared" ref="F3093" si="880">D3093*10000</f>
        <v>155</v>
      </c>
      <c r="G3093" s="108">
        <f>C3093/1000*总规划!$G$120</f>
        <v>1.25</v>
      </c>
    </row>
    <row r="3094" spans="4:4">
      <c r="D3094" s="42">
        <f>SUM(D3083:D3093)</f>
        <v>1</v>
      </c>
    </row>
    <row r="3096" spans="2:12">
      <c r="B3096" s="27" t="s">
        <v>1315</v>
      </c>
      <c r="C3096" s="27"/>
      <c r="D3096" s="27"/>
      <c r="E3096" s="27"/>
      <c r="F3096" s="27"/>
      <c r="G3096" s="27"/>
      <c r="H3096" s="27"/>
      <c r="I3096" s="27"/>
      <c r="J3096" s="27"/>
      <c r="K3096" s="27"/>
      <c r="L3096" s="27"/>
    </row>
    <row r="3098" spans="2:5">
      <c r="B3098" s="1" t="s">
        <v>138</v>
      </c>
      <c r="C3098" s="1" t="s">
        <v>815</v>
      </c>
      <c r="D3098" s="1" t="s">
        <v>1315</v>
      </c>
      <c r="E3098" s="1" t="s">
        <v>1315</v>
      </c>
    </row>
    <row r="3099" spans="2:5">
      <c r="B3099" s="1">
        <v>0</v>
      </c>
      <c r="C3099" s="1">
        <f t="shared" ref="C3099:C3131" si="881">IF(N301="","",N301)</f>
        <v>0</v>
      </c>
      <c r="D3099" s="14">
        <f>IF(C3099="","",C3099/MAX($C$3099:$C$3131))</f>
        <v>0</v>
      </c>
      <c r="E3099" s="14">
        <f ca="1" t="shared" ref="E3099:E3131" si="882">IF(D3099="",INDIRECT(ADDRESS(ROW()-1,COLUMN())),D3099)</f>
        <v>0</v>
      </c>
    </row>
    <row r="3100" spans="2:5">
      <c r="B3100" s="1">
        <v>1</v>
      </c>
      <c r="C3100" s="1">
        <f t="shared" si="881"/>
        <v>2</v>
      </c>
      <c r="D3100" s="14">
        <f t="shared" ref="D3100:D3131" si="883">IF(C3100="","",C3100/MAX($C$3099:$C$3131))</f>
        <v>0.133333333333333</v>
      </c>
      <c r="E3100" s="14">
        <f ca="1" t="shared" si="882"/>
        <v>0.133333333333333</v>
      </c>
    </row>
    <row r="3101" spans="2:5">
      <c r="B3101" s="1">
        <v>2</v>
      </c>
      <c r="C3101" s="1" t="str">
        <f t="shared" si="881"/>
        <v/>
      </c>
      <c r="D3101" s="14" t="str">
        <f t="shared" si="883"/>
        <v/>
      </c>
      <c r="E3101" s="14">
        <f ca="1" t="shared" si="882"/>
        <v>0.133333333333333</v>
      </c>
    </row>
    <row r="3102" spans="2:5">
      <c r="B3102" s="1">
        <v>3</v>
      </c>
      <c r="C3102" s="1" t="str">
        <f t="shared" si="881"/>
        <v/>
      </c>
      <c r="D3102" s="14" t="str">
        <f t="shared" si="883"/>
        <v/>
      </c>
      <c r="E3102" s="14">
        <f ca="1" t="shared" si="882"/>
        <v>0.133333333333333</v>
      </c>
    </row>
    <row r="3103" spans="2:5">
      <c r="B3103" s="1">
        <v>4</v>
      </c>
      <c r="C3103" s="1">
        <f t="shared" si="881"/>
        <v>3</v>
      </c>
      <c r="D3103" s="14">
        <f t="shared" si="883"/>
        <v>0.2</v>
      </c>
      <c r="E3103" s="14">
        <f ca="1" t="shared" si="882"/>
        <v>0.2</v>
      </c>
    </row>
    <row r="3104" spans="2:5">
      <c r="B3104" s="1">
        <v>5</v>
      </c>
      <c r="C3104" s="1" t="str">
        <f t="shared" si="881"/>
        <v/>
      </c>
      <c r="D3104" s="14" t="str">
        <f t="shared" si="883"/>
        <v/>
      </c>
      <c r="E3104" s="14">
        <f ca="1" t="shared" si="882"/>
        <v>0.2</v>
      </c>
    </row>
    <row r="3105" spans="2:5">
      <c r="B3105" s="1">
        <v>6</v>
      </c>
      <c r="C3105" s="1" t="str">
        <f t="shared" si="881"/>
        <v/>
      </c>
      <c r="D3105" s="14" t="str">
        <f t="shared" si="883"/>
        <v/>
      </c>
      <c r="E3105" s="14">
        <f ca="1" t="shared" si="882"/>
        <v>0.2</v>
      </c>
    </row>
    <row r="3106" spans="2:5">
      <c r="B3106" s="1">
        <v>7</v>
      </c>
      <c r="C3106" s="1" t="str">
        <f t="shared" si="881"/>
        <v/>
      </c>
      <c r="D3106" s="14" t="str">
        <f t="shared" si="883"/>
        <v/>
      </c>
      <c r="E3106" s="14">
        <f ca="1" t="shared" si="882"/>
        <v>0.2</v>
      </c>
    </row>
    <row r="3107" spans="2:5">
      <c r="B3107" s="1">
        <v>8</v>
      </c>
      <c r="C3107" s="1">
        <f t="shared" si="881"/>
        <v>4</v>
      </c>
      <c r="D3107" s="14">
        <f t="shared" si="883"/>
        <v>0.266666666666667</v>
      </c>
      <c r="E3107" s="14">
        <f ca="1" t="shared" si="882"/>
        <v>0.266666666666667</v>
      </c>
    </row>
    <row r="3108" spans="2:5">
      <c r="B3108" s="1">
        <v>9</v>
      </c>
      <c r="C3108" s="1" t="str">
        <f t="shared" si="881"/>
        <v/>
      </c>
      <c r="D3108" s="14" t="str">
        <f t="shared" si="883"/>
        <v/>
      </c>
      <c r="E3108" s="14">
        <f ca="1" t="shared" si="882"/>
        <v>0.266666666666667</v>
      </c>
    </row>
    <row r="3109" spans="2:5">
      <c r="B3109" s="1">
        <v>10</v>
      </c>
      <c r="C3109" s="1" t="str">
        <f t="shared" si="881"/>
        <v/>
      </c>
      <c r="D3109" s="14" t="str">
        <f t="shared" si="883"/>
        <v/>
      </c>
      <c r="E3109" s="14">
        <f ca="1" t="shared" si="882"/>
        <v>0.266666666666667</v>
      </c>
    </row>
    <row r="3110" spans="2:5">
      <c r="B3110" s="1">
        <v>11</v>
      </c>
      <c r="C3110" s="1" t="str">
        <f t="shared" si="881"/>
        <v/>
      </c>
      <c r="D3110" s="14" t="str">
        <f t="shared" si="883"/>
        <v/>
      </c>
      <c r="E3110" s="14">
        <f ca="1" t="shared" si="882"/>
        <v>0.266666666666667</v>
      </c>
    </row>
    <row r="3111" spans="2:5">
      <c r="B3111" s="1">
        <v>12</v>
      </c>
      <c r="C3111" s="1" t="str">
        <f t="shared" si="881"/>
        <v/>
      </c>
      <c r="D3111" s="14" t="str">
        <f t="shared" si="883"/>
        <v/>
      </c>
      <c r="E3111" s="14">
        <f ca="1" t="shared" si="882"/>
        <v>0.266666666666667</v>
      </c>
    </row>
    <row r="3112" spans="2:5">
      <c r="B3112" s="1">
        <v>13</v>
      </c>
      <c r="C3112" s="1">
        <f t="shared" si="881"/>
        <v>6</v>
      </c>
      <c r="D3112" s="14">
        <f t="shared" si="883"/>
        <v>0.4</v>
      </c>
      <c r="E3112" s="14">
        <f ca="1" t="shared" si="882"/>
        <v>0.4</v>
      </c>
    </row>
    <row r="3113" spans="2:5">
      <c r="B3113" s="1">
        <v>14</v>
      </c>
      <c r="C3113" s="1" t="str">
        <f t="shared" si="881"/>
        <v/>
      </c>
      <c r="D3113" s="14" t="str">
        <f t="shared" si="883"/>
        <v/>
      </c>
      <c r="E3113" s="14">
        <f ca="1" t="shared" si="882"/>
        <v>0.4</v>
      </c>
    </row>
    <row r="3114" spans="2:5">
      <c r="B3114" s="1">
        <v>15</v>
      </c>
      <c r="C3114" s="1" t="str">
        <f t="shared" si="881"/>
        <v/>
      </c>
      <c r="D3114" s="14" t="str">
        <f t="shared" si="883"/>
        <v/>
      </c>
      <c r="E3114" s="14">
        <f ca="1" t="shared" si="882"/>
        <v>0.4</v>
      </c>
    </row>
    <row r="3115" spans="2:5">
      <c r="B3115" s="1">
        <v>16</v>
      </c>
      <c r="C3115" s="1" t="str">
        <f t="shared" si="881"/>
        <v/>
      </c>
      <c r="D3115" s="14" t="str">
        <f t="shared" si="883"/>
        <v/>
      </c>
      <c r="E3115" s="14">
        <f ca="1" t="shared" si="882"/>
        <v>0.4</v>
      </c>
    </row>
    <row r="3116" spans="2:5">
      <c r="B3116" s="1">
        <v>17</v>
      </c>
      <c r="C3116" s="1" t="str">
        <f t="shared" si="881"/>
        <v/>
      </c>
      <c r="D3116" s="14" t="str">
        <f t="shared" si="883"/>
        <v/>
      </c>
      <c r="E3116" s="14">
        <f ca="1" t="shared" si="882"/>
        <v>0.4</v>
      </c>
    </row>
    <row r="3117" spans="2:5">
      <c r="B3117" s="1">
        <v>18</v>
      </c>
      <c r="C3117" s="1" t="str">
        <f t="shared" si="881"/>
        <v/>
      </c>
      <c r="D3117" s="14" t="str">
        <f t="shared" si="883"/>
        <v/>
      </c>
      <c r="E3117" s="14">
        <f ca="1" t="shared" si="882"/>
        <v>0.4</v>
      </c>
    </row>
    <row r="3118" spans="2:5">
      <c r="B3118" s="1">
        <v>19</v>
      </c>
      <c r="C3118" s="1" t="str">
        <f t="shared" si="881"/>
        <v/>
      </c>
      <c r="D3118" s="14" t="str">
        <f t="shared" si="883"/>
        <v/>
      </c>
      <c r="E3118" s="14">
        <f ca="1" t="shared" si="882"/>
        <v>0.4</v>
      </c>
    </row>
    <row r="3119" spans="2:5">
      <c r="B3119" s="1">
        <v>20</v>
      </c>
      <c r="C3119" s="1">
        <f t="shared" si="881"/>
        <v>10</v>
      </c>
      <c r="D3119" s="14">
        <f t="shared" si="883"/>
        <v>0.666666666666667</v>
      </c>
      <c r="E3119" s="14">
        <f ca="1" t="shared" si="882"/>
        <v>0.666666666666667</v>
      </c>
    </row>
    <row r="3120" spans="2:5">
      <c r="B3120" s="1">
        <v>21</v>
      </c>
      <c r="C3120" s="1" t="str">
        <f t="shared" si="881"/>
        <v/>
      </c>
      <c r="D3120" s="14" t="str">
        <f t="shared" si="883"/>
        <v/>
      </c>
      <c r="E3120" s="14">
        <f ca="1" t="shared" si="882"/>
        <v>0.666666666666667</v>
      </c>
    </row>
    <row r="3121" spans="2:5">
      <c r="B3121" s="1">
        <v>22</v>
      </c>
      <c r="C3121" s="1" t="str">
        <f t="shared" si="881"/>
        <v/>
      </c>
      <c r="D3121" s="14" t="str">
        <f t="shared" si="883"/>
        <v/>
      </c>
      <c r="E3121" s="14">
        <f ca="1" t="shared" si="882"/>
        <v>0.666666666666667</v>
      </c>
    </row>
    <row r="3122" spans="2:5">
      <c r="B3122" s="1">
        <v>23</v>
      </c>
      <c r="C3122" s="1" t="str">
        <f t="shared" si="881"/>
        <v/>
      </c>
      <c r="D3122" s="14" t="str">
        <f t="shared" si="883"/>
        <v/>
      </c>
      <c r="E3122" s="14">
        <f ca="1" t="shared" si="882"/>
        <v>0.666666666666667</v>
      </c>
    </row>
    <row r="3123" spans="2:5">
      <c r="B3123" s="1">
        <v>24</v>
      </c>
      <c r="C3123" s="1" t="str">
        <f t="shared" si="881"/>
        <v/>
      </c>
      <c r="D3123" s="14" t="str">
        <f t="shared" si="883"/>
        <v/>
      </c>
      <c r="E3123" s="14">
        <f ca="1" t="shared" si="882"/>
        <v>0.666666666666667</v>
      </c>
    </row>
    <row r="3124" spans="2:5">
      <c r="B3124" s="1">
        <v>25</v>
      </c>
      <c r="C3124" s="1" t="str">
        <f t="shared" si="881"/>
        <v/>
      </c>
      <c r="D3124" s="14" t="str">
        <f t="shared" si="883"/>
        <v/>
      </c>
      <c r="E3124" s="14">
        <f ca="1" t="shared" si="882"/>
        <v>0.666666666666667</v>
      </c>
    </row>
    <row r="3125" spans="2:5">
      <c r="B3125" s="1">
        <v>26</v>
      </c>
      <c r="C3125" s="1" t="str">
        <f t="shared" si="881"/>
        <v/>
      </c>
      <c r="D3125" s="14" t="str">
        <f t="shared" si="883"/>
        <v/>
      </c>
      <c r="E3125" s="14">
        <f ca="1" t="shared" si="882"/>
        <v>0.666666666666667</v>
      </c>
    </row>
    <row r="3126" spans="2:5">
      <c r="B3126" s="1">
        <v>27</v>
      </c>
      <c r="C3126" s="1">
        <f t="shared" si="881"/>
        <v>15</v>
      </c>
      <c r="D3126" s="14">
        <f t="shared" si="883"/>
        <v>1</v>
      </c>
      <c r="E3126" s="14">
        <f ca="1" t="shared" si="882"/>
        <v>1</v>
      </c>
    </row>
    <row r="3127" spans="2:5">
      <c r="B3127" s="1">
        <v>28</v>
      </c>
      <c r="C3127" s="1" t="str">
        <f t="shared" si="881"/>
        <v/>
      </c>
      <c r="D3127" s="14" t="str">
        <f t="shared" si="883"/>
        <v/>
      </c>
      <c r="E3127" s="14">
        <f ca="1" t="shared" si="882"/>
        <v>1</v>
      </c>
    </row>
    <row r="3128" spans="2:5">
      <c r="B3128" s="1">
        <v>29</v>
      </c>
      <c r="C3128" s="1" t="str">
        <f t="shared" si="881"/>
        <v/>
      </c>
      <c r="D3128" s="14" t="str">
        <f t="shared" si="883"/>
        <v/>
      </c>
      <c r="E3128" s="14">
        <f ca="1" t="shared" si="882"/>
        <v>1</v>
      </c>
    </row>
    <row r="3129" spans="2:5">
      <c r="B3129" s="1">
        <v>30</v>
      </c>
      <c r="C3129" s="1" t="str">
        <f t="shared" si="881"/>
        <v/>
      </c>
      <c r="D3129" s="14" t="str">
        <f t="shared" si="883"/>
        <v/>
      </c>
      <c r="E3129" s="14">
        <f ca="1" t="shared" si="882"/>
        <v>1</v>
      </c>
    </row>
    <row r="3130" spans="2:5">
      <c r="B3130" s="1">
        <v>31</v>
      </c>
      <c r="C3130" s="1" t="str">
        <f t="shared" si="881"/>
        <v/>
      </c>
      <c r="D3130" s="14" t="str">
        <f t="shared" si="883"/>
        <v/>
      </c>
      <c r="E3130" s="14">
        <f ca="1" t="shared" si="882"/>
        <v>1</v>
      </c>
    </row>
    <row r="3131" spans="2:5">
      <c r="B3131" s="1">
        <v>32</v>
      </c>
      <c r="C3131" s="1" t="str">
        <f t="shared" si="881"/>
        <v/>
      </c>
      <c r="D3131" s="14" t="str">
        <f t="shared" si="883"/>
        <v/>
      </c>
      <c r="E3131" s="14">
        <f ca="1" t="shared" si="882"/>
        <v>1</v>
      </c>
    </row>
    <row r="3134" s="25" customFormat="1" spans="1:5">
      <c r="A3134" s="2" t="s">
        <v>1698</v>
      </c>
      <c r="B3134" s="2"/>
      <c r="C3134" s="41" t="s">
        <v>436</v>
      </c>
      <c r="E3134" s="26" t="s">
        <v>1699</v>
      </c>
    </row>
    <row r="3136" spans="2:12">
      <c r="B3136" s="27" t="s">
        <v>1700</v>
      </c>
      <c r="C3136" s="27"/>
      <c r="D3136" s="27"/>
      <c r="E3136" s="27"/>
      <c r="F3136" s="27"/>
      <c r="G3136" s="27"/>
      <c r="H3136" s="27"/>
      <c r="I3136" s="27"/>
      <c r="J3136" s="27"/>
      <c r="K3136" s="27"/>
      <c r="L3136" s="27"/>
    </row>
    <row r="3138" spans="2:6">
      <c r="B3138" s="1" t="s">
        <v>715</v>
      </c>
      <c r="E3138" s="1">
        <f>总规划!$D$106</f>
        <v>480</v>
      </c>
      <c r="F3138" s="1" t="str">
        <f>总规划!$C$106</f>
        <v>1天</v>
      </c>
    </row>
    <row r="3139" spans="2:5">
      <c r="B3139" s="1" t="s">
        <v>721</v>
      </c>
      <c r="E3139" s="42">
        <f>总规划!$E$144</f>
        <v>0.06</v>
      </c>
    </row>
    <row r="3140" spans="2:6">
      <c r="B3140" s="1" t="s">
        <v>1701</v>
      </c>
      <c r="E3140" s="1">
        <f>E3138/30*E3139*24*60</f>
        <v>1382.4</v>
      </c>
      <c r="F3140" s="1" t="s">
        <v>1308</v>
      </c>
    </row>
    <row r="3142" spans="2:6">
      <c r="B3142" s="1" t="s">
        <v>944</v>
      </c>
      <c r="E3142" s="1">
        <f>总规划!$D$107</f>
        <v>1500</v>
      </c>
      <c r="F3142" s="1" t="str">
        <f>总规划!$C$107</f>
        <v>1四星卡</v>
      </c>
    </row>
    <row r="3143" spans="2:5">
      <c r="B3143" s="1" t="s">
        <v>949</v>
      </c>
      <c r="E3143" s="42">
        <f>总规划!$F$144</f>
        <v>0.03</v>
      </c>
    </row>
    <row r="3144" spans="2:6">
      <c r="B3144" s="1" t="s">
        <v>1702</v>
      </c>
      <c r="E3144" s="1">
        <f>E3142/30*E3143</f>
        <v>1.5</v>
      </c>
      <c r="F3144" s="1" t="str">
        <f>总规划!$C$107</f>
        <v>1四星卡</v>
      </c>
    </row>
    <row r="3146" spans="2:6">
      <c r="B3146" s="1" t="s">
        <v>989</v>
      </c>
      <c r="E3146" s="1">
        <f>总规划!$D$108</f>
        <v>300</v>
      </c>
      <c r="F3146" s="1" t="str">
        <f>总规划!$C$108</f>
        <v>1M陆经</v>
      </c>
    </row>
    <row r="3147" spans="2:5">
      <c r="B3147" s="1" t="s">
        <v>991</v>
      </c>
      <c r="E3147" s="42">
        <f>总规划!$G$144</f>
        <v>0.03</v>
      </c>
    </row>
    <row r="3148" spans="2:6">
      <c r="B3148" s="1" t="s">
        <v>1703</v>
      </c>
      <c r="E3148" s="1">
        <f>E3146/30*E3147*1000000</f>
        <v>300000</v>
      </c>
      <c r="F3148" s="1" t="s">
        <v>1704</v>
      </c>
    </row>
    <row r="3150" spans="2:6">
      <c r="B3150" s="1" t="s">
        <v>994</v>
      </c>
      <c r="E3150" s="1">
        <f>总规划!$D$109</f>
        <v>200</v>
      </c>
      <c r="F3150" s="1" t="str">
        <f>总规划!$C$109</f>
        <v>1k弹药</v>
      </c>
    </row>
    <row r="3151" spans="2:5">
      <c r="B3151" s="1" t="s">
        <v>997</v>
      </c>
      <c r="E3151" s="42">
        <f>总规划!$H$144</f>
        <v>0.03</v>
      </c>
    </row>
    <row r="3152" spans="2:6">
      <c r="B3152" s="1" t="s">
        <v>1705</v>
      </c>
      <c r="E3152" s="1">
        <f>E3150/30*E3151*1000</f>
        <v>200</v>
      </c>
      <c r="F3152" s="1" t="s">
        <v>1321</v>
      </c>
    </row>
    <row r="3154" spans="2:6">
      <c r="B3154" s="1" t="s">
        <v>1057</v>
      </c>
      <c r="E3154" s="1">
        <f>总规划!$D$110</f>
        <v>60</v>
      </c>
      <c r="F3154" s="1" t="str">
        <f>总规划!$C$110</f>
        <v>1k零件</v>
      </c>
    </row>
    <row r="3155" spans="2:5">
      <c r="B3155" s="1" t="s">
        <v>1062</v>
      </c>
      <c r="E3155" s="42">
        <f>总规划!$I$144</f>
        <v>0.03</v>
      </c>
    </row>
    <row r="3156" spans="2:6">
      <c r="B3156" s="1" t="s">
        <v>1706</v>
      </c>
      <c r="E3156" s="1">
        <f>E3154/30*E3155*1000</f>
        <v>60</v>
      </c>
      <c r="F3156" s="1" t="s">
        <v>1355</v>
      </c>
    </row>
    <row r="3158" spans="2:6">
      <c r="B3158" s="1" t="s">
        <v>1103</v>
      </c>
      <c r="E3158" s="1">
        <f>总规划!$D$111</f>
        <v>360</v>
      </c>
      <c r="F3158" s="1" t="str">
        <f>总规划!$C$111</f>
        <v>1k铜材料</v>
      </c>
    </row>
    <row r="3159" spans="2:5">
      <c r="B3159" s="1" t="s">
        <v>1106</v>
      </c>
      <c r="E3159" s="42">
        <f>总规划!$J$144</f>
        <v>0.03</v>
      </c>
    </row>
    <row r="3160" spans="2:6">
      <c r="B3160" s="1" t="s">
        <v>1707</v>
      </c>
      <c r="E3160" s="1">
        <f>E3158/30*E3159*1000</f>
        <v>360</v>
      </c>
      <c r="F3160" s="1" t="s">
        <v>1357</v>
      </c>
    </row>
    <row r="3162" spans="2:6">
      <c r="B3162" s="1" t="s">
        <v>1172</v>
      </c>
      <c r="E3162" s="1">
        <f>总规划!$D$113</f>
        <v>120</v>
      </c>
      <c r="F3162" s="1" t="str">
        <f>总规划!$C$113</f>
        <v>1M军经</v>
      </c>
    </row>
    <row r="3163" spans="2:5">
      <c r="B3163" s="1" t="s">
        <v>1708</v>
      </c>
      <c r="E3163" s="42">
        <f>总规划!$J$144</f>
        <v>0.03</v>
      </c>
    </row>
    <row r="3164" spans="2:6">
      <c r="B3164" s="1" t="s">
        <v>1709</v>
      </c>
      <c r="E3164" s="1">
        <f>E3162/30*E3163*1000000</f>
        <v>120000</v>
      </c>
      <c r="F3164" s="1" t="s">
        <v>1346</v>
      </c>
    </row>
    <row r="3166" spans="2:6">
      <c r="B3166" s="1" t="s">
        <v>1016</v>
      </c>
      <c r="E3166" s="1">
        <f>总规划!$D$118</f>
        <v>150</v>
      </c>
      <c r="F3166" s="1" t="str">
        <f>总规划!$C$118</f>
        <v>1M空经</v>
      </c>
    </row>
    <row r="3167" spans="2:5">
      <c r="B3167" s="1" t="s">
        <v>1018</v>
      </c>
      <c r="E3167" s="42">
        <f>总规划!$Q$144</f>
        <v>0.03</v>
      </c>
    </row>
    <row r="3168" spans="2:6">
      <c r="B3168" s="1" t="s">
        <v>1710</v>
      </c>
      <c r="E3168" s="1">
        <f>E3166/30*E3167*1000000</f>
        <v>150000</v>
      </c>
      <c r="F3168" s="1" t="s">
        <v>1711</v>
      </c>
    </row>
    <row r="3170" spans="2:6">
      <c r="B3170" s="1" t="s">
        <v>1021</v>
      </c>
      <c r="E3170" s="1">
        <f>总规划!$D$119</f>
        <v>100</v>
      </c>
      <c r="F3170" s="1" t="str">
        <f>总规划!$C$119</f>
        <v>1k空弹</v>
      </c>
    </row>
    <row r="3171" spans="2:5">
      <c r="B3171" s="1" t="s">
        <v>1023</v>
      </c>
      <c r="E3171" s="42">
        <f>总规划!$R$144</f>
        <v>0.03</v>
      </c>
    </row>
    <row r="3172" spans="2:6">
      <c r="B3172" s="1" t="s">
        <v>1712</v>
      </c>
      <c r="E3172" s="1">
        <f>E3170/30*E3171*1000</f>
        <v>100</v>
      </c>
      <c r="F3172" s="1" t="s">
        <v>1713</v>
      </c>
    </row>
    <row r="3174" spans="2:6">
      <c r="B3174" s="1" t="s">
        <v>1077</v>
      </c>
      <c r="E3174" s="1">
        <f>总规划!$D$120</f>
        <v>30</v>
      </c>
      <c r="F3174" s="1" t="str">
        <f>总规划!$C$120</f>
        <v>1k空零</v>
      </c>
    </row>
    <row r="3175" spans="2:5">
      <c r="B3175" s="1" t="s">
        <v>1081</v>
      </c>
      <c r="E3175" s="42">
        <f>总规划!$S$144</f>
        <v>0.03</v>
      </c>
    </row>
    <row r="3176" spans="2:6">
      <c r="B3176" s="1" t="s">
        <v>1714</v>
      </c>
      <c r="E3176" s="1">
        <f>E3174/30*E3175*1000</f>
        <v>30</v>
      </c>
      <c r="F3176" s="1" t="s">
        <v>1675</v>
      </c>
    </row>
    <row r="3179" spans="2:5">
      <c r="B3179" s="1" t="s">
        <v>1715</v>
      </c>
      <c r="E3179" s="5">
        <f ca="1">(W3310-S3310+W3369+W3447+AM3570)*$E$3195*$E$3194+AM3570*$E$3196*$E$3194</f>
        <v>5665908.10359232</v>
      </c>
    </row>
    <row r="3180" spans="2:5">
      <c r="B3180" s="1" t="s">
        <v>1716</v>
      </c>
      <c r="E3180" s="5">
        <f ca="1">(U3310+U3369+U3447+AK3570)*$E$3195*$E$3194+AK3570*$E$3196*$E$3194</f>
        <v>4257.35806182123</v>
      </c>
    </row>
    <row r="3181" spans="5:5">
      <c r="E3181" s="5"/>
    </row>
    <row r="3182" spans="2:12">
      <c r="B3182" s="27" t="s">
        <v>1315</v>
      </c>
      <c r="C3182" s="27"/>
      <c r="D3182" s="27"/>
      <c r="E3182" s="27"/>
      <c r="F3182" s="27"/>
      <c r="G3182" s="27"/>
      <c r="H3182" s="27"/>
      <c r="I3182" s="27"/>
      <c r="J3182" s="27"/>
      <c r="K3182" s="27"/>
      <c r="L3182" s="27"/>
    </row>
    <row r="3183" spans="5:5">
      <c r="E3183" s="5"/>
    </row>
    <row r="3184" spans="2:5">
      <c r="B3184" s="1" t="s">
        <v>382</v>
      </c>
      <c r="C3184" s="1" t="s">
        <v>1315</v>
      </c>
      <c r="E3184" s="5"/>
    </row>
    <row r="3185" spans="2:5">
      <c r="B3185" s="1">
        <v>0</v>
      </c>
      <c r="C3185" s="43">
        <v>0.1</v>
      </c>
      <c r="E3185" s="5"/>
    </row>
    <row r="3186" spans="2:5">
      <c r="B3186" s="1">
        <v>7</v>
      </c>
      <c r="C3186" s="43">
        <v>0.2</v>
      </c>
      <c r="E3186" s="5"/>
    </row>
    <row r="3187" spans="2:5">
      <c r="B3187" s="1">
        <v>14</v>
      </c>
      <c r="C3187" s="43">
        <v>0.4</v>
      </c>
      <c r="E3187" s="5"/>
    </row>
    <row r="3188" spans="2:5">
      <c r="B3188" s="1">
        <v>30</v>
      </c>
      <c r="C3188" s="43">
        <v>0.6</v>
      </c>
      <c r="E3188" s="5"/>
    </row>
    <row r="3189" spans="2:5">
      <c r="B3189" s="1">
        <v>60</v>
      </c>
      <c r="C3189" s="43">
        <v>0.8</v>
      </c>
      <c r="E3189" s="5"/>
    </row>
    <row r="3190" spans="2:5">
      <c r="B3190" s="1">
        <v>120</v>
      </c>
      <c r="C3190" s="43">
        <v>1</v>
      </c>
      <c r="E3190" s="5"/>
    </row>
    <row r="3191" spans="5:5">
      <c r="E3191" s="5"/>
    </row>
    <row r="3192" spans="2:12">
      <c r="B3192" s="27" t="s">
        <v>1717</v>
      </c>
      <c r="C3192" s="27"/>
      <c r="D3192" s="27"/>
      <c r="E3192" s="27"/>
      <c r="F3192" s="27"/>
      <c r="G3192" s="27"/>
      <c r="H3192" s="27"/>
      <c r="I3192" s="27"/>
      <c r="J3192" s="27"/>
      <c r="K3192" s="27"/>
      <c r="L3192" s="27"/>
    </row>
    <row r="3194" spans="2:5">
      <c r="B3194" s="1" t="s">
        <v>1718</v>
      </c>
      <c r="E3194" s="30">
        <v>6</v>
      </c>
    </row>
    <row r="3195" spans="2:5">
      <c r="B3195" s="1" t="s">
        <v>1719</v>
      </c>
      <c r="E3195" s="30">
        <v>4</v>
      </c>
    </row>
    <row r="3196" spans="2:5">
      <c r="B3196" s="1" t="s">
        <v>1720</v>
      </c>
      <c r="E3196" s="30">
        <v>0</v>
      </c>
    </row>
    <row r="3198" spans="2:6">
      <c r="B3198" s="1" t="s">
        <v>1721</v>
      </c>
      <c r="E3198" s="5">
        <f>E3140/($E$3194*$E$3195)</f>
        <v>57.6</v>
      </c>
      <c r="F3198" s="30" t="s">
        <v>1308</v>
      </c>
    </row>
    <row r="3199" spans="2:8">
      <c r="B3199" s="1" t="s">
        <v>1722</v>
      </c>
      <c r="E3199" s="5">
        <f>E3144/($E$3194*($E$3195+$E$3196))</f>
        <v>0.0625</v>
      </c>
      <c r="F3199" s="30" t="str">
        <f>总规划!$C$107</f>
        <v>1四星卡</v>
      </c>
      <c r="H3199" s="5">
        <f>$AA$3570</f>
        <v>0.0601503759398496</v>
      </c>
    </row>
    <row r="3200" spans="2:8">
      <c r="B3200" s="1" t="s">
        <v>1723</v>
      </c>
      <c r="E3200" s="5">
        <f>E3148/($E$3194*($E$3195+$E$3196))</f>
        <v>12500</v>
      </c>
      <c r="F3200" s="30" t="s">
        <v>1724</v>
      </c>
      <c r="H3200" s="5">
        <f>$AB$3570</f>
        <v>12180.4511278195</v>
      </c>
    </row>
    <row r="3201" spans="2:8">
      <c r="B3201" s="1" t="s">
        <v>1725</v>
      </c>
      <c r="E3201" s="5">
        <f>E3152/($E$3194*($E$3195+$E$3196))</f>
        <v>8.33333333333333</v>
      </c>
      <c r="F3201" s="30" t="s">
        <v>1321</v>
      </c>
      <c r="H3201" s="5">
        <f>$AC$3570</f>
        <v>8.1203007518797</v>
      </c>
    </row>
    <row r="3202" spans="2:8">
      <c r="B3202" s="1" t="s">
        <v>1726</v>
      </c>
      <c r="E3202" s="5">
        <f>E3156/($E$3194*($E$3195+$E$3196))</f>
        <v>2.5</v>
      </c>
      <c r="F3202" s="30" t="s">
        <v>1355</v>
      </c>
      <c r="H3202" s="5">
        <f>$AD$3570</f>
        <v>2.50375939849624</v>
      </c>
    </row>
    <row r="3203" spans="2:8">
      <c r="B3203" s="1" t="s">
        <v>1727</v>
      </c>
      <c r="E3203" s="5">
        <f>E3160/($E$3194*($E$3195+$E$3196))</f>
        <v>15</v>
      </c>
      <c r="F3203" s="30" t="s">
        <v>1357</v>
      </c>
      <c r="H3203" s="5">
        <f>$AE$3570</f>
        <v>15.0375939849624</v>
      </c>
    </row>
    <row r="3204" spans="2:8">
      <c r="B3204" s="1" t="s">
        <v>1728</v>
      </c>
      <c r="E3204" s="5">
        <f>E3164/($E$3194*($E$3195+$E$3196))</f>
        <v>5000</v>
      </c>
      <c r="F3204" s="30" t="s">
        <v>1346</v>
      </c>
      <c r="H3204" s="5">
        <f>$AF$3570</f>
        <v>5012.5313283208</v>
      </c>
    </row>
    <row r="3205" spans="2:8">
      <c r="B3205" s="1" t="s">
        <v>1729</v>
      </c>
      <c r="E3205" s="5">
        <f>E3168/($E$3194*($E$3195+$E$3196))</f>
        <v>6250</v>
      </c>
      <c r="F3205" s="30" t="s">
        <v>1730</v>
      </c>
      <c r="H3205" s="5">
        <f>$AG$3570</f>
        <v>6090.22556390977</v>
      </c>
    </row>
    <row r="3206" spans="2:8">
      <c r="B3206" s="1" t="s">
        <v>1731</v>
      </c>
      <c r="E3206" s="5">
        <f>E3172/($E$3194*($E$3195+$E$3196))</f>
        <v>4.16666666666667</v>
      </c>
      <c r="F3206" s="30" t="s">
        <v>1713</v>
      </c>
      <c r="H3206" s="5">
        <f>$AH$3570</f>
        <v>4.06015037593985</v>
      </c>
    </row>
    <row r="3207" spans="2:8">
      <c r="B3207" s="1" t="s">
        <v>1732</v>
      </c>
      <c r="E3207" s="5">
        <f>E3176/($E$3194*($E$3195+$E$3196))</f>
        <v>1.25</v>
      </c>
      <c r="F3207" s="30" t="s">
        <v>1675</v>
      </c>
      <c r="H3207" s="5">
        <f>$AI$3570</f>
        <v>1.2406015037594</v>
      </c>
    </row>
    <row r="3209" spans="2:12">
      <c r="B3209" s="27" t="s">
        <v>590</v>
      </c>
      <c r="C3209" s="27"/>
      <c r="D3209" s="27"/>
      <c r="E3209" s="27"/>
      <c r="F3209" s="27"/>
      <c r="G3209" s="27"/>
      <c r="H3209" s="27"/>
      <c r="I3209" s="27"/>
      <c r="J3209" s="27"/>
      <c r="K3209" s="27"/>
      <c r="L3209" s="27"/>
    </row>
    <row r="3211" spans="2:9">
      <c r="B3211" s="29" t="str">
        <f>总规划!B259</f>
        <v>萝卜</v>
      </c>
      <c r="C3211" s="29" t="str">
        <f>总规划!C259</f>
        <v>单位</v>
      </c>
      <c r="D3211" s="29" t="str">
        <f>总规划!D259</f>
        <v>内部美元价</v>
      </c>
      <c r="E3211" s="29" t="str">
        <f>总规划!E259</f>
        <v>内部黄金价</v>
      </c>
      <c r="F3211" s="29" t="str">
        <f>总规划!F259</f>
        <v>显示黄金价</v>
      </c>
      <c r="G3211" s="29" t="str">
        <f>总规划!G259</f>
        <v>资源内部价</v>
      </c>
      <c r="H3211" s="29" t="str">
        <f>总规划!H259</f>
        <v>资源显示价</v>
      </c>
      <c r="I3211" s="29" t="str">
        <f>总规划!I259</f>
        <v>资源单位</v>
      </c>
    </row>
    <row r="3212" spans="2:9">
      <c r="B3212" s="1" t="str">
        <f>总规划!B260</f>
        <v>基础资源</v>
      </c>
      <c r="C3212" s="1" t="str">
        <f>总规划!C260</f>
        <v>1M资源</v>
      </c>
      <c r="D3212" s="24">
        <f>总规划!D260</f>
        <v>0.416666666666667</v>
      </c>
      <c r="E3212" s="1">
        <f>总规划!E260</f>
        <v>500</v>
      </c>
      <c r="F3212" s="1">
        <f>总规划!F260</f>
        <v>1000</v>
      </c>
      <c r="G3212" s="1">
        <f>总规划!G260</f>
        <v>1</v>
      </c>
      <c r="H3212" s="1">
        <f>总规划!H260</f>
        <v>1</v>
      </c>
      <c r="I3212" s="1" t="str">
        <f>总规划!I260</f>
        <v>1M资源</v>
      </c>
    </row>
    <row r="3213" spans="2:9">
      <c r="B3213" s="1" t="str">
        <f>总规划!B261</f>
        <v>加速</v>
      </c>
      <c r="C3213" s="1" t="str">
        <f>总规划!C261</f>
        <v>1天</v>
      </c>
      <c r="D3213" s="24">
        <f>总规划!D261</f>
        <v>1.5625</v>
      </c>
      <c r="E3213" s="1">
        <f>总规划!E261</f>
        <v>1875</v>
      </c>
      <c r="F3213" s="1">
        <f>总规划!F261</f>
        <v>4320</v>
      </c>
      <c r="G3213" s="1">
        <f>总规划!G261</f>
        <v>3.75</v>
      </c>
      <c r="H3213" s="1">
        <f>总规划!H261</f>
        <v>4.32</v>
      </c>
      <c r="I3213" s="1" t="str">
        <f>总规划!I261</f>
        <v>1M资源</v>
      </c>
    </row>
    <row r="3214" spans="2:9">
      <c r="B3214" s="1" t="str">
        <f>总规划!B262</f>
        <v>卡牌</v>
      </c>
      <c r="C3214" s="1" t="str">
        <f>总规划!C262</f>
        <v>1四星卡</v>
      </c>
      <c r="D3214" s="24">
        <f>总规划!D262</f>
        <v>0.5</v>
      </c>
      <c r="E3214" s="1">
        <f>总规划!E262</f>
        <v>600</v>
      </c>
      <c r="F3214" s="1">
        <f>总规划!F262</f>
        <v>1200</v>
      </c>
      <c r="G3214" s="1">
        <f>总规划!G262</f>
        <v>1.2</v>
      </c>
      <c r="H3214" s="1">
        <f>总规划!H262</f>
        <v>1.2</v>
      </c>
      <c r="I3214" s="1" t="str">
        <f>总规划!I262</f>
        <v>1M资源</v>
      </c>
    </row>
    <row r="3215" spans="2:9">
      <c r="B3215" s="1" t="str">
        <f>总规划!B263</f>
        <v>陆军经验</v>
      </c>
      <c r="C3215" s="1" t="str">
        <f>总规划!C263</f>
        <v>1M陆经</v>
      </c>
      <c r="D3215" s="24">
        <f>总规划!D263</f>
        <v>2.5</v>
      </c>
      <c r="E3215" s="1">
        <f>总规划!E263</f>
        <v>3000</v>
      </c>
      <c r="F3215" s="1">
        <f>总规划!F263</f>
        <v>6000</v>
      </c>
      <c r="G3215" s="1">
        <f>总规划!G263</f>
        <v>6</v>
      </c>
      <c r="H3215" s="1">
        <f>总规划!H263</f>
        <v>6</v>
      </c>
      <c r="I3215" s="1" t="str">
        <f>总规划!I263</f>
        <v>1M资源</v>
      </c>
    </row>
    <row r="3216" spans="2:9">
      <c r="B3216" s="1" t="str">
        <f>总规划!B264</f>
        <v>弹药</v>
      </c>
      <c r="C3216" s="1" t="str">
        <f>总规划!C264</f>
        <v>1k弹药</v>
      </c>
      <c r="D3216" s="24">
        <f>总规划!D264</f>
        <v>3.75</v>
      </c>
      <c r="E3216" s="1">
        <f>总规划!E264</f>
        <v>4500</v>
      </c>
      <c r="F3216" s="1">
        <f>总规划!F264</f>
        <v>9000</v>
      </c>
      <c r="G3216" s="1">
        <f>总规划!G264</f>
        <v>9</v>
      </c>
      <c r="H3216" s="1">
        <f>总规划!H264</f>
        <v>9</v>
      </c>
      <c r="I3216" s="1" t="str">
        <f>总规划!I264</f>
        <v>1M资源</v>
      </c>
    </row>
    <row r="3217" spans="2:9">
      <c r="B3217" s="1" t="str">
        <f>总规划!B265</f>
        <v>零件</v>
      </c>
      <c r="C3217" s="1" t="str">
        <f>总规划!C265</f>
        <v>1k零件</v>
      </c>
      <c r="D3217" s="24">
        <f>总规划!D265</f>
        <v>12.5</v>
      </c>
      <c r="E3217" s="1">
        <f>总规划!E265</f>
        <v>15000</v>
      </c>
      <c r="F3217" s="1">
        <f>总规划!F265</f>
        <v>30000</v>
      </c>
      <c r="G3217" s="1">
        <f>总规划!G265</f>
        <v>30</v>
      </c>
      <c r="H3217" s="1">
        <f>总规划!H265</f>
        <v>30</v>
      </c>
      <c r="I3217" s="1" t="str">
        <f>总规划!I265</f>
        <v>1M资源</v>
      </c>
    </row>
    <row r="3218" spans="2:9">
      <c r="B3218" s="1" t="str">
        <f>总规划!B266</f>
        <v>配件材料</v>
      </c>
      <c r="C3218" s="1" t="str">
        <f>总规划!C266</f>
        <v>1k铜材料</v>
      </c>
      <c r="D3218" s="24">
        <f>总规划!D266</f>
        <v>2.08333333333333</v>
      </c>
      <c r="E3218" s="1">
        <f>总规划!E266</f>
        <v>2500</v>
      </c>
      <c r="F3218" s="1">
        <f>总规划!F266</f>
        <v>5000</v>
      </c>
      <c r="G3218" s="1">
        <f>总规划!G266</f>
        <v>5</v>
      </c>
      <c r="H3218" s="1">
        <f>总规划!H266</f>
        <v>5</v>
      </c>
      <c r="I3218" s="1" t="str">
        <f>总规划!I266</f>
        <v>1M资源</v>
      </c>
    </row>
    <row r="3219" spans="2:9">
      <c r="B3219" s="1" t="str">
        <f>总规划!B267</f>
        <v>配件图纸</v>
      </c>
      <c r="C3219" s="1" t="str">
        <f>总规划!C267</f>
        <v>1金++</v>
      </c>
      <c r="D3219" s="24">
        <f>总规划!D267</f>
        <v>62.5</v>
      </c>
      <c r="E3219" s="1">
        <f>总规划!E267</f>
        <v>75000</v>
      </c>
      <c r="F3219" s="1">
        <f>总规划!F267</f>
        <v>150000</v>
      </c>
      <c r="G3219" s="1">
        <f>总规划!G267</f>
        <v>150</v>
      </c>
      <c r="H3219" s="1">
        <f>总规划!H267</f>
        <v>150</v>
      </c>
      <c r="I3219" s="1" t="str">
        <f>总规划!I267</f>
        <v>1M资源</v>
      </c>
    </row>
    <row r="3220" spans="2:9">
      <c r="B3220" s="1" t="str">
        <f>总规划!B268</f>
        <v>军官经验</v>
      </c>
      <c r="C3220" s="1" t="str">
        <f>总规划!C268</f>
        <v>1M军经</v>
      </c>
      <c r="D3220" s="24">
        <f>总规划!D268</f>
        <v>6.25</v>
      </c>
      <c r="E3220" s="1">
        <f>总规划!E268</f>
        <v>7500</v>
      </c>
      <c r="F3220" s="1">
        <f>总规划!F268</f>
        <v>15000</v>
      </c>
      <c r="G3220" s="1">
        <f>总规划!G268</f>
        <v>15</v>
      </c>
      <c r="H3220" s="1">
        <f>总规划!H268</f>
        <v>15</v>
      </c>
      <c r="I3220" s="1" t="str">
        <f>总规划!I268</f>
        <v>1M资源</v>
      </c>
    </row>
    <row r="3221" spans="2:9">
      <c r="B3221" s="1" t="str">
        <f>总规划!B269</f>
        <v>军官技能书</v>
      </c>
      <c r="C3221" s="1" t="str">
        <f>总规划!C269</f>
        <v>1技书</v>
      </c>
      <c r="D3221" s="24">
        <f>总规划!D269</f>
        <v>3.33333333333333</v>
      </c>
      <c r="E3221" s="1">
        <f>总规划!E269</f>
        <v>4000</v>
      </c>
      <c r="F3221" s="1">
        <f>总规划!F269</f>
        <v>8000</v>
      </c>
      <c r="G3221" s="1">
        <f>总规划!G269</f>
        <v>8</v>
      </c>
      <c r="H3221" s="1">
        <f>总规划!H269</f>
        <v>8</v>
      </c>
      <c r="I3221" s="1" t="str">
        <f>总规划!I269</f>
        <v>1M资源</v>
      </c>
    </row>
    <row r="3222" spans="2:9">
      <c r="B3222" s="1" t="str">
        <f>总规划!B270</f>
        <v>阵营经验</v>
      </c>
      <c r="C3222" s="1" t="str">
        <f>总规划!C270</f>
        <v>1M阵经</v>
      </c>
      <c r="D3222" s="24">
        <f>总规划!D270</f>
        <v>69.4444444444444</v>
      </c>
      <c r="E3222" s="1">
        <f>总规划!E270</f>
        <v>83333.3333333333</v>
      </c>
      <c r="F3222" s="1">
        <f>总规划!F270</f>
        <v>166666.666666667</v>
      </c>
      <c r="G3222" s="1">
        <f>总规划!G270</f>
        <v>166.666666666667</v>
      </c>
      <c r="H3222" s="1">
        <f>总规划!H270</f>
        <v>166.666666666667</v>
      </c>
      <c r="I3222" s="1" t="str">
        <f>总规划!I270</f>
        <v>1M资源</v>
      </c>
    </row>
    <row r="3223" spans="2:9">
      <c r="B3223" s="1" t="str">
        <f>总规划!B271</f>
        <v>VIP经验</v>
      </c>
      <c r="C3223" s="1" t="str">
        <f>总规划!C271</f>
        <v>1k经验</v>
      </c>
      <c r="D3223" s="24">
        <f>总规划!D271</f>
        <v>0.833333333333333</v>
      </c>
      <c r="E3223" s="1">
        <f>总规划!E271</f>
        <v>1000</v>
      </c>
      <c r="F3223" s="1">
        <f>总规划!F271</f>
        <v>1000</v>
      </c>
      <c r="G3223" s="1">
        <f>总规划!G271</f>
        <v>2</v>
      </c>
      <c r="H3223" s="1">
        <f>总规划!H271</f>
        <v>1</v>
      </c>
      <c r="I3223" s="1" t="str">
        <f>总规划!I271</f>
        <v>1M资源</v>
      </c>
    </row>
    <row r="3224" spans="2:9">
      <c r="B3224" s="1" t="str">
        <f>总规划!B272</f>
        <v>科技书</v>
      </c>
      <c r="C3224" s="1" t="str">
        <f>总规划!C272</f>
        <v>1科技书</v>
      </c>
      <c r="D3224" s="24">
        <f>总规划!D272</f>
        <v>0.05</v>
      </c>
      <c r="E3224" s="1">
        <f>总规划!E272</f>
        <v>60</v>
      </c>
      <c r="F3224" s="1">
        <f>总规划!F272</f>
        <v>120</v>
      </c>
      <c r="G3224" s="1">
        <f>总规划!G272</f>
        <v>0.12</v>
      </c>
      <c r="H3224" s="1">
        <f>总规划!H272</f>
        <v>0.12</v>
      </c>
      <c r="I3224" s="1" t="str">
        <f>总规划!I272</f>
        <v>1M资源</v>
      </c>
    </row>
    <row r="3225" spans="2:9">
      <c r="B3225" s="1" t="str">
        <f>总规划!B273</f>
        <v>空军经验</v>
      </c>
      <c r="C3225" s="1" t="str">
        <f>总规划!C273</f>
        <v>1M空经</v>
      </c>
      <c r="D3225" s="24">
        <f>总规划!D273</f>
        <v>5</v>
      </c>
      <c r="E3225" s="1">
        <f>总规划!E273</f>
        <v>6000</v>
      </c>
      <c r="F3225" s="1">
        <f>总规划!F273</f>
        <v>12000</v>
      </c>
      <c r="G3225" s="1">
        <f>总规划!G273</f>
        <v>12</v>
      </c>
      <c r="H3225" s="1">
        <f>总规划!H273</f>
        <v>12</v>
      </c>
      <c r="I3225" s="1" t="str">
        <f>总规划!I273</f>
        <v>1M资源</v>
      </c>
    </row>
    <row r="3226" spans="2:9">
      <c r="B3226" s="1" t="str">
        <f>总规划!B274</f>
        <v>空军弹药</v>
      </c>
      <c r="C3226" s="1" t="str">
        <f>总规划!C274</f>
        <v>1k空弹</v>
      </c>
      <c r="D3226" s="24">
        <f>总规划!D274</f>
        <v>7.5</v>
      </c>
      <c r="E3226" s="1">
        <f>总规划!E274</f>
        <v>9000</v>
      </c>
      <c r="F3226" s="1">
        <f>总规划!F274</f>
        <v>18000</v>
      </c>
      <c r="G3226" s="1">
        <f>总规划!G274</f>
        <v>18</v>
      </c>
      <c r="H3226" s="1">
        <f>总规划!H274</f>
        <v>18</v>
      </c>
      <c r="I3226" s="1" t="str">
        <f>总规划!I274</f>
        <v>1M资源</v>
      </c>
    </row>
    <row r="3227" spans="2:9">
      <c r="B3227" s="1" t="str">
        <f>总规划!B275</f>
        <v>空军零件</v>
      </c>
      <c r="C3227" s="1" t="str">
        <f>总规划!C275</f>
        <v>1k空零</v>
      </c>
      <c r="D3227" s="24">
        <f>总规划!D275</f>
        <v>25</v>
      </c>
      <c r="E3227" s="1">
        <f>总规划!E275</f>
        <v>30000</v>
      </c>
      <c r="F3227" s="1">
        <f>总规划!F275</f>
        <v>60000</v>
      </c>
      <c r="G3227" s="1">
        <f>总规划!G275</f>
        <v>60</v>
      </c>
      <c r="H3227" s="1">
        <f>总规划!H275</f>
        <v>60</v>
      </c>
      <c r="I3227" s="1" t="str">
        <f>总规划!I275</f>
        <v>1M资源</v>
      </c>
    </row>
    <row r="3229" spans="2:12">
      <c r="B3229" s="27" t="s">
        <v>606</v>
      </c>
      <c r="C3229" s="27"/>
      <c r="D3229" s="27"/>
      <c r="E3229" s="27"/>
      <c r="F3229" s="27"/>
      <c r="G3229" s="27"/>
      <c r="H3229" s="27"/>
      <c r="I3229" s="27"/>
      <c r="J3229" s="27"/>
      <c r="K3229" s="27"/>
      <c r="L3229" s="27"/>
    </row>
    <row r="3231" spans="2:9">
      <c r="B3231" s="29" t="str">
        <f>总规划!B279</f>
        <v>物品</v>
      </c>
      <c r="C3231" s="29" t="str">
        <f>总规划!C279</f>
        <v>单位</v>
      </c>
      <c r="D3231" s="29" t="str">
        <f>总规划!D279</f>
        <v>内部美元价</v>
      </c>
      <c r="E3231" s="29" t="str">
        <f>总规划!E279</f>
        <v>内部黄金价</v>
      </c>
      <c r="F3231" s="29" t="str">
        <f>总规划!F279</f>
        <v>显示黄金价</v>
      </c>
      <c r="G3231" s="29" t="str">
        <f>总规划!G279</f>
        <v>资源内部价</v>
      </c>
      <c r="H3231" s="29" t="str">
        <f>总规划!H279</f>
        <v>资源显示价</v>
      </c>
      <c r="I3231" s="29" t="str">
        <f>总规划!I279</f>
        <v>资源单位</v>
      </c>
    </row>
    <row r="3232" spans="2:9">
      <c r="B3232" s="1" t="str">
        <f>总规划!B280</f>
        <v>体力药水</v>
      </c>
      <c r="C3232" s="1" t="str">
        <f>总规划!C280</f>
        <v>1体力</v>
      </c>
      <c r="D3232" s="1">
        <f>总规划!D280</f>
        <v>0.0125</v>
      </c>
      <c r="E3232" s="1">
        <f>总规划!E280</f>
        <v>15</v>
      </c>
      <c r="F3232" s="1">
        <f>总规划!F280</f>
        <v>30</v>
      </c>
      <c r="G3232" s="1">
        <f>总规划!G280</f>
        <v>0.03</v>
      </c>
      <c r="H3232" s="1">
        <f>总规划!H280</f>
        <v>0.03</v>
      </c>
      <c r="I3232" s="1" t="str">
        <f>总规划!I280</f>
        <v>1M资源</v>
      </c>
    </row>
    <row r="3233" spans="2:9">
      <c r="B3233" s="1" t="str">
        <f>总规划!B281</f>
        <v>抽卡券</v>
      </c>
      <c r="C3233" s="1" t="str">
        <f>总规划!C281</f>
        <v>1张</v>
      </c>
      <c r="D3233" s="1">
        <f>总规划!D281</f>
        <v>0.62875</v>
      </c>
      <c r="E3233" s="1">
        <f>总规划!E281</f>
        <v>754.5</v>
      </c>
      <c r="F3233" s="1">
        <f>总规划!F281</f>
        <v>900</v>
      </c>
      <c r="G3233" s="1">
        <f>总规划!G281</f>
        <v>1.509</v>
      </c>
      <c r="H3233" s="1">
        <f>总规划!H281</f>
        <v>0.9</v>
      </c>
      <c r="I3233" s="1" t="str">
        <f>总规划!I281</f>
        <v>1M资源</v>
      </c>
    </row>
    <row r="3234" spans="2:9">
      <c r="B3234" s="1" t="str">
        <f>总规划!B282</f>
        <v>阵营券</v>
      </c>
      <c r="C3234" s="1" t="str">
        <f>总规划!C282</f>
        <v>1张</v>
      </c>
      <c r="D3234" s="1">
        <f>总规划!D282</f>
        <v>0.62875</v>
      </c>
      <c r="E3234" s="1">
        <f>总规划!E282</f>
        <v>754.5</v>
      </c>
      <c r="F3234" s="1">
        <f>总规划!F282</f>
        <v>1500</v>
      </c>
      <c r="G3234" s="1">
        <f>总规划!G282</f>
        <v>1.509</v>
      </c>
      <c r="H3234" s="1">
        <f>总规划!H282</f>
        <v>1.5</v>
      </c>
      <c r="I3234" s="1" t="str">
        <f>总规划!I282</f>
        <v>1M资源</v>
      </c>
    </row>
    <row r="3235" spans="2:9">
      <c r="B3235" s="1" t="str">
        <f>总规划!B283</f>
        <v>空降券</v>
      </c>
      <c r="C3235" s="1" t="str">
        <f>总规划!C283</f>
        <v>1张</v>
      </c>
      <c r="D3235" s="1">
        <f>总规划!D283</f>
        <v>0.5</v>
      </c>
      <c r="E3235" s="1">
        <f>总规划!E283</f>
        <v>600</v>
      </c>
      <c r="F3235" s="1">
        <f>总规划!F283</f>
        <v>1200</v>
      </c>
      <c r="G3235" s="1">
        <f>总规划!G283</f>
        <v>1.2</v>
      </c>
      <c r="H3235" s="1">
        <f>总规划!H283</f>
        <v>1.2</v>
      </c>
      <c r="I3235" s="1" t="str">
        <f>总规划!I283</f>
        <v>1M资源</v>
      </c>
    </row>
    <row r="3236" spans="2:9">
      <c r="B3236" s="1" t="str">
        <f>总规划!B284</f>
        <v>跨城券</v>
      </c>
      <c r="C3236" s="1" t="str">
        <f>总规划!C284</f>
        <v>1张</v>
      </c>
      <c r="D3236" s="1">
        <f>总规划!D284</f>
        <v>1.5</v>
      </c>
      <c r="E3236" s="1">
        <f>总规划!E284</f>
        <v>1800</v>
      </c>
      <c r="F3236" s="1">
        <f>总规划!F284</f>
        <v>3600</v>
      </c>
      <c r="G3236" s="1">
        <f>总规划!G284</f>
        <v>3.6</v>
      </c>
      <c r="H3236" s="1">
        <f>总规划!H284</f>
        <v>3.6</v>
      </c>
      <c r="I3236" s="1" t="str">
        <f>总规划!I284</f>
        <v>1M资源</v>
      </c>
    </row>
    <row r="3237" spans="2:9">
      <c r="B3237" s="1" t="str">
        <f>总规划!B285</f>
        <v>预备役</v>
      </c>
      <c r="C3237" s="1" t="str">
        <f>总规划!C285</f>
        <v>1个</v>
      </c>
      <c r="D3237" s="1">
        <f>总规划!D285</f>
        <v>0.025</v>
      </c>
      <c r="E3237" s="1">
        <f>总规划!E285</f>
        <v>30</v>
      </c>
      <c r="F3237" s="1">
        <f>总规划!F285</f>
        <v>60</v>
      </c>
      <c r="G3237" s="1">
        <f>总规划!G285</f>
        <v>0.06</v>
      </c>
      <c r="H3237" s="1">
        <f>总规划!H285</f>
        <v>0.06</v>
      </c>
      <c r="I3237" s="1" t="str">
        <f>总规划!I285</f>
        <v>1M资源</v>
      </c>
    </row>
    <row r="3238" spans="2:9">
      <c r="B3238" s="1" t="str">
        <f>总规划!B286</f>
        <v>表情</v>
      </c>
      <c r="C3238" s="1" t="str">
        <f>总规划!C286</f>
        <v>1个</v>
      </c>
      <c r="D3238" s="1">
        <f>总规划!D286</f>
        <v>2.5</v>
      </c>
      <c r="E3238" s="1">
        <f>总规划!E286</f>
        <v>3000</v>
      </c>
      <c r="F3238" s="1">
        <f>总规划!F286</f>
        <v>6000</v>
      </c>
      <c r="G3238" s="1">
        <f>总规划!G286</f>
        <v>6</v>
      </c>
      <c r="H3238" s="1">
        <f>总规划!H286</f>
        <v>6</v>
      </c>
      <c r="I3238" s="1" t="str">
        <f>总规划!I286</f>
        <v>1M资源</v>
      </c>
    </row>
    <row r="3239" spans="2:9">
      <c r="B3239" s="1" t="str">
        <f>总规划!B287</f>
        <v>头像框</v>
      </c>
      <c r="C3239" s="1" t="str">
        <f>总规划!C287</f>
        <v>1个</v>
      </c>
      <c r="D3239" s="1">
        <f>总规划!D287</f>
        <v>1.25</v>
      </c>
      <c r="E3239" s="1">
        <f>总规划!E287</f>
        <v>1500</v>
      </c>
      <c r="F3239" s="1">
        <f>总规划!F287</f>
        <v>3000</v>
      </c>
      <c r="G3239" s="1">
        <f>总规划!G287</f>
        <v>3</v>
      </c>
      <c r="H3239" s="1">
        <f>总规划!H287</f>
        <v>3</v>
      </c>
      <c r="I3239" s="1" t="str">
        <f>总规划!I287</f>
        <v>1M资源</v>
      </c>
    </row>
    <row r="3240" spans="2:9">
      <c r="B3240" s="1" t="str">
        <f>总规划!B288</f>
        <v>战役币</v>
      </c>
      <c r="C3240" s="1" t="str">
        <f>总规划!C288</f>
        <v>1k战役币</v>
      </c>
      <c r="D3240" s="1">
        <f>总规划!D288</f>
        <v>1</v>
      </c>
      <c r="E3240" s="1">
        <f>总规划!E288</f>
        <v>1200</v>
      </c>
      <c r="F3240" s="1">
        <f>总规划!F288</f>
        <v>2400</v>
      </c>
      <c r="G3240" s="1">
        <f>总规划!G288</f>
        <v>2.4</v>
      </c>
      <c r="H3240" s="1">
        <f>总规划!H288</f>
        <v>2.4</v>
      </c>
      <c r="I3240" s="1" t="str">
        <f>总规划!I288</f>
        <v>1M资源</v>
      </c>
    </row>
    <row r="3242" spans="2:12">
      <c r="B3242" s="27" t="s">
        <v>1733</v>
      </c>
      <c r="C3242" s="27"/>
      <c r="D3242" s="27"/>
      <c r="E3242" s="27"/>
      <c r="F3242" s="27"/>
      <c r="G3242" s="27"/>
      <c r="H3242" s="27"/>
      <c r="I3242" s="27"/>
      <c r="J3242" s="27"/>
      <c r="K3242" s="27"/>
      <c r="L3242" s="27"/>
    </row>
    <row r="3244" spans="3:9">
      <c r="C3244" s="29" t="s">
        <v>591</v>
      </c>
      <c r="E3244" s="29" t="s">
        <v>1734</v>
      </c>
      <c r="G3244" s="29" t="s">
        <v>592</v>
      </c>
      <c r="I3244" s="29" t="s">
        <v>1735</v>
      </c>
    </row>
    <row r="3245" spans="2:10">
      <c r="B3245" s="1" t="s">
        <v>1328</v>
      </c>
      <c r="C3245" s="1">
        <f>G3212</f>
        <v>1</v>
      </c>
      <c r="D3245" s="1" t="s">
        <v>1328</v>
      </c>
      <c r="E3245" s="1">
        <f>C3245/1000000*$E$3212</f>
        <v>0.0005</v>
      </c>
      <c r="F3245" s="1" t="s">
        <v>1736</v>
      </c>
      <c r="G3245" s="1">
        <f>H3212</f>
        <v>1</v>
      </c>
      <c r="H3245" s="1" t="s">
        <v>1328</v>
      </c>
      <c r="I3245" s="1">
        <f t="shared" ref="I3245:I3253" si="884">G3245/1000000*$F$3212</f>
        <v>0.001</v>
      </c>
      <c r="J3245" s="1" t="s">
        <v>1736</v>
      </c>
    </row>
    <row r="3246" spans="2:10">
      <c r="B3246" s="1" t="s">
        <v>1308</v>
      </c>
      <c r="C3246" s="1">
        <f>G3213*1000000/(24*60)</f>
        <v>2604.16666666667</v>
      </c>
      <c r="D3246" s="1" t="s">
        <v>1328</v>
      </c>
      <c r="E3246" s="1">
        <f>C3246/1000000*$E$3212</f>
        <v>1.30208333333333</v>
      </c>
      <c r="F3246" s="1" t="s">
        <v>1736</v>
      </c>
      <c r="G3246" s="1">
        <f>H3213*1000000/(24*60)</f>
        <v>3000</v>
      </c>
      <c r="H3246" s="1" t="s">
        <v>1328</v>
      </c>
      <c r="I3246" s="1">
        <f t="shared" si="884"/>
        <v>3</v>
      </c>
      <c r="J3246" s="1" t="s">
        <v>1736</v>
      </c>
    </row>
    <row r="3247" spans="2:10">
      <c r="B3247" s="1" t="s">
        <v>520</v>
      </c>
      <c r="C3247" s="1">
        <f>G3214*1000000</f>
        <v>1200000</v>
      </c>
      <c r="D3247" s="1" t="s">
        <v>1328</v>
      </c>
      <c r="E3247" s="1">
        <f t="shared" ref="E3247:E3253" si="885">C3247/1000000*$E$3212</f>
        <v>600</v>
      </c>
      <c r="F3247" s="1" t="s">
        <v>1736</v>
      </c>
      <c r="G3247" s="1">
        <f>H3214*1000000</f>
        <v>1200000</v>
      </c>
      <c r="H3247" s="1" t="s">
        <v>1328</v>
      </c>
      <c r="I3247" s="1">
        <f t="shared" si="884"/>
        <v>1200</v>
      </c>
      <c r="J3247" s="1" t="s">
        <v>1736</v>
      </c>
    </row>
    <row r="3248" spans="2:10">
      <c r="B3248" s="1" t="s">
        <v>1460</v>
      </c>
      <c r="C3248" s="1">
        <f>G3215*1000000/1000000</f>
        <v>6</v>
      </c>
      <c r="D3248" s="1" t="s">
        <v>1328</v>
      </c>
      <c r="E3248" s="1">
        <f t="shared" si="885"/>
        <v>0.003</v>
      </c>
      <c r="F3248" s="1" t="s">
        <v>1736</v>
      </c>
      <c r="G3248" s="1">
        <f>H3215*1000000/1000000</f>
        <v>6</v>
      </c>
      <c r="H3248" s="1" t="s">
        <v>1328</v>
      </c>
      <c r="I3248" s="1">
        <f t="shared" si="884"/>
        <v>0.006</v>
      </c>
      <c r="J3248" s="1" t="s">
        <v>1736</v>
      </c>
    </row>
    <row r="3249" spans="2:10">
      <c r="B3249" s="1" t="s">
        <v>1321</v>
      </c>
      <c r="C3249" s="1">
        <f t="shared" ref="C3249:C3251" si="886">G3216*1000000/1000</f>
        <v>9000</v>
      </c>
      <c r="D3249" s="1" t="s">
        <v>1328</v>
      </c>
      <c r="E3249" s="1">
        <f t="shared" si="885"/>
        <v>4.5</v>
      </c>
      <c r="F3249" s="1" t="s">
        <v>1736</v>
      </c>
      <c r="G3249" s="1">
        <f t="shared" ref="G3249:G3251" si="887">H3216*1000000/1000</f>
        <v>9000</v>
      </c>
      <c r="H3249" s="1" t="s">
        <v>1328</v>
      </c>
      <c r="I3249" s="1">
        <f t="shared" si="884"/>
        <v>9</v>
      </c>
      <c r="J3249" s="1" t="s">
        <v>1736</v>
      </c>
    </row>
    <row r="3250" spans="2:10">
      <c r="B3250" s="1" t="s">
        <v>1355</v>
      </c>
      <c r="C3250" s="1">
        <f t="shared" si="886"/>
        <v>30000</v>
      </c>
      <c r="D3250" s="1" t="s">
        <v>1328</v>
      </c>
      <c r="E3250" s="1">
        <f t="shared" si="885"/>
        <v>15</v>
      </c>
      <c r="F3250" s="1" t="s">
        <v>1736</v>
      </c>
      <c r="G3250" s="1">
        <f t="shared" si="887"/>
        <v>30000</v>
      </c>
      <c r="H3250" s="1" t="s">
        <v>1328</v>
      </c>
      <c r="I3250" s="1">
        <f t="shared" si="884"/>
        <v>30</v>
      </c>
      <c r="J3250" s="1" t="s">
        <v>1736</v>
      </c>
    </row>
    <row r="3251" spans="2:10">
      <c r="B3251" s="1" t="s">
        <v>1357</v>
      </c>
      <c r="C3251" s="1">
        <f t="shared" si="886"/>
        <v>5000</v>
      </c>
      <c r="D3251" s="1" t="s">
        <v>1328</v>
      </c>
      <c r="E3251" s="1">
        <f t="shared" si="885"/>
        <v>2.5</v>
      </c>
      <c r="F3251" s="1" t="s">
        <v>1736</v>
      </c>
      <c r="G3251" s="1">
        <f t="shared" si="887"/>
        <v>5000</v>
      </c>
      <c r="H3251" s="1" t="s">
        <v>1328</v>
      </c>
      <c r="I3251" s="1">
        <f t="shared" si="884"/>
        <v>5</v>
      </c>
      <c r="J3251" s="1" t="s">
        <v>1736</v>
      </c>
    </row>
    <row r="3252" spans="2:10">
      <c r="B3252" s="1" t="s">
        <v>1737</v>
      </c>
      <c r="C3252" s="1">
        <f>G3233*1000000</f>
        <v>1509000</v>
      </c>
      <c r="D3252" s="1" t="s">
        <v>1328</v>
      </c>
      <c r="E3252" s="1">
        <f t="shared" si="885"/>
        <v>754.5</v>
      </c>
      <c r="F3252" s="1" t="s">
        <v>1736</v>
      </c>
      <c r="G3252" s="1">
        <f>H3233*1000000</f>
        <v>900000</v>
      </c>
      <c r="H3252" s="1" t="s">
        <v>1328</v>
      </c>
      <c r="I3252" s="1">
        <f t="shared" si="884"/>
        <v>900</v>
      </c>
      <c r="J3252" s="1" t="s">
        <v>1736</v>
      </c>
    </row>
    <row r="3253" spans="2:10">
      <c r="B3253" s="1" t="s">
        <v>1346</v>
      </c>
      <c r="C3253" s="1">
        <f>G3220</f>
        <v>15</v>
      </c>
      <c r="D3253" s="1" t="s">
        <v>1328</v>
      </c>
      <c r="E3253" s="1">
        <f t="shared" si="885"/>
        <v>0.0075</v>
      </c>
      <c r="F3253" s="1" t="s">
        <v>1736</v>
      </c>
      <c r="G3253" s="1">
        <f>H3220</f>
        <v>15</v>
      </c>
      <c r="H3253" s="1" t="s">
        <v>1328</v>
      </c>
      <c r="I3253" s="1">
        <f t="shared" si="884"/>
        <v>0.015</v>
      </c>
      <c r="J3253" s="1" t="s">
        <v>1736</v>
      </c>
    </row>
    <row r="3254" spans="2:10">
      <c r="B3254" s="1" t="s">
        <v>1730</v>
      </c>
      <c r="C3254" s="1">
        <f>G3225*1000000/1000000</f>
        <v>12</v>
      </c>
      <c r="D3254" s="1" t="s">
        <v>1328</v>
      </c>
      <c r="E3254" s="1">
        <f t="shared" ref="E3254:E3256" si="888">C3254/1000000*$E$3212</f>
        <v>0.006</v>
      </c>
      <c r="F3254" s="1" t="s">
        <v>1736</v>
      </c>
      <c r="G3254" s="1">
        <f>H3225*1000000/1000000</f>
        <v>12</v>
      </c>
      <c r="H3254" s="1" t="s">
        <v>1328</v>
      </c>
      <c r="I3254" s="1">
        <f t="shared" ref="I3254:I3256" si="889">G3254/1000000*$F$3212</f>
        <v>0.012</v>
      </c>
      <c r="J3254" s="1" t="s">
        <v>1736</v>
      </c>
    </row>
    <row r="3255" spans="2:10">
      <c r="B3255" s="1" t="s">
        <v>1713</v>
      </c>
      <c r="C3255" s="1">
        <f>G3226*1000000/1000</f>
        <v>18000</v>
      </c>
      <c r="D3255" s="1" t="s">
        <v>1328</v>
      </c>
      <c r="E3255" s="1">
        <f t="shared" si="888"/>
        <v>9</v>
      </c>
      <c r="F3255" s="1" t="s">
        <v>1736</v>
      </c>
      <c r="G3255" s="1">
        <f>H3226*1000000/1000</f>
        <v>18000</v>
      </c>
      <c r="H3255" s="1" t="s">
        <v>1328</v>
      </c>
      <c r="I3255" s="1">
        <f t="shared" si="889"/>
        <v>18</v>
      </c>
      <c r="J3255" s="1" t="s">
        <v>1736</v>
      </c>
    </row>
    <row r="3256" spans="2:10">
      <c r="B3256" s="1" t="s">
        <v>1675</v>
      </c>
      <c r="C3256" s="1">
        <f>G3227*1000000/1000</f>
        <v>60000</v>
      </c>
      <c r="D3256" s="1" t="s">
        <v>1328</v>
      </c>
      <c r="E3256" s="1">
        <f t="shared" si="888"/>
        <v>30</v>
      </c>
      <c r="F3256" s="1" t="s">
        <v>1736</v>
      </c>
      <c r="G3256" s="1">
        <f>H3227*1000000/1000</f>
        <v>60000</v>
      </c>
      <c r="H3256" s="1" t="s">
        <v>1328</v>
      </c>
      <c r="I3256" s="1">
        <f t="shared" si="889"/>
        <v>60</v>
      </c>
      <c r="J3256" s="1" t="s">
        <v>1736</v>
      </c>
    </row>
    <row r="3258" spans="2:12">
      <c r="B3258" s="27" t="s">
        <v>1738</v>
      </c>
      <c r="C3258" s="27"/>
      <c r="D3258" s="27"/>
      <c r="E3258" s="27"/>
      <c r="F3258" s="27"/>
      <c r="G3258" s="27"/>
      <c r="H3258" s="27"/>
      <c r="I3258" s="27"/>
      <c r="J3258" s="27"/>
      <c r="K3258" s="27"/>
      <c r="L3258" s="27"/>
    </row>
    <row r="3260" spans="2:23">
      <c r="B3260" s="4" t="s">
        <v>1527</v>
      </c>
      <c r="D3260" s="4" t="s">
        <v>607</v>
      </c>
      <c r="E3260" s="4"/>
      <c r="F3260" s="4"/>
      <c r="G3260" s="6" t="s">
        <v>1528</v>
      </c>
      <c r="H3260" s="1" t="s">
        <v>1739</v>
      </c>
      <c r="I3260" s="1" t="s">
        <v>1740</v>
      </c>
      <c r="J3260" s="4" t="s">
        <v>1529</v>
      </c>
      <c r="K3260" s="5" t="s">
        <v>1530</v>
      </c>
      <c r="L3260" s="6" t="s">
        <v>1533</v>
      </c>
      <c r="M3260" s="4" t="s">
        <v>1741</v>
      </c>
      <c r="N3260" s="30" t="s">
        <v>1742</v>
      </c>
      <c r="O3260" s="1" t="s">
        <v>1743</v>
      </c>
      <c r="P3260" s="1" t="s">
        <v>1744</v>
      </c>
      <c r="Q3260" s="4" t="s">
        <v>1745</v>
      </c>
      <c r="R3260" s="6" t="s">
        <v>1620</v>
      </c>
      <c r="S3260" s="1" t="s">
        <v>1746</v>
      </c>
      <c r="T3260" s="1" t="s">
        <v>1747</v>
      </c>
      <c r="U3260" s="1" t="s">
        <v>1748</v>
      </c>
      <c r="V3260" s="1" t="s">
        <v>1749</v>
      </c>
      <c r="W3260" s="1" t="s">
        <v>1750</v>
      </c>
    </row>
    <row r="3261" s="15" customFormat="1" spans="2:23">
      <c r="B3261" s="16" t="s">
        <v>1751</v>
      </c>
      <c r="D3261" s="16" t="s">
        <v>1752</v>
      </c>
      <c r="E3261" s="16"/>
      <c r="F3261" s="16"/>
      <c r="G3261" s="6">
        <v>1</v>
      </c>
      <c r="H3261" s="15">
        <v>10000</v>
      </c>
      <c r="I3261" s="15">
        <f>H3261*G3261</f>
        <v>10000</v>
      </c>
      <c r="J3261" s="16" t="str">
        <f t="shared" ref="J3261:J3308" si="890">IF(L3261&gt;-0.5,"purple","yellow")</f>
        <v>purple</v>
      </c>
      <c r="K3261" s="109">
        <f>O3261/Q3261</f>
        <v>1.11111111111111</v>
      </c>
      <c r="L3261" s="6">
        <v>-0.1</v>
      </c>
      <c r="M3261" s="16" t="s">
        <v>1753</v>
      </c>
      <c r="N3261" s="30" t="b">
        <v>1</v>
      </c>
      <c r="O3261" s="15">
        <f t="shared" ref="O3261:O3308" si="891">IF(M3261="l_coin",I3261*$E$3245,I3261*$C$3245)</f>
        <v>10000</v>
      </c>
      <c r="P3261" s="15">
        <f t="shared" ref="P3261:P3308" si="892">IF(M3261="l_coin",I3261*$I$3245,I3261*$G$3245)</f>
        <v>10000</v>
      </c>
      <c r="Q3261" s="16">
        <f>P3261*(1+L3261)</f>
        <v>9000</v>
      </c>
      <c r="R3261" s="6">
        <v>100</v>
      </c>
      <c r="S3261" s="15">
        <f t="shared" ref="S3261:S3308" si="893">I3261*R3261/$R$3309</f>
        <v>333.333333333333</v>
      </c>
      <c r="T3261" s="15">
        <f t="shared" ref="T3261:T3308" si="894">IF(M3261="l_coin",Q3261,0)</f>
        <v>0</v>
      </c>
      <c r="U3261" s="15">
        <f t="shared" ref="U3261:U3308" si="895">T3261*R3261/$R$3309</f>
        <v>0</v>
      </c>
      <c r="V3261" s="15">
        <f t="shared" ref="V3261:V3308" si="896">IF(M3261="l_coin",0,Q3261)</f>
        <v>9000</v>
      </c>
      <c r="W3261" s="15">
        <f t="shared" ref="W3261:W3308" si="897">V3261*R3261/$R$3309</f>
        <v>300</v>
      </c>
    </row>
    <row r="3262" s="15" customFormat="1" spans="2:23">
      <c r="B3262" s="16" t="s">
        <v>1754</v>
      </c>
      <c r="D3262" s="16" t="s">
        <v>1543</v>
      </c>
      <c r="E3262" s="16"/>
      <c r="F3262" s="16"/>
      <c r="G3262" s="6">
        <v>1</v>
      </c>
      <c r="H3262" s="15">
        <v>50000</v>
      </c>
      <c r="I3262" s="15">
        <f t="shared" ref="I3262:I3308" si="898">H3262*G3262</f>
        <v>50000</v>
      </c>
      <c r="J3262" s="16" t="str">
        <f t="shared" si="890"/>
        <v>purple</v>
      </c>
      <c r="K3262" s="109">
        <f t="shared" ref="K3262:K3308" si="899">O3262/Q3262</f>
        <v>1.11111111111111</v>
      </c>
      <c r="L3262" s="6">
        <v>-0.1</v>
      </c>
      <c r="M3262" s="16" t="s">
        <v>1753</v>
      </c>
      <c r="N3262" s="30" t="b">
        <v>1</v>
      </c>
      <c r="O3262" s="15">
        <f t="shared" si="891"/>
        <v>50000</v>
      </c>
      <c r="P3262" s="15">
        <f t="shared" si="892"/>
        <v>50000</v>
      </c>
      <c r="Q3262" s="16">
        <f t="shared" ref="Q3262:Q3308" si="900">P3262*(1+L3262)</f>
        <v>45000</v>
      </c>
      <c r="R3262" s="6">
        <v>100</v>
      </c>
      <c r="S3262" s="15">
        <f t="shared" si="893"/>
        <v>1666.66666666667</v>
      </c>
      <c r="T3262" s="15">
        <f t="shared" si="894"/>
        <v>0</v>
      </c>
      <c r="U3262" s="15">
        <f t="shared" si="895"/>
        <v>0</v>
      </c>
      <c r="V3262" s="15">
        <f t="shared" si="896"/>
        <v>45000</v>
      </c>
      <c r="W3262" s="15">
        <f t="shared" si="897"/>
        <v>1500</v>
      </c>
    </row>
    <row r="3263" s="15" customFormat="1" spans="2:23">
      <c r="B3263" s="16" t="s">
        <v>1755</v>
      </c>
      <c r="D3263" s="16" t="s">
        <v>1756</v>
      </c>
      <c r="E3263" s="16"/>
      <c r="F3263" s="16"/>
      <c r="G3263" s="6">
        <v>1</v>
      </c>
      <c r="H3263" s="15">
        <v>150000</v>
      </c>
      <c r="I3263" s="15">
        <f t="shared" si="898"/>
        <v>150000</v>
      </c>
      <c r="J3263" s="16" t="str">
        <f t="shared" si="890"/>
        <v>purple</v>
      </c>
      <c r="K3263" s="109">
        <f t="shared" si="899"/>
        <v>1.11111111111111</v>
      </c>
      <c r="L3263" s="6">
        <v>-0.1</v>
      </c>
      <c r="M3263" s="16" t="s">
        <v>1753</v>
      </c>
      <c r="N3263" s="30" t="b">
        <v>1</v>
      </c>
      <c r="O3263" s="15">
        <f t="shared" si="891"/>
        <v>150000</v>
      </c>
      <c r="P3263" s="15">
        <f t="shared" si="892"/>
        <v>150000</v>
      </c>
      <c r="Q3263" s="16">
        <f t="shared" si="900"/>
        <v>135000</v>
      </c>
      <c r="R3263" s="6">
        <v>100</v>
      </c>
      <c r="S3263" s="15">
        <f t="shared" si="893"/>
        <v>5000</v>
      </c>
      <c r="T3263" s="15">
        <f t="shared" si="894"/>
        <v>0</v>
      </c>
      <c r="U3263" s="15">
        <f t="shared" si="895"/>
        <v>0</v>
      </c>
      <c r="V3263" s="15">
        <f t="shared" si="896"/>
        <v>135000</v>
      </c>
      <c r="W3263" s="15">
        <f t="shared" si="897"/>
        <v>4500</v>
      </c>
    </row>
    <row r="3264" s="15" customFormat="1" spans="2:23">
      <c r="B3264" s="16" t="s">
        <v>1757</v>
      </c>
      <c r="D3264" s="16" t="s">
        <v>1632</v>
      </c>
      <c r="E3264" s="16"/>
      <c r="F3264" s="16"/>
      <c r="G3264" s="6">
        <v>1</v>
      </c>
      <c r="H3264" s="15">
        <v>500000</v>
      </c>
      <c r="I3264" s="15">
        <f t="shared" si="898"/>
        <v>500000</v>
      </c>
      <c r="J3264" s="16" t="str">
        <f t="shared" si="890"/>
        <v>purple</v>
      </c>
      <c r="K3264" s="109">
        <f t="shared" si="899"/>
        <v>1.11111111111111</v>
      </c>
      <c r="L3264" s="6">
        <v>-0.1</v>
      </c>
      <c r="M3264" s="16" t="s">
        <v>1753</v>
      </c>
      <c r="N3264" s="30" t="b">
        <v>1</v>
      </c>
      <c r="O3264" s="15">
        <f t="shared" si="891"/>
        <v>500000</v>
      </c>
      <c r="P3264" s="15">
        <f t="shared" si="892"/>
        <v>500000</v>
      </c>
      <c r="Q3264" s="16">
        <f t="shared" si="900"/>
        <v>450000</v>
      </c>
      <c r="R3264" s="6">
        <v>100</v>
      </c>
      <c r="S3264" s="15">
        <f t="shared" si="893"/>
        <v>16666.6666666667</v>
      </c>
      <c r="T3264" s="15">
        <f t="shared" si="894"/>
        <v>0</v>
      </c>
      <c r="U3264" s="15">
        <f t="shared" si="895"/>
        <v>0</v>
      </c>
      <c r="V3264" s="15">
        <f t="shared" si="896"/>
        <v>450000</v>
      </c>
      <c r="W3264" s="15">
        <f t="shared" si="897"/>
        <v>15000</v>
      </c>
    </row>
    <row r="3265" s="15" customFormat="1" spans="2:23">
      <c r="B3265" s="16" t="s">
        <v>1758</v>
      </c>
      <c r="D3265" s="16" t="s">
        <v>1759</v>
      </c>
      <c r="E3265" s="16"/>
      <c r="F3265" s="16"/>
      <c r="G3265" s="6">
        <v>1</v>
      </c>
      <c r="H3265" s="15">
        <v>10000</v>
      </c>
      <c r="I3265" s="15">
        <f t="shared" si="898"/>
        <v>10000</v>
      </c>
      <c r="J3265" s="16" t="str">
        <f t="shared" si="890"/>
        <v>purple</v>
      </c>
      <c r="K3265" s="109">
        <f t="shared" si="899"/>
        <v>1.11111111111111</v>
      </c>
      <c r="L3265" s="6">
        <v>-0.1</v>
      </c>
      <c r="M3265" s="16" t="s">
        <v>1760</v>
      </c>
      <c r="N3265" s="30" t="b">
        <v>1</v>
      </c>
      <c r="O3265" s="15">
        <f t="shared" si="891"/>
        <v>10000</v>
      </c>
      <c r="P3265" s="15">
        <f t="shared" si="892"/>
        <v>10000</v>
      </c>
      <c r="Q3265" s="16">
        <f t="shared" si="900"/>
        <v>9000</v>
      </c>
      <c r="R3265" s="6">
        <v>100</v>
      </c>
      <c r="S3265" s="15">
        <f t="shared" si="893"/>
        <v>333.333333333333</v>
      </c>
      <c r="T3265" s="15">
        <f t="shared" si="894"/>
        <v>0</v>
      </c>
      <c r="U3265" s="15">
        <f t="shared" si="895"/>
        <v>0</v>
      </c>
      <c r="V3265" s="15">
        <f t="shared" si="896"/>
        <v>9000</v>
      </c>
      <c r="W3265" s="15">
        <f t="shared" si="897"/>
        <v>300</v>
      </c>
    </row>
    <row r="3266" s="15" customFormat="1" spans="2:23">
      <c r="B3266" s="16" t="s">
        <v>1761</v>
      </c>
      <c r="D3266" s="16" t="s">
        <v>1545</v>
      </c>
      <c r="E3266" s="16"/>
      <c r="F3266" s="16"/>
      <c r="G3266" s="6">
        <v>1</v>
      </c>
      <c r="H3266" s="15">
        <v>50000</v>
      </c>
      <c r="I3266" s="15">
        <f t="shared" si="898"/>
        <v>50000</v>
      </c>
      <c r="J3266" s="16" t="str">
        <f t="shared" si="890"/>
        <v>purple</v>
      </c>
      <c r="K3266" s="109">
        <f t="shared" si="899"/>
        <v>1.11111111111111</v>
      </c>
      <c r="L3266" s="6">
        <v>-0.1</v>
      </c>
      <c r="M3266" s="16" t="s">
        <v>1760</v>
      </c>
      <c r="N3266" s="30" t="b">
        <v>1</v>
      </c>
      <c r="O3266" s="15">
        <f t="shared" si="891"/>
        <v>50000</v>
      </c>
      <c r="P3266" s="15">
        <f t="shared" si="892"/>
        <v>50000</v>
      </c>
      <c r="Q3266" s="16">
        <f t="shared" si="900"/>
        <v>45000</v>
      </c>
      <c r="R3266" s="6">
        <v>100</v>
      </c>
      <c r="S3266" s="15">
        <f t="shared" si="893"/>
        <v>1666.66666666667</v>
      </c>
      <c r="T3266" s="15">
        <f t="shared" si="894"/>
        <v>0</v>
      </c>
      <c r="U3266" s="15">
        <f t="shared" si="895"/>
        <v>0</v>
      </c>
      <c r="V3266" s="15">
        <f t="shared" si="896"/>
        <v>45000</v>
      </c>
      <c r="W3266" s="15">
        <f t="shared" si="897"/>
        <v>1500</v>
      </c>
    </row>
    <row r="3267" s="15" customFormat="1" spans="2:23">
      <c r="B3267" s="16" t="s">
        <v>1762</v>
      </c>
      <c r="D3267" s="16" t="s">
        <v>1763</v>
      </c>
      <c r="E3267" s="16"/>
      <c r="F3267" s="16"/>
      <c r="G3267" s="6">
        <v>1</v>
      </c>
      <c r="H3267" s="15">
        <v>150000</v>
      </c>
      <c r="I3267" s="15">
        <f t="shared" si="898"/>
        <v>150000</v>
      </c>
      <c r="J3267" s="16" t="str">
        <f t="shared" si="890"/>
        <v>purple</v>
      </c>
      <c r="K3267" s="109">
        <f t="shared" si="899"/>
        <v>1.11111111111111</v>
      </c>
      <c r="L3267" s="6">
        <v>-0.1</v>
      </c>
      <c r="M3267" s="16" t="s">
        <v>1760</v>
      </c>
      <c r="N3267" s="30" t="b">
        <v>1</v>
      </c>
      <c r="O3267" s="15">
        <f t="shared" si="891"/>
        <v>150000</v>
      </c>
      <c r="P3267" s="15">
        <f t="shared" si="892"/>
        <v>150000</v>
      </c>
      <c r="Q3267" s="16">
        <f t="shared" si="900"/>
        <v>135000</v>
      </c>
      <c r="R3267" s="6">
        <v>100</v>
      </c>
      <c r="S3267" s="15">
        <f t="shared" si="893"/>
        <v>5000</v>
      </c>
      <c r="T3267" s="15">
        <f t="shared" si="894"/>
        <v>0</v>
      </c>
      <c r="U3267" s="15">
        <f t="shared" si="895"/>
        <v>0</v>
      </c>
      <c r="V3267" s="15">
        <f t="shared" si="896"/>
        <v>135000</v>
      </c>
      <c r="W3267" s="15">
        <f t="shared" si="897"/>
        <v>4500</v>
      </c>
    </row>
    <row r="3268" s="15" customFormat="1" spans="2:23">
      <c r="B3268" s="16" t="s">
        <v>1764</v>
      </c>
      <c r="D3268" s="16" t="s">
        <v>1634</v>
      </c>
      <c r="E3268" s="16"/>
      <c r="F3268" s="16"/>
      <c r="G3268" s="6">
        <v>1</v>
      </c>
      <c r="H3268" s="15">
        <v>500000</v>
      </c>
      <c r="I3268" s="15">
        <f t="shared" si="898"/>
        <v>500000</v>
      </c>
      <c r="J3268" s="16" t="str">
        <f t="shared" si="890"/>
        <v>purple</v>
      </c>
      <c r="K3268" s="109">
        <f t="shared" si="899"/>
        <v>1.11111111111111</v>
      </c>
      <c r="L3268" s="6">
        <v>-0.1</v>
      </c>
      <c r="M3268" s="16" t="s">
        <v>1760</v>
      </c>
      <c r="N3268" s="30" t="b">
        <v>1</v>
      </c>
      <c r="O3268" s="15">
        <f t="shared" si="891"/>
        <v>500000</v>
      </c>
      <c r="P3268" s="15">
        <f t="shared" si="892"/>
        <v>500000</v>
      </c>
      <c r="Q3268" s="16">
        <f t="shared" si="900"/>
        <v>450000</v>
      </c>
      <c r="R3268" s="6">
        <v>100</v>
      </c>
      <c r="S3268" s="15">
        <f t="shared" si="893"/>
        <v>16666.6666666667</v>
      </c>
      <c r="T3268" s="15">
        <f t="shared" si="894"/>
        <v>0</v>
      </c>
      <c r="U3268" s="15">
        <f t="shared" si="895"/>
        <v>0</v>
      </c>
      <c r="V3268" s="15">
        <f t="shared" si="896"/>
        <v>450000</v>
      </c>
      <c r="W3268" s="15">
        <f t="shared" si="897"/>
        <v>15000</v>
      </c>
    </row>
    <row r="3269" s="15" customFormat="1" spans="2:23">
      <c r="B3269" s="16" t="s">
        <v>1765</v>
      </c>
      <c r="D3269" s="16" t="s">
        <v>1766</v>
      </c>
      <c r="E3269" s="16"/>
      <c r="F3269" s="16"/>
      <c r="G3269" s="6">
        <v>1</v>
      </c>
      <c r="H3269" s="15">
        <v>10000</v>
      </c>
      <c r="I3269" s="15">
        <f t="shared" si="898"/>
        <v>10000</v>
      </c>
      <c r="J3269" s="16" t="str">
        <f t="shared" si="890"/>
        <v>purple</v>
      </c>
      <c r="K3269" s="109">
        <f t="shared" si="899"/>
        <v>1.11111111111111</v>
      </c>
      <c r="L3269" s="6">
        <v>-0.1</v>
      </c>
      <c r="M3269" s="16" t="s">
        <v>1767</v>
      </c>
      <c r="N3269" s="30" t="b">
        <v>1</v>
      </c>
      <c r="O3269" s="15">
        <f t="shared" si="891"/>
        <v>10000</v>
      </c>
      <c r="P3269" s="15">
        <f t="shared" si="892"/>
        <v>10000</v>
      </c>
      <c r="Q3269" s="16">
        <f t="shared" si="900"/>
        <v>9000</v>
      </c>
      <c r="R3269" s="6">
        <v>100</v>
      </c>
      <c r="S3269" s="15">
        <f t="shared" si="893"/>
        <v>333.333333333333</v>
      </c>
      <c r="T3269" s="15">
        <f t="shared" si="894"/>
        <v>0</v>
      </c>
      <c r="U3269" s="15">
        <f t="shared" si="895"/>
        <v>0</v>
      </c>
      <c r="V3269" s="15">
        <f t="shared" si="896"/>
        <v>9000</v>
      </c>
      <c r="W3269" s="15">
        <f t="shared" si="897"/>
        <v>300</v>
      </c>
    </row>
    <row r="3270" s="15" customFormat="1" spans="2:23">
      <c r="B3270" s="16" t="s">
        <v>1768</v>
      </c>
      <c r="D3270" s="16" t="s">
        <v>1547</v>
      </c>
      <c r="E3270" s="16"/>
      <c r="F3270" s="16"/>
      <c r="G3270" s="6">
        <v>1</v>
      </c>
      <c r="H3270" s="15">
        <v>50000</v>
      </c>
      <c r="I3270" s="15">
        <f t="shared" si="898"/>
        <v>50000</v>
      </c>
      <c r="J3270" s="16" t="str">
        <f t="shared" si="890"/>
        <v>purple</v>
      </c>
      <c r="K3270" s="109">
        <f t="shared" si="899"/>
        <v>1.11111111111111</v>
      </c>
      <c r="L3270" s="6">
        <v>-0.1</v>
      </c>
      <c r="M3270" s="16" t="s">
        <v>1767</v>
      </c>
      <c r="N3270" s="30" t="b">
        <v>1</v>
      </c>
      <c r="O3270" s="15">
        <f t="shared" si="891"/>
        <v>50000</v>
      </c>
      <c r="P3270" s="15">
        <f t="shared" si="892"/>
        <v>50000</v>
      </c>
      <c r="Q3270" s="16">
        <f t="shared" si="900"/>
        <v>45000</v>
      </c>
      <c r="R3270" s="6">
        <v>100</v>
      </c>
      <c r="S3270" s="15">
        <f t="shared" si="893"/>
        <v>1666.66666666667</v>
      </c>
      <c r="T3270" s="15">
        <f t="shared" si="894"/>
        <v>0</v>
      </c>
      <c r="U3270" s="15">
        <f t="shared" si="895"/>
        <v>0</v>
      </c>
      <c r="V3270" s="15">
        <f t="shared" si="896"/>
        <v>45000</v>
      </c>
      <c r="W3270" s="15">
        <f t="shared" si="897"/>
        <v>1500</v>
      </c>
    </row>
    <row r="3271" s="15" customFormat="1" spans="2:23">
      <c r="B3271" s="16" t="s">
        <v>1769</v>
      </c>
      <c r="D3271" s="16" t="s">
        <v>1770</v>
      </c>
      <c r="E3271" s="16"/>
      <c r="F3271" s="16"/>
      <c r="G3271" s="6">
        <v>1</v>
      </c>
      <c r="H3271" s="15">
        <v>150000</v>
      </c>
      <c r="I3271" s="15">
        <f t="shared" si="898"/>
        <v>150000</v>
      </c>
      <c r="J3271" s="16" t="str">
        <f t="shared" si="890"/>
        <v>purple</v>
      </c>
      <c r="K3271" s="109">
        <f t="shared" si="899"/>
        <v>1.11111111111111</v>
      </c>
      <c r="L3271" s="6">
        <v>-0.1</v>
      </c>
      <c r="M3271" s="16" t="s">
        <v>1767</v>
      </c>
      <c r="N3271" s="30" t="b">
        <v>1</v>
      </c>
      <c r="O3271" s="15">
        <f t="shared" si="891"/>
        <v>150000</v>
      </c>
      <c r="P3271" s="15">
        <f t="shared" si="892"/>
        <v>150000</v>
      </c>
      <c r="Q3271" s="16">
        <f t="shared" si="900"/>
        <v>135000</v>
      </c>
      <c r="R3271" s="6">
        <v>100</v>
      </c>
      <c r="S3271" s="15">
        <f t="shared" si="893"/>
        <v>5000</v>
      </c>
      <c r="T3271" s="15">
        <f t="shared" si="894"/>
        <v>0</v>
      </c>
      <c r="U3271" s="15">
        <f t="shared" si="895"/>
        <v>0</v>
      </c>
      <c r="V3271" s="15">
        <f t="shared" si="896"/>
        <v>135000</v>
      </c>
      <c r="W3271" s="15">
        <f t="shared" si="897"/>
        <v>4500</v>
      </c>
    </row>
    <row r="3272" s="15" customFormat="1" spans="2:23">
      <c r="B3272" s="16" t="s">
        <v>1771</v>
      </c>
      <c r="D3272" s="16" t="s">
        <v>1636</v>
      </c>
      <c r="E3272" s="16"/>
      <c r="F3272" s="16"/>
      <c r="G3272" s="6">
        <v>1</v>
      </c>
      <c r="H3272" s="15">
        <v>500000</v>
      </c>
      <c r="I3272" s="15">
        <f t="shared" si="898"/>
        <v>500000</v>
      </c>
      <c r="J3272" s="16" t="str">
        <f t="shared" si="890"/>
        <v>purple</v>
      </c>
      <c r="K3272" s="109">
        <f t="shared" si="899"/>
        <v>1.11111111111111</v>
      </c>
      <c r="L3272" s="6">
        <v>-0.1</v>
      </c>
      <c r="M3272" s="16" t="s">
        <v>1767</v>
      </c>
      <c r="N3272" s="30" t="b">
        <v>1</v>
      </c>
      <c r="O3272" s="15">
        <f t="shared" si="891"/>
        <v>500000</v>
      </c>
      <c r="P3272" s="15">
        <f t="shared" si="892"/>
        <v>500000</v>
      </c>
      <c r="Q3272" s="16">
        <f t="shared" si="900"/>
        <v>450000</v>
      </c>
      <c r="R3272" s="6">
        <v>100</v>
      </c>
      <c r="S3272" s="15">
        <f t="shared" si="893"/>
        <v>16666.6666666667</v>
      </c>
      <c r="T3272" s="15">
        <f t="shared" si="894"/>
        <v>0</v>
      </c>
      <c r="U3272" s="15">
        <f t="shared" si="895"/>
        <v>0</v>
      </c>
      <c r="V3272" s="15">
        <f t="shared" si="896"/>
        <v>450000</v>
      </c>
      <c r="W3272" s="15">
        <f t="shared" si="897"/>
        <v>15000</v>
      </c>
    </row>
    <row r="3273" spans="2:23">
      <c r="B3273" s="4" t="s">
        <v>1772</v>
      </c>
      <c r="D3273" s="4" t="s">
        <v>1752</v>
      </c>
      <c r="E3273" s="4"/>
      <c r="F3273" s="4"/>
      <c r="G3273" s="6">
        <v>1</v>
      </c>
      <c r="H3273" s="1">
        <v>10000</v>
      </c>
      <c r="I3273" s="1">
        <f t="shared" si="898"/>
        <v>10000</v>
      </c>
      <c r="J3273" s="4" t="str">
        <f t="shared" si="890"/>
        <v>purple</v>
      </c>
      <c r="K3273" s="50">
        <f t="shared" si="899"/>
        <v>1.25</v>
      </c>
      <c r="L3273" s="6">
        <v>-0.2</v>
      </c>
      <c r="M3273" s="4" t="s">
        <v>1753</v>
      </c>
      <c r="N3273" s="30" t="b">
        <v>1</v>
      </c>
      <c r="O3273" s="1">
        <f t="shared" si="891"/>
        <v>10000</v>
      </c>
      <c r="P3273" s="1">
        <f t="shared" si="892"/>
        <v>10000</v>
      </c>
      <c r="Q3273" s="4">
        <f t="shared" si="900"/>
        <v>8000</v>
      </c>
      <c r="R3273" s="6">
        <v>25</v>
      </c>
      <c r="S3273" s="1">
        <f t="shared" si="893"/>
        <v>83.3333333333333</v>
      </c>
      <c r="T3273" s="1">
        <f t="shared" si="894"/>
        <v>0</v>
      </c>
      <c r="U3273" s="1">
        <f t="shared" si="895"/>
        <v>0</v>
      </c>
      <c r="V3273" s="1">
        <f t="shared" si="896"/>
        <v>8000</v>
      </c>
      <c r="W3273" s="1">
        <f t="shared" si="897"/>
        <v>66.6666666666667</v>
      </c>
    </row>
    <row r="3274" spans="2:23">
      <c r="B3274" s="4" t="s">
        <v>1773</v>
      </c>
      <c r="D3274" s="4" t="s">
        <v>1543</v>
      </c>
      <c r="E3274" s="4"/>
      <c r="F3274" s="4"/>
      <c r="G3274" s="6">
        <v>1</v>
      </c>
      <c r="H3274" s="1">
        <v>50000</v>
      </c>
      <c r="I3274" s="1">
        <f t="shared" si="898"/>
        <v>50000</v>
      </c>
      <c r="J3274" s="4" t="str">
        <f t="shared" si="890"/>
        <v>purple</v>
      </c>
      <c r="K3274" s="50">
        <f t="shared" si="899"/>
        <v>1.25</v>
      </c>
      <c r="L3274" s="6">
        <v>-0.2</v>
      </c>
      <c r="M3274" s="4" t="s">
        <v>1753</v>
      </c>
      <c r="N3274" s="30" t="b">
        <v>1</v>
      </c>
      <c r="O3274" s="1">
        <f t="shared" si="891"/>
        <v>50000</v>
      </c>
      <c r="P3274" s="1">
        <f t="shared" si="892"/>
        <v>50000</v>
      </c>
      <c r="Q3274" s="4">
        <f t="shared" si="900"/>
        <v>40000</v>
      </c>
      <c r="R3274" s="6">
        <v>25</v>
      </c>
      <c r="S3274" s="1">
        <f t="shared" si="893"/>
        <v>416.666666666667</v>
      </c>
      <c r="T3274" s="1">
        <f t="shared" si="894"/>
        <v>0</v>
      </c>
      <c r="U3274" s="1">
        <f t="shared" si="895"/>
        <v>0</v>
      </c>
      <c r="V3274" s="1">
        <f t="shared" si="896"/>
        <v>40000</v>
      </c>
      <c r="W3274" s="1">
        <f t="shared" si="897"/>
        <v>333.333333333333</v>
      </c>
    </row>
    <row r="3275" spans="2:23">
      <c r="B3275" s="4" t="s">
        <v>1774</v>
      </c>
      <c r="D3275" s="4" t="s">
        <v>1756</v>
      </c>
      <c r="E3275" s="4"/>
      <c r="F3275" s="4"/>
      <c r="G3275" s="6">
        <v>1</v>
      </c>
      <c r="H3275" s="1">
        <v>150000</v>
      </c>
      <c r="I3275" s="1">
        <f t="shared" si="898"/>
        <v>150000</v>
      </c>
      <c r="J3275" s="4" t="str">
        <f t="shared" si="890"/>
        <v>purple</v>
      </c>
      <c r="K3275" s="50">
        <f t="shared" si="899"/>
        <v>1.25</v>
      </c>
      <c r="L3275" s="6">
        <v>-0.2</v>
      </c>
      <c r="M3275" s="4" t="s">
        <v>1753</v>
      </c>
      <c r="N3275" s="30" t="b">
        <v>1</v>
      </c>
      <c r="O3275" s="1">
        <f t="shared" si="891"/>
        <v>150000</v>
      </c>
      <c r="P3275" s="1">
        <f t="shared" si="892"/>
        <v>150000</v>
      </c>
      <c r="Q3275" s="4">
        <f t="shared" si="900"/>
        <v>120000</v>
      </c>
      <c r="R3275" s="6">
        <v>25</v>
      </c>
      <c r="S3275" s="1">
        <f t="shared" si="893"/>
        <v>1250</v>
      </c>
      <c r="T3275" s="1">
        <f t="shared" si="894"/>
        <v>0</v>
      </c>
      <c r="U3275" s="1">
        <f t="shared" si="895"/>
        <v>0</v>
      </c>
      <c r="V3275" s="1">
        <f t="shared" si="896"/>
        <v>120000</v>
      </c>
      <c r="W3275" s="1">
        <f t="shared" si="897"/>
        <v>1000</v>
      </c>
    </row>
    <row r="3276" spans="2:23">
      <c r="B3276" s="4" t="s">
        <v>1775</v>
      </c>
      <c r="D3276" s="4" t="s">
        <v>1632</v>
      </c>
      <c r="E3276" s="4"/>
      <c r="F3276" s="4"/>
      <c r="G3276" s="6">
        <v>1</v>
      </c>
      <c r="H3276" s="1">
        <v>500000</v>
      </c>
      <c r="I3276" s="1">
        <f t="shared" si="898"/>
        <v>500000</v>
      </c>
      <c r="J3276" s="4" t="str">
        <f t="shared" si="890"/>
        <v>purple</v>
      </c>
      <c r="K3276" s="50">
        <f t="shared" si="899"/>
        <v>1.25</v>
      </c>
      <c r="L3276" s="6">
        <v>-0.2</v>
      </c>
      <c r="M3276" s="4" t="s">
        <v>1753</v>
      </c>
      <c r="N3276" s="30" t="b">
        <v>1</v>
      </c>
      <c r="O3276" s="1">
        <f t="shared" si="891"/>
        <v>500000</v>
      </c>
      <c r="P3276" s="1">
        <f t="shared" si="892"/>
        <v>500000</v>
      </c>
      <c r="Q3276" s="4">
        <f t="shared" si="900"/>
        <v>400000</v>
      </c>
      <c r="R3276" s="6">
        <v>25</v>
      </c>
      <c r="S3276" s="1">
        <f t="shared" si="893"/>
        <v>4166.66666666667</v>
      </c>
      <c r="T3276" s="1">
        <f t="shared" si="894"/>
        <v>0</v>
      </c>
      <c r="U3276" s="1">
        <f t="shared" si="895"/>
        <v>0</v>
      </c>
      <c r="V3276" s="1">
        <f t="shared" si="896"/>
        <v>400000</v>
      </c>
      <c r="W3276" s="1">
        <f t="shared" si="897"/>
        <v>3333.33333333333</v>
      </c>
    </row>
    <row r="3277" spans="2:23">
      <c r="B3277" s="4" t="s">
        <v>1776</v>
      </c>
      <c r="D3277" s="4" t="s">
        <v>1759</v>
      </c>
      <c r="E3277" s="4"/>
      <c r="F3277" s="4"/>
      <c r="G3277" s="6">
        <v>1</v>
      </c>
      <c r="H3277" s="1">
        <v>10000</v>
      </c>
      <c r="I3277" s="1">
        <f t="shared" si="898"/>
        <v>10000</v>
      </c>
      <c r="J3277" s="4" t="str">
        <f t="shared" si="890"/>
        <v>purple</v>
      </c>
      <c r="K3277" s="50">
        <f t="shared" si="899"/>
        <v>1.25</v>
      </c>
      <c r="L3277" s="6">
        <v>-0.2</v>
      </c>
      <c r="M3277" s="4" t="s">
        <v>1760</v>
      </c>
      <c r="N3277" s="30" t="b">
        <v>1</v>
      </c>
      <c r="O3277" s="1">
        <f t="shared" si="891"/>
        <v>10000</v>
      </c>
      <c r="P3277" s="1">
        <f t="shared" si="892"/>
        <v>10000</v>
      </c>
      <c r="Q3277" s="4">
        <f t="shared" si="900"/>
        <v>8000</v>
      </c>
      <c r="R3277" s="6">
        <v>25</v>
      </c>
      <c r="S3277" s="1">
        <f t="shared" si="893"/>
        <v>83.3333333333333</v>
      </c>
      <c r="T3277" s="1">
        <f t="shared" si="894"/>
        <v>0</v>
      </c>
      <c r="U3277" s="1">
        <f t="shared" si="895"/>
        <v>0</v>
      </c>
      <c r="V3277" s="1">
        <f t="shared" si="896"/>
        <v>8000</v>
      </c>
      <c r="W3277" s="1">
        <f t="shared" si="897"/>
        <v>66.6666666666667</v>
      </c>
    </row>
    <row r="3278" spans="2:23">
      <c r="B3278" s="4" t="s">
        <v>1777</v>
      </c>
      <c r="D3278" s="4" t="s">
        <v>1545</v>
      </c>
      <c r="E3278" s="4"/>
      <c r="F3278" s="4"/>
      <c r="G3278" s="6">
        <v>1</v>
      </c>
      <c r="H3278" s="1">
        <v>50000</v>
      </c>
      <c r="I3278" s="1">
        <f t="shared" si="898"/>
        <v>50000</v>
      </c>
      <c r="J3278" s="4" t="str">
        <f t="shared" si="890"/>
        <v>purple</v>
      </c>
      <c r="K3278" s="50">
        <f t="shared" si="899"/>
        <v>1.25</v>
      </c>
      <c r="L3278" s="6">
        <v>-0.2</v>
      </c>
      <c r="M3278" s="4" t="s">
        <v>1760</v>
      </c>
      <c r="N3278" s="30" t="b">
        <v>1</v>
      </c>
      <c r="O3278" s="1">
        <f t="shared" si="891"/>
        <v>50000</v>
      </c>
      <c r="P3278" s="1">
        <f t="shared" si="892"/>
        <v>50000</v>
      </c>
      <c r="Q3278" s="4">
        <f t="shared" si="900"/>
        <v>40000</v>
      </c>
      <c r="R3278" s="6">
        <v>25</v>
      </c>
      <c r="S3278" s="1">
        <f t="shared" si="893"/>
        <v>416.666666666667</v>
      </c>
      <c r="T3278" s="1">
        <f t="shared" si="894"/>
        <v>0</v>
      </c>
      <c r="U3278" s="1">
        <f t="shared" si="895"/>
        <v>0</v>
      </c>
      <c r="V3278" s="1">
        <f t="shared" si="896"/>
        <v>40000</v>
      </c>
      <c r="W3278" s="1">
        <f t="shared" si="897"/>
        <v>333.333333333333</v>
      </c>
    </row>
    <row r="3279" spans="2:23">
      <c r="B3279" s="4" t="s">
        <v>1778</v>
      </c>
      <c r="D3279" s="4" t="s">
        <v>1763</v>
      </c>
      <c r="E3279" s="4"/>
      <c r="F3279" s="4"/>
      <c r="G3279" s="6">
        <v>1</v>
      </c>
      <c r="H3279" s="1">
        <v>150000</v>
      </c>
      <c r="I3279" s="1">
        <f t="shared" si="898"/>
        <v>150000</v>
      </c>
      <c r="J3279" s="4" t="str">
        <f t="shared" si="890"/>
        <v>purple</v>
      </c>
      <c r="K3279" s="50">
        <f t="shared" si="899"/>
        <v>1.25</v>
      </c>
      <c r="L3279" s="6">
        <v>-0.2</v>
      </c>
      <c r="M3279" s="4" t="s">
        <v>1760</v>
      </c>
      <c r="N3279" s="30" t="b">
        <v>1</v>
      </c>
      <c r="O3279" s="1">
        <f t="shared" si="891"/>
        <v>150000</v>
      </c>
      <c r="P3279" s="1">
        <f t="shared" si="892"/>
        <v>150000</v>
      </c>
      <c r="Q3279" s="4">
        <f t="shared" si="900"/>
        <v>120000</v>
      </c>
      <c r="R3279" s="6">
        <v>25</v>
      </c>
      <c r="S3279" s="1">
        <f t="shared" si="893"/>
        <v>1250</v>
      </c>
      <c r="T3279" s="1">
        <f t="shared" si="894"/>
        <v>0</v>
      </c>
      <c r="U3279" s="1">
        <f t="shared" si="895"/>
        <v>0</v>
      </c>
      <c r="V3279" s="1">
        <f t="shared" si="896"/>
        <v>120000</v>
      </c>
      <c r="W3279" s="1">
        <f t="shared" si="897"/>
        <v>1000</v>
      </c>
    </row>
    <row r="3280" spans="2:23">
      <c r="B3280" s="4" t="s">
        <v>1779</v>
      </c>
      <c r="D3280" s="4" t="s">
        <v>1634</v>
      </c>
      <c r="E3280" s="4"/>
      <c r="F3280" s="4"/>
      <c r="G3280" s="6">
        <v>1</v>
      </c>
      <c r="H3280" s="1">
        <v>500000</v>
      </c>
      <c r="I3280" s="1">
        <f t="shared" si="898"/>
        <v>500000</v>
      </c>
      <c r="J3280" s="4" t="str">
        <f t="shared" si="890"/>
        <v>purple</v>
      </c>
      <c r="K3280" s="50">
        <f t="shared" si="899"/>
        <v>1.25</v>
      </c>
      <c r="L3280" s="6">
        <v>-0.2</v>
      </c>
      <c r="M3280" s="4" t="s">
        <v>1760</v>
      </c>
      <c r="N3280" s="30" t="b">
        <v>1</v>
      </c>
      <c r="O3280" s="1">
        <f t="shared" si="891"/>
        <v>500000</v>
      </c>
      <c r="P3280" s="1">
        <f t="shared" si="892"/>
        <v>500000</v>
      </c>
      <c r="Q3280" s="4">
        <f t="shared" si="900"/>
        <v>400000</v>
      </c>
      <c r="R3280" s="6">
        <v>25</v>
      </c>
      <c r="S3280" s="1">
        <f t="shared" si="893"/>
        <v>4166.66666666667</v>
      </c>
      <c r="T3280" s="1">
        <f t="shared" si="894"/>
        <v>0</v>
      </c>
      <c r="U3280" s="1">
        <f t="shared" si="895"/>
        <v>0</v>
      </c>
      <c r="V3280" s="1">
        <f t="shared" si="896"/>
        <v>400000</v>
      </c>
      <c r="W3280" s="1">
        <f t="shared" si="897"/>
        <v>3333.33333333333</v>
      </c>
    </row>
    <row r="3281" spans="2:23">
      <c r="B3281" s="4" t="s">
        <v>1780</v>
      </c>
      <c r="D3281" s="4" t="s">
        <v>1766</v>
      </c>
      <c r="E3281" s="4"/>
      <c r="F3281" s="4"/>
      <c r="G3281" s="6">
        <v>1</v>
      </c>
      <c r="H3281" s="1">
        <v>10000</v>
      </c>
      <c r="I3281" s="1">
        <f t="shared" si="898"/>
        <v>10000</v>
      </c>
      <c r="J3281" s="4" t="str">
        <f t="shared" si="890"/>
        <v>purple</v>
      </c>
      <c r="K3281" s="50">
        <f t="shared" si="899"/>
        <v>1.25</v>
      </c>
      <c r="L3281" s="6">
        <v>-0.2</v>
      </c>
      <c r="M3281" s="4" t="s">
        <v>1767</v>
      </c>
      <c r="N3281" s="30" t="b">
        <v>1</v>
      </c>
      <c r="O3281" s="1">
        <f t="shared" si="891"/>
        <v>10000</v>
      </c>
      <c r="P3281" s="1">
        <f t="shared" si="892"/>
        <v>10000</v>
      </c>
      <c r="Q3281" s="4">
        <f t="shared" si="900"/>
        <v>8000</v>
      </c>
      <c r="R3281" s="6">
        <v>25</v>
      </c>
      <c r="S3281" s="1">
        <f t="shared" si="893"/>
        <v>83.3333333333333</v>
      </c>
      <c r="T3281" s="1">
        <f t="shared" si="894"/>
        <v>0</v>
      </c>
      <c r="U3281" s="1">
        <f t="shared" si="895"/>
        <v>0</v>
      </c>
      <c r="V3281" s="1">
        <f t="shared" si="896"/>
        <v>8000</v>
      </c>
      <c r="W3281" s="1">
        <f t="shared" si="897"/>
        <v>66.6666666666667</v>
      </c>
    </row>
    <row r="3282" spans="2:23">
      <c r="B3282" s="4" t="s">
        <v>1781</v>
      </c>
      <c r="D3282" s="4" t="s">
        <v>1547</v>
      </c>
      <c r="E3282" s="4"/>
      <c r="F3282" s="4"/>
      <c r="G3282" s="6">
        <v>1</v>
      </c>
      <c r="H3282" s="1">
        <v>50000</v>
      </c>
      <c r="I3282" s="1">
        <f t="shared" si="898"/>
        <v>50000</v>
      </c>
      <c r="J3282" s="4" t="str">
        <f t="shared" si="890"/>
        <v>purple</v>
      </c>
      <c r="K3282" s="50">
        <f t="shared" si="899"/>
        <v>1.25</v>
      </c>
      <c r="L3282" s="6">
        <v>-0.2</v>
      </c>
      <c r="M3282" s="4" t="s">
        <v>1767</v>
      </c>
      <c r="N3282" s="30" t="b">
        <v>1</v>
      </c>
      <c r="O3282" s="1">
        <f t="shared" si="891"/>
        <v>50000</v>
      </c>
      <c r="P3282" s="1">
        <f t="shared" si="892"/>
        <v>50000</v>
      </c>
      <c r="Q3282" s="4">
        <f t="shared" si="900"/>
        <v>40000</v>
      </c>
      <c r="R3282" s="6">
        <v>25</v>
      </c>
      <c r="S3282" s="1">
        <f t="shared" si="893"/>
        <v>416.666666666667</v>
      </c>
      <c r="T3282" s="1">
        <f t="shared" si="894"/>
        <v>0</v>
      </c>
      <c r="U3282" s="1">
        <f t="shared" si="895"/>
        <v>0</v>
      </c>
      <c r="V3282" s="1">
        <f t="shared" si="896"/>
        <v>40000</v>
      </c>
      <c r="W3282" s="1">
        <f t="shared" si="897"/>
        <v>333.333333333333</v>
      </c>
    </row>
    <row r="3283" spans="2:23">
      <c r="B3283" s="4" t="s">
        <v>1782</v>
      </c>
      <c r="D3283" s="4" t="s">
        <v>1770</v>
      </c>
      <c r="E3283" s="4"/>
      <c r="F3283" s="4"/>
      <c r="G3283" s="6">
        <v>1</v>
      </c>
      <c r="H3283" s="1">
        <v>150000</v>
      </c>
      <c r="I3283" s="1">
        <f t="shared" si="898"/>
        <v>150000</v>
      </c>
      <c r="J3283" s="4" t="str">
        <f t="shared" si="890"/>
        <v>purple</v>
      </c>
      <c r="K3283" s="50">
        <f t="shared" si="899"/>
        <v>1.25</v>
      </c>
      <c r="L3283" s="6">
        <v>-0.2</v>
      </c>
      <c r="M3283" s="4" t="s">
        <v>1767</v>
      </c>
      <c r="N3283" s="30" t="b">
        <v>1</v>
      </c>
      <c r="O3283" s="1">
        <f t="shared" si="891"/>
        <v>150000</v>
      </c>
      <c r="P3283" s="1">
        <f t="shared" si="892"/>
        <v>150000</v>
      </c>
      <c r="Q3283" s="4">
        <f t="shared" si="900"/>
        <v>120000</v>
      </c>
      <c r="R3283" s="6">
        <v>25</v>
      </c>
      <c r="S3283" s="1">
        <f t="shared" si="893"/>
        <v>1250</v>
      </c>
      <c r="T3283" s="1">
        <f t="shared" si="894"/>
        <v>0</v>
      </c>
      <c r="U3283" s="1">
        <f t="shared" si="895"/>
        <v>0</v>
      </c>
      <c r="V3283" s="1">
        <f t="shared" si="896"/>
        <v>120000</v>
      </c>
      <c r="W3283" s="1">
        <f t="shared" si="897"/>
        <v>1000</v>
      </c>
    </row>
    <row r="3284" spans="2:23">
      <c r="B3284" s="4" t="s">
        <v>1783</v>
      </c>
      <c r="D3284" s="4" t="s">
        <v>1636</v>
      </c>
      <c r="E3284" s="4"/>
      <c r="F3284" s="4"/>
      <c r="G3284" s="6">
        <v>1</v>
      </c>
      <c r="H3284" s="1">
        <v>500000</v>
      </c>
      <c r="I3284" s="1">
        <f t="shared" si="898"/>
        <v>500000</v>
      </c>
      <c r="J3284" s="4" t="str">
        <f t="shared" si="890"/>
        <v>purple</v>
      </c>
      <c r="K3284" s="50">
        <f t="shared" si="899"/>
        <v>1.25</v>
      </c>
      <c r="L3284" s="6">
        <v>-0.2</v>
      </c>
      <c r="M3284" s="4" t="s">
        <v>1767</v>
      </c>
      <c r="N3284" s="30" t="b">
        <v>1</v>
      </c>
      <c r="O3284" s="1">
        <f t="shared" si="891"/>
        <v>500000</v>
      </c>
      <c r="P3284" s="1">
        <f t="shared" si="892"/>
        <v>500000</v>
      </c>
      <c r="Q3284" s="4">
        <f t="shared" si="900"/>
        <v>400000</v>
      </c>
      <c r="R3284" s="6">
        <v>25</v>
      </c>
      <c r="S3284" s="1">
        <f t="shared" si="893"/>
        <v>4166.66666666667</v>
      </c>
      <c r="T3284" s="1">
        <f t="shared" si="894"/>
        <v>0</v>
      </c>
      <c r="U3284" s="1">
        <f t="shared" si="895"/>
        <v>0</v>
      </c>
      <c r="V3284" s="1">
        <f t="shared" si="896"/>
        <v>400000</v>
      </c>
      <c r="W3284" s="1">
        <f t="shared" si="897"/>
        <v>3333.33333333333</v>
      </c>
    </row>
    <row r="3285" s="15" customFormat="1" spans="2:23">
      <c r="B3285" s="16" t="s">
        <v>1784</v>
      </c>
      <c r="D3285" s="16" t="s">
        <v>1752</v>
      </c>
      <c r="E3285" s="16"/>
      <c r="F3285" s="16"/>
      <c r="G3285" s="6">
        <v>1</v>
      </c>
      <c r="H3285" s="15">
        <v>10000</v>
      </c>
      <c r="I3285" s="15">
        <f t="shared" si="898"/>
        <v>10000</v>
      </c>
      <c r="J3285" s="16" t="str">
        <f t="shared" si="890"/>
        <v>yellow</v>
      </c>
      <c r="K3285" s="109">
        <f t="shared" si="899"/>
        <v>1.66666666666667</v>
      </c>
      <c r="L3285" s="6">
        <v>-0.7</v>
      </c>
      <c r="M3285" s="16" t="s">
        <v>1785</v>
      </c>
      <c r="N3285" s="30" t="b">
        <v>0</v>
      </c>
      <c r="O3285" s="15">
        <f t="shared" si="891"/>
        <v>5</v>
      </c>
      <c r="P3285" s="15">
        <f t="shared" si="892"/>
        <v>10</v>
      </c>
      <c r="Q3285" s="16">
        <f t="shared" si="900"/>
        <v>3</v>
      </c>
      <c r="R3285" s="6">
        <v>100</v>
      </c>
      <c r="S3285" s="15">
        <f t="shared" si="893"/>
        <v>333.333333333333</v>
      </c>
      <c r="T3285" s="15">
        <f t="shared" si="894"/>
        <v>3</v>
      </c>
      <c r="U3285" s="15">
        <f t="shared" si="895"/>
        <v>0.1</v>
      </c>
      <c r="V3285" s="15">
        <f t="shared" si="896"/>
        <v>0</v>
      </c>
      <c r="W3285" s="15">
        <f t="shared" si="897"/>
        <v>0</v>
      </c>
    </row>
    <row r="3286" s="15" customFormat="1" spans="2:23">
      <c r="B3286" s="16" t="s">
        <v>1786</v>
      </c>
      <c r="D3286" s="16" t="s">
        <v>1543</v>
      </c>
      <c r="E3286" s="16"/>
      <c r="F3286" s="16"/>
      <c r="G3286" s="6">
        <v>1</v>
      </c>
      <c r="H3286" s="15">
        <v>50000</v>
      </c>
      <c r="I3286" s="15">
        <f t="shared" si="898"/>
        <v>50000</v>
      </c>
      <c r="J3286" s="16" t="str">
        <f t="shared" si="890"/>
        <v>yellow</v>
      </c>
      <c r="K3286" s="109">
        <f t="shared" si="899"/>
        <v>1.66666666666667</v>
      </c>
      <c r="L3286" s="6">
        <v>-0.7</v>
      </c>
      <c r="M3286" s="16" t="s">
        <v>1785</v>
      </c>
      <c r="N3286" s="30" t="b">
        <v>0</v>
      </c>
      <c r="O3286" s="15">
        <f t="shared" si="891"/>
        <v>25</v>
      </c>
      <c r="P3286" s="15">
        <f t="shared" si="892"/>
        <v>50</v>
      </c>
      <c r="Q3286" s="16">
        <f t="shared" si="900"/>
        <v>15</v>
      </c>
      <c r="R3286" s="6">
        <v>100</v>
      </c>
      <c r="S3286" s="15">
        <f t="shared" si="893"/>
        <v>1666.66666666667</v>
      </c>
      <c r="T3286" s="15">
        <f t="shared" si="894"/>
        <v>15</v>
      </c>
      <c r="U3286" s="15">
        <f t="shared" si="895"/>
        <v>0.5</v>
      </c>
      <c r="V3286" s="15">
        <f t="shared" si="896"/>
        <v>0</v>
      </c>
      <c r="W3286" s="15">
        <f t="shared" si="897"/>
        <v>0</v>
      </c>
    </row>
    <row r="3287" s="15" customFormat="1" spans="2:23">
      <c r="B3287" s="16" t="s">
        <v>1787</v>
      </c>
      <c r="D3287" s="16" t="s">
        <v>1756</v>
      </c>
      <c r="E3287" s="16"/>
      <c r="F3287" s="16"/>
      <c r="G3287" s="6">
        <v>1</v>
      </c>
      <c r="H3287" s="15">
        <v>150000</v>
      </c>
      <c r="I3287" s="15">
        <f t="shared" si="898"/>
        <v>150000</v>
      </c>
      <c r="J3287" s="16" t="str">
        <f t="shared" si="890"/>
        <v>yellow</v>
      </c>
      <c r="K3287" s="109">
        <f t="shared" si="899"/>
        <v>1.25</v>
      </c>
      <c r="L3287" s="6">
        <v>-0.6</v>
      </c>
      <c r="M3287" s="16" t="s">
        <v>1785</v>
      </c>
      <c r="N3287" s="30" t="b">
        <v>0</v>
      </c>
      <c r="O3287" s="15">
        <f t="shared" si="891"/>
        <v>75</v>
      </c>
      <c r="P3287" s="15">
        <f t="shared" si="892"/>
        <v>150</v>
      </c>
      <c r="Q3287" s="16">
        <f t="shared" si="900"/>
        <v>60</v>
      </c>
      <c r="R3287" s="6">
        <v>100</v>
      </c>
      <c r="S3287" s="15">
        <f t="shared" si="893"/>
        <v>5000</v>
      </c>
      <c r="T3287" s="15">
        <f t="shared" si="894"/>
        <v>60</v>
      </c>
      <c r="U3287" s="15">
        <f t="shared" si="895"/>
        <v>2</v>
      </c>
      <c r="V3287" s="15">
        <f t="shared" si="896"/>
        <v>0</v>
      </c>
      <c r="W3287" s="15">
        <f t="shared" si="897"/>
        <v>0</v>
      </c>
    </row>
    <row r="3288" s="15" customFormat="1" spans="2:23">
      <c r="B3288" s="16" t="s">
        <v>1788</v>
      </c>
      <c r="D3288" s="16" t="s">
        <v>1632</v>
      </c>
      <c r="E3288" s="16"/>
      <c r="F3288" s="16"/>
      <c r="G3288" s="6">
        <v>1</v>
      </c>
      <c r="H3288" s="15">
        <v>500000</v>
      </c>
      <c r="I3288" s="15">
        <f t="shared" si="898"/>
        <v>500000</v>
      </c>
      <c r="J3288" s="16" t="str">
        <f t="shared" si="890"/>
        <v>yellow</v>
      </c>
      <c r="K3288" s="109">
        <f t="shared" si="899"/>
        <v>1.25</v>
      </c>
      <c r="L3288" s="6">
        <v>-0.6</v>
      </c>
      <c r="M3288" s="16" t="s">
        <v>1785</v>
      </c>
      <c r="N3288" s="30" t="b">
        <v>0</v>
      </c>
      <c r="O3288" s="15">
        <f t="shared" si="891"/>
        <v>250</v>
      </c>
      <c r="P3288" s="15">
        <f t="shared" si="892"/>
        <v>500</v>
      </c>
      <c r="Q3288" s="16">
        <f t="shared" si="900"/>
        <v>200</v>
      </c>
      <c r="R3288" s="6">
        <v>100</v>
      </c>
      <c r="S3288" s="15">
        <f t="shared" si="893"/>
        <v>16666.6666666667</v>
      </c>
      <c r="T3288" s="15">
        <f t="shared" si="894"/>
        <v>200</v>
      </c>
      <c r="U3288" s="15">
        <f t="shared" si="895"/>
        <v>6.66666666666667</v>
      </c>
      <c r="V3288" s="15">
        <f t="shared" si="896"/>
        <v>0</v>
      </c>
      <c r="W3288" s="15">
        <f t="shared" si="897"/>
        <v>0</v>
      </c>
    </row>
    <row r="3289" s="15" customFormat="1" spans="2:23">
      <c r="B3289" s="16" t="s">
        <v>1789</v>
      </c>
      <c r="D3289" s="16" t="s">
        <v>1759</v>
      </c>
      <c r="E3289" s="16"/>
      <c r="F3289" s="16"/>
      <c r="G3289" s="6">
        <v>1</v>
      </c>
      <c r="H3289" s="15">
        <v>10000</v>
      </c>
      <c r="I3289" s="15">
        <f t="shared" si="898"/>
        <v>10000</v>
      </c>
      <c r="J3289" s="16" t="str">
        <f t="shared" si="890"/>
        <v>yellow</v>
      </c>
      <c r="K3289" s="109">
        <f t="shared" si="899"/>
        <v>1.66666666666667</v>
      </c>
      <c r="L3289" s="6">
        <v>-0.7</v>
      </c>
      <c r="M3289" s="16" t="s">
        <v>1785</v>
      </c>
      <c r="N3289" s="30" t="b">
        <v>0</v>
      </c>
      <c r="O3289" s="15">
        <f t="shared" si="891"/>
        <v>5</v>
      </c>
      <c r="P3289" s="15">
        <f t="shared" si="892"/>
        <v>10</v>
      </c>
      <c r="Q3289" s="16">
        <f t="shared" si="900"/>
        <v>3</v>
      </c>
      <c r="R3289" s="6">
        <v>100</v>
      </c>
      <c r="S3289" s="15">
        <f t="shared" si="893"/>
        <v>333.333333333333</v>
      </c>
      <c r="T3289" s="15">
        <f t="shared" si="894"/>
        <v>3</v>
      </c>
      <c r="U3289" s="15">
        <f t="shared" si="895"/>
        <v>0.1</v>
      </c>
      <c r="V3289" s="15">
        <f t="shared" si="896"/>
        <v>0</v>
      </c>
      <c r="W3289" s="15">
        <f t="shared" si="897"/>
        <v>0</v>
      </c>
    </row>
    <row r="3290" s="15" customFormat="1" spans="2:23">
      <c r="B3290" s="16" t="s">
        <v>1790</v>
      </c>
      <c r="D3290" s="16" t="s">
        <v>1545</v>
      </c>
      <c r="E3290" s="16"/>
      <c r="F3290" s="16"/>
      <c r="G3290" s="6">
        <v>1</v>
      </c>
      <c r="H3290" s="15">
        <v>50000</v>
      </c>
      <c r="I3290" s="15">
        <f t="shared" si="898"/>
        <v>50000</v>
      </c>
      <c r="J3290" s="16" t="str">
        <f t="shared" si="890"/>
        <v>yellow</v>
      </c>
      <c r="K3290" s="109">
        <f t="shared" si="899"/>
        <v>1.66666666666667</v>
      </c>
      <c r="L3290" s="6">
        <v>-0.7</v>
      </c>
      <c r="M3290" s="16" t="s">
        <v>1785</v>
      </c>
      <c r="N3290" s="30" t="b">
        <v>0</v>
      </c>
      <c r="O3290" s="15">
        <f t="shared" si="891"/>
        <v>25</v>
      </c>
      <c r="P3290" s="15">
        <f t="shared" si="892"/>
        <v>50</v>
      </c>
      <c r="Q3290" s="16">
        <f t="shared" si="900"/>
        <v>15</v>
      </c>
      <c r="R3290" s="6">
        <v>100</v>
      </c>
      <c r="S3290" s="15">
        <f t="shared" si="893"/>
        <v>1666.66666666667</v>
      </c>
      <c r="T3290" s="15">
        <f t="shared" si="894"/>
        <v>15</v>
      </c>
      <c r="U3290" s="15">
        <f t="shared" si="895"/>
        <v>0.5</v>
      </c>
      <c r="V3290" s="15">
        <f t="shared" si="896"/>
        <v>0</v>
      </c>
      <c r="W3290" s="15">
        <f t="shared" si="897"/>
        <v>0</v>
      </c>
    </row>
    <row r="3291" s="15" customFormat="1" spans="2:23">
      <c r="B3291" s="16" t="s">
        <v>1791</v>
      </c>
      <c r="D3291" s="16" t="s">
        <v>1763</v>
      </c>
      <c r="E3291" s="16"/>
      <c r="F3291" s="16"/>
      <c r="G3291" s="6">
        <v>1</v>
      </c>
      <c r="H3291" s="15">
        <v>150000</v>
      </c>
      <c r="I3291" s="15">
        <f t="shared" si="898"/>
        <v>150000</v>
      </c>
      <c r="J3291" s="16" t="str">
        <f t="shared" si="890"/>
        <v>yellow</v>
      </c>
      <c r="K3291" s="109">
        <f t="shared" si="899"/>
        <v>1.25</v>
      </c>
      <c r="L3291" s="6">
        <v>-0.6</v>
      </c>
      <c r="M3291" s="16" t="s">
        <v>1785</v>
      </c>
      <c r="N3291" s="30" t="b">
        <v>0</v>
      </c>
      <c r="O3291" s="15">
        <f t="shared" si="891"/>
        <v>75</v>
      </c>
      <c r="P3291" s="15">
        <f t="shared" si="892"/>
        <v>150</v>
      </c>
      <c r="Q3291" s="16">
        <f t="shared" si="900"/>
        <v>60</v>
      </c>
      <c r="R3291" s="6">
        <v>100</v>
      </c>
      <c r="S3291" s="15">
        <f t="shared" si="893"/>
        <v>5000</v>
      </c>
      <c r="T3291" s="15">
        <f t="shared" si="894"/>
        <v>60</v>
      </c>
      <c r="U3291" s="15">
        <f t="shared" si="895"/>
        <v>2</v>
      </c>
      <c r="V3291" s="15">
        <f t="shared" si="896"/>
        <v>0</v>
      </c>
      <c r="W3291" s="15">
        <f t="shared" si="897"/>
        <v>0</v>
      </c>
    </row>
    <row r="3292" s="15" customFormat="1" spans="2:23">
      <c r="B3292" s="16" t="s">
        <v>1792</v>
      </c>
      <c r="D3292" s="16" t="s">
        <v>1634</v>
      </c>
      <c r="E3292" s="16"/>
      <c r="F3292" s="16"/>
      <c r="G3292" s="6">
        <v>1</v>
      </c>
      <c r="H3292" s="15">
        <v>500000</v>
      </c>
      <c r="I3292" s="15">
        <f t="shared" si="898"/>
        <v>500000</v>
      </c>
      <c r="J3292" s="16" t="str">
        <f t="shared" si="890"/>
        <v>yellow</v>
      </c>
      <c r="K3292" s="109">
        <f t="shared" si="899"/>
        <v>1.25</v>
      </c>
      <c r="L3292" s="6">
        <v>-0.6</v>
      </c>
      <c r="M3292" s="16" t="s">
        <v>1785</v>
      </c>
      <c r="N3292" s="30" t="b">
        <v>0</v>
      </c>
      <c r="O3292" s="15">
        <f t="shared" si="891"/>
        <v>250</v>
      </c>
      <c r="P3292" s="15">
        <f t="shared" si="892"/>
        <v>500</v>
      </c>
      <c r="Q3292" s="16">
        <f t="shared" si="900"/>
        <v>200</v>
      </c>
      <c r="R3292" s="6">
        <v>100</v>
      </c>
      <c r="S3292" s="15">
        <f t="shared" si="893"/>
        <v>16666.6666666667</v>
      </c>
      <c r="T3292" s="15">
        <f t="shared" si="894"/>
        <v>200</v>
      </c>
      <c r="U3292" s="15">
        <f t="shared" si="895"/>
        <v>6.66666666666667</v>
      </c>
      <c r="V3292" s="15">
        <f t="shared" si="896"/>
        <v>0</v>
      </c>
      <c r="W3292" s="15">
        <f t="shared" si="897"/>
        <v>0</v>
      </c>
    </row>
    <row r="3293" s="15" customFormat="1" spans="2:23">
      <c r="B3293" s="16" t="s">
        <v>1793</v>
      </c>
      <c r="D3293" s="16" t="s">
        <v>1766</v>
      </c>
      <c r="E3293" s="16"/>
      <c r="F3293" s="16"/>
      <c r="G3293" s="6">
        <v>1</v>
      </c>
      <c r="H3293" s="15">
        <v>10000</v>
      </c>
      <c r="I3293" s="15">
        <f t="shared" si="898"/>
        <v>10000</v>
      </c>
      <c r="J3293" s="16" t="str">
        <f t="shared" si="890"/>
        <v>yellow</v>
      </c>
      <c r="K3293" s="109">
        <f t="shared" si="899"/>
        <v>1.66666666666667</v>
      </c>
      <c r="L3293" s="6">
        <v>-0.7</v>
      </c>
      <c r="M3293" s="16" t="s">
        <v>1785</v>
      </c>
      <c r="N3293" s="30" t="b">
        <v>0</v>
      </c>
      <c r="O3293" s="15">
        <f t="shared" si="891"/>
        <v>5</v>
      </c>
      <c r="P3293" s="15">
        <f t="shared" si="892"/>
        <v>10</v>
      </c>
      <c r="Q3293" s="16">
        <f t="shared" si="900"/>
        <v>3</v>
      </c>
      <c r="R3293" s="6">
        <v>100</v>
      </c>
      <c r="S3293" s="15">
        <f t="shared" si="893"/>
        <v>333.333333333333</v>
      </c>
      <c r="T3293" s="15">
        <f t="shared" si="894"/>
        <v>3</v>
      </c>
      <c r="U3293" s="15">
        <f t="shared" si="895"/>
        <v>0.1</v>
      </c>
      <c r="V3293" s="15">
        <f t="shared" si="896"/>
        <v>0</v>
      </c>
      <c r="W3293" s="15">
        <f t="shared" si="897"/>
        <v>0</v>
      </c>
    </row>
    <row r="3294" s="15" customFormat="1" spans="2:23">
      <c r="B3294" s="16" t="s">
        <v>1794</v>
      </c>
      <c r="D3294" s="16" t="s">
        <v>1547</v>
      </c>
      <c r="E3294" s="16"/>
      <c r="F3294" s="16"/>
      <c r="G3294" s="6">
        <v>1</v>
      </c>
      <c r="H3294" s="15">
        <v>50000</v>
      </c>
      <c r="I3294" s="15">
        <f t="shared" si="898"/>
        <v>50000</v>
      </c>
      <c r="J3294" s="16" t="str">
        <f t="shared" si="890"/>
        <v>yellow</v>
      </c>
      <c r="K3294" s="109">
        <f t="shared" si="899"/>
        <v>1.66666666666667</v>
      </c>
      <c r="L3294" s="6">
        <v>-0.7</v>
      </c>
      <c r="M3294" s="16" t="s">
        <v>1785</v>
      </c>
      <c r="N3294" s="30" t="b">
        <v>0</v>
      </c>
      <c r="O3294" s="15">
        <f t="shared" si="891"/>
        <v>25</v>
      </c>
      <c r="P3294" s="15">
        <f t="shared" si="892"/>
        <v>50</v>
      </c>
      <c r="Q3294" s="16">
        <f t="shared" si="900"/>
        <v>15</v>
      </c>
      <c r="R3294" s="6">
        <v>100</v>
      </c>
      <c r="S3294" s="15">
        <f t="shared" si="893"/>
        <v>1666.66666666667</v>
      </c>
      <c r="T3294" s="15">
        <f t="shared" si="894"/>
        <v>15</v>
      </c>
      <c r="U3294" s="15">
        <f t="shared" si="895"/>
        <v>0.5</v>
      </c>
      <c r="V3294" s="15">
        <f t="shared" si="896"/>
        <v>0</v>
      </c>
      <c r="W3294" s="15">
        <f t="shared" si="897"/>
        <v>0</v>
      </c>
    </row>
    <row r="3295" s="15" customFormat="1" spans="2:23">
      <c r="B3295" s="16" t="s">
        <v>1795</v>
      </c>
      <c r="D3295" s="16" t="s">
        <v>1770</v>
      </c>
      <c r="E3295" s="16"/>
      <c r="F3295" s="16"/>
      <c r="G3295" s="6">
        <v>1</v>
      </c>
      <c r="H3295" s="15">
        <v>150000</v>
      </c>
      <c r="I3295" s="15">
        <f t="shared" si="898"/>
        <v>150000</v>
      </c>
      <c r="J3295" s="16" t="str">
        <f t="shared" si="890"/>
        <v>yellow</v>
      </c>
      <c r="K3295" s="109">
        <f t="shared" si="899"/>
        <v>1.25</v>
      </c>
      <c r="L3295" s="6">
        <v>-0.6</v>
      </c>
      <c r="M3295" s="16" t="s">
        <v>1785</v>
      </c>
      <c r="N3295" s="30" t="b">
        <v>0</v>
      </c>
      <c r="O3295" s="15">
        <f t="shared" si="891"/>
        <v>75</v>
      </c>
      <c r="P3295" s="15">
        <f t="shared" si="892"/>
        <v>150</v>
      </c>
      <c r="Q3295" s="16">
        <f t="shared" si="900"/>
        <v>60</v>
      </c>
      <c r="R3295" s="6">
        <v>100</v>
      </c>
      <c r="S3295" s="15">
        <f t="shared" si="893"/>
        <v>5000</v>
      </c>
      <c r="T3295" s="15">
        <f t="shared" si="894"/>
        <v>60</v>
      </c>
      <c r="U3295" s="15">
        <f t="shared" si="895"/>
        <v>2</v>
      </c>
      <c r="V3295" s="15">
        <f t="shared" si="896"/>
        <v>0</v>
      </c>
      <c r="W3295" s="15">
        <f t="shared" si="897"/>
        <v>0</v>
      </c>
    </row>
    <row r="3296" s="15" customFormat="1" spans="2:23">
      <c r="B3296" s="16" t="s">
        <v>1796</v>
      </c>
      <c r="D3296" s="16" t="s">
        <v>1636</v>
      </c>
      <c r="E3296" s="16"/>
      <c r="F3296" s="16"/>
      <c r="G3296" s="6">
        <v>1</v>
      </c>
      <c r="H3296" s="15">
        <v>500000</v>
      </c>
      <c r="I3296" s="15">
        <f t="shared" si="898"/>
        <v>500000</v>
      </c>
      <c r="J3296" s="16" t="str">
        <f t="shared" si="890"/>
        <v>yellow</v>
      </c>
      <c r="K3296" s="109">
        <f t="shared" si="899"/>
        <v>1.25</v>
      </c>
      <c r="L3296" s="6">
        <v>-0.6</v>
      </c>
      <c r="M3296" s="16" t="s">
        <v>1785</v>
      </c>
      <c r="N3296" s="30" t="b">
        <v>0</v>
      </c>
      <c r="O3296" s="15">
        <f t="shared" si="891"/>
        <v>250</v>
      </c>
      <c r="P3296" s="15">
        <f t="shared" si="892"/>
        <v>500</v>
      </c>
      <c r="Q3296" s="16">
        <f t="shared" si="900"/>
        <v>200</v>
      </c>
      <c r="R3296" s="6">
        <v>100</v>
      </c>
      <c r="S3296" s="15">
        <f t="shared" si="893"/>
        <v>16666.6666666667</v>
      </c>
      <c r="T3296" s="15">
        <f t="shared" si="894"/>
        <v>200</v>
      </c>
      <c r="U3296" s="15">
        <f t="shared" si="895"/>
        <v>6.66666666666667</v>
      </c>
      <c r="V3296" s="15">
        <f t="shared" si="896"/>
        <v>0</v>
      </c>
      <c r="W3296" s="15">
        <f t="shared" si="897"/>
        <v>0</v>
      </c>
    </row>
    <row r="3297" spans="2:23">
      <c r="B3297" s="4" t="s">
        <v>1797</v>
      </c>
      <c r="D3297" s="4" t="s">
        <v>1752</v>
      </c>
      <c r="E3297" s="4"/>
      <c r="F3297" s="4"/>
      <c r="G3297" s="6">
        <v>1</v>
      </c>
      <c r="H3297" s="1">
        <v>10000</v>
      </c>
      <c r="I3297" s="1">
        <f t="shared" si="898"/>
        <v>10000</v>
      </c>
      <c r="J3297" s="4" t="str">
        <f t="shared" si="890"/>
        <v>yellow</v>
      </c>
      <c r="K3297" s="50">
        <f t="shared" si="899"/>
        <v>5</v>
      </c>
      <c r="L3297" s="6">
        <v>-0.9</v>
      </c>
      <c r="M3297" s="4" t="s">
        <v>1785</v>
      </c>
      <c r="N3297" s="30" t="b">
        <v>1</v>
      </c>
      <c r="O3297" s="1">
        <f t="shared" si="891"/>
        <v>5</v>
      </c>
      <c r="P3297" s="1">
        <f t="shared" si="892"/>
        <v>10</v>
      </c>
      <c r="Q3297" s="4">
        <f t="shared" si="900"/>
        <v>1</v>
      </c>
      <c r="R3297" s="6">
        <v>25</v>
      </c>
      <c r="S3297" s="1">
        <f t="shared" si="893"/>
        <v>83.3333333333333</v>
      </c>
      <c r="T3297" s="1">
        <f t="shared" si="894"/>
        <v>1</v>
      </c>
      <c r="U3297" s="1">
        <f t="shared" si="895"/>
        <v>0.00833333333333333</v>
      </c>
      <c r="V3297" s="1">
        <f t="shared" si="896"/>
        <v>0</v>
      </c>
      <c r="W3297" s="1">
        <f t="shared" si="897"/>
        <v>0</v>
      </c>
    </row>
    <row r="3298" spans="2:23">
      <c r="B3298" s="4" t="s">
        <v>1798</v>
      </c>
      <c r="D3298" s="4" t="s">
        <v>1543</v>
      </c>
      <c r="E3298" s="4"/>
      <c r="F3298" s="4"/>
      <c r="G3298" s="6">
        <v>1</v>
      </c>
      <c r="H3298" s="1">
        <v>50000</v>
      </c>
      <c r="I3298" s="1">
        <f t="shared" si="898"/>
        <v>50000</v>
      </c>
      <c r="J3298" s="4" t="str">
        <f t="shared" si="890"/>
        <v>yellow</v>
      </c>
      <c r="K3298" s="50">
        <f t="shared" si="899"/>
        <v>5</v>
      </c>
      <c r="L3298" s="6">
        <v>-0.9</v>
      </c>
      <c r="M3298" s="4" t="s">
        <v>1785</v>
      </c>
      <c r="N3298" s="30" t="b">
        <v>1</v>
      </c>
      <c r="O3298" s="1">
        <f t="shared" si="891"/>
        <v>25</v>
      </c>
      <c r="P3298" s="1">
        <f t="shared" si="892"/>
        <v>50</v>
      </c>
      <c r="Q3298" s="4">
        <f t="shared" si="900"/>
        <v>5</v>
      </c>
      <c r="R3298" s="6">
        <v>25</v>
      </c>
      <c r="S3298" s="1">
        <f t="shared" si="893"/>
        <v>416.666666666667</v>
      </c>
      <c r="T3298" s="1">
        <f t="shared" si="894"/>
        <v>5</v>
      </c>
      <c r="U3298" s="1">
        <f t="shared" si="895"/>
        <v>0.0416666666666667</v>
      </c>
      <c r="V3298" s="1">
        <f t="shared" si="896"/>
        <v>0</v>
      </c>
      <c r="W3298" s="1">
        <f t="shared" si="897"/>
        <v>0</v>
      </c>
    </row>
    <row r="3299" spans="2:23">
      <c r="B3299" s="4" t="s">
        <v>1799</v>
      </c>
      <c r="D3299" s="4" t="s">
        <v>1756</v>
      </c>
      <c r="E3299" s="4"/>
      <c r="F3299" s="4"/>
      <c r="G3299" s="6">
        <v>1</v>
      </c>
      <c r="H3299" s="1">
        <v>150000</v>
      </c>
      <c r="I3299" s="1">
        <f t="shared" si="898"/>
        <v>150000</v>
      </c>
      <c r="J3299" s="4" t="str">
        <f t="shared" si="890"/>
        <v>yellow</v>
      </c>
      <c r="K3299" s="50">
        <f t="shared" si="899"/>
        <v>2.5</v>
      </c>
      <c r="L3299" s="6">
        <v>-0.8</v>
      </c>
      <c r="M3299" s="4" t="s">
        <v>1785</v>
      </c>
      <c r="N3299" s="30" t="b">
        <v>1</v>
      </c>
      <c r="O3299" s="1">
        <f t="shared" si="891"/>
        <v>75</v>
      </c>
      <c r="P3299" s="1">
        <f t="shared" si="892"/>
        <v>150</v>
      </c>
      <c r="Q3299" s="4">
        <f t="shared" si="900"/>
        <v>30</v>
      </c>
      <c r="R3299" s="6">
        <v>25</v>
      </c>
      <c r="S3299" s="1">
        <f t="shared" si="893"/>
        <v>1250</v>
      </c>
      <c r="T3299" s="1">
        <f t="shared" si="894"/>
        <v>30</v>
      </c>
      <c r="U3299" s="1">
        <f t="shared" si="895"/>
        <v>0.25</v>
      </c>
      <c r="V3299" s="1">
        <f t="shared" si="896"/>
        <v>0</v>
      </c>
      <c r="W3299" s="1">
        <f t="shared" si="897"/>
        <v>0</v>
      </c>
    </row>
    <row r="3300" spans="2:23">
      <c r="B3300" s="4" t="s">
        <v>1800</v>
      </c>
      <c r="D3300" s="4" t="s">
        <v>1632</v>
      </c>
      <c r="E3300" s="4"/>
      <c r="F3300" s="4"/>
      <c r="G3300" s="6">
        <v>1</v>
      </c>
      <c r="H3300" s="1">
        <v>500000</v>
      </c>
      <c r="I3300" s="1">
        <f t="shared" si="898"/>
        <v>500000</v>
      </c>
      <c r="J3300" s="4" t="str">
        <f t="shared" si="890"/>
        <v>yellow</v>
      </c>
      <c r="K3300" s="50">
        <f t="shared" si="899"/>
        <v>2.5</v>
      </c>
      <c r="L3300" s="6">
        <v>-0.8</v>
      </c>
      <c r="M3300" s="4" t="s">
        <v>1785</v>
      </c>
      <c r="N3300" s="30" t="b">
        <v>1</v>
      </c>
      <c r="O3300" s="1">
        <f t="shared" si="891"/>
        <v>250</v>
      </c>
      <c r="P3300" s="1">
        <f t="shared" si="892"/>
        <v>500</v>
      </c>
      <c r="Q3300" s="4">
        <f t="shared" si="900"/>
        <v>100</v>
      </c>
      <c r="R3300" s="6">
        <v>25</v>
      </c>
      <c r="S3300" s="1">
        <f t="shared" si="893"/>
        <v>4166.66666666667</v>
      </c>
      <c r="T3300" s="1">
        <f t="shared" si="894"/>
        <v>100</v>
      </c>
      <c r="U3300" s="1">
        <f t="shared" si="895"/>
        <v>0.833333333333333</v>
      </c>
      <c r="V3300" s="1">
        <f t="shared" si="896"/>
        <v>0</v>
      </c>
      <c r="W3300" s="1">
        <f t="shared" si="897"/>
        <v>0</v>
      </c>
    </row>
    <row r="3301" spans="2:23">
      <c r="B3301" s="4" t="s">
        <v>1801</v>
      </c>
      <c r="D3301" s="4" t="s">
        <v>1759</v>
      </c>
      <c r="E3301" s="4"/>
      <c r="F3301" s="4"/>
      <c r="G3301" s="6">
        <v>1</v>
      </c>
      <c r="H3301" s="1">
        <v>10000</v>
      </c>
      <c r="I3301" s="1">
        <f t="shared" si="898"/>
        <v>10000</v>
      </c>
      <c r="J3301" s="4" t="str">
        <f t="shared" si="890"/>
        <v>yellow</v>
      </c>
      <c r="K3301" s="50">
        <f t="shared" si="899"/>
        <v>5</v>
      </c>
      <c r="L3301" s="6">
        <v>-0.9</v>
      </c>
      <c r="M3301" s="4" t="s">
        <v>1785</v>
      </c>
      <c r="N3301" s="30" t="b">
        <v>1</v>
      </c>
      <c r="O3301" s="1">
        <f t="shared" si="891"/>
        <v>5</v>
      </c>
      <c r="P3301" s="1">
        <f t="shared" si="892"/>
        <v>10</v>
      </c>
      <c r="Q3301" s="4">
        <f t="shared" si="900"/>
        <v>1</v>
      </c>
      <c r="R3301" s="6">
        <v>25</v>
      </c>
      <c r="S3301" s="1">
        <f t="shared" si="893"/>
        <v>83.3333333333333</v>
      </c>
      <c r="T3301" s="1">
        <f t="shared" si="894"/>
        <v>1</v>
      </c>
      <c r="U3301" s="1">
        <f t="shared" si="895"/>
        <v>0.00833333333333333</v>
      </c>
      <c r="V3301" s="1">
        <f t="shared" si="896"/>
        <v>0</v>
      </c>
      <c r="W3301" s="1">
        <f t="shared" si="897"/>
        <v>0</v>
      </c>
    </row>
    <row r="3302" spans="2:23">
      <c r="B3302" s="4" t="s">
        <v>1802</v>
      </c>
      <c r="D3302" s="4" t="s">
        <v>1545</v>
      </c>
      <c r="E3302" s="4"/>
      <c r="F3302" s="4"/>
      <c r="G3302" s="6">
        <v>1</v>
      </c>
      <c r="H3302" s="1">
        <v>50000</v>
      </c>
      <c r="I3302" s="1">
        <f t="shared" si="898"/>
        <v>50000</v>
      </c>
      <c r="J3302" s="4" t="str">
        <f t="shared" si="890"/>
        <v>yellow</v>
      </c>
      <c r="K3302" s="50">
        <f t="shared" si="899"/>
        <v>5</v>
      </c>
      <c r="L3302" s="6">
        <v>-0.9</v>
      </c>
      <c r="M3302" s="4" t="s">
        <v>1785</v>
      </c>
      <c r="N3302" s="30" t="b">
        <v>1</v>
      </c>
      <c r="O3302" s="1">
        <f t="shared" si="891"/>
        <v>25</v>
      </c>
      <c r="P3302" s="1">
        <f t="shared" si="892"/>
        <v>50</v>
      </c>
      <c r="Q3302" s="4">
        <f t="shared" si="900"/>
        <v>5</v>
      </c>
      <c r="R3302" s="6">
        <v>25</v>
      </c>
      <c r="S3302" s="1">
        <f t="shared" si="893"/>
        <v>416.666666666667</v>
      </c>
      <c r="T3302" s="1">
        <f t="shared" si="894"/>
        <v>5</v>
      </c>
      <c r="U3302" s="1">
        <f t="shared" si="895"/>
        <v>0.0416666666666667</v>
      </c>
      <c r="V3302" s="1">
        <f t="shared" si="896"/>
        <v>0</v>
      </c>
      <c r="W3302" s="1">
        <f t="shared" si="897"/>
        <v>0</v>
      </c>
    </row>
    <row r="3303" spans="2:23">
      <c r="B3303" s="4" t="s">
        <v>1803</v>
      </c>
      <c r="D3303" s="4" t="s">
        <v>1763</v>
      </c>
      <c r="E3303" s="4"/>
      <c r="F3303" s="4"/>
      <c r="G3303" s="6">
        <v>1</v>
      </c>
      <c r="H3303" s="1">
        <v>150000</v>
      </c>
      <c r="I3303" s="1">
        <f t="shared" si="898"/>
        <v>150000</v>
      </c>
      <c r="J3303" s="4" t="str">
        <f t="shared" si="890"/>
        <v>yellow</v>
      </c>
      <c r="K3303" s="50">
        <f t="shared" si="899"/>
        <v>2.5</v>
      </c>
      <c r="L3303" s="6">
        <v>-0.8</v>
      </c>
      <c r="M3303" s="4" t="s">
        <v>1785</v>
      </c>
      <c r="N3303" s="30" t="b">
        <v>1</v>
      </c>
      <c r="O3303" s="1">
        <f t="shared" si="891"/>
        <v>75</v>
      </c>
      <c r="P3303" s="1">
        <f t="shared" si="892"/>
        <v>150</v>
      </c>
      <c r="Q3303" s="4">
        <f t="shared" si="900"/>
        <v>30</v>
      </c>
      <c r="R3303" s="6">
        <v>25</v>
      </c>
      <c r="S3303" s="1">
        <f t="shared" si="893"/>
        <v>1250</v>
      </c>
      <c r="T3303" s="1">
        <f t="shared" si="894"/>
        <v>30</v>
      </c>
      <c r="U3303" s="1">
        <f t="shared" si="895"/>
        <v>0.25</v>
      </c>
      <c r="V3303" s="1">
        <f t="shared" si="896"/>
        <v>0</v>
      </c>
      <c r="W3303" s="1">
        <f t="shared" si="897"/>
        <v>0</v>
      </c>
    </row>
    <row r="3304" spans="2:23">
      <c r="B3304" s="4" t="s">
        <v>1804</v>
      </c>
      <c r="D3304" s="4" t="s">
        <v>1634</v>
      </c>
      <c r="E3304" s="4"/>
      <c r="F3304" s="4"/>
      <c r="G3304" s="6">
        <v>1</v>
      </c>
      <c r="H3304" s="1">
        <v>500000</v>
      </c>
      <c r="I3304" s="1">
        <f t="shared" si="898"/>
        <v>500000</v>
      </c>
      <c r="J3304" s="4" t="str">
        <f t="shared" si="890"/>
        <v>yellow</v>
      </c>
      <c r="K3304" s="50">
        <f t="shared" si="899"/>
        <v>2.5</v>
      </c>
      <c r="L3304" s="6">
        <v>-0.8</v>
      </c>
      <c r="M3304" s="4" t="s">
        <v>1785</v>
      </c>
      <c r="N3304" s="30" t="b">
        <v>1</v>
      </c>
      <c r="O3304" s="1">
        <f t="shared" si="891"/>
        <v>250</v>
      </c>
      <c r="P3304" s="1">
        <f t="shared" si="892"/>
        <v>500</v>
      </c>
      <c r="Q3304" s="4">
        <f t="shared" si="900"/>
        <v>100</v>
      </c>
      <c r="R3304" s="6">
        <v>25</v>
      </c>
      <c r="S3304" s="1">
        <f t="shared" si="893"/>
        <v>4166.66666666667</v>
      </c>
      <c r="T3304" s="1">
        <f t="shared" si="894"/>
        <v>100</v>
      </c>
      <c r="U3304" s="1">
        <f t="shared" si="895"/>
        <v>0.833333333333333</v>
      </c>
      <c r="V3304" s="1">
        <f t="shared" si="896"/>
        <v>0</v>
      </c>
      <c r="W3304" s="1">
        <f t="shared" si="897"/>
        <v>0</v>
      </c>
    </row>
    <row r="3305" spans="2:23">
      <c r="B3305" s="4" t="s">
        <v>1805</v>
      </c>
      <c r="D3305" s="4" t="s">
        <v>1766</v>
      </c>
      <c r="E3305" s="4"/>
      <c r="F3305" s="4"/>
      <c r="G3305" s="6">
        <v>1</v>
      </c>
      <c r="H3305" s="1">
        <v>10000</v>
      </c>
      <c r="I3305" s="1">
        <f t="shared" si="898"/>
        <v>10000</v>
      </c>
      <c r="J3305" s="4" t="str">
        <f t="shared" si="890"/>
        <v>yellow</v>
      </c>
      <c r="K3305" s="50">
        <f t="shared" si="899"/>
        <v>5</v>
      </c>
      <c r="L3305" s="6">
        <v>-0.9</v>
      </c>
      <c r="M3305" s="4" t="s">
        <v>1785</v>
      </c>
      <c r="N3305" s="30" t="b">
        <v>1</v>
      </c>
      <c r="O3305" s="1">
        <f t="shared" si="891"/>
        <v>5</v>
      </c>
      <c r="P3305" s="1">
        <f t="shared" si="892"/>
        <v>10</v>
      </c>
      <c r="Q3305" s="4">
        <f t="shared" si="900"/>
        <v>1</v>
      </c>
      <c r="R3305" s="6">
        <v>25</v>
      </c>
      <c r="S3305" s="1">
        <f t="shared" si="893"/>
        <v>83.3333333333333</v>
      </c>
      <c r="T3305" s="1">
        <f t="shared" si="894"/>
        <v>1</v>
      </c>
      <c r="U3305" s="1">
        <f t="shared" si="895"/>
        <v>0.00833333333333333</v>
      </c>
      <c r="V3305" s="1">
        <f t="shared" si="896"/>
        <v>0</v>
      </c>
      <c r="W3305" s="1">
        <f t="shared" si="897"/>
        <v>0</v>
      </c>
    </row>
    <row r="3306" spans="2:23">
      <c r="B3306" s="4" t="s">
        <v>1806</v>
      </c>
      <c r="D3306" s="4" t="s">
        <v>1547</v>
      </c>
      <c r="E3306" s="4"/>
      <c r="F3306" s="4"/>
      <c r="G3306" s="6">
        <v>1</v>
      </c>
      <c r="H3306" s="1">
        <v>50000</v>
      </c>
      <c r="I3306" s="1">
        <f t="shared" si="898"/>
        <v>50000</v>
      </c>
      <c r="J3306" s="4" t="str">
        <f t="shared" si="890"/>
        <v>yellow</v>
      </c>
      <c r="K3306" s="50">
        <f t="shared" si="899"/>
        <v>5</v>
      </c>
      <c r="L3306" s="6">
        <v>-0.9</v>
      </c>
      <c r="M3306" s="4" t="s">
        <v>1785</v>
      </c>
      <c r="N3306" s="30" t="b">
        <v>1</v>
      </c>
      <c r="O3306" s="1">
        <f t="shared" si="891"/>
        <v>25</v>
      </c>
      <c r="P3306" s="1">
        <f t="shared" si="892"/>
        <v>50</v>
      </c>
      <c r="Q3306" s="4">
        <f t="shared" si="900"/>
        <v>5</v>
      </c>
      <c r="R3306" s="6">
        <v>25</v>
      </c>
      <c r="S3306" s="1">
        <f t="shared" si="893"/>
        <v>416.666666666667</v>
      </c>
      <c r="T3306" s="1">
        <f t="shared" si="894"/>
        <v>5</v>
      </c>
      <c r="U3306" s="1">
        <f t="shared" si="895"/>
        <v>0.0416666666666667</v>
      </c>
      <c r="V3306" s="1">
        <f t="shared" si="896"/>
        <v>0</v>
      </c>
      <c r="W3306" s="1">
        <f t="shared" si="897"/>
        <v>0</v>
      </c>
    </row>
    <row r="3307" spans="2:23">
      <c r="B3307" s="4" t="s">
        <v>1807</v>
      </c>
      <c r="D3307" s="4" t="s">
        <v>1770</v>
      </c>
      <c r="E3307" s="4"/>
      <c r="F3307" s="4"/>
      <c r="G3307" s="6">
        <v>1</v>
      </c>
      <c r="H3307" s="1">
        <v>150000</v>
      </c>
      <c r="I3307" s="1">
        <f t="shared" si="898"/>
        <v>150000</v>
      </c>
      <c r="J3307" s="4" t="str">
        <f t="shared" si="890"/>
        <v>yellow</v>
      </c>
      <c r="K3307" s="50">
        <f t="shared" si="899"/>
        <v>2.5</v>
      </c>
      <c r="L3307" s="6">
        <v>-0.8</v>
      </c>
      <c r="M3307" s="4" t="s">
        <v>1785</v>
      </c>
      <c r="N3307" s="30" t="b">
        <v>1</v>
      </c>
      <c r="O3307" s="1">
        <f t="shared" si="891"/>
        <v>75</v>
      </c>
      <c r="P3307" s="1">
        <f t="shared" si="892"/>
        <v>150</v>
      </c>
      <c r="Q3307" s="4">
        <f t="shared" si="900"/>
        <v>30</v>
      </c>
      <c r="R3307" s="6">
        <v>25</v>
      </c>
      <c r="S3307" s="1">
        <f t="shared" si="893"/>
        <v>1250</v>
      </c>
      <c r="T3307" s="1">
        <f t="shared" si="894"/>
        <v>30</v>
      </c>
      <c r="U3307" s="1">
        <f t="shared" si="895"/>
        <v>0.25</v>
      </c>
      <c r="V3307" s="1">
        <f t="shared" si="896"/>
        <v>0</v>
      </c>
      <c r="W3307" s="1">
        <f t="shared" si="897"/>
        <v>0</v>
      </c>
    </row>
    <row r="3308" spans="2:23">
      <c r="B3308" s="4" t="s">
        <v>1808</v>
      </c>
      <c r="D3308" s="4" t="s">
        <v>1636</v>
      </c>
      <c r="E3308" s="4"/>
      <c r="F3308" s="4"/>
      <c r="G3308" s="6">
        <v>1</v>
      </c>
      <c r="H3308" s="1">
        <v>500000</v>
      </c>
      <c r="I3308" s="1">
        <f t="shared" si="898"/>
        <v>500000</v>
      </c>
      <c r="J3308" s="4" t="str">
        <f t="shared" si="890"/>
        <v>yellow</v>
      </c>
      <c r="K3308" s="50">
        <f t="shared" si="899"/>
        <v>2.5</v>
      </c>
      <c r="L3308" s="6">
        <v>-0.8</v>
      </c>
      <c r="M3308" s="4" t="s">
        <v>1785</v>
      </c>
      <c r="N3308" s="30" t="b">
        <v>1</v>
      </c>
      <c r="O3308" s="1">
        <f t="shared" si="891"/>
        <v>250</v>
      </c>
      <c r="P3308" s="1">
        <f t="shared" si="892"/>
        <v>500</v>
      </c>
      <c r="Q3308" s="4">
        <f t="shared" si="900"/>
        <v>100</v>
      </c>
      <c r="R3308" s="6">
        <v>25</v>
      </c>
      <c r="S3308" s="1">
        <f t="shared" si="893"/>
        <v>4166.66666666667</v>
      </c>
      <c r="T3308" s="1">
        <f t="shared" si="894"/>
        <v>100</v>
      </c>
      <c r="U3308" s="1">
        <f t="shared" si="895"/>
        <v>0.833333333333333</v>
      </c>
      <c r="V3308" s="1">
        <f t="shared" si="896"/>
        <v>0</v>
      </c>
      <c r="W3308" s="1">
        <f t="shared" si="897"/>
        <v>0</v>
      </c>
    </row>
    <row r="3309" spans="17:23">
      <c r="Q3309" s="5" t="s">
        <v>534</v>
      </c>
      <c r="R3309" s="1">
        <f t="shared" ref="R3309:U3309" si="901">SUM(R3261:R3308)</f>
        <v>3000</v>
      </c>
      <c r="S3309" s="5">
        <f t="shared" si="901"/>
        <v>177500</v>
      </c>
      <c r="U3309" s="5">
        <f t="shared" si="901"/>
        <v>31.2</v>
      </c>
      <c r="W3309" s="5">
        <f>SUM(W3261:W3308)</f>
        <v>78100</v>
      </c>
    </row>
    <row r="3310" spans="17:23">
      <c r="Q3310" s="5" t="s">
        <v>1809</v>
      </c>
      <c r="S3310" s="5">
        <f t="shared" ref="S3310:W3310" si="902">SUMIFS(S3261:S3308,$N$3261:$N$3308,TRUE)</f>
        <v>106500</v>
      </c>
      <c r="T3310" s="5"/>
      <c r="U3310" s="5">
        <f t="shared" si="902"/>
        <v>3.4</v>
      </c>
      <c r="V3310" s="5"/>
      <c r="W3310" s="5">
        <f t="shared" si="902"/>
        <v>78100</v>
      </c>
    </row>
    <row r="3312" spans="2:12">
      <c r="B3312" s="27" t="s">
        <v>1810</v>
      </c>
      <c r="C3312" s="27"/>
      <c r="D3312" s="27"/>
      <c r="E3312" s="27"/>
      <c r="F3312" s="27"/>
      <c r="G3312" s="27"/>
      <c r="H3312" s="27"/>
      <c r="I3312" s="27"/>
      <c r="J3312" s="27"/>
      <c r="K3312" s="27"/>
      <c r="L3312" s="27"/>
    </row>
    <row r="3314" spans="2:8">
      <c r="B3314" s="1" t="str">
        <f t="shared" ref="B3314:H3317" si="903">B293</f>
        <v>建材</v>
      </c>
      <c r="C3314" s="1" t="str">
        <f t="shared" si="903"/>
        <v>木板</v>
      </c>
      <c r="D3314" s="1" t="str">
        <f t="shared" si="903"/>
        <v>方砖</v>
      </c>
      <c r="E3314" s="1" t="str">
        <f t="shared" si="903"/>
        <v>水泥</v>
      </c>
      <c r="F3314" s="1" t="str">
        <f t="shared" si="903"/>
        <v>工字钢</v>
      </c>
      <c r="G3314" s="1" t="str">
        <f t="shared" si="903"/>
        <v>沥青</v>
      </c>
      <c r="H3314" s="1" t="str">
        <f t="shared" si="903"/>
        <v>混凝土</v>
      </c>
    </row>
    <row r="3315" spans="2:8">
      <c r="B3315" s="1" t="str">
        <f t="shared" si="903"/>
        <v>时长</v>
      </c>
      <c r="C3315" s="1">
        <f t="shared" si="903"/>
        <v>1</v>
      </c>
      <c r="D3315" s="1">
        <f t="shared" si="903"/>
        <v>4</v>
      </c>
      <c r="E3315" s="1">
        <f t="shared" si="903"/>
        <v>20</v>
      </c>
      <c r="F3315" s="1">
        <f t="shared" si="903"/>
        <v>35</v>
      </c>
      <c r="G3315" s="1">
        <f t="shared" si="903"/>
        <v>50</v>
      </c>
      <c r="H3315" s="1">
        <f t="shared" si="903"/>
        <v>110</v>
      </c>
    </row>
    <row r="3316" spans="2:8">
      <c r="B3316" s="1" t="str">
        <f t="shared" si="903"/>
        <v>权重</v>
      </c>
      <c r="C3316" s="1">
        <f t="shared" si="903"/>
        <v>1</v>
      </c>
      <c r="D3316" s="1">
        <f t="shared" si="903"/>
        <v>3.5</v>
      </c>
      <c r="E3316" s="1">
        <f t="shared" si="903"/>
        <v>15</v>
      </c>
      <c r="F3316" s="1">
        <f t="shared" si="903"/>
        <v>20</v>
      </c>
      <c r="G3316" s="1">
        <f t="shared" si="903"/>
        <v>25</v>
      </c>
      <c r="H3316" s="1">
        <f t="shared" si="903"/>
        <v>50</v>
      </c>
    </row>
    <row r="3317" spans="2:8">
      <c r="B3317" s="1" t="str">
        <f t="shared" si="903"/>
        <v>种类</v>
      </c>
      <c r="C3317" s="1" t="str">
        <f t="shared" si="903"/>
        <v>board</v>
      </c>
      <c r="D3317" s="1" t="str">
        <f t="shared" si="903"/>
        <v>brick</v>
      </c>
      <c r="E3317" s="1" t="str">
        <f t="shared" si="903"/>
        <v>cement</v>
      </c>
      <c r="F3317" s="1" t="str">
        <f t="shared" si="903"/>
        <v>steel</v>
      </c>
      <c r="G3317" s="1" t="str">
        <f t="shared" si="903"/>
        <v>pitch</v>
      </c>
      <c r="H3317" s="1" t="str">
        <f t="shared" si="903"/>
        <v>concrete</v>
      </c>
    </row>
    <row r="3319" spans="2:23">
      <c r="B3319" s="4" t="s">
        <v>1527</v>
      </c>
      <c r="D3319" s="4" t="s">
        <v>607</v>
      </c>
      <c r="E3319" s="4"/>
      <c r="F3319" s="4"/>
      <c r="G3319" s="6" t="s">
        <v>1528</v>
      </c>
      <c r="H3319" s="1" t="s">
        <v>1739</v>
      </c>
      <c r="I3319" s="1" t="s">
        <v>1811</v>
      </c>
      <c r="J3319" s="4" t="s">
        <v>1529</v>
      </c>
      <c r="K3319" s="5" t="s">
        <v>1530</v>
      </c>
      <c r="L3319" s="6" t="s">
        <v>1533</v>
      </c>
      <c r="M3319" s="4" t="s">
        <v>1741</v>
      </c>
      <c r="N3319" s="30" t="s">
        <v>1742</v>
      </c>
      <c r="O3319" s="1" t="s">
        <v>1743</v>
      </c>
      <c r="P3319" s="1" t="s">
        <v>1744</v>
      </c>
      <c r="Q3319" s="4" t="s">
        <v>1745</v>
      </c>
      <c r="R3319" s="6" t="s">
        <v>1620</v>
      </c>
      <c r="S3319" s="1" t="s">
        <v>1746</v>
      </c>
      <c r="T3319" s="1" t="s">
        <v>1747</v>
      </c>
      <c r="U3319" s="1" t="s">
        <v>1748</v>
      </c>
      <c r="V3319" s="1" t="s">
        <v>1749</v>
      </c>
      <c r="W3319" s="1" t="s">
        <v>1750</v>
      </c>
    </row>
    <row r="3320" s="15" customFormat="1" spans="2:23">
      <c r="B3320" s="16" t="s">
        <v>1812</v>
      </c>
      <c r="D3320" s="16" t="s">
        <v>143</v>
      </c>
      <c r="G3320" s="6">
        <v>20</v>
      </c>
      <c r="H3320" s="15">
        <f ca="1" t="shared" ref="H3320:H3367" si="904">OFFSET($C$3315,0,MATCH(D3320,$C$3317:$H$3317,0)-1)</f>
        <v>1</v>
      </c>
      <c r="I3320" s="15">
        <f ca="1" t="shared" ref="I3320:I3367" si="905">H3320*G3320</f>
        <v>20</v>
      </c>
      <c r="J3320" s="16" t="str">
        <f t="shared" ref="J3320:J3367" si="906">IF(L3320&gt;-0.5,"purple","yellow")</f>
        <v>purple</v>
      </c>
      <c r="K3320" s="109">
        <f ca="1" t="shared" ref="K3320:K3367" si="907">O3320/Q3320</f>
        <v>0.964506172839507</v>
      </c>
      <c r="L3320" s="6">
        <v>-0.1</v>
      </c>
      <c r="M3320" s="16" t="s">
        <v>1767</v>
      </c>
      <c r="N3320" s="30" t="b">
        <v>1</v>
      </c>
      <c r="O3320" s="15">
        <f ca="1" t="shared" ref="O3320:O3367" si="908">IF(M3320="l_coin",I3320*$E$3246,I3320*$C$3246)</f>
        <v>52083.3333333334</v>
      </c>
      <c r="P3320" s="15">
        <f ca="1" t="shared" ref="P3320:P3367" si="909">IF(M3320="l_coin",I3320*$I$3246,I3320*$G$3246)</f>
        <v>60000</v>
      </c>
      <c r="Q3320" s="16">
        <f ca="1">_xlfn.FLOOR.MATH(P3320*(1+L3320),1000)</f>
        <v>54000</v>
      </c>
      <c r="R3320" s="6">
        <v>200</v>
      </c>
      <c r="S3320" s="15">
        <f ca="1" t="shared" ref="S3320:S3367" si="910">I3320*R3320/$R$3368</f>
        <v>0.592592592592593</v>
      </c>
      <c r="T3320" s="15">
        <f ca="1" t="shared" ref="T3320:T3343" si="911">IF(M3320="l_coin",Q3320,0)</f>
        <v>0</v>
      </c>
      <c r="U3320" s="15">
        <f ca="1" t="shared" ref="U3320:U3343" si="912">T3320*R3320/$R$3368</f>
        <v>0</v>
      </c>
      <c r="V3320" s="15">
        <f ca="1" t="shared" ref="V3320:V3343" si="913">IF(M3320="l_coin",0,Q3320)</f>
        <v>54000</v>
      </c>
      <c r="W3320" s="15">
        <f ca="1" t="shared" ref="W3320:W3343" si="914">V3320*R3320/$R$3368</f>
        <v>1600</v>
      </c>
    </row>
    <row r="3321" s="15" customFormat="1" spans="2:23">
      <c r="B3321" s="16" t="s">
        <v>1813</v>
      </c>
      <c r="D3321" s="16" t="s">
        <v>147</v>
      </c>
      <c r="G3321" s="6">
        <v>5</v>
      </c>
      <c r="H3321" s="15">
        <f ca="1" t="shared" si="904"/>
        <v>4</v>
      </c>
      <c r="I3321" s="15">
        <f ca="1" t="shared" si="905"/>
        <v>20</v>
      </c>
      <c r="J3321" s="16" t="str">
        <f t="shared" si="906"/>
        <v>purple</v>
      </c>
      <c r="K3321" s="109">
        <f ca="1" t="shared" si="907"/>
        <v>0.964506172839507</v>
      </c>
      <c r="L3321" s="6">
        <v>-0.1</v>
      </c>
      <c r="M3321" s="16" t="s">
        <v>1753</v>
      </c>
      <c r="N3321" s="30" t="b">
        <v>1</v>
      </c>
      <c r="O3321" s="15">
        <f ca="1" t="shared" si="908"/>
        <v>52083.3333333334</v>
      </c>
      <c r="P3321" s="15">
        <f ca="1" t="shared" si="909"/>
        <v>60000</v>
      </c>
      <c r="Q3321" s="16">
        <f ca="1">_xlfn.FLOOR.MATH(P3321*(1+L3321),1000)</f>
        <v>54000</v>
      </c>
      <c r="R3321" s="6">
        <v>200</v>
      </c>
      <c r="S3321" s="15">
        <f ca="1" t="shared" si="910"/>
        <v>0.592592592592593</v>
      </c>
      <c r="T3321" s="15">
        <f ca="1" t="shared" si="911"/>
        <v>0</v>
      </c>
      <c r="U3321" s="15">
        <f ca="1" t="shared" si="912"/>
        <v>0</v>
      </c>
      <c r="V3321" s="15">
        <f ca="1" t="shared" si="913"/>
        <v>54000</v>
      </c>
      <c r="W3321" s="15">
        <f ca="1" t="shared" si="914"/>
        <v>1600</v>
      </c>
    </row>
    <row r="3322" s="15" customFormat="1" spans="2:23">
      <c r="B3322" s="16" t="s">
        <v>1814</v>
      </c>
      <c r="D3322" s="16" t="s">
        <v>154</v>
      </c>
      <c r="G3322" s="6">
        <v>1</v>
      </c>
      <c r="H3322" s="15">
        <f ca="1" t="shared" si="904"/>
        <v>20</v>
      </c>
      <c r="I3322" s="15">
        <f ca="1" t="shared" si="905"/>
        <v>20</v>
      </c>
      <c r="J3322" s="16" t="str">
        <f t="shared" si="906"/>
        <v>purple</v>
      </c>
      <c r="K3322" s="109">
        <f ca="1" t="shared" si="907"/>
        <v>0.964506172839507</v>
      </c>
      <c r="L3322" s="6">
        <v>-0.1</v>
      </c>
      <c r="M3322" s="16" t="s">
        <v>1760</v>
      </c>
      <c r="N3322" s="30" t="b">
        <v>1</v>
      </c>
      <c r="O3322" s="15">
        <f ca="1" t="shared" si="908"/>
        <v>52083.3333333334</v>
      </c>
      <c r="P3322" s="15">
        <f ca="1" t="shared" si="909"/>
        <v>60000</v>
      </c>
      <c r="Q3322" s="16">
        <f ca="1">_xlfn.FLOOR.MATH(P3322*(1+L3322),1000)</f>
        <v>54000</v>
      </c>
      <c r="R3322" s="6">
        <v>200</v>
      </c>
      <c r="S3322" s="15">
        <f ca="1" t="shared" si="910"/>
        <v>0.592592592592593</v>
      </c>
      <c r="T3322" s="15">
        <f ca="1" t="shared" si="911"/>
        <v>0</v>
      </c>
      <c r="U3322" s="15">
        <f ca="1" t="shared" si="912"/>
        <v>0</v>
      </c>
      <c r="V3322" s="15">
        <f ca="1" t="shared" si="913"/>
        <v>54000</v>
      </c>
      <c r="W3322" s="15">
        <f ca="1" t="shared" si="914"/>
        <v>1600</v>
      </c>
    </row>
    <row r="3323" s="15" customFormat="1" spans="2:23">
      <c r="B3323" s="16" t="s">
        <v>1815</v>
      </c>
      <c r="D3323" s="16" t="s">
        <v>801</v>
      </c>
      <c r="G3323" s="6">
        <v>1</v>
      </c>
      <c r="H3323" s="15">
        <f ca="1" t="shared" si="904"/>
        <v>35</v>
      </c>
      <c r="I3323" s="15">
        <f ca="1" t="shared" si="905"/>
        <v>35</v>
      </c>
      <c r="J3323" s="16" t="str">
        <f t="shared" si="906"/>
        <v>purple</v>
      </c>
      <c r="K3323" s="109">
        <f ca="1" t="shared" si="907"/>
        <v>0.969636524822696</v>
      </c>
      <c r="L3323" s="6">
        <v>-0.1</v>
      </c>
      <c r="M3323" s="16" t="s">
        <v>1767</v>
      </c>
      <c r="N3323" s="30" t="b">
        <v>1</v>
      </c>
      <c r="O3323" s="15">
        <f ca="1" t="shared" si="908"/>
        <v>91145.8333333335</v>
      </c>
      <c r="P3323" s="15">
        <f ca="1" t="shared" si="909"/>
        <v>105000</v>
      </c>
      <c r="Q3323" s="16">
        <f ca="1">_xlfn.FLOOR.MATH(P3323*(1+L3323),1000)</f>
        <v>94000</v>
      </c>
      <c r="R3323" s="6">
        <v>200</v>
      </c>
      <c r="S3323" s="15">
        <f ca="1" t="shared" si="910"/>
        <v>1.03703703703704</v>
      </c>
      <c r="T3323" s="15">
        <f ca="1" t="shared" si="911"/>
        <v>0</v>
      </c>
      <c r="U3323" s="15">
        <f ca="1" t="shared" si="912"/>
        <v>0</v>
      </c>
      <c r="V3323" s="15">
        <f ca="1" t="shared" si="913"/>
        <v>94000</v>
      </c>
      <c r="W3323" s="15">
        <f ca="1" t="shared" si="914"/>
        <v>2785.18518518519</v>
      </c>
    </row>
    <row r="3324" s="15" customFormat="1" spans="2:23">
      <c r="B3324" s="16" t="s">
        <v>1816</v>
      </c>
      <c r="D3324" s="16" t="s">
        <v>802</v>
      </c>
      <c r="G3324" s="6">
        <v>1</v>
      </c>
      <c r="H3324" s="15">
        <f ca="1" t="shared" si="904"/>
        <v>50</v>
      </c>
      <c r="I3324" s="15">
        <f ca="1" t="shared" si="905"/>
        <v>50</v>
      </c>
      <c r="J3324" s="16" t="str">
        <f t="shared" si="906"/>
        <v>purple</v>
      </c>
      <c r="K3324" s="109">
        <f ca="1" t="shared" si="907"/>
        <v>0.964506172839507</v>
      </c>
      <c r="L3324" s="6">
        <v>-0.1</v>
      </c>
      <c r="M3324" s="16" t="s">
        <v>1753</v>
      </c>
      <c r="N3324" s="30" t="b">
        <v>1</v>
      </c>
      <c r="O3324" s="15">
        <f ca="1" t="shared" si="908"/>
        <v>130208.333333334</v>
      </c>
      <c r="P3324" s="15">
        <f ca="1" t="shared" si="909"/>
        <v>150000</v>
      </c>
      <c r="Q3324" s="16">
        <f ca="1">_xlfn.FLOOR.MATH(P3324*(1+L3324),1000)</f>
        <v>135000</v>
      </c>
      <c r="R3324" s="6">
        <v>200</v>
      </c>
      <c r="S3324" s="15">
        <f ca="1" t="shared" si="910"/>
        <v>1.48148148148148</v>
      </c>
      <c r="T3324" s="15">
        <f ca="1" t="shared" si="911"/>
        <v>0</v>
      </c>
      <c r="U3324" s="15">
        <f ca="1" t="shared" si="912"/>
        <v>0</v>
      </c>
      <c r="V3324" s="15">
        <f ca="1" t="shared" si="913"/>
        <v>135000</v>
      </c>
      <c r="W3324" s="15">
        <f ca="1" t="shared" si="914"/>
        <v>4000</v>
      </c>
    </row>
    <row r="3325" s="15" customFormat="1" spans="2:23">
      <c r="B3325" s="16" t="s">
        <v>1817</v>
      </c>
      <c r="D3325" s="16" t="s">
        <v>803</v>
      </c>
      <c r="G3325" s="6">
        <v>1</v>
      </c>
      <c r="H3325" s="15">
        <f ca="1" t="shared" si="904"/>
        <v>110</v>
      </c>
      <c r="I3325" s="15">
        <f ca="1" t="shared" si="905"/>
        <v>110</v>
      </c>
      <c r="J3325" s="16" t="str">
        <f t="shared" si="906"/>
        <v>purple</v>
      </c>
      <c r="K3325" s="109">
        <f ca="1" t="shared" si="907"/>
        <v>0.964506172839507</v>
      </c>
      <c r="L3325" s="6">
        <v>-0.1</v>
      </c>
      <c r="M3325" s="16" t="s">
        <v>1760</v>
      </c>
      <c r="N3325" s="30" t="b">
        <v>1</v>
      </c>
      <c r="O3325" s="15">
        <f ca="1" t="shared" si="908"/>
        <v>286458.333333334</v>
      </c>
      <c r="P3325" s="15">
        <f ca="1" t="shared" si="909"/>
        <v>330000</v>
      </c>
      <c r="Q3325" s="16">
        <f ca="1">_xlfn.FLOOR.MATH(P3325*(1+L3325),1000)</f>
        <v>297000</v>
      </c>
      <c r="R3325" s="6">
        <v>200</v>
      </c>
      <c r="S3325" s="15">
        <f ca="1" t="shared" si="910"/>
        <v>3.25925925925926</v>
      </c>
      <c r="T3325" s="15">
        <f ca="1" t="shared" si="911"/>
        <v>0</v>
      </c>
      <c r="U3325" s="15">
        <f ca="1" t="shared" si="912"/>
        <v>0</v>
      </c>
      <c r="V3325" s="15">
        <f ca="1" t="shared" si="913"/>
        <v>297000</v>
      </c>
      <c r="W3325" s="15">
        <f ca="1" t="shared" si="914"/>
        <v>8800</v>
      </c>
    </row>
    <row r="3326" s="15" customFormat="1" spans="2:23">
      <c r="B3326" s="16" t="s">
        <v>1818</v>
      </c>
      <c r="D3326" s="16" t="s">
        <v>143</v>
      </c>
      <c r="G3326" s="6">
        <v>30</v>
      </c>
      <c r="H3326" s="15">
        <f ca="1" t="shared" si="904"/>
        <v>1</v>
      </c>
      <c r="I3326" s="15">
        <f ca="1" t="shared" si="905"/>
        <v>30</v>
      </c>
      <c r="J3326" s="16" t="str">
        <f t="shared" si="906"/>
        <v>purple</v>
      </c>
      <c r="K3326" s="109">
        <f ca="1" t="shared" si="907"/>
        <v>0.964506172839507</v>
      </c>
      <c r="L3326" s="6">
        <v>-0.1</v>
      </c>
      <c r="M3326" s="16" t="s">
        <v>1767</v>
      </c>
      <c r="N3326" s="30" t="b">
        <v>1</v>
      </c>
      <c r="O3326" s="15">
        <f ca="1" t="shared" si="908"/>
        <v>78125.0000000001</v>
      </c>
      <c r="P3326" s="15">
        <f ca="1" t="shared" si="909"/>
        <v>90000</v>
      </c>
      <c r="Q3326" s="16">
        <f ca="1">_xlfn.FLOOR.MATH(P3326*(1+L3326),1000)</f>
        <v>81000</v>
      </c>
      <c r="R3326" s="6">
        <v>100</v>
      </c>
      <c r="S3326" s="15">
        <f ca="1" t="shared" si="910"/>
        <v>0.444444444444444</v>
      </c>
      <c r="T3326" s="15">
        <f ca="1" t="shared" si="911"/>
        <v>0</v>
      </c>
      <c r="U3326" s="15">
        <f ca="1" t="shared" si="912"/>
        <v>0</v>
      </c>
      <c r="V3326" s="15">
        <f ca="1" t="shared" si="913"/>
        <v>81000</v>
      </c>
      <c r="W3326" s="15">
        <f ca="1" t="shared" si="914"/>
        <v>1200</v>
      </c>
    </row>
    <row r="3327" s="15" customFormat="1" spans="2:23">
      <c r="B3327" s="16" t="s">
        <v>1819</v>
      </c>
      <c r="D3327" s="16" t="s">
        <v>147</v>
      </c>
      <c r="G3327" s="6">
        <v>10</v>
      </c>
      <c r="H3327" s="15">
        <f ca="1" t="shared" si="904"/>
        <v>4</v>
      </c>
      <c r="I3327" s="15">
        <f ca="1" t="shared" si="905"/>
        <v>40</v>
      </c>
      <c r="J3327" s="16" t="str">
        <f t="shared" si="906"/>
        <v>purple</v>
      </c>
      <c r="K3327" s="109">
        <f ca="1" t="shared" si="907"/>
        <v>0.964506172839507</v>
      </c>
      <c r="L3327" s="6">
        <v>-0.1</v>
      </c>
      <c r="M3327" s="16" t="s">
        <v>1753</v>
      </c>
      <c r="N3327" s="30" t="b">
        <v>1</v>
      </c>
      <c r="O3327" s="15">
        <f ca="1" t="shared" si="908"/>
        <v>104166.666666667</v>
      </c>
      <c r="P3327" s="15">
        <f ca="1" t="shared" si="909"/>
        <v>120000</v>
      </c>
      <c r="Q3327" s="16">
        <f ca="1">_xlfn.FLOOR.MATH(P3327*(1+L3327),1000)</f>
        <v>108000</v>
      </c>
      <c r="R3327" s="6">
        <v>100</v>
      </c>
      <c r="S3327" s="15">
        <f ca="1" t="shared" si="910"/>
        <v>0.592592592592593</v>
      </c>
      <c r="T3327" s="15">
        <f ca="1" t="shared" si="911"/>
        <v>0</v>
      </c>
      <c r="U3327" s="15">
        <f ca="1" t="shared" si="912"/>
        <v>0</v>
      </c>
      <c r="V3327" s="15">
        <f ca="1" t="shared" si="913"/>
        <v>108000</v>
      </c>
      <c r="W3327" s="15">
        <f ca="1" t="shared" si="914"/>
        <v>1600</v>
      </c>
    </row>
    <row r="3328" s="15" customFormat="1" spans="2:23">
      <c r="B3328" s="16" t="s">
        <v>1820</v>
      </c>
      <c r="D3328" s="16" t="s">
        <v>154</v>
      </c>
      <c r="G3328" s="6">
        <v>2</v>
      </c>
      <c r="H3328" s="15">
        <f ca="1" t="shared" si="904"/>
        <v>20</v>
      </c>
      <c r="I3328" s="15">
        <f ca="1" t="shared" si="905"/>
        <v>40</v>
      </c>
      <c r="J3328" s="16" t="str">
        <f t="shared" si="906"/>
        <v>purple</v>
      </c>
      <c r="K3328" s="109">
        <f ca="1" t="shared" si="907"/>
        <v>0.964506172839507</v>
      </c>
      <c r="L3328" s="6">
        <v>-0.1</v>
      </c>
      <c r="M3328" s="16" t="s">
        <v>1760</v>
      </c>
      <c r="N3328" s="30" t="b">
        <v>1</v>
      </c>
      <c r="O3328" s="15">
        <f ca="1" t="shared" si="908"/>
        <v>104166.666666667</v>
      </c>
      <c r="P3328" s="15">
        <f ca="1" t="shared" si="909"/>
        <v>120000</v>
      </c>
      <c r="Q3328" s="16">
        <f ca="1">_xlfn.FLOOR.MATH(P3328*(1+L3328),1000)</f>
        <v>108000</v>
      </c>
      <c r="R3328" s="6">
        <v>100</v>
      </c>
      <c r="S3328" s="15">
        <f ca="1" t="shared" si="910"/>
        <v>0.592592592592593</v>
      </c>
      <c r="T3328" s="15">
        <f ca="1" t="shared" si="911"/>
        <v>0</v>
      </c>
      <c r="U3328" s="15">
        <f ca="1" t="shared" si="912"/>
        <v>0</v>
      </c>
      <c r="V3328" s="15">
        <f ca="1" t="shared" si="913"/>
        <v>108000</v>
      </c>
      <c r="W3328" s="15">
        <f ca="1" t="shared" si="914"/>
        <v>1600</v>
      </c>
    </row>
    <row r="3329" s="15" customFormat="1" spans="2:23">
      <c r="B3329" s="16" t="s">
        <v>1821</v>
      </c>
      <c r="D3329" s="16" t="s">
        <v>801</v>
      </c>
      <c r="G3329" s="6">
        <v>2</v>
      </c>
      <c r="H3329" s="15">
        <f ca="1" t="shared" si="904"/>
        <v>35</v>
      </c>
      <c r="I3329" s="15">
        <f ca="1" t="shared" si="905"/>
        <v>70</v>
      </c>
      <c r="J3329" s="16" t="str">
        <f t="shared" si="906"/>
        <v>purple</v>
      </c>
      <c r="K3329" s="109">
        <f ca="1" t="shared" si="907"/>
        <v>0.964506172839507</v>
      </c>
      <c r="L3329" s="6">
        <v>-0.1</v>
      </c>
      <c r="M3329" s="16" t="s">
        <v>1767</v>
      </c>
      <c r="N3329" s="30" t="b">
        <v>1</v>
      </c>
      <c r="O3329" s="15">
        <f ca="1" t="shared" si="908"/>
        <v>182291.666666667</v>
      </c>
      <c r="P3329" s="15">
        <f ca="1" t="shared" si="909"/>
        <v>210000</v>
      </c>
      <c r="Q3329" s="16">
        <f ca="1">_xlfn.FLOOR.MATH(P3329*(1+L3329),1000)</f>
        <v>189000</v>
      </c>
      <c r="R3329" s="6">
        <v>100</v>
      </c>
      <c r="S3329" s="15">
        <f ca="1" t="shared" si="910"/>
        <v>1.03703703703704</v>
      </c>
      <c r="T3329" s="15">
        <f ca="1" t="shared" si="911"/>
        <v>0</v>
      </c>
      <c r="U3329" s="15">
        <f ca="1" t="shared" si="912"/>
        <v>0</v>
      </c>
      <c r="V3329" s="15">
        <f ca="1" t="shared" si="913"/>
        <v>189000</v>
      </c>
      <c r="W3329" s="15">
        <f ca="1" t="shared" si="914"/>
        <v>2800</v>
      </c>
    </row>
    <row r="3330" s="15" customFormat="1" spans="2:23">
      <c r="B3330" s="16" t="s">
        <v>1822</v>
      </c>
      <c r="D3330" s="16" t="s">
        <v>802</v>
      </c>
      <c r="G3330" s="6">
        <v>2</v>
      </c>
      <c r="H3330" s="15">
        <f ca="1" t="shared" si="904"/>
        <v>50</v>
      </c>
      <c r="I3330" s="15">
        <f ca="1" t="shared" si="905"/>
        <v>100</v>
      </c>
      <c r="J3330" s="16" t="str">
        <f t="shared" si="906"/>
        <v>purple</v>
      </c>
      <c r="K3330" s="109">
        <f ca="1" t="shared" si="907"/>
        <v>0.964506172839507</v>
      </c>
      <c r="L3330" s="6">
        <v>-0.1</v>
      </c>
      <c r="M3330" s="16" t="s">
        <v>1753</v>
      </c>
      <c r="N3330" s="30" t="b">
        <v>1</v>
      </c>
      <c r="O3330" s="15">
        <f ca="1" t="shared" si="908"/>
        <v>260416.666666667</v>
      </c>
      <c r="P3330" s="15">
        <f ca="1" t="shared" si="909"/>
        <v>300000</v>
      </c>
      <c r="Q3330" s="16">
        <f ca="1">_xlfn.FLOOR.MATH(P3330*(1+L3330),1000)</f>
        <v>270000</v>
      </c>
      <c r="R3330" s="6">
        <v>100</v>
      </c>
      <c r="S3330" s="15">
        <f ca="1" t="shared" si="910"/>
        <v>1.48148148148148</v>
      </c>
      <c r="T3330" s="15">
        <f ca="1" t="shared" si="911"/>
        <v>0</v>
      </c>
      <c r="U3330" s="15">
        <f ca="1" t="shared" si="912"/>
        <v>0</v>
      </c>
      <c r="V3330" s="15">
        <f ca="1" t="shared" si="913"/>
        <v>270000</v>
      </c>
      <c r="W3330" s="15">
        <f ca="1" t="shared" si="914"/>
        <v>4000</v>
      </c>
    </row>
    <row r="3331" s="15" customFormat="1" spans="2:23">
      <c r="B3331" s="16" t="s">
        <v>1823</v>
      </c>
      <c r="D3331" s="16" t="s">
        <v>803</v>
      </c>
      <c r="G3331" s="6">
        <v>2</v>
      </c>
      <c r="H3331" s="15">
        <f ca="1" t="shared" si="904"/>
        <v>110</v>
      </c>
      <c r="I3331" s="15">
        <f ca="1" t="shared" si="905"/>
        <v>220</v>
      </c>
      <c r="J3331" s="16" t="str">
        <f t="shared" si="906"/>
        <v>purple</v>
      </c>
      <c r="K3331" s="109">
        <f ca="1" t="shared" si="907"/>
        <v>0.964506172839507</v>
      </c>
      <c r="L3331" s="6">
        <v>-0.1</v>
      </c>
      <c r="M3331" s="16" t="s">
        <v>1760</v>
      </c>
      <c r="N3331" s="30" t="b">
        <v>1</v>
      </c>
      <c r="O3331" s="15">
        <f ca="1" t="shared" si="908"/>
        <v>572916.666666667</v>
      </c>
      <c r="P3331" s="15">
        <f ca="1" t="shared" si="909"/>
        <v>660000</v>
      </c>
      <c r="Q3331" s="16">
        <f ca="1">_xlfn.FLOOR.MATH(P3331*(1+L3331),1000)</f>
        <v>594000</v>
      </c>
      <c r="R3331" s="6">
        <v>100</v>
      </c>
      <c r="S3331" s="15">
        <f ca="1" t="shared" si="910"/>
        <v>3.25925925925926</v>
      </c>
      <c r="T3331" s="15">
        <f ca="1" t="shared" si="911"/>
        <v>0</v>
      </c>
      <c r="U3331" s="15">
        <f ca="1" t="shared" si="912"/>
        <v>0</v>
      </c>
      <c r="V3331" s="15">
        <f ca="1" t="shared" si="913"/>
        <v>594000</v>
      </c>
      <c r="W3331" s="15">
        <f ca="1" t="shared" si="914"/>
        <v>8800</v>
      </c>
    </row>
    <row r="3332" spans="2:23">
      <c r="B3332" s="4" t="s">
        <v>1824</v>
      </c>
      <c r="D3332" s="4" t="s">
        <v>143</v>
      </c>
      <c r="G3332" s="6">
        <v>20</v>
      </c>
      <c r="H3332" s="1">
        <f ca="1" t="shared" si="904"/>
        <v>1</v>
      </c>
      <c r="I3332" s="1">
        <f ca="1" t="shared" si="905"/>
        <v>20</v>
      </c>
      <c r="J3332" s="4" t="str">
        <f t="shared" si="906"/>
        <v>purple</v>
      </c>
      <c r="K3332" s="50">
        <f ca="1" t="shared" si="907"/>
        <v>1.08506944444445</v>
      </c>
      <c r="L3332" s="6">
        <v>-0.2</v>
      </c>
      <c r="M3332" s="4" t="s">
        <v>1767</v>
      </c>
      <c r="N3332" s="30" t="b">
        <v>1</v>
      </c>
      <c r="O3332" s="1">
        <f ca="1" t="shared" si="908"/>
        <v>52083.3333333334</v>
      </c>
      <c r="P3332" s="1">
        <f ca="1" t="shared" si="909"/>
        <v>60000</v>
      </c>
      <c r="Q3332" s="4">
        <f ca="1">_xlfn.FLOOR.MATH(P3332*(1+L3332),1000)</f>
        <v>48000</v>
      </c>
      <c r="R3332" s="6">
        <v>50</v>
      </c>
      <c r="S3332" s="1">
        <f ca="1" t="shared" si="910"/>
        <v>0.148148148148148</v>
      </c>
      <c r="T3332" s="1">
        <f ca="1" t="shared" si="911"/>
        <v>0</v>
      </c>
      <c r="U3332" s="1">
        <f ca="1" t="shared" si="912"/>
        <v>0</v>
      </c>
      <c r="V3332" s="1">
        <f ca="1" t="shared" si="913"/>
        <v>48000</v>
      </c>
      <c r="W3332" s="1">
        <f ca="1" t="shared" si="914"/>
        <v>355.555555555556</v>
      </c>
    </row>
    <row r="3333" spans="2:23">
      <c r="B3333" s="4" t="s">
        <v>1825</v>
      </c>
      <c r="D3333" s="4" t="s">
        <v>147</v>
      </c>
      <c r="G3333" s="6">
        <v>5</v>
      </c>
      <c r="H3333" s="1">
        <f ca="1" t="shared" si="904"/>
        <v>4</v>
      </c>
      <c r="I3333" s="1">
        <f ca="1" t="shared" si="905"/>
        <v>20</v>
      </c>
      <c r="J3333" s="4" t="str">
        <f t="shared" si="906"/>
        <v>purple</v>
      </c>
      <c r="K3333" s="50">
        <f ca="1" t="shared" si="907"/>
        <v>1.08506944444445</v>
      </c>
      <c r="L3333" s="6">
        <v>-0.2</v>
      </c>
      <c r="M3333" s="4" t="s">
        <v>1753</v>
      </c>
      <c r="N3333" s="30" t="b">
        <v>1</v>
      </c>
      <c r="O3333" s="1">
        <f ca="1" t="shared" si="908"/>
        <v>52083.3333333334</v>
      </c>
      <c r="P3333" s="1">
        <f ca="1" t="shared" si="909"/>
        <v>60000</v>
      </c>
      <c r="Q3333" s="4">
        <f ca="1">_xlfn.FLOOR.MATH(P3333*(1+L3333),1000)</f>
        <v>48000</v>
      </c>
      <c r="R3333" s="6">
        <v>50</v>
      </c>
      <c r="S3333" s="1">
        <f ca="1" t="shared" si="910"/>
        <v>0.148148148148148</v>
      </c>
      <c r="T3333" s="1">
        <f ca="1" t="shared" si="911"/>
        <v>0</v>
      </c>
      <c r="U3333" s="1">
        <f ca="1" t="shared" si="912"/>
        <v>0</v>
      </c>
      <c r="V3333" s="1">
        <f ca="1" t="shared" si="913"/>
        <v>48000</v>
      </c>
      <c r="W3333" s="1">
        <f ca="1" t="shared" si="914"/>
        <v>355.555555555556</v>
      </c>
    </row>
    <row r="3334" spans="2:23">
      <c r="B3334" s="4" t="s">
        <v>1826</v>
      </c>
      <c r="D3334" s="4" t="s">
        <v>154</v>
      </c>
      <c r="G3334" s="6">
        <v>1</v>
      </c>
      <c r="H3334" s="1">
        <f ca="1" t="shared" si="904"/>
        <v>20</v>
      </c>
      <c r="I3334" s="1">
        <f ca="1" t="shared" si="905"/>
        <v>20</v>
      </c>
      <c r="J3334" s="4" t="str">
        <f t="shared" si="906"/>
        <v>purple</v>
      </c>
      <c r="K3334" s="50">
        <f ca="1" t="shared" si="907"/>
        <v>1.08506944444445</v>
      </c>
      <c r="L3334" s="6">
        <v>-0.2</v>
      </c>
      <c r="M3334" s="4" t="s">
        <v>1760</v>
      </c>
      <c r="N3334" s="30" t="b">
        <v>1</v>
      </c>
      <c r="O3334" s="1">
        <f ca="1" t="shared" si="908"/>
        <v>52083.3333333334</v>
      </c>
      <c r="P3334" s="1">
        <f ca="1" t="shared" si="909"/>
        <v>60000</v>
      </c>
      <c r="Q3334" s="4">
        <f ca="1">_xlfn.FLOOR.MATH(P3334*(1+L3334),1000)</f>
        <v>48000</v>
      </c>
      <c r="R3334" s="6">
        <v>50</v>
      </c>
      <c r="S3334" s="1">
        <f ca="1" t="shared" si="910"/>
        <v>0.148148148148148</v>
      </c>
      <c r="T3334" s="1">
        <f ca="1" t="shared" si="911"/>
        <v>0</v>
      </c>
      <c r="U3334" s="1">
        <f ca="1" t="shared" si="912"/>
        <v>0</v>
      </c>
      <c r="V3334" s="1">
        <f ca="1" t="shared" si="913"/>
        <v>48000</v>
      </c>
      <c r="W3334" s="1">
        <f ca="1" t="shared" si="914"/>
        <v>355.555555555556</v>
      </c>
    </row>
    <row r="3335" spans="2:23">
      <c r="B3335" s="4" t="s">
        <v>1827</v>
      </c>
      <c r="D3335" s="4" t="s">
        <v>801</v>
      </c>
      <c r="G3335" s="6">
        <v>1</v>
      </c>
      <c r="H3335" s="1">
        <f ca="1" t="shared" si="904"/>
        <v>35</v>
      </c>
      <c r="I3335" s="1">
        <f ca="1" t="shared" si="905"/>
        <v>35</v>
      </c>
      <c r="J3335" s="4" t="str">
        <f t="shared" si="906"/>
        <v>purple</v>
      </c>
      <c r="K3335" s="50">
        <f ca="1" t="shared" si="907"/>
        <v>1.08506944444445</v>
      </c>
      <c r="L3335" s="6">
        <v>-0.2</v>
      </c>
      <c r="M3335" s="4" t="s">
        <v>1767</v>
      </c>
      <c r="N3335" s="30" t="b">
        <v>1</v>
      </c>
      <c r="O3335" s="1">
        <f ca="1" t="shared" si="908"/>
        <v>91145.8333333335</v>
      </c>
      <c r="P3335" s="1">
        <f ca="1" t="shared" si="909"/>
        <v>105000</v>
      </c>
      <c r="Q3335" s="4">
        <f ca="1">_xlfn.FLOOR.MATH(P3335*(1+L3335),1000)</f>
        <v>84000</v>
      </c>
      <c r="R3335" s="6">
        <v>50</v>
      </c>
      <c r="S3335" s="1">
        <f ca="1" t="shared" si="910"/>
        <v>0.259259259259259</v>
      </c>
      <c r="T3335" s="1">
        <f ca="1" t="shared" si="911"/>
        <v>0</v>
      </c>
      <c r="U3335" s="1">
        <f ca="1" t="shared" si="912"/>
        <v>0</v>
      </c>
      <c r="V3335" s="1">
        <f ca="1" t="shared" si="913"/>
        <v>84000</v>
      </c>
      <c r="W3335" s="1">
        <f ca="1" t="shared" si="914"/>
        <v>622.222222222222</v>
      </c>
    </row>
    <row r="3336" spans="2:23">
      <c r="B3336" s="4" t="s">
        <v>1828</v>
      </c>
      <c r="D3336" s="4" t="s">
        <v>802</v>
      </c>
      <c r="G3336" s="6">
        <v>1</v>
      </c>
      <c r="H3336" s="1">
        <f ca="1" t="shared" si="904"/>
        <v>50</v>
      </c>
      <c r="I3336" s="1">
        <f ca="1" t="shared" si="905"/>
        <v>50</v>
      </c>
      <c r="J3336" s="4" t="str">
        <f t="shared" si="906"/>
        <v>purple</v>
      </c>
      <c r="K3336" s="50">
        <f ca="1" t="shared" si="907"/>
        <v>1.08506944444445</v>
      </c>
      <c r="L3336" s="6">
        <v>-0.2</v>
      </c>
      <c r="M3336" s="4" t="s">
        <v>1753</v>
      </c>
      <c r="N3336" s="30" t="b">
        <v>1</v>
      </c>
      <c r="O3336" s="1">
        <f ca="1" t="shared" si="908"/>
        <v>130208.333333334</v>
      </c>
      <c r="P3336" s="1">
        <f ca="1" t="shared" si="909"/>
        <v>150000</v>
      </c>
      <c r="Q3336" s="4">
        <f ca="1">_xlfn.FLOOR.MATH(P3336*(1+L3336),1000)</f>
        <v>120000</v>
      </c>
      <c r="R3336" s="6">
        <v>50</v>
      </c>
      <c r="S3336" s="1">
        <f ca="1" t="shared" si="910"/>
        <v>0.37037037037037</v>
      </c>
      <c r="T3336" s="1">
        <f ca="1" t="shared" si="911"/>
        <v>0</v>
      </c>
      <c r="U3336" s="1">
        <f ca="1" t="shared" si="912"/>
        <v>0</v>
      </c>
      <c r="V3336" s="1">
        <f ca="1" t="shared" si="913"/>
        <v>120000</v>
      </c>
      <c r="W3336" s="1">
        <f ca="1" t="shared" si="914"/>
        <v>888.888888888889</v>
      </c>
    </row>
    <row r="3337" spans="2:23">
      <c r="B3337" s="4" t="s">
        <v>1829</v>
      </c>
      <c r="D3337" s="4" t="s">
        <v>803</v>
      </c>
      <c r="G3337" s="6">
        <v>1</v>
      </c>
      <c r="H3337" s="1">
        <f ca="1" t="shared" si="904"/>
        <v>110</v>
      </c>
      <c r="I3337" s="1">
        <f ca="1" t="shared" si="905"/>
        <v>110</v>
      </c>
      <c r="J3337" s="4" t="str">
        <f t="shared" si="906"/>
        <v>purple</v>
      </c>
      <c r="K3337" s="50">
        <f ca="1" t="shared" si="907"/>
        <v>1.08506944444445</v>
      </c>
      <c r="L3337" s="6">
        <v>-0.2</v>
      </c>
      <c r="M3337" s="4" t="s">
        <v>1760</v>
      </c>
      <c r="N3337" s="30" t="b">
        <v>1</v>
      </c>
      <c r="O3337" s="1">
        <f ca="1" t="shared" si="908"/>
        <v>286458.333333334</v>
      </c>
      <c r="P3337" s="1">
        <f ca="1" t="shared" si="909"/>
        <v>330000</v>
      </c>
      <c r="Q3337" s="4">
        <f ca="1">_xlfn.FLOOR.MATH(P3337*(1+L3337),1000)</f>
        <v>264000</v>
      </c>
      <c r="R3337" s="6">
        <v>50</v>
      </c>
      <c r="S3337" s="1">
        <f ca="1" t="shared" si="910"/>
        <v>0.814814814814815</v>
      </c>
      <c r="T3337" s="1">
        <f ca="1" t="shared" si="911"/>
        <v>0</v>
      </c>
      <c r="U3337" s="1">
        <f ca="1" t="shared" si="912"/>
        <v>0</v>
      </c>
      <c r="V3337" s="1">
        <f ca="1" t="shared" si="913"/>
        <v>264000</v>
      </c>
      <c r="W3337" s="1">
        <f ca="1" t="shared" si="914"/>
        <v>1955.55555555556</v>
      </c>
    </row>
    <row r="3338" spans="2:23">
      <c r="B3338" s="4" t="s">
        <v>1830</v>
      </c>
      <c r="D3338" s="4" t="s">
        <v>143</v>
      </c>
      <c r="G3338" s="6">
        <v>30</v>
      </c>
      <c r="H3338" s="1">
        <f ca="1" t="shared" si="904"/>
        <v>1</v>
      </c>
      <c r="I3338" s="1">
        <f ca="1" t="shared" si="905"/>
        <v>30</v>
      </c>
      <c r="J3338" s="4" t="str">
        <f t="shared" si="906"/>
        <v>purple</v>
      </c>
      <c r="K3338" s="50">
        <f ca="1" t="shared" si="907"/>
        <v>1.08506944444445</v>
      </c>
      <c r="L3338" s="6">
        <v>-0.2</v>
      </c>
      <c r="M3338" s="4" t="s">
        <v>1767</v>
      </c>
      <c r="N3338" s="30" t="b">
        <v>1</v>
      </c>
      <c r="O3338" s="1">
        <f ca="1" t="shared" si="908"/>
        <v>78125.0000000001</v>
      </c>
      <c r="P3338" s="1">
        <f ca="1" t="shared" si="909"/>
        <v>90000</v>
      </c>
      <c r="Q3338" s="4">
        <f ca="1">_xlfn.FLOOR.MATH(P3338*(1+L3338),1000)</f>
        <v>72000</v>
      </c>
      <c r="R3338" s="6">
        <v>25</v>
      </c>
      <c r="S3338" s="1">
        <f ca="1" t="shared" si="910"/>
        <v>0.111111111111111</v>
      </c>
      <c r="T3338" s="1">
        <f ca="1" t="shared" si="911"/>
        <v>0</v>
      </c>
      <c r="U3338" s="1">
        <f ca="1" t="shared" si="912"/>
        <v>0</v>
      </c>
      <c r="V3338" s="1">
        <f ca="1" t="shared" si="913"/>
        <v>72000</v>
      </c>
      <c r="W3338" s="1">
        <f ca="1" t="shared" si="914"/>
        <v>266.666666666667</v>
      </c>
    </row>
    <row r="3339" spans="2:23">
      <c r="B3339" s="4" t="s">
        <v>1831</v>
      </c>
      <c r="D3339" s="4" t="s">
        <v>147</v>
      </c>
      <c r="G3339" s="6">
        <v>10</v>
      </c>
      <c r="H3339" s="1">
        <f ca="1" t="shared" si="904"/>
        <v>4</v>
      </c>
      <c r="I3339" s="1">
        <f ca="1" t="shared" si="905"/>
        <v>40</v>
      </c>
      <c r="J3339" s="4" t="str">
        <f t="shared" si="906"/>
        <v>purple</v>
      </c>
      <c r="K3339" s="50">
        <f ca="1" t="shared" si="907"/>
        <v>1.08506944444445</v>
      </c>
      <c r="L3339" s="6">
        <v>-0.2</v>
      </c>
      <c r="M3339" s="4" t="s">
        <v>1753</v>
      </c>
      <c r="N3339" s="30" t="b">
        <v>1</v>
      </c>
      <c r="O3339" s="1">
        <f ca="1" t="shared" si="908"/>
        <v>104166.666666667</v>
      </c>
      <c r="P3339" s="1">
        <f ca="1" t="shared" si="909"/>
        <v>120000</v>
      </c>
      <c r="Q3339" s="4">
        <f ca="1">_xlfn.FLOOR.MATH(P3339*(1+L3339),1000)</f>
        <v>96000</v>
      </c>
      <c r="R3339" s="6">
        <v>25</v>
      </c>
      <c r="S3339" s="1">
        <f ca="1" t="shared" si="910"/>
        <v>0.148148148148148</v>
      </c>
      <c r="T3339" s="1">
        <f ca="1" t="shared" si="911"/>
        <v>0</v>
      </c>
      <c r="U3339" s="1">
        <f ca="1" t="shared" si="912"/>
        <v>0</v>
      </c>
      <c r="V3339" s="1">
        <f ca="1" t="shared" si="913"/>
        <v>96000</v>
      </c>
      <c r="W3339" s="1">
        <f ca="1" t="shared" si="914"/>
        <v>355.555555555556</v>
      </c>
    </row>
    <row r="3340" spans="2:23">
      <c r="B3340" s="4" t="s">
        <v>1832</v>
      </c>
      <c r="D3340" s="4" t="s">
        <v>154</v>
      </c>
      <c r="G3340" s="6">
        <v>2</v>
      </c>
      <c r="H3340" s="1">
        <f ca="1" t="shared" si="904"/>
        <v>20</v>
      </c>
      <c r="I3340" s="1">
        <f ca="1" t="shared" si="905"/>
        <v>40</v>
      </c>
      <c r="J3340" s="4" t="str">
        <f t="shared" si="906"/>
        <v>purple</v>
      </c>
      <c r="K3340" s="50">
        <f ca="1" t="shared" si="907"/>
        <v>1.08506944444445</v>
      </c>
      <c r="L3340" s="6">
        <v>-0.2</v>
      </c>
      <c r="M3340" s="4" t="s">
        <v>1760</v>
      </c>
      <c r="N3340" s="30" t="b">
        <v>1</v>
      </c>
      <c r="O3340" s="1">
        <f ca="1" t="shared" si="908"/>
        <v>104166.666666667</v>
      </c>
      <c r="P3340" s="1">
        <f ca="1" t="shared" si="909"/>
        <v>120000</v>
      </c>
      <c r="Q3340" s="4">
        <f ca="1">_xlfn.FLOOR.MATH(P3340*(1+L3340),1000)</f>
        <v>96000</v>
      </c>
      <c r="R3340" s="6">
        <v>25</v>
      </c>
      <c r="S3340" s="1">
        <f ca="1" t="shared" si="910"/>
        <v>0.148148148148148</v>
      </c>
      <c r="T3340" s="1">
        <f ca="1" t="shared" si="911"/>
        <v>0</v>
      </c>
      <c r="U3340" s="1">
        <f ca="1" t="shared" si="912"/>
        <v>0</v>
      </c>
      <c r="V3340" s="1">
        <f ca="1" t="shared" si="913"/>
        <v>96000</v>
      </c>
      <c r="W3340" s="1">
        <f ca="1" t="shared" si="914"/>
        <v>355.555555555556</v>
      </c>
    </row>
    <row r="3341" spans="2:23">
      <c r="B3341" s="4" t="s">
        <v>1833</v>
      </c>
      <c r="D3341" s="4" t="s">
        <v>801</v>
      </c>
      <c r="G3341" s="6">
        <v>2</v>
      </c>
      <c r="H3341" s="1">
        <f ca="1" t="shared" si="904"/>
        <v>35</v>
      </c>
      <c r="I3341" s="1">
        <f ca="1" t="shared" si="905"/>
        <v>70</v>
      </c>
      <c r="J3341" s="4" t="str">
        <f t="shared" si="906"/>
        <v>purple</v>
      </c>
      <c r="K3341" s="50">
        <f ca="1" t="shared" si="907"/>
        <v>1.08506944444445</v>
      </c>
      <c r="L3341" s="6">
        <v>-0.2</v>
      </c>
      <c r="M3341" s="4" t="s">
        <v>1767</v>
      </c>
      <c r="N3341" s="30" t="b">
        <v>1</v>
      </c>
      <c r="O3341" s="1">
        <f ca="1" t="shared" si="908"/>
        <v>182291.666666667</v>
      </c>
      <c r="P3341" s="1">
        <f ca="1" t="shared" si="909"/>
        <v>210000</v>
      </c>
      <c r="Q3341" s="4">
        <f ca="1">_xlfn.FLOOR.MATH(P3341*(1+L3341),1000)</f>
        <v>168000</v>
      </c>
      <c r="R3341" s="6">
        <v>25</v>
      </c>
      <c r="S3341" s="1">
        <f ca="1" t="shared" si="910"/>
        <v>0.259259259259259</v>
      </c>
      <c r="T3341" s="1">
        <f ca="1" t="shared" si="911"/>
        <v>0</v>
      </c>
      <c r="U3341" s="1">
        <f ca="1" t="shared" si="912"/>
        <v>0</v>
      </c>
      <c r="V3341" s="1">
        <f ca="1" t="shared" si="913"/>
        <v>168000</v>
      </c>
      <c r="W3341" s="1">
        <f ca="1" t="shared" si="914"/>
        <v>622.222222222222</v>
      </c>
    </row>
    <row r="3342" spans="2:23">
      <c r="B3342" s="4" t="s">
        <v>1834</v>
      </c>
      <c r="D3342" s="4" t="s">
        <v>802</v>
      </c>
      <c r="G3342" s="6">
        <v>2</v>
      </c>
      <c r="H3342" s="1">
        <f ca="1" t="shared" si="904"/>
        <v>50</v>
      </c>
      <c r="I3342" s="1">
        <f ca="1" t="shared" si="905"/>
        <v>100</v>
      </c>
      <c r="J3342" s="4" t="str">
        <f t="shared" si="906"/>
        <v>purple</v>
      </c>
      <c r="K3342" s="50">
        <f ca="1" t="shared" si="907"/>
        <v>1.08506944444445</v>
      </c>
      <c r="L3342" s="6">
        <v>-0.2</v>
      </c>
      <c r="M3342" s="4" t="s">
        <v>1753</v>
      </c>
      <c r="N3342" s="30" t="b">
        <v>1</v>
      </c>
      <c r="O3342" s="1">
        <f ca="1" t="shared" si="908"/>
        <v>260416.666666667</v>
      </c>
      <c r="P3342" s="1">
        <f ca="1" t="shared" si="909"/>
        <v>300000</v>
      </c>
      <c r="Q3342" s="4">
        <f ca="1">_xlfn.FLOOR.MATH(P3342*(1+L3342),1000)</f>
        <v>240000</v>
      </c>
      <c r="R3342" s="6">
        <v>25</v>
      </c>
      <c r="S3342" s="1">
        <f ca="1" t="shared" si="910"/>
        <v>0.37037037037037</v>
      </c>
      <c r="T3342" s="1">
        <f ca="1" t="shared" si="911"/>
        <v>0</v>
      </c>
      <c r="U3342" s="1">
        <f ca="1" t="shared" si="912"/>
        <v>0</v>
      </c>
      <c r="V3342" s="1">
        <f ca="1" t="shared" si="913"/>
        <v>240000</v>
      </c>
      <c r="W3342" s="1">
        <f ca="1" t="shared" si="914"/>
        <v>888.888888888889</v>
      </c>
    </row>
    <row r="3343" spans="2:23">
      <c r="B3343" s="4" t="s">
        <v>1835</v>
      </c>
      <c r="D3343" s="4" t="s">
        <v>803</v>
      </c>
      <c r="G3343" s="6">
        <v>2</v>
      </c>
      <c r="H3343" s="1">
        <f ca="1" t="shared" si="904"/>
        <v>110</v>
      </c>
      <c r="I3343" s="1">
        <f ca="1" t="shared" si="905"/>
        <v>220</v>
      </c>
      <c r="J3343" s="4" t="str">
        <f t="shared" si="906"/>
        <v>purple</v>
      </c>
      <c r="K3343" s="50">
        <f ca="1" t="shared" si="907"/>
        <v>1.08506944444445</v>
      </c>
      <c r="L3343" s="6">
        <v>-0.2</v>
      </c>
      <c r="M3343" s="4" t="s">
        <v>1760</v>
      </c>
      <c r="N3343" s="30" t="b">
        <v>1</v>
      </c>
      <c r="O3343" s="1">
        <f ca="1" t="shared" si="908"/>
        <v>572916.666666667</v>
      </c>
      <c r="P3343" s="1">
        <f ca="1" t="shared" si="909"/>
        <v>660000</v>
      </c>
      <c r="Q3343" s="4">
        <f ca="1">_xlfn.FLOOR.MATH(P3343*(1+L3343),1000)</f>
        <v>528000</v>
      </c>
      <c r="R3343" s="6">
        <v>25</v>
      </c>
      <c r="S3343" s="1">
        <f ca="1" t="shared" si="910"/>
        <v>0.814814814814815</v>
      </c>
      <c r="T3343" s="1">
        <f ca="1" t="shared" si="911"/>
        <v>0</v>
      </c>
      <c r="U3343" s="1">
        <f ca="1" t="shared" si="912"/>
        <v>0</v>
      </c>
      <c r="V3343" s="1">
        <f ca="1" t="shared" si="913"/>
        <v>528000</v>
      </c>
      <c r="W3343" s="1">
        <f ca="1" t="shared" si="914"/>
        <v>1955.55555555556</v>
      </c>
    </row>
    <row r="3344" s="15" customFormat="1" spans="2:23">
      <c r="B3344" s="16" t="s">
        <v>1836</v>
      </c>
      <c r="D3344" s="16" t="s">
        <v>143</v>
      </c>
      <c r="G3344" s="6">
        <v>20</v>
      </c>
      <c r="H3344" s="15">
        <f ca="1" t="shared" si="904"/>
        <v>1</v>
      </c>
      <c r="I3344" s="15">
        <f ca="1" t="shared" si="905"/>
        <v>20</v>
      </c>
      <c r="J3344" s="16" t="str">
        <f t="shared" si="906"/>
        <v>yellow</v>
      </c>
      <c r="K3344" s="109">
        <f ca="1" t="shared" si="907"/>
        <v>0.868055555555553</v>
      </c>
      <c r="L3344" s="6">
        <v>-0.5</v>
      </c>
      <c r="M3344" s="16" t="s">
        <v>1785</v>
      </c>
      <c r="N3344" s="30" t="b">
        <v>0</v>
      </c>
      <c r="O3344" s="15">
        <f ca="1" t="shared" si="908"/>
        <v>26.0416666666666</v>
      </c>
      <c r="P3344" s="15">
        <f ca="1" t="shared" si="909"/>
        <v>60</v>
      </c>
      <c r="Q3344" s="16">
        <f ca="1">_xlfn.FLOOR.MATH(P3344*(1+L3344))</f>
        <v>30</v>
      </c>
      <c r="R3344" s="6">
        <v>400</v>
      </c>
      <c r="S3344" s="15">
        <f ca="1" t="shared" si="910"/>
        <v>1.18518518518519</v>
      </c>
      <c r="T3344" s="15">
        <f ca="1" t="shared" ref="T3344:T3367" si="915">IF(M3344="l_coin",Q3344,0)</f>
        <v>30</v>
      </c>
      <c r="U3344" s="15">
        <f ca="1" t="shared" ref="U3344:U3367" si="916">T3344*R3344/$R$3368</f>
        <v>1.77777777777778</v>
      </c>
      <c r="V3344" s="15">
        <f ca="1" t="shared" ref="V3344:V3367" si="917">IF(M3344="l_coin",0,Q3344)</f>
        <v>0</v>
      </c>
      <c r="W3344" s="15">
        <f ca="1" t="shared" ref="W3344:W3367" si="918">V3344*R3344/$R$3368</f>
        <v>0</v>
      </c>
    </row>
    <row r="3345" s="15" customFormat="1" spans="2:23">
      <c r="B3345" s="16" t="s">
        <v>1837</v>
      </c>
      <c r="D3345" s="16" t="s">
        <v>147</v>
      </c>
      <c r="G3345" s="6">
        <v>5</v>
      </c>
      <c r="H3345" s="15">
        <f ca="1" t="shared" si="904"/>
        <v>4</v>
      </c>
      <c r="I3345" s="15">
        <f ca="1" t="shared" si="905"/>
        <v>20</v>
      </c>
      <c r="J3345" s="16" t="str">
        <f t="shared" si="906"/>
        <v>yellow</v>
      </c>
      <c r="K3345" s="109">
        <f ca="1" t="shared" si="907"/>
        <v>0.868055555555553</v>
      </c>
      <c r="L3345" s="6">
        <v>-0.5</v>
      </c>
      <c r="M3345" s="16" t="s">
        <v>1785</v>
      </c>
      <c r="N3345" s="30" t="b">
        <v>0</v>
      </c>
      <c r="O3345" s="15">
        <f ca="1" t="shared" si="908"/>
        <v>26.0416666666666</v>
      </c>
      <c r="P3345" s="15">
        <f ca="1" t="shared" si="909"/>
        <v>60</v>
      </c>
      <c r="Q3345" s="16">
        <f ca="1">_xlfn.FLOOR.MATH(P3345*(1+L3345))</f>
        <v>30</v>
      </c>
      <c r="R3345" s="6">
        <v>400</v>
      </c>
      <c r="S3345" s="15">
        <f ca="1" t="shared" si="910"/>
        <v>1.18518518518519</v>
      </c>
      <c r="T3345" s="15">
        <f ca="1" t="shared" si="915"/>
        <v>30</v>
      </c>
      <c r="U3345" s="15">
        <f ca="1" t="shared" si="916"/>
        <v>1.77777777777778</v>
      </c>
      <c r="V3345" s="15">
        <f ca="1" t="shared" si="917"/>
        <v>0</v>
      </c>
      <c r="W3345" s="15">
        <f ca="1" t="shared" si="918"/>
        <v>0</v>
      </c>
    </row>
    <row r="3346" s="15" customFormat="1" spans="2:23">
      <c r="B3346" s="16" t="s">
        <v>1838</v>
      </c>
      <c r="D3346" s="16" t="s">
        <v>154</v>
      </c>
      <c r="G3346" s="6">
        <v>1</v>
      </c>
      <c r="H3346" s="15">
        <f ca="1" t="shared" si="904"/>
        <v>20</v>
      </c>
      <c r="I3346" s="15">
        <f ca="1" t="shared" si="905"/>
        <v>20</v>
      </c>
      <c r="J3346" s="16" t="str">
        <f t="shared" si="906"/>
        <v>yellow</v>
      </c>
      <c r="K3346" s="109">
        <f ca="1" t="shared" si="907"/>
        <v>0.868055555555553</v>
      </c>
      <c r="L3346" s="6">
        <v>-0.5</v>
      </c>
      <c r="M3346" s="16" t="s">
        <v>1785</v>
      </c>
      <c r="N3346" s="30" t="b">
        <v>0</v>
      </c>
      <c r="O3346" s="15">
        <f ca="1" t="shared" si="908"/>
        <v>26.0416666666666</v>
      </c>
      <c r="P3346" s="15">
        <f ca="1" t="shared" si="909"/>
        <v>60</v>
      </c>
      <c r="Q3346" s="16">
        <f ca="1">_xlfn.FLOOR.MATH(P3346*(1+L3346))</f>
        <v>30</v>
      </c>
      <c r="R3346" s="6">
        <v>400</v>
      </c>
      <c r="S3346" s="15">
        <f ca="1" t="shared" si="910"/>
        <v>1.18518518518519</v>
      </c>
      <c r="T3346" s="15">
        <f ca="1" t="shared" si="915"/>
        <v>30</v>
      </c>
      <c r="U3346" s="15">
        <f ca="1" t="shared" si="916"/>
        <v>1.77777777777778</v>
      </c>
      <c r="V3346" s="15">
        <f ca="1" t="shared" si="917"/>
        <v>0</v>
      </c>
      <c r="W3346" s="15">
        <f ca="1" t="shared" si="918"/>
        <v>0</v>
      </c>
    </row>
    <row r="3347" s="15" customFormat="1" spans="2:23">
      <c r="B3347" s="16" t="s">
        <v>1839</v>
      </c>
      <c r="D3347" s="16" t="s">
        <v>801</v>
      </c>
      <c r="G3347" s="6">
        <v>1</v>
      </c>
      <c r="H3347" s="15">
        <f ca="1" t="shared" si="904"/>
        <v>35</v>
      </c>
      <c r="I3347" s="15">
        <f ca="1" t="shared" si="905"/>
        <v>35</v>
      </c>
      <c r="J3347" s="16" t="str">
        <f t="shared" si="906"/>
        <v>yellow</v>
      </c>
      <c r="K3347" s="109">
        <f ca="1" t="shared" si="907"/>
        <v>0.876402243589741</v>
      </c>
      <c r="L3347" s="6">
        <v>-0.5</v>
      </c>
      <c r="M3347" s="16" t="s">
        <v>1785</v>
      </c>
      <c r="N3347" s="30" t="b">
        <v>0</v>
      </c>
      <c r="O3347" s="15">
        <f ca="1" t="shared" si="908"/>
        <v>45.5729166666666</v>
      </c>
      <c r="P3347" s="15">
        <f ca="1" t="shared" si="909"/>
        <v>105</v>
      </c>
      <c r="Q3347" s="16">
        <f ca="1">_xlfn.FLOOR.MATH(P3347*(1+L3347))</f>
        <v>52</v>
      </c>
      <c r="R3347" s="6">
        <v>400</v>
      </c>
      <c r="S3347" s="15">
        <f ca="1" t="shared" si="910"/>
        <v>2.07407407407407</v>
      </c>
      <c r="T3347" s="15">
        <f ca="1" t="shared" si="915"/>
        <v>52</v>
      </c>
      <c r="U3347" s="15">
        <f ca="1" t="shared" si="916"/>
        <v>3.08148148148148</v>
      </c>
      <c r="V3347" s="15">
        <f ca="1" t="shared" si="917"/>
        <v>0</v>
      </c>
      <c r="W3347" s="15">
        <f ca="1" t="shared" si="918"/>
        <v>0</v>
      </c>
    </row>
    <row r="3348" s="15" customFormat="1" spans="2:23">
      <c r="B3348" s="16" t="s">
        <v>1840</v>
      </c>
      <c r="D3348" s="16" t="s">
        <v>802</v>
      </c>
      <c r="G3348" s="6">
        <v>1</v>
      </c>
      <c r="H3348" s="15">
        <f ca="1" t="shared" si="904"/>
        <v>50</v>
      </c>
      <c r="I3348" s="15">
        <f ca="1" t="shared" si="905"/>
        <v>50</v>
      </c>
      <c r="J3348" s="16" t="str">
        <f t="shared" si="906"/>
        <v>yellow</v>
      </c>
      <c r="K3348" s="109">
        <f ca="1" t="shared" si="907"/>
        <v>0.868055555555553</v>
      </c>
      <c r="L3348" s="6">
        <v>-0.5</v>
      </c>
      <c r="M3348" s="16" t="s">
        <v>1785</v>
      </c>
      <c r="N3348" s="30" t="b">
        <v>0</v>
      </c>
      <c r="O3348" s="15">
        <f ca="1" t="shared" si="908"/>
        <v>65.1041666666665</v>
      </c>
      <c r="P3348" s="15">
        <f ca="1" t="shared" si="909"/>
        <v>150</v>
      </c>
      <c r="Q3348" s="16">
        <f ca="1">_xlfn.FLOOR.MATH(P3348*(1+L3348))</f>
        <v>75</v>
      </c>
      <c r="R3348" s="6">
        <v>400</v>
      </c>
      <c r="S3348" s="15">
        <f ca="1" t="shared" si="910"/>
        <v>2.96296296296296</v>
      </c>
      <c r="T3348" s="15">
        <f ca="1" t="shared" si="915"/>
        <v>75</v>
      </c>
      <c r="U3348" s="15">
        <f ca="1" t="shared" si="916"/>
        <v>4.44444444444444</v>
      </c>
      <c r="V3348" s="15">
        <f ca="1" t="shared" si="917"/>
        <v>0</v>
      </c>
      <c r="W3348" s="15">
        <f ca="1" t="shared" si="918"/>
        <v>0</v>
      </c>
    </row>
    <row r="3349" s="15" customFormat="1" spans="2:23">
      <c r="B3349" s="16" t="s">
        <v>1841</v>
      </c>
      <c r="D3349" s="16" t="s">
        <v>803</v>
      </c>
      <c r="G3349" s="6">
        <v>1</v>
      </c>
      <c r="H3349" s="15">
        <f ca="1" t="shared" si="904"/>
        <v>110</v>
      </c>
      <c r="I3349" s="15">
        <f ca="1" t="shared" si="905"/>
        <v>110</v>
      </c>
      <c r="J3349" s="16" t="str">
        <f t="shared" si="906"/>
        <v>yellow</v>
      </c>
      <c r="K3349" s="109">
        <f ca="1" t="shared" si="907"/>
        <v>0.868055555555553</v>
      </c>
      <c r="L3349" s="6">
        <v>-0.5</v>
      </c>
      <c r="M3349" s="16" t="s">
        <v>1785</v>
      </c>
      <c r="N3349" s="30" t="b">
        <v>0</v>
      </c>
      <c r="O3349" s="15">
        <f ca="1" t="shared" si="908"/>
        <v>143.229166666666</v>
      </c>
      <c r="P3349" s="15">
        <f ca="1" t="shared" si="909"/>
        <v>330</v>
      </c>
      <c r="Q3349" s="16">
        <f ca="1">_xlfn.FLOOR.MATH(P3349*(1+L3349))</f>
        <v>165</v>
      </c>
      <c r="R3349" s="6">
        <v>400</v>
      </c>
      <c r="S3349" s="15">
        <f ca="1" t="shared" si="910"/>
        <v>6.51851851851852</v>
      </c>
      <c r="T3349" s="15">
        <f ca="1" t="shared" si="915"/>
        <v>165</v>
      </c>
      <c r="U3349" s="15">
        <f ca="1" t="shared" si="916"/>
        <v>9.77777777777778</v>
      </c>
      <c r="V3349" s="15">
        <f ca="1" t="shared" si="917"/>
        <v>0</v>
      </c>
      <c r="W3349" s="15">
        <f ca="1" t="shared" si="918"/>
        <v>0</v>
      </c>
    </row>
    <row r="3350" s="15" customFormat="1" spans="2:23">
      <c r="B3350" s="16" t="s">
        <v>1842</v>
      </c>
      <c r="D3350" s="16" t="s">
        <v>143</v>
      </c>
      <c r="G3350" s="6">
        <v>30</v>
      </c>
      <c r="H3350" s="15">
        <f ca="1" t="shared" si="904"/>
        <v>1</v>
      </c>
      <c r="I3350" s="15">
        <f ca="1" t="shared" si="905"/>
        <v>30</v>
      </c>
      <c r="J3350" s="16" t="str">
        <f t="shared" si="906"/>
        <v>purple</v>
      </c>
      <c r="K3350" s="109">
        <f ca="1" t="shared" si="907"/>
        <v>0.723379629629628</v>
      </c>
      <c r="L3350" s="6">
        <v>-0.4</v>
      </c>
      <c r="M3350" s="16" t="s">
        <v>1785</v>
      </c>
      <c r="N3350" s="30" t="b">
        <v>0</v>
      </c>
      <c r="O3350" s="15">
        <f ca="1" t="shared" si="908"/>
        <v>39.0624999999999</v>
      </c>
      <c r="P3350" s="15">
        <f ca="1" t="shared" si="909"/>
        <v>90</v>
      </c>
      <c r="Q3350" s="16">
        <f ca="1">_xlfn.FLOOR.MATH(P3350*(1+L3350))</f>
        <v>54</v>
      </c>
      <c r="R3350" s="6">
        <v>200</v>
      </c>
      <c r="S3350" s="15">
        <f ca="1" t="shared" si="910"/>
        <v>0.888888888888889</v>
      </c>
      <c r="T3350" s="15">
        <f ca="1" t="shared" si="915"/>
        <v>54</v>
      </c>
      <c r="U3350" s="15">
        <f ca="1" t="shared" si="916"/>
        <v>1.6</v>
      </c>
      <c r="V3350" s="15">
        <f ca="1" t="shared" si="917"/>
        <v>0</v>
      </c>
      <c r="W3350" s="15">
        <f ca="1" t="shared" si="918"/>
        <v>0</v>
      </c>
    </row>
    <row r="3351" s="15" customFormat="1" spans="2:23">
      <c r="B3351" s="16" t="s">
        <v>1843</v>
      </c>
      <c r="D3351" s="16" t="s">
        <v>147</v>
      </c>
      <c r="G3351" s="6">
        <v>10</v>
      </c>
      <c r="H3351" s="15">
        <f ca="1" t="shared" si="904"/>
        <v>4</v>
      </c>
      <c r="I3351" s="15">
        <f ca="1" t="shared" si="905"/>
        <v>40</v>
      </c>
      <c r="J3351" s="16" t="str">
        <f t="shared" si="906"/>
        <v>purple</v>
      </c>
      <c r="K3351" s="109">
        <f ca="1" t="shared" si="907"/>
        <v>0.723379629629628</v>
      </c>
      <c r="L3351" s="6">
        <v>-0.4</v>
      </c>
      <c r="M3351" s="16" t="s">
        <v>1785</v>
      </c>
      <c r="N3351" s="30" t="b">
        <v>0</v>
      </c>
      <c r="O3351" s="15">
        <f ca="1" t="shared" si="908"/>
        <v>52.0833333333332</v>
      </c>
      <c r="P3351" s="15">
        <f ca="1" t="shared" si="909"/>
        <v>120</v>
      </c>
      <c r="Q3351" s="16">
        <f ca="1">_xlfn.FLOOR.MATH(P3351*(1+L3351))</f>
        <v>72</v>
      </c>
      <c r="R3351" s="6">
        <v>200</v>
      </c>
      <c r="S3351" s="15">
        <f ca="1" t="shared" si="910"/>
        <v>1.18518518518519</v>
      </c>
      <c r="T3351" s="15">
        <f ca="1" t="shared" si="915"/>
        <v>72</v>
      </c>
      <c r="U3351" s="15">
        <f ca="1" t="shared" si="916"/>
        <v>2.13333333333333</v>
      </c>
      <c r="V3351" s="15">
        <f ca="1" t="shared" si="917"/>
        <v>0</v>
      </c>
      <c r="W3351" s="15">
        <f ca="1" t="shared" si="918"/>
        <v>0</v>
      </c>
    </row>
    <row r="3352" s="15" customFormat="1" spans="2:23">
      <c r="B3352" s="16" t="s">
        <v>1844</v>
      </c>
      <c r="D3352" s="16" t="s">
        <v>154</v>
      </c>
      <c r="G3352" s="6">
        <v>2</v>
      </c>
      <c r="H3352" s="15">
        <f ca="1" t="shared" si="904"/>
        <v>20</v>
      </c>
      <c r="I3352" s="15">
        <f ca="1" t="shared" si="905"/>
        <v>40</v>
      </c>
      <c r="J3352" s="16" t="str">
        <f t="shared" si="906"/>
        <v>purple</v>
      </c>
      <c r="K3352" s="109">
        <f ca="1" t="shared" si="907"/>
        <v>0.723379629629628</v>
      </c>
      <c r="L3352" s="6">
        <v>-0.4</v>
      </c>
      <c r="M3352" s="16" t="s">
        <v>1785</v>
      </c>
      <c r="N3352" s="30" t="b">
        <v>0</v>
      </c>
      <c r="O3352" s="15">
        <f ca="1" t="shared" si="908"/>
        <v>52.0833333333332</v>
      </c>
      <c r="P3352" s="15">
        <f ca="1" t="shared" si="909"/>
        <v>120</v>
      </c>
      <c r="Q3352" s="16">
        <f ca="1">_xlfn.FLOOR.MATH(P3352*(1+L3352))</f>
        <v>72</v>
      </c>
      <c r="R3352" s="6">
        <v>200</v>
      </c>
      <c r="S3352" s="15">
        <f ca="1" t="shared" si="910"/>
        <v>1.18518518518519</v>
      </c>
      <c r="T3352" s="15">
        <f ca="1" t="shared" si="915"/>
        <v>72</v>
      </c>
      <c r="U3352" s="15">
        <f ca="1" t="shared" si="916"/>
        <v>2.13333333333333</v>
      </c>
      <c r="V3352" s="15">
        <f ca="1" t="shared" si="917"/>
        <v>0</v>
      </c>
      <c r="W3352" s="15">
        <f ca="1" t="shared" si="918"/>
        <v>0</v>
      </c>
    </row>
    <row r="3353" s="15" customFormat="1" spans="2:23">
      <c r="B3353" s="16" t="s">
        <v>1845</v>
      </c>
      <c r="D3353" s="16" t="s">
        <v>801</v>
      </c>
      <c r="G3353" s="6">
        <v>2</v>
      </c>
      <c r="H3353" s="15">
        <f ca="1" t="shared" si="904"/>
        <v>35</v>
      </c>
      <c r="I3353" s="15">
        <f ca="1" t="shared" si="905"/>
        <v>70</v>
      </c>
      <c r="J3353" s="16" t="str">
        <f t="shared" si="906"/>
        <v>purple</v>
      </c>
      <c r="K3353" s="109">
        <f ca="1" t="shared" si="907"/>
        <v>0.723379629629628</v>
      </c>
      <c r="L3353" s="6">
        <v>-0.4</v>
      </c>
      <c r="M3353" s="16" t="s">
        <v>1785</v>
      </c>
      <c r="N3353" s="30" t="b">
        <v>0</v>
      </c>
      <c r="O3353" s="15">
        <f ca="1" t="shared" si="908"/>
        <v>91.1458333333331</v>
      </c>
      <c r="P3353" s="15">
        <f ca="1" t="shared" si="909"/>
        <v>210</v>
      </c>
      <c r="Q3353" s="16">
        <f ca="1">_xlfn.FLOOR.MATH(P3353*(1+L3353))</f>
        <v>126</v>
      </c>
      <c r="R3353" s="6">
        <v>200</v>
      </c>
      <c r="S3353" s="15">
        <f ca="1" t="shared" si="910"/>
        <v>2.07407407407407</v>
      </c>
      <c r="T3353" s="15">
        <f ca="1" t="shared" si="915"/>
        <v>126</v>
      </c>
      <c r="U3353" s="15">
        <f ca="1" t="shared" si="916"/>
        <v>3.73333333333333</v>
      </c>
      <c r="V3353" s="15">
        <f ca="1" t="shared" si="917"/>
        <v>0</v>
      </c>
      <c r="W3353" s="15">
        <f ca="1" t="shared" si="918"/>
        <v>0</v>
      </c>
    </row>
    <row r="3354" s="15" customFormat="1" spans="2:23">
      <c r="B3354" s="16" t="s">
        <v>1846</v>
      </c>
      <c r="D3354" s="16" t="s">
        <v>802</v>
      </c>
      <c r="G3354" s="6">
        <v>2</v>
      </c>
      <c r="H3354" s="15">
        <f ca="1" t="shared" si="904"/>
        <v>50</v>
      </c>
      <c r="I3354" s="15">
        <f ca="1" t="shared" si="905"/>
        <v>100</v>
      </c>
      <c r="J3354" s="16" t="str">
        <f t="shared" si="906"/>
        <v>purple</v>
      </c>
      <c r="K3354" s="109">
        <f ca="1" t="shared" si="907"/>
        <v>0.723379629629628</v>
      </c>
      <c r="L3354" s="6">
        <v>-0.4</v>
      </c>
      <c r="M3354" s="16" t="s">
        <v>1785</v>
      </c>
      <c r="N3354" s="30" t="b">
        <v>0</v>
      </c>
      <c r="O3354" s="15">
        <f ca="1" t="shared" si="908"/>
        <v>130.208333333333</v>
      </c>
      <c r="P3354" s="15">
        <f ca="1" t="shared" si="909"/>
        <v>300</v>
      </c>
      <c r="Q3354" s="16">
        <f ca="1">_xlfn.FLOOR.MATH(P3354*(1+L3354))</f>
        <v>180</v>
      </c>
      <c r="R3354" s="6">
        <v>200</v>
      </c>
      <c r="S3354" s="15">
        <f ca="1" t="shared" si="910"/>
        <v>2.96296296296296</v>
      </c>
      <c r="T3354" s="15">
        <f ca="1" t="shared" si="915"/>
        <v>180</v>
      </c>
      <c r="U3354" s="15">
        <f ca="1" t="shared" si="916"/>
        <v>5.33333333333333</v>
      </c>
      <c r="V3354" s="15">
        <f ca="1" t="shared" si="917"/>
        <v>0</v>
      </c>
      <c r="W3354" s="15">
        <f ca="1" t="shared" si="918"/>
        <v>0</v>
      </c>
    </row>
    <row r="3355" s="15" customFormat="1" spans="2:23">
      <c r="B3355" s="16" t="s">
        <v>1847</v>
      </c>
      <c r="D3355" s="16" t="s">
        <v>803</v>
      </c>
      <c r="G3355" s="6">
        <v>2</v>
      </c>
      <c r="H3355" s="15">
        <f ca="1" t="shared" si="904"/>
        <v>110</v>
      </c>
      <c r="I3355" s="15">
        <f ca="1" t="shared" si="905"/>
        <v>220</v>
      </c>
      <c r="J3355" s="16" t="str">
        <f t="shared" si="906"/>
        <v>purple</v>
      </c>
      <c r="K3355" s="109">
        <f ca="1" t="shared" si="907"/>
        <v>0.723379629629628</v>
      </c>
      <c r="L3355" s="6">
        <v>-0.4</v>
      </c>
      <c r="M3355" s="16" t="s">
        <v>1785</v>
      </c>
      <c r="N3355" s="30" t="b">
        <v>0</v>
      </c>
      <c r="O3355" s="15">
        <f ca="1" t="shared" si="908"/>
        <v>286.458333333333</v>
      </c>
      <c r="P3355" s="15">
        <f ca="1" t="shared" si="909"/>
        <v>660</v>
      </c>
      <c r="Q3355" s="16">
        <f ca="1">_xlfn.FLOOR.MATH(P3355*(1+L3355))</f>
        <v>396</v>
      </c>
      <c r="R3355" s="6">
        <v>200</v>
      </c>
      <c r="S3355" s="15">
        <f ca="1" t="shared" si="910"/>
        <v>6.51851851851852</v>
      </c>
      <c r="T3355" s="15">
        <f ca="1" t="shared" si="915"/>
        <v>396</v>
      </c>
      <c r="U3355" s="15">
        <f ca="1" t="shared" si="916"/>
        <v>11.7333333333333</v>
      </c>
      <c r="V3355" s="15">
        <f ca="1" t="shared" si="917"/>
        <v>0</v>
      </c>
      <c r="W3355" s="15">
        <f ca="1" t="shared" si="918"/>
        <v>0</v>
      </c>
    </row>
    <row r="3356" spans="2:23">
      <c r="B3356" s="4" t="s">
        <v>1848</v>
      </c>
      <c r="D3356" s="4" t="s">
        <v>143</v>
      </c>
      <c r="G3356" s="6">
        <v>20</v>
      </c>
      <c r="H3356" s="1">
        <f ca="1" t="shared" si="904"/>
        <v>1</v>
      </c>
      <c r="I3356" s="1">
        <f ca="1" t="shared" si="905"/>
        <v>20</v>
      </c>
      <c r="J3356" s="4" t="str">
        <f t="shared" si="906"/>
        <v>yellow</v>
      </c>
      <c r="K3356" s="50">
        <f ca="1" t="shared" si="907"/>
        <v>1.44675925925926</v>
      </c>
      <c r="L3356" s="6">
        <v>-0.7</v>
      </c>
      <c r="M3356" s="4" t="s">
        <v>1785</v>
      </c>
      <c r="N3356" s="30" t="b">
        <v>1</v>
      </c>
      <c r="O3356" s="1">
        <f ca="1" t="shared" si="908"/>
        <v>26.0416666666666</v>
      </c>
      <c r="P3356" s="1">
        <f ca="1" t="shared" si="909"/>
        <v>60</v>
      </c>
      <c r="Q3356" s="4">
        <f ca="1">_xlfn.FLOOR.MATH(P3356*(1+L3356))</f>
        <v>18</v>
      </c>
      <c r="R3356" s="6">
        <v>100</v>
      </c>
      <c r="S3356" s="1">
        <f ca="1" t="shared" si="910"/>
        <v>0.296296296296296</v>
      </c>
      <c r="T3356" s="1">
        <f ca="1" t="shared" si="915"/>
        <v>18</v>
      </c>
      <c r="U3356" s="1">
        <f ca="1" t="shared" si="916"/>
        <v>0.266666666666667</v>
      </c>
      <c r="V3356" s="1">
        <f ca="1" t="shared" si="917"/>
        <v>0</v>
      </c>
      <c r="W3356" s="1">
        <f ca="1" t="shared" si="918"/>
        <v>0</v>
      </c>
    </row>
    <row r="3357" spans="2:23">
      <c r="B3357" s="4" t="s">
        <v>1849</v>
      </c>
      <c r="D3357" s="4" t="s">
        <v>147</v>
      </c>
      <c r="G3357" s="6">
        <v>5</v>
      </c>
      <c r="H3357" s="1">
        <f ca="1" t="shared" si="904"/>
        <v>4</v>
      </c>
      <c r="I3357" s="1">
        <f ca="1" t="shared" si="905"/>
        <v>20</v>
      </c>
      <c r="J3357" s="4" t="str">
        <f t="shared" si="906"/>
        <v>yellow</v>
      </c>
      <c r="K3357" s="50">
        <f ca="1" t="shared" si="907"/>
        <v>1.44675925925926</v>
      </c>
      <c r="L3357" s="6">
        <v>-0.7</v>
      </c>
      <c r="M3357" s="4" t="s">
        <v>1785</v>
      </c>
      <c r="N3357" s="30" t="b">
        <v>1</v>
      </c>
      <c r="O3357" s="1">
        <f ca="1" t="shared" si="908"/>
        <v>26.0416666666666</v>
      </c>
      <c r="P3357" s="1">
        <f ca="1" t="shared" si="909"/>
        <v>60</v>
      </c>
      <c r="Q3357" s="4">
        <f ca="1">_xlfn.FLOOR.MATH(P3357*(1+L3357))</f>
        <v>18</v>
      </c>
      <c r="R3357" s="6">
        <v>100</v>
      </c>
      <c r="S3357" s="1">
        <f ca="1" t="shared" si="910"/>
        <v>0.296296296296296</v>
      </c>
      <c r="T3357" s="1">
        <f ca="1" t="shared" si="915"/>
        <v>18</v>
      </c>
      <c r="U3357" s="1">
        <f ca="1" t="shared" si="916"/>
        <v>0.266666666666667</v>
      </c>
      <c r="V3357" s="1">
        <f ca="1" t="shared" si="917"/>
        <v>0</v>
      </c>
      <c r="W3357" s="1">
        <f ca="1" t="shared" si="918"/>
        <v>0</v>
      </c>
    </row>
    <row r="3358" spans="2:23">
      <c r="B3358" s="4" t="s">
        <v>1850</v>
      </c>
      <c r="D3358" s="4" t="s">
        <v>154</v>
      </c>
      <c r="G3358" s="6">
        <v>1</v>
      </c>
      <c r="H3358" s="1">
        <f ca="1" t="shared" si="904"/>
        <v>20</v>
      </c>
      <c r="I3358" s="1">
        <f ca="1" t="shared" si="905"/>
        <v>20</v>
      </c>
      <c r="J3358" s="4" t="str">
        <f t="shared" si="906"/>
        <v>yellow</v>
      </c>
      <c r="K3358" s="50">
        <f ca="1" t="shared" si="907"/>
        <v>1.44675925925926</v>
      </c>
      <c r="L3358" s="6">
        <v>-0.7</v>
      </c>
      <c r="M3358" s="4" t="s">
        <v>1785</v>
      </c>
      <c r="N3358" s="30" t="b">
        <v>1</v>
      </c>
      <c r="O3358" s="1">
        <f ca="1" t="shared" si="908"/>
        <v>26.0416666666666</v>
      </c>
      <c r="P3358" s="1">
        <f ca="1" t="shared" si="909"/>
        <v>60</v>
      </c>
      <c r="Q3358" s="4">
        <f ca="1">_xlfn.FLOOR.MATH(P3358*(1+L3358))</f>
        <v>18</v>
      </c>
      <c r="R3358" s="6">
        <v>100</v>
      </c>
      <c r="S3358" s="1">
        <f ca="1" t="shared" si="910"/>
        <v>0.296296296296296</v>
      </c>
      <c r="T3358" s="1">
        <f ca="1" t="shared" si="915"/>
        <v>18</v>
      </c>
      <c r="U3358" s="1">
        <f ca="1" t="shared" si="916"/>
        <v>0.266666666666667</v>
      </c>
      <c r="V3358" s="1">
        <f ca="1" t="shared" si="917"/>
        <v>0</v>
      </c>
      <c r="W3358" s="1">
        <f ca="1" t="shared" si="918"/>
        <v>0</v>
      </c>
    </row>
    <row r="3359" spans="2:23">
      <c r="B3359" s="4" t="s">
        <v>1851</v>
      </c>
      <c r="D3359" s="4" t="s">
        <v>801</v>
      </c>
      <c r="G3359" s="6">
        <v>1</v>
      </c>
      <c r="H3359" s="1">
        <f ca="1" t="shared" si="904"/>
        <v>35</v>
      </c>
      <c r="I3359" s="1">
        <f ca="1" t="shared" si="905"/>
        <v>35</v>
      </c>
      <c r="J3359" s="4" t="str">
        <f t="shared" si="906"/>
        <v>yellow</v>
      </c>
      <c r="K3359" s="50">
        <f ca="1" t="shared" si="907"/>
        <v>1.4700940860215</v>
      </c>
      <c r="L3359" s="6">
        <v>-0.7</v>
      </c>
      <c r="M3359" s="4" t="s">
        <v>1785</v>
      </c>
      <c r="N3359" s="30" t="b">
        <v>1</v>
      </c>
      <c r="O3359" s="1">
        <f ca="1" t="shared" si="908"/>
        <v>45.5729166666666</v>
      </c>
      <c r="P3359" s="1">
        <f ca="1" t="shared" si="909"/>
        <v>105</v>
      </c>
      <c r="Q3359" s="4">
        <f ca="1">_xlfn.FLOOR.MATH(P3359*(1+L3359))</f>
        <v>31</v>
      </c>
      <c r="R3359" s="6">
        <v>100</v>
      </c>
      <c r="S3359" s="1">
        <f ca="1" t="shared" si="910"/>
        <v>0.518518518518518</v>
      </c>
      <c r="T3359" s="1">
        <f ca="1" t="shared" si="915"/>
        <v>31</v>
      </c>
      <c r="U3359" s="1">
        <f ca="1" t="shared" si="916"/>
        <v>0.459259259259259</v>
      </c>
      <c r="V3359" s="1">
        <f ca="1" t="shared" si="917"/>
        <v>0</v>
      </c>
      <c r="W3359" s="1">
        <f ca="1" t="shared" si="918"/>
        <v>0</v>
      </c>
    </row>
    <row r="3360" spans="2:23">
      <c r="B3360" s="4" t="s">
        <v>1852</v>
      </c>
      <c r="D3360" s="4" t="s">
        <v>802</v>
      </c>
      <c r="G3360" s="6">
        <v>1</v>
      </c>
      <c r="H3360" s="1">
        <f ca="1" t="shared" si="904"/>
        <v>50</v>
      </c>
      <c r="I3360" s="1">
        <f ca="1" t="shared" si="905"/>
        <v>50</v>
      </c>
      <c r="J3360" s="4" t="str">
        <f t="shared" si="906"/>
        <v>yellow</v>
      </c>
      <c r="K3360" s="50">
        <f ca="1" t="shared" si="907"/>
        <v>1.44675925925926</v>
      </c>
      <c r="L3360" s="6">
        <v>-0.7</v>
      </c>
      <c r="M3360" s="4" t="s">
        <v>1785</v>
      </c>
      <c r="N3360" s="30" t="b">
        <v>1</v>
      </c>
      <c r="O3360" s="1">
        <f ca="1" t="shared" si="908"/>
        <v>65.1041666666665</v>
      </c>
      <c r="P3360" s="1">
        <f ca="1" t="shared" si="909"/>
        <v>150</v>
      </c>
      <c r="Q3360" s="4">
        <f ca="1">_xlfn.FLOOR.MATH(P3360*(1+L3360))</f>
        <v>45</v>
      </c>
      <c r="R3360" s="6">
        <v>100</v>
      </c>
      <c r="S3360" s="1">
        <f ca="1" t="shared" si="910"/>
        <v>0.740740740740741</v>
      </c>
      <c r="T3360" s="1">
        <f ca="1" t="shared" si="915"/>
        <v>45</v>
      </c>
      <c r="U3360" s="1">
        <f ca="1" t="shared" si="916"/>
        <v>0.666666666666667</v>
      </c>
      <c r="V3360" s="1">
        <f ca="1" t="shared" si="917"/>
        <v>0</v>
      </c>
      <c r="W3360" s="1">
        <f ca="1" t="shared" si="918"/>
        <v>0</v>
      </c>
    </row>
    <row r="3361" spans="2:23">
      <c r="B3361" s="4" t="s">
        <v>1853</v>
      </c>
      <c r="D3361" s="4" t="s">
        <v>803</v>
      </c>
      <c r="G3361" s="6">
        <v>1</v>
      </c>
      <c r="H3361" s="1">
        <f ca="1" t="shared" si="904"/>
        <v>110</v>
      </c>
      <c r="I3361" s="1">
        <f ca="1" t="shared" si="905"/>
        <v>110</v>
      </c>
      <c r="J3361" s="4" t="str">
        <f t="shared" si="906"/>
        <v>yellow</v>
      </c>
      <c r="K3361" s="50">
        <f ca="1" t="shared" si="907"/>
        <v>1.44675925925926</v>
      </c>
      <c r="L3361" s="6">
        <v>-0.7</v>
      </c>
      <c r="M3361" s="4" t="s">
        <v>1785</v>
      </c>
      <c r="N3361" s="30" t="b">
        <v>1</v>
      </c>
      <c r="O3361" s="1">
        <f ca="1" t="shared" si="908"/>
        <v>143.229166666666</v>
      </c>
      <c r="P3361" s="1">
        <f ca="1" t="shared" si="909"/>
        <v>330</v>
      </c>
      <c r="Q3361" s="4">
        <f ca="1">_xlfn.FLOOR.MATH(P3361*(1+L3361))</f>
        <v>99</v>
      </c>
      <c r="R3361" s="6">
        <v>100</v>
      </c>
      <c r="S3361" s="1">
        <f ca="1" t="shared" si="910"/>
        <v>1.62962962962963</v>
      </c>
      <c r="T3361" s="1">
        <f ca="1" t="shared" si="915"/>
        <v>99</v>
      </c>
      <c r="U3361" s="1">
        <f ca="1" t="shared" si="916"/>
        <v>1.46666666666667</v>
      </c>
      <c r="V3361" s="1">
        <f ca="1" t="shared" si="917"/>
        <v>0</v>
      </c>
      <c r="W3361" s="1">
        <f ca="1" t="shared" si="918"/>
        <v>0</v>
      </c>
    </row>
    <row r="3362" spans="2:23">
      <c r="B3362" s="4" t="s">
        <v>1854</v>
      </c>
      <c r="D3362" s="4" t="s">
        <v>143</v>
      </c>
      <c r="G3362" s="6">
        <v>30</v>
      </c>
      <c r="H3362" s="1">
        <f ca="1" t="shared" si="904"/>
        <v>1</v>
      </c>
      <c r="I3362" s="1">
        <f ca="1" t="shared" si="905"/>
        <v>30</v>
      </c>
      <c r="J3362" s="4" t="str">
        <f t="shared" si="906"/>
        <v>yellow</v>
      </c>
      <c r="K3362" s="50">
        <f ca="1" t="shared" si="907"/>
        <v>1.08506944444444</v>
      </c>
      <c r="L3362" s="6">
        <v>-0.6</v>
      </c>
      <c r="M3362" s="4" t="s">
        <v>1785</v>
      </c>
      <c r="N3362" s="30" t="b">
        <v>1</v>
      </c>
      <c r="O3362" s="1">
        <f ca="1" t="shared" si="908"/>
        <v>39.0624999999999</v>
      </c>
      <c r="P3362" s="1">
        <f ca="1" t="shared" si="909"/>
        <v>90</v>
      </c>
      <c r="Q3362" s="4">
        <f ca="1">_xlfn.FLOOR.MATH(P3362*(1+L3362))</f>
        <v>36</v>
      </c>
      <c r="R3362" s="6">
        <v>50</v>
      </c>
      <c r="S3362" s="1">
        <f ca="1" t="shared" si="910"/>
        <v>0.222222222222222</v>
      </c>
      <c r="T3362" s="1">
        <f ca="1" t="shared" si="915"/>
        <v>36</v>
      </c>
      <c r="U3362" s="1">
        <f ca="1" t="shared" si="916"/>
        <v>0.266666666666667</v>
      </c>
      <c r="V3362" s="1">
        <f ca="1" t="shared" si="917"/>
        <v>0</v>
      </c>
      <c r="W3362" s="1">
        <f ca="1" t="shared" si="918"/>
        <v>0</v>
      </c>
    </row>
    <row r="3363" spans="2:23">
      <c r="B3363" s="4" t="s">
        <v>1855</v>
      </c>
      <c r="D3363" s="4" t="s">
        <v>147</v>
      </c>
      <c r="G3363" s="6">
        <v>10</v>
      </c>
      <c r="H3363" s="1">
        <f ca="1" t="shared" si="904"/>
        <v>4</v>
      </c>
      <c r="I3363" s="1">
        <f ca="1" t="shared" si="905"/>
        <v>40</v>
      </c>
      <c r="J3363" s="4" t="str">
        <f t="shared" si="906"/>
        <v>yellow</v>
      </c>
      <c r="K3363" s="50">
        <f ca="1" t="shared" si="907"/>
        <v>1.08506944444444</v>
      </c>
      <c r="L3363" s="6">
        <v>-0.6</v>
      </c>
      <c r="M3363" s="4" t="s">
        <v>1785</v>
      </c>
      <c r="N3363" s="30" t="b">
        <v>1</v>
      </c>
      <c r="O3363" s="1">
        <f ca="1" t="shared" si="908"/>
        <v>52.0833333333332</v>
      </c>
      <c r="P3363" s="1">
        <f ca="1" t="shared" si="909"/>
        <v>120</v>
      </c>
      <c r="Q3363" s="4">
        <f ca="1">_xlfn.FLOOR.MATH(P3363*(1+L3363))</f>
        <v>48</v>
      </c>
      <c r="R3363" s="6">
        <v>50</v>
      </c>
      <c r="S3363" s="1">
        <f ca="1" t="shared" si="910"/>
        <v>0.296296296296296</v>
      </c>
      <c r="T3363" s="1">
        <f ca="1" t="shared" si="915"/>
        <v>48</v>
      </c>
      <c r="U3363" s="1">
        <f ca="1" t="shared" si="916"/>
        <v>0.355555555555556</v>
      </c>
      <c r="V3363" s="1">
        <f ca="1" t="shared" si="917"/>
        <v>0</v>
      </c>
      <c r="W3363" s="1">
        <f ca="1" t="shared" si="918"/>
        <v>0</v>
      </c>
    </row>
    <row r="3364" spans="2:23">
      <c r="B3364" s="4" t="s">
        <v>1856</v>
      </c>
      <c r="D3364" s="4" t="s">
        <v>154</v>
      </c>
      <c r="G3364" s="6">
        <v>2</v>
      </c>
      <c r="H3364" s="1">
        <f ca="1" t="shared" si="904"/>
        <v>20</v>
      </c>
      <c r="I3364" s="1">
        <f ca="1" t="shared" si="905"/>
        <v>40</v>
      </c>
      <c r="J3364" s="4" t="str">
        <f t="shared" si="906"/>
        <v>yellow</v>
      </c>
      <c r="K3364" s="50">
        <f ca="1" t="shared" si="907"/>
        <v>1.08506944444444</v>
      </c>
      <c r="L3364" s="6">
        <v>-0.6</v>
      </c>
      <c r="M3364" s="4" t="s">
        <v>1785</v>
      </c>
      <c r="N3364" s="30" t="b">
        <v>1</v>
      </c>
      <c r="O3364" s="1">
        <f ca="1" t="shared" si="908"/>
        <v>52.0833333333332</v>
      </c>
      <c r="P3364" s="1">
        <f ca="1" t="shared" si="909"/>
        <v>120</v>
      </c>
      <c r="Q3364" s="4">
        <f ca="1">_xlfn.FLOOR.MATH(P3364*(1+L3364))</f>
        <v>48</v>
      </c>
      <c r="R3364" s="6">
        <v>50</v>
      </c>
      <c r="S3364" s="1">
        <f ca="1" t="shared" si="910"/>
        <v>0.296296296296296</v>
      </c>
      <c r="T3364" s="1">
        <f ca="1" t="shared" si="915"/>
        <v>48</v>
      </c>
      <c r="U3364" s="1">
        <f ca="1" t="shared" si="916"/>
        <v>0.355555555555556</v>
      </c>
      <c r="V3364" s="1">
        <f ca="1" t="shared" si="917"/>
        <v>0</v>
      </c>
      <c r="W3364" s="1">
        <f ca="1" t="shared" si="918"/>
        <v>0</v>
      </c>
    </row>
    <row r="3365" spans="2:23">
      <c r="B3365" s="4" t="s">
        <v>1857</v>
      </c>
      <c r="D3365" s="4" t="s">
        <v>801</v>
      </c>
      <c r="G3365" s="6">
        <v>2</v>
      </c>
      <c r="H3365" s="1">
        <f ca="1" t="shared" si="904"/>
        <v>35</v>
      </c>
      <c r="I3365" s="1">
        <f ca="1" t="shared" si="905"/>
        <v>70</v>
      </c>
      <c r="J3365" s="4" t="str">
        <f t="shared" si="906"/>
        <v>yellow</v>
      </c>
      <c r="K3365" s="50">
        <f ca="1" t="shared" si="907"/>
        <v>1.08506944444444</v>
      </c>
      <c r="L3365" s="6">
        <v>-0.6</v>
      </c>
      <c r="M3365" s="4" t="s">
        <v>1785</v>
      </c>
      <c r="N3365" s="30" t="b">
        <v>1</v>
      </c>
      <c r="O3365" s="1">
        <f ca="1" t="shared" si="908"/>
        <v>91.1458333333331</v>
      </c>
      <c r="P3365" s="1">
        <f ca="1" t="shared" si="909"/>
        <v>210</v>
      </c>
      <c r="Q3365" s="4">
        <f ca="1">_xlfn.FLOOR.MATH(P3365*(1+L3365))</f>
        <v>84</v>
      </c>
      <c r="R3365" s="6">
        <v>50</v>
      </c>
      <c r="S3365" s="1">
        <f ca="1" t="shared" si="910"/>
        <v>0.518518518518518</v>
      </c>
      <c r="T3365" s="1">
        <f ca="1" t="shared" si="915"/>
        <v>84</v>
      </c>
      <c r="U3365" s="1">
        <f ca="1" t="shared" si="916"/>
        <v>0.622222222222222</v>
      </c>
      <c r="V3365" s="1">
        <f ca="1" t="shared" si="917"/>
        <v>0</v>
      </c>
      <c r="W3365" s="1">
        <f ca="1" t="shared" si="918"/>
        <v>0</v>
      </c>
    </row>
    <row r="3366" spans="2:23">
      <c r="B3366" s="4" t="s">
        <v>1858</v>
      </c>
      <c r="D3366" s="4" t="s">
        <v>802</v>
      </c>
      <c r="G3366" s="6">
        <v>2</v>
      </c>
      <c r="H3366" s="1">
        <f ca="1" t="shared" si="904"/>
        <v>50</v>
      </c>
      <c r="I3366" s="1">
        <f ca="1" t="shared" si="905"/>
        <v>100</v>
      </c>
      <c r="J3366" s="4" t="str">
        <f t="shared" si="906"/>
        <v>yellow</v>
      </c>
      <c r="K3366" s="50">
        <f ca="1" t="shared" si="907"/>
        <v>1.08506944444444</v>
      </c>
      <c r="L3366" s="6">
        <v>-0.6</v>
      </c>
      <c r="M3366" s="4" t="s">
        <v>1785</v>
      </c>
      <c r="N3366" s="30" t="b">
        <v>1</v>
      </c>
      <c r="O3366" s="1">
        <f ca="1" t="shared" si="908"/>
        <v>130.208333333333</v>
      </c>
      <c r="P3366" s="1">
        <f ca="1" t="shared" si="909"/>
        <v>300</v>
      </c>
      <c r="Q3366" s="4">
        <f ca="1">_xlfn.FLOOR.MATH(P3366*(1+L3366))</f>
        <v>120</v>
      </c>
      <c r="R3366" s="6">
        <v>50</v>
      </c>
      <c r="S3366" s="1">
        <f ca="1" t="shared" si="910"/>
        <v>0.740740740740741</v>
      </c>
      <c r="T3366" s="1">
        <f ca="1" t="shared" si="915"/>
        <v>120</v>
      </c>
      <c r="U3366" s="1">
        <f ca="1" t="shared" si="916"/>
        <v>0.888888888888889</v>
      </c>
      <c r="V3366" s="1">
        <f ca="1" t="shared" si="917"/>
        <v>0</v>
      </c>
      <c r="W3366" s="1">
        <f ca="1" t="shared" si="918"/>
        <v>0</v>
      </c>
    </row>
    <row r="3367" spans="2:23">
      <c r="B3367" s="4" t="s">
        <v>1859</v>
      </c>
      <c r="D3367" s="4" t="s">
        <v>803</v>
      </c>
      <c r="G3367" s="6">
        <v>2</v>
      </c>
      <c r="H3367" s="1">
        <f ca="1" t="shared" si="904"/>
        <v>110</v>
      </c>
      <c r="I3367" s="1">
        <f ca="1" t="shared" si="905"/>
        <v>220</v>
      </c>
      <c r="J3367" s="4" t="str">
        <f t="shared" si="906"/>
        <v>yellow</v>
      </c>
      <c r="K3367" s="50">
        <f ca="1" t="shared" si="907"/>
        <v>1.08506944444444</v>
      </c>
      <c r="L3367" s="6">
        <v>-0.6</v>
      </c>
      <c r="M3367" s="4" t="s">
        <v>1785</v>
      </c>
      <c r="N3367" s="30" t="b">
        <v>1</v>
      </c>
      <c r="O3367" s="1">
        <f ca="1" t="shared" si="908"/>
        <v>286.458333333333</v>
      </c>
      <c r="P3367" s="1">
        <f ca="1" t="shared" si="909"/>
        <v>660</v>
      </c>
      <c r="Q3367" s="4">
        <f ca="1">_xlfn.FLOOR.MATH(P3367*(1+L3367))</f>
        <v>264</v>
      </c>
      <c r="R3367" s="6">
        <v>50</v>
      </c>
      <c r="S3367" s="1">
        <f ca="1" t="shared" si="910"/>
        <v>1.62962962962963</v>
      </c>
      <c r="T3367" s="1">
        <f ca="1" t="shared" si="915"/>
        <v>264</v>
      </c>
      <c r="U3367" s="1">
        <f ca="1" t="shared" si="916"/>
        <v>1.95555555555556</v>
      </c>
      <c r="V3367" s="1">
        <f ca="1" t="shared" si="917"/>
        <v>0</v>
      </c>
      <c r="W3367" s="1">
        <f ca="1" t="shared" si="918"/>
        <v>0</v>
      </c>
    </row>
    <row r="3368" spans="17:23">
      <c r="Q3368" s="5" t="s">
        <v>534</v>
      </c>
      <c r="R3368" s="1">
        <f t="shared" ref="R3368:U3368" si="919">SUM(R3320:R3367)</f>
        <v>6750</v>
      </c>
      <c r="S3368" s="5">
        <f ca="1" t="shared" si="919"/>
        <v>56.1111111111111</v>
      </c>
      <c r="U3368" s="5">
        <f ca="1" t="shared" si="919"/>
        <v>57.1407407407407</v>
      </c>
      <c r="W3368" s="5">
        <f ca="1">SUM(W3320:W3367)</f>
        <v>49362.9629629629</v>
      </c>
    </row>
    <row r="3369" spans="15:23">
      <c r="O3369" s="5"/>
      <c r="P3369" s="5"/>
      <c r="Q3369" s="5" t="s">
        <v>1809</v>
      </c>
      <c r="R3369" s="5"/>
      <c r="S3369" s="5">
        <f ca="1" t="shared" ref="S3369:W3369" si="920">SUMIFS(S3320:S3367,$N$3320:$N$3367,TRUE)</f>
        <v>26.1851851851852</v>
      </c>
      <c r="T3369" s="5"/>
      <c r="U3369" s="5">
        <f ca="1" t="shared" si="920"/>
        <v>7.83703703703704</v>
      </c>
      <c r="V3369" s="5"/>
      <c r="W3369" s="5">
        <f ca="1" t="shared" si="920"/>
        <v>49362.9629629629</v>
      </c>
    </row>
    <row r="3371" spans="2:12">
      <c r="B3371" s="27" t="s">
        <v>1860</v>
      </c>
      <c r="C3371" s="27"/>
      <c r="D3371" s="27"/>
      <c r="E3371" s="27"/>
      <c r="F3371" s="27"/>
      <c r="G3371" s="27"/>
      <c r="H3371" s="27"/>
      <c r="I3371" s="27"/>
      <c r="J3371" s="27"/>
      <c r="K3371" s="27"/>
      <c r="L3371" s="27"/>
    </row>
    <row r="3373" spans="2:23">
      <c r="B3373" s="4" t="s">
        <v>1527</v>
      </c>
      <c r="D3373" s="4" t="s">
        <v>607</v>
      </c>
      <c r="E3373" s="4"/>
      <c r="F3373" s="4"/>
      <c r="G3373" s="6" t="s">
        <v>1528</v>
      </c>
      <c r="H3373" s="1" t="s">
        <v>1739</v>
      </c>
      <c r="I3373" s="1" t="s">
        <v>1811</v>
      </c>
      <c r="J3373" s="4" t="s">
        <v>1529</v>
      </c>
      <c r="K3373" s="5" t="s">
        <v>1530</v>
      </c>
      <c r="L3373" s="6" t="s">
        <v>1533</v>
      </c>
      <c r="M3373" s="4" t="s">
        <v>1741</v>
      </c>
      <c r="N3373" s="30" t="s">
        <v>1742</v>
      </c>
      <c r="O3373" s="1" t="s">
        <v>1743</v>
      </c>
      <c r="P3373" s="1" t="s">
        <v>1744</v>
      </c>
      <c r="Q3373" s="4" t="s">
        <v>1745</v>
      </c>
      <c r="R3373" s="6" t="s">
        <v>1620</v>
      </c>
      <c r="S3373" s="1" t="s">
        <v>1746</v>
      </c>
      <c r="T3373" s="1" t="s">
        <v>1747</v>
      </c>
      <c r="U3373" s="1" t="s">
        <v>1748</v>
      </c>
      <c r="V3373" s="1" t="s">
        <v>1749</v>
      </c>
      <c r="W3373" s="1" t="s">
        <v>1750</v>
      </c>
    </row>
    <row r="3374" s="15" customFormat="1" spans="2:23">
      <c r="B3374" s="16" t="s">
        <v>1861</v>
      </c>
      <c r="D3374" s="16" t="s">
        <v>1862</v>
      </c>
      <c r="G3374" s="6">
        <v>3</v>
      </c>
      <c r="H3374" s="15">
        <v>3</v>
      </c>
      <c r="I3374" s="15">
        <f>H3374*G3374</f>
        <v>9</v>
      </c>
      <c r="J3374" s="16" t="str">
        <f t="shared" ref="J3374:J3405" si="921">IF(L3374&gt;-0.5,"purple","yellow")</f>
        <v>purple</v>
      </c>
      <c r="K3374" s="109">
        <f>O3374/Q3374</f>
        <v>0.9765625</v>
      </c>
      <c r="L3374" s="6">
        <v>-0.1</v>
      </c>
      <c r="M3374" s="16" t="s">
        <v>1767</v>
      </c>
      <c r="N3374" s="30" t="b">
        <v>1</v>
      </c>
      <c r="O3374" s="15">
        <f>IF(M3374="l_coin",I3374*$E$3246,I3374*$C$3246)</f>
        <v>23437.5</v>
      </c>
      <c r="P3374" s="15">
        <f>IF(M3374="l_coin",I3374*$I$3246,I3374*$G$3246)</f>
        <v>27000</v>
      </c>
      <c r="Q3374" s="16">
        <f>_xlfn.FLOOR.MATH(P3374*(1+L3374),1000)</f>
        <v>24000</v>
      </c>
      <c r="R3374" s="6">
        <v>100</v>
      </c>
      <c r="S3374" s="15">
        <f t="shared" ref="S3374:S3405" si="922">I3374*R3374/$R$3446</f>
        <v>0.0952380952380952</v>
      </c>
      <c r="T3374" s="15">
        <f t="shared" ref="T3374:T3405" si="923">IF(M3374="l_coin",Q3374,0)</f>
        <v>0</v>
      </c>
      <c r="U3374" s="15">
        <f t="shared" ref="U3374:U3405" si="924">T3374*R3374/$R$3446</f>
        <v>0</v>
      </c>
      <c r="V3374" s="15">
        <f t="shared" ref="V3374:V3405" si="925">IF(M3374="l_coin",0,Q3374)</f>
        <v>24000</v>
      </c>
      <c r="W3374" s="15">
        <f t="shared" ref="W3374:W3405" si="926">V3374*R3374/$R$3446</f>
        <v>253.968253968254</v>
      </c>
    </row>
    <row r="3375" s="15" customFormat="1" spans="2:23">
      <c r="B3375" s="16" t="s">
        <v>1863</v>
      </c>
      <c r="D3375" s="16" t="s">
        <v>1864</v>
      </c>
      <c r="G3375" s="6">
        <v>1</v>
      </c>
      <c r="H3375" s="15">
        <v>15</v>
      </c>
      <c r="I3375" s="15">
        <f t="shared" ref="I3375:I3388" si="927">H3375*G3375</f>
        <v>15</v>
      </c>
      <c r="J3375" s="16" t="str">
        <f t="shared" si="921"/>
        <v>purple</v>
      </c>
      <c r="K3375" s="109">
        <f t="shared" ref="K3375:K3438" si="928">O3375/Q3375</f>
        <v>0.9765625</v>
      </c>
      <c r="L3375" s="6">
        <v>-0.1</v>
      </c>
      <c r="M3375" s="16" t="s">
        <v>1767</v>
      </c>
      <c r="N3375" s="30" t="b">
        <v>1</v>
      </c>
      <c r="O3375" s="15">
        <f t="shared" ref="O3375:O3438" si="929">IF(M3375="l_coin",I3375*$E$3246,I3375*$C$3246)</f>
        <v>39062.5</v>
      </c>
      <c r="P3375" s="15">
        <f t="shared" ref="P3375:P3438" si="930">IF(M3375="l_coin",I3375*$I$3246,I3375*$G$3246)</f>
        <v>45000</v>
      </c>
      <c r="Q3375" s="16">
        <f>_xlfn.FLOOR.MATH(P3375*(1+L3375),1000)</f>
        <v>40000</v>
      </c>
      <c r="R3375" s="6">
        <v>100</v>
      </c>
      <c r="S3375" s="15">
        <f t="shared" si="922"/>
        <v>0.158730158730159</v>
      </c>
      <c r="T3375" s="15">
        <f t="shared" si="923"/>
        <v>0</v>
      </c>
      <c r="U3375" s="15">
        <f t="shared" si="924"/>
        <v>0</v>
      </c>
      <c r="V3375" s="15">
        <f t="shared" si="925"/>
        <v>40000</v>
      </c>
      <c r="W3375" s="15">
        <f t="shared" si="926"/>
        <v>423.280423280423</v>
      </c>
    </row>
    <row r="3376" s="15" customFormat="1" spans="2:23">
      <c r="B3376" s="16" t="s">
        <v>1865</v>
      </c>
      <c r="D3376" s="16" t="s">
        <v>1866</v>
      </c>
      <c r="G3376" s="6">
        <v>1</v>
      </c>
      <c r="H3376" s="15">
        <v>60</v>
      </c>
      <c r="I3376" s="15">
        <f t="shared" si="927"/>
        <v>60</v>
      </c>
      <c r="J3376" s="16" t="str">
        <f t="shared" si="921"/>
        <v>purple</v>
      </c>
      <c r="K3376" s="109">
        <f t="shared" si="928"/>
        <v>0.964506172839506</v>
      </c>
      <c r="L3376" s="6">
        <v>-0.1</v>
      </c>
      <c r="M3376" s="16" t="s">
        <v>1767</v>
      </c>
      <c r="N3376" s="30" t="b">
        <v>1</v>
      </c>
      <c r="O3376" s="15">
        <f t="shared" si="929"/>
        <v>156250</v>
      </c>
      <c r="P3376" s="15">
        <f t="shared" si="930"/>
        <v>180000</v>
      </c>
      <c r="Q3376" s="16">
        <f>_xlfn.FLOOR.MATH(P3376*(1+L3376),1000)</f>
        <v>162000</v>
      </c>
      <c r="R3376" s="6">
        <v>100</v>
      </c>
      <c r="S3376" s="15">
        <f t="shared" si="922"/>
        <v>0.634920634920635</v>
      </c>
      <c r="T3376" s="15">
        <f t="shared" si="923"/>
        <v>0</v>
      </c>
      <c r="U3376" s="15">
        <f t="shared" si="924"/>
        <v>0</v>
      </c>
      <c r="V3376" s="15">
        <f t="shared" si="925"/>
        <v>162000</v>
      </c>
      <c r="W3376" s="15">
        <f t="shared" si="926"/>
        <v>1714.28571428571</v>
      </c>
    </row>
    <row r="3377" s="15" customFormat="1" spans="2:23">
      <c r="B3377" s="16" t="s">
        <v>1867</v>
      </c>
      <c r="D3377" s="16" t="s">
        <v>1862</v>
      </c>
      <c r="G3377" s="6">
        <v>15</v>
      </c>
      <c r="H3377" s="15">
        <v>3</v>
      </c>
      <c r="I3377" s="15">
        <f t="shared" si="927"/>
        <v>45</v>
      </c>
      <c r="J3377" s="16" t="str">
        <f t="shared" si="921"/>
        <v>purple</v>
      </c>
      <c r="K3377" s="109">
        <f t="shared" si="928"/>
        <v>0.96849173553719</v>
      </c>
      <c r="L3377" s="6">
        <v>-0.1</v>
      </c>
      <c r="M3377" s="16" t="s">
        <v>1767</v>
      </c>
      <c r="N3377" s="30" t="b">
        <v>1</v>
      </c>
      <c r="O3377" s="15">
        <f t="shared" si="929"/>
        <v>117187.5</v>
      </c>
      <c r="P3377" s="15">
        <f t="shared" si="930"/>
        <v>135000</v>
      </c>
      <c r="Q3377" s="16">
        <f>_xlfn.FLOOR.MATH(P3377*(1+L3377),1000)</f>
        <v>121000</v>
      </c>
      <c r="R3377" s="6">
        <v>100</v>
      </c>
      <c r="S3377" s="15">
        <f t="shared" si="922"/>
        <v>0.476190476190476</v>
      </c>
      <c r="T3377" s="15">
        <f t="shared" si="923"/>
        <v>0</v>
      </c>
      <c r="U3377" s="15">
        <f t="shared" si="924"/>
        <v>0</v>
      </c>
      <c r="V3377" s="15">
        <f t="shared" si="925"/>
        <v>121000</v>
      </c>
      <c r="W3377" s="15">
        <f t="shared" si="926"/>
        <v>1280.42328042328</v>
      </c>
    </row>
    <row r="3378" s="15" customFormat="1" spans="2:23">
      <c r="B3378" s="16" t="s">
        <v>1868</v>
      </c>
      <c r="D3378" s="16" t="s">
        <v>1864</v>
      </c>
      <c r="G3378" s="6">
        <v>5</v>
      </c>
      <c r="H3378" s="15">
        <v>15</v>
      </c>
      <c r="I3378" s="15">
        <f t="shared" si="927"/>
        <v>75</v>
      </c>
      <c r="J3378" s="16" t="str">
        <f t="shared" si="921"/>
        <v>purple</v>
      </c>
      <c r="K3378" s="109">
        <f t="shared" si="928"/>
        <v>0.966893564356436</v>
      </c>
      <c r="L3378" s="6">
        <v>-0.1</v>
      </c>
      <c r="M3378" s="16" t="s">
        <v>1767</v>
      </c>
      <c r="N3378" s="30" t="b">
        <v>1</v>
      </c>
      <c r="O3378" s="15">
        <f t="shared" si="929"/>
        <v>195312.5</v>
      </c>
      <c r="P3378" s="15">
        <f t="shared" si="930"/>
        <v>225000</v>
      </c>
      <c r="Q3378" s="16">
        <f>_xlfn.FLOOR.MATH(P3378*(1+L3378),1000)</f>
        <v>202000</v>
      </c>
      <c r="R3378" s="6">
        <v>100</v>
      </c>
      <c r="S3378" s="15">
        <f t="shared" si="922"/>
        <v>0.793650793650794</v>
      </c>
      <c r="T3378" s="15">
        <f t="shared" si="923"/>
        <v>0</v>
      </c>
      <c r="U3378" s="15">
        <f t="shared" si="924"/>
        <v>0</v>
      </c>
      <c r="V3378" s="15">
        <f t="shared" si="925"/>
        <v>202000</v>
      </c>
      <c r="W3378" s="15">
        <f t="shared" si="926"/>
        <v>2137.56613756614</v>
      </c>
    </row>
    <row r="3379" s="15" customFormat="1" spans="2:23">
      <c r="B3379" s="16" t="s">
        <v>1869</v>
      </c>
      <c r="D3379" s="16" t="s">
        <v>1866</v>
      </c>
      <c r="G3379" s="6">
        <v>2</v>
      </c>
      <c r="H3379" s="15">
        <v>60</v>
      </c>
      <c r="I3379" s="15">
        <f t="shared" si="927"/>
        <v>120</v>
      </c>
      <c r="J3379" s="16" t="str">
        <f t="shared" si="921"/>
        <v>purple</v>
      </c>
      <c r="K3379" s="109">
        <f t="shared" si="928"/>
        <v>0.964506172839506</v>
      </c>
      <c r="L3379" s="6">
        <v>-0.1</v>
      </c>
      <c r="M3379" s="16" t="s">
        <v>1767</v>
      </c>
      <c r="N3379" s="30" t="b">
        <v>1</v>
      </c>
      <c r="O3379" s="15">
        <f t="shared" si="929"/>
        <v>312500</v>
      </c>
      <c r="P3379" s="15">
        <f t="shared" si="930"/>
        <v>360000</v>
      </c>
      <c r="Q3379" s="16">
        <f>_xlfn.FLOOR.MATH(P3379*(1+L3379),1000)</f>
        <v>324000</v>
      </c>
      <c r="R3379" s="6">
        <v>100</v>
      </c>
      <c r="S3379" s="15">
        <f t="shared" si="922"/>
        <v>1.26984126984127</v>
      </c>
      <c r="T3379" s="15">
        <f t="shared" si="923"/>
        <v>0</v>
      </c>
      <c r="U3379" s="15">
        <f t="shared" si="924"/>
        <v>0</v>
      </c>
      <c r="V3379" s="15">
        <f t="shared" si="925"/>
        <v>324000</v>
      </c>
      <c r="W3379" s="15">
        <f t="shared" si="926"/>
        <v>3428.57142857143</v>
      </c>
    </row>
    <row r="3380" s="15" customFormat="1" spans="2:23">
      <c r="B3380" s="16" t="s">
        <v>1870</v>
      </c>
      <c r="D3380" s="16" t="s">
        <v>1871</v>
      </c>
      <c r="G3380" s="6">
        <v>3</v>
      </c>
      <c r="H3380" s="15">
        <v>3</v>
      </c>
      <c r="I3380" s="15">
        <f t="shared" si="927"/>
        <v>9</v>
      </c>
      <c r="J3380" s="16" t="str">
        <f t="shared" si="921"/>
        <v>purple</v>
      </c>
      <c r="K3380" s="109">
        <f t="shared" si="928"/>
        <v>0.9765625</v>
      </c>
      <c r="L3380" s="6">
        <v>-0.1</v>
      </c>
      <c r="M3380" s="16" t="s">
        <v>1753</v>
      </c>
      <c r="N3380" s="30" t="b">
        <v>1</v>
      </c>
      <c r="O3380" s="15">
        <f t="shared" si="929"/>
        <v>23437.5</v>
      </c>
      <c r="P3380" s="15">
        <f t="shared" si="930"/>
        <v>27000</v>
      </c>
      <c r="Q3380" s="16">
        <f>_xlfn.FLOOR.MATH(P3380*(1+L3380),1000)</f>
        <v>24000</v>
      </c>
      <c r="R3380" s="6">
        <v>100</v>
      </c>
      <c r="S3380" s="15">
        <f t="shared" si="922"/>
        <v>0.0952380952380952</v>
      </c>
      <c r="T3380" s="15">
        <f t="shared" si="923"/>
        <v>0</v>
      </c>
      <c r="U3380" s="15">
        <f t="shared" si="924"/>
        <v>0</v>
      </c>
      <c r="V3380" s="15">
        <f t="shared" si="925"/>
        <v>24000</v>
      </c>
      <c r="W3380" s="15">
        <f t="shared" si="926"/>
        <v>253.968253968254</v>
      </c>
    </row>
    <row r="3381" s="15" customFormat="1" spans="2:23">
      <c r="B3381" s="16" t="s">
        <v>1872</v>
      </c>
      <c r="D3381" s="16" t="s">
        <v>1873</v>
      </c>
      <c r="G3381" s="6">
        <v>1</v>
      </c>
      <c r="H3381" s="15">
        <v>15</v>
      </c>
      <c r="I3381" s="15">
        <f t="shared" si="927"/>
        <v>15</v>
      </c>
      <c r="J3381" s="16" t="str">
        <f t="shared" si="921"/>
        <v>purple</v>
      </c>
      <c r="K3381" s="109">
        <f t="shared" si="928"/>
        <v>0.9765625</v>
      </c>
      <c r="L3381" s="6">
        <v>-0.1</v>
      </c>
      <c r="M3381" s="16" t="s">
        <v>1753</v>
      </c>
      <c r="N3381" s="30" t="b">
        <v>1</v>
      </c>
      <c r="O3381" s="15">
        <f t="shared" si="929"/>
        <v>39062.5</v>
      </c>
      <c r="P3381" s="15">
        <f t="shared" si="930"/>
        <v>45000</v>
      </c>
      <c r="Q3381" s="16">
        <f>_xlfn.FLOOR.MATH(P3381*(1+L3381),1000)</f>
        <v>40000</v>
      </c>
      <c r="R3381" s="6">
        <v>100</v>
      </c>
      <c r="S3381" s="15">
        <f t="shared" si="922"/>
        <v>0.158730158730159</v>
      </c>
      <c r="T3381" s="15">
        <f t="shared" si="923"/>
        <v>0</v>
      </c>
      <c r="U3381" s="15">
        <f t="shared" si="924"/>
        <v>0</v>
      </c>
      <c r="V3381" s="15">
        <f t="shared" si="925"/>
        <v>40000</v>
      </c>
      <c r="W3381" s="15">
        <f t="shared" si="926"/>
        <v>423.280423280423</v>
      </c>
    </row>
    <row r="3382" s="15" customFormat="1" spans="2:23">
      <c r="B3382" s="16" t="s">
        <v>1874</v>
      </c>
      <c r="D3382" s="16" t="s">
        <v>1875</v>
      </c>
      <c r="G3382" s="6">
        <v>1</v>
      </c>
      <c r="H3382" s="15">
        <v>60</v>
      </c>
      <c r="I3382" s="15">
        <f t="shared" si="927"/>
        <v>60</v>
      </c>
      <c r="J3382" s="16" t="str">
        <f t="shared" si="921"/>
        <v>purple</v>
      </c>
      <c r="K3382" s="109">
        <f t="shared" si="928"/>
        <v>0.964506172839506</v>
      </c>
      <c r="L3382" s="6">
        <v>-0.1</v>
      </c>
      <c r="M3382" s="16" t="s">
        <v>1753</v>
      </c>
      <c r="N3382" s="30" t="b">
        <v>1</v>
      </c>
      <c r="O3382" s="15">
        <f t="shared" si="929"/>
        <v>156250</v>
      </c>
      <c r="P3382" s="15">
        <f t="shared" si="930"/>
        <v>180000</v>
      </c>
      <c r="Q3382" s="16">
        <f>_xlfn.FLOOR.MATH(P3382*(1+L3382),1000)</f>
        <v>162000</v>
      </c>
      <c r="R3382" s="6">
        <v>100</v>
      </c>
      <c r="S3382" s="15">
        <f t="shared" si="922"/>
        <v>0.634920634920635</v>
      </c>
      <c r="T3382" s="15">
        <f t="shared" si="923"/>
        <v>0</v>
      </c>
      <c r="U3382" s="15">
        <f t="shared" si="924"/>
        <v>0</v>
      </c>
      <c r="V3382" s="15">
        <f t="shared" si="925"/>
        <v>162000</v>
      </c>
      <c r="W3382" s="15">
        <f t="shared" si="926"/>
        <v>1714.28571428571</v>
      </c>
    </row>
    <row r="3383" s="15" customFormat="1" spans="2:23">
      <c r="B3383" s="16" t="s">
        <v>1876</v>
      </c>
      <c r="D3383" s="16" t="s">
        <v>1871</v>
      </c>
      <c r="G3383" s="6">
        <v>15</v>
      </c>
      <c r="H3383" s="15">
        <v>3</v>
      </c>
      <c r="I3383" s="15">
        <f t="shared" si="927"/>
        <v>45</v>
      </c>
      <c r="J3383" s="16" t="str">
        <f t="shared" si="921"/>
        <v>purple</v>
      </c>
      <c r="K3383" s="109">
        <f t="shared" si="928"/>
        <v>0.96849173553719</v>
      </c>
      <c r="L3383" s="6">
        <v>-0.1</v>
      </c>
      <c r="M3383" s="16" t="s">
        <v>1753</v>
      </c>
      <c r="N3383" s="30" t="b">
        <v>1</v>
      </c>
      <c r="O3383" s="15">
        <f t="shared" si="929"/>
        <v>117187.5</v>
      </c>
      <c r="P3383" s="15">
        <f t="shared" si="930"/>
        <v>135000</v>
      </c>
      <c r="Q3383" s="16">
        <f>_xlfn.FLOOR.MATH(P3383*(1+L3383),1000)</f>
        <v>121000</v>
      </c>
      <c r="R3383" s="6">
        <v>100</v>
      </c>
      <c r="S3383" s="15">
        <f t="shared" si="922"/>
        <v>0.476190476190476</v>
      </c>
      <c r="T3383" s="15">
        <f t="shared" si="923"/>
        <v>0</v>
      </c>
      <c r="U3383" s="15">
        <f t="shared" si="924"/>
        <v>0</v>
      </c>
      <c r="V3383" s="15">
        <f t="shared" si="925"/>
        <v>121000</v>
      </c>
      <c r="W3383" s="15">
        <f t="shared" si="926"/>
        <v>1280.42328042328</v>
      </c>
    </row>
    <row r="3384" s="15" customFormat="1" spans="2:23">
      <c r="B3384" s="16" t="s">
        <v>1877</v>
      </c>
      <c r="D3384" s="16" t="s">
        <v>1873</v>
      </c>
      <c r="G3384" s="6">
        <v>5</v>
      </c>
      <c r="H3384" s="15">
        <v>15</v>
      </c>
      <c r="I3384" s="15">
        <f t="shared" si="927"/>
        <v>75</v>
      </c>
      <c r="J3384" s="16" t="str">
        <f t="shared" si="921"/>
        <v>purple</v>
      </c>
      <c r="K3384" s="109">
        <f t="shared" si="928"/>
        <v>0.966893564356436</v>
      </c>
      <c r="L3384" s="6">
        <v>-0.1</v>
      </c>
      <c r="M3384" s="16" t="s">
        <v>1753</v>
      </c>
      <c r="N3384" s="30" t="b">
        <v>1</v>
      </c>
      <c r="O3384" s="15">
        <f t="shared" si="929"/>
        <v>195312.5</v>
      </c>
      <c r="P3384" s="15">
        <f t="shared" si="930"/>
        <v>225000</v>
      </c>
      <c r="Q3384" s="16">
        <f>_xlfn.FLOOR.MATH(P3384*(1+L3384),1000)</f>
        <v>202000</v>
      </c>
      <c r="R3384" s="6">
        <v>100</v>
      </c>
      <c r="S3384" s="15">
        <f t="shared" si="922"/>
        <v>0.793650793650794</v>
      </c>
      <c r="T3384" s="15">
        <f t="shared" si="923"/>
        <v>0</v>
      </c>
      <c r="U3384" s="15">
        <f t="shared" si="924"/>
        <v>0</v>
      </c>
      <c r="V3384" s="15">
        <f t="shared" si="925"/>
        <v>202000</v>
      </c>
      <c r="W3384" s="15">
        <f t="shared" si="926"/>
        <v>2137.56613756614</v>
      </c>
    </row>
    <row r="3385" s="15" customFormat="1" spans="2:23">
      <c r="B3385" s="16" t="s">
        <v>1878</v>
      </c>
      <c r="D3385" s="16" t="s">
        <v>1875</v>
      </c>
      <c r="G3385" s="6">
        <v>2</v>
      </c>
      <c r="H3385" s="15">
        <v>60</v>
      </c>
      <c r="I3385" s="15">
        <f t="shared" si="927"/>
        <v>120</v>
      </c>
      <c r="J3385" s="16" t="str">
        <f t="shared" si="921"/>
        <v>purple</v>
      </c>
      <c r="K3385" s="109">
        <f t="shared" si="928"/>
        <v>0.964506172839506</v>
      </c>
      <c r="L3385" s="6">
        <v>-0.1</v>
      </c>
      <c r="M3385" s="16" t="s">
        <v>1753</v>
      </c>
      <c r="N3385" s="30" t="b">
        <v>1</v>
      </c>
      <c r="O3385" s="15">
        <f t="shared" si="929"/>
        <v>312500</v>
      </c>
      <c r="P3385" s="15">
        <f t="shared" si="930"/>
        <v>360000</v>
      </c>
      <c r="Q3385" s="16">
        <f>_xlfn.FLOOR.MATH(P3385*(1+L3385),1000)</f>
        <v>324000</v>
      </c>
      <c r="R3385" s="6">
        <v>100</v>
      </c>
      <c r="S3385" s="15">
        <f t="shared" si="922"/>
        <v>1.26984126984127</v>
      </c>
      <c r="T3385" s="15">
        <f t="shared" si="923"/>
        <v>0</v>
      </c>
      <c r="U3385" s="15">
        <f t="shared" si="924"/>
        <v>0</v>
      </c>
      <c r="V3385" s="15">
        <f t="shared" si="925"/>
        <v>324000</v>
      </c>
      <c r="W3385" s="15">
        <f t="shared" si="926"/>
        <v>3428.57142857143</v>
      </c>
    </row>
    <row r="3386" s="15" customFormat="1" spans="2:23">
      <c r="B3386" s="16" t="s">
        <v>1879</v>
      </c>
      <c r="D3386" s="16" t="s">
        <v>1880</v>
      </c>
      <c r="G3386" s="6">
        <v>3</v>
      </c>
      <c r="H3386" s="15">
        <v>3</v>
      </c>
      <c r="I3386" s="15">
        <f t="shared" si="927"/>
        <v>9</v>
      </c>
      <c r="J3386" s="16" t="str">
        <f t="shared" si="921"/>
        <v>purple</v>
      </c>
      <c r="K3386" s="109">
        <f t="shared" si="928"/>
        <v>0.9765625</v>
      </c>
      <c r="L3386" s="6">
        <v>-0.1</v>
      </c>
      <c r="M3386" s="16" t="s">
        <v>1760</v>
      </c>
      <c r="N3386" s="30" t="b">
        <v>1</v>
      </c>
      <c r="O3386" s="15">
        <f t="shared" si="929"/>
        <v>23437.5</v>
      </c>
      <c r="P3386" s="15">
        <f t="shared" si="930"/>
        <v>27000</v>
      </c>
      <c r="Q3386" s="16">
        <f>_xlfn.FLOOR.MATH(P3386*(1+L3386),1000)</f>
        <v>24000</v>
      </c>
      <c r="R3386" s="6">
        <v>100</v>
      </c>
      <c r="S3386" s="15">
        <f t="shared" si="922"/>
        <v>0.0952380952380952</v>
      </c>
      <c r="T3386" s="15">
        <f t="shared" si="923"/>
        <v>0</v>
      </c>
      <c r="U3386" s="15">
        <f t="shared" si="924"/>
        <v>0</v>
      </c>
      <c r="V3386" s="15">
        <f t="shared" si="925"/>
        <v>24000</v>
      </c>
      <c r="W3386" s="15">
        <f t="shared" si="926"/>
        <v>253.968253968254</v>
      </c>
    </row>
    <row r="3387" s="15" customFormat="1" spans="2:23">
      <c r="B3387" s="16" t="s">
        <v>1881</v>
      </c>
      <c r="D3387" s="16" t="s">
        <v>1882</v>
      </c>
      <c r="G3387" s="6">
        <v>1</v>
      </c>
      <c r="H3387" s="15">
        <v>15</v>
      </c>
      <c r="I3387" s="15">
        <f t="shared" si="927"/>
        <v>15</v>
      </c>
      <c r="J3387" s="16" t="str">
        <f t="shared" si="921"/>
        <v>purple</v>
      </c>
      <c r="K3387" s="109">
        <f t="shared" si="928"/>
        <v>0.9765625</v>
      </c>
      <c r="L3387" s="6">
        <v>-0.1</v>
      </c>
      <c r="M3387" s="16" t="s">
        <v>1760</v>
      </c>
      <c r="N3387" s="30" t="b">
        <v>1</v>
      </c>
      <c r="O3387" s="15">
        <f t="shared" si="929"/>
        <v>39062.5</v>
      </c>
      <c r="P3387" s="15">
        <f t="shared" si="930"/>
        <v>45000</v>
      </c>
      <c r="Q3387" s="16">
        <f>_xlfn.FLOOR.MATH(P3387*(1+L3387),1000)</f>
        <v>40000</v>
      </c>
      <c r="R3387" s="6">
        <v>100</v>
      </c>
      <c r="S3387" s="15">
        <f t="shared" si="922"/>
        <v>0.158730158730159</v>
      </c>
      <c r="T3387" s="15">
        <f t="shared" si="923"/>
        <v>0</v>
      </c>
      <c r="U3387" s="15">
        <f t="shared" si="924"/>
        <v>0</v>
      </c>
      <c r="V3387" s="15">
        <f t="shared" si="925"/>
        <v>40000</v>
      </c>
      <c r="W3387" s="15">
        <f t="shared" si="926"/>
        <v>423.280423280423</v>
      </c>
    </row>
    <row r="3388" s="15" customFormat="1" spans="2:23">
      <c r="B3388" s="16" t="s">
        <v>1883</v>
      </c>
      <c r="D3388" s="16" t="s">
        <v>1884</v>
      </c>
      <c r="G3388" s="6">
        <v>1</v>
      </c>
      <c r="H3388" s="15">
        <v>60</v>
      </c>
      <c r="I3388" s="15">
        <f t="shared" si="927"/>
        <v>60</v>
      </c>
      <c r="J3388" s="16" t="str">
        <f t="shared" si="921"/>
        <v>purple</v>
      </c>
      <c r="K3388" s="109">
        <f t="shared" si="928"/>
        <v>0.964506172839506</v>
      </c>
      <c r="L3388" s="6">
        <v>-0.1</v>
      </c>
      <c r="M3388" s="16" t="s">
        <v>1760</v>
      </c>
      <c r="N3388" s="30" t="b">
        <v>1</v>
      </c>
      <c r="O3388" s="15">
        <f t="shared" si="929"/>
        <v>156250</v>
      </c>
      <c r="P3388" s="15">
        <f t="shared" si="930"/>
        <v>180000</v>
      </c>
      <c r="Q3388" s="16">
        <f>_xlfn.FLOOR.MATH(P3388*(1+L3388),1000)</f>
        <v>162000</v>
      </c>
      <c r="R3388" s="6">
        <v>100</v>
      </c>
      <c r="S3388" s="15">
        <f t="shared" si="922"/>
        <v>0.634920634920635</v>
      </c>
      <c r="T3388" s="15">
        <f t="shared" si="923"/>
        <v>0</v>
      </c>
      <c r="U3388" s="15">
        <f t="shared" si="924"/>
        <v>0</v>
      </c>
      <c r="V3388" s="15">
        <f t="shared" si="925"/>
        <v>162000</v>
      </c>
      <c r="W3388" s="15">
        <f t="shared" si="926"/>
        <v>1714.28571428571</v>
      </c>
    </row>
    <row r="3389" s="15" customFormat="1" spans="2:23">
      <c r="B3389" s="16" t="s">
        <v>1885</v>
      </c>
      <c r="D3389" s="16" t="s">
        <v>1880</v>
      </c>
      <c r="G3389" s="6">
        <v>15</v>
      </c>
      <c r="H3389" s="15">
        <v>3</v>
      </c>
      <c r="I3389" s="15">
        <f t="shared" ref="I3389:I3395" si="931">H3389*G3389</f>
        <v>45</v>
      </c>
      <c r="J3389" s="16" t="str">
        <f t="shared" si="921"/>
        <v>purple</v>
      </c>
      <c r="K3389" s="109">
        <f t="shared" si="928"/>
        <v>0.96849173553719</v>
      </c>
      <c r="L3389" s="6">
        <v>-0.1</v>
      </c>
      <c r="M3389" s="16" t="s">
        <v>1760</v>
      </c>
      <c r="N3389" s="30" t="b">
        <v>1</v>
      </c>
      <c r="O3389" s="15">
        <f t="shared" si="929"/>
        <v>117187.5</v>
      </c>
      <c r="P3389" s="15">
        <f t="shared" si="930"/>
        <v>135000</v>
      </c>
      <c r="Q3389" s="16">
        <f>_xlfn.FLOOR.MATH(P3389*(1+L3389),1000)</f>
        <v>121000</v>
      </c>
      <c r="R3389" s="6">
        <v>100</v>
      </c>
      <c r="S3389" s="15">
        <f t="shared" si="922"/>
        <v>0.476190476190476</v>
      </c>
      <c r="T3389" s="15">
        <f t="shared" si="923"/>
        <v>0</v>
      </c>
      <c r="U3389" s="15">
        <f t="shared" si="924"/>
        <v>0</v>
      </c>
      <c r="V3389" s="15">
        <f t="shared" si="925"/>
        <v>121000</v>
      </c>
      <c r="W3389" s="15">
        <f t="shared" si="926"/>
        <v>1280.42328042328</v>
      </c>
    </row>
    <row r="3390" s="15" customFormat="1" spans="2:23">
      <c r="B3390" s="16" t="s">
        <v>1886</v>
      </c>
      <c r="D3390" s="16" t="s">
        <v>1882</v>
      </c>
      <c r="G3390" s="6">
        <v>5</v>
      </c>
      <c r="H3390" s="15">
        <v>15</v>
      </c>
      <c r="I3390" s="15">
        <f t="shared" si="931"/>
        <v>75</v>
      </c>
      <c r="J3390" s="16" t="str">
        <f t="shared" si="921"/>
        <v>purple</v>
      </c>
      <c r="K3390" s="109">
        <f t="shared" si="928"/>
        <v>0.966893564356436</v>
      </c>
      <c r="L3390" s="6">
        <v>-0.1</v>
      </c>
      <c r="M3390" s="16" t="s">
        <v>1760</v>
      </c>
      <c r="N3390" s="30" t="b">
        <v>1</v>
      </c>
      <c r="O3390" s="15">
        <f t="shared" si="929"/>
        <v>195312.5</v>
      </c>
      <c r="P3390" s="15">
        <f t="shared" si="930"/>
        <v>225000</v>
      </c>
      <c r="Q3390" s="16">
        <f>_xlfn.FLOOR.MATH(P3390*(1+L3390),1000)</f>
        <v>202000</v>
      </c>
      <c r="R3390" s="6">
        <v>100</v>
      </c>
      <c r="S3390" s="15">
        <f t="shared" si="922"/>
        <v>0.793650793650794</v>
      </c>
      <c r="T3390" s="15">
        <f t="shared" si="923"/>
        <v>0</v>
      </c>
      <c r="U3390" s="15">
        <f t="shared" si="924"/>
        <v>0</v>
      </c>
      <c r="V3390" s="15">
        <f t="shared" si="925"/>
        <v>202000</v>
      </c>
      <c r="W3390" s="15">
        <f t="shared" si="926"/>
        <v>2137.56613756614</v>
      </c>
    </row>
    <row r="3391" s="15" customFormat="1" spans="2:23">
      <c r="B3391" s="16" t="s">
        <v>1887</v>
      </c>
      <c r="D3391" s="16" t="s">
        <v>1884</v>
      </c>
      <c r="G3391" s="6">
        <v>2</v>
      </c>
      <c r="H3391" s="15">
        <v>60</v>
      </c>
      <c r="I3391" s="15">
        <f t="shared" si="931"/>
        <v>120</v>
      </c>
      <c r="J3391" s="16" t="str">
        <f t="shared" si="921"/>
        <v>purple</v>
      </c>
      <c r="K3391" s="109">
        <f t="shared" si="928"/>
        <v>0.964506172839506</v>
      </c>
      <c r="L3391" s="6">
        <v>-0.1</v>
      </c>
      <c r="M3391" s="16" t="s">
        <v>1760</v>
      </c>
      <c r="N3391" s="30" t="b">
        <v>1</v>
      </c>
      <c r="O3391" s="15">
        <f t="shared" si="929"/>
        <v>312500</v>
      </c>
      <c r="P3391" s="15">
        <f t="shared" si="930"/>
        <v>360000</v>
      </c>
      <c r="Q3391" s="16">
        <f>_xlfn.FLOOR.MATH(P3391*(1+L3391),1000)</f>
        <v>324000</v>
      </c>
      <c r="R3391" s="6">
        <v>100</v>
      </c>
      <c r="S3391" s="15">
        <f t="shared" si="922"/>
        <v>1.26984126984127</v>
      </c>
      <c r="T3391" s="15">
        <f t="shared" si="923"/>
        <v>0</v>
      </c>
      <c r="U3391" s="15">
        <f t="shared" si="924"/>
        <v>0</v>
      </c>
      <c r="V3391" s="15">
        <f t="shared" si="925"/>
        <v>324000</v>
      </c>
      <c r="W3391" s="15">
        <f t="shared" si="926"/>
        <v>3428.57142857143</v>
      </c>
    </row>
    <row r="3392" spans="2:23">
      <c r="B3392" s="4" t="s">
        <v>1888</v>
      </c>
      <c r="D3392" s="4" t="s">
        <v>1862</v>
      </c>
      <c r="G3392" s="6">
        <v>3</v>
      </c>
      <c r="H3392" s="1">
        <v>3</v>
      </c>
      <c r="I3392" s="1">
        <f t="shared" si="931"/>
        <v>9</v>
      </c>
      <c r="J3392" s="4" t="str">
        <f t="shared" si="921"/>
        <v>purple</v>
      </c>
      <c r="K3392" s="50">
        <f t="shared" si="928"/>
        <v>1.11607142857143</v>
      </c>
      <c r="L3392" s="6">
        <v>-0.2</v>
      </c>
      <c r="M3392" s="4" t="s">
        <v>1767</v>
      </c>
      <c r="N3392" s="30" t="b">
        <v>1</v>
      </c>
      <c r="O3392" s="1">
        <f t="shared" si="929"/>
        <v>23437.5</v>
      </c>
      <c r="P3392" s="1">
        <f t="shared" si="930"/>
        <v>27000</v>
      </c>
      <c r="Q3392" s="4">
        <f>_xlfn.FLOOR.MATH(P3392*(1+L3392),1000)</f>
        <v>21000</v>
      </c>
      <c r="R3392" s="6">
        <v>75</v>
      </c>
      <c r="S3392" s="1">
        <f t="shared" si="922"/>
        <v>0.0714285714285714</v>
      </c>
      <c r="T3392" s="1">
        <f t="shared" si="923"/>
        <v>0</v>
      </c>
      <c r="U3392" s="1">
        <f t="shared" si="924"/>
        <v>0</v>
      </c>
      <c r="V3392" s="1">
        <f t="shared" si="925"/>
        <v>21000</v>
      </c>
      <c r="W3392" s="1">
        <f t="shared" si="926"/>
        <v>166.666666666667</v>
      </c>
    </row>
    <row r="3393" spans="2:23">
      <c r="B3393" s="4" t="s">
        <v>1889</v>
      </c>
      <c r="D3393" s="4" t="s">
        <v>1864</v>
      </c>
      <c r="G3393" s="6">
        <v>1</v>
      </c>
      <c r="H3393" s="1">
        <v>15</v>
      </c>
      <c r="I3393" s="1">
        <f t="shared" si="931"/>
        <v>15</v>
      </c>
      <c r="J3393" s="4" t="str">
        <f t="shared" si="921"/>
        <v>purple</v>
      </c>
      <c r="K3393" s="50">
        <f t="shared" si="928"/>
        <v>1.08506944444444</v>
      </c>
      <c r="L3393" s="6">
        <v>-0.2</v>
      </c>
      <c r="M3393" s="4" t="s">
        <v>1767</v>
      </c>
      <c r="N3393" s="30" t="b">
        <v>1</v>
      </c>
      <c r="O3393" s="1">
        <f t="shared" si="929"/>
        <v>39062.5</v>
      </c>
      <c r="P3393" s="1">
        <f t="shared" si="930"/>
        <v>45000</v>
      </c>
      <c r="Q3393" s="4">
        <f>_xlfn.FLOOR.MATH(P3393*(1+L3393),1000)</f>
        <v>36000</v>
      </c>
      <c r="R3393" s="6">
        <v>75</v>
      </c>
      <c r="S3393" s="1">
        <f t="shared" si="922"/>
        <v>0.119047619047619</v>
      </c>
      <c r="T3393" s="1">
        <f t="shared" si="923"/>
        <v>0</v>
      </c>
      <c r="U3393" s="1">
        <f t="shared" si="924"/>
        <v>0</v>
      </c>
      <c r="V3393" s="1">
        <f t="shared" si="925"/>
        <v>36000</v>
      </c>
      <c r="W3393" s="1">
        <f t="shared" si="926"/>
        <v>285.714285714286</v>
      </c>
    </row>
    <row r="3394" spans="2:23">
      <c r="B3394" s="4" t="s">
        <v>1890</v>
      </c>
      <c r="D3394" s="4" t="s">
        <v>1866</v>
      </c>
      <c r="G3394" s="6">
        <v>1</v>
      </c>
      <c r="H3394" s="1">
        <v>60</v>
      </c>
      <c r="I3394" s="1">
        <f t="shared" si="931"/>
        <v>60</v>
      </c>
      <c r="J3394" s="4" t="str">
        <f t="shared" si="921"/>
        <v>purple</v>
      </c>
      <c r="K3394" s="50">
        <f t="shared" si="928"/>
        <v>1.08506944444444</v>
      </c>
      <c r="L3394" s="6">
        <v>-0.2</v>
      </c>
      <c r="M3394" s="4" t="s">
        <v>1767</v>
      </c>
      <c r="N3394" s="30" t="b">
        <v>1</v>
      </c>
      <c r="O3394" s="1">
        <f t="shared" si="929"/>
        <v>156250</v>
      </c>
      <c r="P3394" s="1">
        <f t="shared" si="930"/>
        <v>180000</v>
      </c>
      <c r="Q3394" s="4">
        <f>_xlfn.FLOOR.MATH(P3394*(1+L3394),1000)</f>
        <v>144000</v>
      </c>
      <c r="R3394" s="6">
        <v>75</v>
      </c>
      <c r="S3394" s="1">
        <f t="shared" si="922"/>
        <v>0.476190476190476</v>
      </c>
      <c r="T3394" s="1">
        <f t="shared" si="923"/>
        <v>0</v>
      </c>
      <c r="U3394" s="1">
        <f t="shared" si="924"/>
        <v>0</v>
      </c>
      <c r="V3394" s="1">
        <f t="shared" si="925"/>
        <v>144000</v>
      </c>
      <c r="W3394" s="1">
        <f t="shared" si="926"/>
        <v>1142.85714285714</v>
      </c>
    </row>
    <row r="3395" spans="2:23">
      <c r="B3395" s="4" t="s">
        <v>1891</v>
      </c>
      <c r="D3395" s="4" t="s">
        <v>1862</v>
      </c>
      <c r="G3395" s="6">
        <v>15</v>
      </c>
      <c r="H3395" s="1">
        <v>3</v>
      </c>
      <c r="I3395" s="1">
        <f t="shared" si="931"/>
        <v>45</v>
      </c>
      <c r="J3395" s="4" t="str">
        <f t="shared" si="921"/>
        <v>purple</v>
      </c>
      <c r="K3395" s="50">
        <f t="shared" si="928"/>
        <v>1.08506944444444</v>
      </c>
      <c r="L3395" s="6">
        <v>-0.2</v>
      </c>
      <c r="M3395" s="4" t="s">
        <v>1767</v>
      </c>
      <c r="N3395" s="30" t="b">
        <v>1</v>
      </c>
      <c r="O3395" s="1">
        <f t="shared" si="929"/>
        <v>117187.5</v>
      </c>
      <c r="P3395" s="1">
        <f t="shared" si="930"/>
        <v>135000</v>
      </c>
      <c r="Q3395" s="4">
        <f>_xlfn.FLOOR.MATH(P3395*(1+L3395),1000)</f>
        <v>108000</v>
      </c>
      <c r="R3395" s="6">
        <v>75</v>
      </c>
      <c r="S3395" s="1">
        <f t="shared" si="922"/>
        <v>0.357142857142857</v>
      </c>
      <c r="T3395" s="1">
        <f t="shared" si="923"/>
        <v>0</v>
      </c>
      <c r="U3395" s="1">
        <f t="shared" si="924"/>
        <v>0</v>
      </c>
      <c r="V3395" s="1">
        <f t="shared" si="925"/>
        <v>108000</v>
      </c>
      <c r="W3395" s="1">
        <f t="shared" si="926"/>
        <v>857.142857142857</v>
      </c>
    </row>
    <row r="3396" spans="2:23">
      <c r="B3396" s="4" t="s">
        <v>1892</v>
      </c>
      <c r="D3396" s="4" t="s">
        <v>1864</v>
      </c>
      <c r="G3396" s="6">
        <v>5</v>
      </c>
      <c r="H3396" s="1">
        <v>15</v>
      </c>
      <c r="I3396" s="1">
        <f t="shared" ref="I3396:I3413" si="932">H3396*G3396</f>
        <v>75</v>
      </c>
      <c r="J3396" s="4" t="str">
        <f t="shared" si="921"/>
        <v>purple</v>
      </c>
      <c r="K3396" s="50">
        <f t="shared" si="928"/>
        <v>1.08506944444444</v>
      </c>
      <c r="L3396" s="6">
        <v>-0.2</v>
      </c>
      <c r="M3396" s="4" t="s">
        <v>1767</v>
      </c>
      <c r="N3396" s="30" t="b">
        <v>1</v>
      </c>
      <c r="O3396" s="1">
        <f t="shared" si="929"/>
        <v>195312.5</v>
      </c>
      <c r="P3396" s="1">
        <f t="shared" si="930"/>
        <v>225000</v>
      </c>
      <c r="Q3396" s="4">
        <f>_xlfn.FLOOR.MATH(P3396*(1+L3396),1000)</f>
        <v>180000</v>
      </c>
      <c r="R3396" s="6">
        <v>75</v>
      </c>
      <c r="S3396" s="1">
        <f t="shared" si="922"/>
        <v>0.595238095238095</v>
      </c>
      <c r="T3396" s="1">
        <f t="shared" si="923"/>
        <v>0</v>
      </c>
      <c r="U3396" s="1">
        <f t="shared" si="924"/>
        <v>0</v>
      </c>
      <c r="V3396" s="1">
        <f t="shared" si="925"/>
        <v>180000</v>
      </c>
      <c r="W3396" s="1">
        <f t="shared" si="926"/>
        <v>1428.57142857143</v>
      </c>
    </row>
    <row r="3397" spans="2:23">
      <c r="B3397" s="4" t="s">
        <v>1893</v>
      </c>
      <c r="D3397" s="4" t="s">
        <v>1866</v>
      </c>
      <c r="G3397" s="6">
        <v>2</v>
      </c>
      <c r="H3397" s="1">
        <v>60</v>
      </c>
      <c r="I3397" s="1">
        <f t="shared" si="932"/>
        <v>120</v>
      </c>
      <c r="J3397" s="4" t="str">
        <f t="shared" si="921"/>
        <v>purple</v>
      </c>
      <c r="K3397" s="50">
        <f t="shared" si="928"/>
        <v>1.08506944444444</v>
      </c>
      <c r="L3397" s="6">
        <v>-0.2</v>
      </c>
      <c r="M3397" s="4" t="s">
        <v>1767</v>
      </c>
      <c r="N3397" s="30" t="b">
        <v>1</v>
      </c>
      <c r="O3397" s="1">
        <f t="shared" si="929"/>
        <v>312500</v>
      </c>
      <c r="P3397" s="1">
        <f t="shared" si="930"/>
        <v>360000</v>
      </c>
      <c r="Q3397" s="4">
        <f>_xlfn.FLOOR.MATH(P3397*(1+L3397),1000)</f>
        <v>288000</v>
      </c>
      <c r="R3397" s="6">
        <v>75</v>
      </c>
      <c r="S3397" s="1">
        <f t="shared" si="922"/>
        <v>0.952380952380952</v>
      </c>
      <c r="T3397" s="1">
        <f t="shared" si="923"/>
        <v>0</v>
      </c>
      <c r="U3397" s="1">
        <f t="shared" si="924"/>
        <v>0</v>
      </c>
      <c r="V3397" s="1">
        <f t="shared" si="925"/>
        <v>288000</v>
      </c>
      <c r="W3397" s="1">
        <f t="shared" si="926"/>
        <v>2285.71428571429</v>
      </c>
    </row>
    <row r="3398" spans="2:23">
      <c r="B3398" s="4" t="s">
        <v>1894</v>
      </c>
      <c r="D3398" s="4" t="s">
        <v>1871</v>
      </c>
      <c r="G3398" s="6">
        <v>3</v>
      </c>
      <c r="H3398" s="1">
        <v>3</v>
      </c>
      <c r="I3398" s="1">
        <f t="shared" si="932"/>
        <v>9</v>
      </c>
      <c r="J3398" s="4" t="str">
        <f t="shared" si="921"/>
        <v>purple</v>
      </c>
      <c r="K3398" s="50">
        <f t="shared" si="928"/>
        <v>1.11607142857143</v>
      </c>
      <c r="L3398" s="6">
        <v>-0.2</v>
      </c>
      <c r="M3398" s="4" t="s">
        <v>1753</v>
      </c>
      <c r="N3398" s="30" t="b">
        <v>1</v>
      </c>
      <c r="O3398" s="1">
        <f t="shared" si="929"/>
        <v>23437.5</v>
      </c>
      <c r="P3398" s="1">
        <f t="shared" si="930"/>
        <v>27000</v>
      </c>
      <c r="Q3398" s="4">
        <f>_xlfn.FLOOR.MATH(P3398*(1+L3398),1000)</f>
        <v>21000</v>
      </c>
      <c r="R3398" s="6">
        <v>75</v>
      </c>
      <c r="S3398" s="1">
        <f t="shared" si="922"/>
        <v>0.0714285714285714</v>
      </c>
      <c r="T3398" s="1">
        <f t="shared" si="923"/>
        <v>0</v>
      </c>
      <c r="U3398" s="1">
        <f t="shared" si="924"/>
        <v>0</v>
      </c>
      <c r="V3398" s="1">
        <f t="shared" si="925"/>
        <v>21000</v>
      </c>
      <c r="W3398" s="1">
        <f t="shared" si="926"/>
        <v>166.666666666667</v>
      </c>
    </row>
    <row r="3399" spans="2:23">
      <c r="B3399" s="4" t="s">
        <v>1895</v>
      </c>
      <c r="D3399" s="4" t="s">
        <v>1873</v>
      </c>
      <c r="G3399" s="6">
        <v>1</v>
      </c>
      <c r="H3399" s="1">
        <v>15</v>
      </c>
      <c r="I3399" s="1">
        <f t="shared" si="932"/>
        <v>15</v>
      </c>
      <c r="J3399" s="4" t="str">
        <f t="shared" si="921"/>
        <v>purple</v>
      </c>
      <c r="K3399" s="50">
        <f t="shared" si="928"/>
        <v>1.08506944444444</v>
      </c>
      <c r="L3399" s="6">
        <v>-0.2</v>
      </c>
      <c r="M3399" s="4" t="s">
        <v>1753</v>
      </c>
      <c r="N3399" s="30" t="b">
        <v>1</v>
      </c>
      <c r="O3399" s="1">
        <f t="shared" si="929"/>
        <v>39062.5</v>
      </c>
      <c r="P3399" s="1">
        <f t="shared" si="930"/>
        <v>45000</v>
      </c>
      <c r="Q3399" s="4">
        <f>_xlfn.FLOOR.MATH(P3399*(1+L3399),1000)</f>
        <v>36000</v>
      </c>
      <c r="R3399" s="6">
        <v>75</v>
      </c>
      <c r="S3399" s="1">
        <f t="shared" si="922"/>
        <v>0.119047619047619</v>
      </c>
      <c r="T3399" s="1">
        <f t="shared" si="923"/>
        <v>0</v>
      </c>
      <c r="U3399" s="1">
        <f t="shared" si="924"/>
        <v>0</v>
      </c>
      <c r="V3399" s="1">
        <f t="shared" si="925"/>
        <v>36000</v>
      </c>
      <c r="W3399" s="1">
        <f t="shared" si="926"/>
        <v>285.714285714286</v>
      </c>
    </row>
    <row r="3400" spans="2:23">
      <c r="B3400" s="4" t="s">
        <v>1896</v>
      </c>
      <c r="D3400" s="4" t="s">
        <v>1875</v>
      </c>
      <c r="G3400" s="6">
        <v>1</v>
      </c>
      <c r="H3400" s="1">
        <v>60</v>
      </c>
      <c r="I3400" s="1">
        <f t="shared" si="932"/>
        <v>60</v>
      </c>
      <c r="J3400" s="4" t="str">
        <f t="shared" si="921"/>
        <v>purple</v>
      </c>
      <c r="K3400" s="50">
        <f t="shared" si="928"/>
        <v>1.08506944444444</v>
      </c>
      <c r="L3400" s="6">
        <v>-0.2</v>
      </c>
      <c r="M3400" s="4" t="s">
        <v>1753</v>
      </c>
      <c r="N3400" s="30" t="b">
        <v>1</v>
      </c>
      <c r="O3400" s="1">
        <f t="shared" si="929"/>
        <v>156250</v>
      </c>
      <c r="P3400" s="1">
        <f t="shared" si="930"/>
        <v>180000</v>
      </c>
      <c r="Q3400" s="4">
        <f>_xlfn.FLOOR.MATH(P3400*(1+L3400),1000)</f>
        <v>144000</v>
      </c>
      <c r="R3400" s="6">
        <v>75</v>
      </c>
      <c r="S3400" s="1">
        <f t="shared" si="922"/>
        <v>0.476190476190476</v>
      </c>
      <c r="T3400" s="1">
        <f t="shared" si="923"/>
        <v>0</v>
      </c>
      <c r="U3400" s="1">
        <f t="shared" si="924"/>
        <v>0</v>
      </c>
      <c r="V3400" s="1">
        <f t="shared" si="925"/>
        <v>144000</v>
      </c>
      <c r="W3400" s="1">
        <f t="shared" si="926"/>
        <v>1142.85714285714</v>
      </c>
    </row>
    <row r="3401" spans="2:23">
      <c r="B3401" s="4" t="s">
        <v>1897</v>
      </c>
      <c r="D3401" s="4" t="s">
        <v>1871</v>
      </c>
      <c r="G3401" s="6">
        <v>15</v>
      </c>
      <c r="H3401" s="1">
        <v>3</v>
      </c>
      <c r="I3401" s="1">
        <f t="shared" si="932"/>
        <v>45</v>
      </c>
      <c r="J3401" s="4" t="str">
        <f t="shared" si="921"/>
        <v>purple</v>
      </c>
      <c r="K3401" s="50">
        <f t="shared" si="928"/>
        <v>1.08506944444444</v>
      </c>
      <c r="L3401" s="6">
        <v>-0.2</v>
      </c>
      <c r="M3401" s="4" t="s">
        <v>1753</v>
      </c>
      <c r="N3401" s="30" t="b">
        <v>1</v>
      </c>
      <c r="O3401" s="1">
        <f t="shared" si="929"/>
        <v>117187.5</v>
      </c>
      <c r="P3401" s="1">
        <f t="shared" si="930"/>
        <v>135000</v>
      </c>
      <c r="Q3401" s="4">
        <f>_xlfn.FLOOR.MATH(P3401*(1+L3401),1000)</f>
        <v>108000</v>
      </c>
      <c r="R3401" s="6">
        <v>75</v>
      </c>
      <c r="S3401" s="1">
        <f t="shared" si="922"/>
        <v>0.357142857142857</v>
      </c>
      <c r="T3401" s="1">
        <f t="shared" si="923"/>
        <v>0</v>
      </c>
      <c r="U3401" s="1">
        <f t="shared" si="924"/>
        <v>0</v>
      </c>
      <c r="V3401" s="1">
        <f t="shared" si="925"/>
        <v>108000</v>
      </c>
      <c r="W3401" s="1">
        <f t="shared" si="926"/>
        <v>857.142857142857</v>
      </c>
    </row>
    <row r="3402" spans="2:23">
      <c r="B3402" s="4" t="s">
        <v>1898</v>
      </c>
      <c r="D3402" s="4" t="s">
        <v>1873</v>
      </c>
      <c r="G3402" s="6">
        <v>5</v>
      </c>
      <c r="H3402" s="1">
        <v>15</v>
      </c>
      <c r="I3402" s="1">
        <f t="shared" si="932"/>
        <v>75</v>
      </c>
      <c r="J3402" s="4" t="str">
        <f t="shared" si="921"/>
        <v>purple</v>
      </c>
      <c r="K3402" s="50">
        <f t="shared" si="928"/>
        <v>1.08506944444444</v>
      </c>
      <c r="L3402" s="6">
        <v>-0.2</v>
      </c>
      <c r="M3402" s="4" t="s">
        <v>1753</v>
      </c>
      <c r="N3402" s="30" t="b">
        <v>1</v>
      </c>
      <c r="O3402" s="1">
        <f t="shared" si="929"/>
        <v>195312.5</v>
      </c>
      <c r="P3402" s="1">
        <f t="shared" si="930"/>
        <v>225000</v>
      </c>
      <c r="Q3402" s="4">
        <f>_xlfn.FLOOR.MATH(P3402*(1+L3402),1000)</f>
        <v>180000</v>
      </c>
      <c r="R3402" s="6">
        <v>75</v>
      </c>
      <c r="S3402" s="1">
        <f t="shared" si="922"/>
        <v>0.595238095238095</v>
      </c>
      <c r="T3402" s="1">
        <f t="shared" si="923"/>
        <v>0</v>
      </c>
      <c r="U3402" s="1">
        <f t="shared" si="924"/>
        <v>0</v>
      </c>
      <c r="V3402" s="1">
        <f t="shared" si="925"/>
        <v>180000</v>
      </c>
      <c r="W3402" s="1">
        <f t="shared" si="926"/>
        <v>1428.57142857143</v>
      </c>
    </row>
    <row r="3403" spans="2:23">
      <c r="B3403" s="4" t="s">
        <v>1899</v>
      </c>
      <c r="D3403" s="4" t="s">
        <v>1875</v>
      </c>
      <c r="G3403" s="6">
        <v>2</v>
      </c>
      <c r="H3403" s="1">
        <v>60</v>
      </c>
      <c r="I3403" s="1">
        <f t="shared" si="932"/>
        <v>120</v>
      </c>
      <c r="J3403" s="4" t="str">
        <f t="shared" si="921"/>
        <v>purple</v>
      </c>
      <c r="K3403" s="50">
        <f t="shared" si="928"/>
        <v>1.08506944444444</v>
      </c>
      <c r="L3403" s="6">
        <v>-0.2</v>
      </c>
      <c r="M3403" s="4" t="s">
        <v>1753</v>
      </c>
      <c r="N3403" s="30" t="b">
        <v>1</v>
      </c>
      <c r="O3403" s="1">
        <f t="shared" si="929"/>
        <v>312500</v>
      </c>
      <c r="P3403" s="1">
        <f t="shared" si="930"/>
        <v>360000</v>
      </c>
      <c r="Q3403" s="4">
        <f>_xlfn.FLOOR.MATH(P3403*(1+L3403),1000)</f>
        <v>288000</v>
      </c>
      <c r="R3403" s="6">
        <v>75</v>
      </c>
      <c r="S3403" s="1">
        <f t="shared" si="922"/>
        <v>0.952380952380952</v>
      </c>
      <c r="T3403" s="1">
        <f t="shared" si="923"/>
        <v>0</v>
      </c>
      <c r="U3403" s="1">
        <f t="shared" si="924"/>
        <v>0</v>
      </c>
      <c r="V3403" s="1">
        <f t="shared" si="925"/>
        <v>288000</v>
      </c>
      <c r="W3403" s="1">
        <f t="shared" si="926"/>
        <v>2285.71428571429</v>
      </c>
    </row>
    <row r="3404" spans="2:23">
      <c r="B3404" s="4" t="s">
        <v>1900</v>
      </c>
      <c r="D3404" s="4" t="s">
        <v>1880</v>
      </c>
      <c r="G3404" s="6">
        <v>3</v>
      </c>
      <c r="H3404" s="1">
        <v>3</v>
      </c>
      <c r="I3404" s="1">
        <f t="shared" si="932"/>
        <v>9</v>
      </c>
      <c r="J3404" s="4" t="str">
        <f t="shared" si="921"/>
        <v>purple</v>
      </c>
      <c r="K3404" s="50">
        <f t="shared" si="928"/>
        <v>1.11607142857143</v>
      </c>
      <c r="L3404" s="6">
        <v>-0.2</v>
      </c>
      <c r="M3404" s="4" t="s">
        <v>1760</v>
      </c>
      <c r="N3404" s="30" t="b">
        <v>1</v>
      </c>
      <c r="O3404" s="1">
        <f t="shared" si="929"/>
        <v>23437.5</v>
      </c>
      <c r="P3404" s="1">
        <f t="shared" si="930"/>
        <v>27000</v>
      </c>
      <c r="Q3404" s="4">
        <f>_xlfn.FLOOR.MATH(P3404*(1+L3404),1000)</f>
        <v>21000</v>
      </c>
      <c r="R3404" s="6">
        <v>75</v>
      </c>
      <c r="S3404" s="1">
        <f t="shared" si="922"/>
        <v>0.0714285714285714</v>
      </c>
      <c r="T3404" s="1">
        <f t="shared" si="923"/>
        <v>0</v>
      </c>
      <c r="U3404" s="1">
        <f t="shared" si="924"/>
        <v>0</v>
      </c>
      <c r="V3404" s="1">
        <f t="shared" si="925"/>
        <v>21000</v>
      </c>
      <c r="W3404" s="1">
        <f t="shared" si="926"/>
        <v>166.666666666667</v>
      </c>
    </row>
    <row r="3405" spans="2:23">
      <c r="B3405" s="4" t="s">
        <v>1901</v>
      </c>
      <c r="D3405" s="4" t="s">
        <v>1882</v>
      </c>
      <c r="G3405" s="6">
        <v>1</v>
      </c>
      <c r="H3405" s="1">
        <v>15</v>
      </c>
      <c r="I3405" s="1">
        <f t="shared" si="932"/>
        <v>15</v>
      </c>
      <c r="J3405" s="4" t="str">
        <f t="shared" si="921"/>
        <v>purple</v>
      </c>
      <c r="K3405" s="50">
        <f t="shared" si="928"/>
        <v>1.08506944444444</v>
      </c>
      <c r="L3405" s="6">
        <v>-0.2</v>
      </c>
      <c r="M3405" s="4" t="s">
        <v>1760</v>
      </c>
      <c r="N3405" s="30" t="b">
        <v>1</v>
      </c>
      <c r="O3405" s="1">
        <f t="shared" si="929"/>
        <v>39062.5</v>
      </c>
      <c r="P3405" s="1">
        <f t="shared" si="930"/>
        <v>45000</v>
      </c>
      <c r="Q3405" s="4">
        <f>_xlfn.FLOOR.MATH(P3405*(1+L3405),1000)</f>
        <v>36000</v>
      </c>
      <c r="R3405" s="6">
        <v>75</v>
      </c>
      <c r="S3405" s="1">
        <f t="shared" si="922"/>
        <v>0.119047619047619</v>
      </c>
      <c r="T3405" s="1">
        <f t="shared" si="923"/>
        <v>0</v>
      </c>
      <c r="U3405" s="1">
        <f t="shared" si="924"/>
        <v>0</v>
      </c>
      <c r="V3405" s="1">
        <f t="shared" si="925"/>
        <v>36000</v>
      </c>
      <c r="W3405" s="1">
        <f t="shared" si="926"/>
        <v>285.714285714286</v>
      </c>
    </row>
    <row r="3406" spans="2:23">
      <c r="B3406" s="4" t="s">
        <v>1902</v>
      </c>
      <c r="D3406" s="4" t="s">
        <v>1884</v>
      </c>
      <c r="G3406" s="6">
        <v>1</v>
      </c>
      <c r="H3406" s="1">
        <v>60</v>
      </c>
      <c r="I3406" s="1">
        <f t="shared" si="932"/>
        <v>60</v>
      </c>
      <c r="J3406" s="4" t="str">
        <f t="shared" ref="J3406:J3437" si="933">IF(L3406&gt;-0.5,"purple","yellow")</f>
        <v>purple</v>
      </c>
      <c r="K3406" s="50">
        <f t="shared" si="928"/>
        <v>1.08506944444444</v>
      </c>
      <c r="L3406" s="6">
        <v>-0.2</v>
      </c>
      <c r="M3406" s="4" t="s">
        <v>1760</v>
      </c>
      <c r="N3406" s="30" t="b">
        <v>1</v>
      </c>
      <c r="O3406" s="1">
        <f t="shared" si="929"/>
        <v>156250</v>
      </c>
      <c r="P3406" s="1">
        <f t="shared" si="930"/>
        <v>180000</v>
      </c>
      <c r="Q3406" s="4">
        <f>_xlfn.FLOOR.MATH(P3406*(1+L3406),1000)</f>
        <v>144000</v>
      </c>
      <c r="R3406" s="6">
        <v>75</v>
      </c>
      <c r="S3406" s="1">
        <f t="shared" ref="S3406:S3437" si="934">I3406*R3406/$R$3446</f>
        <v>0.476190476190476</v>
      </c>
      <c r="T3406" s="1">
        <f t="shared" ref="T3406:T3437" si="935">IF(M3406="l_coin",Q3406,0)</f>
        <v>0</v>
      </c>
      <c r="U3406" s="1">
        <f t="shared" ref="U3406:U3437" si="936">T3406*R3406/$R$3446</f>
        <v>0</v>
      </c>
      <c r="V3406" s="1">
        <f t="shared" ref="V3406:V3437" si="937">IF(M3406="l_coin",0,Q3406)</f>
        <v>144000</v>
      </c>
      <c r="W3406" s="1">
        <f t="shared" ref="W3406:W3437" si="938">V3406*R3406/$R$3446</f>
        <v>1142.85714285714</v>
      </c>
    </row>
    <row r="3407" spans="2:23">
      <c r="B3407" s="4" t="s">
        <v>1903</v>
      </c>
      <c r="D3407" s="4" t="s">
        <v>1880</v>
      </c>
      <c r="G3407" s="6">
        <v>15</v>
      </c>
      <c r="H3407" s="1">
        <v>3</v>
      </c>
      <c r="I3407" s="1">
        <f t="shared" si="932"/>
        <v>45</v>
      </c>
      <c r="J3407" s="4" t="str">
        <f t="shared" si="933"/>
        <v>purple</v>
      </c>
      <c r="K3407" s="50">
        <f t="shared" si="928"/>
        <v>1.08506944444444</v>
      </c>
      <c r="L3407" s="6">
        <v>-0.2</v>
      </c>
      <c r="M3407" s="4" t="s">
        <v>1760</v>
      </c>
      <c r="N3407" s="30" t="b">
        <v>1</v>
      </c>
      <c r="O3407" s="1">
        <f t="shared" si="929"/>
        <v>117187.5</v>
      </c>
      <c r="P3407" s="1">
        <f t="shared" si="930"/>
        <v>135000</v>
      </c>
      <c r="Q3407" s="4">
        <f>_xlfn.FLOOR.MATH(P3407*(1+L3407),1000)</f>
        <v>108000</v>
      </c>
      <c r="R3407" s="6">
        <v>75</v>
      </c>
      <c r="S3407" s="1">
        <f t="shared" si="934"/>
        <v>0.357142857142857</v>
      </c>
      <c r="T3407" s="1">
        <f t="shared" si="935"/>
        <v>0</v>
      </c>
      <c r="U3407" s="1">
        <f t="shared" si="936"/>
        <v>0</v>
      </c>
      <c r="V3407" s="1">
        <f t="shared" si="937"/>
        <v>108000</v>
      </c>
      <c r="W3407" s="1">
        <f t="shared" si="938"/>
        <v>857.142857142857</v>
      </c>
    </row>
    <row r="3408" spans="2:23">
      <c r="B3408" s="4" t="s">
        <v>1904</v>
      </c>
      <c r="D3408" s="4" t="s">
        <v>1882</v>
      </c>
      <c r="G3408" s="6">
        <v>5</v>
      </c>
      <c r="H3408" s="1">
        <v>15</v>
      </c>
      <c r="I3408" s="1">
        <f t="shared" si="932"/>
        <v>75</v>
      </c>
      <c r="J3408" s="4" t="str">
        <f t="shared" si="933"/>
        <v>purple</v>
      </c>
      <c r="K3408" s="50">
        <f t="shared" si="928"/>
        <v>1.08506944444444</v>
      </c>
      <c r="L3408" s="6">
        <v>-0.2</v>
      </c>
      <c r="M3408" s="4" t="s">
        <v>1760</v>
      </c>
      <c r="N3408" s="30" t="b">
        <v>1</v>
      </c>
      <c r="O3408" s="1">
        <f t="shared" si="929"/>
        <v>195312.5</v>
      </c>
      <c r="P3408" s="1">
        <f t="shared" si="930"/>
        <v>225000</v>
      </c>
      <c r="Q3408" s="4">
        <f>_xlfn.FLOOR.MATH(P3408*(1+L3408),1000)</f>
        <v>180000</v>
      </c>
      <c r="R3408" s="6">
        <v>75</v>
      </c>
      <c r="S3408" s="1">
        <f t="shared" si="934"/>
        <v>0.595238095238095</v>
      </c>
      <c r="T3408" s="1">
        <f t="shared" si="935"/>
        <v>0</v>
      </c>
      <c r="U3408" s="1">
        <f t="shared" si="936"/>
        <v>0</v>
      </c>
      <c r="V3408" s="1">
        <f t="shared" si="937"/>
        <v>180000</v>
      </c>
      <c r="W3408" s="1">
        <f t="shared" si="938"/>
        <v>1428.57142857143</v>
      </c>
    </row>
    <row r="3409" spans="2:23">
      <c r="B3409" s="4" t="s">
        <v>1905</v>
      </c>
      <c r="D3409" s="4" t="s">
        <v>1884</v>
      </c>
      <c r="G3409" s="6">
        <v>2</v>
      </c>
      <c r="H3409" s="1">
        <v>60</v>
      </c>
      <c r="I3409" s="1">
        <f t="shared" si="932"/>
        <v>120</v>
      </c>
      <c r="J3409" s="4" t="str">
        <f t="shared" si="933"/>
        <v>purple</v>
      </c>
      <c r="K3409" s="50">
        <f t="shared" si="928"/>
        <v>1.08506944444444</v>
      </c>
      <c r="L3409" s="6">
        <v>-0.2</v>
      </c>
      <c r="M3409" s="4" t="s">
        <v>1760</v>
      </c>
      <c r="N3409" s="30" t="b">
        <v>1</v>
      </c>
      <c r="O3409" s="1">
        <f t="shared" si="929"/>
        <v>312500</v>
      </c>
      <c r="P3409" s="1">
        <f t="shared" si="930"/>
        <v>360000</v>
      </c>
      <c r="Q3409" s="4">
        <f>_xlfn.FLOOR.MATH(P3409*(1+L3409),1000)</f>
        <v>288000</v>
      </c>
      <c r="R3409" s="6">
        <v>75</v>
      </c>
      <c r="S3409" s="1">
        <f t="shared" si="934"/>
        <v>0.952380952380952</v>
      </c>
      <c r="T3409" s="1">
        <f t="shared" si="935"/>
        <v>0</v>
      </c>
      <c r="U3409" s="1">
        <f t="shared" si="936"/>
        <v>0</v>
      </c>
      <c r="V3409" s="1">
        <f t="shared" si="937"/>
        <v>288000</v>
      </c>
      <c r="W3409" s="1">
        <f t="shared" si="938"/>
        <v>2285.71428571429</v>
      </c>
    </row>
    <row r="3410" s="15" customFormat="1" spans="2:23">
      <c r="B3410" s="16" t="s">
        <v>1906</v>
      </c>
      <c r="D3410" s="16" t="s">
        <v>1862</v>
      </c>
      <c r="G3410" s="6">
        <v>3</v>
      </c>
      <c r="H3410" s="15">
        <v>3</v>
      </c>
      <c r="I3410" s="15">
        <f t="shared" si="932"/>
        <v>9</v>
      </c>
      <c r="J3410" s="16" t="str">
        <f t="shared" si="933"/>
        <v>yellow</v>
      </c>
      <c r="K3410" s="109">
        <f t="shared" si="928"/>
        <v>0.901442307692308</v>
      </c>
      <c r="L3410" s="6">
        <v>-0.5</v>
      </c>
      <c r="M3410" s="16" t="s">
        <v>1785</v>
      </c>
      <c r="N3410" s="30" t="b">
        <v>0</v>
      </c>
      <c r="O3410" s="15">
        <f t="shared" si="929"/>
        <v>11.71875</v>
      </c>
      <c r="P3410" s="15">
        <f t="shared" si="930"/>
        <v>27</v>
      </c>
      <c r="Q3410" s="16">
        <f>_xlfn.FLOOR.MATH(P3410*(1+L3410))</f>
        <v>13</v>
      </c>
      <c r="R3410" s="6">
        <v>200</v>
      </c>
      <c r="S3410" s="15">
        <f t="shared" si="934"/>
        <v>0.19047619047619</v>
      </c>
      <c r="T3410" s="15">
        <f t="shared" si="935"/>
        <v>13</v>
      </c>
      <c r="U3410" s="15">
        <f t="shared" si="936"/>
        <v>0.275132275132275</v>
      </c>
      <c r="V3410" s="15">
        <f t="shared" si="937"/>
        <v>0</v>
      </c>
      <c r="W3410" s="15">
        <f t="shared" si="938"/>
        <v>0</v>
      </c>
    </row>
    <row r="3411" s="15" customFormat="1" spans="2:23">
      <c r="B3411" s="16" t="s">
        <v>1907</v>
      </c>
      <c r="D3411" s="16" t="s">
        <v>1864</v>
      </c>
      <c r="G3411" s="6">
        <v>1</v>
      </c>
      <c r="H3411" s="15">
        <v>15</v>
      </c>
      <c r="I3411" s="15">
        <f t="shared" si="932"/>
        <v>15</v>
      </c>
      <c r="J3411" s="16" t="str">
        <f t="shared" si="933"/>
        <v>yellow</v>
      </c>
      <c r="K3411" s="109">
        <f t="shared" si="928"/>
        <v>0.887784090909091</v>
      </c>
      <c r="L3411" s="6">
        <v>-0.5</v>
      </c>
      <c r="M3411" s="16" t="s">
        <v>1785</v>
      </c>
      <c r="N3411" s="30" t="b">
        <v>0</v>
      </c>
      <c r="O3411" s="15">
        <f t="shared" si="929"/>
        <v>19.53125</v>
      </c>
      <c r="P3411" s="15">
        <f t="shared" si="930"/>
        <v>45</v>
      </c>
      <c r="Q3411" s="16">
        <f>_xlfn.FLOOR.MATH(P3411*(1+L3411))</f>
        <v>22</v>
      </c>
      <c r="R3411" s="6">
        <v>200</v>
      </c>
      <c r="S3411" s="15">
        <f t="shared" si="934"/>
        <v>0.317460317460317</v>
      </c>
      <c r="T3411" s="15">
        <f t="shared" si="935"/>
        <v>22</v>
      </c>
      <c r="U3411" s="15">
        <f t="shared" si="936"/>
        <v>0.465608465608466</v>
      </c>
      <c r="V3411" s="15">
        <f t="shared" si="937"/>
        <v>0</v>
      </c>
      <c r="W3411" s="15">
        <f t="shared" si="938"/>
        <v>0</v>
      </c>
    </row>
    <row r="3412" s="15" customFormat="1" spans="2:23">
      <c r="B3412" s="16" t="s">
        <v>1908</v>
      </c>
      <c r="D3412" s="16" t="s">
        <v>1866</v>
      </c>
      <c r="G3412" s="6">
        <v>1</v>
      </c>
      <c r="H3412" s="15">
        <v>60</v>
      </c>
      <c r="I3412" s="15">
        <f t="shared" si="932"/>
        <v>60</v>
      </c>
      <c r="J3412" s="16" t="str">
        <f t="shared" si="933"/>
        <v>yellow</v>
      </c>
      <c r="K3412" s="109">
        <f t="shared" si="928"/>
        <v>0.868055555555556</v>
      </c>
      <c r="L3412" s="6">
        <v>-0.5</v>
      </c>
      <c r="M3412" s="16" t="s">
        <v>1785</v>
      </c>
      <c r="N3412" s="30" t="b">
        <v>0</v>
      </c>
      <c r="O3412" s="15">
        <f t="shared" si="929"/>
        <v>78.125</v>
      </c>
      <c r="P3412" s="15">
        <f t="shared" si="930"/>
        <v>180</v>
      </c>
      <c r="Q3412" s="16">
        <f>_xlfn.FLOOR.MATH(P3412*(1+L3412))</f>
        <v>90</v>
      </c>
      <c r="R3412" s="6">
        <v>200</v>
      </c>
      <c r="S3412" s="15">
        <f t="shared" si="934"/>
        <v>1.26984126984127</v>
      </c>
      <c r="T3412" s="15">
        <f t="shared" si="935"/>
        <v>90</v>
      </c>
      <c r="U3412" s="15">
        <f t="shared" si="936"/>
        <v>1.9047619047619</v>
      </c>
      <c r="V3412" s="15">
        <f t="shared" si="937"/>
        <v>0</v>
      </c>
      <c r="W3412" s="15">
        <f t="shared" si="938"/>
        <v>0</v>
      </c>
    </row>
    <row r="3413" s="15" customFormat="1" spans="2:23">
      <c r="B3413" s="16" t="s">
        <v>1909</v>
      </c>
      <c r="D3413" s="16" t="s">
        <v>1862</v>
      </c>
      <c r="G3413" s="6">
        <v>15</v>
      </c>
      <c r="H3413" s="15">
        <v>3</v>
      </c>
      <c r="I3413" s="15">
        <f t="shared" si="932"/>
        <v>45</v>
      </c>
      <c r="J3413" s="16" t="str">
        <f t="shared" si="933"/>
        <v>purple</v>
      </c>
      <c r="K3413" s="109">
        <f t="shared" si="928"/>
        <v>0.72337962962963</v>
      </c>
      <c r="L3413" s="6">
        <v>-0.4</v>
      </c>
      <c r="M3413" s="16" t="s">
        <v>1785</v>
      </c>
      <c r="N3413" s="30" t="b">
        <v>0</v>
      </c>
      <c r="O3413" s="15">
        <f t="shared" si="929"/>
        <v>58.59375</v>
      </c>
      <c r="P3413" s="15">
        <f t="shared" si="930"/>
        <v>135</v>
      </c>
      <c r="Q3413" s="16">
        <f>_xlfn.FLOOR.MATH(P3413*(1+L3413))</f>
        <v>81</v>
      </c>
      <c r="R3413" s="6">
        <v>200</v>
      </c>
      <c r="S3413" s="15">
        <f t="shared" si="934"/>
        <v>0.952380952380952</v>
      </c>
      <c r="T3413" s="15">
        <f t="shared" si="935"/>
        <v>81</v>
      </c>
      <c r="U3413" s="15">
        <f t="shared" si="936"/>
        <v>1.71428571428571</v>
      </c>
      <c r="V3413" s="15">
        <f t="shared" si="937"/>
        <v>0</v>
      </c>
      <c r="W3413" s="15">
        <f t="shared" si="938"/>
        <v>0</v>
      </c>
    </row>
    <row r="3414" s="15" customFormat="1" spans="2:23">
      <c r="B3414" s="16" t="s">
        <v>1910</v>
      </c>
      <c r="D3414" s="16" t="s">
        <v>1864</v>
      </c>
      <c r="G3414" s="6">
        <v>5</v>
      </c>
      <c r="H3414" s="15">
        <v>15</v>
      </c>
      <c r="I3414" s="15">
        <f t="shared" ref="I3414:I3431" si="939">H3414*G3414</f>
        <v>75</v>
      </c>
      <c r="J3414" s="16" t="str">
        <f t="shared" si="933"/>
        <v>purple</v>
      </c>
      <c r="K3414" s="109">
        <f t="shared" si="928"/>
        <v>0.72337962962963</v>
      </c>
      <c r="L3414" s="6">
        <v>-0.4</v>
      </c>
      <c r="M3414" s="16" t="s">
        <v>1785</v>
      </c>
      <c r="N3414" s="30" t="b">
        <v>0</v>
      </c>
      <c r="O3414" s="15">
        <f t="shared" si="929"/>
        <v>97.65625</v>
      </c>
      <c r="P3414" s="15">
        <f t="shared" si="930"/>
        <v>225</v>
      </c>
      <c r="Q3414" s="16">
        <f>_xlfn.FLOOR.MATH(P3414*(1+L3414))</f>
        <v>135</v>
      </c>
      <c r="R3414" s="6">
        <v>200</v>
      </c>
      <c r="S3414" s="15">
        <f t="shared" si="934"/>
        <v>1.58730158730159</v>
      </c>
      <c r="T3414" s="15">
        <f t="shared" si="935"/>
        <v>135</v>
      </c>
      <c r="U3414" s="15">
        <f t="shared" si="936"/>
        <v>2.85714285714286</v>
      </c>
      <c r="V3414" s="15">
        <f t="shared" si="937"/>
        <v>0</v>
      </c>
      <c r="W3414" s="15">
        <f t="shared" si="938"/>
        <v>0</v>
      </c>
    </row>
    <row r="3415" s="15" customFormat="1" spans="2:23">
      <c r="B3415" s="16" t="s">
        <v>1911</v>
      </c>
      <c r="D3415" s="16" t="s">
        <v>1866</v>
      </c>
      <c r="G3415" s="6">
        <v>2</v>
      </c>
      <c r="H3415" s="15">
        <v>60</v>
      </c>
      <c r="I3415" s="15">
        <f t="shared" si="939"/>
        <v>120</v>
      </c>
      <c r="J3415" s="16" t="str">
        <f t="shared" si="933"/>
        <v>purple</v>
      </c>
      <c r="K3415" s="109">
        <f t="shared" si="928"/>
        <v>0.72337962962963</v>
      </c>
      <c r="L3415" s="6">
        <v>-0.4</v>
      </c>
      <c r="M3415" s="16" t="s">
        <v>1785</v>
      </c>
      <c r="N3415" s="30" t="b">
        <v>0</v>
      </c>
      <c r="O3415" s="15">
        <f t="shared" si="929"/>
        <v>156.25</v>
      </c>
      <c r="P3415" s="15">
        <f t="shared" si="930"/>
        <v>360</v>
      </c>
      <c r="Q3415" s="16">
        <f>_xlfn.FLOOR.MATH(P3415*(1+L3415))</f>
        <v>216</v>
      </c>
      <c r="R3415" s="6">
        <v>200</v>
      </c>
      <c r="S3415" s="15">
        <f t="shared" si="934"/>
        <v>2.53968253968254</v>
      </c>
      <c r="T3415" s="15">
        <f t="shared" si="935"/>
        <v>216</v>
      </c>
      <c r="U3415" s="15">
        <f t="shared" si="936"/>
        <v>4.57142857142857</v>
      </c>
      <c r="V3415" s="15">
        <f t="shared" si="937"/>
        <v>0</v>
      </c>
      <c r="W3415" s="15">
        <f t="shared" si="938"/>
        <v>0</v>
      </c>
    </row>
    <row r="3416" s="15" customFormat="1" spans="2:23">
      <c r="B3416" s="16" t="s">
        <v>1912</v>
      </c>
      <c r="D3416" s="16" t="s">
        <v>1871</v>
      </c>
      <c r="G3416" s="6">
        <v>3</v>
      </c>
      <c r="H3416" s="15">
        <v>3</v>
      </c>
      <c r="I3416" s="15">
        <f t="shared" si="939"/>
        <v>9</v>
      </c>
      <c r="J3416" s="16" t="str">
        <f t="shared" si="933"/>
        <v>yellow</v>
      </c>
      <c r="K3416" s="109">
        <f t="shared" si="928"/>
        <v>0.901442307692308</v>
      </c>
      <c r="L3416" s="6">
        <v>-0.5</v>
      </c>
      <c r="M3416" s="16" t="s">
        <v>1785</v>
      </c>
      <c r="N3416" s="30" t="b">
        <v>0</v>
      </c>
      <c r="O3416" s="15">
        <f t="shared" si="929"/>
        <v>11.71875</v>
      </c>
      <c r="P3416" s="15">
        <f t="shared" si="930"/>
        <v>27</v>
      </c>
      <c r="Q3416" s="16">
        <f>_xlfn.FLOOR.MATH(P3416*(1+L3416))</f>
        <v>13</v>
      </c>
      <c r="R3416" s="6">
        <v>200</v>
      </c>
      <c r="S3416" s="15">
        <f t="shared" si="934"/>
        <v>0.19047619047619</v>
      </c>
      <c r="T3416" s="15">
        <f t="shared" si="935"/>
        <v>13</v>
      </c>
      <c r="U3416" s="15">
        <f t="shared" si="936"/>
        <v>0.275132275132275</v>
      </c>
      <c r="V3416" s="15">
        <f t="shared" si="937"/>
        <v>0</v>
      </c>
      <c r="W3416" s="15">
        <f t="shared" si="938"/>
        <v>0</v>
      </c>
    </row>
    <row r="3417" s="15" customFormat="1" spans="2:23">
      <c r="B3417" s="16" t="s">
        <v>1913</v>
      </c>
      <c r="D3417" s="16" t="s">
        <v>1873</v>
      </c>
      <c r="G3417" s="6">
        <v>1</v>
      </c>
      <c r="H3417" s="15">
        <v>15</v>
      </c>
      <c r="I3417" s="15">
        <f t="shared" si="939"/>
        <v>15</v>
      </c>
      <c r="J3417" s="16" t="str">
        <f t="shared" si="933"/>
        <v>yellow</v>
      </c>
      <c r="K3417" s="109">
        <f t="shared" si="928"/>
        <v>0.887784090909091</v>
      </c>
      <c r="L3417" s="6">
        <v>-0.5</v>
      </c>
      <c r="M3417" s="16" t="s">
        <v>1785</v>
      </c>
      <c r="N3417" s="30" t="b">
        <v>0</v>
      </c>
      <c r="O3417" s="15">
        <f t="shared" si="929"/>
        <v>19.53125</v>
      </c>
      <c r="P3417" s="15">
        <f t="shared" si="930"/>
        <v>45</v>
      </c>
      <c r="Q3417" s="16">
        <f>_xlfn.FLOOR.MATH(P3417*(1+L3417))</f>
        <v>22</v>
      </c>
      <c r="R3417" s="6">
        <v>200</v>
      </c>
      <c r="S3417" s="15">
        <f t="shared" si="934"/>
        <v>0.317460317460317</v>
      </c>
      <c r="T3417" s="15">
        <f t="shared" si="935"/>
        <v>22</v>
      </c>
      <c r="U3417" s="15">
        <f t="shared" si="936"/>
        <v>0.465608465608466</v>
      </c>
      <c r="V3417" s="15">
        <f t="shared" si="937"/>
        <v>0</v>
      </c>
      <c r="W3417" s="15">
        <f t="shared" si="938"/>
        <v>0</v>
      </c>
    </row>
    <row r="3418" s="15" customFormat="1" spans="2:23">
      <c r="B3418" s="16" t="s">
        <v>1914</v>
      </c>
      <c r="D3418" s="16" t="s">
        <v>1875</v>
      </c>
      <c r="G3418" s="6">
        <v>1</v>
      </c>
      <c r="H3418" s="15">
        <v>60</v>
      </c>
      <c r="I3418" s="15">
        <f t="shared" si="939"/>
        <v>60</v>
      </c>
      <c r="J3418" s="16" t="str">
        <f t="shared" si="933"/>
        <v>yellow</v>
      </c>
      <c r="K3418" s="109">
        <f t="shared" si="928"/>
        <v>0.868055555555556</v>
      </c>
      <c r="L3418" s="6">
        <v>-0.5</v>
      </c>
      <c r="M3418" s="16" t="s">
        <v>1785</v>
      </c>
      <c r="N3418" s="30" t="b">
        <v>0</v>
      </c>
      <c r="O3418" s="15">
        <f t="shared" si="929"/>
        <v>78.125</v>
      </c>
      <c r="P3418" s="15">
        <f t="shared" si="930"/>
        <v>180</v>
      </c>
      <c r="Q3418" s="16">
        <f>_xlfn.FLOOR.MATH(P3418*(1+L3418))</f>
        <v>90</v>
      </c>
      <c r="R3418" s="6">
        <v>200</v>
      </c>
      <c r="S3418" s="15">
        <f t="shared" si="934"/>
        <v>1.26984126984127</v>
      </c>
      <c r="T3418" s="15">
        <f t="shared" si="935"/>
        <v>90</v>
      </c>
      <c r="U3418" s="15">
        <f t="shared" si="936"/>
        <v>1.9047619047619</v>
      </c>
      <c r="V3418" s="15">
        <f t="shared" si="937"/>
        <v>0</v>
      </c>
      <c r="W3418" s="15">
        <f t="shared" si="938"/>
        <v>0</v>
      </c>
    </row>
    <row r="3419" s="15" customFormat="1" spans="2:23">
      <c r="B3419" s="16" t="s">
        <v>1915</v>
      </c>
      <c r="D3419" s="16" t="s">
        <v>1871</v>
      </c>
      <c r="G3419" s="6">
        <v>15</v>
      </c>
      <c r="H3419" s="15">
        <v>3</v>
      </c>
      <c r="I3419" s="15">
        <f t="shared" si="939"/>
        <v>45</v>
      </c>
      <c r="J3419" s="16" t="str">
        <f t="shared" si="933"/>
        <v>purple</v>
      </c>
      <c r="K3419" s="109">
        <f t="shared" si="928"/>
        <v>0.72337962962963</v>
      </c>
      <c r="L3419" s="6">
        <v>-0.4</v>
      </c>
      <c r="M3419" s="16" t="s">
        <v>1785</v>
      </c>
      <c r="N3419" s="30" t="b">
        <v>0</v>
      </c>
      <c r="O3419" s="15">
        <f t="shared" si="929"/>
        <v>58.59375</v>
      </c>
      <c r="P3419" s="15">
        <f t="shared" si="930"/>
        <v>135</v>
      </c>
      <c r="Q3419" s="16">
        <f>_xlfn.FLOOR.MATH(P3419*(1+L3419))</f>
        <v>81</v>
      </c>
      <c r="R3419" s="6">
        <v>200</v>
      </c>
      <c r="S3419" s="15">
        <f t="shared" si="934"/>
        <v>0.952380952380952</v>
      </c>
      <c r="T3419" s="15">
        <f t="shared" si="935"/>
        <v>81</v>
      </c>
      <c r="U3419" s="15">
        <f t="shared" si="936"/>
        <v>1.71428571428571</v>
      </c>
      <c r="V3419" s="15">
        <f t="shared" si="937"/>
        <v>0</v>
      </c>
      <c r="W3419" s="15">
        <f t="shared" si="938"/>
        <v>0</v>
      </c>
    </row>
    <row r="3420" s="15" customFormat="1" spans="2:23">
      <c r="B3420" s="16" t="s">
        <v>1916</v>
      </c>
      <c r="D3420" s="16" t="s">
        <v>1873</v>
      </c>
      <c r="G3420" s="6">
        <v>5</v>
      </c>
      <c r="H3420" s="15">
        <v>15</v>
      </c>
      <c r="I3420" s="15">
        <f t="shared" si="939"/>
        <v>75</v>
      </c>
      <c r="J3420" s="16" t="str">
        <f t="shared" si="933"/>
        <v>purple</v>
      </c>
      <c r="K3420" s="109">
        <f t="shared" si="928"/>
        <v>0.72337962962963</v>
      </c>
      <c r="L3420" s="6">
        <v>-0.4</v>
      </c>
      <c r="M3420" s="16" t="s">
        <v>1785</v>
      </c>
      <c r="N3420" s="30" t="b">
        <v>0</v>
      </c>
      <c r="O3420" s="15">
        <f t="shared" si="929"/>
        <v>97.65625</v>
      </c>
      <c r="P3420" s="15">
        <f t="shared" si="930"/>
        <v>225</v>
      </c>
      <c r="Q3420" s="16">
        <f>_xlfn.FLOOR.MATH(P3420*(1+L3420))</f>
        <v>135</v>
      </c>
      <c r="R3420" s="6">
        <v>200</v>
      </c>
      <c r="S3420" s="15">
        <f t="shared" si="934"/>
        <v>1.58730158730159</v>
      </c>
      <c r="T3420" s="15">
        <f t="shared" si="935"/>
        <v>135</v>
      </c>
      <c r="U3420" s="15">
        <f t="shared" si="936"/>
        <v>2.85714285714286</v>
      </c>
      <c r="V3420" s="15">
        <f t="shared" si="937"/>
        <v>0</v>
      </c>
      <c r="W3420" s="15">
        <f t="shared" si="938"/>
        <v>0</v>
      </c>
    </row>
    <row r="3421" s="15" customFormat="1" spans="2:23">
      <c r="B3421" s="16" t="s">
        <v>1917</v>
      </c>
      <c r="D3421" s="16" t="s">
        <v>1875</v>
      </c>
      <c r="G3421" s="6">
        <v>2</v>
      </c>
      <c r="H3421" s="15">
        <v>60</v>
      </c>
      <c r="I3421" s="15">
        <f t="shared" si="939"/>
        <v>120</v>
      </c>
      <c r="J3421" s="16" t="str">
        <f t="shared" si="933"/>
        <v>purple</v>
      </c>
      <c r="K3421" s="109">
        <f t="shared" si="928"/>
        <v>0.72337962962963</v>
      </c>
      <c r="L3421" s="6">
        <v>-0.4</v>
      </c>
      <c r="M3421" s="16" t="s">
        <v>1785</v>
      </c>
      <c r="N3421" s="30" t="b">
        <v>0</v>
      </c>
      <c r="O3421" s="15">
        <f t="shared" si="929"/>
        <v>156.25</v>
      </c>
      <c r="P3421" s="15">
        <f t="shared" si="930"/>
        <v>360</v>
      </c>
      <c r="Q3421" s="16">
        <f>_xlfn.FLOOR.MATH(P3421*(1+L3421))</f>
        <v>216</v>
      </c>
      <c r="R3421" s="6">
        <v>200</v>
      </c>
      <c r="S3421" s="15">
        <f t="shared" si="934"/>
        <v>2.53968253968254</v>
      </c>
      <c r="T3421" s="15">
        <f t="shared" si="935"/>
        <v>216</v>
      </c>
      <c r="U3421" s="15">
        <f t="shared" si="936"/>
        <v>4.57142857142857</v>
      </c>
      <c r="V3421" s="15">
        <f t="shared" si="937"/>
        <v>0</v>
      </c>
      <c r="W3421" s="15">
        <f t="shared" si="938"/>
        <v>0</v>
      </c>
    </row>
    <row r="3422" s="15" customFormat="1" spans="2:23">
      <c r="B3422" s="16" t="s">
        <v>1918</v>
      </c>
      <c r="D3422" s="16" t="s">
        <v>1880</v>
      </c>
      <c r="G3422" s="6">
        <v>3</v>
      </c>
      <c r="H3422" s="15">
        <v>3</v>
      </c>
      <c r="I3422" s="15">
        <f t="shared" si="939"/>
        <v>9</v>
      </c>
      <c r="J3422" s="16" t="str">
        <f t="shared" si="933"/>
        <v>yellow</v>
      </c>
      <c r="K3422" s="109">
        <f t="shared" si="928"/>
        <v>0.901442307692308</v>
      </c>
      <c r="L3422" s="6">
        <v>-0.5</v>
      </c>
      <c r="M3422" s="16" t="s">
        <v>1785</v>
      </c>
      <c r="N3422" s="30" t="b">
        <v>0</v>
      </c>
      <c r="O3422" s="15">
        <f t="shared" si="929"/>
        <v>11.71875</v>
      </c>
      <c r="P3422" s="15">
        <f t="shared" si="930"/>
        <v>27</v>
      </c>
      <c r="Q3422" s="16">
        <f>_xlfn.FLOOR.MATH(P3422*(1+L3422))</f>
        <v>13</v>
      </c>
      <c r="R3422" s="6">
        <v>200</v>
      </c>
      <c r="S3422" s="15">
        <f t="shared" si="934"/>
        <v>0.19047619047619</v>
      </c>
      <c r="T3422" s="15">
        <f t="shared" si="935"/>
        <v>13</v>
      </c>
      <c r="U3422" s="15">
        <f t="shared" si="936"/>
        <v>0.275132275132275</v>
      </c>
      <c r="V3422" s="15">
        <f t="shared" si="937"/>
        <v>0</v>
      </c>
      <c r="W3422" s="15">
        <f t="shared" si="938"/>
        <v>0</v>
      </c>
    </row>
    <row r="3423" s="15" customFormat="1" spans="2:23">
      <c r="B3423" s="16" t="s">
        <v>1919</v>
      </c>
      <c r="D3423" s="16" t="s">
        <v>1882</v>
      </c>
      <c r="G3423" s="6">
        <v>1</v>
      </c>
      <c r="H3423" s="15">
        <v>15</v>
      </c>
      <c r="I3423" s="15">
        <f t="shared" si="939"/>
        <v>15</v>
      </c>
      <c r="J3423" s="16" t="str">
        <f t="shared" si="933"/>
        <v>yellow</v>
      </c>
      <c r="K3423" s="109">
        <f t="shared" si="928"/>
        <v>0.887784090909091</v>
      </c>
      <c r="L3423" s="6">
        <v>-0.5</v>
      </c>
      <c r="M3423" s="16" t="s">
        <v>1785</v>
      </c>
      <c r="N3423" s="30" t="b">
        <v>0</v>
      </c>
      <c r="O3423" s="15">
        <f t="shared" si="929"/>
        <v>19.53125</v>
      </c>
      <c r="P3423" s="15">
        <f t="shared" si="930"/>
        <v>45</v>
      </c>
      <c r="Q3423" s="16">
        <f>_xlfn.FLOOR.MATH(P3423*(1+L3423))</f>
        <v>22</v>
      </c>
      <c r="R3423" s="6">
        <v>200</v>
      </c>
      <c r="S3423" s="15">
        <f t="shared" si="934"/>
        <v>0.317460317460317</v>
      </c>
      <c r="T3423" s="15">
        <f t="shared" si="935"/>
        <v>22</v>
      </c>
      <c r="U3423" s="15">
        <f t="shared" si="936"/>
        <v>0.465608465608466</v>
      </c>
      <c r="V3423" s="15">
        <f t="shared" si="937"/>
        <v>0</v>
      </c>
      <c r="W3423" s="15">
        <f t="shared" si="938"/>
        <v>0</v>
      </c>
    </row>
    <row r="3424" s="15" customFormat="1" spans="2:23">
      <c r="B3424" s="16" t="s">
        <v>1920</v>
      </c>
      <c r="D3424" s="16" t="s">
        <v>1884</v>
      </c>
      <c r="G3424" s="6">
        <v>1</v>
      </c>
      <c r="H3424" s="15">
        <v>60</v>
      </c>
      <c r="I3424" s="15">
        <f t="shared" si="939"/>
        <v>60</v>
      </c>
      <c r="J3424" s="16" t="str">
        <f t="shared" si="933"/>
        <v>yellow</v>
      </c>
      <c r="K3424" s="109">
        <f t="shared" si="928"/>
        <v>0.868055555555556</v>
      </c>
      <c r="L3424" s="6">
        <v>-0.5</v>
      </c>
      <c r="M3424" s="16" t="s">
        <v>1785</v>
      </c>
      <c r="N3424" s="30" t="b">
        <v>0</v>
      </c>
      <c r="O3424" s="15">
        <f t="shared" si="929"/>
        <v>78.125</v>
      </c>
      <c r="P3424" s="15">
        <f t="shared" si="930"/>
        <v>180</v>
      </c>
      <c r="Q3424" s="16">
        <f>_xlfn.FLOOR.MATH(P3424*(1+L3424))</f>
        <v>90</v>
      </c>
      <c r="R3424" s="6">
        <v>200</v>
      </c>
      <c r="S3424" s="15">
        <f t="shared" si="934"/>
        <v>1.26984126984127</v>
      </c>
      <c r="T3424" s="15">
        <f t="shared" si="935"/>
        <v>90</v>
      </c>
      <c r="U3424" s="15">
        <f t="shared" si="936"/>
        <v>1.9047619047619</v>
      </c>
      <c r="V3424" s="15">
        <f t="shared" si="937"/>
        <v>0</v>
      </c>
      <c r="W3424" s="15">
        <f t="shared" si="938"/>
        <v>0</v>
      </c>
    </row>
    <row r="3425" s="15" customFormat="1" spans="2:23">
      <c r="B3425" s="16" t="s">
        <v>1921</v>
      </c>
      <c r="D3425" s="16" t="s">
        <v>1880</v>
      </c>
      <c r="G3425" s="6">
        <v>15</v>
      </c>
      <c r="H3425" s="15">
        <v>3</v>
      </c>
      <c r="I3425" s="15">
        <f t="shared" si="939"/>
        <v>45</v>
      </c>
      <c r="J3425" s="16" t="str">
        <f t="shared" si="933"/>
        <v>purple</v>
      </c>
      <c r="K3425" s="109">
        <f t="shared" si="928"/>
        <v>0.72337962962963</v>
      </c>
      <c r="L3425" s="6">
        <v>-0.4</v>
      </c>
      <c r="M3425" s="16" t="s">
        <v>1785</v>
      </c>
      <c r="N3425" s="30" t="b">
        <v>0</v>
      </c>
      <c r="O3425" s="15">
        <f t="shared" si="929"/>
        <v>58.59375</v>
      </c>
      <c r="P3425" s="15">
        <f t="shared" si="930"/>
        <v>135</v>
      </c>
      <c r="Q3425" s="16">
        <f>_xlfn.FLOOR.MATH(P3425*(1+L3425))</f>
        <v>81</v>
      </c>
      <c r="R3425" s="6">
        <v>200</v>
      </c>
      <c r="S3425" s="15">
        <f t="shared" si="934"/>
        <v>0.952380952380952</v>
      </c>
      <c r="T3425" s="15">
        <f t="shared" si="935"/>
        <v>81</v>
      </c>
      <c r="U3425" s="15">
        <f t="shared" si="936"/>
        <v>1.71428571428571</v>
      </c>
      <c r="V3425" s="15">
        <f t="shared" si="937"/>
        <v>0</v>
      </c>
      <c r="W3425" s="15">
        <f t="shared" si="938"/>
        <v>0</v>
      </c>
    </row>
    <row r="3426" s="15" customFormat="1" spans="2:23">
      <c r="B3426" s="16" t="s">
        <v>1922</v>
      </c>
      <c r="D3426" s="16" t="s">
        <v>1882</v>
      </c>
      <c r="G3426" s="6">
        <v>5</v>
      </c>
      <c r="H3426" s="15">
        <v>15</v>
      </c>
      <c r="I3426" s="15">
        <f t="shared" si="939"/>
        <v>75</v>
      </c>
      <c r="J3426" s="16" t="str">
        <f t="shared" si="933"/>
        <v>purple</v>
      </c>
      <c r="K3426" s="109">
        <f t="shared" si="928"/>
        <v>0.72337962962963</v>
      </c>
      <c r="L3426" s="6">
        <v>-0.4</v>
      </c>
      <c r="M3426" s="16" t="s">
        <v>1785</v>
      </c>
      <c r="N3426" s="30" t="b">
        <v>0</v>
      </c>
      <c r="O3426" s="15">
        <f t="shared" si="929"/>
        <v>97.65625</v>
      </c>
      <c r="P3426" s="15">
        <f t="shared" si="930"/>
        <v>225</v>
      </c>
      <c r="Q3426" s="16">
        <f>_xlfn.FLOOR.MATH(P3426*(1+L3426))</f>
        <v>135</v>
      </c>
      <c r="R3426" s="6">
        <v>200</v>
      </c>
      <c r="S3426" s="15">
        <f t="shared" si="934"/>
        <v>1.58730158730159</v>
      </c>
      <c r="T3426" s="15">
        <f t="shared" si="935"/>
        <v>135</v>
      </c>
      <c r="U3426" s="15">
        <f t="shared" si="936"/>
        <v>2.85714285714286</v>
      </c>
      <c r="V3426" s="15">
        <f t="shared" si="937"/>
        <v>0</v>
      </c>
      <c r="W3426" s="15">
        <f t="shared" si="938"/>
        <v>0</v>
      </c>
    </row>
    <row r="3427" s="15" customFormat="1" spans="2:23">
      <c r="B3427" s="16" t="s">
        <v>1923</v>
      </c>
      <c r="D3427" s="16" t="s">
        <v>1884</v>
      </c>
      <c r="G3427" s="6">
        <v>2</v>
      </c>
      <c r="H3427" s="15">
        <v>60</v>
      </c>
      <c r="I3427" s="15">
        <f t="shared" si="939"/>
        <v>120</v>
      </c>
      <c r="J3427" s="16" t="str">
        <f t="shared" si="933"/>
        <v>purple</v>
      </c>
      <c r="K3427" s="109">
        <f t="shared" si="928"/>
        <v>0.72337962962963</v>
      </c>
      <c r="L3427" s="6">
        <v>-0.4</v>
      </c>
      <c r="M3427" s="16" t="s">
        <v>1785</v>
      </c>
      <c r="N3427" s="30" t="b">
        <v>0</v>
      </c>
      <c r="O3427" s="15">
        <f t="shared" si="929"/>
        <v>156.25</v>
      </c>
      <c r="P3427" s="15">
        <f t="shared" si="930"/>
        <v>360</v>
      </c>
      <c r="Q3427" s="16">
        <f>_xlfn.FLOOR.MATH(P3427*(1+L3427))</f>
        <v>216</v>
      </c>
      <c r="R3427" s="6">
        <v>200</v>
      </c>
      <c r="S3427" s="15">
        <f t="shared" si="934"/>
        <v>2.53968253968254</v>
      </c>
      <c r="T3427" s="15">
        <f t="shared" si="935"/>
        <v>216</v>
      </c>
      <c r="U3427" s="15">
        <f t="shared" si="936"/>
        <v>4.57142857142857</v>
      </c>
      <c r="V3427" s="15">
        <f t="shared" si="937"/>
        <v>0</v>
      </c>
      <c r="W3427" s="15">
        <f t="shared" si="938"/>
        <v>0</v>
      </c>
    </row>
    <row r="3428" spans="2:23">
      <c r="B3428" s="4" t="s">
        <v>1924</v>
      </c>
      <c r="D3428" s="4" t="s">
        <v>1862</v>
      </c>
      <c r="G3428" s="6">
        <v>3</v>
      </c>
      <c r="H3428" s="1">
        <v>3</v>
      </c>
      <c r="I3428" s="1">
        <f t="shared" si="939"/>
        <v>9</v>
      </c>
      <c r="J3428" s="4" t="str">
        <f t="shared" si="933"/>
        <v>yellow</v>
      </c>
      <c r="K3428" s="50">
        <f t="shared" si="928"/>
        <v>2.34375</v>
      </c>
      <c r="L3428" s="6">
        <v>-0.8</v>
      </c>
      <c r="M3428" s="4" t="s">
        <v>1785</v>
      </c>
      <c r="N3428" s="30" t="b">
        <v>1</v>
      </c>
      <c r="O3428" s="1">
        <f t="shared" si="929"/>
        <v>11.71875</v>
      </c>
      <c r="P3428" s="1">
        <f t="shared" si="930"/>
        <v>27</v>
      </c>
      <c r="Q3428" s="4">
        <f>_xlfn.FLOOR.MATH(P3428*(1+L3428))</f>
        <v>5</v>
      </c>
      <c r="R3428" s="6">
        <v>150</v>
      </c>
      <c r="S3428" s="1">
        <f t="shared" si="934"/>
        <v>0.142857142857143</v>
      </c>
      <c r="T3428" s="1">
        <f t="shared" si="935"/>
        <v>5</v>
      </c>
      <c r="U3428" s="1">
        <f t="shared" si="936"/>
        <v>0.0793650793650794</v>
      </c>
      <c r="V3428" s="1">
        <f t="shared" si="937"/>
        <v>0</v>
      </c>
      <c r="W3428" s="1">
        <f t="shared" si="938"/>
        <v>0</v>
      </c>
    </row>
    <row r="3429" spans="2:23">
      <c r="B3429" s="4" t="s">
        <v>1925</v>
      </c>
      <c r="D3429" s="4" t="s">
        <v>1864</v>
      </c>
      <c r="G3429" s="6">
        <v>1</v>
      </c>
      <c r="H3429" s="1">
        <v>15</v>
      </c>
      <c r="I3429" s="1">
        <f t="shared" si="939"/>
        <v>15</v>
      </c>
      <c r="J3429" s="4" t="str">
        <f t="shared" si="933"/>
        <v>yellow</v>
      </c>
      <c r="K3429" s="50">
        <f t="shared" si="928"/>
        <v>1.50240384615385</v>
      </c>
      <c r="L3429" s="6">
        <v>-0.7</v>
      </c>
      <c r="M3429" s="4" t="s">
        <v>1785</v>
      </c>
      <c r="N3429" s="30" t="b">
        <v>1</v>
      </c>
      <c r="O3429" s="1">
        <f t="shared" si="929"/>
        <v>19.53125</v>
      </c>
      <c r="P3429" s="1">
        <f t="shared" si="930"/>
        <v>45</v>
      </c>
      <c r="Q3429" s="4">
        <f>_xlfn.FLOOR.MATH(P3429*(1+L3429))</f>
        <v>13</v>
      </c>
      <c r="R3429" s="6">
        <v>150</v>
      </c>
      <c r="S3429" s="1">
        <f t="shared" si="934"/>
        <v>0.238095238095238</v>
      </c>
      <c r="T3429" s="1">
        <f t="shared" si="935"/>
        <v>13</v>
      </c>
      <c r="U3429" s="1">
        <f t="shared" si="936"/>
        <v>0.206349206349206</v>
      </c>
      <c r="V3429" s="1">
        <f t="shared" si="937"/>
        <v>0</v>
      </c>
      <c r="W3429" s="1">
        <f t="shared" si="938"/>
        <v>0</v>
      </c>
    </row>
    <row r="3430" spans="2:23">
      <c r="B3430" s="4" t="s">
        <v>1926</v>
      </c>
      <c r="D3430" s="4" t="s">
        <v>1866</v>
      </c>
      <c r="G3430" s="6">
        <v>1</v>
      </c>
      <c r="H3430" s="1">
        <v>60</v>
      </c>
      <c r="I3430" s="1">
        <f t="shared" si="939"/>
        <v>60</v>
      </c>
      <c r="J3430" s="4" t="str">
        <f t="shared" si="933"/>
        <v>yellow</v>
      </c>
      <c r="K3430" s="50">
        <f t="shared" si="928"/>
        <v>1.44675925925926</v>
      </c>
      <c r="L3430" s="6">
        <v>-0.7</v>
      </c>
      <c r="M3430" s="4" t="s">
        <v>1785</v>
      </c>
      <c r="N3430" s="30" t="b">
        <v>1</v>
      </c>
      <c r="O3430" s="1">
        <f t="shared" si="929"/>
        <v>78.125</v>
      </c>
      <c r="P3430" s="1">
        <f t="shared" si="930"/>
        <v>180</v>
      </c>
      <c r="Q3430" s="4">
        <f>_xlfn.FLOOR.MATH(P3430*(1+L3430))</f>
        <v>54</v>
      </c>
      <c r="R3430" s="6">
        <v>150</v>
      </c>
      <c r="S3430" s="1">
        <f t="shared" si="934"/>
        <v>0.952380952380952</v>
      </c>
      <c r="T3430" s="1">
        <f t="shared" si="935"/>
        <v>54</v>
      </c>
      <c r="U3430" s="1">
        <f t="shared" si="936"/>
        <v>0.857142857142857</v>
      </c>
      <c r="V3430" s="1">
        <f t="shared" si="937"/>
        <v>0</v>
      </c>
      <c r="W3430" s="1">
        <f t="shared" si="938"/>
        <v>0</v>
      </c>
    </row>
    <row r="3431" spans="2:23">
      <c r="B3431" s="4" t="s">
        <v>1927</v>
      </c>
      <c r="D3431" s="4" t="s">
        <v>1862</v>
      </c>
      <c r="G3431" s="6">
        <v>15</v>
      </c>
      <c r="H3431" s="1">
        <v>3</v>
      </c>
      <c r="I3431" s="1">
        <f t="shared" si="939"/>
        <v>45</v>
      </c>
      <c r="J3431" s="4" t="str">
        <f t="shared" si="933"/>
        <v>yellow</v>
      </c>
      <c r="K3431" s="50">
        <f t="shared" si="928"/>
        <v>1.08506944444444</v>
      </c>
      <c r="L3431" s="6">
        <v>-0.6</v>
      </c>
      <c r="M3431" s="4" t="s">
        <v>1785</v>
      </c>
      <c r="N3431" s="30" t="b">
        <v>1</v>
      </c>
      <c r="O3431" s="1">
        <f t="shared" si="929"/>
        <v>58.59375</v>
      </c>
      <c r="P3431" s="1">
        <f t="shared" si="930"/>
        <v>135</v>
      </c>
      <c r="Q3431" s="4">
        <f>_xlfn.FLOOR.MATH(P3431*(1+L3431))</f>
        <v>54</v>
      </c>
      <c r="R3431" s="6">
        <v>150</v>
      </c>
      <c r="S3431" s="1">
        <f t="shared" si="934"/>
        <v>0.714285714285714</v>
      </c>
      <c r="T3431" s="1">
        <f t="shared" si="935"/>
        <v>54</v>
      </c>
      <c r="U3431" s="1">
        <f t="shared" si="936"/>
        <v>0.857142857142857</v>
      </c>
      <c r="V3431" s="1">
        <f t="shared" si="937"/>
        <v>0</v>
      </c>
      <c r="W3431" s="1">
        <f t="shared" si="938"/>
        <v>0</v>
      </c>
    </row>
    <row r="3432" spans="2:23">
      <c r="B3432" s="4" t="s">
        <v>1928</v>
      </c>
      <c r="D3432" s="4" t="s">
        <v>1864</v>
      </c>
      <c r="G3432" s="6">
        <v>5</v>
      </c>
      <c r="H3432" s="1">
        <v>15</v>
      </c>
      <c r="I3432" s="1">
        <f t="shared" ref="I3432:I3445" si="940">H3432*G3432</f>
        <v>75</v>
      </c>
      <c r="J3432" s="4" t="str">
        <f t="shared" si="933"/>
        <v>yellow</v>
      </c>
      <c r="K3432" s="50">
        <f t="shared" si="928"/>
        <v>1.08506944444444</v>
      </c>
      <c r="L3432" s="6">
        <v>-0.6</v>
      </c>
      <c r="M3432" s="4" t="s">
        <v>1785</v>
      </c>
      <c r="N3432" s="30" t="b">
        <v>1</v>
      </c>
      <c r="O3432" s="1">
        <f t="shared" si="929"/>
        <v>97.65625</v>
      </c>
      <c r="P3432" s="1">
        <f t="shared" si="930"/>
        <v>225</v>
      </c>
      <c r="Q3432" s="4">
        <f>_xlfn.FLOOR.MATH(P3432*(1+L3432))</f>
        <v>90</v>
      </c>
      <c r="R3432" s="6">
        <v>150</v>
      </c>
      <c r="S3432" s="1">
        <f t="shared" si="934"/>
        <v>1.19047619047619</v>
      </c>
      <c r="T3432" s="1">
        <f t="shared" si="935"/>
        <v>90</v>
      </c>
      <c r="U3432" s="1">
        <f t="shared" si="936"/>
        <v>1.42857142857143</v>
      </c>
      <c r="V3432" s="1">
        <f t="shared" si="937"/>
        <v>0</v>
      </c>
      <c r="W3432" s="1">
        <f t="shared" si="938"/>
        <v>0</v>
      </c>
    </row>
    <row r="3433" spans="2:23">
      <c r="B3433" s="4" t="s">
        <v>1929</v>
      </c>
      <c r="D3433" s="4" t="s">
        <v>1866</v>
      </c>
      <c r="G3433" s="6">
        <v>2</v>
      </c>
      <c r="H3433" s="1">
        <v>60</v>
      </c>
      <c r="I3433" s="1">
        <f t="shared" si="940"/>
        <v>120</v>
      </c>
      <c r="J3433" s="4" t="str">
        <f t="shared" si="933"/>
        <v>yellow</v>
      </c>
      <c r="K3433" s="50">
        <f t="shared" si="928"/>
        <v>1.08506944444444</v>
      </c>
      <c r="L3433" s="6">
        <v>-0.6</v>
      </c>
      <c r="M3433" s="4" t="s">
        <v>1785</v>
      </c>
      <c r="N3433" s="30" t="b">
        <v>1</v>
      </c>
      <c r="O3433" s="1">
        <f t="shared" si="929"/>
        <v>156.25</v>
      </c>
      <c r="P3433" s="1">
        <f t="shared" si="930"/>
        <v>360</v>
      </c>
      <c r="Q3433" s="4">
        <f>_xlfn.FLOOR.MATH(P3433*(1+L3433))</f>
        <v>144</v>
      </c>
      <c r="R3433" s="6">
        <v>150</v>
      </c>
      <c r="S3433" s="1">
        <f t="shared" si="934"/>
        <v>1.9047619047619</v>
      </c>
      <c r="T3433" s="1">
        <f t="shared" si="935"/>
        <v>144</v>
      </c>
      <c r="U3433" s="1">
        <f t="shared" si="936"/>
        <v>2.28571428571429</v>
      </c>
      <c r="V3433" s="1">
        <f t="shared" si="937"/>
        <v>0</v>
      </c>
      <c r="W3433" s="1">
        <f t="shared" si="938"/>
        <v>0</v>
      </c>
    </row>
    <row r="3434" spans="2:23">
      <c r="B3434" s="4" t="s">
        <v>1930</v>
      </c>
      <c r="D3434" s="4" t="s">
        <v>1871</v>
      </c>
      <c r="G3434" s="6">
        <v>3</v>
      </c>
      <c r="H3434" s="1">
        <v>3</v>
      </c>
      <c r="I3434" s="1">
        <f t="shared" si="940"/>
        <v>9</v>
      </c>
      <c r="J3434" s="4" t="str">
        <f t="shared" si="933"/>
        <v>yellow</v>
      </c>
      <c r="K3434" s="50">
        <f t="shared" si="928"/>
        <v>2.34375</v>
      </c>
      <c r="L3434" s="6">
        <v>-0.8</v>
      </c>
      <c r="M3434" s="4" t="s">
        <v>1785</v>
      </c>
      <c r="N3434" s="30" t="b">
        <v>1</v>
      </c>
      <c r="O3434" s="1">
        <f t="shared" si="929"/>
        <v>11.71875</v>
      </c>
      <c r="P3434" s="1">
        <f t="shared" si="930"/>
        <v>27</v>
      </c>
      <c r="Q3434" s="4">
        <f>_xlfn.FLOOR.MATH(P3434*(1+L3434))</f>
        <v>5</v>
      </c>
      <c r="R3434" s="6">
        <v>150</v>
      </c>
      <c r="S3434" s="1">
        <f t="shared" si="934"/>
        <v>0.142857142857143</v>
      </c>
      <c r="T3434" s="1">
        <f t="shared" si="935"/>
        <v>5</v>
      </c>
      <c r="U3434" s="1">
        <f t="shared" si="936"/>
        <v>0.0793650793650794</v>
      </c>
      <c r="V3434" s="1">
        <f t="shared" si="937"/>
        <v>0</v>
      </c>
      <c r="W3434" s="1">
        <f t="shared" si="938"/>
        <v>0</v>
      </c>
    </row>
    <row r="3435" spans="2:23">
      <c r="B3435" s="4" t="s">
        <v>1931</v>
      </c>
      <c r="D3435" s="4" t="s">
        <v>1873</v>
      </c>
      <c r="G3435" s="6">
        <v>1</v>
      </c>
      <c r="H3435" s="1">
        <v>15</v>
      </c>
      <c r="I3435" s="1">
        <f t="shared" si="940"/>
        <v>15</v>
      </c>
      <c r="J3435" s="4" t="str">
        <f t="shared" si="933"/>
        <v>yellow</v>
      </c>
      <c r="K3435" s="50">
        <f t="shared" si="928"/>
        <v>1.50240384615385</v>
      </c>
      <c r="L3435" s="6">
        <v>-0.7</v>
      </c>
      <c r="M3435" s="4" t="s">
        <v>1785</v>
      </c>
      <c r="N3435" s="30" t="b">
        <v>1</v>
      </c>
      <c r="O3435" s="1">
        <f t="shared" si="929"/>
        <v>19.53125</v>
      </c>
      <c r="P3435" s="1">
        <f t="shared" si="930"/>
        <v>45</v>
      </c>
      <c r="Q3435" s="4">
        <f>_xlfn.FLOOR.MATH(P3435*(1+L3435))</f>
        <v>13</v>
      </c>
      <c r="R3435" s="6">
        <v>150</v>
      </c>
      <c r="S3435" s="1">
        <f t="shared" si="934"/>
        <v>0.238095238095238</v>
      </c>
      <c r="T3435" s="1">
        <f t="shared" si="935"/>
        <v>13</v>
      </c>
      <c r="U3435" s="1">
        <f t="shared" si="936"/>
        <v>0.206349206349206</v>
      </c>
      <c r="V3435" s="1">
        <f t="shared" si="937"/>
        <v>0</v>
      </c>
      <c r="W3435" s="1">
        <f t="shared" si="938"/>
        <v>0</v>
      </c>
    </row>
    <row r="3436" spans="2:23">
      <c r="B3436" s="4" t="s">
        <v>1932</v>
      </c>
      <c r="D3436" s="4" t="s">
        <v>1875</v>
      </c>
      <c r="G3436" s="6">
        <v>1</v>
      </c>
      <c r="H3436" s="1">
        <v>60</v>
      </c>
      <c r="I3436" s="1">
        <f t="shared" si="940"/>
        <v>60</v>
      </c>
      <c r="J3436" s="4" t="str">
        <f t="shared" si="933"/>
        <v>yellow</v>
      </c>
      <c r="K3436" s="50">
        <f t="shared" si="928"/>
        <v>1.44675925925926</v>
      </c>
      <c r="L3436" s="6">
        <v>-0.7</v>
      </c>
      <c r="M3436" s="4" t="s">
        <v>1785</v>
      </c>
      <c r="N3436" s="30" t="b">
        <v>1</v>
      </c>
      <c r="O3436" s="1">
        <f t="shared" si="929"/>
        <v>78.125</v>
      </c>
      <c r="P3436" s="1">
        <f t="shared" si="930"/>
        <v>180</v>
      </c>
      <c r="Q3436" s="4">
        <f>_xlfn.FLOOR.MATH(P3436*(1+L3436))</f>
        <v>54</v>
      </c>
      <c r="R3436" s="6">
        <v>150</v>
      </c>
      <c r="S3436" s="1">
        <f t="shared" si="934"/>
        <v>0.952380952380952</v>
      </c>
      <c r="T3436" s="1">
        <f t="shared" si="935"/>
        <v>54</v>
      </c>
      <c r="U3436" s="1">
        <f t="shared" si="936"/>
        <v>0.857142857142857</v>
      </c>
      <c r="V3436" s="1">
        <f t="shared" si="937"/>
        <v>0</v>
      </c>
      <c r="W3436" s="1">
        <f t="shared" si="938"/>
        <v>0</v>
      </c>
    </row>
    <row r="3437" spans="2:23">
      <c r="B3437" s="4" t="s">
        <v>1933</v>
      </c>
      <c r="D3437" s="4" t="s">
        <v>1871</v>
      </c>
      <c r="G3437" s="6">
        <v>15</v>
      </c>
      <c r="H3437" s="1">
        <v>3</v>
      </c>
      <c r="I3437" s="1">
        <f t="shared" si="940"/>
        <v>45</v>
      </c>
      <c r="J3437" s="4" t="str">
        <f t="shared" si="933"/>
        <v>yellow</v>
      </c>
      <c r="K3437" s="50">
        <f t="shared" si="928"/>
        <v>1.08506944444444</v>
      </c>
      <c r="L3437" s="6">
        <v>-0.6</v>
      </c>
      <c r="M3437" s="4" t="s">
        <v>1785</v>
      </c>
      <c r="N3437" s="30" t="b">
        <v>1</v>
      </c>
      <c r="O3437" s="1">
        <f t="shared" si="929"/>
        <v>58.59375</v>
      </c>
      <c r="P3437" s="1">
        <f t="shared" si="930"/>
        <v>135</v>
      </c>
      <c r="Q3437" s="4">
        <f>_xlfn.FLOOR.MATH(P3437*(1+L3437))</f>
        <v>54</v>
      </c>
      <c r="R3437" s="6">
        <v>150</v>
      </c>
      <c r="S3437" s="1">
        <f t="shared" si="934"/>
        <v>0.714285714285714</v>
      </c>
      <c r="T3437" s="1">
        <f t="shared" si="935"/>
        <v>54</v>
      </c>
      <c r="U3437" s="1">
        <f t="shared" si="936"/>
        <v>0.857142857142857</v>
      </c>
      <c r="V3437" s="1">
        <f t="shared" si="937"/>
        <v>0</v>
      </c>
      <c r="W3437" s="1">
        <f t="shared" si="938"/>
        <v>0</v>
      </c>
    </row>
    <row r="3438" spans="2:23">
      <c r="B3438" s="4" t="s">
        <v>1934</v>
      </c>
      <c r="D3438" s="4" t="s">
        <v>1873</v>
      </c>
      <c r="G3438" s="6">
        <v>5</v>
      </c>
      <c r="H3438" s="1">
        <v>15</v>
      </c>
      <c r="I3438" s="1">
        <f t="shared" si="940"/>
        <v>75</v>
      </c>
      <c r="J3438" s="4" t="str">
        <f t="shared" ref="J3438:J3445" si="941">IF(L3438&gt;-0.5,"purple","yellow")</f>
        <v>yellow</v>
      </c>
      <c r="K3438" s="50">
        <f t="shared" si="928"/>
        <v>1.08506944444444</v>
      </c>
      <c r="L3438" s="6">
        <v>-0.6</v>
      </c>
      <c r="M3438" s="4" t="s">
        <v>1785</v>
      </c>
      <c r="N3438" s="30" t="b">
        <v>1</v>
      </c>
      <c r="O3438" s="1">
        <f t="shared" si="929"/>
        <v>97.65625</v>
      </c>
      <c r="P3438" s="1">
        <f t="shared" si="930"/>
        <v>225</v>
      </c>
      <c r="Q3438" s="4">
        <f>_xlfn.FLOOR.MATH(P3438*(1+L3438))</f>
        <v>90</v>
      </c>
      <c r="R3438" s="6">
        <v>150</v>
      </c>
      <c r="S3438" s="1">
        <f t="shared" ref="S3438:S3445" si="942">I3438*R3438/$R$3446</f>
        <v>1.19047619047619</v>
      </c>
      <c r="T3438" s="1">
        <f t="shared" ref="T3438:T3445" si="943">IF(M3438="l_coin",Q3438,0)</f>
        <v>90</v>
      </c>
      <c r="U3438" s="1">
        <f t="shared" ref="U3438:U3445" si="944">T3438*R3438/$R$3446</f>
        <v>1.42857142857143</v>
      </c>
      <c r="V3438" s="1">
        <f t="shared" ref="V3438:V3445" si="945">IF(M3438="l_coin",0,Q3438)</f>
        <v>0</v>
      </c>
      <c r="W3438" s="1">
        <f t="shared" ref="W3438:W3445" si="946">V3438*R3438/$R$3446</f>
        <v>0</v>
      </c>
    </row>
    <row r="3439" spans="2:23">
      <c r="B3439" s="4" t="s">
        <v>1935</v>
      </c>
      <c r="D3439" s="4" t="s">
        <v>1875</v>
      </c>
      <c r="G3439" s="6">
        <v>2</v>
      </c>
      <c r="H3439" s="1">
        <v>60</v>
      </c>
      <c r="I3439" s="1">
        <f t="shared" si="940"/>
        <v>120</v>
      </c>
      <c r="J3439" s="4" t="str">
        <f t="shared" si="941"/>
        <v>yellow</v>
      </c>
      <c r="K3439" s="50">
        <f t="shared" ref="K3439:K3445" si="947">O3439/Q3439</f>
        <v>1.08506944444444</v>
      </c>
      <c r="L3439" s="6">
        <v>-0.6</v>
      </c>
      <c r="M3439" s="4" t="s">
        <v>1785</v>
      </c>
      <c r="N3439" s="30" t="b">
        <v>1</v>
      </c>
      <c r="O3439" s="1">
        <f t="shared" ref="O3439:O3445" si="948">IF(M3439="l_coin",I3439*$E$3246,I3439*$C$3246)</f>
        <v>156.25</v>
      </c>
      <c r="P3439" s="1">
        <f t="shared" ref="P3439:P3445" si="949">IF(M3439="l_coin",I3439*$I$3246,I3439*$G$3246)</f>
        <v>360</v>
      </c>
      <c r="Q3439" s="4">
        <f>_xlfn.FLOOR.MATH(P3439*(1+L3439))</f>
        <v>144</v>
      </c>
      <c r="R3439" s="6">
        <v>150</v>
      </c>
      <c r="S3439" s="1">
        <f t="shared" si="942"/>
        <v>1.9047619047619</v>
      </c>
      <c r="T3439" s="1">
        <f t="shared" si="943"/>
        <v>144</v>
      </c>
      <c r="U3439" s="1">
        <f t="shared" si="944"/>
        <v>2.28571428571429</v>
      </c>
      <c r="V3439" s="1">
        <f t="shared" si="945"/>
        <v>0</v>
      </c>
      <c r="W3439" s="1">
        <f t="shared" si="946"/>
        <v>0</v>
      </c>
    </row>
    <row r="3440" spans="2:23">
      <c r="B3440" s="4" t="s">
        <v>1936</v>
      </c>
      <c r="D3440" s="4" t="s">
        <v>1880</v>
      </c>
      <c r="G3440" s="6">
        <v>3</v>
      </c>
      <c r="H3440" s="1">
        <v>3</v>
      </c>
      <c r="I3440" s="1">
        <f t="shared" si="940"/>
        <v>9</v>
      </c>
      <c r="J3440" s="4" t="str">
        <f t="shared" si="941"/>
        <v>yellow</v>
      </c>
      <c r="K3440" s="50">
        <f t="shared" si="947"/>
        <v>2.34375</v>
      </c>
      <c r="L3440" s="6">
        <v>-0.8</v>
      </c>
      <c r="M3440" s="4" t="s">
        <v>1785</v>
      </c>
      <c r="N3440" s="30" t="b">
        <v>1</v>
      </c>
      <c r="O3440" s="1">
        <f t="shared" si="948"/>
        <v>11.71875</v>
      </c>
      <c r="P3440" s="1">
        <f t="shared" si="949"/>
        <v>27</v>
      </c>
      <c r="Q3440" s="4">
        <f>_xlfn.FLOOR.MATH(P3440*(1+L3440))</f>
        <v>5</v>
      </c>
      <c r="R3440" s="6">
        <v>150</v>
      </c>
      <c r="S3440" s="1">
        <f t="shared" si="942"/>
        <v>0.142857142857143</v>
      </c>
      <c r="T3440" s="1">
        <f t="shared" si="943"/>
        <v>5</v>
      </c>
      <c r="U3440" s="1">
        <f t="shared" si="944"/>
        <v>0.0793650793650794</v>
      </c>
      <c r="V3440" s="1">
        <f t="shared" si="945"/>
        <v>0</v>
      </c>
      <c r="W3440" s="1">
        <f t="shared" si="946"/>
        <v>0</v>
      </c>
    </row>
    <row r="3441" spans="2:23">
      <c r="B3441" s="4" t="s">
        <v>1937</v>
      </c>
      <c r="D3441" s="4" t="s">
        <v>1882</v>
      </c>
      <c r="G3441" s="6">
        <v>1</v>
      </c>
      <c r="H3441" s="1">
        <v>15</v>
      </c>
      <c r="I3441" s="1">
        <f t="shared" si="940"/>
        <v>15</v>
      </c>
      <c r="J3441" s="4" t="str">
        <f t="shared" si="941"/>
        <v>yellow</v>
      </c>
      <c r="K3441" s="50">
        <f t="shared" si="947"/>
        <v>1.50240384615385</v>
      </c>
      <c r="L3441" s="6">
        <v>-0.7</v>
      </c>
      <c r="M3441" s="4" t="s">
        <v>1785</v>
      </c>
      <c r="N3441" s="30" t="b">
        <v>1</v>
      </c>
      <c r="O3441" s="1">
        <f t="shared" si="948"/>
        <v>19.53125</v>
      </c>
      <c r="P3441" s="1">
        <f t="shared" si="949"/>
        <v>45</v>
      </c>
      <c r="Q3441" s="4">
        <f>_xlfn.FLOOR.MATH(P3441*(1+L3441))</f>
        <v>13</v>
      </c>
      <c r="R3441" s="6">
        <v>150</v>
      </c>
      <c r="S3441" s="1">
        <f t="shared" si="942"/>
        <v>0.238095238095238</v>
      </c>
      <c r="T3441" s="1">
        <f t="shared" si="943"/>
        <v>13</v>
      </c>
      <c r="U3441" s="1">
        <f t="shared" si="944"/>
        <v>0.206349206349206</v>
      </c>
      <c r="V3441" s="1">
        <f t="shared" si="945"/>
        <v>0</v>
      </c>
      <c r="W3441" s="1">
        <f t="shared" si="946"/>
        <v>0</v>
      </c>
    </row>
    <row r="3442" spans="2:23">
      <c r="B3442" s="4" t="s">
        <v>1938</v>
      </c>
      <c r="D3442" s="4" t="s">
        <v>1884</v>
      </c>
      <c r="G3442" s="6">
        <v>1</v>
      </c>
      <c r="H3442" s="1">
        <v>60</v>
      </c>
      <c r="I3442" s="1">
        <f t="shared" si="940"/>
        <v>60</v>
      </c>
      <c r="J3442" s="4" t="str">
        <f t="shared" si="941"/>
        <v>yellow</v>
      </c>
      <c r="K3442" s="50">
        <f t="shared" si="947"/>
        <v>1.44675925925926</v>
      </c>
      <c r="L3442" s="6">
        <v>-0.7</v>
      </c>
      <c r="M3442" s="4" t="s">
        <v>1785</v>
      </c>
      <c r="N3442" s="30" t="b">
        <v>1</v>
      </c>
      <c r="O3442" s="1">
        <f t="shared" si="948"/>
        <v>78.125</v>
      </c>
      <c r="P3442" s="1">
        <f t="shared" si="949"/>
        <v>180</v>
      </c>
      <c r="Q3442" s="4">
        <f>_xlfn.FLOOR.MATH(P3442*(1+L3442))</f>
        <v>54</v>
      </c>
      <c r="R3442" s="6">
        <v>150</v>
      </c>
      <c r="S3442" s="1">
        <f t="shared" si="942"/>
        <v>0.952380952380952</v>
      </c>
      <c r="T3442" s="1">
        <f t="shared" si="943"/>
        <v>54</v>
      </c>
      <c r="U3442" s="1">
        <f t="shared" si="944"/>
        <v>0.857142857142857</v>
      </c>
      <c r="V3442" s="1">
        <f t="shared" si="945"/>
        <v>0</v>
      </c>
      <c r="W3442" s="1">
        <f t="shared" si="946"/>
        <v>0</v>
      </c>
    </row>
    <row r="3443" spans="2:23">
      <c r="B3443" s="4" t="s">
        <v>1939</v>
      </c>
      <c r="D3443" s="4" t="s">
        <v>1880</v>
      </c>
      <c r="G3443" s="6">
        <v>15</v>
      </c>
      <c r="H3443" s="1">
        <v>3</v>
      </c>
      <c r="I3443" s="1">
        <f t="shared" si="940"/>
        <v>45</v>
      </c>
      <c r="J3443" s="4" t="str">
        <f t="shared" si="941"/>
        <v>yellow</v>
      </c>
      <c r="K3443" s="50">
        <f t="shared" si="947"/>
        <v>1.08506944444444</v>
      </c>
      <c r="L3443" s="6">
        <v>-0.6</v>
      </c>
      <c r="M3443" s="4" t="s">
        <v>1785</v>
      </c>
      <c r="N3443" s="30" t="b">
        <v>1</v>
      </c>
      <c r="O3443" s="1">
        <f t="shared" si="948"/>
        <v>58.59375</v>
      </c>
      <c r="P3443" s="1">
        <f t="shared" si="949"/>
        <v>135</v>
      </c>
      <c r="Q3443" s="4">
        <f>_xlfn.FLOOR.MATH(P3443*(1+L3443))</f>
        <v>54</v>
      </c>
      <c r="R3443" s="6">
        <v>150</v>
      </c>
      <c r="S3443" s="1">
        <f t="shared" si="942"/>
        <v>0.714285714285714</v>
      </c>
      <c r="T3443" s="1">
        <f t="shared" si="943"/>
        <v>54</v>
      </c>
      <c r="U3443" s="1">
        <f t="shared" si="944"/>
        <v>0.857142857142857</v>
      </c>
      <c r="V3443" s="1">
        <f t="shared" si="945"/>
        <v>0</v>
      </c>
      <c r="W3443" s="1">
        <f t="shared" si="946"/>
        <v>0</v>
      </c>
    </row>
    <row r="3444" spans="2:23">
      <c r="B3444" s="4" t="s">
        <v>1940</v>
      </c>
      <c r="D3444" s="4" t="s">
        <v>1882</v>
      </c>
      <c r="G3444" s="6">
        <v>5</v>
      </c>
      <c r="H3444" s="1">
        <v>15</v>
      </c>
      <c r="I3444" s="1">
        <f t="shared" si="940"/>
        <v>75</v>
      </c>
      <c r="J3444" s="4" t="str">
        <f t="shared" si="941"/>
        <v>yellow</v>
      </c>
      <c r="K3444" s="50">
        <f t="shared" si="947"/>
        <v>1.08506944444444</v>
      </c>
      <c r="L3444" s="6">
        <v>-0.6</v>
      </c>
      <c r="M3444" s="4" t="s">
        <v>1785</v>
      </c>
      <c r="N3444" s="30" t="b">
        <v>1</v>
      </c>
      <c r="O3444" s="1">
        <f t="shared" si="948"/>
        <v>97.65625</v>
      </c>
      <c r="P3444" s="1">
        <f t="shared" si="949"/>
        <v>225</v>
      </c>
      <c r="Q3444" s="4">
        <f>_xlfn.FLOOR.MATH(P3444*(1+L3444))</f>
        <v>90</v>
      </c>
      <c r="R3444" s="6">
        <v>150</v>
      </c>
      <c r="S3444" s="1">
        <f t="shared" si="942"/>
        <v>1.19047619047619</v>
      </c>
      <c r="T3444" s="1">
        <f t="shared" si="943"/>
        <v>90</v>
      </c>
      <c r="U3444" s="1">
        <f t="shared" si="944"/>
        <v>1.42857142857143</v>
      </c>
      <c r="V3444" s="1">
        <f t="shared" si="945"/>
        <v>0</v>
      </c>
      <c r="W3444" s="1">
        <f t="shared" si="946"/>
        <v>0</v>
      </c>
    </row>
    <row r="3445" spans="2:23">
      <c r="B3445" s="4" t="s">
        <v>1941</v>
      </c>
      <c r="D3445" s="4" t="s">
        <v>1884</v>
      </c>
      <c r="G3445" s="6">
        <v>2</v>
      </c>
      <c r="H3445" s="1">
        <v>60</v>
      </c>
      <c r="I3445" s="1">
        <f t="shared" si="940"/>
        <v>120</v>
      </c>
      <c r="J3445" s="4" t="str">
        <f t="shared" si="941"/>
        <v>yellow</v>
      </c>
      <c r="K3445" s="50">
        <f t="shared" si="947"/>
        <v>1.08506944444444</v>
      </c>
      <c r="L3445" s="6">
        <v>-0.6</v>
      </c>
      <c r="M3445" s="4" t="s">
        <v>1785</v>
      </c>
      <c r="N3445" s="30" t="b">
        <v>1</v>
      </c>
      <c r="O3445" s="1">
        <f t="shared" si="948"/>
        <v>156.25</v>
      </c>
      <c r="P3445" s="1">
        <f t="shared" si="949"/>
        <v>360</v>
      </c>
      <c r="Q3445" s="4">
        <f>_xlfn.FLOOR.MATH(P3445*(1+L3445))</f>
        <v>144</v>
      </c>
      <c r="R3445" s="6">
        <v>150</v>
      </c>
      <c r="S3445" s="1">
        <f t="shared" si="942"/>
        <v>1.9047619047619</v>
      </c>
      <c r="T3445" s="1">
        <f t="shared" si="943"/>
        <v>144</v>
      </c>
      <c r="U3445" s="1">
        <f t="shared" si="944"/>
        <v>2.28571428571429</v>
      </c>
      <c r="V3445" s="1">
        <f t="shared" si="945"/>
        <v>0</v>
      </c>
      <c r="W3445" s="1">
        <f t="shared" si="946"/>
        <v>0</v>
      </c>
    </row>
    <row r="3446" spans="17:23">
      <c r="Q3446" s="5" t="s">
        <v>534</v>
      </c>
      <c r="R3446" s="1">
        <f t="shared" ref="R3446:U3446" si="950">SUM(R3374:R3445)</f>
        <v>9450</v>
      </c>
      <c r="S3446" s="5">
        <f t="shared" si="950"/>
        <v>54</v>
      </c>
      <c r="U3446" s="5">
        <f t="shared" si="950"/>
        <v>52.5079365079365</v>
      </c>
      <c r="W3446" s="5">
        <f>SUM(W3374:W3445)</f>
        <v>46214.2857142857</v>
      </c>
    </row>
    <row r="3447" spans="17:23">
      <c r="Q3447" s="5" t="s">
        <v>1809</v>
      </c>
      <c r="S3447" s="5">
        <f t="shared" ref="S3447:W3447" si="951">SUMIFS(S3374:S3445,$N$3374:$N$3445,TRUE)</f>
        <v>33.4285714285714</v>
      </c>
      <c r="T3447" s="5"/>
      <c r="U3447" s="5">
        <f t="shared" si="951"/>
        <v>17.1428571428571</v>
      </c>
      <c r="V3447" s="5"/>
      <c r="W3447" s="5">
        <f t="shared" si="951"/>
        <v>46214.2857142857</v>
      </c>
    </row>
    <row r="3449" spans="2:12">
      <c r="B3449" s="27" t="s">
        <v>1942</v>
      </c>
      <c r="C3449" s="27"/>
      <c r="D3449" s="27"/>
      <c r="E3449" s="27"/>
      <c r="F3449" s="27"/>
      <c r="G3449" s="27"/>
      <c r="H3449" s="27"/>
      <c r="I3449" s="27"/>
      <c r="J3449" s="27"/>
      <c r="K3449" s="27"/>
      <c r="L3449" s="27"/>
    </row>
    <row r="3451" spans="2:6">
      <c r="B3451" s="1" t="s">
        <v>1943</v>
      </c>
      <c r="E3451" s="1">
        <f>$E$4819</f>
        <v>0.8</v>
      </c>
      <c r="F3451" s="1" t="s">
        <v>520</v>
      </c>
    </row>
    <row r="3452" spans="2:6">
      <c r="B3452" s="1" t="s">
        <v>1944</v>
      </c>
      <c r="E3452" s="1">
        <f>$E$4820</f>
        <v>18.3</v>
      </c>
      <c r="F3452" s="1" t="s">
        <v>1355</v>
      </c>
    </row>
    <row r="3453" spans="2:6">
      <c r="B3453" s="1" t="s">
        <v>1144</v>
      </c>
      <c r="E3453" s="1">
        <f>$G$1522</f>
        <v>100</v>
      </c>
      <c r="F3453" s="1" t="s">
        <v>1357</v>
      </c>
    </row>
    <row r="3455" spans="8:17">
      <c r="H3455" s="1" t="s">
        <v>520</v>
      </c>
      <c r="I3455" s="1" t="s">
        <v>1724</v>
      </c>
      <c r="J3455" s="1" t="s">
        <v>1321</v>
      </c>
      <c r="K3455" s="1" t="s">
        <v>1355</v>
      </c>
      <c r="L3455" s="1" t="s">
        <v>1357</v>
      </c>
      <c r="M3455" s="1" t="s">
        <v>1737</v>
      </c>
      <c r="N3455" s="1" t="s">
        <v>1346</v>
      </c>
      <c r="O3455" s="1" t="s">
        <v>1730</v>
      </c>
      <c r="P3455" s="1" t="s">
        <v>1713</v>
      </c>
      <c r="Q3455" s="1" t="s">
        <v>1675</v>
      </c>
    </row>
    <row r="3456" spans="7:17">
      <c r="G3456" s="1" t="s">
        <v>1945</v>
      </c>
      <c r="H3456" s="1">
        <f t="array" ref="H3456:Q3456">TRANSPOSE(C3247:C3256)</f>
        <v>1200000</v>
      </c>
      <c r="I3456" s="1">
        <v>6</v>
      </c>
      <c r="J3456" s="1">
        <v>9000</v>
      </c>
      <c r="K3456" s="1">
        <v>30000</v>
      </c>
      <c r="L3456" s="1">
        <v>5000</v>
      </c>
      <c r="M3456" s="1">
        <v>1509000</v>
      </c>
      <c r="N3456" s="1">
        <v>15</v>
      </c>
      <c r="O3456" s="1">
        <v>12</v>
      </c>
      <c r="P3456" s="1">
        <v>18000</v>
      </c>
      <c r="Q3456" s="1">
        <v>60000</v>
      </c>
    </row>
    <row r="3457" spans="7:17">
      <c r="G3457" s="1" t="s">
        <v>29</v>
      </c>
      <c r="H3457" s="1">
        <f t="array" ref="H3457:Q3457">TRANSPOSE(E3247:E3256)</f>
        <v>600</v>
      </c>
      <c r="I3457" s="1">
        <v>0.003</v>
      </c>
      <c r="J3457" s="1">
        <v>4.5</v>
      </c>
      <c r="K3457" s="1">
        <v>15</v>
      </c>
      <c r="L3457" s="1">
        <v>2.5</v>
      </c>
      <c r="M3457" s="1">
        <v>754.5</v>
      </c>
      <c r="N3457" s="1">
        <v>0.0075</v>
      </c>
      <c r="O3457" s="1">
        <v>0.006</v>
      </c>
      <c r="P3457" s="1">
        <v>9</v>
      </c>
      <c r="Q3457" s="1">
        <v>30</v>
      </c>
    </row>
    <row r="3458" spans="7:17">
      <c r="G3458" s="1" t="s">
        <v>1946</v>
      </c>
      <c r="H3458" s="1">
        <f t="array" ref="H3458:Q3458">TRANSPOSE(G3247:G3256)</f>
        <v>1200000</v>
      </c>
      <c r="I3458" s="1">
        <v>6</v>
      </c>
      <c r="J3458" s="1">
        <v>9000</v>
      </c>
      <c r="K3458" s="1">
        <v>30000</v>
      </c>
      <c r="L3458" s="1">
        <v>5000</v>
      </c>
      <c r="M3458" s="1">
        <v>900000</v>
      </c>
      <c r="N3458" s="1">
        <v>15</v>
      </c>
      <c r="O3458" s="1">
        <v>12</v>
      </c>
      <c r="P3458" s="1">
        <v>18000</v>
      </c>
      <c r="Q3458" s="1">
        <v>60000</v>
      </c>
    </row>
    <row r="3459" spans="7:17">
      <c r="G3459" s="1" t="s">
        <v>31</v>
      </c>
      <c r="H3459" s="1">
        <f t="array" ref="H3459:Q3459">TRANSPOSE(I3247:I3256)</f>
        <v>1200</v>
      </c>
      <c r="I3459" s="1">
        <v>0.006</v>
      </c>
      <c r="J3459" s="1">
        <v>9</v>
      </c>
      <c r="K3459" s="1">
        <v>30</v>
      </c>
      <c r="L3459" s="1">
        <v>5</v>
      </c>
      <c r="M3459" s="1">
        <v>900</v>
      </c>
      <c r="N3459" s="1">
        <v>0.015</v>
      </c>
      <c r="O3459" s="1">
        <v>0.012</v>
      </c>
      <c r="P3459" s="1">
        <v>18</v>
      </c>
      <c r="Q3459" s="1">
        <v>60</v>
      </c>
    </row>
    <row r="3460" spans="2:39">
      <c r="B3460" s="4" t="s">
        <v>1527</v>
      </c>
      <c r="D3460" s="4" t="s">
        <v>607</v>
      </c>
      <c r="E3460" s="4"/>
      <c r="F3460" s="4"/>
      <c r="G3460" s="6" t="s">
        <v>1528</v>
      </c>
      <c r="H3460" s="1" t="s">
        <v>520</v>
      </c>
      <c r="I3460" s="1" t="s">
        <v>1724</v>
      </c>
      <c r="J3460" s="1" t="s">
        <v>1321</v>
      </c>
      <c r="K3460" s="1" t="s">
        <v>1355</v>
      </c>
      <c r="L3460" s="1" t="s">
        <v>1357</v>
      </c>
      <c r="M3460" s="1" t="s">
        <v>1737</v>
      </c>
      <c r="N3460" s="1" t="s">
        <v>1346</v>
      </c>
      <c r="O3460" s="1" t="s">
        <v>1730</v>
      </c>
      <c r="P3460" s="1" t="s">
        <v>1713</v>
      </c>
      <c r="Q3460" s="1" t="s">
        <v>1675</v>
      </c>
      <c r="R3460" s="4" t="s">
        <v>1529</v>
      </c>
      <c r="S3460" s="5" t="s">
        <v>1530</v>
      </c>
      <c r="T3460" s="6" t="s">
        <v>1533</v>
      </c>
      <c r="U3460" s="4" t="s">
        <v>1741</v>
      </c>
      <c r="V3460" s="30" t="s">
        <v>1742</v>
      </c>
      <c r="W3460" s="1" t="s">
        <v>1743</v>
      </c>
      <c r="X3460" s="1" t="s">
        <v>1744</v>
      </c>
      <c r="Y3460" s="4" t="s">
        <v>1745</v>
      </c>
      <c r="Z3460" s="6" t="s">
        <v>1620</v>
      </c>
      <c r="AA3460" s="1" t="s">
        <v>1947</v>
      </c>
      <c r="AB3460" s="1" t="s">
        <v>1948</v>
      </c>
      <c r="AC3460" s="1" t="s">
        <v>1949</v>
      </c>
      <c r="AD3460" s="1" t="s">
        <v>1950</v>
      </c>
      <c r="AE3460" s="1" t="s">
        <v>1951</v>
      </c>
      <c r="AF3460" s="1" t="s">
        <v>1952</v>
      </c>
      <c r="AG3460" s="1" t="s">
        <v>1953</v>
      </c>
      <c r="AH3460" s="1" t="s">
        <v>1954</v>
      </c>
      <c r="AI3460" s="1" t="s">
        <v>1955</v>
      </c>
      <c r="AJ3460" s="1" t="s">
        <v>1747</v>
      </c>
      <c r="AK3460" s="1" t="s">
        <v>1748</v>
      </c>
      <c r="AL3460" s="1" t="s">
        <v>1749</v>
      </c>
      <c r="AM3460" s="1" t="s">
        <v>1750</v>
      </c>
    </row>
    <row r="3461" s="15" customFormat="1" spans="2:39">
      <c r="B3461" s="16" t="s">
        <v>1956</v>
      </c>
      <c r="D3461" s="16" t="s">
        <v>1555</v>
      </c>
      <c r="G3461" s="6">
        <v>2</v>
      </c>
      <c r="M3461" s="15">
        <f>G3461</f>
        <v>2</v>
      </c>
      <c r="R3461" s="16" t="str">
        <f t="shared" ref="R3461:R3498" si="952">IF(T3461&gt;-0.5,"purple","yellow")</f>
        <v>purple</v>
      </c>
      <c r="S3461" s="109">
        <f>W3461/Y3461</f>
        <v>1.86296296296296</v>
      </c>
      <c r="T3461" s="6">
        <v>-0.1</v>
      </c>
      <c r="U3461" s="16" t="s">
        <v>1767</v>
      </c>
      <c r="V3461" s="30" t="b">
        <v>1</v>
      </c>
      <c r="W3461" s="15">
        <f t="shared" ref="W3461:W3492" si="953">IF(U3461="l_coin",SUMPRODUCT(H3461:N3461,$H$3457:$N$3457),SUMPRODUCT(H3461:N3461,$H$3456:$N$3456))</f>
        <v>3018000</v>
      </c>
      <c r="X3461" s="15">
        <f t="shared" ref="X3461:X3492" si="954">IF(U3461="l_coin",SUMPRODUCT(H3461:N3461,$H$3459:$N$3459),SUMPRODUCT(H3461:N3461,$H$3458:$N$3458))</f>
        <v>1800000</v>
      </c>
      <c r="Y3461" s="16">
        <f>_xlfn.FLOOR.MATH(X3461*(1+T3461),1000)</f>
        <v>1620000</v>
      </c>
      <c r="Z3461" s="6">
        <v>0</v>
      </c>
      <c r="AA3461" s="15">
        <f t="shared" ref="AA3461:AA3492" si="955">(H3461+M3461*$E$3451)*$Z3461/$Z$3569</f>
        <v>0</v>
      </c>
      <c r="AB3461" s="15">
        <f t="shared" ref="AB3461:AB3492" si="956">I3461*$Z3461/$Z$3569</f>
        <v>0</v>
      </c>
      <c r="AC3461" s="15">
        <f t="shared" ref="AC3461:AC3492" si="957">J3461*$Z3461/$Z$3569</f>
        <v>0</v>
      </c>
      <c r="AD3461" s="15">
        <f t="shared" ref="AD3461:AD3492" si="958">(K3461+M3461*$E$3452)*$Z3461/$Z$3569</f>
        <v>0</v>
      </c>
      <c r="AE3461" s="15">
        <f t="shared" ref="AE3461:AE3492" si="959">L3461*$Z3461/$Z$3569</f>
        <v>0</v>
      </c>
      <c r="AF3461" s="15">
        <f t="shared" ref="AF3461:AF3492" si="960">N3461*$Z3461/$Z$3569</f>
        <v>0</v>
      </c>
      <c r="AG3461" s="15">
        <f t="shared" ref="AG3461:AG3492" si="961">O3461*$Z3461/$Z$3569</f>
        <v>0</v>
      </c>
      <c r="AH3461" s="15">
        <f t="shared" ref="AH3461:AH3492" si="962">P3461*$Z3461/$Z$3569</f>
        <v>0</v>
      </c>
      <c r="AI3461" s="15">
        <f t="shared" ref="AI3461:AI3492" si="963">Q3461*$Z3461/$Z$3569</f>
        <v>0</v>
      </c>
      <c r="AJ3461" s="15">
        <f t="shared" ref="AJ3461:AJ3492" si="964">IF(U3461="l_coin",Y3461,0)</f>
        <v>0</v>
      </c>
      <c r="AK3461" s="15">
        <f t="shared" ref="AK3461:AK3492" si="965">AJ3461*Z3461/$Z$3569</f>
        <v>0</v>
      </c>
      <c r="AL3461" s="15">
        <f t="shared" ref="AL3461:AL3492" si="966">IF(U3461="l_coin",0,Y3461)</f>
        <v>1620000</v>
      </c>
      <c r="AM3461" s="15">
        <f t="shared" ref="AM3461:AM3492" si="967">AL3461*Z3461/$Z$3569</f>
        <v>0</v>
      </c>
    </row>
    <row r="3462" s="15" customFormat="1" spans="2:39">
      <c r="B3462" s="16" t="s">
        <v>1957</v>
      </c>
      <c r="D3462" s="16" t="s">
        <v>1555</v>
      </c>
      <c r="G3462" s="6">
        <v>4</v>
      </c>
      <c r="M3462" s="15">
        <f>G3462</f>
        <v>4</v>
      </c>
      <c r="R3462" s="16" t="str">
        <f t="shared" si="952"/>
        <v>purple</v>
      </c>
      <c r="S3462" s="109">
        <f t="shared" ref="S3462:S3528" si="968">W3462/Y3462</f>
        <v>1.86296296296296</v>
      </c>
      <c r="T3462" s="6">
        <v>-0.1</v>
      </c>
      <c r="U3462" s="16" t="s">
        <v>1767</v>
      </c>
      <c r="V3462" s="30" t="b">
        <v>1</v>
      </c>
      <c r="W3462" s="15">
        <f t="shared" si="953"/>
        <v>6036000</v>
      </c>
      <c r="X3462" s="15">
        <f t="shared" si="954"/>
        <v>3600000</v>
      </c>
      <c r="Y3462" s="16">
        <f>_xlfn.FLOOR.MATH(X3462*(1+T3462),1000)</f>
        <v>3240000</v>
      </c>
      <c r="Z3462" s="6">
        <v>0</v>
      </c>
      <c r="AA3462" s="15">
        <f t="shared" si="955"/>
        <v>0</v>
      </c>
      <c r="AB3462" s="15">
        <f t="shared" si="956"/>
        <v>0</v>
      </c>
      <c r="AC3462" s="15">
        <f t="shared" si="957"/>
        <v>0</v>
      </c>
      <c r="AD3462" s="15">
        <f t="shared" si="958"/>
        <v>0</v>
      </c>
      <c r="AE3462" s="15">
        <f t="shared" si="959"/>
        <v>0</v>
      </c>
      <c r="AF3462" s="15">
        <f t="shared" si="960"/>
        <v>0</v>
      </c>
      <c r="AG3462" s="15">
        <f t="shared" si="961"/>
        <v>0</v>
      </c>
      <c r="AH3462" s="15">
        <f t="shared" si="962"/>
        <v>0</v>
      </c>
      <c r="AI3462" s="15">
        <f t="shared" si="963"/>
        <v>0</v>
      </c>
      <c r="AJ3462" s="15">
        <f t="shared" si="964"/>
        <v>0</v>
      </c>
      <c r="AK3462" s="15">
        <f t="shared" si="965"/>
        <v>0</v>
      </c>
      <c r="AL3462" s="15">
        <f t="shared" si="966"/>
        <v>3240000</v>
      </c>
      <c r="AM3462" s="15">
        <f t="shared" si="967"/>
        <v>0</v>
      </c>
    </row>
    <row r="3463" s="15" customFormat="1" spans="2:39">
      <c r="B3463" s="16" t="s">
        <v>1958</v>
      </c>
      <c r="D3463" s="16" t="s">
        <v>1539</v>
      </c>
      <c r="G3463" s="6">
        <v>80000</v>
      </c>
      <c r="I3463" s="15">
        <f t="shared" ref="I3463:I3465" si="969">G3463</f>
        <v>80000</v>
      </c>
      <c r="R3463" s="16" t="str">
        <f t="shared" si="952"/>
        <v>purple</v>
      </c>
      <c r="S3463" s="109">
        <f t="shared" si="968"/>
        <v>1.11111111111111</v>
      </c>
      <c r="T3463" s="6">
        <v>-0.1</v>
      </c>
      <c r="U3463" s="16" t="s">
        <v>1767</v>
      </c>
      <c r="V3463" s="30" t="b">
        <v>1</v>
      </c>
      <c r="W3463" s="15">
        <f t="shared" si="953"/>
        <v>480000</v>
      </c>
      <c r="X3463" s="15">
        <f t="shared" si="954"/>
        <v>480000</v>
      </c>
      <c r="Y3463" s="16">
        <f>_xlfn.FLOOR.MATH(X3463*(1+T3463),1000)</f>
        <v>432000</v>
      </c>
      <c r="Z3463" s="6">
        <v>40</v>
      </c>
      <c r="AA3463" s="15">
        <f t="shared" si="955"/>
        <v>0</v>
      </c>
      <c r="AB3463" s="15">
        <f t="shared" si="956"/>
        <v>802.005012531328</v>
      </c>
      <c r="AC3463" s="15">
        <f t="shared" si="957"/>
        <v>0</v>
      </c>
      <c r="AD3463" s="15">
        <f t="shared" si="958"/>
        <v>0</v>
      </c>
      <c r="AE3463" s="15">
        <f t="shared" si="959"/>
        <v>0</v>
      </c>
      <c r="AF3463" s="15">
        <f t="shared" si="960"/>
        <v>0</v>
      </c>
      <c r="AG3463" s="15">
        <f t="shared" si="961"/>
        <v>0</v>
      </c>
      <c r="AH3463" s="15">
        <f t="shared" si="962"/>
        <v>0</v>
      </c>
      <c r="AI3463" s="15">
        <f t="shared" si="963"/>
        <v>0</v>
      </c>
      <c r="AJ3463" s="15">
        <f t="shared" si="964"/>
        <v>0</v>
      </c>
      <c r="AK3463" s="15">
        <f t="shared" si="965"/>
        <v>0</v>
      </c>
      <c r="AL3463" s="15">
        <f t="shared" si="966"/>
        <v>432000</v>
      </c>
      <c r="AM3463" s="15">
        <f t="shared" si="967"/>
        <v>4330.82706766917</v>
      </c>
    </row>
    <row r="3464" s="15" customFormat="1" spans="2:39">
      <c r="B3464" s="16" t="s">
        <v>1959</v>
      </c>
      <c r="D3464" s="16" t="s">
        <v>1539</v>
      </c>
      <c r="G3464" s="6">
        <v>160000</v>
      </c>
      <c r="I3464" s="15">
        <f t="shared" si="969"/>
        <v>160000</v>
      </c>
      <c r="R3464" s="16" t="str">
        <f t="shared" si="952"/>
        <v>purple</v>
      </c>
      <c r="S3464" s="109">
        <f t="shared" si="968"/>
        <v>1.11111111111111</v>
      </c>
      <c r="T3464" s="6">
        <v>-0.1</v>
      </c>
      <c r="U3464" s="16" t="s">
        <v>1753</v>
      </c>
      <c r="V3464" s="30" t="b">
        <v>1</v>
      </c>
      <c r="W3464" s="15">
        <f t="shared" si="953"/>
        <v>960000</v>
      </c>
      <c r="X3464" s="15">
        <f t="shared" si="954"/>
        <v>960000</v>
      </c>
      <c r="Y3464" s="16">
        <f>_xlfn.FLOOR.MATH(X3464*(1+T3464),1000)</f>
        <v>864000</v>
      </c>
      <c r="Z3464" s="6">
        <v>40</v>
      </c>
      <c r="AA3464" s="15">
        <f t="shared" si="955"/>
        <v>0</v>
      </c>
      <c r="AB3464" s="15">
        <f t="shared" si="956"/>
        <v>1604.01002506266</v>
      </c>
      <c r="AC3464" s="15">
        <f t="shared" si="957"/>
        <v>0</v>
      </c>
      <c r="AD3464" s="15">
        <f t="shared" si="958"/>
        <v>0</v>
      </c>
      <c r="AE3464" s="15">
        <f t="shared" si="959"/>
        <v>0</v>
      </c>
      <c r="AF3464" s="15">
        <f t="shared" si="960"/>
        <v>0</v>
      </c>
      <c r="AG3464" s="15">
        <f t="shared" si="961"/>
        <v>0</v>
      </c>
      <c r="AH3464" s="15">
        <f t="shared" si="962"/>
        <v>0</v>
      </c>
      <c r="AI3464" s="15">
        <f t="shared" si="963"/>
        <v>0</v>
      </c>
      <c r="AJ3464" s="15">
        <f t="shared" si="964"/>
        <v>0</v>
      </c>
      <c r="AK3464" s="15">
        <f t="shared" si="965"/>
        <v>0</v>
      </c>
      <c r="AL3464" s="15">
        <f t="shared" si="966"/>
        <v>864000</v>
      </c>
      <c r="AM3464" s="15">
        <f t="shared" si="967"/>
        <v>8661.65413533835</v>
      </c>
    </row>
    <row r="3465" s="15" customFormat="1" spans="2:39">
      <c r="B3465" s="16" t="s">
        <v>1960</v>
      </c>
      <c r="D3465" s="16" t="s">
        <v>1539</v>
      </c>
      <c r="G3465" s="6">
        <v>300000</v>
      </c>
      <c r="I3465" s="15">
        <f t="shared" si="969"/>
        <v>300000</v>
      </c>
      <c r="R3465" s="16" t="str">
        <f t="shared" si="952"/>
        <v>purple</v>
      </c>
      <c r="S3465" s="109">
        <f t="shared" si="968"/>
        <v>1.11111111111111</v>
      </c>
      <c r="T3465" s="6">
        <v>-0.1</v>
      </c>
      <c r="U3465" s="16" t="s">
        <v>1760</v>
      </c>
      <c r="V3465" s="30" t="b">
        <v>1</v>
      </c>
      <c r="W3465" s="15">
        <f t="shared" si="953"/>
        <v>1800000</v>
      </c>
      <c r="X3465" s="15">
        <f t="shared" si="954"/>
        <v>1800000</v>
      </c>
      <c r="Y3465" s="16">
        <f>_xlfn.FLOOR.MATH(X3465*(1+T3465),1000)</f>
        <v>1620000</v>
      </c>
      <c r="Z3465" s="6">
        <v>40</v>
      </c>
      <c r="AA3465" s="15">
        <f t="shared" si="955"/>
        <v>0</v>
      </c>
      <c r="AB3465" s="15">
        <f t="shared" si="956"/>
        <v>3007.51879699248</v>
      </c>
      <c r="AC3465" s="15">
        <f t="shared" si="957"/>
        <v>0</v>
      </c>
      <c r="AD3465" s="15">
        <f t="shared" si="958"/>
        <v>0</v>
      </c>
      <c r="AE3465" s="15">
        <f t="shared" si="959"/>
        <v>0</v>
      </c>
      <c r="AF3465" s="15">
        <f t="shared" si="960"/>
        <v>0</v>
      </c>
      <c r="AG3465" s="15">
        <f t="shared" si="961"/>
        <v>0</v>
      </c>
      <c r="AH3465" s="15">
        <f t="shared" si="962"/>
        <v>0</v>
      </c>
      <c r="AI3465" s="15">
        <f t="shared" si="963"/>
        <v>0</v>
      </c>
      <c r="AJ3465" s="15">
        <f t="shared" si="964"/>
        <v>0</v>
      </c>
      <c r="AK3465" s="15">
        <f t="shared" si="965"/>
        <v>0</v>
      </c>
      <c r="AL3465" s="15">
        <f t="shared" si="966"/>
        <v>1620000</v>
      </c>
      <c r="AM3465" s="15">
        <f t="shared" si="967"/>
        <v>16240.6015037594</v>
      </c>
    </row>
    <row r="3466" s="15" customFormat="1" spans="2:39">
      <c r="B3466" s="16" t="s">
        <v>1961</v>
      </c>
      <c r="D3466" s="16" t="s">
        <v>1541</v>
      </c>
      <c r="G3466" s="6">
        <v>80</v>
      </c>
      <c r="J3466" s="15">
        <f t="shared" ref="J3466:J3468" si="970">G3466</f>
        <v>80</v>
      </c>
      <c r="R3466" s="16" t="str">
        <f t="shared" si="952"/>
        <v>purple</v>
      </c>
      <c r="S3466" s="109">
        <f t="shared" si="968"/>
        <v>1.11111111111111</v>
      </c>
      <c r="T3466" s="6">
        <v>-0.1</v>
      </c>
      <c r="U3466" s="16" t="s">
        <v>1760</v>
      </c>
      <c r="V3466" s="30" t="b">
        <v>1</v>
      </c>
      <c r="W3466" s="15">
        <f t="shared" si="953"/>
        <v>720000</v>
      </c>
      <c r="X3466" s="15">
        <f t="shared" si="954"/>
        <v>720000</v>
      </c>
      <c r="Y3466" s="16">
        <f>_xlfn.FLOOR.MATH(X3466*(1+T3466),1000)</f>
        <v>648000</v>
      </c>
      <c r="Z3466" s="6">
        <v>40</v>
      </c>
      <c r="AA3466" s="15">
        <f t="shared" si="955"/>
        <v>0</v>
      </c>
      <c r="AB3466" s="15">
        <f t="shared" si="956"/>
        <v>0</v>
      </c>
      <c r="AC3466" s="15">
        <f t="shared" si="957"/>
        <v>0.802005012531328</v>
      </c>
      <c r="AD3466" s="15">
        <f t="shared" si="958"/>
        <v>0</v>
      </c>
      <c r="AE3466" s="15">
        <f t="shared" si="959"/>
        <v>0</v>
      </c>
      <c r="AF3466" s="15">
        <f t="shared" si="960"/>
        <v>0</v>
      </c>
      <c r="AG3466" s="15">
        <f t="shared" si="961"/>
        <v>0</v>
      </c>
      <c r="AH3466" s="15">
        <f t="shared" si="962"/>
        <v>0</v>
      </c>
      <c r="AI3466" s="15">
        <f t="shared" si="963"/>
        <v>0</v>
      </c>
      <c r="AJ3466" s="15">
        <f t="shared" si="964"/>
        <v>0</v>
      </c>
      <c r="AK3466" s="15">
        <f t="shared" si="965"/>
        <v>0</v>
      </c>
      <c r="AL3466" s="15">
        <f t="shared" si="966"/>
        <v>648000</v>
      </c>
      <c r="AM3466" s="15">
        <f t="shared" si="967"/>
        <v>6496.24060150376</v>
      </c>
    </row>
    <row r="3467" s="15" customFormat="1" spans="2:39">
      <c r="B3467" s="16" t="s">
        <v>1962</v>
      </c>
      <c r="D3467" s="16" t="s">
        <v>1541</v>
      </c>
      <c r="G3467" s="6">
        <v>120</v>
      </c>
      <c r="J3467" s="15">
        <f t="shared" si="970"/>
        <v>120</v>
      </c>
      <c r="R3467" s="16" t="str">
        <f t="shared" si="952"/>
        <v>purple</v>
      </c>
      <c r="S3467" s="109">
        <f t="shared" si="968"/>
        <v>1.11111111111111</v>
      </c>
      <c r="T3467" s="6">
        <v>-0.1</v>
      </c>
      <c r="U3467" s="16" t="s">
        <v>1753</v>
      </c>
      <c r="V3467" s="30" t="b">
        <v>1</v>
      </c>
      <c r="W3467" s="15">
        <f t="shared" si="953"/>
        <v>1080000</v>
      </c>
      <c r="X3467" s="15">
        <f t="shared" si="954"/>
        <v>1080000</v>
      </c>
      <c r="Y3467" s="16">
        <f>_xlfn.FLOOR.MATH(X3467*(1+T3467),1000)</f>
        <v>972000</v>
      </c>
      <c r="Z3467" s="6">
        <v>40</v>
      </c>
      <c r="AA3467" s="15">
        <f t="shared" si="955"/>
        <v>0</v>
      </c>
      <c r="AB3467" s="15">
        <f t="shared" si="956"/>
        <v>0</v>
      </c>
      <c r="AC3467" s="15">
        <f t="shared" si="957"/>
        <v>1.20300751879699</v>
      </c>
      <c r="AD3467" s="15">
        <f t="shared" si="958"/>
        <v>0</v>
      </c>
      <c r="AE3467" s="15">
        <f t="shared" si="959"/>
        <v>0</v>
      </c>
      <c r="AF3467" s="15">
        <f t="shared" si="960"/>
        <v>0</v>
      </c>
      <c r="AG3467" s="15">
        <f t="shared" si="961"/>
        <v>0</v>
      </c>
      <c r="AH3467" s="15">
        <f t="shared" si="962"/>
        <v>0</v>
      </c>
      <c r="AI3467" s="15">
        <f t="shared" si="963"/>
        <v>0</v>
      </c>
      <c r="AJ3467" s="15">
        <f t="shared" si="964"/>
        <v>0</v>
      </c>
      <c r="AK3467" s="15">
        <f t="shared" si="965"/>
        <v>0</v>
      </c>
      <c r="AL3467" s="15">
        <f t="shared" si="966"/>
        <v>972000</v>
      </c>
      <c r="AM3467" s="15">
        <f t="shared" si="967"/>
        <v>9744.36090225564</v>
      </c>
    </row>
    <row r="3468" s="15" customFormat="1" spans="2:39">
      <c r="B3468" s="16" t="s">
        <v>1963</v>
      </c>
      <c r="D3468" s="16" t="s">
        <v>1541</v>
      </c>
      <c r="G3468" s="6">
        <v>160</v>
      </c>
      <c r="J3468" s="15">
        <f t="shared" si="970"/>
        <v>160</v>
      </c>
      <c r="R3468" s="16" t="str">
        <f t="shared" si="952"/>
        <v>purple</v>
      </c>
      <c r="S3468" s="109">
        <f t="shared" si="968"/>
        <v>1.11111111111111</v>
      </c>
      <c r="T3468" s="6">
        <v>-0.1</v>
      </c>
      <c r="U3468" s="16" t="s">
        <v>1767</v>
      </c>
      <c r="V3468" s="30" t="b">
        <v>1</v>
      </c>
      <c r="W3468" s="15">
        <f t="shared" si="953"/>
        <v>1440000</v>
      </c>
      <c r="X3468" s="15">
        <f t="shared" si="954"/>
        <v>1440000</v>
      </c>
      <c r="Y3468" s="16">
        <f>_xlfn.FLOOR.MATH(X3468*(1+T3468),1000)</f>
        <v>1296000</v>
      </c>
      <c r="Z3468" s="6">
        <v>40</v>
      </c>
      <c r="AA3468" s="15">
        <f t="shared" si="955"/>
        <v>0</v>
      </c>
      <c r="AB3468" s="15">
        <f t="shared" si="956"/>
        <v>0</v>
      </c>
      <c r="AC3468" s="15">
        <f t="shared" si="957"/>
        <v>1.60401002506266</v>
      </c>
      <c r="AD3468" s="15">
        <f t="shared" si="958"/>
        <v>0</v>
      </c>
      <c r="AE3468" s="15">
        <f t="shared" si="959"/>
        <v>0</v>
      </c>
      <c r="AF3468" s="15">
        <f t="shared" si="960"/>
        <v>0</v>
      </c>
      <c r="AG3468" s="15">
        <f t="shared" si="961"/>
        <v>0</v>
      </c>
      <c r="AH3468" s="15">
        <f t="shared" si="962"/>
        <v>0</v>
      </c>
      <c r="AI3468" s="15">
        <f t="shared" si="963"/>
        <v>0</v>
      </c>
      <c r="AJ3468" s="15">
        <f t="shared" si="964"/>
        <v>0</v>
      </c>
      <c r="AK3468" s="15">
        <f t="shared" si="965"/>
        <v>0</v>
      </c>
      <c r="AL3468" s="15">
        <f t="shared" si="966"/>
        <v>1296000</v>
      </c>
      <c r="AM3468" s="15">
        <f t="shared" si="967"/>
        <v>12992.4812030075</v>
      </c>
    </row>
    <row r="3469" s="15" customFormat="1" spans="2:39">
      <c r="B3469" s="16" t="s">
        <v>1964</v>
      </c>
      <c r="D3469" s="16" t="s">
        <v>1638</v>
      </c>
      <c r="G3469" s="6">
        <v>40</v>
      </c>
      <c r="K3469" s="15">
        <f t="shared" ref="K3469:K3471" si="971">G3469</f>
        <v>40</v>
      </c>
      <c r="R3469" s="16" t="str">
        <f t="shared" si="952"/>
        <v>purple</v>
      </c>
      <c r="S3469" s="109">
        <f t="shared" si="968"/>
        <v>1.11111111111111</v>
      </c>
      <c r="T3469" s="6">
        <v>-0.1</v>
      </c>
      <c r="U3469" s="16" t="s">
        <v>1767</v>
      </c>
      <c r="V3469" s="30" t="b">
        <v>1</v>
      </c>
      <c r="W3469" s="15">
        <f t="shared" si="953"/>
        <v>1200000</v>
      </c>
      <c r="X3469" s="15">
        <f t="shared" si="954"/>
        <v>1200000</v>
      </c>
      <c r="Y3469" s="16">
        <f>_xlfn.FLOOR.MATH(X3469*(1+T3469),1000)</f>
        <v>1080000</v>
      </c>
      <c r="Z3469" s="6">
        <v>0</v>
      </c>
      <c r="AA3469" s="15">
        <f t="shared" si="955"/>
        <v>0</v>
      </c>
      <c r="AB3469" s="15">
        <f t="shared" si="956"/>
        <v>0</v>
      </c>
      <c r="AC3469" s="15">
        <f t="shared" si="957"/>
        <v>0</v>
      </c>
      <c r="AD3469" s="15">
        <f t="shared" si="958"/>
        <v>0</v>
      </c>
      <c r="AE3469" s="15">
        <f t="shared" si="959"/>
        <v>0</v>
      </c>
      <c r="AF3469" s="15">
        <f t="shared" si="960"/>
        <v>0</v>
      </c>
      <c r="AG3469" s="15">
        <f t="shared" si="961"/>
        <v>0</v>
      </c>
      <c r="AH3469" s="15">
        <f t="shared" si="962"/>
        <v>0</v>
      </c>
      <c r="AI3469" s="15">
        <f t="shared" si="963"/>
        <v>0</v>
      </c>
      <c r="AJ3469" s="15">
        <f t="shared" si="964"/>
        <v>0</v>
      </c>
      <c r="AK3469" s="15">
        <f t="shared" si="965"/>
        <v>0</v>
      </c>
      <c r="AL3469" s="15">
        <f t="shared" si="966"/>
        <v>1080000</v>
      </c>
      <c r="AM3469" s="15">
        <f t="shared" si="967"/>
        <v>0</v>
      </c>
    </row>
    <row r="3470" s="15" customFormat="1" spans="2:39">
      <c r="B3470" s="16" t="s">
        <v>1965</v>
      </c>
      <c r="D3470" s="16" t="s">
        <v>1638</v>
      </c>
      <c r="G3470" s="6">
        <v>60</v>
      </c>
      <c r="K3470" s="15">
        <f t="shared" si="971"/>
        <v>60</v>
      </c>
      <c r="R3470" s="16" t="str">
        <f t="shared" si="952"/>
        <v>purple</v>
      </c>
      <c r="S3470" s="109">
        <f t="shared" si="968"/>
        <v>1.11111111111111</v>
      </c>
      <c r="T3470" s="6">
        <v>-0.1</v>
      </c>
      <c r="U3470" s="16" t="s">
        <v>1753</v>
      </c>
      <c r="V3470" s="30" t="b">
        <v>1</v>
      </c>
      <c r="W3470" s="15">
        <f t="shared" si="953"/>
        <v>1800000</v>
      </c>
      <c r="X3470" s="15">
        <f t="shared" si="954"/>
        <v>1800000</v>
      </c>
      <c r="Y3470" s="16">
        <f>_xlfn.FLOOR.MATH(X3470*(1+T3470),1000)</f>
        <v>1620000</v>
      </c>
      <c r="Z3470" s="6">
        <v>0</v>
      </c>
      <c r="AA3470" s="15">
        <f t="shared" si="955"/>
        <v>0</v>
      </c>
      <c r="AB3470" s="15">
        <f t="shared" si="956"/>
        <v>0</v>
      </c>
      <c r="AC3470" s="15">
        <f t="shared" si="957"/>
        <v>0</v>
      </c>
      <c r="AD3470" s="15">
        <f t="shared" si="958"/>
        <v>0</v>
      </c>
      <c r="AE3470" s="15">
        <f t="shared" si="959"/>
        <v>0</v>
      </c>
      <c r="AF3470" s="15">
        <f t="shared" si="960"/>
        <v>0</v>
      </c>
      <c r="AG3470" s="15">
        <f t="shared" si="961"/>
        <v>0</v>
      </c>
      <c r="AH3470" s="15">
        <f t="shared" si="962"/>
        <v>0</v>
      </c>
      <c r="AI3470" s="15">
        <f t="shared" si="963"/>
        <v>0</v>
      </c>
      <c r="AJ3470" s="15">
        <f t="shared" si="964"/>
        <v>0</v>
      </c>
      <c r="AK3470" s="15">
        <f t="shared" si="965"/>
        <v>0</v>
      </c>
      <c r="AL3470" s="15">
        <f t="shared" si="966"/>
        <v>1620000</v>
      </c>
      <c r="AM3470" s="15">
        <f t="shared" si="967"/>
        <v>0</v>
      </c>
    </row>
    <row r="3471" s="15" customFormat="1" spans="2:39">
      <c r="B3471" s="16" t="s">
        <v>1966</v>
      </c>
      <c r="D3471" s="16" t="s">
        <v>1638</v>
      </c>
      <c r="G3471" s="6">
        <v>80</v>
      </c>
      <c r="K3471" s="15">
        <f t="shared" si="971"/>
        <v>80</v>
      </c>
      <c r="R3471" s="16" t="str">
        <f t="shared" si="952"/>
        <v>purple</v>
      </c>
      <c r="S3471" s="109">
        <f t="shared" si="968"/>
        <v>1.11111111111111</v>
      </c>
      <c r="T3471" s="6">
        <v>-0.1</v>
      </c>
      <c r="U3471" s="16" t="s">
        <v>1760</v>
      </c>
      <c r="V3471" s="30" t="b">
        <v>1</v>
      </c>
      <c r="W3471" s="15">
        <f t="shared" si="953"/>
        <v>2400000</v>
      </c>
      <c r="X3471" s="15">
        <f t="shared" si="954"/>
        <v>2400000</v>
      </c>
      <c r="Y3471" s="16">
        <f>_xlfn.FLOOR.MATH(X3471*(1+T3471),1000)</f>
        <v>2160000</v>
      </c>
      <c r="Z3471" s="6">
        <v>0</v>
      </c>
      <c r="AA3471" s="15">
        <f t="shared" si="955"/>
        <v>0</v>
      </c>
      <c r="AB3471" s="15">
        <f t="shared" si="956"/>
        <v>0</v>
      </c>
      <c r="AC3471" s="15">
        <f t="shared" si="957"/>
        <v>0</v>
      </c>
      <c r="AD3471" s="15">
        <f t="shared" si="958"/>
        <v>0</v>
      </c>
      <c r="AE3471" s="15">
        <f t="shared" si="959"/>
        <v>0</v>
      </c>
      <c r="AF3471" s="15">
        <f t="shared" si="960"/>
        <v>0</v>
      </c>
      <c r="AG3471" s="15">
        <f t="shared" si="961"/>
        <v>0</v>
      </c>
      <c r="AH3471" s="15">
        <f t="shared" si="962"/>
        <v>0</v>
      </c>
      <c r="AI3471" s="15">
        <f t="shared" si="963"/>
        <v>0</v>
      </c>
      <c r="AJ3471" s="15">
        <f t="shared" si="964"/>
        <v>0</v>
      </c>
      <c r="AK3471" s="15">
        <f t="shared" si="965"/>
        <v>0</v>
      </c>
      <c r="AL3471" s="15">
        <f t="shared" si="966"/>
        <v>2160000</v>
      </c>
      <c r="AM3471" s="15">
        <f t="shared" si="967"/>
        <v>0</v>
      </c>
    </row>
    <row r="3472" s="15" customFormat="1" spans="2:39">
      <c r="B3472" s="16"/>
      <c r="D3472" s="16" t="s">
        <v>1967</v>
      </c>
      <c r="G3472" s="6">
        <v>5</v>
      </c>
      <c r="N3472" s="15">
        <f t="shared" ref="N3472:N3474" si="972">G3472*10000</f>
        <v>50000</v>
      </c>
      <c r="R3472" s="16" t="str">
        <f t="shared" ref="R3472:R3474" si="973">IF(T3472&gt;-0.5,"purple","yellow")</f>
        <v>purple</v>
      </c>
      <c r="S3472" s="109">
        <f t="shared" si="968"/>
        <v>1.11111111111111</v>
      </c>
      <c r="T3472" s="6">
        <v>-0.1</v>
      </c>
      <c r="U3472" s="16" t="s">
        <v>1767</v>
      </c>
      <c r="V3472" s="30" t="b">
        <v>1</v>
      </c>
      <c r="W3472" s="15">
        <f t="shared" si="953"/>
        <v>750000</v>
      </c>
      <c r="X3472" s="15">
        <f t="shared" si="954"/>
        <v>750000</v>
      </c>
      <c r="Y3472" s="16">
        <f>_xlfn.FLOOR.MATH(X3472*(1+T3472),1000)</f>
        <v>675000</v>
      </c>
      <c r="Z3472" s="6">
        <v>0</v>
      </c>
      <c r="AA3472" s="15">
        <f t="shared" si="955"/>
        <v>0</v>
      </c>
      <c r="AB3472" s="15">
        <f t="shared" si="956"/>
        <v>0</v>
      </c>
      <c r="AC3472" s="15">
        <f t="shared" si="957"/>
        <v>0</v>
      </c>
      <c r="AD3472" s="15">
        <f t="shared" si="958"/>
        <v>0</v>
      </c>
      <c r="AE3472" s="15">
        <f t="shared" si="959"/>
        <v>0</v>
      </c>
      <c r="AF3472" s="15">
        <f t="shared" si="960"/>
        <v>0</v>
      </c>
      <c r="AG3472" s="15">
        <f t="shared" si="961"/>
        <v>0</v>
      </c>
      <c r="AH3472" s="15">
        <f t="shared" si="962"/>
        <v>0</v>
      </c>
      <c r="AI3472" s="15">
        <f t="shared" si="963"/>
        <v>0</v>
      </c>
      <c r="AJ3472" s="15">
        <f t="shared" si="964"/>
        <v>0</v>
      </c>
      <c r="AK3472" s="15">
        <f t="shared" si="965"/>
        <v>0</v>
      </c>
      <c r="AL3472" s="15">
        <f t="shared" si="966"/>
        <v>675000</v>
      </c>
      <c r="AM3472" s="15">
        <f t="shared" si="967"/>
        <v>0</v>
      </c>
    </row>
    <row r="3473" s="15" customFormat="1" spans="2:39">
      <c r="B3473" s="16"/>
      <c r="D3473" s="16" t="s">
        <v>1967</v>
      </c>
      <c r="G3473" s="6">
        <v>15</v>
      </c>
      <c r="N3473" s="15">
        <f t="shared" si="972"/>
        <v>150000</v>
      </c>
      <c r="R3473" s="16" t="str">
        <f t="shared" si="973"/>
        <v>purple</v>
      </c>
      <c r="S3473" s="109">
        <f t="shared" ref="S3473:S3474" si="974">W3473/Y3473</f>
        <v>1.11111111111111</v>
      </c>
      <c r="T3473" s="6">
        <v>-0.1</v>
      </c>
      <c r="U3473" s="16" t="s">
        <v>1753</v>
      </c>
      <c r="V3473" s="30" t="b">
        <v>1</v>
      </c>
      <c r="W3473" s="15">
        <f t="shared" si="953"/>
        <v>2250000</v>
      </c>
      <c r="X3473" s="15">
        <f t="shared" si="954"/>
        <v>2250000</v>
      </c>
      <c r="Y3473" s="16">
        <f>_xlfn.FLOOR.MATH(X3473*(1+T3473),1000)</f>
        <v>2025000</v>
      </c>
      <c r="Z3473" s="6">
        <v>0</v>
      </c>
      <c r="AA3473" s="15">
        <f t="shared" si="955"/>
        <v>0</v>
      </c>
      <c r="AB3473" s="15">
        <f t="shared" si="956"/>
        <v>0</v>
      </c>
      <c r="AC3473" s="15">
        <f t="shared" si="957"/>
        <v>0</v>
      </c>
      <c r="AD3473" s="15">
        <f t="shared" si="958"/>
        <v>0</v>
      </c>
      <c r="AE3473" s="15">
        <f t="shared" si="959"/>
        <v>0</v>
      </c>
      <c r="AF3473" s="15">
        <f t="shared" si="960"/>
        <v>0</v>
      </c>
      <c r="AG3473" s="15">
        <f t="shared" si="961"/>
        <v>0</v>
      </c>
      <c r="AH3473" s="15">
        <f t="shared" si="962"/>
        <v>0</v>
      </c>
      <c r="AI3473" s="15">
        <f t="shared" si="963"/>
        <v>0</v>
      </c>
      <c r="AJ3473" s="15">
        <f t="shared" si="964"/>
        <v>0</v>
      </c>
      <c r="AK3473" s="15">
        <f t="shared" si="965"/>
        <v>0</v>
      </c>
      <c r="AL3473" s="15">
        <f t="shared" si="966"/>
        <v>2025000</v>
      </c>
      <c r="AM3473" s="15">
        <f t="shared" si="967"/>
        <v>0</v>
      </c>
    </row>
    <row r="3474" s="15" customFormat="1" spans="2:39">
      <c r="B3474" s="16"/>
      <c r="D3474" s="16" t="s">
        <v>1967</v>
      </c>
      <c r="G3474" s="6">
        <v>20</v>
      </c>
      <c r="N3474" s="15">
        <f t="shared" si="972"/>
        <v>200000</v>
      </c>
      <c r="R3474" s="16" t="str">
        <f t="shared" si="973"/>
        <v>purple</v>
      </c>
      <c r="S3474" s="109">
        <f t="shared" si="974"/>
        <v>1.11111111111111</v>
      </c>
      <c r="T3474" s="6">
        <v>-0.1</v>
      </c>
      <c r="U3474" s="16" t="s">
        <v>1760</v>
      </c>
      <c r="V3474" s="30" t="b">
        <v>1</v>
      </c>
      <c r="W3474" s="15">
        <f t="shared" si="953"/>
        <v>3000000</v>
      </c>
      <c r="X3474" s="15">
        <f t="shared" si="954"/>
        <v>3000000</v>
      </c>
      <c r="Y3474" s="16">
        <f>_xlfn.FLOOR.MATH(X3474*(1+T3474),1000)</f>
        <v>2700000</v>
      </c>
      <c r="Z3474" s="6">
        <v>0</v>
      </c>
      <c r="AA3474" s="15">
        <f t="shared" si="955"/>
        <v>0</v>
      </c>
      <c r="AB3474" s="15">
        <f t="shared" si="956"/>
        <v>0</v>
      </c>
      <c r="AC3474" s="15">
        <f t="shared" si="957"/>
        <v>0</v>
      </c>
      <c r="AD3474" s="15">
        <f t="shared" si="958"/>
        <v>0</v>
      </c>
      <c r="AE3474" s="15">
        <f t="shared" si="959"/>
        <v>0</v>
      </c>
      <c r="AF3474" s="15">
        <f t="shared" si="960"/>
        <v>0</v>
      </c>
      <c r="AG3474" s="15">
        <f t="shared" si="961"/>
        <v>0</v>
      </c>
      <c r="AH3474" s="15">
        <f t="shared" si="962"/>
        <v>0</v>
      </c>
      <c r="AI3474" s="15">
        <f t="shared" si="963"/>
        <v>0</v>
      </c>
      <c r="AJ3474" s="15">
        <f t="shared" si="964"/>
        <v>0</v>
      </c>
      <c r="AK3474" s="15">
        <f t="shared" si="965"/>
        <v>0</v>
      </c>
      <c r="AL3474" s="15">
        <f t="shared" si="966"/>
        <v>2700000</v>
      </c>
      <c r="AM3474" s="15">
        <f t="shared" si="967"/>
        <v>0</v>
      </c>
    </row>
    <row r="3475" s="15" customFormat="1" spans="2:39">
      <c r="B3475" s="16" t="s">
        <v>1968</v>
      </c>
      <c r="D3475" s="16" t="s">
        <v>1969</v>
      </c>
      <c r="G3475" s="6">
        <v>1</v>
      </c>
      <c r="L3475" s="15">
        <f t="shared" ref="L3475:L3477" si="975">G3475*$E$3453</f>
        <v>100</v>
      </c>
      <c r="R3475" s="16" t="str">
        <f t="shared" si="952"/>
        <v>purple</v>
      </c>
      <c r="S3475" s="109">
        <f t="shared" si="968"/>
        <v>1.11111111111111</v>
      </c>
      <c r="T3475" s="6">
        <v>-0.1</v>
      </c>
      <c r="U3475" s="16" t="s">
        <v>1760</v>
      </c>
      <c r="V3475" s="30" t="b">
        <v>1</v>
      </c>
      <c r="W3475" s="15">
        <f t="shared" si="953"/>
        <v>500000</v>
      </c>
      <c r="X3475" s="15">
        <f t="shared" si="954"/>
        <v>500000</v>
      </c>
      <c r="Y3475" s="16">
        <f>_xlfn.FLOOR.MATH(X3475*(1+T3475),1000)</f>
        <v>450000</v>
      </c>
      <c r="Z3475" s="6">
        <v>0</v>
      </c>
      <c r="AA3475" s="15">
        <f t="shared" si="955"/>
        <v>0</v>
      </c>
      <c r="AB3475" s="15">
        <f t="shared" si="956"/>
        <v>0</v>
      </c>
      <c r="AC3475" s="15">
        <f t="shared" si="957"/>
        <v>0</v>
      </c>
      <c r="AD3475" s="15">
        <f t="shared" si="958"/>
        <v>0</v>
      </c>
      <c r="AE3475" s="15">
        <f t="shared" si="959"/>
        <v>0</v>
      </c>
      <c r="AF3475" s="15">
        <f t="shared" si="960"/>
        <v>0</v>
      </c>
      <c r="AG3475" s="15">
        <f t="shared" si="961"/>
        <v>0</v>
      </c>
      <c r="AH3475" s="15">
        <f t="shared" si="962"/>
        <v>0</v>
      </c>
      <c r="AI3475" s="15">
        <f t="shared" si="963"/>
        <v>0</v>
      </c>
      <c r="AJ3475" s="15">
        <f t="shared" si="964"/>
        <v>0</v>
      </c>
      <c r="AK3475" s="15">
        <f t="shared" si="965"/>
        <v>0</v>
      </c>
      <c r="AL3475" s="15">
        <f t="shared" si="966"/>
        <v>450000</v>
      </c>
      <c r="AM3475" s="15">
        <f t="shared" si="967"/>
        <v>0</v>
      </c>
    </row>
    <row r="3476" s="15" customFormat="1" spans="2:39">
      <c r="B3476" s="16" t="s">
        <v>1970</v>
      </c>
      <c r="D3476" s="16" t="s">
        <v>1969</v>
      </c>
      <c r="G3476" s="6">
        <v>2</v>
      </c>
      <c r="L3476" s="15">
        <f t="shared" si="975"/>
        <v>200</v>
      </c>
      <c r="R3476" s="16" t="str">
        <f t="shared" si="952"/>
        <v>purple</v>
      </c>
      <c r="S3476" s="109">
        <f t="shared" si="968"/>
        <v>1.11111111111111</v>
      </c>
      <c r="T3476" s="6">
        <v>-0.1</v>
      </c>
      <c r="U3476" s="16" t="s">
        <v>1753</v>
      </c>
      <c r="V3476" s="30" t="b">
        <v>1</v>
      </c>
      <c r="W3476" s="15">
        <f t="shared" si="953"/>
        <v>1000000</v>
      </c>
      <c r="X3476" s="15">
        <f t="shared" si="954"/>
        <v>1000000</v>
      </c>
      <c r="Y3476" s="16">
        <f>_xlfn.FLOOR.MATH(X3476*(1+T3476),1000)</f>
        <v>900000</v>
      </c>
      <c r="Z3476" s="6">
        <v>0</v>
      </c>
      <c r="AA3476" s="15">
        <f t="shared" si="955"/>
        <v>0</v>
      </c>
      <c r="AB3476" s="15">
        <f t="shared" si="956"/>
        <v>0</v>
      </c>
      <c r="AC3476" s="15">
        <f t="shared" si="957"/>
        <v>0</v>
      </c>
      <c r="AD3476" s="15">
        <f t="shared" si="958"/>
        <v>0</v>
      </c>
      <c r="AE3476" s="15">
        <f t="shared" si="959"/>
        <v>0</v>
      </c>
      <c r="AF3476" s="15">
        <f t="shared" si="960"/>
        <v>0</v>
      </c>
      <c r="AG3476" s="15">
        <f t="shared" si="961"/>
        <v>0</v>
      </c>
      <c r="AH3476" s="15">
        <f t="shared" si="962"/>
        <v>0</v>
      </c>
      <c r="AI3476" s="15">
        <f t="shared" si="963"/>
        <v>0</v>
      </c>
      <c r="AJ3476" s="15">
        <f t="shared" si="964"/>
        <v>0</v>
      </c>
      <c r="AK3476" s="15">
        <f t="shared" si="965"/>
        <v>0</v>
      </c>
      <c r="AL3476" s="15">
        <f t="shared" si="966"/>
        <v>900000</v>
      </c>
      <c r="AM3476" s="15">
        <f t="shared" si="967"/>
        <v>0</v>
      </c>
    </row>
    <row r="3477" s="15" customFormat="1" spans="2:39">
      <c r="B3477" s="16" t="s">
        <v>1971</v>
      </c>
      <c r="D3477" s="16" t="s">
        <v>1969</v>
      </c>
      <c r="G3477" s="6">
        <v>3</v>
      </c>
      <c r="L3477" s="15">
        <f t="shared" si="975"/>
        <v>300</v>
      </c>
      <c r="R3477" s="16" t="str">
        <f t="shared" si="952"/>
        <v>purple</v>
      </c>
      <c r="S3477" s="109">
        <f t="shared" si="968"/>
        <v>1.11111111111111</v>
      </c>
      <c r="T3477" s="6">
        <v>-0.1</v>
      </c>
      <c r="U3477" s="16" t="s">
        <v>1767</v>
      </c>
      <c r="V3477" s="30" t="b">
        <v>1</v>
      </c>
      <c r="W3477" s="15">
        <f t="shared" si="953"/>
        <v>1500000</v>
      </c>
      <c r="X3477" s="15">
        <f t="shared" si="954"/>
        <v>1500000</v>
      </c>
      <c r="Y3477" s="16">
        <f>_xlfn.FLOOR.MATH(X3477*(1+T3477),1000)</f>
        <v>1350000</v>
      </c>
      <c r="Z3477" s="6">
        <v>0</v>
      </c>
      <c r="AA3477" s="15">
        <f t="shared" si="955"/>
        <v>0</v>
      </c>
      <c r="AB3477" s="15">
        <f t="shared" si="956"/>
        <v>0</v>
      </c>
      <c r="AC3477" s="15">
        <f t="shared" si="957"/>
        <v>0</v>
      </c>
      <c r="AD3477" s="15">
        <f t="shared" si="958"/>
        <v>0</v>
      </c>
      <c r="AE3477" s="15">
        <f t="shared" si="959"/>
        <v>0</v>
      </c>
      <c r="AF3477" s="15">
        <f t="shared" si="960"/>
        <v>0</v>
      </c>
      <c r="AG3477" s="15">
        <f t="shared" si="961"/>
        <v>0</v>
      </c>
      <c r="AH3477" s="15">
        <f t="shared" si="962"/>
        <v>0</v>
      </c>
      <c r="AI3477" s="15">
        <f t="shared" si="963"/>
        <v>0</v>
      </c>
      <c r="AJ3477" s="15">
        <f t="shared" si="964"/>
        <v>0</v>
      </c>
      <c r="AK3477" s="15">
        <f t="shared" si="965"/>
        <v>0</v>
      </c>
      <c r="AL3477" s="15">
        <f t="shared" si="966"/>
        <v>1350000</v>
      </c>
      <c r="AM3477" s="15">
        <f t="shared" si="967"/>
        <v>0</v>
      </c>
    </row>
    <row r="3478" spans="2:39">
      <c r="B3478" s="4" t="s">
        <v>1972</v>
      </c>
      <c r="D3478" s="4" t="s">
        <v>1555</v>
      </c>
      <c r="G3478" s="6">
        <v>2</v>
      </c>
      <c r="M3478" s="1">
        <f>G3478</f>
        <v>2</v>
      </c>
      <c r="R3478" s="4" t="str">
        <f t="shared" si="952"/>
        <v>purple</v>
      </c>
      <c r="S3478" s="50">
        <f t="shared" si="968"/>
        <v>2.09583333333333</v>
      </c>
      <c r="T3478" s="6">
        <v>-0.2</v>
      </c>
      <c r="U3478" s="4" t="s">
        <v>1767</v>
      </c>
      <c r="V3478" s="30" t="b">
        <v>1</v>
      </c>
      <c r="W3478" s="1">
        <f t="shared" si="953"/>
        <v>3018000</v>
      </c>
      <c r="X3478" s="1">
        <f t="shared" si="954"/>
        <v>1800000</v>
      </c>
      <c r="Y3478" s="4">
        <f>_xlfn.FLOOR.MATH(X3478*(1+T3478),1000)</f>
        <v>1440000</v>
      </c>
      <c r="Z3478" s="6">
        <v>0</v>
      </c>
      <c r="AA3478" s="1">
        <f t="shared" si="955"/>
        <v>0</v>
      </c>
      <c r="AB3478" s="1">
        <f t="shared" si="956"/>
        <v>0</v>
      </c>
      <c r="AC3478" s="1">
        <f t="shared" si="957"/>
        <v>0</v>
      </c>
      <c r="AD3478" s="1">
        <f t="shared" si="958"/>
        <v>0</v>
      </c>
      <c r="AE3478" s="1">
        <f t="shared" si="959"/>
        <v>0</v>
      </c>
      <c r="AF3478" s="1">
        <f t="shared" si="960"/>
        <v>0</v>
      </c>
      <c r="AG3478" s="15">
        <f t="shared" si="961"/>
        <v>0</v>
      </c>
      <c r="AH3478" s="15">
        <f t="shared" si="962"/>
        <v>0</v>
      </c>
      <c r="AI3478" s="15">
        <f t="shared" si="963"/>
        <v>0</v>
      </c>
      <c r="AJ3478" s="1">
        <f t="shared" si="964"/>
        <v>0</v>
      </c>
      <c r="AK3478" s="1">
        <f t="shared" si="965"/>
        <v>0</v>
      </c>
      <c r="AL3478" s="1">
        <f t="shared" si="966"/>
        <v>1440000</v>
      </c>
      <c r="AM3478" s="1">
        <f t="shared" si="967"/>
        <v>0</v>
      </c>
    </row>
    <row r="3479" spans="2:39">
      <c r="B3479" s="4" t="s">
        <v>1973</v>
      </c>
      <c r="D3479" s="4" t="s">
        <v>1555</v>
      </c>
      <c r="G3479" s="6">
        <v>4</v>
      </c>
      <c r="M3479" s="1">
        <f>G3479</f>
        <v>4</v>
      </c>
      <c r="R3479" s="4" t="str">
        <f t="shared" si="952"/>
        <v>purple</v>
      </c>
      <c r="S3479" s="50">
        <f t="shared" si="968"/>
        <v>2.09583333333333</v>
      </c>
      <c r="T3479" s="6">
        <v>-0.2</v>
      </c>
      <c r="U3479" s="4" t="s">
        <v>1767</v>
      </c>
      <c r="V3479" s="30" t="b">
        <v>1</v>
      </c>
      <c r="W3479" s="1">
        <f t="shared" si="953"/>
        <v>6036000</v>
      </c>
      <c r="X3479" s="1">
        <f t="shared" si="954"/>
        <v>3600000</v>
      </c>
      <c r="Y3479" s="4">
        <f>_xlfn.FLOOR.MATH(X3479*(1+T3479),1000)</f>
        <v>2880000</v>
      </c>
      <c r="Z3479" s="6">
        <v>0</v>
      </c>
      <c r="AA3479" s="1">
        <f t="shared" si="955"/>
        <v>0</v>
      </c>
      <c r="AB3479" s="1">
        <f t="shared" si="956"/>
        <v>0</v>
      </c>
      <c r="AC3479" s="1">
        <f t="shared" si="957"/>
        <v>0</v>
      </c>
      <c r="AD3479" s="1">
        <f t="shared" si="958"/>
        <v>0</v>
      </c>
      <c r="AE3479" s="1">
        <f t="shared" si="959"/>
        <v>0</v>
      </c>
      <c r="AF3479" s="1">
        <f t="shared" si="960"/>
        <v>0</v>
      </c>
      <c r="AG3479" s="15">
        <f t="shared" si="961"/>
        <v>0</v>
      </c>
      <c r="AH3479" s="15">
        <f t="shared" si="962"/>
        <v>0</v>
      </c>
      <c r="AI3479" s="15">
        <f t="shared" si="963"/>
        <v>0</v>
      </c>
      <c r="AJ3479" s="1">
        <f t="shared" si="964"/>
        <v>0</v>
      </c>
      <c r="AK3479" s="1">
        <f t="shared" si="965"/>
        <v>0</v>
      </c>
      <c r="AL3479" s="1">
        <f t="shared" si="966"/>
        <v>2880000</v>
      </c>
      <c r="AM3479" s="1">
        <f t="shared" si="967"/>
        <v>0</v>
      </c>
    </row>
    <row r="3480" spans="2:39">
      <c r="B3480" s="4" t="s">
        <v>1974</v>
      </c>
      <c r="D3480" s="4" t="s">
        <v>1539</v>
      </c>
      <c r="G3480" s="6">
        <v>80000</v>
      </c>
      <c r="I3480" s="1">
        <f t="shared" ref="I3480:I3482" si="976">G3480</f>
        <v>80000</v>
      </c>
      <c r="R3480" s="4" t="str">
        <f t="shared" si="952"/>
        <v>purple</v>
      </c>
      <c r="S3480" s="50">
        <f t="shared" si="968"/>
        <v>1.25</v>
      </c>
      <c r="T3480" s="6">
        <v>-0.2</v>
      </c>
      <c r="U3480" s="4" t="s">
        <v>1767</v>
      </c>
      <c r="V3480" s="30" t="b">
        <v>1</v>
      </c>
      <c r="W3480" s="1">
        <f t="shared" si="953"/>
        <v>480000</v>
      </c>
      <c r="X3480" s="1">
        <f t="shared" si="954"/>
        <v>480000</v>
      </c>
      <c r="Y3480" s="4">
        <f>_xlfn.FLOOR.MATH(X3480*(1+T3480),1000)</f>
        <v>384000</v>
      </c>
      <c r="Z3480" s="6">
        <v>20</v>
      </c>
      <c r="AA3480" s="1">
        <f t="shared" si="955"/>
        <v>0</v>
      </c>
      <c r="AB3480" s="1">
        <f t="shared" si="956"/>
        <v>401.002506265664</v>
      </c>
      <c r="AC3480" s="1">
        <f t="shared" si="957"/>
        <v>0</v>
      </c>
      <c r="AD3480" s="1">
        <f t="shared" si="958"/>
        <v>0</v>
      </c>
      <c r="AE3480" s="1">
        <f t="shared" si="959"/>
        <v>0</v>
      </c>
      <c r="AF3480" s="1">
        <f t="shared" si="960"/>
        <v>0</v>
      </c>
      <c r="AG3480" s="15">
        <f t="shared" si="961"/>
        <v>0</v>
      </c>
      <c r="AH3480" s="15">
        <f t="shared" si="962"/>
        <v>0</v>
      </c>
      <c r="AI3480" s="15">
        <f t="shared" si="963"/>
        <v>0</v>
      </c>
      <c r="AJ3480" s="1">
        <f t="shared" si="964"/>
        <v>0</v>
      </c>
      <c r="AK3480" s="1">
        <f t="shared" si="965"/>
        <v>0</v>
      </c>
      <c r="AL3480" s="1">
        <f t="shared" si="966"/>
        <v>384000</v>
      </c>
      <c r="AM3480" s="1">
        <f t="shared" si="967"/>
        <v>1924.81203007519</v>
      </c>
    </row>
    <row r="3481" spans="2:39">
      <c r="B3481" s="4" t="s">
        <v>1975</v>
      </c>
      <c r="D3481" s="4" t="s">
        <v>1539</v>
      </c>
      <c r="G3481" s="6">
        <v>160000</v>
      </c>
      <c r="I3481" s="1">
        <f t="shared" si="976"/>
        <v>160000</v>
      </c>
      <c r="R3481" s="4" t="str">
        <f t="shared" si="952"/>
        <v>purple</v>
      </c>
      <c r="S3481" s="50">
        <f t="shared" si="968"/>
        <v>1.25</v>
      </c>
      <c r="T3481" s="6">
        <v>-0.2</v>
      </c>
      <c r="U3481" s="4" t="s">
        <v>1753</v>
      </c>
      <c r="V3481" s="30" t="b">
        <v>1</v>
      </c>
      <c r="W3481" s="1">
        <f t="shared" si="953"/>
        <v>960000</v>
      </c>
      <c r="X3481" s="1">
        <f t="shared" si="954"/>
        <v>960000</v>
      </c>
      <c r="Y3481" s="4">
        <f>_xlfn.FLOOR.MATH(X3481*(1+T3481),1000)</f>
        <v>768000</v>
      </c>
      <c r="Z3481" s="6">
        <v>20</v>
      </c>
      <c r="AA3481" s="1">
        <f t="shared" si="955"/>
        <v>0</v>
      </c>
      <c r="AB3481" s="1">
        <f t="shared" si="956"/>
        <v>802.005012531328</v>
      </c>
      <c r="AC3481" s="1">
        <f t="shared" si="957"/>
        <v>0</v>
      </c>
      <c r="AD3481" s="1">
        <f t="shared" si="958"/>
        <v>0</v>
      </c>
      <c r="AE3481" s="1">
        <f t="shared" si="959"/>
        <v>0</v>
      </c>
      <c r="AF3481" s="1">
        <f t="shared" si="960"/>
        <v>0</v>
      </c>
      <c r="AG3481" s="15">
        <f t="shared" si="961"/>
        <v>0</v>
      </c>
      <c r="AH3481" s="15">
        <f t="shared" si="962"/>
        <v>0</v>
      </c>
      <c r="AI3481" s="15">
        <f t="shared" si="963"/>
        <v>0</v>
      </c>
      <c r="AJ3481" s="1">
        <f t="shared" si="964"/>
        <v>0</v>
      </c>
      <c r="AK3481" s="1">
        <f t="shared" si="965"/>
        <v>0</v>
      </c>
      <c r="AL3481" s="1">
        <f t="shared" si="966"/>
        <v>768000</v>
      </c>
      <c r="AM3481" s="1">
        <f t="shared" si="967"/>
        <v>3849.62406015038</v>
      </c>
    </row>
    <row r="3482" spans="2:39">
      <c r="B3482" s="4" t="s">
        <v>1976</v>
      </c>
      <c r="D3482" s="4" t="s">
        <v>1539</v>
      </c>
      <c r="G3482" s="6">
        <v>300000</v>
      </c>
      <c r="I3482" s="1">
        <f t="shared" si="976"/>
        <v>300000</v>
      </c>
      <c r="R3482" s="4" t="str">
        <f t="shared" si="952"/>
        <v>purple</v>
      </c>
      <c r="S3482" s="50">
        <f t="shared" si="968"/>
        <v>1.25</v>
      </c>
      <c r="T3482" s="6">
        <v>-0.2</v>
      </c>
      <c r="U3482" s="4" t="s">
        <v>1760</v>
      </c>
      <c r="V3482" s="30" t="b">
        <v>1</v>
      </c>
      <c r="W3482" s="1">
        <f t="shared" si="953"/>
        <v>1800000</v>
      </c>
      <c r="X3482" s="1">
        <f t="shared" si="954"/>
        <v>1800000</v>
      </c>
      <c r="Y3482" s="4">
        <f>_xlfn.FLOOR.MATH(X3482*(1+T3482),1000)</f>
        <v>1440000</v>
      </c>
      <c r="Z3482" s="6">
        <v>20</v>
      </c>
      <c r="AA3482" s="1">
        <f t="shared" si="955"/>
        <v>0</v>
      </c>
      <c r="AB3482" s="1">
        <f t="shared" si="956"/>
        <v>1503.75939849624</v>
      </c>
      <c r="AC3482" s="1">
        <f t="shared" si="957"/>
        <v>0</v>
      </c>
      <c r="AD3482" s="1">
        <f t="shared" si="958"/>
        <v>0</v>
      </c>
      <c r="AE3482" s="1">
        <f t="shared" si="959"/>
        <v>0</v>
      </c>
      <c r="AF3482" s="1">
        <f t="shared" si="960"/>
        <v>0</v>
      </c>
      <c r="AG3482" s="15">
        <f t="shared" si="961"/>
        <v>0</v>
      </c>
      <c r="AH3482" s="15">
        <f t="shared" si="962"/>
        <v>0</v>
      </c>
      <c r="AI3482" s="15">
        <f t="shared" si="963"/>
        <v>0</v>
      </c>
      <c r="AJ3482" s="1">
        <f t="shared" si="964"/>
        <v>0</v>
      </c>
      <c r="AK3482" s="1">
        <f t="shared" si="965"/>
        <v>0</v>
      </c>
      <c r="AL3482" s="1">
        <f t="shared" si="966"/>
        <v>1440000</v>
      </c>
      <c r="AM3482" s="1">
        <f t="shared" si="967"/>
        <v>7218.04511278196</v>
      </c>
    </row>
    <row r="3483" spans="2:39">
      <c r="B3483" s="4" t="s">
        <v>1977</v>
      </c>
      <c r="D3483" s="4" t="s">
        <v>1541</v>
      </c>
      <c r="G3483" s="6">
        <v>80</v>
      </c>
      <c r="J3483" s="1">
        <f t="shared" ref="J3483:J3485" si="977">G3483</f>
        <v>80</v>
      </c>
      <c r="R3483" s="4" t="str">
        <f t="shared" si="952"/>
        <v>purple</v>
      </c>
      <c r="S3483" s="50">
        <f t="shared" si="968"/>
        <v>1.25</v>
      </c>
      <c r="T3483" s="6">
        <v>-0.2</v>
      </c>
      <c r="U3483" s="4" t="s">
        <v>1760</v>
      </c>
      <c r="V3483" s="30" t="b">
        <v>1</v>
      </c>
      <c r="W3483" s="1">
        <f t="shared" si="953"/>
        <v>720000</v>
      </c>
      <c r="X3483" s="1">
        <f t="shared" si="954"/>
        <v>720000</v>
      </c>
      <c r="Y3483" s="4">
        <f>_xlfn.FLOOR.MATH(X3483*(1+T3483),1000)</f>
        <v>576000</v>
      </c>
      <c r="Z3483" s="6">
        <v>20</v>
      </c>
      <c r="AA3483" s="1">
        <f t="shared" si="955"/>
        <v>0</v>
      </c>
      <c r="AB3483" s="1">
        <f t="shared" si="956"/>
        <v>0</v>
      </c>
      <c r="AC3483" s="1">
        <f t="shared" si="957"/>
        <v>0.401002506265664</v>
      </c>
      <c r="AD3483" s="1">
        <f t="shared" si="958"/>
        <v>0</v>
      </c>
      <c r="AE3483" s="1">
        <f t="shared" si="959"/>
        <v>0</v>
      </c>
      <c r="AF3483" s="1">
        <f t="shared" si="960"/>
        <v>0</v>
      </c>
      <c r="AG3483" s="15">
        <f t="shared" si="961"/>
        <v>0</v>
      </c>
      <c r="AH3483" s="15">
        <f t="shared" si="962"/>
        <v>0</v>
      </c>
      <c r="AI3483" s="15">
        <f t="shared" si="963"/>
        <v>0</v>
      </c>
      <c r="AJ3483" s="1">
        <f t="shared" si="964"/>
        <v>0</v>
      </c>
      <c r="AK3483" s="1">
        <f t="shared" si="965"/>
        <v>0</v>
      </c>
      <c r="AL3483" s="1">
        <f t="shared" si="966"/>
        <v>576000</v>
      </c>
      <c r="AM3483" s="1">
        <f t="shared" si="967"/>
        <v>2887.21804511278</v>
      </c>
    </row>
    <row r="3484" spans="2:39">
      <c r="B3484" s="4" t="s">
        <v>1978</v>
      </c>
      <c r="D3484" s="4" t="s">
        <v>1541</v>
      </c>
      <c r="G3484" s="6">
        <v>120</v>
      </c>
      <c r="J3484" s="1">
        <f t="shared" si="977"/>
        <v>120</v>
      </c>
      <c r="R3484" s="4" t="str">
        <f t="shared" si="952"/>
        <v>purple</v>
      </c>
      <c r="S3484" s="50">
        <f t="shared" si="968"/>
        <v>1.25</v>
      </c>
      <c r="T3484" s="6">
        <v>-0.2</v>
      </c>
      <c r="U3484" s="4" t="s">
        <v>1753</v>
      </c>
      <c r="V3484" s="30" t="b">
        <v>1</v>
      </c>
      <c r="W3484" s="1">
        <f t="shared" si="953"/>
        <v>1080000</v>
      </c>
      <c r="X3484" s="1">
        <f t="shared" si="954"/>
        <v>1080000</v>
      </c>
      <c r="Y3484" s="4">
        <f>_xlfn.FLOOR.MATH(X3484*(1+T3484),1000)</f>
        <v>864000</v>
      </c>
      <c r="Z3484" s="6">
        <v>20</v>
      </c>
      <c r="AA3484" s="1">
        <f t="shared" si="955"/>
        <v>0</v>
      </c>
      <c r="AB3484" s="1">
        <f t="shared" si="956"/>
        <v>0</v>
      </c>
      <c r="AC3484" s="1">
        <f t="shared" si="957"/>
        <v>0.601503759398496</v>
      </c>
      <c r="AD3484" s="1">
        <f t="shared" si="958"/>
        <v>0</v>
      </c>
      <c r="AE3484" s="1">
        <f t="shared" si="959"/>
        <v>0</v>
      </c>
      <c r="AF3484" s="1">
        <f t="shared" si="960"/>
        <v>0</v>
      </c>
      <c r="AG3484" s="15">
        <f t="shared" si="961"/>
        <v>0</v>
      </c>
      <c r="AH3484" s="15">
        <f t="shared" si="962"/>
        <v>0</v>
      </c>
      <c r="AI3484" s="15">
        <f t="shared" si="963"/>
        <v>0</v>
      </c>
      <c r="AJ3484" s="1">
        <f t="shared" si="964"/>
        <v>0</v>
      </c>
      <c r="AK3484" s="1">
        <f t="shared" si="965"/>
        <v>0</v>
      </c>
      <c r="AL3484" s="1">
        <f t="shared" si="966"/>
        <v>864000</v>
      </c>
      <c r="AM3484" s="1">
        <f t="shared" si="967"/>
        <v>4330.82706766917</v>
      </c>
    </row>
    <row r="3485" spans="2:39">
      <c r="B3485" s="4" t="s">
        <v>1979</v>
      </c>
      <c r="D3485" s="4" t="s">
        <v>1541</v>
      </c>
      <c r="G3485" s="6">
        <v>160</v>
      </c>
      <c r="J3485" s="1">
        <f t="shared" si="977"/>
        <v>160</v>
      </c>
      <c r="R3485" s="4" t="str">
        <f t="shared" si="952"/>
        <v>purple</v>
      </c>
      <c r="S3485" s="50">
        <f t="shared" si="968"/>
        <v>1.25</v>
      </c>
      <c r="T3485" s="6">
        <v>-0.2</v>
      </c>
      <c r="U3485" s="4" t="s">
        <v>1767</v>
      </c>
      <c r="V3485" s="30" t="b">
        <v>1</v>
      </c>
      <c r="W3485" s="1">
        <f t="shared" si="953"/>
        <v>1440000</v>
      </c>
      <c r="X3485" s="1">
        <f t="shared" si="954"/>
        <v>1440000</v>
      </c>
      <c r="Y3485" s="4">
        <f>_xlfn.FLOOR.MATH(X3485*(1+T3485),1000)</f>
        <v>1152000</v>
      </c>
      <c r="Z3485" s="6">
        <v>20</v>
      </c>
      <c r="AA3485" s="1">
        <f t="shared" si="955"/>
        <v>0</v>
      </c>
      <c r="AB3485" s="1">
        <f t="shared" si="956"/>
        <v>0</v>
      </c>
      <c r="AC3485" s="1">
        <f t="shared" si="957"/>
        <v>0.802005012531328</v>
      </c>
      <c r="AD3485" s="1">
        <f t="shared" si="958"/>
        <v>0</v>
      </c>
      <c r="AE3485" s="1">
        <f t="shared" si="959"/>
        <v>0</v>
      </c>
      <c r="AF3485" s="1">
        <f t="shared" si="960"/>
        <v>0</v>
      </c>
      <c r="AG3485" s="15">
        <f t="shared" si="961"/>
        <v>0</v>
      </c>
      <c r="AH3485" s="15">
        <f t="shared" si="962"/>
        <v>0</v>
      </c>
      <c r="AI3485" s="15">
        <f t="shared" si="963"/>
        <v>0</v>
      </c>
      <c r="AJ3485" s="1">
        <f t="shared" si="964"/>
        <v>0</v>
      </c>
      <c r="AK3485" s="1">
        <f t="shared" si="965"/>
        <v>0</v>
      </c>
      <c r="AL3485" s="1">
        <f t="shared" si="966"/>
        <v>1152000</v>
      </c>
      <c r="AM3485" s="1">
        <f t="shared" si="967"/>
        <v>5774.43609022556</v>
      </c>
    </row>
    <row r="3486" spans="2:39">
      <c r="B3486" s="4" t="s">
        <v>1980</v>
      </c>
      <c r="D3486" s="4" t="s">
        <v>1638</v>
      </c>
      <c r="G3486" s="6">
        <v>40</v>
      </c>
      <c r="K3486" s="1">
        <f t="shared" ref="K3486:K3488" si="978">G3486</f>
        <v>40</v>
      </c>
      <c r="R3486" s="4" t="str">
        <f t="shared" si="952"/>
        <v>purple</v>
      </c>
      <c r="S3486" s="50">
        <f t="shared" si="968"/>
        <v>1.25</v>
      </c>
      <c r="T3486" s="6">
        <v>-0.2</v>
      </c>
      <c r="U3486" s="4" t="s">
        <v>1767</v>
      </c>
      <c r="V3486" s="30" t="b">
        <v>1</v>
      </c>
      <c r="W3486" s="1">
        <f t="shared" si="953"/>
        <v>1200000</v>
      </c>
      <c r="X3486" s="1">
        <f t="shared" si="954"/>
        <v>1200000</v>
      </c>
      <c r="Y3486" s="4">
        <f>_xlfn.FLOOR.MATH(X3486*(1+T3486),1000)</f>
        <v>960000</v>
      </c>
      <c r="Z3486" s="6">
        <v>0</v>
      </c>
      <c r="AA3486" s="1">
        <f t="shared" si="955"/>
        <v>0</v>
      </c>
      <c r="AB3486" s="1">
        <f t="shared" si="956"/>
        <v>0</v>
      </c>
      <c r="AC3486" s="1">
        <f t="shared" si="957"/>
        <v>0</v>
      </c>
      <c r="AD3486" s="1">
        <f t="shared" si="958"/>
        <v>0</v>
      </c>
      <c r="AE3486" s="1">
        <f t="shared" si="959"/>
        <v>0</v>
      </c>
      <c r="AF3486" s="1">
        <f t="shared" si="960"/>
        <v>0</v>
      </c>
      <c r="AG3486" s="15">
        <f t="shared" si="961"/>
        <v>0</v>
      </c>
      <c r="AH3486" s="15">
        <f t="shared" si="962"/>
        <v>0</v>
      </c>
      <c r="AI3486" s="15">
        <f t="shared" si="963"/>
        <v>0</v>
      </c>
      <c r="AJ3486" s="1">
        <f t="shared" si="964"/>
        <v>0</v>
      </c>
      <c r="AK3486" s="1">
        <f t="shared" si="965"/>
        <v>0</v>
      </c>
      <c r="AL3486" s="1">
        <f t="shared" si="966"/>
        <v>960000</v>
      </c>
      <c r="AM3486" s="1">
        <f t="shared" si="967"/>
        <v>0</v>
      </c>
    </row>
    <row r="3487" spans="2:39">
      <c r="B3487" s="4" t="s">
        <v>1981</v>
      </c>
      <c r="D3487" s="4" t="s">
        <v>1638</v>
      </c>
      <c r="G3487" s="6">
        <v>60</v>
      </c>
      <c r="K3487" s="1">
        <f t="shared" si="978"/>
        <v>60</v>
      </c>
      <c r="R3487" s="4" t="str">
        <f t="shared" si="952"/>
        <v>purple</v>
      </c>
      <c r="S3487" s="50">
        <f t="shared" si="968"/>
        <v>1.25</v>
      </c>
      <c r="T3487" s="6">
        <v>-0.2</v>
      </c>
      <c r="U3487" s="4" t="s">
        <v>1753</v>
      </c>
      <c r="V3487" s="30" t="b">
        <v>1</v>
      </c>
      <c r="W3487" s="1">
        <f t="shared" si="953"/>
        <v>1800000</v>
      </c>
      <c r="X3487" s="1">
        <f t="shared" si="954"/>
        <v>1800000</v>
      </c>
      <c r="Y3487" s="4">
        <f>_xlfn.FLOOR.MATH(X3487*(1+T3487),1000)</f>
        <v>1440000</v>
      </c>
      <c r="Z3487" s="6">
        <v>0</v>
      </c>
      <c r="AA3487" s="1">
        <f t="shared" si="955"/>
        <v>0</v>
      </c>
      <c r="AB3487" s="1">
        <f t="shared" si="956"/>
        <v>0</v>
      </c>
      <c r="AC3487" s="1">
        <f t="shared" si="957"/>
        <v>0</v>
      </c>
      <c r="AD3487" s="1">
        <f t="shared" si="958"/>
        <v>0</v>
      </c>
      <c r="AE3487" s="1">
        <f t="shared" si="959"/>
        <v>0</v>
      </c>
      <c r="AF3487" s="1">
        <f t="shared" si="960"/>
        <v>0</v>
      </c>
      <c r="AG3487" s="15">
        <f t="shared" si="961"/>
        <v>0</v>
      </c>
      <c r="AH3487" s="15">
        <f t="shared" si="962"/>
        <v>0</v>
      </c>
      <c r="AI3487" s="15">
        <f t="shared" si="963"/>
        <v>0</v>
      </c>
      <c r="AJ3487" s="1">
        <f t="shared" si="964"/>
        <v>0</v>
      </c>
      <c r="AK3487" s="1">
        <f t="shared" si="965"/>
        <v>0</v>
      </c>
      <c r="AL3487" s="1">
        <f t="shared" si="966"/>
        <v>1440000</v>
      </c>
      <c r="AM3487" s="1">
        <f t="shared" si="967"/>
        <v>0</v>
      </c>
    </row>
    <row r="3488" spans="2:39">
      <c r="B3488" s="4" t="s">
        <v>1982</v>
      </c>
      <c r="D3488" s="4" t="s">
        <v>1638</v>
      </c>
      <c r="G3488" s="6">
        <v>80</v>
      </c>
      <c r="K3488" s="1">
        <f t="shared" si="978"/>
        <v>80</v>
      </c>
      <c r="R3488" s="4" t="str">
        <f t="shared" si="952"/>
        <v>purple</v>
      </c>
      <c r="S3488" s="50">
        <f t="shared" si="968"/>
        <v>1.25</v>
      </c>
      <c r="T3488" s="6">
        <v>-0.2</v>
      </c>
      <c r="U3488" s="4" t="s">
        <v>1760</v>
      </c>
      <c r="V3488" s="30" t="b">
        <v>1</v>
      </c>
      <c r="W3488" s="1">
        <f t="shared" si="953"/>
        <v>2400000</v>
      </c>
      <c r="X3488" s="1">
        <f t="shared" si="954"/>
        <v>2400000</v>
      </c>
      <c r="Y3488" s="4">
        <f>_xlfn.FLOOR.MATH(X3488*(1+T3488),1000)</f>
        <v>1920000</v>
      </c>
      <c r="Z3488" s="6">
        <v>0</v>
      </c>
      <c r="AA3488" s="1">
        <f t="shared" si="955"/>
        <v>0</v>
      </c>
      <c r="AB3488" s="1">
        <f t="shared" si="956"/>
        <v>0</v>
      </c>
      <c r="AC3488" s="1">
        <f t="shared" si="957"/>
        <v>0</v>
      </c>
      <c r="AD3488" s="1">
        <f t="shared" si="958"/>
        <v>0</v>
      </c>
      <c r="AE3488" s="1">
        <f t="shared" si="959"/>
        <v>0</v>
      </c>
      <c r="AF3488" s="1">
        <f t="shared" si="960"/>
        <v>0</v>
      </c>
      <c r="AG3488" s="15">
        <f t="shared" si="961"/>
        <v>0</v>
      </c>
      <c r="AH3488" s="15">
        <f t="shared" si="962"/>
        <v>0</v>
      </c>
      <c r="AI3488" s="15">
        <f t="shared" si="963"/>
        <v>0</v>
      </c>
      <c r="AJ3488" s="1">
        <f t="shared" si="964"/>
        <v>0</v>
      </c>
      <c r="AK3488" s="1">
        <f t="shared" si="965"/>
        <v>0</v>
      </c>
      <c r="AL3488" s="1">
        <f t="shared" si="966"/>
        <v>1920000</v>
      </c>
      <c r="AM3488" s="1">
        <f t="shared" si="967"/>
        <v>0</v>
      </c>
    </row>
    <row r="3489" spans="2:39">
      <c r="B3489" s="4"/>
      <c r="D3489" s="4" t="s">
        <v>1967</v>
      </c>
      <c r="G3489" s="6">
        <v>5</v>
      </c>
      <c r="N3489" s="1">
        <f t="shared" ref="N3489:N3491" si="979">G3489*10000</f>
        <v>50000</v>
      </c>
      <c r="R3489" s="4" t="str">
        <f t="shared" ref="R3489:R3491" si="980">IF(T3489&gt;-0.5,"purple","yellow")</f>
        <v>purple</v>
      </c>
      <c r="S3489" s="50">
        <f t="shared" ref="S3489:S3491" si="981">W3489/Y3489</f>
        <v>1.25</v>
      </c>
      <c r="T3489" s="6">
        <v>-0.2</v>
      </c>
      <c r="U3489" s="4" t="s">
        <v>1767</v>
      </c>
      <c r="V3489" s="30" t="b">
        <v>1</v>
      </c>
      <c r="W3489" s="1">
        <f t="shared" si="953"/>
        <v>750000</v>
      </c>
      <c r="X3489" s="1">
        <f t="shared" si="954"/>
        <v>750000</v>
      </c>
      <c r="Y3489" s="4">
        <f>_xlfn.FLOOR.MATH(X3489*(1+T3489),1000)</f>
        <v>600000</v>
      </c>
      <c r="Z3489" s="6">
        <v>0</v>
      </c>
      <c r="AA3489" s="1">
        <f t="shared" si="955"/>
        <v>0</v>
      </c>
      <c r="AB3489" s="1">
        <f t="shared" si="956"/>
        <v>0</v>
      </c>
      <c r="AC3489" s="1">
        <f t="shared" si="957"/>
        <v>0</v>
      </c>
      <c r="AD3489" s="1">
        <f t="shared" si="958"/>
        <v>0</v>
      </c>
      <c r="AE3489" s="1">
        <f t="shared" si="959"/>
        <v>0</v>
      </c>
      <c r="AF3489" s="1">
        <f t="shared" si="960"/>
        <v>0</v>
      </c>
      <c r="AG3489" s="15">
        <f t="shared" si="961"/>
        <v>0</v>
      </c>
      <c r="AH3489" s="15">
        <f t="shared" si="962"/>
        <v>0</v>
      </c>
      <c r="AI3489" s="15">
        <f t="shared" si="963"/>
        <v>0</v>
      </c>
      <c r="AJ3489" s="1">
        <f t="shared" si="964"/>
        <v>0</v>
      </c>
      <c r="AK3489" s="1">
        <f t="shared" si="965"/>
        <v>0</v>
      </c>
      <c r="AL3489" s="1">
        <f t="shared" si="966"/>
        <v>600000</v>
      </c>
      <c r="AM3489" s="1">
        <f t="shared" si="967"/>
        <v>0</v>
      </c>
    </row>
    <row r="3490" spans="2:39">
      <c r="B3490" s="4"/>
      <c r="D3490" s="4" t="s">
        <v>1967</v>
      </c>
      <c r="G3490" s="6">
        <v>15</v>
      </c>
      <c r="N3490" s="1">
        <f t="shared" si="979"/>
        <v>150000</v>
      </c>
      <c r="R3490" s="4" t="str">
        <f t="shared" si="980"/>
        <v>purple</v>
      </c>
      <c r="S3490" s="50">
        <f t="shared" si="981"/>
        <v>1.25</v>
      </c>
      <c r="T3490" s="6">
        <v>-0.2</v>
      </c>
      <c r="U3490" s="4" t="s">
        <v>1753</v>
      </c>
      <c r="V3490" s="30" t="b">
        <v>1</v>
      </c>
      <c r="W3490" s="1">
        <f t="shared" si="953"/>
        <v>2250000</v>
      </c>
      <c r="X3490" s="1">
        <f t="shared" si="954"/>
        <v>2250000</v>
      </c>
      <c r="Y3490" s="4">
        <f>_xlfn.FLOOR.MATH(X3490*(1+T3490),1000)</f>
        <v>1800000</v>
      </c>
      <c r="Z3490" s="6">
        <v>0</v>
      </c>
      <c r="AA3490" s="1">
        <f t="shared" si="955"/>
        <v>0</v>
      </c>
      <c r="AB3490" s="1">
        <f t="shared" si="956"/>
        <v>0</v>
      </c>
      <c r="AC3490" s="1">
        <f t="shared" si="957"/>
        <v>0</v>
      </c>
      <c r="AD3490" s="1">
        <f t="shared" si="958"/>
        <v>0</v>
      </c>
      <c r="AE3490" s="1">
        <f t="shared" si="959"/>
        <v>0</v>
      </c>
      <c r="AF3490" s="1">
        <f t="shared" si="960"/>
        <v>0</v>
      </c>
      <c r="AG3490" s="15">
        <f t="shared" si="961"/>
        <v>0</v>
      </c>
      <c r="AH3490" s="15">
        <f t="shared" si="962"/>
        <v>0</v>
      </c>
      <c r="AI3490" s="15">
        <f t="shared" si="963"/>
        <v>0</v>
      </c>
      <c r="AJ3490" s="1">
        <f t="shared" si="964"/>
        <v>0</v>
      </c>
      <c r="AK3490" s="1">
        <f t="shared" si="965"/>
        <v>0</v>
      </c>
      <c r="AL3490" s="1">
        <f t="shared" si="966"/>
        <v>1800000</v>
      </c>
      <c r="AM3490" s="1">
        <f t="shared" si="967"/>
        <v>0</v>
      </c>
    </row>
    <row r="3491" spans="2:39">
      <c r="B3491" s="4"/>
      <c r="D3491" s="4" t="s">
        <v>1967</v>
      </c>
      <c r="G3491" s="6">
        <v>20</v>
      </c>
      <c r="N3491" s="1">
        <f t="shared" si="979"/>
        <v>200000</v>
      </c>
      <c r="R3491" s="4" t="str">
        <f t="shared" si="980"/>
        <v>purple</v>
      </c>
      <c r="S3491" s="50">
        <f t="shared" si="981"/>
        <v>1.25</v>
      </c>
      <c r="T3491" s="6">
        <v>-0.2</v>
      </c>
      <c r="U3491" s="4" t="s">
        <v>1760</v>
      </c>
      <c r="V3491" s="30" t="b">
        <v>1</v>
      </c>
      <c r="W3491" s="1">
        <f t="shared" si="953"/>
        <v>3000000</v>
      </c>
      <c r="X3491" s="1">
        <f t="shared" si="954"/>
        <v>3000000</v>
      </c>
      <c r="Y3491" s="4">
        <f>_xlfn.FLOOR.MATH(X3491*(1+T3491),1000)</f>
        <v>2400000</v>
      </c>
      <c r="Z3491" s="6">
        <v>0</v>
      </c>
      <c r="AA3491" s="1">
        <f t="shared" si="955"/>
        <v>0</v>
      </c>
      <c r="AB3491" s="1">
        <f t="shared" si="956"/>
        <v>0</v>
      </c>
      <c r="AC3491" s="1">
        <f t="shared" si="957"/>
        <v>0</v>
      </c>
      <c r="AD3491" s="1">
        <f t="shared" si="958"/>
        <v>0</v>
      </c>
      <c r="AE3491" s="1">
        <f t="shared" si="959"/>
        <v>0</v>
      </c>
      <c r="AF3491" s="1">
        <f t="shared" si="960"/>
        <v>0</v>
      </c>
      <c r="AG3491" s="15">
        <f t="shared" si="961"/>
        <v>0</v>
      </c>
      <c r="AH3491" s="15">
        <f t="shared" si="962"/>
        <v>0</v>
      </c>
      <c r="AI3491" s="15">
        <f t="shared" si="963"/>
        <v>0</v>
      </c>
      <c r="AJ3491" s="1">
        <f t="shared" si="964"/>
        <v>0</v>
      </c>
      <c r="AK3491" s="1">
        <f t="shared" si="965"/>
        <v>0</v>
      </c>
      <c r="AL3491" s="1">
        <f t="shared" si="966"/>
        <v>2400000</v>
      </c>
      <c r="AM3491" s="1">
        <f t="shared" si="967"/>
        <v>0</v>
      </c>
    </row>
    <row r="3492" spans="2:39">
      <c r="B3492" s="4" t="s">
        <v>1983</v>
      </c>
      <c r="D3492" s="4" t="s">
        <v>1969</v>
      </c>
      <c r="G3492" s="6">
        <v>1</v>
      </c>
      <c r="L3492" s="1">
        <f t="shared" ref="L3492:L3494" si="982">G3492*$E$3453</f>
        <v>100</v>
      </c>
      <c r="R3492" s="4" t="str">
        <f t="shared" si="952"/>
        <v>purple</v>
      </c>
      <c r="S3492" s="50">
        <f t="shared" si="968"/>
        <v>1.25</v>
      </c>
      <c r="T3492" s="6">
        <v>-0.2</v>
      </c>
      <c r="U3492" s="4" t="s">
        <v>1760</v>
      </c>
      <c r="V3492" s="30" t="b">
        <v>1</v>
      </c>
      <c r="W3492" s="1">
        <f t="shared" si="953"/>
        <v>500000</v>
      </c>
      <c r="X3492" s="1">
        <f t="shared" si="954"/>
        <v>500000</v>
      </c>
      <c r="Y3492" s="4">
        <f>_xlfn.FLOOR.MATH(X3492*(1+T3492),1000)</f>
        <v>400000</v>
      </c>
      <c r="Z3492" s="6">
        <v>0</v>
      </c>
      <c r="AA3492" s="1">
        <f t="shared" si="955"/>
        <v>0</v>
      </c>
      <c r="AB3492" s="1">
        <f t="shared" si="956"/>
        <v>0</v>
      </c>
      <c r="AC3492" s="1">
        <f t="shared" si="957"/>
        <v>0</v>
      </c>
      <c r="AD3492" s="1">
        <f t="shared" si="958"/>
        <v>0</v>
      </c>
      <c r="AE3492" s="1">
        <f t="shared" si="959"/>
        <v>0</v>
      </c>
      <c r="AF3492" s="1">
        <f t="shared" si="960"/>
        <v>0</v>
      </c>
      <c r="AG3492" s="15">
        <f t="shared" si="961"/>
        <v>0</v>
      </c>
      <c r="AH3492" s="15">
        <f t="shared" si="962"/>
        <v>0</v>
      </c>
      <c r="AI3492" s="15">
        <f t="shared" si="963"/>
        <v>0</v>
      </c>
      <c r="AJ3492" s="1">
        <f t="shared" si="964"/>
        <v>0</v>
      </c>
      <c r="AK3492" s="1">
        <f t="shared" si="965"/>
        <v>0</v>
      </c>
      <c r="AL3492" s="1">
        <f t="shared" si="966"/>
        <v>400000</v>
      </c>
      <c r="AM3492" s="1">
        <f t="shared" si="967"/>
        <v>0</v>
      </c>
    </row>
    <row r="3493" spans="2:39">
      <c r="B3493" s="4" t="s">
        <v>1984</v>
      </c>
      <c r="D3493" s="4" t="s">
        <v>1969</v>
      </c>
      <c r="G3493" s="6">
        <v>2</v>
      </c>
      <c r="L3493" s="1">
        <f t="shared" si="982"/>
        <v>200</v>
      </c>
      <c r="R3493" s="4" t="str">
        <f t="shared" si="952"/>
        <v>purple</v>
      </c>
      <c r="S3493" s="50">
        <f t="shared" si="968"/>
        <v>1.25</v>
      </c>
      <c r="T3493" s="6">
        <v>-0.2</v>
      </c>
      <c r="U3493" s="4" t="s">
        <v>1753</v>
      </c>
      <c r="V3493" s="30" t="b">
        <v>1</v>
      </c>
      <c r="W3493" s="1">
        <f t="shared" ref="W3493:W3528" si="983">IF(U3493="l_coin",SUMPRODUCT(H3493:N3493,$H$3457:$N$3457),SUMPRODUCT(H3493:N3493,$H$3456:$N$3456))</f>
        <v>1000000</v>
      </c>
      <c r="X3493" s="1">
        <f t="shared" ref="X3493:X3528" si="984">IF(U3493="l_coin",SUMPRODUCT(H3493:N3493,$H$3459:$N$3459),SUMPRODUCT(H3493:N3493,$H$3458:$N$3458))</f>
        <v>1000000</v>
      </c>
      <c r="Y3493" s="4">
        <f>_xlfn.FLOOR.MATH(X3493*(1+T3493),1000)</f>
        <v>800000</v>
      </c>
      <c r="Z3493" s="6">
        <v>0</v>
      </c>
      <c r="AA3493" s="1">
        <f t="shared" ref="AA3493:AA3528" si="985">(H3493+M3493*$E$3451)*$Z3493/$Z$3569</f>
        <v>0</v>
      </c>
      <c r="AB3493" s="1">
        <f t="shared" ref="AB3493:AB3528" si="986">I3493*$Z3493/$Z$3569</f>
        <v>0</v>
      </c>
      <c r="AC3493" s="1">
        <f t="shared" ref="AC3493:AC3528" si="987">J3493*$Z3493/$Z$3569</f>
        <v>0</v>
      </c>
      <c r="AD3493" s="1">
        <f t="shared" ref="AD3493:AD3528" si="988">(K3493+M3493*$E$3452)*$Z3493/$Z$3569</f>
        <v>0</v>
      </c>
      <c r="AE3493" s="1">
        <f t="shared" ref="AE3493:AE3528" si="989">L3493*$Z3493/$Z$3569</f>
        <v>0</v>
      </c>
      <c r="AF3493" s="1">
        <f t="shared" ref="AF3493:AF3528" si="990">N3493*$Z3493/$Z$3569</f>
        <v>0</v>
      </c>
      <c r="AG3493" s="15">
        <f t="shared" ref="AG3493:AG3528" si="991">O3493*$Z3493/$Z$3569</f>
        <v>0</v>
      </c>
      <c r="AH3493" s="15">
        <f t="shared" ref="AH3493:AH3528" si="992">P3493*$Z3493/$Z$3569</f>
        <v>0</v>
      </c>
      <c r="AI3493" s="15">
        <f t="shared" ref="AI3493:AI3528" si="993">Q3493*$Z3493/$Z$3569</f>
        <v>0</v>
      </c>
      <c r="AJ3493" s="1">
        <f t="shared" ref="AJ3493:AJ3528" si="994">IF(U3493="l_coin",Y3493,0)</f>
        <v>0</v>
      </c>
      <c r="AK3493" s="1">
        <f t="shared" ref="AK3493:AK3524" si="995">AJ3493*Z3493/$Z$3569</f>
        <v>0</v>
      </c>
      <c r="AL3493" s="1">
        <f t="shared" ref="AL3493:AL3528" si="996">IF(U3493="l_coin",0,Y3493)</f>
        <v>800000</v>
      </c>
      <c r="AM3493" s="1">
        <f t="shared" ref="AM3493:AM3524" si="997">AL3493*Z3493/$Z$3569</f>
        <v>0</v>
      </c>
    </row>
    <row r="3494" spans="2:39">
      <c r="B3494" s="4" t="s">
        <v>1985</v>
      </c>
      <c r="D3494" s="4" t="s">
        <v>1969</v>
      </c>
      <c r="G3494" s="6">
        <v>3</v>
      </c>
      <c r="L3494" s="1">
        <f t="shared" si="982"/>
        <v>300</v>
      </c>
      <c r="R3494" s="4" t="str">
        <f t="shared" si="952"/>
        <v>purple</v>
      </c>
      <c r="S3494" s="50">
        <f t="shared" si="968"/>
        <v>1.25</v>
      </c>
      <c r="T3494" s="6">
        <v>-0.2</v>
      </c>
      <c r="U3494" s="4" t="s">
        <v>1767</v>
      </c>
      <c r="V3494" s="30" t="b">
        <v>1</v>
      </c>
      <c r="W3494" s="1">
        <f t="shared" si="983"/>
        <v>1500000</v>
      </c>
      <c r="X3494" s="1">
        <f t="shared" si="984"/>
        <v>1500000</v>
      </c>
      <c r="Y3494" s="4">
        <f>_xlfn.FLOOR.MATH(X3494*(1+T3494),1000)</f>
        <v>1200000</v>
      </c>
      <c r="Z3494" s="6">
        <v>0</v>
      </c>
      <c r="AA3494" s="1">
        <f t="shared" si="985"/>
        <v>0</v>
      </c>
      <c r="AB3494" s="1">
        <f t="shared" si="986"/>
        <v>0</v>
      </c>
      <c r="AC3494" s="1">
        <f t="shared" si="987"/>
        <v>0</v>
      </c>
      <c r="AD3494" s="1">
        <f t="shared" si="988"/>
        <v>0</v>
      </c>
      <c r="AE3494" s="1">
        <f t="shared" si="989"/>
        <v>0</v>
      </c>
      <c r="AF3494" s="1">
        <f t="shared" si="990"/>
        <v>0</v>
      </c>
      <c r="AG3494" s="15">
        <f t="shared" si="991"/>
        <v>0</v>
      </c>
      <c r="AH3494" s="15">
        <f t="shared" si="992"/>
        <v>0</v>
      </c>
      <c r="AI3494" s="15">
        <f t="shared" si="993"/>
        <v>0</v>
      </c>
      <c r="AJ3494" s="1">
        <f t="shared" si="994"/>
        <v>0</v>
      </c>
      <c r="AK3494" s="1">
        <f t="shared" si="995"/>
        <v>0</v>
      </c>
      <c r="AL3494" s="1">
        <f t="shared" si="996"/>
        <v>1200000</v>
      </c>
      <c r="AM3494" s="1">
        <f t="shared" si="997"/>
        <v>0</v>
      </c>
    </row>
    <row r="3495" s="15" customFormat="1" spans="2:39">
      <c r="B3495" s="16" t="s">
        <v>1986</v>
      </c>
      <c r="D3495" s="16" t="s">
        <v>1555</v>
      </c>
      <c r="G3495" s="6">
        <v>2</v>
      </c>
      <c r="M3495" s="15">
        <f>G3495</f>
        <v>2</v>
      </c>
      <c r="R3495" s="16" t="str">
        <f t="shared" si="952"/>
        <v>purple</v>
      </c>
      <c r="S3495" s="109">
        <f t="shared" si="968"/>
        <v>1.39722222222222</v>
      </c>
      <c r="T3495" s="6">
        <v>-0.4</v>
      </c>
      <c r="U3495" s="16" t="s">
        <v>1785</v>
      </c>
      <c r="V3495" s="30" t="b">
        <v>0</v>
      </c>
      <c r="W3495" s="15">
        <f t="shared" si="983"/>
        <v>1509</v>
      </c>
      <c r="X3495" s="15">
        <f t="shared" si="984"/>
        <v>1800</v>
      </c>
      <c r="Y3495" s="16">
        <f>_xlfn.FLOOR.MATH(X3495*(1+T3495),5)</f>
        <v>1080</v>
      </c>
      <c r="Z3495" s="6">
        <v>100</v>
      </c>
      <c r="AA3495" s="15">
        <f t="shared" si="985"/>
        <v>0.0401002506265664</v>
      </c>
      <c r="AB3495" s="15">
        <f t="shared" si="986"/>
        <v>0</v>
      </c>
      <c r="AC3495" s="15">
        <f t="shared" si="987"/>
        <v>0</v>
      </c>
      <c r="AD3495" s="15">
        <f t="shared" si="988"/>
        <v>0.917293233082707</v>
      </c>
      <c r="AE3495" s="15">
        <f t="shared" si="989"/>
        <v>0</v>
      </c>
      <c r="AF3495" s="15">
        <f t="shared" si="990"/>
        <v>0</v>
      </c>
      <c r="AG3495" s="15">
        <f t="shared" si="991"/>
        <v>0</v>
      </c>
      <c r="AH3495" s="15">
        <f t="shared" si="992"/>
        <v>0</v>
      </c>
      <c r="AI3495" s="15">
        <f t="shared" si="993"/>
        <v>0</v>
      </c>
      <c r="AJ3495" s="15">
        <f t="shared" si="994"/>
        <v>1080</v>
      </c>
      <c r="AK3495" s="15">
        <f t="shared" si="995"/>
        <v>27.0676691729323</v>
      </c>
      <c r="AL3495" s="15">
        <f t="shared" si="996"/>
        <v>0</v>
      </c>
      <c r="AM3495" s="15">
        <f t="shared" si="997"/>
        <v>0</v>
      </c>
    </row>
    <row r="3496" s="15" customFormat="1" spans="2:39">
      <c r="B3496" s="16" t="s">
        <v>1987</v>
      </c>
      <c r="D3496" s="16" t="s">
        <v>1555</v>
      </c>
      <c r="G3496" s="6">
        <v>4</v>
      </c>
      <c r="M3496" s="15">
        <f>G3496</f>
        <v>4</v>
      </c>
      <c r="R3496" s="16" t="str">
        <f t="shared" si="952"/>
        <v>purple</v>
      </c>
      <c r="S3496" s="109">
        <f t="shared" si="968"/>
        <v>1.19761904761905</v>
      </c>
      <c r="T3496" s="6">
        <v>-0.3</v>
      </c>
      <c r="U3496" s="16" t="s">
        <v>1785</v>
      </c>
      <c r="V3496" s="30" t="b">
        <v>0</v>
      </c>
      <c r="W3496" s="15">
        <f t="shared" si="983"/>
        <v>3018</v>
      </c>
      <c r="X3496" s="15">
        <f t="shared" si="984"/>
        <v>3600</v>
      </c>
      <c r="Y3496" s="16">
        <f>_xlfn.FLOOR.MATH(X3496*(1+T3496),5)</f>
        <v>2520</v>
      </c>
      <c r="Z3496" s="6">
        <v>100</v>
      </c>
      <c r="AA3496" s="15">
        <f t="shared" si="985"/>
        <v>0.0802005012531328</v>
      </c>
      <c r="AB3496" s="15">
        <f t="shared" si="986"/>
        <v>0</v>
      </c>
      <c r="AC3496" s="15">
        <f t="shared" si="987"/>
        <v>0</v>
      </c>
      <c r="AD3496" s="15">
        <f t="shared" si="988"/>
        <v>1.83458646616541</v>
      </c>
      <c r="AE3496" s="15">
        <f t="shared" si="989"/>
        <v>0</v>
      </c>
      <c r="AF3496" s="15">
        <f t="shared" si="990"/>
        <v>0</v>
      </c>
      <c r="AG3496" s="15">
        <f t="shared" si="991"/>
        <v>0</v>
      </c>
      <c r="AH3496" s="15">
        <f t="shared" si="992"/>
        <v>0</v>
      </c>
      <c r="AI3496" s="15">
        <f t="shared" si="993"/>
        <v>0</v>
      </c>
      <c r="AJ3496" s="15">
        <f t="shared" si="994"/>
        <v>2520</v>
      </c>
      <c r="AK3496" s="15">
        <f t="shared" si="995"/>
        <v>63.1578947368421</v>
      </c>
      <c r="AL3496" s="15">
        <f t="shared" si="996"/>
        <v>0</v>
      </c>
      <c r="AM3496" s="15">
        <f t="shared" si="997"/>
        <v>0</v>
      </c>
    </row>
    <row r="3497" s="15" customFormat="1" spans="2:39">
      <c r="B3497" s="16" t="s">
        <v>1988</v>
      </c>
      <c r="D3497" s="16" t="s">
        <v>1539</v>
      </c>
      <c r="G3497" s="6">
        <v>80000</v>
      </c>
      <c r="I3497" s="15">
        <f t="shared" ref="I3497:I3499" si="998">G3497</f>
        <v>80000</v>
      </c>
      <c r="R3497" s="16" t="str">
        <f t="shared" si="952"/>
        <v>yellow</v>
      </c>
      <c r="S3497" s="109">
        <f t="shared" si="968"/>
        <v>1</v>
      </c>
      <c r="T3497" s="6">
        <v>-0.5</v>
      </c>
      <c r="U3497" s="16" t="s">
        <v>1785</v>
      </c>
      <c r="V3497" s="30" t="b">
        <v>0</v>
      </c>
      <c r="W3497" s="15">
        <f t="shared" si="983"/>
        <v>240</v>
      </c>
      <c r="X3497" s="15">
        <f t="shared" si="984"/>
        <v>480</v>
      </c>
      <c r="Y3497" s="16">
        <f>_xlfn.FLOOR.MATH(X3497*(1+T3497),5)</f>
        <v>240</v>
      </c>
      <c r="Z3497" s="6">
        <v>60</v>
      </c>
      <c r="AA3497" s="15">
        <f t="shared" si="985"/>
        <v>0</v>
      </c>
      <c r="AB3497" s="15">
        <f t="shared" si="986"/>
        <v>1203.00751879699</v>
      </c>
      <c r="AC3497" s="15">
        <f t="shared" si="987"/>
        <v>0</v>
      </c>
      <c r="AD3497" s="15">
        <f t="shared" si="988"/>
        <v>0</v>
      </c>
      <c r="AE3497" s="15">
        <f t="shared" si="989"/>
        <v>0</v>
      </c>
      <c r="AF3497" s="15">
        <f t="shared" si="990"/>
        <v>0</v>
      </c>
      <c r="AG3497" s="15">
        <f t="shared" si="991"/>
        <v>0</v>
      </c>
      <c r="AH3497" s="15">
        <f t="shared" si="992"/>
        <v>0</v>
      </c>
      <c r="AI3497" s="15">
        <f t="shared" si="993"/>
        <v>0</v>
      </c>
      <c r="AJ3497" s="15">
        <f t="shared" si="994"/>
        <v>240</v>
      </c>
      <c r="AK3497" s="15">
        <f t="shared" si="995"/>
        <v>3.60902255639098</v>
      </c>
      <c r="AL3497" s="15">
        <f t="shared" si="996"/>
        <v>0</v>
      </c>
      <c r="AM3497" s="15">
        <f t="shared" si="997"/>
        <v>0</v>
      </c>
    </row>
    <row r="3498" s="15" customFormat="1" spans="2:39">
      <c r="B3498" s="16" t="s">
        <v>1989</v>
      </c>
      <c r="D3498" s="16" t="s">
        <v>1539</v>
      </c>
      <c r="G3498" s="6">
        <v>160000</v>
      </c>
      <c r="I3498" s="15">
        <f t="shared" si="998"/>
        <v>160000</v>
      </c>
      <c r="R3498" s="16" t="str">
        <f t="shared" si="952"/>
        <v>yellow</v>
      </c>
      <c r="S3498" s="109">
        <f t="shared" si="968"/>
        <v>1</v>
      </c>
      <c r="T3498" s="6">
        <v>-0.5</v>
      </c>
      <c r="U3498" s="16" t="s">
        <v>1785</v>
      </c>
      <c r="V3498" s="30" t="b">
        <v>0</v>
      </c>
      <c r="W3498" s="15">
        <f t="shared" si="983"/>
        <v>480</v>
      </c>
      <c r="X3498" s="15">
        <f t="shared" si="984"/>
        <v>960</v>
      </c>
      <c r="Y3498" s="16">
        <f>_xlfn.FLOOR.MATH(X3498*(1+T3498),5)</f>
        <v>480</v>
      </c>
      <c r="Z3498" s="6">
        <v>60</v>
      </c>
      <c r="AA3498" s="15">
        <f t="shared" si="985"/>
        <v>0</v>
      </c>
      <c r="AB3498" s="15">
        <f t="shared" si="986"/>
        <v>2406.01503759398</v>
      </c>
      <c r="AC3498" s="15">
        <f t="shared" si="987"/>
        <v>0</v>
      </c>
      <c r="AD3498" s="15">
        <f t="shared" si="988"/>
        <v>0</v>
      </c>
      <c r="AE3498" s="15">
        <f t="shared" si="989"/>
        <v>0</v>
      </c>
      <c r="AF3498" s="15">
        <f t="shared" si="990"/>
        <v>0</v>
      </c>
      <c r="AG3498" s="15">
        <f t="shared" si="991"/>
        <v>0</v>
      </c>
      <c r="AH3498" s="15">
        <f t="shared" si="992"/>
        <v>0</v>
      </c>
      <c r="AI3498" s="15">
        <f t="shared" si="993"/>
        <v>0</v>
      </c>
      <c r="AJ3498" s="15">
        <f t="shared" si="994"/>
        <v>480</v>
      </c>
      <c r="AK3498" s="15">
        <f t="shared" si="995"/>
        <v>7.21804511278195</v>
      </c>
      <c r="AL3498" s="15">
        <f t="shared" si="996"/>
        <v>0</v>
      </c>
      <c r="AM3498" s="15">
        <f t="shared" si="997"/>
        <v>0</v>
      </c>
    </row>
    <row r="3499" s="15" customFormat="1" spans="2:39">
      <c r="B3499" s="16" t="s">
        <v>1990</v>
      </c>
      <c r="D3499" s="16" t="s">
        <v>1539</v>
      </c>
      <c r="G3499" s="6">
        <v>300000</v>
      </c>
      <c r="I3499" s="15">
        <f t="shared" si="998"/>
        <v>300000</v>
      </c>
      <c r="R3499" s="16" t="str">
        <f t="shared" ref="R3499:R3528" si="999">IF(T3499&gt;-0.5,"purple","yellow")</f>
        <v>purple</v>
      </c>
      <c r="S3499" s="109">
        <f t="shared" si="968"/>
        <v>0.833333333333333</v>
      </c>
      <c r="T3499" s="6">
        <v>-0.4</v>
      </c>
      <c r="U3499" s="16" t="s">
        <v>1785</v>
      </c>
      <c r="V3499" s="30" t="b">
        <v>0</v>
      </c>
      <c r="W3499" s="15">
        <f t="shared" si="983"/>
        <v>900</v>
      </c>
      <c r="X3499" s="15">
        <f t="shared" si="984"/>
        <v>1800</v>
      </c>
      <c r="Y3499" s="16">
        <f>_xlfn.FLOOR.MATH(X3499*(1+T3499),5)</f>
        <v>1080</v>
      </c>
      <c r="Z3499" s="6">
        <v>60</v>
      </c>
      <c r="AA3499" s="15">
        <f t="shared" si="985"/>
        <v>0</v>
      </c>
      <c r="AB3499" s="15">
        <f t="shared" si="986"/>
        <v>4511.27819548872</v>
      </c>
      <c r="AC3499" s="15">
        <f t="shared" si="987"/>
        <v>0</v>
      </c>
      <c r="AD3499" s="15">
        <f t="shared" si="988"/>
        <v>0</v>
      </c>
      <c r="AE3499" s="15">
        <f t="shared" si="989"/>
        <v>0</v>
      </c>
      <c r="AF3499" s="15">
        <f t="shared" si="990"/>
        <v>0</v>
      </c>
      <c r="AG3499" s="15">
        <f t="shared" si="991"/>
        <v>0</v>
      </c>
      <c r="AH3499" s="15">
        <f t="shared" si="992"/>
        <v>0</v>
      </c>
      <c r="AI3499" s="15">
        <f t="shared" si="993"/>
        <v>0</v>
      </c>
      <c r="AJ3499" s="15">
        <f t="shared" si="994"/>
        <v>1080</v>
      </c>
      <c r="AK3499" s="15">
        <f t="shared" si="995"/>
        <v>16.2406015037594</v>
      </c>
      <c r="AL3499" s="15">
        <f t="shared" si="996"/>
        <v>0</v>
      </c>
      <c r="AM3499" s="15">
        <f t="shared" si="997"/>
        <v>0</v>
      </c>
    </row>
    <row r="3500" s="15" customFormat="1" spans="2:39">
      <c r="B3500" s="16" t="s">
        <v>1991</v>
      </c>
      <c r="D3500" s="16" t="s">
        <v>1541</v>
      </c>
      <c r="G3500" s="6">
        <v>80</v>
      </c>
      <c r="J3500" s="15">
        <f t="shared" ref="J3500:J3502" si="1000">G3500</f>
        <v>80</v>
      </c>
      <c r="R3500" s="16" t="str">
        <f t="shared" si="999"/>
        <v>yellow</v>
      </c>
      <c r="S3500" s="109">
        <f t="shared" si="968"/>
        <v>1</v>
      </c>
      <c r="T3500" s="6">
        <v>-0.5</v>
      </c>
      <c r="U3500" s="16" t="s">
        <v>1785</v>
      </c>
      <c r="V3500" s="30" t="b">
        <v>0</v>
      </c>
      <c r="W3500" s="15">
        <f t="shared" si="983"/>
        <v>360</v>
      </c>
      <c r="X3500" s="15">
        <f t="shared" si="984"/>
        <v>720</v>
      </c>
      <c r="Y3500" s="16">
        <f>_xlfn.FLOOR.MATH(X3500*(1+T3500),5)</f>
        <v>360</v>
      </c>
      <c r="Z3500" s="6">
        <v>60</v>
      </c>
      <c r="AA3500" s="15">
        <f t="shared" si="985"/>
        <v>0</v>
      </c>
      <c r="AB3500" s="15">
        <f t="shared" si="986"/>
        <v>0</v>
      </c>
      <c r="AC3500" s="15">
        <f t="shared" si="987"/>
        <v>1.20300751879699</v>
      </c>
      <c r="AD3500" s="15">
        <f t="shared" si="988"/>
        <v>0</v>
      </c>
      <c r="AE3500" s="15">
        <f t="shared" si="989"/>
        <v>0</v>
      </c>
      <c r="AF3500" s="15">
        <f t="shared" si="990"/>
        <v>0</v>
      </c>
      <c r="AG3500" s="15">
        <f t="shared" si="991"/>
        <v>0</v>
      </c>
      <c r="AH3500" s="15">
        <f t="shared" si="992"/>
        <v>0</v>
      </c>
      <c r="AI3500" s="15">
        <f t="shared" si="993"/>
        <v>0</v>
      </c>
      <c r="AJ3500" s="15">
        <f t="shared" si="994"/>
        <v>360</v>
      </c>
      <c r="AK3500" s="15">
        <f t="shared" si="995"/>
        <v>5.41353383458647</v>
      </c>
      <c r="AL3500" s="15">
        <f t="shared" si="996"/>
        <v>0</v>
      </c>
      <c r="AM3500" s="15">
        <f t="shared" si="997"/>
        <v>0</v>
      </c>
    </row>
    <row r="3501" s="15" customFormat="1" spans="2:39">
      <c r="B3501" s="16" t="s">
        <v>1992</v>
      </c>
      <c r="D3501" s="16" t="s">
        <v>1541</v>
      </c>
      <c r="G3501" s="6">
        <v>120</v>
      </c>
      <c r="J3501" s="15">
        <f t="shared" si="1000"/>
        <v>120</v>
      </c>
      <c r="R3501" s="16" t="str">
        <f t="shared" si="999"/>
        <v>yellow</v>
      </c>
      <c r="S3501" s="109">
        <f t="shared" si="968"/>
        <v>1</v>
      </c>
      <c r="T3501" s="6">
        <v>-0.5</v>
      </c>
      <c r="U3501" s="16" t="s">
        <v>1785</v>
      </c>
      <c r="V3501" s="30" t="b">
        <v>0</v>
      </c>
      <c r="W3501" s="15">
        <f t="shared" si="983"/>
        <v>540</v>
      </c>
      <c r="X3501" s="15">
        <f t="shared" si="984"/>
        <v>1080</v>
      </c>
      <c r="Y3501" s="16">
        <f>_xlfn.FLOOR.MATH(X3501*(1+T3501),5)</f>
        <v>540</v>
      </c>
      <c r="Z3501" s="6">
        <v>60</v>
      </c>
      <c r="AA3501" s="15">
        <f t="shared" si="985"/>
        <v>0</v>
      </c>
      <c r="AB3501" s="15">
        <f t="shared" si="986"/>
        <v>0</v>
      </c>
      <c r="AC3501" s="15">
        <f t="shared" si="987"/>
        <v>1.80451127819549</v>
      </c>
      <c r="AD3501" s="15">
        <f t="shared" si="988"/>
        <v>0</v>
      </c>
      <c r="AE3501" s="15">
        <f t="shared" si="989"/>
        <v>0</v>
      </c>
      <c r="AF3501" s="15">
        <f t="shared" si="990"/>
        <v>0</v>
      </c>
      <c r="AG3501" s="15">
        <f t="shared" si="991"/>
        <v>0</v>
      </c>
      <c r="AH3501" s="15">
        <f t="shared" si="992"/>
        <v>0</v>
      </c>
      <c r="AI3501" s="15">
        <f t="shared" si="993"/>
        <v>0</v>
      </c>
      <c r="AJ3501" s="15">
        <f t="shared" si="994"/>
        <v>540</v>
      </c>
      <c r="AK3501" s="15">
        <f t="shared" si="995"/>
        <v>8.1203007518797</v>
      </c>
      <c r="AL3501" s="15">
        <f t="shared" si="996"/>
        <v>0</v>
      </c>
      <c r="AM3501" s="15">
        <f t="shared" si="997"/>
        <v>0</v>
      </c>
    </row>
    <row r="3502" s="15" customFormat="1" spans="2:39">
      <c r="B3502" s="16" t="s">
        <v>1993</v>
      </c>
      <c r="D3502" s="16" t="s">
        <v>1541</v>
      </c>
      <c r="G3502" s="6">
        <v>160</v>
      </c>
      <c r="J3502" s="15">
        <f t="shared" si="1000"/>
        <v>160</v>
      </c>
      <c r="R3502" s="16" t="str">
        <f t="shared" si="999"/>
        <v>purple</v>
      </c>
      <c r="S3502" s="109">
        <f t="shared" si="968"/>
        <v>0.837209302325581</v>
      </c>
      <c r="T3502" s="6">
        <v>-0.4</v>
      </c>
      <c r="U3502" s="16" t="s">
        <v>1785</v>
      </c>
      <c r="V3502" s="30" t="b">
        <v>0</v>
      </c>
      <c r="W3502" s="15">
        <f t="shared" si="983"/>
        <v>720</v>
      </c>
      <c r="X3502" s="15">
        <f t="shared" si="984"/>
        <v>1440</v>
      </c>
      <c r="Y3502" s="16">
        <f>_xlfn.FLOOR.MATH(X3502*(1+T3502),5)</f>
        <v>860</v>
      </c>
      <c r="Z3502" s="6">
        <v>60</v>
      </c>
      <c r="AA3502" s="15">
        <f t="shared" si="985"/>
        <v>0</v>
      </c>
      <c r="AB3502" s="15">
        <f t="shared" si="986"/>
        <v>0</v>
      </c>
      <c r="AC3502" s="15">
        <f t="shared" si="987"/>
        <v>2.40601503759398</v>
      </c>
      <c r="AD3502" s="15">
        <f t="shared" si="988"/>
        <v>0</v>
      </c>
      <c r="AE3502" s="15">
        <f t="shared" si="989"/>
        <v>0</v>
      </c>
      <c r="AF3502" s="15">
        <f t="shared" si="990"/>
        <v>0</v>
      </c>
      <c r="AG3502" s="15">
        <f t="shared" si="991"/>
        <v>0</v>
      </c>
      <c r="AH3502" s="15">
        <f t="shared" si="992"/>
        <v>0</v>
      </c>
      <c r="AI3502" s="15">
        <f t="shared" si="993"/>
        <v>0</v>
      </c>
      <c r="AJ3502" s="15">
        <f t="shared" si="994"/>
        <v>860</v>
      </c>
      <c r="AK3502" s="15">
        <f t="shared" si="995"/>
        <v>12.9323308270677</v>
      </c>
      <c r="AL3502" s="15">
        <f t="shared" si="996"/>
        <v>0</v>
      </c>
      <c r="AM3502" s="15">
        <f t="shared" si="997"/>
        <v>0</v>
      </c>
    </row>
    <row r="3503" s="15" customFormat="1" spans="2:39">
      <c r="B3503" s="16" t="s">
        <v>1994</v>
      </c>
      <c r="D3503" s="16" t="s">
        <v>1638</v>
      </c>
      <c r="G3503" s="6">
        <v>40</v>
      </c>
      <c r="K3503" s="15">
        <f t="shared" ref="K3503:K3505" si="1001">G3503</f>
        <v>40</v>
      </c>
      <c r="R3503" s="16" t="str">
        <f t="shared" si="999"/>
        <v>yellow</v>
      </c>
      <c r="S3503" s="109">
        <f t="shared" si="968"/>
        <v>1</v>
      </c>
      <c r="T3503" s="6">
        <v>-0.5</v>
      </c>
      <c r="U3503" s="16" t="s">
        <v>1785</v>
      </c>
      <c r="V3503" s="30" t="b">
        <v>0</v>
      </c>
      <c r="W3503" s="15">
        <f t="shared" si="983"/>
        <v>600</v>
      </c>
      <c r="X3503" s="15">
        <f t="shared" si="984"/>
        <v>1200</v>
      </c>
      <c r="Y3503" s="16">
        <f>_xlfn.FLOOR.MATH(X3503*(1+T3503),5)</f>
        <v>600</v>
      </c>
      <c r="Z3503" s="6">
        <v>50</v>
      </c>
      <c r="AA3503" s="15">
        <f t="shared" si="985"/>
        <v>0</v>
      </c>
      <c r="AB3503" s="15">
        <f t="shared" si="986"/>
        <v>0</v>
      </c>
      <c r="AC3503" s="15">
        <f t="shared" si="987"/>
        <v>0</v>
      </c>
      <c r="AD3503" s="15">
        <f t="shared" si="988"/>
        <v>0.50125313283208</v>
      </c>
      <c r="AE3503" s="15">
        <f t="shared" si="989"/>
        <v>0</v>
      </c>
      <c r="AF3503" s="15">
        <f t="shared" si="990"/>
        <v>0</v>
      </c>
      <c r="AG3503" s="15">
        <f t="shared" si="991"/>
        <v>0</v>
      </c>
      <c r="AH3503" s="15">
        <f t="shared" si="992"/>
        <v>0</v>
      </c>
      <c r="AI3503" s="15">
        <f t="shared" si="993"/>
        <v>0</v>
      </c>
      <c r="AJ3503" s="15">
        <f t="shared" si="994"/>
        <v>600</v>
      </c>
      <c r="AK3503" s="15">
        <f t="shared" si="995"/>
        <v>7.5187969924812</v>
      </c>
      <c r="AL3503" s="15">
        <f t="shared" si="996"/>
        <v>0</v>
      </c>
      <c r="AM3503" s="15">
        <f t="shared" si="997"/>
        <v>0</v>
      </c>
    </row>
    <row r="3504" s="15" customFormat="1" spans="2:39">
      <c r="B3504" s="16" t="s">
        <v>1995</v>
      </c>
      <c r="D3504" s="16" t="s">
        <v>1638</v>
      </c>
      <c r="G3504" s="6">
        <v>60</v>
      </c>
      <c r="K3504" s="15">
        <f t="shared" si="1001"/>
        <v>60</v>
      </c>
      <c r="R3504" s="16" t="str">
        <f t="shared" si="999"/>
        <v>yellow</v>
      </c>
      <c r="S3504" s="109">
        <f t="shared" si="968"/>
        <v>1</v>
      </c>
      <c r="T3504" s="6">
        <v>-0.5</v>
      </c>
      <c r="U3504" s="16" t="s">
        <v>1785</v>
      </c>
      <c r="V3504" s="30" t="b">
        <v>0</v>
      </c>
      <c r="W3504" s="15">
        <f t="shared" si="983"/>
        <v>900</v>
      </c>
      <c r="X3504" s="15">
        <f t="shared" si="984"/>
        <v>1800</v>
      </c>
      <c r="Y3504" s="16">
        <f>_xlfn.FLOOR.MATH(X3504*(1+T3504),5)</f>
        <v>900</v>
      </c>
      <c r="Z3504" s="6">
        <v>50</v>
      </c>
      <c r="AA3504" s="15">
        <f t="shared" si="985"/>
        <v>0</v>
      </c>
      <c r="AB3504" s="15">
        <f t="shared" si="986"/>
        <v>0</v>
      </c>
      <c r="AC3504" s="15">
        <f t="shared" si="987"/>
        <v>0</v>
      </c>
      <c r="AD3504" s="15">
        <f t="shared" si="988"/>
        <v>0.75187969924812</v>
      </c>
      <c r="AE3504" s="15">
        <f t="shared" si="989"/>
        <v>0</v>
      </c>
      <c r="AF3504" s="15">
        <f t="shared" si="990"/>
        <v>0</v>
      </c>
      <c r="AG3504" s="15">
        <f t="shared" si="991"/>
        <v>0</v>
      </c>
      <c r="AH3504" s="15">
        <f t="shared" si="992"/>
        <v>0</v>
      </c>
      <c r="AI3504" s="15">
        <f t="shared" si="993"/>
        <v>0</v>
      </c>
      <c r="AJ3504" s="15">
        <f t="shared" si="994"/>
        <v>900</v>
      </c>
      <c r="AK3504" s="15">
        <f t="shared" si="995"/>
        <v>11.2781954887218</v>
      </c>
      <c r="AL3504" s="15">
        <f t="shared" si="996"/>
        <v>0</v>
      </c>
      <c r="AM3504" s="15">
        <f t="shared" si="997"/>
        <v>0</v>
      </c>
    </row>
    <row r="3505" s="15" customFormat="1" spans="2:39">
      <c r="B3505" s="16" t="s">
        <v>1996</v>
      </c>
      <c r="D3505" s="16" t="s">
        <v>1638</v>
      </c>
      <c r="G3505" s="6">
        <v>80</v>
      </c>
      <c r="K3505" s="15">
        <f t="shared" si="1001"/>
        <v>80</v>
      </c>
      <c r="R3505" s="16" t="str">
        <f t="shared" si="999"/>
        <v>purple</v>
      </c>
      <c r="S3505" s="109">
        <f t="shared" si="968"/>
        <v>0.833333333333333</v>
      </c>
      <c r="T3505" s="6">
        <v>-0.4</v>
      </c>
      <c r="U3505" s="16" t="s">
        <v>1785</v>
      </c>
      <c r="V3505" s="30" t="b">
        <v>0</v>
      </c>
      <c r="W3505" s="15">
        <f t="shared" si="983"/>
        <v>1200</v>
      </c>
      <c r="X3505" s="15">
        <f t="shared" si="984"/>
        <v>2400</v>
      </c>
      <c r="Y3505" s="16">
        <f>_xlfn.FLOOR.MATH(X3505*(1+T3505),5)</f>
        <v>1440</v>
      </c>
      <c r="Z3505" s="6">
        <v>50</v>
      </c>
      <c r="AA3505" s="15">
        <f t="shared" si="985"/>
        <v>0</v>
      </c>
      <c r="AB3505" s="15">
        <f t="shared" si="986"/>
        <v>0</v>
      </c>
      <c r="AC3505" s="15">
        <f t="shared" si="987"/>
        <v>0</v>
      </c>
      <c r="AD3505" s="15">
        <f t="shared" si="988"/>
        <v>1.00250626566416</v>
      </c>
      <c r="AE3505" s="15">
        <f t="shared" si="989"/>
        <v>0</v>
      </c>
      <c r="AF3505" s="15">
        <f t="shared" si="990"/>
        <v>0</v>
      </c>
      <c r="AG3505" s="15">
        <f t="shared" si="991"/>
        <v>0</v>
      </c>
      <c r="AH3505" s="15">
        <f t="shared" si="992"/>
        <v>0</v>
      </c>
      <c r="AI3505" s="15">
        <f t="shared" si="993"/>
        <v>0</v>
      </c>
      <c r="AJ3505" s="15">
        <f t="shared" si="994"/>
        <v>1440</v>
      </c>
      <c r="AK3505" s="15">
        <f t="shared" si="995"/>
        <v>18.0451127819549</v>
      </c>
      <c r="AL3505" s="15">
        <f t="shared" si="996"/>
        <v>0</v>
      </c>
      <c r="AM3505" s="15">
        <f t="shared" si="997"/>
        <v>0</v>
      </c>
    </row>
    <row r="3506" s="15" customFormat="1" spans="2:39">
      <c r="B3506" s="16"/>
      <c r="D3506" s="16" t="s">
        <v>1967</v>
      </c>
      <c r="G3506" s="6">
        <v>5</v>
      </c>
      <c r="N3506" s="15">
        <f t="shared" ref="N3506:N3508" si="1002">G3506*10000</f>
        <v>50000</v>
      </c>
      <c r="R3506" s="16" t="str">
        <f t="shared" ref="R3506:R3508" si="1003">IF(T3506&gt;-0.5,"purple","yellow")</f>
        <v>yellow</v>
      </c>
      <c r="S3506" s="109">
        <f t="shared" ref="S3506:S3508" si="1004">W3506/Y3506</f>
        <v>1</v>
      </c>
      <c r="T3506" s="6">
        <v>-0.5</v>
      </c>
      <c r="U3506" s="16" t="s">
        <v>1785</v>
      </c>
      <c r="V3506" s="30" t="b">
        <v>0</v>
      </c>
      <c r="W3506" s="15">
        <f t="shared" si="983"/>
        <v>375</v>
      </c>
      <c r="X3506" s="15">
        <f t="shared" si="984"/>
        <v>750</v>
      </c>
      <c r="Y3506" s="16">
        <f>_xlfn.FLOOR.MATH(X3506*(1+T3506),5)</f>
        <v>375</v>
      </c>
      <c r="Z3506" s="6">
        <v>100</v>
      </c>
      <c r="AA3506" s="15">
        <f t="shared" si="985"/>
        <v>0</v>
      </c>
      <c r="AB3506" s="15">
        <f t="shared" si="986"/>
        <v>0</v>
      </c>
      <c r="AC3506" s="15">
        <f t="shared" si="987"/>
        <v>0</v>
      </c>
      <c r="AD3506" s="15">
        <f t="shared" si="988"/>
        <v>0</v>
      </c>
      <c r="AE3506" s="15">
        <f t="shared" si="989"/>
        <v>0</v>
      </c>
      <c r="AF3506" s="15">
        <f t="shared" si="990"/>
        <v>1253.1328320802</v>
      </c>
      <c r="AG3506" s="15">
        <f t="shared" si="991"/>
        <v>0</v>
      </c>
      <c r="AH3506" s="15">
        <f t="shared" si="992"/>
        <v>0</v>
      </c>
      <c r="AI3506" s="15">
        <f t="shared" si="993"/>
        <v>0</v>
      </c>
      <c r="AJ3506" s="15">
        <f t="shared" si="994"/>
        <v>375</v>
      </c>
      <c r="AK3506" s="15">
        <f t="shared" si="995"/>
        <v>9.3984962406015</v>
      </c>
      <c r="AL3506" s="15">
        <f t="shared" si="996"/>
        <v>0</v>
      </c>
      <c r="AM3506" s="15">
        <f t="shared" si="997"/>
        <v>0</v>
      </c>
    </row>
    <row r="3507" s="15" customFormat="1" spans="2:39">
      <c r="B3507" s="16"/>
      <c r="D3507" s="16" t="s">
        <v>1967</v>
      </c>
      <c r="G3507" s="6">
        <v>15</v>
      </c>
      <c r="N3507" s="15">
        <f t="shared" si="1002"/>
        <v>150000</v>
      </c>
      <c r="R3507" s="16" t="str">
        <f t="shared" si="1003"/>
        <v>yellow</v>
      </c>
      <c r="S3507" s="109">
        <f t="shared" si="1004"/>
        <v>1</v>
      </c>
      <c r="T3507" s="6">
        <v>-0.5</v>
      </c>
      <c r="U3507" s="16" t="s">
        <v>1785</v>
      </c>
      <c r="V3507" s="30" t="b">
        <v>0</v>
      </c>
      <c r="W3507" s="15">
        <f t="shared" si="983"/>
        <v>1125</v>
      </c>
      <c r="X3507" s="15">
        <f t="shared" si="984"/>
        <v>2250</v>
      </c>
      <c r="Y3507" s="16">
        <f>_xlfn.FLOOR.MATH(X3507*(1+T3507),5)</f>
        <v>1125</v>
      </c>
      <c r="Z3507" s="6">
        <v>100</v>
      </c>
      <c r="AA3507" s="15">
        <f t="shared" si="985"/>
        <v>0</v>
      </c>
      <c r="AB3507" s="15">
        <f t="shared" si="986"/>
        <v>0</v>
      </c>
      <c r="AC3507" s="15">
        <f t="shared" si="987"/>
        <v>0</v>
      </c>
      <c r="AD3507" s="15">
        <f t="shared" si="988"/>
        <v>0</v>
      </c>
      <c r="AE3507" s="15">
        <f t="shared" si="989"/>
        <v>0</v>
      </c>
      <c r="AF3507" s="15">
        <f t="shared" si="990"/>
        <v>3759.3984962406</v>
      </c>
      <c r="AG3507" s="15">
        <f t="shared" si="991"/>
        <v>0</v>
      </c>
      <c r="AH3507" s="15">
        <f t="shared" si="992"/>
        <v>0</v>
      </c>
      <c r="AI3507" s="15">
        <f t="shared" si="993"/>
        <v>0</v>
      </c>
      <c r="AJ3507" s="15">
        <f t="shared" si="994"/>
        <v>1125</v>
      </c>
      <c r="AK3507" s="15">
        <f t="shared" si="995"/>
        <v>28.1954887218045</v>
      </c>
      <c r="AL3507" s="15">
        <f t="shared" si="996"/>
        <v>0</v>
      </c>
      <c r="AM3507" s="15">
        <f t="shared" si="997"/>
        <v>0</v>
      </c>
    </row>
    <row r="3508" s="15" customFormat="1" spans="2:39">
      <c r="B3508" s="16"/>
      <c r="D3508" s="16" t="s">
        <v>1967</v>
      </c>
      <c r="G3508" s="6">
        <v>20</v>
      </c>
      <c r="N3508" s="15">
        <f t="shared" si="1002"/>
        <v>200000</v>
      </c>
      <c r="R3508" s="16" t="str">
        <f t="shared" si="1003"/>
        <v>purple</v>
      </c>
      <c r="S3508" s="109">
        <f t="shared" si="1004"/>
        <v>0.833333333333333</v>
      </c>
      <c r="T3508" s="6">
        <v>-0.4</v>
      </c>
      <c r="U3508" s="16" t="s">
        <v>1785</v>
      </c>
      <c r="V3508" s="30" t="b">
        <v>0</v>
      </c>
      <c r="W3508" s="15">
        <f t="shared" si="983"/>
        <v>1500</v>
      </c>
      <c r="X3508" s="15">
        <f t="shared" si="984"/>
        <v>3000</v>
      </c>
      <c r="Y3508" s="16">
        <f>_xlfn.FLOOR.MATH(X3508*(1+T3508),5)</f>
        <v>1800</v>
      </c>
      <c r="Z3508" s="6">
        <v>100</v>
      </c>
      <c r="AA3508" s="15">
        <f t="shared" si="985"/>
        <v>0</v>
      </c>
      <c r="AB3508" s="15">
        <f t="shared" si="986"/>
        <v>0</v>
      </c>
      <c r="AC3508" s="15">
        <f t="shared" si="987"/>
        <v>0</v>
      </c>
      <c r="AD3508" s="15">
        <f t="shared" si="988"/>
        <v>0</v>
      </c>
      <c r="AE3508" s="15">
        <f t="shared" si="989"/>
        <v>0</v>
      </c>
      <c r="AF3508" s="15">
        <f t="shared" si="990"/>
        <v>5012.5313283208</v>
      </c>
      <c r="AG3508" s="15">
        <f t="shared" si="991"/>
        <v>0</v>
      </c>
      <c r="AH3508" s="15">
        <f t="shared" si="992"/>
        <v>0</v>
      </c>
      <c r="AI3508" s="15">
        <f t="shared" si="993"/>
        <v>0</v>
      </c>
      <c r="AJ3508" s="15">
        <f t="shared" si="994"/>
        <v>1800</v>
      </c>
      <c r="AK3508" s="15">
        <f t="shared" si="995"/>
        <v>45.1127819548872</v>
      </c>
      <c r="AL3508" s="15">
        <f t="shared" si="996"/>
        <v>0</v>
      </c>
      <c r="AM3508" s="15">
        <f t="shared" si="997"/>
        <v>0</v>
      </c>
    </row>
    <row r="3509" s="15" customFormat="1" spans="2:39">
      <c r="B3509" s="16" t="s">
        <v>1997</v>
      </c>
      <c r="D3509" s="16" t="s">
        <v>1969</v>
      </c>
      <c r="G3509" s="6">
        <v>1</v>
      </c>
      <c r="L3509" s="15">
        <f t="shared" ref="L3509:L3511" si="1005">G3509*$E$3453</f>
        <v>100</v>
      </c>
      <c r="R3509" s="16" t="str">
        <f t="shared" si="999"/>
        <v>yellow</v>
      </c>
      <c r="S3509" s="109">
        <f t="shared" si="968"/>
        <v>1</v>
      </c>
      <c r="T3509" s="6">
        <v>-0.5</v>
      </c>
      <c r="U3509" s="16" t="s">
        <v>1785</v>
      </c>
      <c r="V3509" s="30" t="b">
        <v>0</v>
      </c>
      <c r="W3509" s="15">
        <f t="shared" si="983"/>
        <v>250</v>
      </c>
      <c r="X3509" s="15">
        <f t="shared" si="984"/>
        <v>500</v>
      </c>
      <c r="Y3509" s="16">
        <f>_xlfn.FLOOR.MATH(X3509*(1+T3509),5)</f>
        <v>250</v>
      </c>
      <c r="Z3509" s="6">
        <v>200</v>
      </c>
      <c r="AA3509" s="15">
        <f t="shared" si="985"/>
        <v>0</v>
      </c>
      <c r="AB3509" s="15">
        <f t="shared" si="986"/>
        <v>0</v>
      </c>
      <c r="AC3509" s="15">
        <f t="shared" si="987"/>
        <v>0</v>
      </c>
      <c r="AD3509" s="15">
        <f t="shared" si="988"/>
        <v>0</v>
      </c>
      <c r="AE3509" s="15">
        <f t="shared" si="989"/>
        <v>5.0125313283208</v>
      </c>
      <c r="AF3509" s="15">
        <f t="shared" si="990"/>
        <v>0</v>
      </c>
      <c r="AG3509" s="15">
        <f t="shared" si="991"/>
        <v>0</v>
      </c>
      <c r="AH3509" s="15">
        <f t="shared" si="992"/>
        <v>0</v>
      </c>
      <c r="AI3509" s="15">
        <f t="shared" si="993"/>
        <v>0</v>
      </c>
      <c r="AJ3509" s="15">
        <f t="shared" si="994"/>
        <v>250</v>
      </c>
      <c r="AK3509" s="15">
        <f t="shared" si="995"/>
        <v>12.531328320802</v>
      </c>
      <c r="AL3509" s="15">
        <f t="shared" si="996"/>
        <v>0</v>
      </c>
      <c r="AM3509" s="15">
        <f t="shared" si="997"/>
        <v>0</v>
      </c>
    </row>
    <row r="3510" s="15" customFormat="1" spans="2:39">
      <c r="B3510" s="16" t="s">
        <v>1998</v>
      </c>
      <c r="D3510" s="16" t="s">
        <v>1969</v>
      </c>
      <c r="G3510" s="6">
        <v>2</v>
      </c>
      <c r="L3510" s="15">
        <f t="shared" si="1005"/>
        <v>200</v>
      </c>
      <c r="R3510" s="16" t="str">
        <f t="shared" si="999"/>
        <v>yellow</v>
      </c>
      <c r="S3510" s="109">
        <f t="shared" si="968"/>
        <v>1</v>
      </c>
      <c r="T3510" s="6">
        <v>-0.5</v>
      </c>
      <c r="U3510" s="16" t="s">
        <v>1785</v>
      </c>
      <c r="V3510" s="30" t="b">
        <v>0</v>
      </c>
      <c r="W3510" s="15">
        <f t="shared" si="983"/>
        <v>500</v>
      </c>
      <c r="X3510" s="15">
        <f t="shared" si="984"/>
        <v>1000</v>
      </c>
      <c r="Y3510" s="16">
        <f>_xlfn.FLOOR.MATH(X3510*(1+T3510),5)</f>
        <v>500</v>
      </c>
      <c r="Z3510" s="6">
        <v>200</v>
      </c>
      <c r="AA3510" s="15">
        <f t="shared" si="985"/>
        <v>0</v>
      </c>
      <c r="AB3510" s="15">
        <f t="shared" si="986"/>
        <v>0</v>
      </c>
      <c r="AC3510" s="15">
        <f t="shared" si="987"/>
        <v>0</v>
      </c>
      <c r="AD3510" s="15">
        <f t="shared" si="988"/>
        <v>0</v>
      </c>
      <c r="AE3510" s="15">
        <f t="shared" si="989"/>
        <v>10.0250626566416</v>
      </c>
      <c r="AF3510" s="15">
        <f t="shared" si="990"/>
        <v>0</v>
      </c>
      <c r="AG3510" s="15">
        <f t="shared" si="991"/>
        <v>0</v>
      </c>
      <c r="AH3510" s="15">
        <f t="shared" si="992"/>
        <v>0</v>
      </c>
      <c r="AI3510" s="15">
        <f t="shared" si="993"/>
        <v>0</v>
      </c>
      <c r="AJ3510" s="15">
        <f t="shared" si="994"/>
        <v>500</v>
      </c>
      <c r="AK3510" s="15">
        <f t="shared" si="995"/>
        <v>25.062656641604</v>
      </c>
      <c r="AL3510" s="15">
        <f t="shared" si="996"/>
        <v>0</v>
      </c>
      <c r="AM3510" s="15">
        <f t="shared" si="997"/>
        <v>0</v>
      </c>
    </row>
    <row r="3511" s="15" customFormat="1" spans="2:39">
      <c r="B3511" s="16" t="s">
        <v>1999</v>
      </c>
      <c r="D3511" s="16" t="s">
        <v>1969</v>
      </c>
      <c r="G3511" s="6">
        <v>3</v>
      </c>
      <c r="L3511" s="15">
        <f t="shared" si="1005"/>
        <v>300</v>
      </c>
      <c r="R3511" s="16" t="str">
        <f t="shared" si="999"/>
        <v>purple</v>
      </c>
      <c r="S3511" s="109">
        <f t="shared" si="968"/>
        <v>0.833333333333333</v>
      </c>
      <c r="T3511" s="6">
        <v>-0.4</v>
      </c>
      <c r="U3511" s="16" t="s">
        <v>1785</v>
      </c>
      <c r="V3511" s="30" t="b">
        <v>0</v>
      </c>
      <c r="W3511" s="15">
        <f t="shared" si="983"/>
        <v>750</v>
      </c>
      <c r="X3511" s="15">
        <f t="shared" si="984"/>
        <v>1500</v>
      </c>
      <c r="Y3511" s="16">
        <f>_xlfn.FLOOR.MATH(X3511*(1+T3511),5)</f>
        <v>900</v>
      </c>
      <c r="Z3511" s="6">
        <v>200</v>
      </c>
      <c r="AA3511" s="15">
        <f t="shared" si="985"/>
        <v>0</v>
      </c>
      <c r="AB3511" s="15">
        <f t="shared" si="986"/>
        <v>0</v>
      </c>
      <c r="AC3511" s="15">
        <f t="shared" si="987"/>
        <v>0</v>
      </c>
      <c r="AD3511" s="15">
        <f t="shared" si="988"/>
        <v>0</v>
      </c>
      <c r="AE3511" s="15">
        <f t="shared" si="989"/>
        <v>15.0375939849624</v>
      </c>
      <c r="AF3511" s="15">
        <f t="shared" si="990"/>
        <v>0</v>
      </c>
      <c r="AG3511" s="15">
        <f t="shared" si="991"/>
        <v>0</v>
      </c>
      <c r="AH3511" s="15">
        <f t="shared" si="992"/>
        <v>0</v>
      </c>
      <c r="AI3511" s="15">
        <f t="shared" si="993"/>
        <v>0</v>
      </c>
      <c r="AJ3511" s="15">
        <f t="shared" si="994"/>
        <v>900</v>
      </c>
      <c r="AK3511" s="15">
        <f t="shared" si="995"/>
        <v>45.1127819548872</v>
      </c>
      <c r="AL3511" s="15">
        <f t="shared" si="996"/>
        <v>0</v>
      </c>
      <c r="AM3511" s="15">
        <f t="shared" si="997"/>
        <v>0</v>
      </c>
    </row>
    <row r="3512" spans="2:39">
      <c r="B3512" s="4" t="s">
        <v>2000</v>
      </c>
      <c r="D3512" s="4" t="s">
        <v>1555</v>
      </c>
      <c r="G3512" s="6">
        <v>2</v>
      </c>
      <c r="M3512" s="1">
        <f>G3512</f>
        <v>2</v>
      </c>
      <c r="R3512" s="4" t="str">
        <f t="shared" si="999"/>
        <v>yellow</v>
      </c>
      <c r="S3512" s="50">
        <f t="shared" si="968"/>
        <v>2.09583333333333</v>
      </c>
      <c r="T3512" s="6">
        <v>-0.6</v>
      </c>
      <c r="U3512" s="4" t="s">
        <v>1785</v>
      </c>
      <c r="V3512" s="30" t="b">
        <v>1</v>
      </c>
      <c r="W3512" s="1">
        <f t="shared" si="983"/>
        <v>1509</v>
      </c>
      <c r="X3512" s="1">
        <f t="shared" si="984"/>
        <v>1800</v>
      </c>
      <c r="Y3512" s="4">
        <f>_xlfn.FLOOR.MATH(X3512*(1+T3512),5)</f>
        <v>720</v>
      </c>
      <c r="Z3512" s="6">
        <v>50</v>
      </c>
      <c r="AA3512" s="1">
        <f t="shared" si="985"/>
        <v>0.0200501253132832</v>
      </c>
      <c r="AB3512" s="1">
        <f t="shared" si="986"/>
        <v>0</v>
      </c>
      <c r="AC3512" s="1">
        <f t="shared" si="987"/>
        <v>0</v>
      </c>
      <c r="AD3512" s="1">
        <f t="shared" si="988"/>
        <v>0.458646616541353</v>
      </c>
      <c r="AE3512" s="1">
        <f t="shared" si="989"/>
        <v>0</v>
      </c>
      <c r="AF3512" s="1">
        <f t="shared" si="990"/>
        <v>0</v>
      </c>
      <c r="AG3512" s="15">
        <f t="shared" si="991"/>
        <v>0</v>
      </c>
      <c r="AH3512" s="15">
        <f t="shared" si="992"/>
        <v>0</v>
      </c>
      <c r="AI3512" s="15">
        <f t="shared" si="993"/>
        <v>0</v>
      </c>
      <c r="AJ3512" s="1">
        <f t="shared" si="994"/>
        <v>720</v>
      </c>
      <c r="AK3512" s="1">
        <f t="shared" si="995"/>
        <v>9.02255639097744</v>
      </c>
      <c r="AL3512" s="1">
        <f t="shared" si="996"/>
        <v>0</v>
      </c>
      <c r="AM3512" s="1">
        <f t="shared" si="997"/>
        <v>0</v>
      </c>
    </row>
    <row r="3513" spans="2:39">
      <c r="B3513" s="4" t="s">
        <v>2001</v>
      </c>
      <c r="D3513" s="4" t="s">
        <v>1555</v>
      </c>
      <c r="G3513" s="6">
        <v>4</v>
      </c>
      <c r="M3513" s="1">
        <f>G3513</f>
        <v>4</v>
      </c>
      <c r="R3513" s="4" t="str">
        <f t="shared" si="999"/>
        <v>yellow</v>
      </c>
      <c r="S3513" s="50">
        <f t="shared" si="968"/>
        <v>1.67666666666667</v>
      </c>
      <c r="T3513" s="6">
        <v>-0.5</v>
      </c>
      <c r="U3513" s="4" t="s">
        <v>1785</v>
      </c>
      <c r="V3513" s="30" t="b">
        <v>1</v>
      </c>
      <c r="W3513" s="1">
        <f t="shared" si="983"/>
        <v>3018</v>
      </c>
      <c r="X3513" s="1">
        <f t="shared" si="984"/>
        <v>3600</v>
      </c>
      <c r="Y3513" s="4">
        <f>_xlfn.FLOOR.MATH(X3513*(1+T3513),5)</f>
        <v>1800</v>
      </c>
      <c r="Z3513" s="6">
        <v>50</v>
      </c>
      <c r="AA3513" s="1">
        <f t="shared" si="985"/>
        <v>0.0401002506265664</v>
      </c>
      <c r="AB3513" s="1">
        <f t="shared" si="986"/>
        <v>0</v>
      </c>
      <c r="AC3513" s="1">
        <f t="shared" si="987"/>
        <v>0</v>
      </c>
      <c r="AD3513" s="1">
        <f t="shared" si="988"/>
        <v>0.917293233082707</v>
      </c>
      <c r="AE3513" s="1">
        <f t="shared" si="989"/>
        <v>0</v>
      </c>
      <c r="AF3513" s="1">
        <f t="shared" si="990"/>
        <v>0</v>
      </c>
      <c r="AG3513" s="15">
        <f t="shared" si="991"/>
        <v>0</v>
      </c>
      <c r="AH3513" s="15">
        <f t="shared" si="992"/>
        <v>0</v>
      </c>
      <c r="AI3513" s="15">
        <f t="shared" si="993"/>
        <v>0</v>
      </c>
      <c r="AJ3513" s="1">
        <f t="shared" si="994"/>
        <v>1800</v>
      </c>
      <c r="AK3513" s="1">
        <f t="shared" si="995"/>
        <v>22.5563909774436</v>
      </c>
      <c r="AL3513" s="1">
        <f t="shared" si="996"/>
        <v>0</v>
      </c>
      <c r="AM3513" s="1">
        <f t="shared" si="997"/>
        <v>0</v>
      </c>
    </row>
    <row r="3514" spans="2:39">
      <c r="B3514" s="4" t="s">
        <v>2002</v>
      </c>
      <c r="D3514" s="4" t="s">
        <v>1539</v>
      </c>
      <c r="G3514" s="6">
        <v>80000</v>
      </c>
      <c r="I3514" s="1">
        <f t="shared" ref="I3514:I3516" si="1006">G3514</f>
        <v>80000</v>
      </c>
      <c r="R3514" s="4" t="str">
        <f t="shared" si="999"/>
        <v>yellow</v>
      </c>
      <c r="S3514" s="50">
        <f t="shared" si="968"/>
        <v>2.52631578947368</v>
      </c>
      <c r="T3514" s="6">
        <v>-0.8</v>
      </c>
      <c r="U3514" s="4" t="s">
        <v>1785</v>
      </c>
      <c r="V3514" s="30" t="b">
        <v>1</v>
      </c>
      <c r="W3514" s="1">
        <f t="shared" si="983"/>
        <v>240</v>
      </c>
      <c r="X3514" s="1">
        <f t="shared" si="984"/>
        <v>480</v>
      </c>
      <c r="Y3514" s="4">
        <f>_xlfn.FLOOR.MATH(X3514*(1+T3514),5)</f>
        <v>95</v>
      </c>
      <c r="Z3514" s="6">
        <v>30</v>
      </c>
      <c r="AA3514" s="1">
        <f t="shared" si="985"/>
        <v>0</v>
      </c>
      <c r="AB3514" s="1">
        <f t="shared" si="986"/>
        <v>601.503759398496</v>
      </c>
      <c r="AC3514" s="1">
        <f t="shared" si="987"/>
        <v>0</v>
      </c>
      <c r="AD3514" s="1">
        <f t="shared" si="988"/>
        <v>0</v>
      </c>
      <c r="AE3514" s="1">
        <f t="shared" si="989"/>
        <v>0</v>
      </c>
      <c r="AF3514" s="1">
        <f t="shared" si="990"/>
        <v>0</v>
      </c>
      <c r="AG3514" s="15">
        <f t="shared" si="991"/>
        <v>0</v>
      </c>
      <c r="AH3514" s="15">
        <f t="shared" si="992"/>
        <v>0</v>
      </c>
      <c r="AI3514" s="15">
        <f t="shared" si="993"/>
        <v>0</v>
      </c>
      <c r="AJ3514" s="1">
        <f t="shared" si="994"/>
        <v>95</v>
      </c>
      <c r="AK3514" s="1">
        <f t="shared" si="995"/>
        <v>0.714285714285714</v>
      </c>
      <c r="AL3514" s="1">
        <f t="shared" si="996"/>
        <v>0</v>
      </c>
      <c r="AM3514" s="1">
        <f t="shared" si="997"/>
        <v>0</v>
      </c>
    </row>
    <row r="3515" spans="2:39">
      <c r="B3515" s="4" t="s">
        <v>2003</v>
      </c>
      <c r="D3515" s="4" t="s">
        <v>1539</v>
      </c>
      <c r="G3515" s="6">
        <v>160000</v>
      </c>
      <c r="I3515" s="1">
        <f t="shared" si="1006"/>
        <v>160000</v>
      </c>
      <c r="R3515" s="4" t="str">
        <f t="shared" si="999"/>
        <v>yellow</v>
      </c>
      <c r="S3515" s="50">
        <f t="shared" si="968"/>
        <v>1.68421052631579</v>
      </c>
      <c r="T3515" s="6">
        <v>-0.7</v>
      </c>
      <c r="U3515" s="4" t="s">
        <v>1785</v>
      </c>
      <c r="V3515" s="30" t="b">
        <v>1</v>
      </c>
      <c r="W3515" s="1">
        <f t="shared" si="983"/>
        <v>480</v>
      </c>
      <c r="X3515" s="1">
        <f t="shared" si="984"/>
        <v>960</v>
      </c>
      <c r="Y3515" s="4">
        <f>_xlfn.FLOOR.MATH(X3515*(1+T3515),5)</f>
        <v>285</v>
      </c>
      <c r="Z3515" s="6">
        <v>30</v>
      </c>
      <c r="AA3515" s="1">
        <f t="shared" si="985"/>
        <v>0</v>
      </c>
      <c r="AB3515" s="1">
        <f t="shared" si="986"/>
        <v>1203.00751879699</v>
      </c>
      <c r="AC3515" s="1">
        <f t="shared" si="987"/>
        <v>0</v>
      </c>
      <c r="AD3515" s="1">
        <f t="shared" si="988"/>
        <v>0</v>
      </c>
      <c r="AE3515" s="1">
        <f t="shared" si="989"/>
        <v>0</v>
      </c>
      <c r="AF3515" s="1">
        <f t="shared" si="990"/>
        <v>0</v>
      </c>
      <c r="AG3515" s="15">
        <f t="shared" si="991"/>
        <v>0</v>
      </c>
      <c r="AH3515" s="15">
        <f t="shared" si="992"/>
        <v>0</v>
      </c>
      <c r="AI3515" s="15">
        <f t="shared" si="993"/>
        <v>0</v>
      </c>
      <c r="AJ3515" s="1">
        <f t="shared" si="994"/>
        <v>285</v>
      </c>
      <c r="AK3515" s="1">
        <f t="shared" si="995"/>
        <v>2.14285714285714</v>
      </c>
      <c r="AL3515" s="1">
        <f t="shared" si="996"/>
        <v>0</v>
      </c>
      <c r="AM3515" s="1">
        <f t="shared" si="997"/>
        <v>0</v>
      </c>
    </row>
    <row r="3516" spans="2:39">
      <c r="B3516" s="4" t="s">
        <v>2004</v>
      </c>
      <c r="D3516" s="4" t="s">
        <v>1539</v>
      </c>
      <c r="G3516" s="6">
        <v>300000</v>
      </c>
      <c r="I3516" s="1">
        <f t="shared" si="1006"/>
        <v>300000</v>
      </c>
      <c r="R3516" s="4" t="str">
        <f t="shared" si="999"/>
        <v>yellow</v>
      </c>
      <c r="S3516" s="50">
        <f t="shared" si="968"/>
        <v>1.25</v>
      </c>
      <c r="T3516" s="6">
        <v>-0.6</v>
      </c>
      <c r="U3516" s="4" t="s">
        <v>1785</v>
      </c>
      <c r="V3516" s="30" t="b">
        <v>1</v>
      </c>
      <c r="W3516" s="1">
        <f t="shared" si="983"/>
        <v>900</v>
      </c>
      <c r="X3516" s="1">
        <f t="shared" si="984"/>
        <v>1800</v>
      </c>
      <c r="Y3516" s="4">
        <f>_xlfn.FLOOR.MATH(X3516*(1+T3516),5)</f>
        <v>720</v>
      </c>
      <c r="Z3516" s="6">
        <v>30</v>
      </c>
      <c r="AA3516" s="1">
        <f t="shared" si="985"/>
        <v>0</v>
      </c>
      <c r="AB3516" s="1">
        <f t="shared" si="986"/>
        <v>2255.63909774436</v>
      </c>
      <c r="AC3516" s="1">
        <f t="shared" si="987"/>
        <v>0</v>
      </c>
      <c r="AD3516" s="1">
        <f t="shared" si="988"/>
        <v>0</v>
      </c>
      <c r="AE3516" s="1">
        <f t="shared" si="989"/>
        <v>0</v>
      </c>
      <c r="AF3516" s="1">
        <f t="shared" si="990"/>
        <v>0</v>
      </c>
      <c r="AG3516" s="15">
        <f t="shared" si="991"/>
        <v>0</v>
      </c>
      <c r="AH3516" s="15">
        <f t="shared" si="992"/>
        <v>0</v>
      </c>
      <c r="AI3516" s="15">
        <f t="shared" si="993"/>
        <v>0</v>
      </c>
      <c r="AJ3516" s="1">
        <f t="shared" si="994"/>
        <v>720</v>
      </c>
      <c r="AK3516" s="1">
        <f t="shared" si="995"/>
        <v>5.41353383458647</v>
      </c>
      <c r="AL3516" s="1">
        <f t="shared" si="996"/>
        <v>0</v>
      </c>
      <c r="AM3516" s="1">
        <f t="shared" si="997"/>
        <v>0</v>
      </c>
    </row>
    <row r="3517" spans="2:39">
      <c r="B3517" s="4" t="s">
        <v>2005</v>
      </c>
      <c r="D3517" s="4" t="s">
        <v>1541</v>
      </c>
      <c r="G3517" s="6">
        <v>80</v>
      </c>
      <c r="J3517" s="1">
        <f t="shared" ref="J3517:J3519" si="1007">G3517</f>
        <v>80</v>
      </c>
      <c r="R3517" s="4" t="str">
        <f t="shared" si="999"/>
        <v>yellow</v>
      </c>
      <c r="S3517" s="50">
        <f t="shared" si="968"/>
        <v>2.57142857142857</v>
      </c>
      <c r="T3517" s="6">
        <v>-0.8</v>
      </c>
      <c r="U3517" s="4" t="s">
        <v>1785</v>
      </c>
      <c r="V3517" s="30" t="b">
        <v>1</v>
      </c>
      <c r="W3517" s="1">
        <f t="shared" si="983"/>
        <v>360</v>
      </c>
      <c r="X3517" s="1">
        <f t="shared" si="984"/>
        <v>720</v>
      </c>
      <c r="Y3517" s="4">
        <f>_xlfn.FLOOR.MATH(X3517*(1+T3517),5)</f>
        <v>140</v>
      </c>
      <c r="Z3517" s="6">
        <v>30</v>
      </c>
      <c r="AA3517" s="1">
        <f t="shared" si="985"/>
        <v>0</v>
      </c>
      <c r="AB3517" s="1">
        <f t="shared" si="986"/>
        <v>0</v>
      </c>
      <c r="AC3517" s="1">
        <f t="shared" si="987"/>
        <v>0.601503759398496</v>
      </c>
      <c r="AD3517" s="1">
        <f t="shared" si="988"/>
        <v>0</v>
      </c>
      <c r="AE3517" s="1">
        <f t="shared" si="989"/>
        <v>0</v>
      </c>
      <c r="AF3517" s="1">
        <f t="shared" si="990"/>
        <v>0</v>
      </c>
      <c r="AG3517" s="15">
        <f t="shared" si="991"/>
        <v>0</v>
      </c>
      <c r="AH3517" s="15">
        <f t="shared" si="992"/>
        <v>0</v>
      </c>
      <c r="AI3517" s="15">
        <f t="shared" si="993"/>
        <v>0</v>
      </c>
      <c r="AJ3517" s="1">
        <f t="shared" si="994"/>
        <v>140</v>
      </c>
      <c r="AK3517" s="1">
        <f t="shared" si="995"/>
        <v>1.05263157894737</v>
      </c>
      <c r="AL3517" s="1">
        <f t="shared" si="996"/>
        <v>0</v>
      </c>
      <c r="AM3517" s="1">
        <f t="shared" si="997"/>
        <v>0</v>
      </c>
    </row>
    <row r="3518" spans="2:39">
      <c r="B3518" s="4" t="s">
        <v>2006</v>
      </c>
      <c r="D3518" s="4" t="s">
        <v>1541</v>
      </c>
      <c r="G3518" s="6">
        <v>120</v>
      </c>
      <c r="J3518" s="1">
        <f t="shared" si="1007"/>
        <v>120</v>
      </c>
      <c r="R3518" s="4" t="str">
        <f t="shared" si="999"/>
        <v>yellow</v>
      </c>
      <c r="S3518" s="50">
        <f t="shared" si="968"/>
        <v>1.6875</v>
      </c>
      <c r="T3518" s="6">
        <v>-0.7</v>
      </c>
      <c r="U3518" s="4" t="s">
        <v>1785</v>
      </c>
      <c r="V3518" s="30" t="b">
        <v>1</v>
      </c>
      <c r="W3518" s="1">
        <f t="shared" si="983"/>
        <v>540</v>
      </c>
      <c r="X3518" s="1">
        <f t="shared" si="984"/>
        <v>1080</v>
      </c>
      <c r="Y3518" s="4">
        <f>_xlfn.FLOOR.MATH(X3518*(1+T3518),5)</f>
        <v>320</v>
      </c>
      <c r="Z3518" s="6">
        <v>30</v>
      </c>
      <c r="AA3518" s="1">
        <f t="shared" si="985"/>
        <v>0</v>
      </c>
      <c r="AB3518" s="1">
        <f t="shared" si="986"/>
        <v>0</v>
      </c>
      <c r="AC3518" s="1">
        <f t="shared" si="987"/>
        <v>0.902255639097744</v>
      </c>
      <c r="AD3518" s="1">
        <f t="shared" si="988"/>
        <v>0</v>
      </c>
      <c r="AE3518" s="1">
        <f t="shared" si="989"/>
        <v>0</v>
      </c>
      <c r="AF3518" s="1">
        <f t="shared" si="990"/>
        <v>0</v>
      </c>
      <c r="AG3518" s="15">
        <f t="shared" si="991"/>
        <v>0</v>
      </c>
      <c r="AH3518" s="15">
        <f t="shared" si="992"/>
        <v>0</v>
      </c>
      <c r="AI3518" s="15">
        <f t="shared" si="993"/>
        <v>0</v>
      </c>
      <c r="AJ3518" s="1">
        <f t="shared" si="994"/>
        <v>320</v>
      </c>
      <c r="AK3518" s="1">
        <f t="shared" si="995"/>
        <v>2.40601503759398</v>
      </c>
      <c r="AL3518" s="1">
        <f t="shared" si="996"/>
        <v>0</v>
      </c>
      <c r="AM3518" s="1">
        <f t="shared" si="997"/>
        <v>0</v>
      </c>
    </row>
    <row r="3519" spans="2:39">
      <c r="B3519" s="4" t="s">
        <v>2007</v>
      </c>
      <c r="D3519" s="4" t="s">
        <v>1541</v>
      </c>
      <c r="G3519" s="6">
        <v>160</v>
      </c>
      <c r="J3519" s="1">
        <f t="shared" si="1007"/>
        <v>160</v>
      </c>
      <c r="R3519" s="4" t="str">
        <f t="shared" si="999"/>
        <v>yellow</v>
      </c>
      <c r="S3519" s="50">
        <f t="shared" si="968"/>
        <v>1.25217391304348</v>
      </c>
      <c r="T3519" s="6">
        <v>-0.6</v>
      </c>
      <c r="U3519" s="4" t="s">
        <v>1785</v>
      </c>
      <c r="V3519" s="30" t="b">
        <v>1</v>
      </c>
      <c r="W3519" s="1">
        <f t="shared" si="983"/>
        <v>720</v>
      </c>
      <c r="X3519" s="1">
        <f t="shared" si="984"/>
        <v>1440</v>
      </c>
      <c r="Y3519" s="4">
        <f>_xlfn.FLOOR.MATH(X3519*(1+T3519),5)</f>
        <v>575</v>
      </c>
      <c r="Z3519" s="6">
        <v>30</v>
      </c>
      <c r="AA3519" s="1">
        <f t="shared" si="985"/>
        <v>0</v>
      </c>
      <c r="AB3519" s="1">
        <f t="shared" si="986"/>
        <v>0</v>
      </c>
      <c r="AC3519" s="1">
        <f t="shared" si="987"/>
        <v>1.20300751879699</v>
      </c>
      <c r="AD3519" s="1">
        <f t="shared" si="988"/>
        <v>0</v>
      </c>
      <c r="AE3519" s="1">
        <f t="shared" si="989"/>
        <v>0</v>
      </c>
      <c r="AF3519" s="1">
        <f t="shared" si="990"/>
        <v>0</v>
      </c>
      <c r="AG3519" s="15">
        <f t="shared" si="991"/>
        <v>0</v>
      </c>
      <c r="AH3519" s="15">
        <f t="shared" si="992"/>
        <v>0</v>
      </c>
      <c r="AI3519" s="15">
        <f t="shared" si="993"/>
        <v>0</v>
      </c>
      <c r="AJ3519" s="1">
        <f t="shared" si="994"/>
        <v>575</v>
      </c>
      <c r="AK3519" s="1">
        <f t="shared" si="995"/>
        <v>4.32330827067669</v>
      </c>
      <c r="AL3519" s="1">
        <f t="shared" si="996"/>
        <v>0</v>
      </c>
      <c r="AM3519" s="1">
        <f t="shared" si="997"/>
        <v>0</v>
      </c>
    </row>
    <row r="3520" spans="2:39">
      <c r="B3520" s="4" t="s">
        <v>2008</v>
      </c>
      <c r="D3520" s="4" t="s">
        <v>1638</v>
      </c>
      <c r="G3520" s="6">
        <v>40</v>
      </c>
      <c r="K3520" s="1">
        <f t="shared" ref="K3520:K3522" si="1008">G3520</f>
        <v>40</v>
      </c>
      <c r="R3520" s="4" t="str">
        <f t="shared" si="999"/>
        <v>yellow</v>
      </c>
      <c r="S3520" s="50">
        <f t="shared" si="968"/>
        <v>2.5</v>
      </c>
      <c r="T3520" s="6">
        <v>-0.8</v>
      </c>
      <c r="U3520" s="4" t="s">
        <v>1785</v>
      </c>
      <c r="V3520" s="30" t="b">
        <v>1</v>
      </c>
      <c r="W3520" s="1">
        <f t="shared" si="983"/>
        <v>600</v>
      </c>
      <c r="X3520" s="1">
        <f t="shared" si="984"/>
        <v>1200</v>
      </c>
      <c r="Y3520" s="4">
        <f>_xlfn.FLOOR.MATH(X3520*(1+T3520),5)</f>
        <v>240</v>
      </c>
      <c r="Z3520" s="6">
        <v>25</v>
      </c>
      <c r="AA3520" s="1">
        <f t="shared" si="985"/>
        <v>0</v>
      </c>
      <c r="AB3520" s="1">
        <f t="shared" si="986"/>
        <v>0</v>
      </c>
      <c r="AC3520" s="1">
        <f t="shared" si="987"/>
        <v>0</v>
      </c>
      <c r="AD3520" s="1">
        <f t="shared" si="988"/>
        <v>0.25062656641604</v>
      </c>
      <c r="AE3520" s="1">
        <f t="shared" si="989"/>
        <v>0</v>
      </c>
      <c r="AF3520" s="1">
        <f t="shared" si="990"/>
        <v>0</v>
      </c>
      <c r="AG3520" s="15">
        <f t="shared" si="991"/>
        <v>0</v>
      </c>
      <c r="AH3520" s="15">
        <f t="shared" si="992"/>
        <v>0</v>
      </c>
      <c r="AI3520" s="15">
        <f t="shared" si="993"/>
        <v>0</v>
      </c>
      <c r="AJ3520" s="1">
        <f t="shared" si="994"/>
        <v>240</v>
      </c>
      <c r="AK3520" s="1">
        <f t="shared" si="995"/>
        <v>1.50375939849624</v>
      </c>
      <c r="AL3520" s="1">
        <f t="shared" si="996"/>
        <v>0</v>
      </c>
      <c r="AM3520" s="1">
        <f t="shared" si="997"/>
        <v>0</v>
      </c>
    </row>
    <row r="3521" spans="2:39">
      <c r="B3521" s="4" t="s">
        <v>2009</v>
      </c>
      <c r="D3521" s="4" t="s">
        <v>1638</v>
      </c>
      <c r="G3521" s="6">
        <v>60</v>
      </c>
      <c r="K3521" s="1">
        <f t="shared" si="1008"/>
        <v>60</v>
      </c>
      <c r="R3521" s="4" t="str">
        <f t="shared" si="999"/>
        <v>yellow</v>
      </c>
      <c r="S3521" s="50">
        <f t="shared" si="968"/>
        <v>1.66666666666667</v>
      </c>
      <c r="T3521" s="6">
        <v>-0.7</v>
      </c>
      <c r="U3521" s="4" t="s">
        <v>1785</v>
      </c>
      <c r="V3521" s="30" t="b">
        <v>1</v>
      </c>
      <c r="W3521" s="1">
        <f t="shared" si="983"/>
        <v>900</v>
      </c>
      <c r="X3521" s="1">
        <f t="shared" si="984"/>
        <v>1800</v>
      </c>
      <c r="Y3521" s="4">
        <f>_xlfn.FLOOR.MATH(X3521*(1+T3521),5)</f>
        <v>540</v>
      </c>
      <c r="Z3521" s="6">
        <v>25</v>
      </c>
      <c r="AA3521" s="1">
        <f t="shared" si="985"/>
        <v>0</v>
      </c>
      <c r="AB3521" s="1">
        <f t="shared" si="986"/>
        <v>0</v>
      </c>
      <c r="AC3521" s="1">
        <f t="shared" si="987"/>
        <v>0</v>
      </c>
      <c r="AD3521" s="1">
        <f t="shared" si="988"/>
        <v>0.37593984962406</v>
      </c>
      <c r="AE3521" s="1">
        <f t="shared" si="989"/>
        <v>0</v>
      </c>
      <c r="AF3521" s="1">
        <f t="shared" si="990"/>
        <v>0</v>
      </c>
      <c r="AG3521" s="15">
        <f t="shared" si="991"/>
        <v>0</v>
      </c>
      <c r="AH3521" s="15">
        <f t="shared" si="992"/>
        <v>0</v>
      </c>
      <c r="AI3521" s="15">
        <f t="shared" si="993"/>
        <v>0</v>
      </c>
      <c r="AJ3521" s="1">
        <f t="shared" si="994"/>
        <v>540</v>
      </c>
      <c r="AK3521" s="1">
        <f t="shared" si="995"/>
        <v>3.38345864661654</v>
      </c>
      <c r="AL3521" s="1">
        <f t="shared" si="996"/>
        <v>0</v>
      </c>
      <c r="AM3521" s="1">
        <f t="shared" si="997"/>
        <v>0</v>
      </c>
    </row>
    <row r="3522" spans="2:39">
      <c r="B3522" s="4" t="s">
        <v>2010</v>
      </c>
      <c r="D3522" s="4" t="s">
        <v>1638</v>
      </c>
      <c r="G3522" s="6">
        <v>80</v>
      </c>
      <c r="K3522" s="1">
        <f t="shared" si="1008"/>
        <v>80</v>
      </c>
      <c r="R3522" s="4" t="str">
        <f t="shared" si="999"/>
        <v>yellow</v>
      </c>
      <c r="S3522" s="50">
        <f t="shared" si="968"/>
        <v>1.25</v>
      </c>
      <c r="T3522" s="6">
        <v>-0.6</v>
      </c>
      <c r="U3522" s="4" t="s">
        <v>1785</v>
      </c>
      <c r="V3522" s="30" t="b">
        <v>1</v>
      </c>
      <c r="W3522" s="1">
        <f t="shared" si="983"/>
        <v>1200</v>
      </c>
      <c r="X3522" s="1">
        <f t="shared" si="984"/>
        <v>2400</v>
      </c>
      <c r="Y3522" s="4">
        <f>_xlfn.FLOOR.MATH(X3522*(1+T3522),5)</f>
        <v>960</v>
      </c>
      <c r="Z3522" s="6">
        <v>25</v>
      </c>
      <c r="AA3522" s="1">
        <f t="shared" si="985"/>
        <v>0</v>
      </c>
      <c r="AB3522" s="1">
        <f t="shared" si="986"/>
        <v>0</v>
      </c>
      <c r="AC3522" s="1">
        <f t="shared" si="987"/>
        <v>0</v>
      </c>
      <c r="AD3522" s="1">
        <f t="shared" si="988"/>
        <v>0.50125313283208</v>
      </c>
      <c r="AE3522" s="1">
        <f t="shared" si="989"/>
        <v>0</v>
      </c>
      <c r="AF3522" s="1">
        <f t="shared" si="990"/>
        <v>0</v>
      </c>
      <c r="AG3522" s="15">
        <f t="shared" si="991"/>
        <v>0</v>
      </c>
      <c r="AH3522" s="15">
        <f t="shared" si="992"/>
        <v>0</v>
      </c>
      <c r="AI3522" s="15">
        <f t="shared" si="993"/>
        <v>0</v>
      </c>
      <c r="AJ3522" s="1">
        <f t="shared" si="994"/>
        <v>960</v>
      </c>
      <c r="AK3522" s="1">
        <f t="shared" si="995"/>
        <v>6.01503759398496</v>
      </c>
      <c r="AL3522" s="1">
        <f t="shared" si="996"/>
        <v>0</v>
      </c>
      <c r="AM3522" s="1">
        <f t="shared" si="997"/>
        <v>0</v>
      </c>
    </row>
    <row r="3523" spans="2:39">
      <c r="B3523" s="4"/>
      <c r="D3523" s="4" t="s">
        <v>1967</v>
      </c>
      <c r="G3523" s="6">
        <v>5</v>
      </c>
      <c r="N3523" s="1">
        <f t="shared" ref="N3523:N3525" si="1009">G3523*10000</f>
        <v>50000</v>
      </c>
      <c r="R3523" s="4" t="str">
        <f t="shared" ref="R3523:R3525" si="1010">IF(T3523&gt;-0.5,"purple","yellow")</f>
        <v>yellow</v>
      </c>
      <c r="S3523" s="50">
        <f t="shared" ref="S3523:S3525" si="1011">W3523/Y3523</f>
        <v>2.5</v>
      </c>
      <c r="T3523" s="6">
        <v>-0.8</v>
      </c>
      <c r="U3523" s="4" t="s">
        <v>1785</v>
      </c>
      <c r="V3523" s="30" t="b">
        <v>1</v>
      </c>
      <c r="W3523" s="1">
        <f t="shared" si="983"/>
        <v>375</v>
      </c>
      <c r="X3523" s="1">
        <f t="shared" si="984"/>
        <v>750</v>
      </c>
      <c r="Y3523" s="4">
        <f>_xlfn.FLOOR.MATH(X3523*(1+T3523),5)</f>
        <v>150</v>
      </c>
      <c r="Z3523" s="6">
        <v>50</v>
      </c>
      <c r="AA3523" s="1">
        <f t="shared" si="985"/>
        <v>0</v>
      </c>
      <c r="AB3523" s="1">
        <f t="shared" si="986"/>
        <v>0</v>
      </c>
      <c r="AC3523" s="1">
        <f t="shared" si="987"/>
        <v>0</v>
      </c>
      <c r="AD3523" s="1">
        <f t="shared" si="988"/>
        <v>0</v>
      </c>
      <c r="AE3523" s="1">
        <f t="shared" si="989"/>
        <v>0</v>
      </c>
      <c r="AF3523" s="1">
        <f t="shared" si="990"/>
        <v>626.5664160401</v>
      </c>
      <c r="AG3523" s="15">
        <f t="shared" si="991"/>
        <v>0</v>
      </c>
      <c r="AH3523" s="15">
        <f t="shared" si="992"/>
        <v>0</v>
      </c>
      <c r="AI3523" s="15">
        <f t="shared" si="993"/>
        <v>0</v>
      </c>
      <c r="AJ3523" s="1">
        <f t="shared" si="994"/>
        <v>150</v>
      </c>
      <c r="AK3523" s="1">
        <f t="shared" si="995"/>
        <v>1.8796992481203</v>
      </c>
      <c r="AL3523" s="1">
        <f t="shared" si="996"/>
        <v>0</v>
      </c>
      <c r="AM3523" s="1">
        <f t="shared" si="997"/>
        <v>0</v>
      </c>
    </row>
    <row r="3524" spans="2:39">
      <c r="B3524" s="4"/>
      <c r="D3524" s="4" t="s">
        <v>1967</v>
      </c>
      <c r="G3524" s="6">
        <v>15</v>
      </c>
      <c r="N3524" s="1">
        <f t="shared" si="1009"/>
        <v>150000</v>
      </c>
      <c r="R3524" s="4" t="str">
        <f t="shared" si="1010"/>
        <v>yellow</v>
      </c>
      <c r="S3524" s="50">
        <f t="shared" si="1011"/>
        <v>1.66666666666667</v>
      </c>
      <c r="T3524" s="6">
        <v>-0.7</v>
      </c>
      <c r="U3524" s="4" t="s">
        <v>1785</v>
      </c>
      <c r="V3524" s="30" t="b">
        <v>1</v>
      </c>
      <c r="W3524" s="1">
        <f t="shared" si="983"/>
        <v>1125</v>
      </c>
      <c r="X3524" s="1">
        <f t="shared" si="984"/>
        <v>2250</v>
      </c>
      <c r="Y3524" s="4">
        <f>_xlfn.FLOOR.MATH(X3524*(1+T3524),5)</f>
        <v>675</v>
      </c>
      <c r="Z3524" s="6">
        <v>50</v>
      </c>
      <c r="AA3524" s="1">
        <f t="shared" si="985"/>
        <v>0</v>
      </c>
      <c r="AB3524" s="1">
        <f t="shared" si="986"/>
        <v>0</v>
      </c>
      <c r="AC3524" s="1">
        <f t="shared" si="987"/>
        <v>0</v>
      </c>
      <c r="AD3524" s="1">
        <f t="shared" si="988"/>
        <v>0</v>
      </c>
      <c r="AE3524" s="1">
        <f t="shared" si="989"/>
        <v>0</v>
      </c>
      <c r="AF3524" s="1">
        <f t="shared" si="990"/>
        <v>1879.6992481203</v>
      </c>
      <c r="AG3524" s="15">
        <f t="shared" si="991"/>
        <v>0</v>
      </c>
      <c r="AH3524" s="15">
        <f t="shared" si="992"/>
        <v>0</v>
      </c>
      <c r="AI3524" s="15">
        <f t="shared" si="993"/>
        <v>0</v>
      </c>
      <c r="AJ3524" s="1">
        <f t="shared" si="994"/>
        <v>675</v>
      </c>
      <c r="AK3524" s="1">
        <f t="shared" si="995"/>
        <v>8.45864661654135</v>
      </c>
      <c r="AL3524" s="1">
        <f t="shared" si="996"/>
        <v>0</v>
      </c>
      <c r="AM3524" s="1">
        <f t="shared" si="997"/>
        <v>0</v>
      </c>
    </row>
    <row r="3525" spans="2:39">
      <c r="B3525" s="4"/>
      <c r="D3525" s="4" t="s">
        <v>1967</v>
      </c>
      <c r="G3525" s="6">
        <v>20</v>
      </c>
      <c r="N3525" s="1">
        <f t="shared" si="1009"/>
        <v>200000</v>
      </c>
      <c r="R3525" s="4" t="str">
        <f t="shared" si="1010"/>
        <v>yellow</v>
      </c>
      <c r="S3525" s="50">
        <f t="shared" si="1011"/>
        <v>1.25</v>
      </c>
      <c r="T3525" s="6">
        <v>-0.6</v>
      </c>
      <c r="U3525" s="4" t="s">
        <v>1785</v>
      </c>
      <c r="V3525" s="30" t="b">
        <v>1</v>
      </c>
      <c r="W3525" s="1">
        <f t="shared" si="983"/>
        <v>1500</v>
      </c>
      <c r="X3525" s="1">
        <f t="shared" si="984"/>
        <v>3000</v>
      </c>
      <c r="Y3525" s="4">
        <f>_xlfn.FLOOR.MATH(X3525*(1+T3525),5)</f>
        <v>1200</v>
      </c>
      <c r="Z3525" s="6">
        <v>50</v>
      </c>
      <c r="AA3525" s="1">
        <f t="shared" si="985"/>
        <v>0</v>
      </c>
      <c r="AB3525" s="1">
        <f t="shared" si="986"/>
        <v>0</v>
      </c>
      <c r="AC3525" s="1">
        <f t="shared" si="987"/>
        <v>0</v>
      </c>
      <c r="AD3525" s="1">
        <f t="shared" si="988"/>
        <v>0</v>
      </c>
      <c r="AE3525" s="1">
        <f t="shared" si="989"/>
        <v>0</v>
      </c>
      <c r="AF3525" s="1">
        <f t="shared" si="990"/>
        <v>2506.2656641604</v>
      </c>
      <c r="AG3525" s="15">
        <f t="shared" si="991"/>
        <v>0</v>
      </c>
      <c r="AH3525" s="15">
        <f t="shared" si="992"/>
        <v>0</v>
      </c>
      <c r="AI3525" s="15">
        <f t="shared" si="993"/>
        <v>0</v>
      </c>
      <c r="AJ3525" s="1">
        <f t="shared" si="994"/>
        <v>1200</v>
      </c>
      <c r="AK3525" s="1">
        <f t="shared" ref="AK3525:AK3528" si="1012">AJ3525*Z3525/$Z$3569</f>
        <v>15.0375939849624</v>
      </c>
      <c r="AL3525" s="1">
        <f t="shared" si="996"/>
        <v>0</v>
      </c>
      <c r="AM3525" s="1">
        <f t="shared" ref="AM3525:AM3528" si="1013">AL3525*Z3525/$Z$3569</f>
        <v>0</v>
      </c>
    </row>
    <row r="3526" spans="2:39">
      <c r="B3526" s="4" t="s">
        <v>2011</v>
      </c>
      <c r="D3526" s="4" t="s">
        <v>1969</v>
      </c>
      <c r="G3526" s="6">
        <v>1</v>
      </c>
      <c r="L3526" s="1">
        <f t="shared" ref="L3526:L3528" si="1014">G3526*$E$3453</f>
        <v>100</v>
      </c>
      <c r="R3526" s="4" t="str">
        <f t="shared" si="999"/>
        <v>yellow</v>
      </c>
      <c r="S3526" s="50">
        <f t="shared" si="968"/>
        <v>2.5</v>
      </c>
      <c r="T3526" s="6">
        <v>-0.8</v>
      </c>
      <c r="U3526" s="4" t="s">
        <v>1785</v>
      </c>
      <c r="V3526" s="30" t="b">
        <v>1</v>
      </c>
      <c r="W3526" s="1">
        <f t="shared" si="983"/>
        <v>250</v>
      </c>
      <c r="X3526" s="1">
        <f t="shared" si="984"/>
        <v>500</v>
      </c>
      <c r="Y3526" s="4">
        <f>_xlfn.FLOOR.MATH(X3526*(1+T3526),5)</f>
        <v>100</v>
      </c>
      <c r="Z3526" s="6">
        <v>100</v>
      </c>
      <c r="AA3526" s="1">
        <f t="shared" si="985"/>
        <v>0</v>
      </c>
      <c r="AB3526" s="1">
        <f t="shared" si="986"/>
        <v>0</v>
      </c>
      <c r="AC3526" s="1">
        <f t="shared" si="987"/>
        <v>0</v>
      </c>
      <c r="AD3526" s="1">
        <f t="shared" si="988"/>
        <v>0</v>
      </c>
      <c r="AE3526" s="1">
        <f t="shared" si="989"/>
        <v>2.5062656641604</v>
      </c>
      <c r="AF3526" s="1">
        <f t="shared" si="990"/>
        <v>0</v>
      </c>
      <c r="AG3526" s="15">
        <f t="shared" si="991"/>
        <v>0</v>
      </c>
      <c r="AH3526" s="15">
        <f t="shared" si="992"/>
        <v>0</v>
      </c>
      <c r="AI3526" s="15">
        <f t="shared" si="993"/>
        <v>0</v>
      </c>
      <c r="AJ3526" s="1">
        <f t="shared" si="994"/>
        <v>100</v>
      </c>
      <c r="AK3526" s="1">
        <f t="shared" si="1012"/>
        <v>2.5062656641604</v>
      </c>
      <c r="AL3526" s="1">
        <f t="shared" si="996"/>
        <v>0</v>
      </c>
      <c r="AM3526" s="1">
        <f t="shared" si="1013"/>
        <v>0</v>
      </c>
    </row>
    <row r="3527" spans="2:39">
      <c r="B3527" s="4" t="s">
        <v>2012</v>
      </c>
      <c r="D3527" s="4" t="s">
        <v>1969</v>
      </c>
      <c r="G3527" s="6">
        <v>2</v>
      </c>
      <c r="L3527" s="1">
        <f t="shared" si="1014"/>
        <v>200</v>
      </c>
      <c r="R3527" s="4" t="str">
        <f t="shared" si="999"/>
        <v>yellow</v>
      </c>
      <c r="S3527" s="50">
        <f t="shared" si="968"/>
        <v>1.66666666666667</v>
      </c>
      <c r="T3527" s="6">
        <v>-0.7</v>
      </c>
      <c r="U3527" s="4" t="s">
        <v>1785</v>
      </c>
      <c r="V3527" s="30" t="b">
        <v>1</v>
      </c>
      <c r="W3527" s="1">
        <f t="shared" si="983"/>
        <v>500</v>
      </c>
      <c r="X3527" s="1">
        <f t="shared" si="984"/>
        <v>1000</v>
      </c>
      <c r="Y3527" s="4">
        <f>_xlfn.FLOOR.MATH(X3527*(1+T3527),5)</f>
        <v>300</v>
      </c>
      <c r="Z3527" s="6">
        <v>100</v>
      </c>
      <c r="AA3527" s="1">
        <f t="shared" si="985"/>
        <v>0</v>
      </c>
      <c r="AB3527" s="1">
        <f t="shared" si="986"/>
        <v>0</v>
      </c>
      <c r="AC3527" s="1">
        <f t="shared" si="987"/>
        <v>0</v>
      </c>
      <c r="AD3527" s="1">
        <f t="shared" si="988"/>
        <v>0</v>
      </c>
      <c r="AE3527" s="1">
        <f t="shared" si="989"/>
        <v>5.0125313283208</v>
      </c>
      <c r="AF3527" s="1">
        <f t="shared" si="990"/>
        <v>0</v>
      </c>
      <c r="AG3527" s="15">
        <f t="shared" si="991"/>
        <v>0</v>
      </c>
      <c r="AH3527" s="15">
        <f t="shared" si="992"/>
        <v>0</v>
      </c>
      <c r="AI3527" s="15">
        <f t="shared" si="993"/>
        <v>0</v>
      </c>
      <c r="AJ3527" s="1">
        <f t="shared" si="994"/>
        <v>300</v>
      </c>
      <c r="AK3527" s="1">
        <f t="shared" si="1012"/>
        <v>7.5187969924812</v>
      </c>
      <c r="AL3527" s="1">
        <f t="shared" si="996"/>
        <v>0</v>
      </c>
      <c r="AM3527" s="1">
        <f t="shared" si="1013"/>
        <v>0</v>
      </c>
    </row>
    <row r="3528" spans="2:39">
      <c r="B3528" s="4" t="s">
        <v>2013</v>
      </c>
      <c r="D3528" s="4" t="s">
        <v>1969</v>
      </c>
      <c r="G3528" s="6">
        <v>3</v>
      </c>
      <c r="L3528" s="1">
        <f t="shared" si="1014"/>
        <v>300</v>
      </c>
      <c r="R3528" s="4" t="str">
        <f t="shared" si="999"/>
        <v>yellow</v>
      </c>
      <c r="S3528" s="50">
        <f t="shared" si="968"/>
        <v>1.25</v>
      </c>
      <c r="T3528" s="6">
        <v>-0.6</v>
      </c>
      <c r="U3528" s="4" t="s">
        <v>1785</v>
      </c>
      <c r="V3528" s="30" t="b">
        <v>1</v>
      </c>
      <c r="W3528" s="1">
        <f t="shared" si="983"/>
        <v>750</v>
      </c>
      <c r="X3528" s="1">
        <f t="shared" si="984"/>
        <v>1500</v>
      </c>
      <c r="Y3528" s="4">
        <f>_xlfn.FLOOR.MATH(X3528*(1+T3528),5)</f>
        <v>600</v>
      </c>
      <c r="Z3528" s="6">
        <v>100</v>
      </c>
      <c r="AA3528" s="1">
        <f t="shared" si="985"/>
        <v>0</v>
      </c>
      <c r="AB3528" s="1">
        <f t="shared" si="986"/>
        <v>0</v>
      </c>
      <c r="AC3528" s="1">
        <f t="shared" si="987"/>
        <v>0</v>
      </c>
      <c r="AD3528" s="1">
        <f t="shared" si="988"/>
        <v>0</v>
      </c>
      <c r="AE3528" s="1">
        <f t="shared" si="989"/>
        <v>7.5187969924812</v>
      </c>
      <c r="AF3528" s="1">
        <f t="shared" si="990"/>
        <v>0</v>
      </c>
      <c r="AG3528" s="15">
        <f t="shared" si="991"/>
        <v>0</v>
      </c>
      <c r="AH3528" s="15">
        <f t="shared" si="992"/>
        <v>0</v>
      </c>
      <c r="AI3528" s="15">
        <f t="shared" si="993"/>
        <v>0</v>
      </c>
      <c r="AJ3528" s="1">
        <f t="shared" si="994"/>
        <v>600</v>
      </c>
      <c r="AK3528" s="1">
        <f t="shared" si="1012"/>
        <v>15.0375939849624</v>
      </c>
      <c r="AL3528" s="1">
        <f t="shared" si="996"/>
        <v>0</v>
      </c>
      <c r="AM3528" s="1">
        <f t="shared" si="1013"/>
        <v>0</v>
      </c>
    </row>
    <row r="3529" spans="2:26">
      <c r="B3529" s="4"/>
      <c r="D3529" s="4"/>
      <c r="G3529" s="4"/>
      <c r="R3529" s="4"/>
      <c r="S3529" s="50"/>
      <c r="T3529" s="4"/>
      <c r="U3529" s="4"/>
      <c r="V3529" s="83"/>
      <c r="Y3529" s="4"/>
      <c r="Z3529" s="4"/>
    </row>
    <row r="3530" spans="2:12">
      <c r="B3530" s="27" t="s">
        <v>2014</v>
      </c>
      <c r="C3530" s="27"/>
      <c r="D3530" s="27"/>
      <c r="E3530" s="27"/>
      <c r="F3530" s="27"/>
      <c r="G3530" s="27"/>
      <c r="H3530" s="27"/>
      <c r="I3530" s="27"/>
      <c r="J3530" s="27"/>
      <c r="K3530" s="27"/>
      <c r="L3530" s="27"/>
    </row>
    <row r="3532" s="15" customFormat="1" spans="2:39">
      <c r="B3532" s="16"/>
      <c r="D3532" s="16" t="s">
        <v>481</v>
      </c>
      <c r="G3532" s="6">
        <v>40000</v>
      </c>
      <c r="O3532" s="15">
        <f>G3532</f>
        <v>40000</v>
      </c>
      <c r="R3532" s="16" t="str">
        <f t="shared" ref="R3532:R3567" si="1015">IF(T3532&gt;-0.5,"purple","yellow")</f>
        <v>purple</v>
      </c>
      <c r="S3532" s="109">
        <f t="shared" ref="S3532:S3567" si="1016">W3532/Y3532</f>
        <v>1.11111111111111</v>
      </c>
      <c r="T3532" s="6">
        <v>-0.1</v>
      </c>
      <c r="U3532" s="16" t="s">
        <v>1767</v>
      </c>
      <c r="V3532" s="30" t="b">
        <v>1</v>
      </c>
      <c r="W3532" s="15">
        <f>IF(U3532="l_coin",SUMPRODUCT(H3532:Q3532,$H$3457:$Q$3457),SUMPRODUCT(H3532:Q3532,$H$3456:$Q$3456))</f>
        <v>480000</v>
      </c>
      <c r="X3532" s="15">
        <f>IF(U3532="l_coin",SUMPRODUCT(H3532:N3532,$H$3459:$Q$3459),SUMPRODUCT(H3532:Q3532,$H$3458:$Q$3458))</f>
        <v>480000</v>
      </c>
      <c r="Y3532" s="16">
        <f>_xlfn.FLOOR.MATH(X3532*(1+T3532),1000)</f>
        <v>432000</v>
      </c>
      <c r="Z3532" s="6">
        <v>40</v>
      </c>
      <c r="AA3532" s="15">
        <f t="shared" ref="AA3532:AA3567" si="1017">(H3532+M3532*$E$3451)*$Z3532/$Z$3569</f>
        <v>0</v>
      </c>
      <c r="AB3532" s="15">
        <f t="shared" ref="AB3532:AB3567" si="1018">I3532*$Z3532/$Z$3569</f>
        <v>0</v>
      </c>
      <c r="AC3532" s="15">
        <f t="shared" ref="AC3532:AC3567" si="1019">J3532*$Z3532/$Z$3569</f>
        <v>0</v>
      </c>
      <c r="AD3532" s="15">
        <f t="shared" ref="AD3532:AD3567" si="1020">(K3532+M3532*$E$3452)*$Z3532/$Z$3569</f>
        <v>0</v>
      </c>
      <c r="AE3532" s="15">
        <f t="shared" ref="AE3532:AE3567" si="1021">L3532*$Z3532/$Z$3569</f>
        <v>0</v>
      </c>
      <c r="AF3532" s="15">
        <f t="shared" ref="AF3532:AF3567" si="1022">N3532*$Z3532/$Z$3569</f>
        <v>0</v>
      </c>
      <c r="AG3532" s="15">
        <f t="shared" ref="AG3532:AG3567" si="1023">O3532*$Z3532/$Z$3569</f>
        <v>401.002506265664</v>
      </c>
      <c r="AH3532" s="15">
        <f t="shared" ref="AH3532:AH3567" si="1024">P3532*$Z3532/$Z$3569</f>
        <v>0</v>
      </c>
      <c r="AI3532" s="15">
        <f t="shared" ref="AI3532:AI3567" si="1025">Q3532*$Z3532/$Z$3569</f>
        <v>0</v>
      </c>
      <c r="AJ3532" s="15">
        <f t="shared" ref="AJ3532:AJ3567" si="1026">IF(U3532="l_coin",Y3532,0)</f>
        <v>0</v>
      </c>
      <c r="AK3532" s="15">
        <f t="shared" ref="AK3532:AK3567" si="1027">AJ3532*Z3532/$Z$3569</f>
        <v>0</v>
      </c>
      <c r="AL3532" s="15">
        <f t="shared" ref="AL3532:AL3567" si="1028">IF(U3532="l_coin",0,Y3532)</f>
        <v>432000</v>
      </c>
      <c r="AM3532" s="15">
        <f t="shared" ref="AM3532:AM3567" si="1029">AL3532*Z3532/$Z$3569</f>
        <v>4330.82706766917</v>
      </c>
    </row>
    <row r="3533" s="15" customFormat="1" spans="2:39">
      <c r="B3533" s="16"/>
      <c r="D3533" s="16" t="s">
        <v>481</v>
      </c>
      <c r="G3533" s="6">
        <v>80000</v>
      </c>
      <c r="O3533" s="15">
        <f t="shared" ref="O3533:O3534" si="1030">G3533</f>
        <v>80000</v>
      </c>
      <c r="R3533" s="16" t="str">
        <f t="shared" si="1015"/>
        <v>purple</v>
      </c>
      <c r="S3533" s="109">
        <f t="shared" si="1016"/>
        <v>1.11111111111111</v>
      </c>
      <c r="T3533" s="6">
        <v>-0.1</v>
      </c>
      <c r="U3533" s="16" t="s">
        <v>1753</v>
      </c>
      <c r="V3533" s="30" t="b">
        <v>1</v>
      </c>
      <c r="W3533" s="15">
        <f t="shared" ref="W3533:W3540" si="1031">IF(U3533="l_coin",SUMPRODUCT(H3533:Q3533,$H$3457:$Q$3457),SUMPRODUCT(H3533:Q3533,$H$3456:$Q$3456))</f>
        <v>960000</v>
      </c>
      <c r="X3533" s="15">
        <f t="shared" ref="X3533:X3541" si="1032">IF(U3533="l_coin",SUMPRODUCT(H3533:N3533,$H$3459:$Q$3459),SUMPRODUCT(H3533:Q3533,$H$3458:$Q$3458))</f>
        <v>960000</v>
      </c>
      <c r="Y3533" s="16">
        <f>_xlfn.FLOOR.MATH(X3533*(1+T3533),1000)</f>
        <v>864000</v>
      </c>
      <c r="Z3533" s="6">
        <v>40</v>
      </c>
      <c r="AA3533" s="15">
        <f t="shared" si="1017"/>
        <v>0</v>
      </c>
      <c r="AB3533" s="15">
        <f t="shared" si="1018"/>
        <v>0</v>
      </c>
      <c r="AC3533" s="15">
        <f t="shared" si="1019"/>
        <v>0</v>
      </c>
      <c r="AD3533" s="15">
        <f t="shared" si="1020"/>
        <v>0</v>
      </c>
      <c r="AE3533" s="15">
        <f t="shared" si="1021"/>
        <v>0</v>
      </c>
      <c r="AF3533" s="15">
        <f t="shared" si="1022"/>
        <v>0</v>
      </c>
      <c r="AG3533" s="15">
        <f t="shared" si="1023"/>
        <v>802.005012531328</v>
      </c>
      <c r="AH3533" s="15">
        <f t="shared" si="1024"/>
        <v>0</v>
      </c>
      <c r="AI3533" s="15">
        <f t="shared" si="1025"/>
        <v>0</v>
      </c>
      <c r="AJ3533" s="15">
        <f t="shared" si="1026"/>
        <v>0</v>
      </c>
      <c r="AK3533" s="15">
        <f t="shared" si="1027"/>
        <v>0</v>
      </c>
      <c r="AL3533" s="15">
        <f t="shared" si="1028"/>
        <v>864000</v>
      </c>
      <c r="AM3533" s="15">
        <f t="shared" si="1029"/>
        <v>8661.65413533835</v>
      </c>
    </row>
    <row r="3534" s="15" customFormat="1" spans="2:39">
      <c r="B3534" s="16"/>
      <c r="D3534" s="16" t="s">
        <v>481</v>
      </c>
      <c r="G3534" s="6">
        <v>150000</v>
      </c>
      <c r="O3534" s="15">
        <f t="shared" si="1030"/>
        <v>150000</v>
      </c>
      <c r="R3534" s="16" t="str">
        <f t="shared" si="1015"/>
        <v>purple</v>
      </c>
      <c r="S3534" s="109">
        <f t="shared" si="1016"/>
        <v>1.11111111111111</v>
      </c>
      <c r="T3534" s="6">
        <v>-0.1</v>
      </c>
      <c r="U3534" s="16" t="s">
        <v>1760</v>
      </c>
      <c r="V3534" s="30" t="b">
        <v>1</v>
      </c>
      <c r="W3534" s="15">
        <f t="shared" si="1031"/>
        <v>1800000</v>
      </c>
      <c r="X3534" s="15">
        <f t="shared" si="1032"/>
        <v>1800000</v>
      </c>
      <c r="Y3534" s="16">
        <f>_xlfn.FLOOR.MATH(X3534*(1+T3534),1000)</f>
        <v>1620000</v>
      </c>
      <c r="Z3534" s="6">
        <v>40</v>
      </c>
      <c r="AA3534" s="15">
        <f t="shared" si="1017"/>
        <v>0</v>
      </c>
      <c r="AB3534" s="15">
        <f t="shared" si="1018"/>
        <v>0</v>
      </c>
      <c r="AC3534" s="15">
        <f t="shared" si="1019"/>
        <v>0</v>
      </c>
      <c r="AD3534" s="15">
        <f t="shared" si="1020"/>
        <v>0</v>
      </c>
      <c r="AE3534" s="15">
        <f t="shared" si="1021"/>
        <v>0</v>
      </c>
      <c r="AF3534" s="15">
        <f t="shared" si="1022"/>
        <v>0</v>
      </c>
      <c r="AG3534" s="15">
        <f t="shared" si="1023"/>
        <v>1503.75939849624</v>
      </c>
      <c r="AH3534" s="15">
        <f t="shared" si="1024"/>
        <v>0</v>
      </c>
      <c r="AI3534" s="15">
        <f t="shared" si="1025"/>
        <v>0</v>
      </c>
      <c r="AJ3534" s="15">
        <f t="shared" si="1026"/>
        <v>0</v>
      </c>
      <c r="AK3534" s="15">
        <f t="shared" si="1027"/>
        <v>0</v>
      </c>
      <c r="AL3534" s="15">
        <f t="shared" si="1028"/>
        <v>1620000</v>
      </c>
      <c r="AM3534" s="15">
        <f t="shared" si="1029"/>
        <v>16240.6015037594</v>
      </c>
    </row>
    <row r="3535" s="15" customFormat="1" spans="2:39">
      <c r="B3535" s="16"/>
      <c r="D3535" s="16" t="s">
        <v>482</v>
      </c>
      <c r="G3535" s="6">
        <v>40</v>
      </c>
      <c r="P3535" s="15">
        <f>G3535</f>
        <v>40</v>
      </c>
      <c r="R3535" s="16" t="str">
        <f t="shared" si="1015"/>
        <v>purple</v>
      </c>
      <c r="S3535" s="109">
        <f t="shared" si="1016"/>
        <v>1.11111111111111</v>
      </c>
      <c r="T3535" s="6">
        <v>-0.1</v>
      </c>
      <c r="U3535" s="16" t="s">
        <v>1760</v>
      </c>
      <c r="V3535" s="30" t="b">
        <v>1</v>
      </c>
      <c r="W3535" s="15">
        <f t="shared" si="1031"/>
        <v>720000</v>
      </c>
      <c r="X3535" s="15">
        <f t="shared" si="1032"/>
        <v>720000</v>
      </c>
      <c r="Y3535" s="16">
        <f>_xlfn.FLOOR.MATH(X3535*(1+T3535),1000)</f>
        <v>648000</v>
      </c>
      <c r="Z3535" s="6">
        <v>40</v>
      </c>
      <c r="AA3535" s="15">
        <f t="shared" si="1017"/>
        <v>0</v>
      </c>
      <c r="AB3535" s="15">
        <f t="shared" si="1018"/>
        <v>0</v>
      </c>
      <c r="AC3535" s="15">
        <f t="shared" si="1019"/>
        <v>0</v>
      </c>
      <c r="AD3535" s="15">
        <f t="shared" si="1020"/>
        <v>0</v>
      </c>
      <c r="AE3535" s="15">
        <f t="shared" si="1021"/>
        <v>0</v>
      </c>
      <c r="AF3535" s="15">
        <f t="shared" si="1022"/>
        <v>0</v>
      </c>
      <c r="AG3535" s="15">
        <f t="shared" si="1023"/>
        <v>0</v>
      </c>
      <c r="AH3535" s="15">
        <f t="shared" si="1024"/>
        <v>0.401002506265664</v>
      </c>
      <c r="AI3535" s="15">
        <f t="shared" si="1025"/>
        <v>0</v>
      </c>
      <c r="AJ3535" s="15">
        <f t="shared" si="1026"/>
        <v>0</v>
      </c>
      <c r="AK3535" s="15">
        <f t="shared" si="1027"/>
        <v>0</v>
      </c>
      <c r="AL3535" s="15">
        <f t="shared" si="1028"/>
        <v>648000</v>
      </c>
      <c r="AM3535" s="15">
        <f t="shared" si="1029"/>
        <v>6496.24060150376</v>
      </c>
    </row>
    <row r="3536" s="15" customFormat="1" spans="2:39">
      <c r="B3536" s="16"/>
      <c r="D3536" s="16" t="s">
        <v>482</v>
      </c>
      <c r="G3536" s="6">
        <v>60</v>
      </c>
      <c r="P3536" s="15">
        <f t="shared" ref="P3536:P3537" si="1033">G3536</f>
        <v>60</v>
      </c>
      <c r="R3536" s="16" t="str">
        <f t="shared" si="1015"/>
        <v>purple</v>
      </c>
      <c r="S3536" s="109">
        <f t="shared" si="1016"/>
        <v>1.11111111111111</v>
      </c>
      <c r="T3536" s="6">
        <v>-0.1</v>
      </c>
      <c r="U3536" s="16" t="s">
        <v>1753</v>
      </c>
      <c r="V3536" s="30" t="b">
        <v>1</v>
      </c>
      <c r="W3536" s="15">
        <f t="shared" si="1031"/>
        <v>1080000</v>
      </c>
      <c r="X3536" s="15">
        <f t="shared" si="1032"/>
        <v>1080000</v>
      </c>
      <c r="Y3536" s="16">
        <f>_xlfn.FLOOR.MATH(X3536*(1+T3536),1000)</f>
        <v>972000</v>
      </c>
      <c r="Z3536" s="6">
        <v>40</v>
      </c>
      <c r="AA3536" s="15">
        <f t="shared" si="1017"/>
        <v>0</v>
      </c>
      <c r="AB3536" s="15">
        <f t="shared" si="1018"/>
        <v>0</v>
      </c>
      <c r="AC3536" s="15">
        <f t="shared" si="1019"/>
        <v>0</v>
      </c>
      <c r="AD3536" s="15">
        <f t="shared" si="1020"/>
        <v>0</v>
      </c>
      <c r="AE3536" s="15">
        <f t="shared" si="1021"/>
        <v>0</v>
      </c>
      <c r="AF3536" s="15">
        <f t="shared" si="1022"/>
        <v>0</v>
      </c>
      <c r="AG3536" s="15">
        <f t="shared" si="1023"/>
        <v>0</v>
      </c>
      <c r="AH3536" s="15">
        <f t="shared" si="1024"/>
        <v>0.601503759398496</v>
      </c>
      <c r="AI3536" s="15">
        <f t="shared" si="1025"/>
        <v>0</v>
      </c>
      <c r="AJ3536" s="15">
        <f t="shared" si="1026"/>
        <v>0</v>
      </c>
      <c r="AK3536" s="15">
        <f t="shared" si="1027"/>
        <v>0</v>
      </c>
      <c r="AL3536" s="15">
        <f t="shared" si="1028"/>
        <v>972000</v>
      </c>
      <c r="AM3536" s="15">
        <f t="shared" si="1029"/>
        <v>9744.36090225564</v>
      </c>
    </row>
    <row r="3537" s="15" customFormat="1" spans="2:39">
      <c r="B3537" s="16"/>
      <c r="D3537" s="16" t="s">
        <v>482</v>
      </c>
      <c r="G3537" s="6">
        <v>80</v>
      </c>
      <c r="P3537" s="15">
        <f t="shared" si="1033"/>
        <v>80</v>
      </c>
      <c r="R3537" s="16" t="str">
        <f t="shared" si="1015"/>
        <v>purple</v>
      </c>
      <c r="S3537" s="109">
        <f t="shared" si="1016"/>
        <v>1.11111111111111</v>
      </c>
      <c r="T3537" s="6">
        <v>-0.1</v>
      </c>
      <c r="U3537" s="16" t="s">
        <v>1767</v>
      </c>
      <c r="V3537" s="30" t="b">
        <v>1</v>
      </c>
      <c r="W3537" s="15">
        <f t="shared" si="1031"/>
        <v>1440000</v>
      </c>
      <c r="X3537" s="15">
        <f t="shared" si="1032"/>
        <v>1440000</v>
      </c>
      <c r="Y3537" s="16">
        <f>_xlfn.FLOOR.MATH(X3537*(1+T3537),1000)</f>
        <v>1296000</v>
      </c>
      <c r="Z3537" s="6">
        <v>40</v>
      </c>
      <c r="AA3537" s="15">
        <f t="shared" si="1017"/>
        <v>0</v>
      </c>
      <c r="AB3537" s="15">
        <f t="shared" si="1018"/>
        <v>0</v>
      </c>
      <c r="AC3537" s="15">
        <f t="shared" si="1019"/>
        <v>0</v>
      </c>
      <c r="AD3537" s="15">
        <f t="shared" si="1020"/>
        <v>0</v>
      </c>
      <c r="AE3537" s="15">
        <f t="shared" si="1021"/>
        <v>0</v>
      </c>
      <c r="AF3537" s="15">
        <f t="shared" si="1022"/>
        <v>0</v>
      </c>
      <c r="AG3537" s="15">
        <f t="shared" si="1023"/>
        <v>0</v>
      </c>
      <c r="AH3537" s="15">
        <f t="shared" si="1024"/>
        <v>0.802005012531328</v>
      </c>
      <c r="AI3537" s="15">
        <f t="shared" si="1025"/>
        <v>0</v>
      </c>
      <c r="AJ3537" s="15">
        <f t="shared" si="1026"/>
        <v>0</v>
      </c>
      <c r="AK3537" s="15">
        <f t="shared" si="1027"/>
        <v>0</v>
      </c>
      <c r="AL3537" s="15">
        <f t="shared" si="1028"/>
        <v>1296000</v>
      </c>
      <c r="AM3537" s="15">
        <f t="shared" si="1029"/>
        <v>12992.4812030075</v>
      </c>
    </row>
    <row r="3538" s="15" customFormat="1" spans="2:39">
      <c r="B3538" s="16"/>
      <c r="D3538" s="16" t="s">
        <v>462</v>
      </c>
      <c r="G3538" s="6">
        <v>20</v>
      </c>
      <c r="Q3538" s="15">
        <f>G3538</f>
        <v>20</v>
      </c>
      <c r="R3538" s="16" t="str">
        <f t="shared" si="1015"/>
        <v>purple</v>
      </c>
      <c r="S3538" s="109">
        <f t="shared" si="1016"/>
        <v>1.11111111111111</v>
      </c>
      <c r="T3538" s="6">
        <v>-0.1</v>
      </c>
      <c r="U3538" s="16" t="s">
        <v>1767</v>
      </c>
      <c r="V3538" s="30" t="b">
        <v>1</v>
      </c>
      <c r="W3538" s="15">
        <f t="shared" si="1031"/>
        <v>1200000</v>
      </c>
      <c r="X3538" s="15">
        <f t="shared" si="1032"/>
        <v>1200000</v>
      </c>
      <c r="Y3538" s="16">
        <f>_xlfn.FLOOR.MATH(X3538*(1+T3538),1000)</f>
        <v>1080000</v>
      </c>
      <c r="Z3538" s="6">
        <v>0</v>
      </c>
      <c r="AA3538" s="15">
        <f t="shared" si="1017"/>
        <v>0</v>
      </c>
      <c r="AB3538" s="15">
        <f t="shared" si="1018"/>
        <v>0</v>
      </c>
      <c r="AC3538" s="15">
        <f t="shared" si="1019"/>
        <v>0</v>
      </c>
      <c r="AD3538" s="15">
        <f t="shared" si="1020"/>
        <v>0</v>
      </c>
      <c r="AE3538" s="15">
        <f t="shared" si="1021"/>
        <v>0</v>
      </c>
      <c r="AF3538" s="15">
        <f t="shared" si="1022"/>
        <v>0</v>
      </c>
      <c r="AG3538" s="15">
        <f t="shared" si="1023"/>
        <v>0</v>
      </c>
      <c r="AH3538" s="15">
        <f t="shared" si="1024"/>
        <v>0</v>
      </c>
      <c r="AI3538" s="15">
        <f t="shared" si="1025"/>
        <v>0</v>
      </c>
      <c r="AJ3538" s="15">
        <f t="shared" si="1026"/>
        <v>0</v>
      </c>
      <c r="AK3538" s="15">
        <f t="shared" si="1027"/>
        <v>0</v>
      </c>
      <c r="AL3538" s="15">
        <f t="shared" si="1028"/>
        <v>1080000</v>
      </c>
      <c r="AM3538" s="15">
        <f t="shared" si="1029"/>
        <v>0</v>
      </c>
    </row>
    <row r="3539" s="15" customFormat="1" spans="2:39">
      <c r="B3539" s="16"/>
      <c r="D3539" s="16" t="s">
        <v>462</v>
      </c>
      <c r="G3539" s="6">
        <v>30</v>
      </c>
      <c r="Q3539" s="15">
        <f t="shared" ref="Q3539:Q3540" si="1034">G3539</f>
        <v>30</v>
      </c>
      <c r="R3539" s="16" t="str">
        <f t="shared" si="1015"/>
        <v>purple</v>
      </c>
      <c r="S3539" s="109">
        <f t="shared" si="1016"/>
        <v>1.11111111111111</v>
      </c>
      <c r="T3539" s="6">
        <v>-0.1</v>
      </c>
      <c r="U3539" s="16" t="s">
        <v>1753</v>
      </c>
      <c r="V3539" s="30" t="b">
        <v>1</v>
      </c>
      <c r="W3539" s="15">
        <f t="shared" si="1031"/>
        <v>1800000</v>
      </c>
      <c r="X3539" s="15">
        <f t="shared" si="1032"/>
        <v>1800000</v>
      </c>
      <c r="Y3539" s="16">
        <f>_xlfn.FLOOR.MATH(X3539*(1+T3539),1000)</f>
        <v>1620000</v>
      </c>
      <c r="Z3539" s="6">
        <v>0</v>
      </c>
      <c r="AA3539" s="15">
        <f t="shared" si="1017"/>
        <v>0</v>
      </c>
      <c r="AB3539" s="15">
        <f t="shared" si="1018"/>
        <v>0</v>
      </c>
      <c r="AC3539" s="15">
        <f t="shared" si="1019"/>
        <v>0</v>
      </c>
      <c r="AD3539" s="15">
        <f t="shared" si="1020"/>
        <v>0</v>
      </c>
      <c r="AE3539" s="15">
        <f t="shared" si="1021"/>
        <v>0</v>
      </c>
      <c r="AF3539" s="15">
        <f t="shared" si="1022"/>
        <v>0</v>
      </c>
      <c r="AG3539" s="15">
        <f t="shared" si="1023"/>
        <v>0</v>
      </c>
      <c r="AH3539" s="15">
        <f t="shared" si="1024"/>
        <v>0</v>
      </c>
      <c r="AI3539" s="15">
        <f t="shared" si="1025"/>
        <v>0</v>
      </c>
      <c r="AJ3539" s="15">
        <f t="shared" si="1026"/>
        <v>0</v>
      </c>
      <c r="AK3539" s="15">
        <f t="shared" si="1027"/>
        <v>0</v>
      </c>
      <c r="AL3539" s="15">
        <f t="shared" si="1028"/>
        <v>1620000</v>
      </c>
      <c r="AM3539" s="15">
        <f t="shared" si="1029"/>
        <v>0</v>
      </c>
    </row>
    <row r="3540" s="15" customFormat="1" spans="2:39">
      <c r="B3540" s="16"/>
      <c r="D3540" s="16" t="s">
        <v>462</v>
      </c>
      <c r="G3540" s="6">
        <v>40</v>
      </c>
      <c r="Q3540" s="15">
        <f t="shared" si="1034"/>
        <v>40</v>
      </c>
      <c r="R3540" s="16" t="str">
        <f t="shared" si="1015"/>
        <v>purple</v>
      </c>
      <c r="S3540" s="109">
        <f t="shared" si="1016"/>
        <v>1.11111111111111</v>
      </c>
      <c r="T3540" s="6">
        <v>-0.1</v>
      </c>
      <c r="U3540" s="16" t="s">
        <v>1760</v>
      </c>
      <c r="V3540" s="30" t="b">
        <v>1</v>
      </c>
      <c r="W3540" s="15">
        <f t="shared" si="1031"/>
        <v>2400000</v>
      </c>
      <c r="X3540" s="15">
        <f t="shared" si="1032"/>
        <v>2400000</v>
      </c>
      <c r="Y3540" s="16">
        <f>_xlfn.FLOOR.MATH(X3540*(1+T3540),1000)</f>
        <v>2160000</v>
      </c>
      <c r="Z3540" s="6">
        <v>0</v>
      </c>
      <c r="AA3540" s="15">
        <f t="shared" si="1017"/>
        <v>0</v>
      </c>
      <c r="AB3540" s="15">
        <f t="shared" si="1018"/>
        <v>0</v>
      </c>
      <c r="AC3540" s="15">
        <f t="shared" si="1019"/>
        <v>0</v>
      </c>
      <c r="AD3540" s="15">
        <f t="shared" si="1020"/>
        <v>0</v>
      </c>
      <c r="AE3540" s="15">
        <f t="shared" si="1021"/>
        <v>0</v>
      </c>
      <c r="AF3540" s="15">
        <f t="shared" si="1022"/>
        <v>0</v>
      </c>
      <c r="AG3540" s="15">
        <f t="shared" si="1023"/>
        <v>0</v>
      </c>
      <c r="AH3540" s="15">
        <f t="shared" si="1024"/>
        <v>0</v>
      </c>
      <c r="AI3540" s="15">
        <f t="shared" si="1025"/>
        <v>0</v>
      </c>
      <c r="AJ3540" s="15">
        <f t="shared" si="1026"/>
        <v>0</v>
      </c>
      <c r="AK3540" s="15">
        <f t="shared" si="1027"/>
        <v>0</v>
      </c>
      <c r="AL3540" s="15">
        <f t="shared" si="1028"/>
        <v>2160000</v>
      </c>
      <c r="AM3540" s="15">
        <f t="shared" si="1029"/>
        <v>0</v>
      </c>
    </row>
    <row r="3541" spans="2:39">
      <c r="B3541" s="4"/>
      <c r="D3541" s="4" t="s">
        <v>481</v>
      </c>
      <c r="G3541" s="6">
        <v>40000</v>
      </c>
      <c r="O3541" s="1">
        <f t="shared" ref="O3541:O3543" si="1035">G3541</f>
        <v>40000</v>
      </c>
      <c r="R3541" s="4" t="str">
        <f t="shared" si="1015"/>
        <v>purple</v>
      </c>
      <c r="S3541" s="50">
        <f t="shared" si="1016"/>
        <v>1.25</v>
      </c>
      <c r="T3541" s="6">
        <v>-0.2</v>
      </c>
      <c r="U3541" s="4" t="s">
        <v>1767</v>
      </c>
      <c r="V3541" s="30" t="b">
        <v>1</v>
      </c>
      <c r="W3541" s="1">
        <f>IF(U3541="l_coin",SUMPRODUCT(H3541:N3541,$H$3457:$Q$3457),SUMPRODUCT(H3541:Q3541,$H$3456:$Q$3456))</f>
        <v>480000</v>
      </c>
      <c r="X3541" s="1">
        <f t="shared" si="1032"/>
        <v>480000</v>
      </c>
      <c r="Y3541" s="4">
        <f>_xlfn.FLOOR.MATH(X3541*(1+T3541),1000)</f>
        <v>384000</v>
      </c>
      <c r="Z3541" s="6">
        <v>20</v>
      </c>
      <c r="AA3541" s="1">
        <f t="shared" si="1017"/>
        <v>0</v>
      </c>
      <c r="AB3541" s="1">
        <f t="shared" si="1018"/>
        <v>0</v>
      </c>
      <c r="AC3541" s="1">
        <f t="shared" si="1019"/>
        <v>0</v>
      </c>
      <c r="AD3541" s="1">
        <f t="shared" si="1020"/>
        <v>0</v>
      </c>
      <c r="AE3541" s="1">
        <f t="shared" si="1021"/>
        <v>0</v>
      </c>
      <c r="AF3541" s="1">
        <f t="shared" si="1022"/>
        <v>0</v>
      </c>
      <c r="AG3541" s="15">
        <f t="shared" si="1023"/>
        <v>200.501253132832</v>
      </c>
      <c r="AH3541" s="15">
        <f t="shared" si="1024"/>
        <v>0</v>
      </c>
      <c r="AI3541" s="15">
        <f t="shared" si="1025"/>
        <v>0</v>
      </c>
      <c r="AJ3541" s="1">
        <f t="shared" si="1026"/>
        <v>0</v>
      </c>
      <c r="AK3541" s="1">
        <f t="shared" si="1027"/>
        <v>0</v>
      </c>
      <c r="AL3541" s="1">
        <f t="shared" si="1028"/>
        <v>384000</v>
      </c>
      <c r="AM3541" s="1">
        <f t="shared" si="1029"/>
        <v>1924.81203007519</v>
      </c>
    </row>
    <row r="3542" spans="2:39">
      <c r="B3542" s="4"/>
      <c r="D3542" s="4" t="s">
        <v>481</v>
      </c>
      <c r="G3542" s="6">
        <v>80000</v>
      </c>
      <c r="O3542" s="1">
        <f t="shared" si="1035"/>
        <v>80000</v>
      </c>
      <c r="R3542" s="4" t="str">
        <f t="shared" si="1015"/>
        <v>purple</v>
      </c>
      <c r="S3542" s="50">
        <f t="shared" si="1016"/>
        <v>1.25</v>
      </c>
      <c r="T3542" s="6">
        <v>-0.2</v>
      </c>
      <c r="U3542" s="4" t="s">
        <v>1753</v>
      </c>
      <c r="V3542" s="30" t="b">
        <v>1</v>
      </c>
      <c r="W3542" s="1">
        <f t="shared" ref="W3542:W3549" si="1036">IF(U3542="l_coin",SUMPRODUCT(H3542:N3542,$H$3457:$Q$3457),SUMPRODUCT(H3542:Q3542,$H$3456:$Q$3456))</f>
        <v>960000</v>
      </c>
      <c r="X3542" s="1">
        <f t="shared" ref="X3542:X3549" si="1037">IF(U3542="l_coin",SUMPRODUCT(H3542:N3542,$H$3459:$Q$3459),SUMPRODUCT(H3542:Q3542,$H$3458:$Q$3458))</f>
        <v>960000</v>
      </c>
      <c r="Y3542" s="4">
        <f>_xlfn.FLOOR.MATH(X3542*(1+T3542),1000)</f>
        <v>768000</v>
      </c>
      <c r="Z3542" s="6">
        <v>20</v>
      </c>
      <c r="AA3542" s="1">
        <f t="shared" si="1017"/>
        <v>0</v>
      </c>
      <c r="AB3542" s="1">
        <f t="shared" si="1018"/>
        <v>0</v>
      </c>
      <c r="AC3542" s="1">
        <f t="shared" si="1019"/>
        <v>0</v>
      </c>
      <c r="AD3542" s="1">
        <f t="shared" si="1020"/>
        <v>0</v>
      </c>
      <c r="AE3542" s="1">
        <f t="shared" si="1021"/>
        <v>0</v>
      </c>
      <c r="AF3542" s="1">
        <f t="shared" si="1022"/>
        <v>0</v>
      </c>
      <c r="AG3542" s="15">
        <f t="shared" si="1023"/>
        <v>401.002506265664</v>
      </c>
      <c r="AH3542" s="15">
        <f t="shared" si="1024"/>
        <v>0</v>
      </c>
      <c r="AI3542" s="15">
        <f t="shared" si="1025"/>
        <v>0</v>
      </c>
      <c r="AJ3542" s="1">
        <f t="shared" si="1026"/>
        <v>0</v>
      </c>
      <c r="AK3542" s="1">
        <f t="shared" si="1027"/>
        <v>0</v>
      </c>
      <c r="AL3542" s="1">
        <f t="shared" si="1028"/>
        <v>768000</v>
      </c>
      <c r="AM3542" s="1">
        <f t="shared" si="1029"/>
        <v>3849.62406015038</v>
      </c>
    </row>
    <row r="3543" spans="2:39">
      <c r="B3543" s="4"/>
      <c r="D3543" s="4" t="s">
        <v>481</v>
      </c>
      <c r="G3543" s="6">
        <v>150000</v>
      </c>
      <c r="O3543" s="1">
        <f t="shared" si="1035"/>
        <v>150000</v>
      </c>
      <c r="R3543" s="4" t="str">
        <f t="shared" si="1015"/>
        <v>purple</v>
      </c>
      <c r="S3543" s="50">
        <f t="shared" si="1016"/>
        <v>1.25</v>
      </c>
      <c r="T3543" s="6">
        <v>-0.2</v>
      </c>
      <c r="U3543" s="4" t="s">
        <v>1760</v>
      </c>
      <c r="V3543" s="30" t="b">
        <v>1</v>
      </c>
      <c r="W3543" s="1">
        <f t="shared" si="1036"/>
        <v>1800000</v>
      </c>
      <c r="X3543" s="1">
        <f t="shared" si="1037"/>
        <v>1800000</v>
      </c>
      <c r="Y3543" s="4">
        <f>_xlfn.FLOOR.MATH(X3543*(1+T3543),1000)</f>
        <v>1440000</v>
      </c>
      <c r="Z3543" s="6">
        <v>20</v>
      </c>
      <c r="AA3543" s="1">
        <f t="shared" si="1017"/>
        <v>0</v>
      </c>
      <c r="AB3543" s="1">
        <f t="shared" si="1018"/>
        <v>0</v>
      </c>
      <c r="AC3543" s="1">
        <f t="shared" si="1019"/>
        <v>0</v>
      </c>
      <c r="AD3543" s="1">
        <f t="shared" si="1020"/>
        <v>0</v>
      </c>
      <c r="AE3543" s="1">
        <f t="shared" si="1021"/>
        <v>0</v>
      </c>
      <c r="AF3543" s="1">
        <f t="shared" si="1022"/>
        <v>0</v>
      </c>
      <c r="AG3543" s="15">
        <f t="shared" si="1023"/>
        <v>751.87969924812</v>
      </c>
      <c r="AH3543" s="15">
        <f t="shared" si="1024"/>
        <v>0</v>
      </c>
      <c r="AI3543" s="15">
        <f t="shared" si="1025"/>
        <v>0</v>
      </c>
      <c r="AJ3543" s="1">
        <f t="shared" si="1026"/>
        <v>0</v>
      </c>
      <c r="AK3543" s="1">
        <f t="shared" si="1027"/>
        <v>0</v>
      </c>
      <c r="AL3543" s="1">
        <f t="shared" si="1028"/>
        <v>1440000</v>
      </c>
      <c r="AM3543" s="1">
        <f t="shared" si="1029"/>
        <v>7218.04511278196</v>
      </c>
    </row>
    <row r="3544" spans="2:39">
      <c r="B3544" s="4"/>
      <c r="D3544" s="4" t="s">
        <v>482</v>
      </c>
      <c r="G3544" s="6">
        <v>40</v>
      </c>
      <c r="P3544" s="1">
        <f t="shared" ref="P3544:P3546" si="1038">G3544</f>
        <v>40</v>
      </c>
      <c r="R3544" s="4" t="str">
        <f t="shared" si="1015"/>
        <v>purple</v>
      </c>
      <c r="S3544" s="50">
        <f t="shared" si="1016"/>
        <v>1.25</v>
      </c>
      <c r="T3544" s="6">
        <v>-0.2</v>
      </c>
      <c r="U3544" s="4" t="s">
        <v>1760</v>
      </c>
      <c r="V3544" s="30" t="b">
        <v>1</v>
      </c>
      <c r="W3544" s="1">
        <f t="shared" si="1036"/>
        <v>720000</v>
      </c>
      <c r="X3544" s="1">
        <f t="shared" si="1037"/>
        <v>720000</v>
      </c>
      <c r="Y3544" s="4">
        <f>_xlfn.FLOOR.MATH(X3544*(1+T3544),1000)</f>
        <v>576000</v>
      </c>
      <c r="Z3544" s="6">
        <v>20</v>
      </c>
      <c r="AA3544" s="1">
        <f t="shared" si="1017"/>
        <v>0</v>
      </c>
      <c r="AB3544" s="1">
        <f t="shared" si="1018"/>
        <v>0</v>
      </c>
      <c r="AC3544" s="1">
        <f t="shared" si="1019"/>
        <v>0</v>
      </c>
      <c r="AD3544" s="1">
        <f t="shared" si="1020"/>
        <v>0</v>
      </c>
      <c r="AE3544" s="1">
        <f t="shared" si="1021"/>
        <v>0</v>
      </c>
      <c r="AF3544" s="1">
        <f t="shared" si="1022"/>
        <v>0</v>
      </c>
      <c r="AG3544" s="15">
        <f t="shared" si="1023"/>
        <v>0</v>
      </c>
      <c r="AH3544" s="15">
        <f t="shared" si="1024"/>
        <v>0.200501253132832</v>
      </c>
      <c r="AI3544" s="15">
        <f t="shared" si="1025"/>
        <v>0</v>
      </c>
      <c r="AJ3544" s="1">
        <f t="shared" si="1026"/>
        <v>0</v>
      </c>
      <c r="AK3544" s="1">
        <f t="shared" si="1027"/>
        <v>0</v>
      </c>
      <c r="AL3544" s="1">
        <f t="shared" si="1028"/>
        <v>576000</v>
      </c>
      <c r="AM3544" s="1">
        <f t="shared" si="1029"/>
        <v>2887.21804511278</v>
      </c>
    </row>
    <row r="3545" spans="2:39">
      <c r="B3545" s="4"/>
      <c r="D3545" s="4" t="s">
        <v>482</v>
      </c>
      <c r="G3545" s="6">
        <v>60</v>
      </c>
      <c r="P3545" s="1">
        <f t="shared" si="1038"/>
        <v>60</v>
      </c>
      <c r="R3545" s="4" t="str">
        <f t="shared" si="1015"/>
        <v>purple</v>
      </c>
      <c r="S3545" s="50">
        <f t="shared" si="1016"/>
        <v>1.25</v>
      </c>
      <c r="T3545" s="6">
        <v>-0.2</v>
      </c>
      <c r="U3545" s="4" t="s">
        <v>1753</v>
      </c>
      <c r="V3545" s="30" t="b">
        <v>1</v>
      </c>
      <c r="W3545" s="1">
        <f t="shared" si="1036"/>
        <v>1080000</v>
      </c>
      <c r="X3545" s="1">
        <f t="shared" si="1037"/>
        <v>1080000</v>
      </c>
      <c r="Y3545" s="4">
        <f>_xlfn.FLOOR.MATH(X3545*(1+T3545),1000)</f>
        <v>864000</v>
      </c>
      <c r="Z3545" s="6">
        <v>20</v>
      </c>
      <c r="AA3545" s="1">
        <f t="shared" si="1017"/>
        <v>0</v>
      </c>
      <c r="AB3545" s="1">
        <f t="shared" si="1018"/>
        <v>0</v>
      </c>
      <c r="AC3545" s="1">
        <f t="shared" si="1019"/>
        <v>0</v>
      </c>
      <c r="AD3545" s="1">
        <f t="shared" si="1020"/>
        <v>0</v>
      </c>
      <c r="AE3545" s="1">
        <f t="shared" si="1021"/>
        <v>0</v>
      </c>
      <c r="AF3545" s="1">
        <f t="shared" si="1022"/>
        <v>0</v>
      </c>
      <c r="AG3545" s="15">
        <f t="shared" si="1023"/>
        <v>0</v>
      </c>
      <c r="AH3545" s="15">
        <f t="shared" si="1024"/>
        <v>0.300751879699248</v>
      </c>
      <c r="AI3545" s="15">
        <f t="shared" si="1025"/>
        <v>0</v>
      </c>
      <c r="AJ3545" s="1">
        <f t="shared" si="1026"/>
        <v>0</v>
      </c>
      <c r="AK3545" s="1">
        <f t="shared" si="1027"/>
        <v>0</v>
      </c>
      <c r="AL3545" s="1">
        <f t="shared" si="1028"/>
        <v>864000</v>
      </c>
      <c r="AM3545" s="1">
        <f t="shared" si="1029"/>
        <v>4330.82706766917</v>
      </c>
    </row>
    <row r="3546" spans="2:39">
      <c r="B3546" s="4"/>
      <c r="D3546" s="4" t="s">
        <v>482</v>
      </c>
      <c r="G3546" s="6">
        <v>80</v>
      </c>
      <c r="P3546" s="1">
        <f t="shared" si="1038"/>
        <v>80</v>
      </c>
      <c r="R3546" s="4" t="str">
        <f t="shared" si="1015"/>
        <v>purple</v>
      </c>
      <c r="S3546" s="50">
        <f t="shared" si="1016"/>
        <v>1.25</v>
      </c>
      <c r="T3546" s="6">
        <v>-0.2</v>
      </c>
      <c r="U3546" s="4" t="s">
        <v>1767</v>
      </c>
      <c r="V3546" s="30" t="b">
        <v>1</v>
      </c>
      <c r="W3546" s="1">
        <f t="shared" si="1036"/>
        <v>1440000</v>
      </c>
      <c r="X3546" s="1">
        <f t="shared" si="1037"/>
        <v>1440000</v>
      </c>
      <c r="Y3546" s="4">
        <f>_xlfn.FLOOR.MATH(X3546*(1+T3546),1000)</f>
        <v>1152000</v>
      </c>
      <c r="Z3546" s="6">
        <v>20</v>
      </c>
      <c r="AA3546" s="1">
        <f t="shared" si="1017"/>
        <v>0</v>
      </c>
      <c r="AB3546" s="1">
        <f t="shared" si="1018"/>
        <v>0</v>
      </c>
      <c r="AC3546" s="1">
        <f t="shared" si="1019"/>
        <v>0</v>
      </c>
      <c r="AD3546" s="1">
        <f t="shared" si="1020"/>
        <v>0</v>
      </c>
      <c r="AE3546" s="1">
        <f t="shared" si="1021"/>
        <v>0</v>
      </c>
      <c r="AF3546" s="1">
        <f t="shared" si="1022"/>
        <v>0</v>
      </c>
      <c r="AG3546" s="15">
        <f t="shared" si="1023"/>
        <v>0</v>
      </c>
      <c r="AH3546" s="15">
        <f t="shared" si="1024"/>
        <v>0.401002506265664</v>
      </c>
      <c r="AI3546" s="15">
        <f t="shared" si="1025"/>
        <v>0</v>
      </c>
      <c r="AJ3546" s="1">
        <f t="shared" si="1026"/>
        <v>0</v>
      </c>
      <c r="AK3546" s="1">
        <f t="shared" si="1027"/>
        <v>0</v>
      </c>
      <c r="AL3546" s="1">
        <f t="shared" si="1028"/>
        <v>1152000</v>
      </c>
      <c r="AM3546" s="1">
        <f t="shared" si="1029"/>
        <v>5774.43609022556</v>
      </c>
    </row>
    <row r="3547" spans="2:39">
      <c r="B3547" s="4"/>
      <c r="D3547" s="4" t="s">
        <v>462</v>
      </c>
      <c r="G3547" s="6">
        <v>20</v>
      </c>
      <c r="Q3547" s="1">
        <f t="shared" ref="Q3547:Q3549" si="1039">G3547</f>
        <v>20</v>
      </c>
      <c r="R3547" s="4" t="str">
        <f t="shared" si="1015"/>
        <v>purple</v>
      </c>
      <c r="S3547" s="50">
        <f t="shared" si="1016"/>
        <v>1.25</v>
      </c>
      <c r="T3547" s="6">
        <v>-0.2</v>
      </c>
      <c r="U3547" s="4" t="s">
        <v>1767</v>
      </c>
      <c r="V3547" s="30" t="b">
        <v>1</v>
      </c>
      <c r="W3547" s="1">
        <f t="shared" si="1036"/>
        <v>1200000</v>
      </c>
      <c r="X3547" s="1">
        <f t="shared" si="1037"/>
        <v>1200000</v>
      </c>
      <c r="Y3547" s="4">
        <f>_xlfn.FLOOR.MATH(X3547*(1+T3547),1000)</f>
        <v>960000</v>
      </c>
      <c r="Z3547" s="6">
        <v>0</v>
      </c>
      <c r="AA3547" s="1">
        <f t="shared" si="1017"/>
        <v>0</v>
      </c>
      <c r="AB3547" s="1">
        <f t="shared" si="1018"/>
        <v>0</v>
      </c>
      <c r="AC3547" s="1">
        <f t="shared" si="1019"/>
        <v>0</v>
      </c>
      <c r="AD3547" s="1">
        <f t="shared" si="1020"/>
        <v>0</v>
      </c>
      <c r="AE3547" s="1">
        <f t="shared" si="1021"/>
        <v>0</v>
      </c>
      <c r="AF3547" s="1">
        <f t="shared" si="1022"/>
        <v>0</v>
      </c>
      <c r="AG3547" s="15">
        <f t="shared" si="1023"/>
        <v>0</v>
      </c>
      <c r="AH3547" s="15">
        <f t="shared" si="1024"/>
        <v>0</v>
      </c>
      <c r="AI3547" s="15">
        <f t="shared" si="1025"/>
        <v>0</v>
      </c>
      <c r="AJ3547" s="1">
        <f t="shared" si="1026"/>
        <v>0</v>
      </c>
      <c r="AK3547" s="1">
        <f t="shared" si="1027"/>
        <v>0</v>
      </c>
      <c r="AL3547" s="1">
        <f t="shared" si="1028"/>
        <v>960000</v>
      </c>
      <c r="AM3547" s="1">
        <f t="shared" si="1029"/>
        <v>0</v>
      </c>
    </row>
    <row r="3548" spans="2:39">
      <c r="B3548" s="4"/>
      <c r="D3548" s="4" t="s">
        <v>462</v>
      </c>
      <c r="G3548" s="6">
        <v>30</v>
      </c>
      <c r="Q3548" s="1">
        <f t="shared" si="1039"/>
        <v>30</v>
      </c>
      <c r="R3548" s="4" t="str">
        <f t="shared" si="1015"/>
        <v>purple</v>
      </c>
      <c r="S3548" s="50">
        <f t="shared" si="1016"/>
        <v>1.25</v>
      </c>
      <c r="T3548" s="6">
        <v>-0.2</v>
      </c>
      <c r="U3548" s="4" t="s">
        <v>1753</v>
      </c>
      <c r="V3548" s="30" t="b">
        <v>1</v>
      </c>
      <c r="W3548" s="1">
        <f t="shared" si="1036"/>
        <v>1800000</v>
      </c>
      <c r="X3548" s="1">
        <f t="shared" si="1037"/>
        <v>1800000</v>
      </c>
      <c r="Y3548" s="4">
        <f>_xlfn.FLOOR.MATH(X3548*(1+T3548),1000)</f>
        <v>1440000</v>
      </c>
      <c r="Z3548" s="6">
        <v>0</v>
      </c>
      <c r="AA3548" s="1">
        <f t="shared" si="1017"/>
        <v>0</v>
      </c>
      <c r="AB3548" s="1">
        <f t="shared" si="1018"/>
        <v>0</v>
      </c>
      <c r="AC3548" s="1">
        <f t="shared" si="1019"/>
        <v>0</v>
      </c>
      <c r="AD3548" s="1">
        <f t="shared" si="1020"/>
        <v>0</v>
      </c>
      <c r="AE3548" s="1">
        <f t="shared" si="1021"/>
        <v>0</v>
      </c>
      <c r="AF3548" s="1">
        <f t="shared" si="1022"/>
        <v>0</v>
      </c>
      <c r="AG3548" s="15">
        <f t="shared" si="1023"/>
        <v>0</v>
      </c>
      <c r="AH3548" s="15">
        <f t="shared" si="1024"/>
        <v>0</v>
      </c>
      <c r="AI3548" s="15">
        <f t="shared" si="1025"/>
        <v>0</v>
      </c>
      <c r="AJ3548" s="1">
        <f t="shared" si="1026"/>
        <v>0</v>
      </c>
      <c r="AK3548" s="1">
        <f t="shared" si="1027"/>
        <v>0</v>
      </c>
      <c r="AL3548" s="1">
        <f t="shared" si="1028"/>
        <v>1440000</v>
      </c>
      <c r="AM3548" s="1">
        <f t="shared" si="1029"/>
        <v>0</v>
      </c>
    </row>
    <row r="3549" spans="2:39">
      <c r="B3549" s="4"/>
      <c r="D3549" s="4" t="s">
        <v>462</v>
      </c>
      <c r="G3549" s="6">
        <v>40</v>
      </c>
      <c r="Q3549" s="1">
        <f t="shared" si="1039"/>
        <v>40</v>
      </c>
      <c r="R3549" s="4" t="str">
        <f t="shared" si="1015"/>
        <v>purple</v>
      </c>
      <c r="S3549" s="50">
        <f t="shared" si="1016"/>
        <v>1.25</v>
      </c>
      <c r="T3549" s="6">
        <v>-0.2</v>
      </c>
      <c r="U3549" s="4" t="s">
        <v>1760</v>
      </c>
      <c r="V3549" s="30" t="b">
        <v>1</v>
      </c>
      <c r="W3549" s="1">
        <f t="shared" si="1036"/>
        <v>2400000</v>
      </c>
      <c r="X3549" s="1">
        <f t="shared" si="1037"/>
        <v>2400000</v>
      </c>
      <c r="Y3549" s="4">
        <f>_xlfn.FLOOR.MATH(X3549*(1+T3549),1000)</f>
        <v>1920000</v>
      </c>
      <c r="Z3549" s="6">
        <v>0</v>
      </c>
      <c r="AA3549" s="1">
        <f t="shared" si="1017"/>
        <v>0</v>
      </c>
      <c r="AB3549" s="1">
        <f t="shared" si="1018"/>
        <v>0</v>
      </c>
      <c r="AC3549" s="1">
        <f t="shared" si="1019"/>
        <v>0</v>
      </c>
      <c r="AD3549" s="1">
        <f t="shared" si="1020"/>
        <v>0</v>
      </c>
      <c r="AE3549" s="1">
        <f t="shared" si="1021"/>
        <v>0</v>
      </c>
      <c r="AF3549" s="1">
        <f t="shared" si="1022"/>
        <v>0</v>
      </c>
      <c r="AG3549" s="15">
        <f t="shared" si="1023"/>
        <v>0</v>
      </c>
      <c r="AH3549" s="15">
        <f t="shared" si="1024"/>
        <v>0</v>
      </c>
      <c r="AI3549" s="15">
        <f t="shared" si="1025"/>
        <v>0</v>
      </c>
      <c r="AJ3549" s="1">
        <f t="shared" si="1026"/>
        <v>0</v>
      </c>
      <c r="AK3549" s="1">
        <f t="shared" si="1027"/>
        <v>0</v>
      </c>
      <c r="AL3549" s="1">
        <f t="shared" si="1028"/>
        <v>1920000</v>
      </c>
      <c r="AM3549" s="1">
        <f t="shared" si="1029"/>
        <v>0</v>
      </c>
    </row>
    <row r="3550" s="15" customFormat="1" spans="2:39">
      <c r="B3550" s="16"/>
      <c r="D3550" s="16" t="s">
        <v>481</v>
      </c>
      <c r="G3550" s="6">
        <v>40000</v>
      </c>
      <c r="O3550" s="15">
        <f t="shared" ref="O3550:O3552" si="1040">G3550</f>
        <v>40000</v>
      </c>
      <c r="R3550" s="16" t="str">
        <f t="shared" si="1015"/>
        <v>yellow</v>
      </c>
      <c r="S3550" s="109">
        <f t="shared" si="1016"/>
        <v>1</v>
      </c>
      <c r="T3550" s="6">
        <v>-0.5</v>
      </c>
      <c r="U3550" s="16" t="s">
        <v>1785</v>
      </c>
      <c r="V3550" s="30" t="b">
        <v>0</v>
      </c>
      <c r="W3550" s="15">
        <f>IF(U3550="l_coin",SUMPRODUCT(H3550:Q3550,$H$3457:$Q$3457),SUMPRODUCT(H3550:Q3550,$H$3456:$Q$3456))</f>
        <v>240</v>
      </c>
      <c r="X3550" s="15">
        <f>IF(U3550="l_coin",SUMPRODUCT(H3550:Q3550,$H$3459:$Q$3459),SUMPRODUCT(H3550:Q3550,$H$3458:$Q$3458))</f>
        <v>480</v>
      </c>
      <c r="Y3550" s="16">
        <f>_xlfn.FLOOR.MATH(X3550*(1+T3550),5)</f>
        <v>240</v>
      </c>
      <c r="Z3550" s="6">
        <v>60</v>
      </c>
      <c r="AA3550" s="15">
        <f t="shared" si="1017"/>
        <v>0</v>
      </c>
      <c r="AB3550" s="15">
        <f t="shared" si="1018"/>
        <v>0</v>
      </c>
      <c r="AC3550" s="15">
        <f t="shared" si="1019"/>
        <v>0</v>
      </c>
      <c r="AD3550" s="15">
        <f t="shared" si="1020"/>
        <v>0</v>
      </c>
      <c r="AE3550" s="15">
        <f t="shared" si="1021"/>
        <v>0</v>
      </c>
      <c r="AF3550" s="15">
        <f t="shared" si="1022"/>
        <v>0</v>
      </c>
      <c r="AG3550" s="15">
        <f t="shared" si="1023"/>
        <v>601.503759398496</v>
      </c>
      <c r="AH3550" s="15">
        <f t="shared" si="1024"/>
        <v>0</v>
      </c>
      <c r="AI3550" s="15">
        <f t="shared" si="1025"/>
        <v>0</v>
      </c>
      <c r="AJ3550" s="15">
        <f t="shared" si="1026"/>
        <v>240</v>
      </c>
      <c r="AK3550" s="15">
        <f t="shared" si="1027"/>
        <v>3.60902255639098</v>
      </c>
      <c r="AL3550" s="15">
        <f t="shared" si="1028"/>
        <v>0</v>
      </c>
      <c r="AM3550" s="15">
        <f t="shared" si="1029"/>
        <v>0</v>
      </c>
    </row>
    <row r="3551" s="15" customFormat="1" spans="2:39">
      <c r="B3551" s="16"/>
      <c r="D3551" s="16" t="s">
        <v>481</v>
      </c>
      <c r="G3551" s="6">
        <v>80000</v>
      </c>
      <c r="O3551" s="15">
        <f t="shared" si="1040"/>
        <v>80000</v>
      </c>
      <c r="R3551" s="16" t="str">
        <f t="shared" si="1015"/>
        <v>yellow</v>
      </c>
      <c r="S3551" s="109">
        <f t="shared" si="1016"/>
        <v>1</v>
      </c>
      <c r="T3551" s="6">
        <v>-0.5</v>
      </c>
      <c r="U3551" s="16" t="s">
        <v>1785</v>
      </c>
      <c r="V3551" s="30" t="b">
        <v>0</v>
      </c>
      <c r="W3551" s="15">
        <f t="shared" ref="W3551:W3559" si="1041">IF(U3551="l_coin",SUMPRODUCT(H3551:Q3551,$H$3457:$Q$3457),SUMPRODUCT(H3551:Q3551,$H$3456:$Q$3456))</f>
        <v>480</v>
      </c>
      <c r="X3551" s="15">
        <f t="shared" ref="X3551:X3559" si="1042">IF(U3551="l_coin",SUMPRODUCT(H3551:Q3551,$H$3459:$Q$3459),SUMPRODUCT(H3551:Q3551,$H$3458:$Q$3458))</f>
        <v>960</v>
      </c>
      <c r="Y3551" s="16">
        <f>_xlfn.FLOOR.MATH(X3551*(1+T3551),5)</f>
        <v>480</v>
      </c>
      <c r="Z3551" s="6">
        <v>60</v>
      </c>
      <c r="AA3551" s="15">
        <f t="shared" si="1017"/>
        <v>0</v>
      </c>
      <c r="AB3551" s="15">
        <f t="shared" si="1018"/>
        <v>0</v>
      </c>
      <c r="AC3551" s="15">
        <f t="shared" si="1019"/>
        <v>0</v>
      </c>
      <c r="AD3551" s="15">
        <f t="shared" si="1020"/>
        <v>0</v>
      </c>
      <c r="AE3551" s="15">
        <f t="shared" si="1021"/>
        <v>0</v>
      </c>
      <c r="AF3551" s="15">
        <f t="shared" si="1022"/>
        <v>0</v>
      </c>
      <c r="AG3551" s="15">
        <f t="shared" si="1023"/>
        <v>1203.00751879699</v>
      </c>
      <c r="AH3551" s="15">
        <f t="shared" si="1024"/>
        <v>0</v>
      </c>
      <c r="AI3551" s="15">
        <f t="shared" si="1025"/>
        <v>0</v>
      </c>
      <c r="AJ3551" s="15">
        <f t="shared" si="1026"/>
        <v>480</v>
      </c>
      <c r="AK3551" s="15">
        <f t="shared" si="1027"/>
        <v>7.21804511278195</v>
      </c>
      <c r="AL3551" s="15">
        <f t="shared" si="1028"/>
        <v>0</v>
      </c>
      <c r="AM3551" s="15">
        <f t="shared" si="1029"/>
        <v>0</v>
      </c>
    </row>
    <row r="3552" s="15" customFormat="1" spans="2:39">
      <c r="B3552" s="16"/>
      <c r="D3552" s="16" t="s">
        <v>481</v>
      </c>
      <c r="G3552" s="6">
        <v>150000</v>
      </c>
      <c r="O3552" s="15">
        <f t="shared" si="1040"/>
        <v>150000</v>
      </c>
      <c r="R3552" s="16" t="str">
        <f t="shared" si="1015"/>
        <v>purple</v>
      </c>
      <c r="S3552" s="109">
        <f t="shared" si="1016"/>
        <v>0.833333333333333</v>
      </c>
      <c r="T3552" s="6">
        <v>-0.4</v>
      </c>
      <c r="U3552" s="16" t="s">
        <v>1785</v>
      </c>
      <c r="V3552" s="30" t="b">
        <v>0</v>
      </c>
      <c r="W3552" s="15">
        <f t="shared" si="1041"/>
        <v>900</v>
      </c>
      <c r="X3552" s="15">
        <f t="shared" si="1042"/>
        <v>1800</v>
      </c>
      <c r="Y3552" s="16">
        <f>_xlfn.FLOOR.MATH(X3552*(1+T3552),5)</f>
        <v>1080</v>
      </c>
      <c r="Z3552" s="6">
        <v>60</v>
      </c>
      <c r="AA3552" s="15">
        <f t="shared" si="1017"/>
        <v>0</v>
      </c>
      <c r="AB3552" s="15">
        <f t="shared" si="1018"/>
        <v>0</v>
      </c>
      <c r="AC3552" s="15">
        <f t="shared" si="1019"/>
        <v>0</v>
      </c>
      <c r="AD3552" s="15">
        <f t="shared" si="1020"/>
        <v>0</v>
      </c>
      <c r="AE3552" s="15">
        <f t="shared" si="1021"/>
        <v>0</v>
      </c>
      <c r="AF3552" s="15">
        <f t="shared" si="1022"/>
        <v>0</v>
      </c>
      <c r="AG3552" s="15">
        <f t="shared" si="1023"/>
        <v>2255.63909774436</v>
      </c>
      <c r="AH3552" s="15">
        <f t="shared" si="1024"/>
        <v>0</v>
      </c>
      <c r="AI3552" s="15">
        <f t="shared" si="1025"/>
        <v>0</v>
      </c>
      <c r="AJ3552" s="15">
        <f t="shared" si="1026"/>
        <v>1080</v>
      </c>
      <c r="AK3552" s="15">
        <f t="shared" si="1027"/>
        <v>16.2406015037594</v>
      </c>
      <c r="AL3552" s="15">
        <f t="shared" si="1028"/>
        <v>0</v>
      </c>
      <c r="AM3552" s="15">
        <f t="shared" si="1029"/>
        <v>0</v>
      </c>
    </row>
    <row r="3553" s="15" customFormat="1" spans="2:39">
      <c r="B3553" s="16"/>
      <c r="D3553" s="16" t="s">
        <v>482</v>
      </c>
      <c r="G3553" s="6">
        <v>40</v>
      </c>
      <c r="P3553" s="15">
        <f t="shared" ref="P3553:P3555" si="1043">G3553</f>
        <v>40</v>
      </c>
      <c r="R3553" s="16" t="str">
        <f t="shared" si="1015"/>
        <v>yellow</v>
      </c>
      <c r="S3553" s="109">
        <f t="shared" si="1016"/>
        <v>1</v>
      </c>
      <c r="T3553" s="6">
        <v>-0.5</v>
      </c>
      <c r="U3553" s="16" t="s">
        <v>1785</v>
      </c>
      <c r="V3553" s="30" t="b">
        <v>0</v>
      </c>
      <c r="W3553" s="15">
        <f t="shared" si="1041"/>
        <v>360</v>
      </c>
      <c r="X3553" s="15">
        <f t="shared" si="1042"/>
        <v>720</v>
      </c>
      <c r="Y3553" s="16">
        <f>_xlfn.FLOOR.MATH(X3553*(1+T3553),5)</f>
        <v>360</v>
      </c>
      <c r="Z3553" s="6">
        <v>60</v>
      </c>
      <c r="AA3553" s="15">
        <f t="shared" si="1017"/>
        <v>0</v>
      </c>
      <c r="AB3553" s="15">
        <f t="shared" si="1018"/>
        <v>0</v>
      </c>
      <c r="AC3553" s="15">
        <f t="shared" si="1019"/>
        <v>0</v>
      </c>
      <c r="AD3553" s="15">
        <f t="shared" si="1020"/>
        <v>0</v>
      </c>
      <c r="AE3553" s="15">
        <f t="shared" si="1021"/>
        <v>0</v>
      </c>
      <c r="AF3553" s="15">
        <f t="shared" si="1022"/>
        <v>0</v>
      </c>
      <c r="AG3553" s="15">
        <f t="shared" si="1023"/>
        <v>0</v>
      </c>
      <c r="AH3553" s="15">
        <f t="shared" si="1024"/>
        <v>0.601503759398496</v>
      </c>
      <c r="AI3553" s="15">
        <f t="shared" si="1025"/>
        <v>0</v>
      </c>
      <c r="AJ3553" s="15">
        <f t="shared" si="1026"/>
        <v>360</v>
      </c>
      <c r="AK3553" s="15">
        <f t="shared" si="1027"/>
        <v>5.41353383458647</v>
      </c>
      <c r="AL3553" s="15">
        <f t="shared" si="1028"/>
        <v>0</v>
      </c>
      <c r="AM3553" s="15">
        <f t="shared" si="1029"/>
        <v>0</v>
      </c>
    </row>
    <row r="3554" s="15" customFormat="1" spans="2:39">
      <c r="B3554" s="16"/>
      <c r="D3554" s="16" t="s">
        <v>482</v>
      </c>
      <c r="G3554" s="6">
        <v>60</v>
      </c>
      <c r="P3554" s="15">
        <f t="shared" si="1043"/>
        <v>60</v>
      </c>
      <c r="R3554" s="16" t="str">
        <f t="shared" si="1015"/>
        <v>yellow</v>
      </c>
      <c r="S3554" s="109">
        <f t="shared" si="1016"/>
        <v>1</v>
      </c>
      <c r="T3554" s="6">
        <v>-0.5</v>
      </c>
      <c r="U3554" s="16" t="s">
        <v>1785</v>
      </c>
      <c r="V3554" s="30" t="b">
        <v>0</v>
      </c>
      <c r="W3554" s="15">
        <f t="shared" si="1041"/>
        <v>540</v>
      </c>
      <c r="X3554" s="15">
        <f t="shared" si="1042"/>
        <v>1080</v>
      </c>
      <c r="Y3554" s="16">
        <f>_xlfn.FLOOR.MATH(X3554*(1+T3554),5)</f>
        <v>540</v>
      </c>
      <c r="Z3554" s="6">
        <v>60</v>
      </c>
      <c r="AA3554" s="15">
        <f t="shared" si="1017"/>
        <v>0</v>
      </c>
      <c r="AB3554" s="15">
        <f t="shared" si="1018"/>
        <v>0</v>
      </c>
      <c r="AC3554" s="15">
        <f t="shared" si="1019"/>
        <v>0</v>
      </c>
      <c r="AD3554" s="15">
        <f t="shared" si="1020"/>
        <v>0</v>
      </c>
      <c r="AE3554" s="15">
        <f t="shared" si="1021"/>
        <v>0</v>
      </c>
      <c r="AF3554" s="15">
        <f t="shared" si="1022"/>
        <v>0</v>
      </c>
      <c r="AG3554" s="15">
        <f t="shared" si="1023"/>
        <v>0</v>
      </c>
      <c r="AH3554" s="15">
        <f t="shared" si="1024"/>
        <v>0.902255639097744</v>
      </c>
      <c r="AI3554" s="15">
        <f t="shared" si="1025"/>
        <v>0</v>
      </c>
      <c r="AJ3554" s="15">
        <f t="shared" si="1026"/>
        <v>540</v>
      </c>
      <c r="AK3554" s="15">
        <f t="shared" si="1027"/>
        <v>8.1203007518797</v>
      </c>
      <c r="AL3554" s="15">
        <f t="shared" si="1028"/>
        <v>0</v>
      </c>
      <c r="AM3554" s="15">
        <f t="shared" si="1029"/>
        <v>0</v>
      </c>
    </row>
    <row r="3555" s="15" customFormat="1" spans="2:39">
      <c r="B3555" s="16"/>
      <c r="D3555" s="16" t="s">
        <v>482</v>
      </c>
      <c r="G3555" s="6">
        <v>80</v>
      </c>
      <c r="P3555" s="15">
        <f t="shared" si="1043"/>
        <v>80</v>
      </c>
      <c r="R3555" s="16" t="str">
        <f t="shared" si="1015"/>
        <v>purple</v>
      </c>
      <c r="S3555" s="109">
        <f t="shared" si="1016"/>
        <v>0.837209302325581</v>
      </c>
      <c r="T3555" s="6">
        <v>-0.4</v>
      </c>
      <c r="U3555" s="16" t="s">
        <v>1785</v>
      </c>
      <c r="V3555" s="30" t="b">
        <v>0</v>
      </c>
      <c r="W3555" s="15">
        <f t="shared" si="1041"/>
        <v>720</v>
      </c>
      <c r="X3555" s="15">
        <f t="shared" si="1042"/>
        <v>1440</v>
      </c>
      <c r="Y3555" s="16">
        <f>_xlfn.FLOOR.MATH(X3555*(1+T3555),5)</f>
        <v>860</v>
      </c>
      <c r="Z3555" s="6">
        <v>60</v>
      </c>
      <c r="AA3555" s="15">
        <f t="shared" si="1017"/>
        <v>0</v>
      </c>
      <c r="AB3555" s="15">
        <f t="shared" si="1018"/>
        <v>0</v>
      </c>
      <c r="AC3555" s="15">
        <f t="shared" si="1019"/>
        <v>0</v>
      </c>
      <c r="AD3555" s="15">
        <f t="shared" si="1020"/>
        <v>0</v>
      </c>
      <c r="AE3555" s="15">
        <f t="shared" si="1021"/>
        <v>0</v>
      </c>
      <c r="AF3555" s="15">
        <f t="shared" si="1022"/>
        <v>0</v>
      </c>
      <c r="AG3555" s="15">
        <f t="shared" si="1023"/>
        <v>0</v>
      </c>
      <c r="AH3555" s="15">
        <f t="shared" si="1024"/>
        <v>1.20300751879699</v>
      </c>
      <c r="AI3555" s="15">
        <f t="shared" si="1025"/>
        <v>0</v>
      </c>
      <c r="AJ3555" s="15">
        <f t="shared" si="1026"/>
        <v>860</v>
      </c>
      <c r="AK3555" s="15">
        <f t="shared" si="1027"/>
        <v>12.9323308270677</v>
      </c>
      <c r="AL3555" s="15">
        <f t="shared" si="1028"/>
        <v>0</v>
      </c>
      <c r="AM3555" s="15">
        <f t="shared" si="1029"/>
        <v>0</v>
      </c>
    </row>
    <row r="3556" s="15" customFormat="1" spans="2:39">
      <c r="B3556" s="16"/>
      <c r="D3556" s="16" t="s">
        <v>462</v>
      </c>
      <c r="G3556" s="6">
        <v>20</v>
      </c>
      <c r="Q3556" s="15">
        <f t="shared" ref="Q3556:Q3558" si="1044">G3556</f>
        <v>20</v>
      </c>
      <c r="R3556" s="16" t="str">
        <f t="shared" si="1015"/>
        <v>yellow</v>
      </c>
      <c r="S3556" s="109">
        <f t="shared" si="1016"/>
        <v>1</v>
      </c>
      <c r="T3556" s="6">
        <v>-0.5</v>
      </c>
      <c r="U3556" s="16" t="s">
        <v>1785</v>
      </c>
      <c r="V3556" s="30" t="b">
        <v>0</v>
      </c>
      <c r="W3556" s="15">
        <f t="shared" si="1041"/>
        <v>600</v>
      </c>
      <c r="X3556" s="15">
        <f t="shared" si="1042"/>
        <v>1200</v>
      </c>
      <c r="Y3556" s="16">
        <f>_xlfn.FLOOR.MATH(X3556*(1+T3556),5)</f>
        <v>600</v>
      </c>
      <c r="Z3556" s="6">
        <v>50</v>
      </c>
      <c r="AA3556" s="15">
        <f t="shared" si="1017"/>
        <v>0</v>
      </c>
      <c r="AB3556" s="15">
        <f t="shared" si="1018"/>
        <v>0</v>
      </c>
      <c r="AC3556" s="15">
        <f t="shared" si="1019"/>
        <v>0</v>
      </c>
      <c r="AD3556" s="15">
        <f t="shared" si="1020"/>
        <v>0</v>
      </c>
      <c r="AE3556" s="15">
        <f t="shared" si="1021"/>
        <v>0</v>
      </c>
      <c r="AF3556" s="15">
        <f t="shared" si="1022"/>
        <v>0</v>
      </c>
      <c r="AG3556" s="15">
        <f t="shared" si="1023"/>
        <v>0</v>
      </c>
      <c r="AH3556" s="15">
        <f t="shared" si="1024"/>
        <v>0</v>
      </c>
      <c r="AI3556" s="15">
        <f t="shared" si="1025"/>
        <v>0.25062656641604</v>
      </c>
      <c r="AJ3556" s="15">
        <f t="shared" si="1026"/>
        <v>600</v>
      </c>
      <c r="AK3556" s="15">
        <f t="shared" si="1027"/>
        <v>7.5187969924812</v>
      </c>
      <c r="AL3556" s="15">
        <f t="shared" si="1028"/>
        <v>0</v>
      </c>
      <c r="AM3556" s="15">
        <f t="shared" si="1029"/>
        <v>0</v>
      </c>
    </row>
    <row r="3557" s="15" customFormat="1" spans="2:39">
      <c r="B3557" s="16"/>
      <c r="D3557" s="16" t="s">
        <v>462</v>
      </c>
      <c r="G3557" s="6">
        <v>30</v>
      </c>
      <c r="Q3557" s="15">
        <f t="shared" si="1044"/>
        <v>30</v>
      </c>
      <c r="R3557" s="16" t="str">
        <f t="shared" si="1015"/>
        <v>yellow</v>
      </c>
      <c r="S3557" s="109">
        <f t="shared" si="1016"/>
        <v>1</v>
      </c>
      <c r="T3557" s="6">
        <v>-0.5</v>
      </c>
      <c r="U3557" s="16" t="s">
        <v>1785</v>
      </c>
      <c r="V3557" s="30" t="b">
        <v>0</v>
      </c>
      <c r="W3557" s="15">
        <f t="shared" si="1041"/>
        <v>900</v>
      </c>
      <c r="X3557" s="15">
        <f t="shared" si="1042"/>
        <v>1800</v>
      </c>
      <c r="Y3557" s="16">
        <f>_xlfn.FLOOR.MATH(X3557*(1+T3557),5)</f>
        <v>900</v>
      </c>
      <c r="Z3557" s="6">
        <v>50</v>
      </c>
      <c r="AA3557" s="15">
        <f t="shared" si="1017"/>
        <v>0</v>
      </c>
      <c r="AB3557" s="15">
        <f t="shared" si="1018"/>
        <v>0</v>
      </c>
      <c r="AC3557" s="15">
        <f t="shared" si="1019"/>
        <v>0</v>
      </c>
      <c r="AD3557" s="15">
        <f t="shared" si="1020"/>
        <v>0</v>
      </c>
      <c r="AE3557" s="15">
        <f t="shared" si="1021"/>
        <v>0</v>
      </c>
      <c r="AF3557" s="15">
        <f t="shared" si="1022"/>
        <v>0</v>
      </c>
      <c r="AG3557" s="15">
        <f t="shared" si="1023"/>
        <v>0</v>
      </c>
      <c r="AH3557" s="15">
        <f t="shared" si="1024"/>
        <v>0</v>
      </c>
      <c r="AI3557" s="15">
        <f t="shared" si="1025"/>
        <v>0.37593984962406</v>
      </c>
      <c r="AJ3557" s="15">
        <f t="shared" si="1026"/>
        <v>900</v>
      </c>
      <c r="AK3557" s="15">
        <f t="shared" si="1027"/>
        <v>11.2781954887218</v>
      </c>
      <c r="AL3557" s="15">
        <f t="shared" si="1028"/>
        <v>0</v>
      </c>
      <c r="AM3557" s="15">
        <f t="shared" si="1029"/>
        <v>0</v>
      </c>
    </row>
    <row r="3558" s="15" customFormat="1" spans="2:39">
      <c r="B3558" s="16"/>
      <c r="D3558" s="16" t="s">
        <v>462</v>
      </c>
      <c r="G3558" s="6">
        <v>40</v>
      </c>
      <c r="Q3558" s="15">
        <f t="shared" si="1044"/>
        <v>40</v>
      </c>
      <c r="R3558" s="16" t="str">
        <f t="shared" si="1015"/>
        <v>purple</v>
      </c>
      <c r="S3558" s="109">
        <f t="shared" si="1016"/>
        <v>0.833333333333333</v>
      </c>
      <c r="T3558" s="6">
        <v>-0.4</v>
      </c>
      <c r="U3558" s="16" t="s">
        <v>1785</v>
      </c>
      <c r="V3558" s="30" t="b">
        <v>0</v>
      </c>
      <c r="W3558" s="15">
        <f t="shared" si="1041"/>
        <v>1200</v>
      </c>
      <c r="X3558" s="15">
        <f t="shared" si="1042"/>
        <v>2400</v>
      </c>
      <c r="Y3558" s="16">
        <f>_xlfn.FLOOR.MATH(X3558*(1+T3558),5)</f>
        <v>1440</v>
      </c>
      <c r="Z3558" s="6">
        <v>50</v>
      </c>
      <c r="AA3558" s="15">
        <f t="shared" si="1017"/>
        <v>0</v>
      </c>
      <c r="AB3558" s="15">
        <f t="shared" si="1018"/>
        <v>0</v>
      </c>
      <c r="AC3558" s="15">
        <f t="shared" si="1019"/>
        <v>0</v>
      </c>
      <c r="AD3558" s="15">
        <f t="shared" si="1020"/>
        <v>0</v>
      </c>
      <c r="AE3558" s="15">
        <f t="shared" si="1021"/>
        <v>0</v>
      </c>
      <c r="AF3558" s="15">
        <f t="shared" si="1022"/>
        <v>0</v>
      </c>
      <c r="AG3558" s="15">
        <f t="shared" si="1023"/>
        <v>0</v>
      </c>
      <c r="AH3558" s="15">
        <f t="shared" si="1024"/>
        <v>0</v>
      </c>
      <c r="AI3558" s="15">
        <f t="shared" si="1025"/>
        <v>0.50125313283208</v>
      </c>
      <c r="AJ3558" s="15">
        <f t="shared" si="1026"/>
        <v>1440</v>
      </c>
      <c r="AK3558" s="15">
        <f t="shared" si="1027"/>
        <v>18.0451127819549</v>
      </c>
      <c r="AL3558" s="15">
        <f t="shared" si="1028"/>
        <v>0</v>
      </c>
      <c r="AM3558" s="15">
        <f t="shared" si="1029"/>
        <v>0</v>
      </c>
    </row>
    <row r="3559" spans="2:39">
      <c r="B3559" s="4"/>
      <c r="D3559" s="4" t="s">
        <v>481</v>
      </c>
      <c r="G3559" s="6">
        <v>40000</v>
      </c>
      <c r="O3559" s="1">
        <f t="shared" ref="O3559:O3561" si="1045">G3559</f>
        <v>40000</v>
      </c>
      <c r="R3559" s="4" t="str">
        <f t="shared" si="1015"/>
        <v>yellow</v>
      </c>
      <c r="S3559" s="50">
        <f t="shared" si="1016"/>
        <v>2.52631578947368</v>
      </c>
      <c r="T3559" s="6">
        <v>-0.8</v>
      </c>
      <c r="U3559" s="4" t="s">
        <v>1785</v>
      </c>
      <c r="V3559" s="30" t="b">
        <v>1</v>
      </c>
      <c r="W3559" s="1">
        <f t="shared" si="1041"/>
        <v>240</v>
      </c>
      <c r="X3559" s="1">
        <f t="shared" si="1042"/>
        <v>480</v>
      </c>
      <c r="Y3559" s="4">
        <f>_xlfn.FLOOR.MATH(X3559*(1+T3559),5)</f>
        <v>95</v>
      </c>
      <c r="Z3559" s="6">
        <v>30</v>
      </c>
      <c r="AA3559" s="1">
        <f t="shared" si="1017"/>
        <v>0</v>
      </c>
      <c r="AB3559" s="1">
        <f t="shared" si="1018"/>
        <v>0</v>
      </c>
      <c r="AC3559" s="1">
        <f t="shared" si="1019"/>
        <v>0</v>
      </c>
      <c r="AD3559" s="1">
        <f t="shared" si="1020"/>
        <v>0</v>
      </c>
      <c r="AE3559" s="1">
        <f t="shared" si="1021"/>
        <v>0</v>
      </c>
      <c r="AF3559" s="1">
        <f t="shared" si="1022"/>
        <v>0</v>
      </c>
      <c r="AG3559" s="15">
        <f t="shared" si="1023"/>
        <v>300.751879699248</v>
      </c>
      <c r="AH3559" s="15">
        <f t="shared" si="1024"/>
        <v>0</v>
      </c>
      <c r="AI3559" s="15">
        <f t="shared" si="1025"/>
        <v>0</v>
      </c>
      <c r="AJ3559" s="1">
        <f t="shared" si="1026"/>
        <v>95</v>
      </c>
      <c r="AK3559" s="1">
        <f t="shared" si="1027"/>
        <v>0.714285714285714</v>
      </c>
      <c r="AL3559" s="1">
        <f t="shared" si="1028"/>
        <v>0</v>
      </c>
      <c r="AM3559" s="1">
        <f t="shared" si="1029"/>
        <v>0</v>
      </c>
    </row>
    <row r="3560" spans="2:39">
      <c r="B3560" s="4"/>
      <c r="D3560" s="4" t="s">
        <v>481</v>
      </c>
      <c r="G3560" s="6">
        <v>80000</v>
      </c>
      <c r="O3560" s="1">
        <f t="shared" si="1045"/>
        <v>80000</v>
      </c>
      <c r="R3560" s="4" t="str">
        <f t="shared" si="1015"/>
        <v>yellow</v>
      </c>
      <c r="S3560" s="50">
        <f t="shared" si="1016"/>
        <v>1.68421052631579</v>
      </c>
      <c r="T3560" s="6">
        <v>-0.7</v>
      </c>
      <c r="U3560" s="4" t="s">
        <v>1785</v>
      </c>
      <c r="V3560" s="30" t="b">
        <v>1</v>
      </c>
      <c r="W3560" s="1">
        <f t="shared" ref="W3560:W3567" si="1046">IF(U3560="l_coin",SUMPRODUCT(H3560:Q3560,$H$3457:$Q$3457),SUMPRODUCT(H3560:Q3560,$H$3456:$Q$3456))</f>
        <v>480</v>
      </c>
      <c r="X3560" s="1">
        <f t="shared" ref="X3560:X3567" si="1047">IF(U3560="l_coin",SUMPRODUCT(H3560:Q3560,$H$3459:$Q$3459),SUMPRODUCT(H3560:Q3560,$H$3458:$Q$3458))</f>
        <v>960</v>
      </c>
      <c r="Y3560" s="4">
        <f>_xlfn.FLOOR.MATH(X3560*(1+T3560),5)</f>
        <v>285</v>
      </c>
      <c r="Z3560" s="6">
        <v>30</v>
      </c>
      <c r="AA3560" s="1">
        <f t="shared" si="1017"/>
        <v>0</v>
      </c>
      <c r="AB3560" s="1">
        <f t="shared" si="1018"/>
        <v>0</v>
      </c>
      <c r="AC3560" s="1">
        <f t="shared" si="1019"/>
        <v>0</v>
      </c>
      <c r="AD3560" s="1">
        <f t="shared" si="1020"/>
        <v>0</v>
      </c>
      <c r="AE3560" s="1">
        <f t="shared" si="1021"/>
        <v>0</v>
      </c>
      <c r="AF3560" s="1">
        <f t="shared" si="1022"/>
        <v>0</v>
      </c>
      <c r="AG3560" s="15">
        <f t="shared" si="1023"/>
        <v>601.503759398496</v>
      </c>
      <c r="AH3560" s="15">
        <f t="shared" si="1024"/>
        <v>0</v>
      </c>
      <c r="AI3560" s="15">
        <f t="shared" si="1025"/>
        <v>0</v>
      </c>
      <c r="AJ3560" s="1">
        <f t="shared" si="1026"/>
        <v>285</v>
      </c>
      <c r="AK3560" s="1">
        <f t="shared" si="1027"/>
        <v>2.14285714285714</v>
      </c>
      <c r="AL3560" s="1">
        <f t="shared" si="1028"/>
        <v>0</v>
      </c>
      <c r="AM3560" s="1">
        <f t="shared" si="1029"/>
        <v>0</v>
      </c>
    </row>
    <row r="3561" spans="2:39">
      <c r="B3561" s="4"/>
      <c r="D3561" s="4" t="s">
        <v>481</v>
      </c>
      <c r="G3561" s="6">
        <v>150000</v>
      </c>
      <c r="O3561" s="1">
        <f t="shared" si="1045"/>
        <v>150000</v>
      </c>
      <c r="R3561" s="4" t="str">
        <f t="shared" si="1015"/>
        <v>yellow</v>
      </c>
      <c r="S3561" s="50">
        <f t="shared" si="1016"/>
        <v>1.25</v>
      </c>
      <c r="T3561" s="6">
        <v>-0.6</v>
      </c>
      <c r="U3561" s="4" t="s">
        <v>1785</v>
      </c>
      <c r="V3561" s="30" t="b">
        <v>1</v>
      </c>
      <c r="W3561" s="1">
        <f t="shared" si="1046"/>
        <v>900</v>
      </c>
      <c r="X3561" s="1">
        <f t="shared" si="1047"/>
        <v>1800</v>
      </c>
      <c r="Y3561" s="4">
        <f>_xlfn.FLOOR.MATH(X3561*(1+T3561),5)</f>
        <v>720</v>
      </c>
      <c r="Z3561" s="6">
        <v>30</v>
      </c>
      <c r="AA3561" s="1">
        <f t="shared" si="1017"/>
        <v>0</v>
      </c>
      <c r="AB3561" s="1">
        <f t="shared" si="1018"/>
        <v>0</v>
      </c>
      <c r="AC3561" s="1">
        <f t="shared" si="1019"/>
        <v>0</v>
      </c>
      <c r="AD3561" s="1">
        <f t="shared" si="1020"/>
        <v>0</v>
      </c>
      <c r="AE3561" s="1">
        <f t="shared" si="1021"/>
        <v>0</v>
      </c>
      <c r="AF3561" s="1">
        <f t="shared" si="1022"/>
        <v>0</v>
      </c>
      <c r="AG3561" s="15">
        <f t="shared" si="1023"/>
        <v>1127.81954887218</v>
      </c>
      <c r="AH3561" s="15">
        <f t="shared" si="1024"/>
        <v>0</v>
      </c>
      <c r="AI3561" s="15">
        <f t="shared" si="1025"/>
        <v>0</v>
      </c>
      <c r="AJ3561" s="1">
        <f t="shared" si="1026"/>
        <v>720</v>
      </c>
      <c r="AK3561" s="1">
        <f t="shared" si="1027"/>
        <v>5.41353383458647</v>
      </c>
      <c r="AL3561" s="1">
        <f t="shared" si="1028"/>
        <v>0</v>
      </c>
      <c r="AM3561" s="1">
        <f t="shared" si="1029"/>
        <v>0</v>
      </c>
    </row>
    <row r="3562" spans="2:39">
      <c r="B3562" s="4"/>
      <c r="D3562" s="4" t="s">
        <v>482</v>
      </c>
      <c r="G3562" s="6">
        <v>40</v>
      </c>
      <c r="P3562" s="1">
        <f t="shared" ref="P3562:P3564" si="1048">G3562</f>
        <v>40</v>
      </c>
      <c r="R3562" s="4" t="str">
        <f t="shared" si="1015"/>
        <v>yellow</v>
      </c>
      <c r="S3562" s="50">
        <f t="shared" si="1016"/>
        <v>2.57142857142857</v>
      </c>
      <c r="T3562" s="6">
        <v>-0.8</v>
      </c>
      <c r="U3562" s="4" t="s">
        <v>1785</v>
      </c>
      <c r="V3562" s="30" t="b">
        <v>1</v>
      </c>
      <c r="W3562" s="1">
        <f t="shared" si="1046"/>
        <v>360</v>
      </c>
      <c r="X3562" s="1">
        <f t="shared" si="1047"/>
        <v>720</v>
      </c>
      <c r="Y3562" s="4">
        <f>_xlfn.FLOOR.MATH(X3562*(1+T3562),5)</f>
        <v>140</v>
      </c>
      <c r="Z3562" s="6">
        <v>30</v>
      </c>
      <c r="AA3562" s="1">
        <f t="shared" si="1017"/>
        <v>0</v>
      </c>
      <c r="AB3562" s="1">
        <f t="shared" si="1018"/>
        <v>0</v>
      </c>
      <c r="AC3562" s="1">
        <f t="shared" si="1019"/>
        <v>0</v>
      </c>
      <c r="AD3562" s="1">
        <f t="shared" si="1020"/>
        <v>0</v>
      </c>
      <c r="AE3562" s="1">
        <f t="shared" si="1021"/>
        <v>0</v>
      </c>
      <c r="AF3562" s="1">
        <f t="shared" si="1022"/>
        <v>0</v>
      </c>
      <c r="AG3562" s="15">
        <f t="shared" si="1023"/>
        <v>0</v>
      </c>
      <c r="AH3562" s="15">
        <f t="shared" si="1024"/>
        <v>0.300751879699248</v>
      </c>
      <c r="AI3562" s="15">
        <f t="shared" si="1025"/>
        <v>0</v>
      </c>
      <c r="AJ3562" s="1">
        <f t="shared" si="1026"/>
        <v>140</v>
      </c>
      <c r="AK3562" s="1">
        <f t="shared" si="1027"/>
        <v>1.05263157894737</v>
      </c>
      <c r="AL3562" s="1">
        <f t="shared" si="1028"/>
        <v>0</v>
      </c>
      <c r="AM3562" s="1">
        <f t="shared" si="1029"/>
        <v>0</v>
      </c>
    </row>
    <row r="3563" spans="2:39">
      <c r="B3563" s="4"/>
      <c r="D3563" s="4" t="s">
        <v>482</v>
      </c>
      <c r="G3563" s="6">
        <v>60</v>
      </c>
      <c r="P3563" s="1">
        <f t="shared" si="1048"/>
        <v>60</v>
      </c>
      <c r="R3563" s="4" t="str">
        <f t="shared" si="1015"/>
        <v>yellow</v>
      </c>
      <c r="S3563" s="50">
        <f t="shared" si="1016"/>
        <v>1.6875</v>
      </c>
      <c r="T3563" s="6">
        <v>-0.7</v>
      </c>
      <c r="U3563" s="4" t="s">
        <v>1785</v>
      </c>
      <c r="V3563" s="30" t="b">
        <v>1</v>
      </c>
      <c r="W3563" s="1">
        <f t="shared" si="1046"/>
        <v>540</v>
      </c>
      <c r="X3563" s="1">
        <f t="shared" si="1047"/>
        <v>1080</v>
      </c>
      <c r="Y3563" s="4">
        <f>_xlfn.FLOOR.MATH(X3563*(1+T3563),5)</f>
        <v>320</v>
      </c>
      <c r="Z3563" s="6">
        <v>30</v>
      </c>
      <c r="AA3563" s="1">
        <f t="shared" si="1017"/>
        <v>0</v>
      </c>
      <c r="AB3563" s="1">
        <f t="shared" si="1018"/>
        <v>0</v>
      </c>
      <c r="AC3563" s="1">
        <f t="shared" si="1019"/>
        <v>0</v>
      </c>
      <c r="AD3563" s="1">
        <f t="shared" si="1020"/>
        <v>0</v>
      </c>
      <c r="AE3563" s="1">
        <f t="shared" si="1021"/>
        <v>0</v>
      </c>
      <c r="AF3563" s="1">
        <f t="shared" si="1022"/>
        <v>0</v>
      </c>
      <c r="AG3563" s="15">
        <f t="shared" si="1023"/>
        <v>0</v>
      </c>
      <c r="AH3563" s="15">
        <f t="shared" si="1024"/>
        <v>0.451127819548872</v>
      </c>
      <c r="AI3563" s="15">
        <f t="shared" si="1025"/>
        <v>0</v>
      </c>
      <c r="AJ3563" s="1">
        <f t="shared" si="1026"/>
        <v>320</v>
      </c>
      <c r="AK3563" s="1">
        <f t="shared" si="1027"/>
        <v>2.40601503759398</v>
      </c>
      <c r="AL3563" s="1">
        <f t="shared" si="1028"/>
        <v>0</v>
      </c>
      <c r="AM3563" s="1">
        <f t="shared" si="1029"/>
        <v>0</v>
      </c>
    </row>
    <row r="3564" spans="2:39">
      <c r="B3564" s="4"/>
      <c r="D3564" s="4" t="s">
        <v>482</v>
      </c>
      <c r="G3564" s="6">
        <v>80</v>
      </c>
      <c r="P3564" s="1">
        <f t="shared" si="1048"/>
        <v>80</v>
      </c>
      <c r="R3564" s="4" t="str">
        <f t="shared" si="1015"/>
        <v>yellow</v>
      </c>
      <c r="S3564" s="50">
        <f t="shared" si="1016"/>
        <v>1.25217391304348</v>
      </c>
      <c r="T3564" s="6">
        <v>-0.6</v>
      </c>
      <c r="U3564" s="4" t="s">
        <v>1785</v>
      </c>
      <c r="V3564" s="30" t="b">
        <v>1</v>
      </c>
      <c r="W3564" s="1">
        <f t="shared" si="1046"/>
        <v>720</v>
      </c>
      <c r="X3564" s="1">
        <f t="shared" si="1047"/>
        <v>1440</v>
      </c>
      <c r="Y3564" s="4">
        <f>_xlfn.FLOOR.MATH(X3564*(1+T3564),5)</f>
        <v>575</v>
      </c>
      <c r="Z3564" s="6">
        <v>30</v>
      </c>
      <c r="AA3564" s="1">
        <f t="shared" si="1017"/>
        <v>0</v>
      </c>
      <c r="AB3564" s="1">
        <f t="shared" si="1018"/>
        <v>0</v>
      </c>
      <c r="AC3564" s="1">
        <f t="shared" si="1019"/>
        <v>0</v>
      </c>
      <c r="AD3564" s="1">
        <f t="shared" si="1020"/>
        <v>0</v>
      </c>
      <c r="AE3564" s="1">
        <f t="shared" si="1021"/>
        <v>0</v>
      </c>
      <c r="AF3564" s="1">
        <f t="shared" si="1022"/>
        <v>0</v>
      </c>
      <c r="AG3564" s="15">
        <f t="shared" si="1023"/>
        <v>0</v>
      </c>
      <c r="AH3564" s="15">
        <f t="shared" si="1024"/>
        <v>0.601503759398496</v>
      </c>
      <c r="AI3564" s="15">
        <f t="shared" si="1025"/>
        <v>0</v>
      </c>
      <c r="AJ3564" s="1">
        <f t="shared" si="1026"/>
        <v>575</v>
      </c>
      <c r="AK3564" s="1">
        <f t="shared" si="1027"/>
        <v>4.32330827067669</v>
      </c>
      <c r="AL3564" s="1">
        <f t="shared" si="1028"/>
        <v>0</v>
      </c>
      <c r="AM3564" s="1">
        <f t="shared" si="1029"/>
        <v>0</v>
      </c>
    </row>
    <row r="3565" spans="2:39">
      <c r="B3565" s="4"/>
      <c r="D3565" s="4" t="s">
        <v>462</v>
      </c>
      <c r="G3565" s="6">
        <v>20</v>
      </c>
      <c r="Q3565" s="1">
        <f t="shared" ref="Q3565:Q3567" si="1049">G3565</f>
        <v>20</v>
      </c>
      <c r="R3565" s="4" t="str">
        <f t="shared" si="1015"/>
        <v>yellow</v>
      </c>
      <c r="S3565" s="50">
        <f t="shared" si="1016"/>
        <v>2.5</v>
      </c>
      <c r="T3565" s="6">
        <v>-0.8</v>
      </c>
      <c r="U3565" s="4" t="s">
        <v>1785</v>
      </c>
      <c r="V3565" s="30" t="b">
        <v>1</v>
      </c>
      <c r="W3565" s="1">
        <f t="shared" si="1046"/>
        <v>600</v>
      </c>
      <c r="X3565" s="1">
        <f t="shared" si="1047"/>
        <v>1200</v>
      </c>
      <c r="Y3565" s="4">
        <f>_xlfn.FLOOR.MATH(X3565*(1+T3565),5)</f>
        <v>240</v>
      </c>
      <c r="Z3565" s="6">
        <v>55</v>
      </c>
      <c r="AA3565" s="1">
        <f t="shared" si="1017"/>
        <v>0</v>
      </c>
      <c r="AB3565" s="1">
        <f t="shared" si="1018"/>
        <v>0</v>
      </c>
      <c r="AC3565" s="1">
        <f t="shared" si="1019"/>
        <v>0</v>
      </c>
      <c r="AD3565" s="1">
        <f t="shared" si="1020"/>
        <v>0</v>
      </c>
      <c r="AE3565" s="1">
        <f t="shared" si="1021"/>
        <v>0</v>
      </c>
      <c r="AF3565" s="1">
        <f t="shared" si="1022"/>
        <v>0</v>
      </c>
      <c r="AG3565" s="15">
        <f t="shared" si="1023"/>
        <v>0</v>
      </c>
      <c r="AH3565" s="15">
        <f t="shared" si="1024"/>
        <v>0</v>
      </c>
      <c r="AI3565" s="15">
        <f t="shared" si="1025"/>
        <v>0.275689223057644</v>
      </c>
      <c r="AJ3565" s="1">
        <f t="shared" si="1026"/>
        <v>240</v>
      </c>
      <c r="AK3565" s="1">
        <f t="shared" si="1027"/>
        <v>3.30827067669173</v>
      </c>
      <c r="AL3565" s="1">
        <f t="shared" si="1028"/>
        <v>0</v>
      </c>
      <c r="AM3565" s="1">
        <f t="shared" si="1029"/>
        <v>0</v>
      </c>
    </row>
    <row r="3566" spans="2:39">
      <c r="B3566" s="4"/>
      <c r="D3566" s="4" t="s">
        <v>462</v>
      </c>
      <c r="G3566" s="6">
        <v>30</v>
      </c>
      <c r="Q3566" s="1">
        <f t="shared" si="1049"/>
        <v>30</v>
      </c>
      <c r="R3566" s="4" t="str">
        <f t="shared" si="1015"/>
        <v>yellow</v>
      </c>
      <c r="S3566" s="50">
        <f t="shared" si="1016"/>
        <v>1.66666666666667</v>
      </c>
      <c r="T3566" s="6">
        <v>-0.7</v>
      </c>
      <c r="U3566" s="4" t="s">
        <v>1785</v>
      </c>
      <c r="V3566" s="30" t="b">
        <v>1</v>
      </c>
      <c r="W3566" s="1">
        <f t="shared" si="1046"/>
        <v>900</v>
      </c>
      <c r="X3566" s="1">
        <f t="shared" si="1047"/>
        <v>1800</v>
      </c>
      <c r="Y3566" s="4">
        <f>_xlfn.FLOOR.MATH(X3566*(1+T3566),5)</f>
        <v>540</v>
      </c>
      <c r="Z3566" s="6">
        <v>55</v>
      </c>
      <c r="AA3566" s="1">
        <f t="shared" si="1017"/>
        <v>0</v>
      </c>
      <c r="AB3566" s="1">
        <f t="shared" si="1018"/>
        <v>0</v>
      </c>
      <c r="AC3566" s="1">
        <f t="shared" si="1019"/>
        <v>0</v>
      </c>
      <c r="AD3566" s="1">
        <f t="shared" si="1020"/>
        <v>0</v>
      </c>
      <c r="AE3566" s="1">
        <f t="shared" si="1021"/>
        <v>0</v>
      </c>
      <c r="AF3566" s="1">
        <f t="shared" si="1022"/>
        <v>0</v>
      </c>
      <c r="AG3566" s="15">
        <f t="shared" si="1023"/>
        <v>0</v>
      </c>
      <c r="AH3566" s="15">
        <f t="shared" si="1024"/>
        <v>0</v>
      </c>
      <c r="AI3566" s="15">
        <f t="shared" si="1025"/>
        <v>0.413533834586466</v>
      </c>
      <c r="AJ3566" s="1">
        <f t="shared" si="1026"/>
        <v>540</v>
      </c>
      <c r="AK3566" s="1">
        <f t="shared" si="1027"/>
        <v>7.44360902255639</v>
      </c>
      <c r="AL3566" s="1">
        <f t="shared" si="1028"/>
        <v>0</v>
      </c>
      <c r="AM3566" s="1">
        <f t="shared" si="1029"/>
        <v>0</v>
      </c>
    </row>
    <row r="3567" spans="2:39">
      <c r="B3567" s="4"/>
      <c r="D3567" s="4" t="s">
        <v>462</v>
      </c>
      <c r="G3567" s="6">
        <v>40</v>
      </c>
      <c r="Q3567" s="1">
        <f t="shared" si="1049"/>
        <v>40</v>
      </c>
      <c r="R3567" s="4" t="str">
        <f t="shared" si="1015"/>
        <v>yellow</v>
      </c>
      <c r="S3567" s="50">
        <f t="shared" si="1016"/>
        <v>1.25</v>
      </c>
      <c r="T3567" s="6">
        <v>-0.6</v>
      </c>
      <c r="U3567" s="4" t="s">
        <v>1785</v>
      </c>
      <c r="V3567" s="30" t="b">
        <v>1</v>
      </c>
      <c r="W3567" s="1">
        <f t="shared" si="1046"/>
        <v>1200</v>
      </c>
      <c r="X3567" s="1">
        <f t="shared" si="1047"/>
        <v>2400</v>
      </c>
      <c r="Y3567" s="4">
        <f>_xlfn.FLOOR.MATH(X3567*(1+T3567),5)</f>
        <v>960</v>
      </c>
      <c r="Z3567" s="6">
        <v>55</v>
      </c>
      <c r="AA3567" s="1">
        <f t="shared" si="1017"/>
        <v>0</v>
      </c>
      <c r="AB3567" s="1">
        <f t="shared" si="1018"/>
        <v>0</v>
      </c>
      <c r="AC3567" s="1">
        <f t="shared" si="1019"/>
        <v>0</v>
      </c>
      <c r="AD3567" s="1">
        <f t="shared" si="1020"/>
        <v>0</v>
      </c>
      <c r="AE3567" s="1">
        <f t="shared" si="1021"/>
        <v>0</v>
      </c>
      <c r="AF3567" s="1">
        <f t="shared" si="1022"/>
        <v>0</v>
      </c>
      <c r="AG3567" s="15">
        <f t="shared" si="1023"/>
        <v>0</v>
      </c>
      <c r="AH3567" s="15">
        <f t="shared" si="1024"/>
        <v>0</v>
      </c>
      <c r="AI3567" s="15">
        <f t="shared" si="1025"/>
        <v>0.551378446115288</v>
      </c>
      <c r="AJ3567" s="1">
        <f t="shared" si="1026"/>
        <v>960</v>
      </c>
      <c r="AK3567" s="1">
        <f t="shared" si="1027"/>
        <v>13.2330827067669</v>
      </c>
      <c r="AL3567" s="1">
        <f t="shared" si="1028"/>
        <v>0</v>
      </c>
      <c r="AM3567" s="1">
        <f t="shared" si="1029"/>
        <v>0</v>
      </c>
    </row>
    <row r="3568" spans="2:26">
      <c r="B3568" s="4"/>
      <c r="D3568" s="4"/>
      <c r="G3568" s="4"/>
      <c r="R3568" s="4"/>
      <c r="S3568" s="50"/>
      <c r="T3568" s="4"/>
      <c r="U3568" s="4"/>
      <c r="V3568" s="5"/>
      <c r="Y3568" s="4"/>
      <c r="Z3568" s="4"/>
    </row>
    <row r="3569" spans="21:39">
      <c r="U3569" s="1" t="s">
        <v>2015</v>
      </c>
      <c r="V3569" s="1">
        <f>SUMIF(V3461:V3567,"TRUE",Z3461:Z3567)</f>
        <v>1870</v>
      </c>
      <c r="Y3569" s="5" t="s">
        <v>534</v>
      </c>
      <c r="Z3569" s="1">
        <f t="shared" ref="Z3569:AI3569" si="1050">SUM(Z3461:Z3567)</f>
        <v>3990</v>
      </c>
      <c r="AA3569" s="5">
        <f t="shared" si="1050"/>
        <v>0.180451127819549</v>
      </c>
      <c r="AB3569" s="5">
        <f t="shared" si="1050"/>
        <v>20300.7518796992</v>
      </c>
      <c r="AC3569" s="5">
        <f t="shared" si="1050"/>
        <v>13.5338345864662</v>
      </c>
      <c r="AD3569" s="5">
        <f t="shared" si="1050"/>
        <v>7.51127819548872</v>
      </c>
      <c r="AE3569" s="5">
        <f t="shared" si="1050"/>
        <v>45.1127819548872</v>
      </c>
      <c r="AF3569" s="5">
        <f t="shared" si="1050"/>
        <v>15037.5939849624</v>
      </c>
      <c r="AG3569" s="5">
        <f t="shared" si="1050"/>
        <v>10150.3759398496</v>
      </c>
      <c r="AH3569" s="5">
        <f t="shared" si="1050"/>
        <v>6.76691729323308</v>
      </c>
      <c r="AI3569" s="5">
        <f t="shared" si="1050"/>
        <v>2.36842105263158</v>
      </c>
      <c r="AJ3569" s="5"/>
      <c r="AK3569" s="5">
        <f>SUM(AK3461:AK3567)</f>
        <v>585.401002506266</v>
      </c>
      <c r="AM3569" s="5">
        <f>SUM(AM3461:AM3567)</f>
        <v>168902.255639098</v>
      </c>
    </row>
    <row r="3570" spans="21:39">
      <c r="U3570" s="1" t="s">
        <v>2016</v>
      </c>
      <c r="V3570" s="1">
        <f>SUMIF(V3461:V3567,"FALSE",Z3461:Z3567)</f>
        <v>2120</v>
      </c>
      <c r="Y3570" s="5" t="s">
        <v>1809</v>
      </c>
      <c r="AA3570" s="5">
        <f t="shared" ref="AA3570:AI3570" si="1051">SUMIFS(AA3461:AA3567,$V$3461:$V$3567,TRUE)</f>
        <v>0.0601503759398496</v>
      </c>
      <c r="AB3570" s="5">
        <f t="shared" si="1051"/>
        <v>12180.4511278195</v>
      </c>
      <c r="AC3570" s="5">
        <f t="shared" si="1051"/>
        <v>8.1203007518797</v>
      </c>
      <c r="AD3570" s="5">
        <f t="shared" si="1051"/>
        <v>2.50375939849624</v>
      </c>
      <c r="AE3570" s="5">
        <f t="shared" si="1051"/>
        <v>15.0375939849624</v>
      </c>
      <c r="AF3570" s="5">
        <f t="shared" si="1051"/>
        <v>5012.5313283208</v>
      </c>
      <c r="AG3570" s="5">
        <f t="shared" si="1051"/>
        <v>6090.22556390977</v>
      </c>
      <c r="AH3570" s="5">
        <f t="shared" si="1051"/>
        <v>4.06015037593985</v>
      </c>
      <c r="AI3570" s="5">
        <f t="shared" si="1051"/>
        <v>1.2406015037594</v>
      </c>
      <c r="AJ3570" s="5"/>
      <c r="AK3570" s="5">
        <f>SUMIFS(AK3461:AK3567,$V$3461:$V$3567,TRUE)</f>
        <v>149.010025062657</v>
      </c>
      <c r="AL3570" s="5"/>
      <c r="AM3570" s="5">
        <f>SUMIFS(AM3461:AM3567,$V$3461:$V$3567,TRUE)</f>
        <v>168902.255639098</v>
      </c>
    </row>
    <row r="3571" spans="19:30">
      <c r="S3571" s="5"/>
      <c r="U3571" s="5"/>
      <c r="X3571" s="5"/>
      <c r="Y3571" s="5"/>
      <c r="Z3571" s="5"/>
      <c r="AA3571" s="5"/>
      <c r="AB3571" s="5"/>
      <c r="AC3571" s="5"/>
      <c r="AD3571" s="5"/>
    </row>
    <row r="3573" s="25" customFormat="1" spans="1:5">
      <c r="A3573" s="2" t="s">
        <v>552</v>
      </c>
      <c r="B3573" s="2"/>
      <c r="C3573" s="41" t="s">
        <v>436</v>
      </c>
      <c r="E3573" s="41"/>
    </row>
    <row r="3575" spans="2:12">
      <c r="B3575" s="27" t="s">
        <v>1306</v>
      </c>
      <c r="C3575" s="27"/>
      <c r="D3575" s="27"/>
      <c r="E3575" s="27"/>
      <c r="F3575" s="27"/>
      <c r="G3575" s="27"/>
      <c r="H3575" s="27"/>
      <c r="I3575" s="27"/>
      <c r="J3575" s="27"/>
      <c r="K3575" s="27"/>
      <c r="L3575" s="27"/>
    </row>
    <row r="3577" spans="2:5">
      <c r="B3577" s="1" t="s">
        <v>1437</v>
      </c>
      <c r="E3577" s="1">
        <f>总规划!$D$245</f>
        <v>90000</v>
      </c>
    </row>
    <row r="3578" spans="2:5">
      <c r="B3578" s="1" t="s">
        <v>2017</v>
      </c>
      <c r="E3578" s="42">
        <f>总规划!$C$145</f>
        <v>0.33</v>
      </c>
    </row>
    <row r="3579" spans="2:5">
      <c r="B3579" s="1" t="s">
        <v>2018</v>
      </c>
      <c r="E3579" s="1">
        <f>E3577/30*E3578</f>
        <v>990</v>
      </c>
    </row>
    <row r="3581" spans="2:12">
      <c r="B3581" s="27" t="s">
        <v>842</v>
      </c>
      <c r="C3581" s="27"/>
      <c r="D3581" s="27"/>
      <c r="E3581" s="27"/>
      <c r="F3581" s="27"/>
      <c r="G3581" s="27"/>
      <c r="H3581" s="27"/>
      <c r="I3581" s="27"/>
      <c r="J3581" s="27"/>
      <c r="K3581" s="27"/>
      <c r="L3581" s="27"/>
    </row>
    <row r="3583" spans="2:5">
      <c r="B3583" s="1" t="s">
        <v>540</v>
      </c>
      <c r="E3583" s="6">
        <v>1000</v>
      </c>
    </row>
    <row r="3584" spans="2:5">
      <c r="B3584" s="1" t="s">
        <v>562</v>
      </c>
      <c r="E3584" s="6">
        <v>20</v>
      </c>
    </row>
    <row r="3585" spans="2:5">
      <c r="B3585" s="1" t="s">
        <v>63</v>
      </c>
      <c r="E3585" s="6">
        <v>1</v>
      </c>
    </row>
    <row r="3588" s="25" customFormat="1" spans="1:5">
      <c r="A3588" s="2" t="s">
        <v>553</v>
      </c>
      <c r="B3588" s="2"/>
      <c r="C3588" s="41" t="s">
        <v>436</v>
      </c>
      <c r="E3588" s="26" t="s">
        <v>2019</v>
      </c>
    </row>
    <row r="3590" spans="2:12">
      <c r="B3590" s="27" t="s">
        <v>1306</v>
      </c>
      <c r="C3590" s="27"/>
      <c r="D3590" s="27"/>
      <c r="E3590" s="27"/>
      <c r="F3590" s="27"/>
      <c r="G3590" s="27"/>
      <c r="H3590" s="27"/>
      <c r="I3590" s="27"/>
      <c r="J3590" s="27"/>
      <c r="K3590" s="27"/>
      <c r="L3590" s="27"/>
    </row>
    <row r="3592" spans="2:5">
      <c r="B3592" s="1" t="s">
        <v>1437</v>
      </c>
      <c r="E3592" s="1">
        <f>总规划!$D$245</f>
        <v>90000</v>
      </c>
    </row>
    <row r="3593" spans="2:5">
      <c r="B3593" s="1" t="s">
        <v>2020</v>
      </c>
      <c r="E3593" s="42">
        <f>总规划!$C$146</f>
        <v>0.2</v>
      </c>
    </row>
    <row r="3594" spans="2:5">
      <c r="B3594" s="1" t="s">
        <v>2021</v>
      </c>
      <c r="E3594" s="1">
        <f>E3592/30*E3593</f>
        <v>600</v>
      </c>
    </row>
    <row r="3596" spans="2:6">
      <c r="B3596" s="1" t="s">
        <v>708</v>
      </c>
      <c r="E3596" s="1">
        <f>总规划!$D$105</f>
        <v>1800</v>
      </c>
      <c r="F3596" s="1" t="str">
        <f>总规划!$C$105</f>
        <v>1M资源</v>
      </c>
    </row>
    <row r="3597" spans="2:5">
      <c r="B3597" s="1" t="s">
        <v>713</v>
      </c>
      <c r="E3597" s="42">
        <f>总规划!$D$146</f>
        <v>0.2</v>
      </c>
    </row>
    <row r="3598" spans="2:6">
      <c r="B3598" s="1" t="s">
        <v>2022</v>
      </c>
      <c r="E3598" s="1">
        <f>E3596/30*E3597*1000000</f>
        <v>12000000</v>
      </c>
      <c r="F3598" s="1" t="s">
        <v>1328</v>
      </c>
    </row>
    <row r="3600" spans="2:6">
      <c r="B3600" s="1" t="s">
        <v>715</v>
      </c>
      <c r="E3600" s="1">
        <f>总规划!$D$106</f>
        <v>480</v>
      </c>
      <c r="F3600" s="1" t="str">
        <f>总规划!$C$106</f>
        <v>1天</v>
      </c>
    </row>
    <row r="3601" spans="2:5">
      <c r="B3601" s="1" t="s">
        <v>722</v>
      </c>
      <c r="E3601" s="42">
        <f>总规划!$E$146</f>
        <v>0.25</v>
      </c>
    </row>
    <row r="3602" spans="2:6">
      <c r="B3602" s="1" t="s">
        <v>2023</v>
      </c>
      <c r="E3602" s="1">
        <f>E3600/30*E3601*24*60</f>
        <v>5760</v>
      </c>
      <c r="F3602" s="1" t="s">
        <v>1308</v>
      </c>
    </row>
    <row r="3604" spans="2:6">
      <c r="B3604" s="1" t="s">
        <v>944</v>
      </c>
      <c r="E3604" s="1">
        <f>总规划!$D$107</f>
        <v>1500</v>
      </c>
      <c r="F3604" s="1" t="str">
        <f>总规划!$C$107</f>
        <v>1四星卡</v>
      </c>
    </row>
    <row r="3605" spans="2:5">
      <c r="B3605" s="1" t="s">
        <v>950</v>
      </c>
      <c r="E3605" s="42">
        <f>总规划!$F$146</f>
        <v>0.4</v>
      </c>
    </row>
    <row r="3606" spans="2:6">
      <c r="B3606" s="1" t="s">
        <v>2024</v>
      </c>
      <c r="E3606" s="1">
        <f>E3604/30*E3605</f>
        <v>20</v>
      </c>
      <c r="F3606" s="1" t="str">
        <f>总规划!$C$107</f>
        <v>1四星卡</v>
      </c>
    </row>
    <row r="3608" spans="2:6">
      <c r="B3608" s="1" t="s">
        <v>989</v>
      </c>
      <c r="E3608" s="1">
        <f>总规划!$D$108</f>
        <v>300</v>
      </c>
      <c r="F3608" s="1" t="str">
        <f>总规划!$C$108</f>
        <v>1M陆经</v>
      </c>
    </row>
    <row r="3609" spans="2:5">
      <c r="B3609" s="1" t="s">
        <v>992</v>
      </c>
      <c r="E3609" s="42">
        <f>总规划!$G$146</f>
        <v>0.2</v>
      </c>
    </row>
    <row r="3610" spans="2:6">
      <c r="B3610" s="1" t="s">
        <v>2025</v>
      </c>
      <c r="E3610" s="1">
        <f>E3608/30*E3609*1000000</f>
        <v>2000000</v>
      </c>
      <c r="F3610" s="1" t="s">
        <v>1704</v>
      </c>
    </row>
    <row r="3612" spans="2:6">
      <c r="B3612" s="1" t="s">
        <v>994</v>
      </c>
      <c r="E3612" s="1">
        <f>总规划!$D$109</f>
        <v>200</v>
      </c>
      <c r="F3612" s="1" t="str">
        <f>总规划!$C$109</f>
        <v>1k弹药</v>
      </c>
    </row>
    <row r="3613" spans="2:5">
      <c r="B3613" s="1" t="s">
        <v>998</v>
      </c>
      <c r="E3613" s="42">
        <f>总规划!$H$146</f>
        <v>0.2</v>
      </c>
    </row>
    <row r="3614" spans="2:6">
      <c r="B3614" s="1" t="s">
        <v>2026</v>
      </c>
      <c r="E3614" s="1">
        <f>E3612/30*E3613*1000</f>
        <v>1333.33333333333</v>
      </c>
      <c r="F3614" s="1" t="s">
        <v>1321</v>
      </c>
    </row>
    <row r="3616" spans="2:6">
      <c r="B3616" s="1" t="s">
        <v>1057</v>
      </c>
      <c r="E3616" s="1">
        <f>总规划!$D$110</f>
        <v>60</v>
      </c>
      <c r="F3616" s="1" t="str">
        <f>总规划!$C$110</f>
        <v>1k零件</v>
      </c>
    </row>
    <row r="3617" spans="2:5">
      <c r="B3617" s="1" t="s">
        <v>1063</v>
      </c>
      <c r="E3617" s="42">
        <f>总规划!$I$146</f>
        <v>0.25</v>
      </c>
    </row>
    <row r="3618" spans="2:6">
      <c r="B3618" s="1" t="s">
        <v>2027</v>
      </c>
      <c r="E3618" s="1">
        <f>E3616/30*E3617*1000</f>
        <v>500</v>
      </c>
      <c r="F3618" s="1" t="s">
        <v>1355</v>
      </c>
    </row>
    <row r="3620" spans="2:6">
      <c r="B3620" s="1" t="s">
        <v>1103</v>
      </c>
      <c r="E3620" s="1">
        <f>总规划!$D$111</f>
        <v>360</v>
      </c>
      <c r="F3620" s="1" t="str">
        <f>总规划!$C$111</f>
        <v>1k铜材料</v>
      </c>
    </row>
    <row r="3621" spans="2:5">
      <c r="B3621" s="1" t="s">
        <v>1107</v>
      </c>
      <c r="E3621" s="42">
        <f>总规划!$J$146</f>
        <v>0.3</v>
      </c>
    </row>
    <row r="3622" spans="2:6">
      <c r="B3622" s="1" t="s">
        <v>2028</v>
      </c>
      <c r="E3622" s="1">
        <f>E3620/30*E3621*1000</f>
        <v>3600</v>
      </c>
      <c r="F3622" s="1" t="s">
        <v>1357</v>
      </c>
    </row>
    <row r="3624" spans="2:6">
      <c r="B3624" s="1" t="s">
        <v>2029</v>
      </c>
      <c r="E3624" s="1">
        <f>总规划!$D$112</f>
        <v>3.2</v>
      </c>
      <c r="F3624" s="1" t="str">
        <f>总规划!$C$112</f>
        <v>1金++</v>
      </c>
    </row>
    <row r="3625" spans="2:5">
      <c r="B3625" s="1" t="s">
        <v>2030</v>
      </c>
      <c r="E3625" s="42">
        <f>总规划!$J$146</f>
        <v>0.3</v>
      </c>
    </row>
    <row r="3626" spans="2:6">
      <c r="B3626" s="1" t="s">
        <v>2031</v>
      </c>
      <c r="E3626" s="1">
        <f>E3624/30*E3625</f>
        <v>0.032</v>
      </c>
      <c r="F3626" s="1" t="str">
        <f>总规划!$C$112</f>
        <v>1金++</v>
      </c>
    </row>
    <row r="3628" spans="2:6">
      <c r="B3628" s="1" t="s">
        <v>989</v>
      </c>
      <c r="E3628" s="1">
        <f>总规划!$D$118</f>
        <v>150</v>
      </c>
      <c r="F3628" s="1" t="str">
        <f>总规划!$C$108</f>
        <v>1M陆经</v>
      </c>
    </row>
    <row r="3629" spans="2:5">
      <c r="B3629" s="1" t="s">
        <v>992</v>
      </c>
      <c r="E3629" s="42">
        <f>总规划!$Q$146</f>
        <v>0.2</v>
      </c>
    </row>
    <row r="3630" spans="2:6">
      <c r="B3630" s="1" t="s">
        <v>2025</v>
      </c>
      <c r="E3630" s="1">
        <f>E3628/30*E3629*1000000</f>
        <v>1000000</v>
      </c>
      <c r="F3630" s="1" t="s">
        <v>1704</v>
      </c>
    </row>
    <row r="3632" spans="2:6">
      <c r="B3632" s="1" t="s">
        <v>1021</v>
      </c>
      <c r="E3632" s="1">
        <f>总规划!$D$119</f>
        <v>100</v>
      </c>
      <c r="F3632" s="1" t="str">
        <f>总规划!$C$109</f>
        <v>1k弹药</v>
      </c>
    </row>
    <row r="3633" spans="2:5">
      <c r="B3633" s="1" t="s">
        <v>1024</v>
      </c>
      <c r="E3633" s="42">
        <f>总规划!$R$146</f>
        <v>0.2</v>
      </c>
    </row>
    <row r="3634" spans="2:6">
      <c r="B3634" s="1" t="s">
        <v>2032</v>
      </c>
      <c r="E3634" s="1">
        <f>E3632/30*E3633*1000</f>
        <v>666.666666666667</v>
      </c>
      <c r="F3634" s="1" t="s">
        <v>1321</v>
      </c>
    </row>
    <row r="3636" spans="2:6">
      <c r="B3636" s="1" t="s">
        <v>1077</v>
      </c>
      <c r="E3636" s="1">
        <f>总规划!$D$120</f>
        <v>30</v>
      </c>
      <c r="F3636" s="1" t="str">
        <f>总规划!$C$110</f>
        <v>1k零件</v>
      </c>
    </row>
    <row r="3637" spans="2:5">
      <c r="B3637" s="1" t="s">
        <v>1082</v>
      </c>
      <c r="E3637" s="42">
        <f>总规划!$S$146</f>
        <v>0.25</v>
      </c>
    </row>
    <row r="3638" spans="2:6">
      <c r="B3638" s="1" t="s">
        <v>2033</v>
      </c>
      <c r="E3638" s="1">
        <f>E3636/30*E3637*1000</f>
        <v>250</v>
      </c>
      <c r="F3638" s="1" t="s">
        <v>1355</v>
      </c>
    </row>
    <row r="3640" spans="2:12">
      <c r="B3640" s="27" t="s">
        <v>1315</v>
      </c>
      <c r="C3640" s="27"/>
      <c r="D3640" s="27"/>
      <c r="E3640" s="27"/>
      <c r="F3640" s="27"/>
      <c r="G3640" s="27"/>
      <c r="H3640" s="27"/>
      <c r="I3640" s="27"/>
      <c r="J3640" s="27"/>
      <c r="K3640" s="27"/>
      <c r="L3640" s="27"/>
    </row>
    <row r="3642" spans="2:3">
      <c r="B3642" s="1" t="s">
        <v>382</v>
      </c>
      <c r="C3642" s="1" t="s">
        <v>1315</v>
      </c>
    </row>
    <row r="3643" spans="2:3">
      <c r="B3643" s="1">
        <v>0</v>
      </c>
      <c r="C3643" s="43">
        <v>0</v>
      </c>
    </row>
    <row r="3644" spans="2:3">
      <c r="B3644" s="1">
        <v>7</v>
      </c>
      <c r="C3644" s="43">
        <v>0.2</v>
      </c>
    </row>
    <row r="3645" spans="2:3">
      <c r="B3645" s="1">
        <v>14</v>
      </c>
      <c r="C3645" s="43">
        <v>0.4</v>
      </c>
    </row>
    <row r="3646" spans="2:3">
      <c r="B3646" s="1">
        <v>30</v>
      </c>
      <c r="C3646" s="43">
        <v>0.6</v>
      </c>
    </row>
    <row r="3647" spans="2:3">
      <c r="B3647" s="1">
        <v>60</v>
      </c>
      <c r="C3647" s="43">
        <v>0.8</v>
      </c>
    </row>
    <row r="3648" spans="2:3">
      <c r="B3648" s="1">
        <v>120</v>
      </c>
      <c r="C3648" s="43">
        <v>1</v>
      </c>
    </row>
    <row r="3651" s="25" customFormat="1" spans="1:5">
      <c r="A3651" s="2" t="s">
        <v>554</v>
      </c>
      <c r="B3651" s="2"/>
      <c r="C3651" s="41" t="s">
        <v>436</v>
      </c>
      <c r="E3651" s="26" t="s">
        <v>2034</v>
      </c>
    </row>
    <row r="3653" spans="2:12">
      <c r="B3653" s="27" t="s">
        <v>1306</v>
      </c>
      <c r="C3653" s="27"/>
      <c r="D3653" s="27"/>
      <c r="E3653" s="27"/>
      <c r="F3653" s="27"/>
      <c r="G3653" s="27"/>
      <c r="H3653" s="27"/>
      <c r="I3653" s="27"/>
      <c r="J3653" s="27"/>
      <c r="K3653" s="27"/>
      <c r="L3653" s="27"/>
    </row>
    <row r="3655" spans="2:6">
      <c r="B3655" s="1" t="s">
        <v>1349</v>
      </c>
      <c r="E3655" s="1">
        <f>总规划!$D$105</f>
        <v>1800</v>
      </c>
      <c r="F3655" s="1" t="str">
        <f>总规划!$C$105</f>
        <v>1M资源</v>
      </c>
    </row>
    <row r="3656" spans="2:5">
      <c r="B3656" s="1" t="s">
        <v>2035</v>
      </c>
      <c r="E3656" s="68">
        <f>总规划!$D$147</f>
        <v>0.006</v>
      </c>
    </row>
    <row r="3657" spans="2:6">
      <c r="B3657" s="1" t="s">
        <v>2036</v>
      </c>
      <c r="E3657" s="1">
        <f>E3655/30*E3656*1000000</f>
        <v>360000</v>
      </c>
      <c r="F3657" s="1" t="s">
        <v>1328</v>
      </c>
    </row>
    <row r="3659" spans="2:6">
      <c r="B3659" s="1" t="s">
        <v>944</v>
      </c>
      <c r="E3659" s="1">
        <f>总规划!$D$107</f>
        <v>1500</v>
      </c>
      <c r="F3659" s="1" t="str">
        <f>总规划!$C$107</f>
        <v>1四星卡</v>
      </c>
    </row>
    <row r="3660" spans="2:5">
      <c r="B3660" s="1" t="s">
        <v>2037</v>
      </c>
      <c r="E3660" s="42">
        <f>总规划!$F$147</f>
        <v>0.048</v>
      </c>
    </row>
    <row r="3661" spans="2:6">
      <c r="B3661" s="1" t="s">
        <v>2038</v>
      </c>
      <c r="E3661" s="1">
        <f>E3659/30*E3660</f>
        <v>2.4</v>
      </c>
      <c r="F3661" s="1" t="str">
        <f>总规划!$C$107</f>
        <v>1四星卡</v>
      </c>
    </row>
    <row r="3663" spans="2:6">
      <c r="B3663" s="1" t="s">
        <v>989</v>
      </c>
      <c r="E3663" s="1">
        <f>总规划!$D$108</f>
        <v>300</v>
      </c>
      <c r="F3663" s="1" t="str">
        <f>总规划!$C$108</f>
        <v>1M陆经</v>
      </c>
    </row>
    <row r="3664" spans="2:5">
      <c r="B3664" s="1" t="s">
        <v>2039</v>
      </c>
      <c r="E3664" s="68">
        <f>总规划!$G$147</f>
        <v>0.013</v>
      </c>
    </row>
    <row r="3665" spans="2:6">
      <c r="B3665" s="1" t="s">
        <v>2040</v>
      </c>
      <c r="E3665" s="1">
        <f>E3663*1000000/30*E3664</f>
        <v>130000</v>
      </c>
      <c r="F3665" s="1" t="s">
        <v>1460</v>
      </c>
    </row>
    <row r="3667" spans="2:6">
      <c r="B3667" s="1" t="s">
        <v>1057</v>
      </c>
      <c r="E3667" s="1">
        <f>总规划!$D$110</f>
        <v>60</v>
      </c>
      <c r="F3667" s="1" t="str">
        <f>总规划!$C$110</f>
        <v>1k零件</v>
      </c>
    </row>
    <row r="3668" spans="2:5">
      <c r="B3668" s="1" t="s">
        <v>2041</v>
      </c>
      <c r="E3668" s="42">
        <f>总规划!$I$147</f>
        <v>0.0828</v>
      </c>
    </row>
    <row r="3669" spans="2:6">
      <c r="B3669" s="1" t="s">
        <v>2042</v>
      </c>
      <c r="E3669" s="1">
        <f>E3667/30*E3668*1000</f>
        <v>165.6</v>
      </c>
      <c r="F3669" s="1" t="s">
        <v>1355</v>
      </c>
    </row>
    <row r="3671" spans="2:6">
      <c r="B3671" s="1" t="s">
        <v>1103</v>
      </c>
      <c r="E3671" s="1">
        <f>总规划!$D$111</f>
        <v>360</v>
      </c>
      <c r="F3671" s="1" t="str">
        <f>总规划!$C$111</f>
        <v>1k铜材料</v>
      </c>
    </row>
    <row r="3672" spans="2:5">
      <c r="B3672" s="1" t="s">
        <v>1108</v>
      </c>
      <c r="E3672" s="42">
        <f>总规划!$J$147</f>
        <v>0.1</v>
      </c>
    </row>
    <row r="3673" spans="2:6">
      <c r="B3673" s="1" t="s">
        <v>2043</v>
      </c>
      <c r="E3673" s="1">
        <f>E3671/30*E3672*1000</f>
        <v>1200</v>
      </c>
      <c r="F3673" s="1" t="s">
        <v>1357</v>
      </c>
    </row>
    <row r="3675" spans="2:6">
      <c r="B3675" s="1" t="s">
        <v>1358</v>
      </c>
      <c r="E3675" s="1">
        <f>总规划!$D$114</f>
        <v>180</v>
      </c>
      <c r="F3675" s="1" t="str">
        <f>总规划!$C$114</f>
        <v>1技书</v>
      </c>
    </row>
    <row r="3676" spans="2:5">
      <c r="B3676" s="1" t="s">
        <v>2044</v>
      </c>
      <c r="E3676" s="42">
        <f>总规划!$M$147</f>
        <v>0.33</v>
      </c>
    </row>
    <row r="3677" spans="2:6">
      <c r="B3677" s="1" t="s">
        <v>2045</v>
      </c>
      <c r="E3677" s="1">
        <f>E3675/30*E3676</f>
        <v>1.98</v>
      </c>
      <c r="F3677" s="1" t="str">
        <f>总规划!$C$114</f>
        <v>1技书</v>
      </c>
    </row>
    <row r="3679" spans="2:6">
      <c r="B3679" s="1" t="s">
        <v>1016</v>
      </c>
      <c r="E3679" s="1">
        <f>总规划!$D$118</f>
        <v>150</v>
      </c>
      <c r="F3679" s="1" t="str">
        <f>总规划!$C$118</f>
        <v>1M空经</v>
      </c>
    </row>
    <row r="3680" spans="2:5">
      <c r="B3680" s="1" t="s">
        <v>2046</v>
      </c>
      <c r="E3680" s="68">
        <f>总规划!$Q$147</f>
        <v>0.013</v>
      </c>
    </row>
    <row r="3681" spans="2:6">
      <c r="B3681" s="1" t="s">
        <v>2047</v>
      </c>
      <c r="E3681" s="1">
        <f>E3679*1000000/30*E3680</f>
        <v>65000</v>
      </c>
      <c r="F3681" s="1" t="s">
        <v>1730</v>
      </c>
    </row>
    <row r="3683" spans="2:12">
      <c r="B3683" s="27" t="s">
        <v>2048</v>
      </c>
      <c r="C3683" s="27"/>
      <c r="D3683" s="27"/>
      <c r="E3683" s="27"/>
      <c r="F3683" s="27"/>
      <c r="G3683" s="27"/>
      <c r="H3683" s="27"/>
      <c r="I3683" s="27"/>
      <c r="J3683" s="27"/>
      <c r="K3683" s="27"/>
      <c r="L3683" s="27"/>
    </row>
    <row r="3685" spans="2:6">
      <c r="B3685" s="1" t="s">
        <v>2049</v>
      </c>
      <c r="E3685" s="1">
        <f>E4819</f>
        <v>0.8</v>
      </c>
      <c r="F3685" s="1" t="s">
        <v>520</v>
      </c>
    </row>
    <row r="3686" spans="2:6">
      <c r="B3686" s="1" t="s">
        <v>2050</v>
      </c>
      <c r="E3686" s="1">
        <f>E4820</f>
        <v>18.3</v>
      </c>
      <c r="F3686" s="1" t="s">
        <v>1355</v>
      </c>
    </row>
    <row r="3687" spans="2:6">
      <c r="B3687" s="1" t="s">
        <v>2051</v>
      </c>
      <c r="E3687" s="1">
        <f>G1522</f>
        <v>100</v>
      </c>
      <c r="F3687" s="1" t="s">
        <v>1357</v>
      </c>
    </row>
    <row r="3689" spans="3:10">
      <c r="C3689" s="1" t="s">
        <v>1630</v>
      </c>
      <c r="D3689" s="1" t="s">
        <v>1555</v>
      </c>
      <c r="E3689" s="1" t="s">
        <v>2052</v>
      </c>
      <c r="F3689" s="1" t="s">
        <v>1969</v>
      </c>
      <c r="G3689" s="1" t="s">
        <v>1752</v>
      </c>
      <c r="H3689" s="1" t="s">
        <v>1759</v>
      </c>
      <c r="I3689" s="1" t="s">
        <v>1766</v>
      </c>
      <c r="J3689" s="1" t="s">
        <v>1539</v>
      </c>
    </row>
    <row r="3690" spans="2:33">
      <c r="B3690" s="1" t="s">
        <v>471</v>
      </c>
      <c r="C3690" s="1" t="s">
        <v>2053</v>
      </c>
      <c r="D3690" s="1" t="s">
        <v>63</v>
      </c>
      <c r="E3690" s="1" t="s">
        <v>358</v>
      </c>
      <c r="F3690" s="1" t="s">
        <v>2054</v>
      </c>
      <c r="G3690" s="1" t="s">
        <v>2055</v>
      </c>
      <c r="H3690" s="1" t="s">
        <v>2056</v>
      </c>
      <c r="I3690" s="1" t="s">
        <v>2057</v>
      </c>
      <c r="J3690" s="1" t="s">
        <v>479</v>
      </c>
      <c r="K3690" s="1" t="s">
        <v>481</v>
      </c>
      <c r="L3690" s="1" t="s">
        <v>476</v>
      </c>
      <c r="M3690" s="1" t="s">
        <v>454</v>
      </c>
      <c r="N3690" s="1" t="s">
        <v>479</v>
      </c>
      <c r="O3690" s="1" t="s">
        <v>481</v>
      </c>
      <c r="P3690" s="1" t="s">
        <v>458</v>
      </c>
      <c r="Q3690" s="1" t="s">
        <v>483</v>
      </c>
      <c r="R3690" s="1" t="s">
        <v>468</v>
      </c>
      <c r="S3690" s="15" t="s">
        <v>2058</v>
      </c>
      <c r="T3690" s="16" t="s">
        <v>2059</v>
      </c>
      <c r="U3690" s="15"/>
      <c r="V3690" s="15"/>
      <c r="W3690" s="15"/>
      <c r="X3690" s="15"/>
      <c r="Y3690" s="15"/>
      <c r="Z3690" s="15"/>
      <c r="AA3690" s="15"/>
      <c r="AB3690" s="15"/>
      <c r="AC3690" s="15"/>
      <c r="AD3690" s="15"/>
      <c r="AE3690" s="15" t="s">
        <v>2058</v>
      </c>
      <c r="AF3690" s="16" t="s">
        <v>1740</v>
      </c>
      <c r="AG3690" s="15"/>
    </row>
    <row r="3691" spans="2:33">
      <c r="B3691" s="1">
        <v>0</v>
      </c>
      <c r="C3691" s="30"/>
      <c r="D3691" s="30"/>
      <c r="E3691" s="30"/>
      <c r="F3691" s="30"/>
      <c r="G3691" s="30">
        <v>1</v>
      </c>
      <c r="H3691" s="30">
        <v>1</v>
      </c>
      <c r="I3691" s="30">
        <v>1</v>
      </c>
      <c r="J3691" s="30">
        <v>10000</v>
      </c>
      <c r="K3691" s="30">
        <v>5000</v>
      </c>
      <c r="L3691" s="1">
        <f t="shared" ref="L3691:L3706" si="1052">SUM(G3691:I3691)*10000</f>
        <v>30000</v>
      </c>
      <c r="M3691" s="1">
        <f t="shared" ref="M3691:M3706" si="1053">SUM(D3691:E3691)*$E$3685</f>
        <v>0</v>
      </c>
      <c r="N3691" s="1">
        <f>J3691</f>
        <v>10000</v>
      </c>
      <c r="O3691" s="1">
        <f>K3691</f>
        <v>5000</v>
      </c>
      <c r="P3691" s="1">
        <f t="shared" ref="P3691:P3706" si="1054">SUM(D3691:E3691)*$E$3686</f>
        <v>0</v>
      </c>
      <c r="Q3691" s="1">
        <f t="shared" ref="Q3691:Q3706" si="1055">F3691*$E$3687</f>
        <v>0</v>
      </c>
      <c r="R3691" s="1">
        <f t="shared" ref="R3691:R3706" si="1056">C3691</f>
        <v>0</v>
      </c>
      <c r="S3691" s="15" t="str">
        <f t="shared" ref="S3691:S3706" si="1057">CONCATENATE(IF(C3691="","",CONCATENATE($C$3689,";")),IF(D3691="","",CONCATENATE($D$3689,";")),IF(E3691="","",CONCATENATE($E$3689,";")),IF(F3691="","",CONCATENATE($F$3689,";")),IF(G3691="","",CONCATENATE($G$3689,";")),IF(H3691="","",CONCATENATE($H$3689,";")),IF(I3691="","",CONCATENATE($I$3689,";")),IF(J3691="","",CONCATENATE($J$3689,";")))</f>
        <v>gold_10000_card;metal_10000_card;oil_10000_card;common_equipment_exp;</v>
      </c>
      <c r="T3691" s="16" t="str">
        <f>LEFT(S3691,LEN(S3691)-1)</f>
        <v>gold_10000_card;metal_10000_card;oil_10000_card;common_equipment_exp</v>
      </c>
      <c r="U3691" s="15"/>
      <c r="V3691" s="15"/>
      <c r="W3691" s="15"/>
      <c r="X3691" s="15"/>
      <c r="Y3691" s="15"/>
      <c r="Z3691" s="15"/>
      <c r="AA3691" s="15"/>
      <c r="AB3691" s="15"/>
      <c r="AC3691" s="15"/>
      <c r="AD3691" s="15"/>
      <c r="AE3691" s="15" t="str">
        <f t="shared" ref="AE3691:AE3706" si="1058">CONCATENATE(IF(C3691="","",CONCATENATE(C3691,";")),IF(D3691="","",CONCATENATE(D3691,";")),IF(E3691="","",CONCATENATE(E3691,";")),IF(F3691="","",CONCATENATE(F3691,";")),IF(G3691="","",CONCATENATE(G3691,";")),IF(H3691="","",CONCATENATE(H3691,";")),IF(I3691="","",CONCATENATE(I3691,";")),IF(J3691="","",CONCATENATE(J3691,";")))</f>
        <v>1;1;1;10000;</v>
      </c>
      <c r="AF3691" s="16" t="str">
        <f t="shared" ref="AF3691:AF3706" si="1059">LEFT(AE3691,LEN(AE3691)-1)</f>
        <v>1;1;1;10000</v>
      </c>
      <c r="AG3691" s="15"/>
    </row>
    <row r="3692" spans="2:33">
      <c r="B3692" s="1">
        <v>1</v>
      </c>
      <c r="C3692" s="30"/>
      <c r="D3692" s="30"/>
      <c r="E3692" s="30"/>
      <c r="F3692" s="30"/>
      <c r="G3692" s="30">
        <v>2</v>
      </c>
      <c r="H3692" s="30">
        <v>2</v>
      </c>
      <c r="I3692" s="30">
        <v>2</v>
      </c>
      <c r="J3692" s="30">
        <v>20000</v>
      </c>
      <c r="K3692" s="30">
        <v>10000</v>
      </c>
      <c r="L3692" s="1">
        <f t="shared" si="1052"/>
        <v>60000</v>
      </c>
      <c r="M3692" s="1">
        <f t="shared" si="1053"/>
        <v>0</v>
      </c>
      <c r="N3692" s="1">
        <f t="shared" ref="N3692:N3706" si="1060">J3692</f>
        <v>20000</v>
      </c>
      <c r="O3692" s="1">
        <f t="shared" ref="O3692:O3706" si="1061">K3692</f>
        <v>10000</v>
      </c>
      <c r="P3692" s="1">
        <f t="shared" si="1054"/>
        <v>0</v>
      </c>
      <c r="Q3692" s="1">
        <f t="shared" si="1055"/>
        <v>0</v>
      </c>
      <c r="R3692" s="1">
        <f t="shared" si="1056"/>
        <v>0</v>
      </c>
      <c r="S3692" s="15" t="str">
        <f t="shared" si="1057"/>
        <v>gold_10000_card;metal_10000_card;oil_10000_card;common_equipment_exp;</v>
      </c>
      <c r="T3692" s="16" t="str">
        <f t="shared" ref="T3692:T3706" si="1062">LEFT(S3692,LEN(S3692)-1)</f>
        <v>gold_10000_card;metal_10000_card;oil_10000_card;common_equipment_exp</v>
      </c>
      <c r="U3692" s="15"/>
      <c r="V3692" s="15"/>
      <c r="W3692" s="15"/>
      <c r="X3692" s="15"/>
      <c r="Y3692" s="15"/>
      <c r="Z3692" s="15"/>
      <c r="AA3692" s="15"/>
      <c r="AB3692" s="15"/>
      <c r="AC3692" s="15"/>
      <c r="AD3692" s="15"/>
      <c r="AE3692" s="15" t="str">
        <f t="shared" si="1058"/>
        <v>2;2;2;20000;</v>
      </c>
      <c r="AF3692" s="16" t="str">
        <f t="shared" si="1059"/>
        <v>2;2;2;20000</v>
      </c>
      <c r="AG3692" s="15"/>
    </row>
    <row r="3693" spans="2:33">
      <c r="B3693" s="1">
        <v>2</v>
      </c>
      <c r="C3693" s="30"/>
      <c r="D3693" s="30"/>
      <c r="E3693" s="30"/>
      <c r="F3693" s="30"/>
      <c r="G3693" s="30">
        <v>3</v>
      </c>
      <c r="H3693" s="30">
        <v>3</v>
      </c>
      <c r="I3693" s="30">
        <v>3</v>
      </c>
      <c r="J3693" s="30">
        <v>30000</v>
      </c>
      <c r="K3693" s="30">
        <v>15000</v>
      </c>
      <c r="L3693" s="1">
        <f t="shared" si="1052"/>
        <v>90000</v>
      </c>
      <c r="M3693" s="1">
        <f t="shared" si="1053"/>
        <v>0</v>
      </c>
      <c r="N3693" s="1">
        <f t="shared" si="1060"/>
        <v>30000</v>
      </c>
      <c r="O3693" s="1">
        <f t="shared" si="1061"/>
        <v>15000</v>
      </c>
      <c r="P3693" s="1">
        <f t="shared" si="1054"/>
        <v>0</v>
      </c>
      <c r="Q3693" s="1">
        <f t="shared" si="1055"/>
        <v>0</v>
      </c>
      <c r="R3693" s="1">
        <f t="shared" si="1056"/>
        <v>0</v>
      </c>
      <c r="S3693" s="15" t="str">
        <f t="shared" si="1057"/>
        <v>gold_10000_card;metal_10000_card;oil_10000_card;common_equipment_exp;</v>
      </c>
      <c r="T3693" s="16" t="str">
        <f t="shared" si="1062"/>
        <v>gold_10000_card;metal_10000_card;oil_10000_card;common_equipment_exp</v>
      </c>
      <c r="U3693" s="15"/>
      <c r="V3693" s="15"/>
      <c r="W3693" s="15"/>
      <c r="X3693" s="15"/>
      <c r="Y3693" s="15"/>
      <c r="Z3693" s="15"/>
      <c r="AA3693" s="15"/>
      <c r="AB3693" s="15"/>
      <c r="AC3693" s="15"/>
      <c r="AD3693" s="15"/>
      <c r="AE3693" s="15" t="str">
        <f t="shared" si="1058"/>
        <v>3;3;3;30000;</v>
      </c>
      <c r="AF3693" s="16" t="str">
        <f t="shared" si="1059"/>
        <v>3;3;3;30000</v>
      </c>
      <c r="AG3693" s="15"/>
    </row>
    <row r="3694" spans="2:33">
      <c r="B3694" s="1">
        <v>3</v>
      </c>
      <c r="C3694" s="30"/>
      <c r="D3694" s="30"/>
      <c r="E3694" s="30"/>
      <c r="F3694" s="30"/>
      <c r="G3694" s="30">
        <v>4</v>
      </c>
      <c r="H3694" s="30">
        <v>4</v>
      </c>
      <c r="I3694" s="30">
        <v>4</v>
      </c>
      <c r="J3694" s="30">
        <v>40000</v>
      </c>
      <c r="K3694" s="30">
        <v>20000</v>
      </c>
      <c r="L3694" s="1">
        <f t="shared" si="1052"/>
        <v>120000</v>
      </c>
      <c r="M3694" s="1">
        <f t="shared" si="1053"/>
        <v>0</v>
      </c>
      <c r="N3694" s="1">
        <f t="shared" si="1060"/>
        <v>40000</v>
      </c>
      <c r="O3694" s="1">
        <f t="shared" si="1061"/>
        <v>20000</v>
      </c>
      <c r="P3694" s="1">
        <f t="shared" si="1054"/>
        <v>0</v>
      </c>
      <c r="Q3694" s="1">
        <f t="shared" si="1055"/>
        <v>0</v>
      </c>
      <c r="R3694" s="1">
        <f t="shared" si="1056"/>
        <v>0</v>
      </c>
      <c r="S3694" s="15" t="str">
        <f t="shared" si="1057"/>
        <v>gold_10000_card;metal_10000_card;oil_10000_card;common_equipment_exp;</v>
      </c>
      <c r="T3694" s="16" t="str">
        <f t="shared" si="1062"/>
        <v>gold_10000_card;metal_10000_card;oil_10000_card;common_equipment_exp</v>
      </c>
      <c r="U3694" s="15"/>
      <c r="V3694" s="15"/>
      <c r="W3694" s="15"/>
      <c r="X3694" s="15"/>
      <c r="Y3694" s="15"/>
      <c r="Z3694" s="15"/>
      <c r="AA3694" s="15"/>
      <c r="AB3694" s="15"/>
      <c r="AC3694" s="15"/>
      <c r="AD3694" s="15"/>
      <c r="AE3694" s="15" t="str">
        <f t="shared" si="1058"/>
        <v>4;4;4;40000;</v>
      </c>
      <c r="AF3694" s="16" t="str">
        <f t="shared" si="1059"/>
        <v>4;4;4;40000</v>
      </c>
      <c r="AG3694" s="15"/>
    </row>
    <row r="3695" spans="2:33">
      <c r="B3695" s="1">
        <v>4</v>
      </c>
      <c r="C3695" s="30"/>
      <c r="D3695" s="30">
        <v>1</v>
      </c>
      <c r="E3695" s="30"/>
      <c r="F3695" s="30"/>
      <c r="G3695" s="30">
        <v>5</v>
      </c>
      <c r="H3695" s="30">
        <v>5</v>
      </c>
      <c r="I3695" s="30">
        <v>5</v>
      </c>
      <c r="J3695" s="30">
        <v>50000</v>
      </c>
      <c r="K3695" s="30">
        <v>25000</v>
      </c>
      <c r="L3695" s="1">
        <f t="shared" si="1052"/>
        <v>150000</v>
      </c>
      <c r="M3695" s="1">
        <f t="shared" si="1053"/>
        <v>0.8</v>
      </c>
      <c r="N3695" s="1">
        <f t="shared" si="1060"/>
        <v>50000</v>
      </c>
      <c r="O3695" s="1">
        <f t="shared" si="1061"/>
        <v>25000</v>
      </c>
      <c r="P3695" s="1">
        <f t="shared" si="1054"/>
        <v>18.3</v>
      </c>
      <c r="Q3695" s="1">
        <f t="shared" si="1055"/>
        <v>0</v>
      </c>
      <c r="R3695" s="1">
        <f t="shared" si="1056"/>
        <v>0</v>
      </c>
      <c r="S3695" s="15" t="str">
        <f t="shared" si="1057"/>
        <v>top_key;gold_10000_card;metal_10000_card;oil_10000_card;common_equipment_exp;</v>
      </c>
      <c r="T3695" s="16" t="str">
        <f t="shared" si="1062"/>
        <v>top_key;gold_10000_card;metal_10000_card;oil_10000_card;common_equipment_exp</v>
      </c>
      <c r="U3695" s="15"/>
      <c r="V3695" s="15"/>
      <c r="W3695" s="15"/>
      <c r="X3695" s="15"/>
      <c r="Y3695" s="15"/>
      <c r="Z3695" s="15"/>
      <c r="AA3695" s="15"/>
      <c r="AB3695" s="15"/>
      <c r="AC3695" s="15"/>
      <c r="AD3695" s="15"/>
      <c r="AE3695" s="15" t="str">
        <f t="shared" si="1058"/>
        <v>1;5;5;5;50000;</v>
      </c>
      <c r="AF3695" s="16" t="str">
        <f t="shared" si="1059"/>
        <v>1;5;5;5;50000</v>
      </c>
      <c r="AG3695" s="15"/>
    </row>
    <row r="3696" spans="2:33">
      <c r="B3696" s="1">
        <v>5</v>
      </c>
      <c r="C3696" s="30"/>
      <c r="D3696" s="30">
        <v>1</v>
      </c>
      <c r="E3696" s="30"/>
      <c r="F3696" s="30"/>
      <c r="G3696" s="30">
        <v>6</v>
      </c>
      <c r="H3696" s="30">
        <v>6</v>
      </c>
      <c r="I3696" s="30">
        <v>6</v>
      </c>
      <c r="J3696" s="30">
        <v>60000</v>
      </c>
      <c r="K3696" s="30">
        <v>30000</v>
      </c>
      <c r="L3696" s="1">
        <f t="shared" si="1052"/>
        <v>180000</v>
      </c>
      <c r="M3696" s="1">
        <f t="shared" si="1053"/>
        <v>0.8</v>
      </c>
      <c r="N3696" s="1">
        <f t="shared" si="1060"/>
        <v>60000</v>
      </c>
      <c r="O3696" s="1">
        <f t="shared" si="1061"/>
        <v>30000</v>
      </c>
      <c r="P3696" s="1">
        <f t="shared" si="1054"/>
        <v>18.3</v>
      </c>
      <c r="Q3696" s="1">
        <f t="shared" si="1055"/>
        <v>0</v>
      </c>
      <c r="R3696" s="1">
        <f t="shared" si="1056"/>
        <v>0</v>
      </c>
      <c r="S3696" s="15" t="str">
        <f t="shared" si="1057"/>
        <v>top_key;gold_10000_card;metal_10000_card;oil_10000_card;common_equipment_exp;</v>
      </c>
      <c r="T3696" s="16" t="str">
        <f t="shared" si="1062"/>
        <v>top_key;gold_10000_card;metal_10000_card;oil_10000_card;common_equipment_exp</v>
      </c>
      <c r="U3696" s="15"/>
      <c r="V3696" s="15"/>
      <c r="W3696" s="15"/>
      <c r="X3696" s="15"/>
      <c r="Y3696" s="15"/>
      <c r="Z3696" s="15"/>
      <c r="AA3696" s="15"/>
      <c r="AB3696" s="15"/>
      <c r="AC3696" s="15"/>
      <c r="AD3696" s="15"/>
      <c r="AE3696" s="15" t="str">
        <f t="shared" si="1058"/>
        <v>1;6;6;6;60000;</v>
      </c>
      <c r="AF3696" s="16" t="str">
        <f t="shared" si="1059"/>
        <v>1;6;6;6;60000</v>
      </c>
      <c r="AG3696" s="15"/>
    </row>
    <row r="3697" spans="2:33">
      <c r="B3697" s="1">
        <v>6</v>
      </c>
      <c r="C3697" s="30"/>
      <c r="D3697" s="30">
        <v>1</v>
      </c>
      <c r="E3697" s="30"/>
      <c r="F3697" s="30"/>
      <c r="G3697" s="30">
        <v>7</v>
      </c>
      <c r="H3697" s="30">
        <v>7</v>
      </c>
      <c r="I3697" s="30">
        <v>7</v>
      </c>
      <c r="J3697" s="30">
        <v>70000</v>
      </c>
      <c r="K3697" s="30">
        <v>35000</v>
      </c>
      <c r="L3697" s="1">
        <f t="shared" si="1052"/>
        <v>210000</v>
      </c>
      <c r="M3697" s="1">
        <f t="shared" si="1053"/>
        <v>0.8</v>
      </c>
      <c r="N3697" s="1">
        <f t="shared" si="1060"/>
        <v>70000</v>
      </c>
      <c r="O3697" s="1">
        <f t="shared" si="1061"/>
        <v>35000</v>
      </c>
      <c r="P3697" s="1">
        <f t="shared" si="1054"/>
        <v>18.3</v>
      </c>
      <c r="Q3697" s="1">
        <f t="shared" si="1055"/>
        <v>0</v>
      </c>
      <c r="R3697" s="1">
        <f t="shared" si="1056"/>
        <v>0</v>
      </c>
      <c r="S3697" s="15" t="str">
        <f t="shared" si="1057"/>
        <v>top_key;gold_10000_card;metal_10000_card;oil_10000_card;common_equipment_exp;</v>
      </c>
      <c r="T3697" s="16" t="str">
        <f t="shared" si="1062"/>
        <v>top_key;gold_10000_card;metal_10000_card;oil_10000_card;common_equipment_exp</v>
      </c>
      <c r="U3697" s="15"/>
      <c r="V3697" s="15"/>
      <c r="W3697" s="15"/>
      <c r="X3697" s="15"/>
      <c r="Y3697" s="15"/>
      <c r="Z3697" s="15"/>
      <c r="AA3697" s="15"/>
      <c r="AB3697" s="15"/>
      <c r="AC3697" s="15"/>
      <c r="AD3697" s="15"/>
      <c r="AE3697" s="15" t="str">
        <f t="shared" si="1058"/>
        <v>1;7;7;7;70000;</v>
      </c>
      <c r="AF3697" s="16" t="str">
        <f t="shared" si="1059"/>
        <v>1;7;7;7;70000</v>
      </c>
      <c r="AG3697" s="15"/>
    </row>
    <row r="3698" spans="2:33">
      <c r="B3698" s="1">
        <v>7</v>
      </c>
      <c r="C3698" s="30"/>
      <c r="D3698" s="30">
        <v>2</v>
      </c>
      <c r="E3698" s="30"/>
      <c r="F3698" s="30"/>
      <c r="G3698" s="30">
        <v>8</v>
      </c>
      <c r="H3698" s="30">
        <v>8</v>
      </c>
      <c r="I3698" s="30">
        <v>8</v>
      </c>
      <c r="J3698" s="30">
        <v>80000</v>
      </c>
      <c r="K3698" s="30">
        <v>40000</v>
      </c>
      <c r="L3698" s="1">
        <f t="shared" si="1052"/>
        <v>240000</v>
      </c>
      <c r="M3698" s="1">
        <f t="shared" si="1053"/>
        <v>1.6</v>
      </c>
      <c r="N3698" s="1">
        <f t="shared" si="1060"/>
        <v>80000</v>
      </c>
      <c r="O3698" s="1">
        <f t="shared" si="1061"/>
        <v>40000</v>
      </c>
      <c r="P3698" s="1">
        <f t="shared" si="1054"/>
        <v>36.6</v>
      </c>
      <c r="Q3698" s="1">
        <f t="shared" si="1055"/>
        <v>0</v>
      </c>
      <c r="R3698" s="1">
        <f t="shared" si="1056"/>
        <v>0</v>
      </c>
      <c r="S3698" s="15" t="str">
        <f t="shared" si="1057"/>
        <v>top_key;gold_10000_card;metal_10000_card;oil_10000_card;common_equipment_exp;</v>
      </c>
      <c r="T3698" s="16" t="str">
        <f t="shared" si="1062"/>
        <v>top_key;gold_10000_card;metal_10000_card;oil_10000_card;common_equipment_exp</v>
      </c>
      <c r="U3698" s="15"/>
      <c r="V3698" s="15"/>
      <c r="W3698" s="15"/>
      <c r="X3698" s="15"/>
      <c r="Y3698" s="15"/>
      <c r="Z3698" s="15"/>
      <c r="AA3698" s="15"/>
      <c r="AB3698" s="15"/>
      <c r="AC3698" s="15"/>
      <c r="AD3698" s="15"/>
      <c r="AE3698" s="15" t="str">
        <f t="shared" si="1058"/>
        <v>2;8;8;8;80000;</v>
      </c>
      <c r="AF3698" s="16" t="str">
        <f t="shared" si="1059"/>
        <v>2;8;8;8;80000</v>
      </c>
      <c r="AG3698" s="15"/>
    </row>
    <row r="3699" spans="2:33">
      <c r="B3699" s="1">
        <v>8</v>
      </c>
      <c r="C3699" s="30"/>
      <c r="D3699" s="30">
        <v>2</v>
      </c>
      <c r="E3699" s="30"/>
      <c r="F3699" s="30">
        <v>6</v>
      </c>
      <c r="G3699" s="30">
        <v>9</v>
      </c>
      <c r="H3699" s="30">
        <v>9</v>
      </c>
      <c r="I3699" s="30">
        <v>9</v>
      </c>
      <c r="J3699" s="30">
        <v>90000</v>
      </c>
      <c r="K3699" s="30">
        <v>45000</v>
      </c>
      <c r="L3699" s="1">
        <f t="shared" si="1052"/>
        <v>270000</v>
      </c>
      <c r="M3699" s="1">
        <f t="shared" si="1053"/>
        <v>1.6</v>
      </c>
      <c r="N3699" s="1">
        <f t="shared" si="1060"/>
        <v>90000</v>
      </c>
      <c r="O3699" s="1">
        <f t="shared" si="1061"/>
        <v>45000</v>
      </c>
      <c r="P3699" s="1">
        <f t="shared" si="1054"/>
        <v>36.6</v>
      </c>
      <c r="Q3699" s="1">
        <f t="shared" si="1055"/>
        <v>600</v>
      </c>
      <c r="R3699" s="1">
        <f t="shared" si="1056"/>
        <v>0</v>
      </c>
      <c r="S3699" s="15" t="str">
        <f t="shared" si="1057"/>
        <v>top_key;chest_select_replacement_silver;gold_10000_card;metal_10000_card;oil_10000_card;common_equipment_exp;</v>
      </c>
      <c r="T3699" s="16" t="str">
        <f t="shared" si="1062"/>
        <v>top_key;chest_select_replacement_silver;gold_10000_card;metal_10000_card;oil_10000_card;common_equipment_exp</v>
      </c>
      <c r="U3699" s="15"/>
      <c r="V3699" s="15"/>
      <c r="W3699" s="15"/>
      <c r="X3699" s="15"/>
      <c r="Y3699" s="15"/>
      <c r="Z3699" s="15"/>
      <c r="AA3699" s="15"/>
      <c r="AB3699" s="15"/>
      <c r="AC3699" s="15"/>
      <c r="AD3699" s="15"/>
      <c r="AE3699" s="15" t="str">
        <f t="shared" si="1058"/>
        <v>2;6;9;9;9;90000;</v>
      </c>
      <c r="AF3699" s="16" t="str">
        <f t="shared" si="1059"/>
        <v>2;6;9;9;9;90000</v>
      </c>
      <c r="AG3699" s="15"/>
    </row>
    <row r="3700" spans="2:33">
      <c r="B3700" s="1">
        <v>9</v>
      </c>
      <c r="C3700" s="30"/>
      <c r="D3700" s="30"/>
      <c r="E3700" s="30">
        <v>3</v>
      </c>
      <c r="F3700" s="30">
        <v>6</v>
      </c>
      <c r="G3700" s="30">
        <v>10</v>
      </c>
      <c r="H3700" s="30">
        <v>10</v>
      </c>
      <c r="I3700" s="30">
        <v>10</v>
      </c>
      <c r="J3700" s="30">
        <v>100000</v>
      </c>
      <c r="K3700" s="30">
        <v>50000</v>
      </c>
      <c r="L3700" s="1">
        <f t="shared" si="1052"/>
        <v>300000</v>
      </c>
      <c r="M3700" s="1">
        <f t="shared" si="1053"/>
        <v>2.4</v>
      </c>
      <c r="N3700" s="1">
        <f t="shared" si="1060"/>
        <v>100000</v>
      </c>
      <c r="O3700" s="1">
        <f t="shared" si="1061"/>
        <v>50000</v>
      </c>
      <c r="P3700" s="1">
        <f t="shared" si="1054"/>
        <v>54.9</v>
      </c>
      <c r="Q3700" s="1">
        <f t="shared" si="1055"/>
        <v>600</v>
      </c>
      <c r="R3700" s="1">
        <f t="shared" si="1056"/>
        <v>0</v>
      </c>
      <c r="S3700" s="15" t="str">
        <f t="shared" si="1057"/>
        <v>camp_key;chest_select_replacement_silver;gold_10000_card;metal_10000_card;oil_10000_card;common_equipment_exp;</v>
      </c>
      <c r="T3700" s="16" t="str">
        <f t="shared" si="1062"/>
        <v>camp_key;chest_select_replacement_silver;gold_10000_card;metal_10000_card;oil_10000_card;common_equipment_exp</v>
      </c>
      <c r="U3700" s="15"/>
      <c r="V3700" s="15"/>
      <c r="W3700" s="15"/>
      <c r="X3700" s="15"/>
      <c r="Y3700" s="15"/>
      <c r="Z3700" s="15"/>
      <c r="AA3700" s="15"/>
      <c r="AB3700" s="15"/>
      <c r="AC3700" s="15"/>
      <c r="AD3700" s="15"/>
      <c r="AE3700" s="15" t="str">
        <f t="shared" si="1058"/>
        <v>3;6;10;10;10;100000;</v>
      </c>
      <c r="AF3700" s="16" t="str">
        <f t="shared" si="1059"/>
        <v>3;6;10;10;10;100000</v>
      </c>
      <c r="AG3700" s="15"/>
    </row>
    <row r="3701" spans="2:33">
      <c r="B3701" s="1">
        <v>10</v>
      </c>
      <c r="C3701" s="30">
        <v>1</v>
      </c>
      <c r="D3701" s="30"/>
      <c r="E3701" s="30">
        <v>3</v>
      </c>
      <c r="F3701" s="30">
        <v>6</v>
      </c>
      <c r="G3701" s="30">
        <v>11</v>
      </c>
      <c r="H3701" s="30">
        <v>11</v>
      </c>
      <c r="I3701" s="30">
        <v>11</v>
      </c>
      <c r="J3701" s="30">
        <v>110000</v>
      </c>
      <c r="K3701" s="30">
        <v>55000</v>
      </c>
      <c r="L3701" s="1">
        <f t="shared" si="1052"/>
        <v>330000</v>
      </c>
      <c r="M3701" s="1">
        <f t="shared" si="1053"/>
        <v>2.4</v>
      </c>
      <c r="N3701" s="1">
        <f t="shared" si="1060"/>
        <v>110000</v>
      </c>
      <c r="O3701" s="1">
        <f t="shared" si="1061"/>
        <v>55000</v>
      </c>
      <c r="P3701" s="1">
        <f t="shared" si="1054"/>
        <v>54.9</v>
      </c>
      <c r="Q3701" s="1">
        <f t="shared" si="1055"/>
        <v>600</v>
      </c>
      <c r="R3701" s="1">
        <f t="shared" si="1056"/>
        <v>1</v>
      </c>
      <c r="S3701" s="15" t="str">
        <f t="shared" si="1057"/>
        <v>officer_skill_item_common;camp_key;chest_select_replacement_silver;gold_10000_card;metal_10000_card;oil_10000_card;common_equipment_exp;</v>
      </c>
      <c r="T3701" s="16" t="str">
        <f t="shared" si="1062"/>
        <v>officer_skill_item_common;camp_key;chest_select_replacement_silver;gold_10000_card;metal_10000_card;oil_10000_card;common_equipment_exp</v>
      </c>
      <c r="U3701" s="15"/>
      <c r="V3701" s="15"/>
      <c r="W3701" s="15"/>
      <c r="X3701" s="15"/>
      <c r="Y3701" s="15"/>
      <c r="Z3701" s="15"/>
      <c r="AA3701" s="15"/>
      <c r="AB3701" s="15"/>
      <c r="AC3701" s="15"/>
      <c r="AD3701" s="15"/>
      <c r="AE3701" s="15" t="str">
        <f t="shared" si="1058"/>
        <v>1;3;6;11;11;11;110000;</v>
      </c>
      <c r="AF3701" s="16" t="str">
        <f t="shared" si="1059"/>
        <v>1;3;6;11;11;11;110000</v>
      </c>
      <c r="AG3701" s="15"/>
    </row>
    <row r="3702" spans="2:33">
      <c r="B3702" s="1">
        <v>11</v>
      </c>
      <c r="C3702" s="30">
        <v>1</v>
      </c>
      <c r="D3702" s="30"/>
      <c r="E3702" s="30">
        <v>3</v>
      </c>
      <c r="F3702" s="30">
        <v>12</v>
      </c>
      <c r="G3702" s="30">
        <v>12</v>
      </c>
      <c r="H3702" s="30">
        <v>12</v>
      </c>
      <c r="I3702" s="30">
        <v>12</v>
      </c>
      <c r="J3702" s="30">
        <v>120000</v>
      </c>
      <c r="K3702" s="30">
        <v>60000</v>
      </c>
      <c r="L3702" s="1">
        <f t="shared" si="1052"/>
        <v>360000</v>
      </c>
      <c r="M3702" s="1">
        <f t="shared" si="1053"/>
        <v>2.4</v>
      </c>
      <c r="N3702" s="1">
        <f t="shared" si="1060"/>
        <v>120000</v>
      </c>
      <c r="O3702" s="1">
        <f t="shared" si="1061"/>
        <v>60000</v>
      </c>
      <c r="P3702" s="1">
        <f t="shared" si="1054"/>
        <v>54.9</v>
      </c>
      <c r="Q3702" s="1">
        <f t="shared" si="1055"/>
        <v>1200</v>
      </c>
      <c r="R3702" s="1">
        <f t="shared" si="1056"/>
        <v>1</v>
      </c>
      <c r="S3702" s="15" t="str">
        <f t="shared" si="1057"/>
        <v>officer_skill_item_common;camp_key;chest_select_replacement_silver;gold_10000_card;metal_10000_card;oil_10000_card;common_equipment_exp;</v>
      </c>
      <c r="T3702" s="16" t="str">
        <f t="shared" si="1062"/>
        <v>officer_skill_item_common;camp_key;chest_select_replacement_silver;gold_10000_card;metal_10000_card;oil_10000_card;common_equipment_exp</v>
      </c>
      <c r="U3702" s="15"/>
      <c r="V3702" s="15"/>
      <c r="W3702" s="15"/>
      <c r="X3702" s="15"/>
      <c r="Y3702" s="15"/>
      <c r="Z3702" s="15"/>
      <c r="AA3702" s="15"/>
      <c r="AB3702" s="15"/>
      <c r="AC3702" s="15"/>
      <c r="AD3702" s="15"/>
      <c r="AE3702" s="15" t="str">
        <f t="shared" si="1058"/>
        <v>1;3;12;12;12;12;120000;</v>
      </c>
      <c r="AF3702" s="16" t="str">
        <f t="shared" si="1059"/>
        <v>1;3;12;12;12;12;120000</v>
      </c>
      <c r="AG3702" s="15"/>
    </row>
    <row r="3703" spans="2:33">
      <c r="B3703" s="1">
        <v>12</v>
      </c>
      <c r="C3703" s="30">
        <v>2</v>
      </c>
      <c r="D3703" s="30"/>
      <c r="E3703" s="30">
        <v>3</v>
      </c>
      <c r="F3703" s="30">
        <v>12</v>
      </c>
      <c r="G3703" s="30">
        <v>13</v>
      </c>
      <c r="H3703" s="30">
        <v>13</v>
      </c>
      <c r="I3703" s="30">
        <v>13</v>
      </c>
      <c r="J3703" s="30">
        <v>130000</v>
      </c>
      <c r="K3703" s="30">
        <v>65000</v>
      </c>
      <c r="L3703" s="1">
        <f t="shared" si="1052"/>
        <v>390000</v>
      </c>
      <c r="M3703" s="1">
        <f t="shared" si="1053"/>
        <v>2.4</v>
      </c>
      <c r="N3703" s="1">
        <f t="shared" si="1060"/>
        <v>130000</v>
      </c>
      <c r="O3703" s="1">
        <f t="shared" si="1061"/>
        <v>65000</v>
      </c>
      <c r="P3703" s="1">
        <f t="shared" si="1054"/>
        <v>54.9</v>
      </c>
      <c r="Q3703" s="1">
        <f t="shared" si="1055"/>
        <v>1200</v>
      </c>
      <c r="R3703" s="1">
        <f t="shared" si="1056"/>
        <v>2</v>
      </c>
      <c r="S3703" s="15" t="str">
        <f t="shared" si="1057"/>
        <v>officer_skill_item_common;camp_key;chest_select_replacement_silver;gold_10000_card;metal_10000_card;oil_10000_card;common_equipment_exp;</v>
      </c>
      <c r="T3703" s="16" t="str">
        <f t="shared" si="1062"/>
        <v>officer_skill_item_common;camp_key;chest_select_replacement_silver;gold_10000_card;metal_10000_card;oil_10000_card;common_equipment_exp</v>
      </c>
      <c r="U3703" s="15"/>
      <c r="V3703" s="15"/>
      <c r="W3703" s="15"/>
      <c r="X3703" s="15"/>
      <c r="Y3703" s="15"/>
      <c r="Z3703" s="15"/>
      <c r="AA3703" s="15"/>
      <c r="AB3703" s="15"/>
      <c r="AC3703" s="15"/>
      <c r="AD3703" s="15"/>
      <c r="AE3703" s="15" t="str">
        <f t="shared" si="1058"/>
        <v>2;3;12;13;13;13;130000;</v>
      </c>
      <c r="AF3703" s="16" t="str">
        <f t="shared" si="1059"/>
        <v>2;3;12;13;13;13;130000</v>
      </c>
      <c r="AG3703" s="15"/>
    </row>
    <row r="3704" spans="2:33">
      <c r="B3704" s="1">
        <v>13</v>
      </c>
      <c r="C3704" s="30">
        <v>2</v>
      </c>
      <c r="D3704" s="30"/>
      <c r="E3704" s="30">
        <v>3</v>
      </c>
      <c r="F3704" s="30">
        <v>18</v>
      </c>
      <c r="G3704" s="30">
        <v>14</v>
      </c>
      <c r="H3704" s="30">
        <v>14</v>
      </c>
      <c r="I3704" s="30">
        <v>14</v>
      </c>
      <c r="J3704" s="30">
        <v>140000</v>
      </c>
      <c r="K3704" s="30">
        <v>70000</v>
      </c>
      <c r="L3704" s="1">
        <f t="shared" si="1052"/>
        <v>420000</v>
      </c>
      <c r="M3704" s="1">
        <f t="shared" si="1053"/>
        <v>2.4</v>
      </c>
      <c r="N3704" s="1">
        <f t="shared" si="1060"/>
        <v>140000</v>
      </c>
      <c r="O3704" s="1">
        <f t="shared" si="1061"/>
        <v>70000</v>
      </c>
      <c r="P3704" s="1">
        <f t="shared" si="1054"/>
        <v>54.9</v>
      </c>
      <c r="Q3704" s="1">
        <f t="shared" si="1055"/>
        <v>1800</v>
      </c>
      <c r="R3704" s="1">
        <f t="shared" si="1056"/>
        <v>2</v>
      </c>
      <c r="S3704" s="15" t="str">
        <f t="shared" si="1057"/>
        <v>officer_skill_item_common;camp_key;chest_select_replacement_silver;gold_10000_card;metal_10000_card;oil_10000_card;common_equipment_exp;</v>
      </c>
      <c r="T3704" s="16" t="str">
        <f t="shared" si="1062"/>
        <v>officer_skill_item_common;camp_key;chest_select_replacement_silver;gold_10000_card;metal_10000_card;oil_10000_card;common_equipment_exp</v>
      </c>
      <c r="U3704" s="15"/>
      <c r="V3704" s="15"/>
      <c r="W3704" s="15"/>
      <c r="X3704" s="15"/>
      <c r="Y3704" s="15"/>
      <c r="Z3704" s="15"/>
      <c r="AA3704" s="15"/>
      <c r="AB3704" s="15"/>
      <c r="AC3704" s="15"/>
      <c r="AD3704" s="15"/>
      <c r="AE3704" s="15" t="str">
        <f t="shared" si="1058"/>
        <v>2;3;18;14;14;14;140000;</v>
      </c>
      <c r="AF3704" s="16" t="str">
        <f t="shared" si="1059"/>
        <v>2;3;18;14;14;14;140000</v>
      </c>
      <c r="AG3704" s="15"/>
    </row>
    <row r="3705" spans="2:33">
      <c r="B3705" s="1">
        <v>14</v>
      </c>
      <c r="C3705" s="30">
        <v>3</v>
      </c>
      <c r="D3705" s="30"/>
      <c r="E3705" s="30">
        <v>3</v>
      </c>
      <c r="F3705" s="30">
        <v>18</v>
      </c>
      <c r="G3705" s="30">
        <v>15</v>
      </c>
      <c r="H3705" s="30">
        <v>15</v>
      </c>
      <c r="I3705" s="30">
        <v>15</v>
      </c>
      <c r="J3705" s="30">
        <v>150000</v>
      </c>
      <c r="K3705" s="30">
        <v>75000</v>
      </c>
      <c r="L3705" s="1">
        <f t="shared" si="1052"/>
        <v>450000</v>
      </c>
      <c r="M3705" s="1">
        <f t="shared" si="1053"/>
        <v>2.4</v>
      </c>
      <c r="N3705" s="1">
        <f t="shared" si="1060"/>
        <v>150000</v>
      </c>
      <c r="O3705" s="1">
        <f t="shared" si="1061"/>
        <v>75000</v>
      </c>
      <c r="P3705" s="1">
        <f t="shared" si="1054"/>
        <v>54.9</v>
      </c>
      <c r="Q3705" s="1">
        <f t="shared" si="1055"/>
        <v>1800</v>
      </c>
      <c r="R3705" s="1">
        <f t="shared" si="1056"/>
        <v>3</v>
      </c>
      <c r="S3705" s="15" t="str">
        <f t="shared" si="1057"/>
        <v>officer_skill_item_common;camp_key;chest_select_replacement_silver;gold_10000_card;metal_10000_card;oil_10000_card;common_equipment_exp;</v>
      </c>
      <c r="T3705" s="16" t="str">
        <f t="shared" si="1062"/>
        <v>officer_skill_item_common;camp_key;chest_select_replacement_silver;gold_10000_card;metal_10000_card;oil_10000_card;common_equipment_exp</v>
      </c>
      <c r="U3705" s="15"/>
      <c r="V3705" s="15"/>
      <c r="W3705" s="15"/>
      <c r="X3705" s="15"/>
      <c r="Y3705" s="15"/>
      <c r="Z3705" s="15"/>
      <c r="AA3705" s="15"/>
      <c r="AB3705" s="15"/>
      <c r="AC3705" s="15"/>
      <c r="AD3705" s="15"/>
      <c r="AE3705" s="15" t="str">
        <f t="shared" si="1058"/>
        <v>3;3;18;15;15;15;150000;</v>
      </c>
      <c r="AF3705" s="16" t="str">
        <f t="shared" si="1059"/>
        <v>3;3;18;15;15;15;150000</v>
      </c>
      <c r="AG3705" s="15"/>
    </row>
    <row r="3706" spans="2:33">
      <c r="B3706" s="1">
        <v>15</v>
      </c>
      <c r="C3706" s="30">
        <v>3</v>
      </c>
      <c r="D3706" s="30"/>
      <c r="E3706" s="30">
        <v>3</v>
      </c>
      <c r="F3706" s="30">
        <v>24</v>
      </c>
      <c r="G3706" s="30">
        <v>16</v>
      </c>
      <c r="H3706" s="30">
        <v>16</v>
      </c>
      <c r="I3706" s="30">
        <v>16</v>
      </c>
      <c r="J3706" s="30">
        <v>160000</v>
      </c>
      <c r="K3706" s="30">
        <v>80000</v>
      </c>
      <c r="L3706" s="1">
        <f t="shared" si="1052"/>
        <v>480000</v>
      </c>
      <c r="M3706" s="1">
        <f t="shared" si="1053"/>
        <v>2.4</v>
      </c>
      <c r="N3706" s="1">
        <f t="shared" si="1060"/>
        <v>160000</v>
      </c>
      <c r="O3706" s="1">
        <f t="shared" si="1061"/>
        <v>80000</v>
      </c>
      <c r="P3706" s="1">
        <f t="shared" si="1054"/>
        <v>54.9</v>
      </c>
      <c r="Q3706" s="1">
        <f t="shared" si="1055"/>
        <v>2400</v>
      </c>
      <c r="R3706" s="1">
        <f t="shared" si="1056"/>
        <v>3</v>
      </c>
      <c r="S3706" s="15" t="str">
        <f t="shared" si="1057"/>
        <v>officer_skill_item_common;camp_key;chest_select_replacement_silver;gold_10000_card;metal_10000_card;oil_10000_card;common_equipment_exp;</v>
      </c>
      <c r="T3706" s="16" t="str">
        <f t="shared" si="1062"/>
        <v>officer_skill_item_common;camp_key;chest_select_replacement_silver;gold_10000_card;metal_10000_card;oil_10000_card;common_equipment_exp</v>
      </c>
      <c r="U3706" s="15"/>
      <c r="V3706" s="15"/>
      <c r="W3706" s="15"/>
      <c r="X3706" s="15"/>
      <c r="Y3706" s="15"/>
      <c r="Z3706" s="15"/>
      <c r="AA3706" s="15"/>
      <c r="AB3706" s="15"/>
      <c r="AC3706" s="15"/>
      <c r="AD3706" s="15"/>
      <c r="AE3706" s="15" t="str">
        <f t="shared" si="1058"/>
        <v>3;3;24;16;16;16;160000;</v>
      </c>
      <c r="AF3706" s="16" t="str">
        <f t="shared" si="1059"/>
        <v>3;3;24;16;16;16;160000</v>
      </c>
      <c r="AG3706" s="15"/>
    </row>
    <row r="3709" s="25" customFormat="1" spans="1:5">
      <c r="A3709" s="2" t="s">
        <v>555</v>
      </c>
      <c r="B3709" s="2"/>
      <c r="C3709" s="41" t="s">
        <v>436</v>
      </c>
      <c r="E3709" s="26" t="s">
        <v>2060</v>
      </c>
    </row>
    <row r="3711" spans="2:12">
      <c r="B3711" s="27" t="s">
        <v>1700</v>
      </c>
      <c r="C3711" s="27"/>
      <c r="D3711" s="27"/>
      <c r="E3711" s="27"/>
      <c r="F3711" s="27"/>
      <c r="G3711" s="27"/>
      <c r="H3711" s="27"/>
      <c r="I3711" s="27"/>
      <c r="J3711" s="27"/>
      <c r="K3711" s="27"/>
      <c r="L3711" s="27"/>
    </row>
    <row r="3713" spans="2:6">
      <c r="B3713" s="1" t="s">
        <v>715</v>
      </c>
      <c r="E3713" s="1">
        <f>总规划!$D$106</f>
        <v>480</v>
      </c>
      <c r="F3713" s="1" t="str">
        <f>总规划!$C$106</f>
        <v>1天</v>
      </c>
    </row>
    <row r="3714" spans="2:8">
      <c r="B3714" s="1" t="s">
        <v>2061</v>
      </c>
      <c r="E3714" s="42">
        <f>总规划!$E$148</f>
        <v>0.003</v>
      </c>
      <c r="H3714" s="42"/>
    </row>
    <row r="3715" spans="2:6">
      <c r="B3715" s="1" t="s">
        <v>2062</v>
      </c>
      <c r="E3715" s="1">
        <f>E3713/30*E3714*24*60</f>
        <v>69.12</v>
      </c>
      <c r="F3715" s="1" t="s">
        <v>1308</v>
      </c>
    </row>
    <row r="3717" spans="2:6">
      <c r="B3717" s="1" t="s">
        <v>944</v>
      </c>
      <c r="E3717" s="1">
        <f>总规划!$D$107</f>
        <v>1500</v>
      </c>
      <c r="F3717" s="1" t="str">
        <f>总规划!$C$107</f>
        <v>1四星卡</v>
      </c>
    </row>
    <row r="3718" spans="2:8">
      <c r="B3718" s="1" t="s">
        <v>2063</v>
      </c>
      <c r="E3718" s="42">
        <f>总规划!$F$148</f>
        <v>0.045</v>
      </c>
      <c r="H3718" s="42"/>
    </row>
    <row r="3719" spans="2:6">
      <c r="B3719" s="1" t="s">
        <v>2064</v>
      </c>
      <c r="E3719" s="1">
        <f>E3717/30*E3718</f>
        <v>2.25</v>
      </c>
      <c r="F3719" s="1" t="str">
        <f>总规划!$C$107</f>
        <v>1四星卡</v>
      </c>
    </row>
    <row r="3721" spans="2:6">
      <c r="B3721" s="1" t="s">
        <v>994</v>
      </c>
      <c r="E3721" s="1">
        <f>总规划!$D$109</f>
        <v>200</v>
      </c>
      <c r="F3721" s="1" t="str">
        <f>总规划!$C$109</f>
        <v>1k弹药</v>
      </c>
    </row>
    <row r="3722" spans="2:8">
      <c r="B3722" s="1" t="s">
        <v>2065</v>
      </c>
      <c r="E3722" s="42">
        <f>总规划!$H$148</f>
        <v>0.022</v>
      </c>
      <c r="H3722" s="42"/>
    </row>
    <row r="3723" spans="2:6">
      <c r="B3723" s="1" t="s">
        <v>2066</v>
      </c>
      <c r="E3723" s="1">
        <f>E3721/30*E3722*1000</f>
        <v>146.666666666667</v>
      </c>
      <c r="F3723" s="1" t="s">
        <v>1321</v>
      </c>
    </row>
    <row r="3725" spans="2:6">
      <c r="B3725" s="1" t="s">
        <v>1057</v>
      </c>
      <c r="E3725" s="1">
        <f>总规划!$D$110</f>
        <v>60</v>
      </c>
      <c r="F3725" s="1" t="str">
        <f>总规划!$C$110</f>
        <v>1k零件</v>
      </c>
    </row>
    <row r="3726" spans="2:8">
      <c r="B3726" s="1" t="s">
        <v>2067</v>
      </c>
      <c r="E3726" s="42">
        <f>总规划!$I$148</f>
        <v>0.065</v>
      </c>
      <c r="H3726" s="42"/>
    </row>
    <row r="3727" spans="2:6">
      <c r="B3727" s="1" t="s">
        <v>2068</v>
      </c>
      <c r="E3727" s="1">
        <f>E3725/30*E3726*1000</f>
        <v>130</v>
      </c>
      <c r="F3727" s="1" t="s">
        <v>1355</v>
      </c>
    </row>
    <row r="3729" spans="2:6">
      <c r="B3729" s="1" t="s">
        <v>1172</v>
      </c>
      <c r="E3729" s="1">
        <f>总规划!$D$113</f>
        <v>120</v>
      </c>
      <c r="F3729" s="1" t="str">
        <f>总规划!$C$113</f>
        <v>1M军经</v>
      </c>
    </row>
    <row r="3730" spans="2:8">
      <c r="B3730" s="1" t="s">
        <v>2069</v>
      </c>
      <c r="E3730" s="42">
        <f>总规划!$L$148</f>
        <v>0.035</v>
      </c>
      <c r="H3730" s="42"/>
    </row>
    <row r="3731" spans="2:6">
      <c r="B3731" s="1" t="s">
        <v>2070</v>
      </c>
      <c r="E3731" s="1">
        <f>E3729/30*E3730*1000000</f>
        <v>140000</v>
      </c>
      <c r="F3731" s="1" t="s">
        <v>1346</v>
      </c>
    </row>
    <row r="3733" spans="2:6">
      <c r="B3733" s="1" t="s">
        <v>1021</v>
      </c>
      <c r="E3733" s="1">
        <f>总规划!$D$119</f>
        <v>100</v>
      </c>
      <c r="F3733" s="1" t="str">
        <f>总规划!$C$109</f>
        <v>1k弹药</v>
      </c>
    </row>
    <row r="3734" spans="2:5">
      <c r="B3734" s="1" t="s">
        <v>2071</v>
      </c>
      <c r="E3734" s="42">
        <f>总规划!$R$148</f>
        <v>0.022</v>
      </c>
    </row>
    <row r="3735" spans="2:6">
      <c r="B3735" s="1" t="s">
        <v>2072</v>
      </c>
      <c r="E3735" s="1">
        <f>E3733/30*E3734*1000</f>
        <v>73.3333333333333</v>
      </c>
      <c r="F3735" s="1" t="s">
        <v>1321</v>
      </c>
    </row>
    <row r="3737" spans="2:6">
      <c r="B3737" s="1" t="s">
        <v>1057</v>
      </c>
      <c r="E3737" s="1">
        <f>总规划!$D$120</f>
        <v>30</v>
      </c>
      <c r="F3737" s="1" t="str">
        <f>总规划!$C$110</f>
        <v>1k零件</v>
      </c>
    </row>
    <row r="3738" spans="2:5">
      <c r="B3738" s="1" t="s">
        <v>2067</v>
      </c>
      <c r="E3738" s="42">
        <f>总规划!$S$148</f>
        <v>0.065</v>
      </c>
    </row>
    <row r="3739" spans="2:6">
      <c r="B3739" s="1" t="s">
        <v>2068</v>
      </c>
      <c r="E3739" s="1">
        <f>E3737/30*E3738*1000</f>
        <v>65</v>
      </c>
      <c r="F3739" s="1" t="s">
        <v>1355</v>
      </c>
    </row>
    <row r="3741" spans="2:5">
      <c r="B3741" s="1" t="s">
        <v>2073</v>
      </c>
      <c r="E3741" s="5">
        <f>T3898</f>
        <v>3653571.42857143</v>
      </c>
    </row>
    <row r="3742" spans="2:5">
      <c r="B3742" s="1" t="s">
        <v>2074</v>
      </c>
      <c r="E3742" s="5">
        <f>R3898</f>
        <v>1446.42857142857</v>
      </c>
    </row>
    <row r="3744" spans="2:12">
      <c r="B3744" s="27" t="s">
        <v>2075</v>
      </c>
      <c r="C3744" s="27"/>
      <c r="D3744" s="27"/>
      <c r="E3744" s="27"/>
      <c r="F3744" s="27"/>
      <c r="G3744" s="27"/>
      <c r="H3744" s="27"/>
      <c r="I3744" s="27"/>
      <c r="J3744" s="27"/>
      <c r="K3744" s="27"/>
      <c r="L3744" s="27"/>
    </row>
    <row r="3746" spans="2:5">
      <c r="B3746" s="1" t="s">
        <v>2075</v>
      </c>
      <c r="E3746" s="30">
        <v>7</v>
      </c>
    </row>
    <row r="3748" spans="2:12">
      <c r="B3748" s="27" t="s">
        <v>590</v>
      </c>
      <c r="C3748" s="27"/>
      <c r="D3748" s="27"/>
      <c r="E3748" s="27"/>
      <c r="F3748" s="27"/>
      <c r="G3748" s="27"/>
      <c r="H3748" s="27"/>
      <c r="I3748" s="27"/>
      <c r="J3748" s="27"/>
      <c r="K3748" s="27"/>
      <c r="L3748" s="27"/>
    </row>
    <row r="3750" spans="2:9">
      <c r="B3750" s="29" t="str">
        <f>总规划!B259</f>
        <v>萝卜</v>
      </c>
      <c r="C3750" s="29" t="str">
        <f>总规划!C259</f>
        <v>单位</v>
      </c>
      <c r="D3750" s="29" t="str">
        <f>总规划!D259</f>
        <v>内部美元价</v>
      </c>
      <c r="E3750" s="29" t="str">
        <f>总规划!E259</f>
        <v>内部黄金价</v>
      </c>
      <c r="F3750" s="29" t="str">
        <f>总规划!F259</f>
        <v>显示黄金价</v>
      </c>
      <c r="G3750" s="29" t="str">
        <f>总规划!G259</f>
        <v>资源内部价</v>
      </c>
      <c r="H3750" s="29" t="str">
        <f>总规划!H259</f>
        <v>资源显示价</v>
      </c>
      <c r="I3750" s="29" t="str">
        <f>总规划!I259</f>
        <v>资源单位</v>
      </c>
    </row>
    <row r="3751" spans="2:9">
      <c r="B3751" s="1" t="str">
        <f>总规划!B260</f>
        <v>基础资源</v>
      </c>
      <c r="C3751" s="1" t="str">
        <f>总规划!C260</f>
        <v>1M资源</v>
      </c>
      <c r="D3751" s="24">
        <f>总规划!D260</f>
        <v>0.416666666666667</v>
      </c>
      <c r="E3751" s="1">
        <f>总规划!E260</f>
        <v>500</v>
      </c>
      <c r="F3751" s="1">
        <f>总规划!F260</f>
        <v>1000</v>
      </c>
      <c r="G3751" s="1">
        <f>总规划!G260</f>
        <v>1</v>
      </c>
      <c r="H3751" s="1">
        <f>总规划!H260</f>
        <v>1</v>
      </c>
      <c r="I3751" s="1" t="str">
        <f>总规划!I260</f>
        <v>1M资源</v>
      </c>
    </row>
    <row r="3752" spans="2:9">
      <c r="B3752" s="1" t="str">
        <f>总规划!B261</f>
        <v>加速</v>
      </c>
      <c r="C3752" s="1" t="str">
        <f>总规划!C261</f>
        <v>1天</v>
      </c>
      <c r="D3752" s="24">
        <f>总规划!D261</f>
        <v>1.5625</v>
      </c>
      <c r="E3752" s="1">
        <f>总规划!E261</f>
        <v>1875</v>
      </c>
      <c r="F3752" s="1">
        <f>总规划!F261</f>
        <v>4320</v>
      </c>
      <c r="G3752" s="1">
        <f>总规划!G261</f>
        <v>3.75</v>
      </c>
      <c r="H3752" s="1">
        <f>总规划!H261</f>
        <v>4.32</v>
      </c>
      <c r="I3752" s="1" t="str">
        <f>总规划!I261</f>
        <v>1M资源</v>
      </c>
    </row>
    <row r="3753" spans="2:9">
      <c r="B3753" s="1" t="str">
        <f>总规划!B262</f>
        <v>卡牌</v>
      </c>
      <c r="C3753" s="1" t="str">
        <f>总规划!C262</f>
        <v>1四星卡</v>
      </c>
      <c r="D3753" s="24">
        <f>总规划!D262</f>
        <v>0.5</v>
      </c>
      <c r="E3753" s="1">
        <f>总规划!E262</f>
        <v>600</v>
      </c>
      <c r="F3753" s="1">
        <f>总规划!F262</f>
        <v>1200</v>
      </c>
      <c r="G3753" s="1">
        <f>总规划!G262</f>
        <v>1.2</v>
      </c>
      <c r="H3753" s="1">
        <f>总规划!H262</f>
        <v>1.2</v>
      </c>
      <c r="I3753" s="1" t="str">
        <f>总规划!I262</f>
        <v>1M资源</v>
      </c>
    </row>
    <row r="3754" spans="2:9">
      <c r="B3754" s="1" t="str">
        <f>总规划!B263</f>
        <v>陆军经验</v>
      </c>
      <c r="C3754" s="1" t="str">
        <f>总规划!C263</f>
        <v>1M陆经</v>
      </c>
      <c r="D3754" s="24">
        <f>总规划!D263</f>
        <v>2.5</v>
      </c>
      <c r="E3754" s="1">
        <f>总规划!E263</f>
        <v>3000</v>
      </c>
      <c r="F3754" s="1">
        <f>总规划!F263</f>
        <v>6000</v>
      </c>
      <c r="G3754" s="1">
        <f>总规划!G263</f>
        <v>6</v>
      </c>
      <c r="H3754" s="1">
        <f>总规划!H263</f>
        <v>6</v>
      </c>
      <c r="I3754" s="1" t="str">
        <f>总规划!I263</f>
        <v>1M资源</v>
      </c>
    </row>
    <row r="3755" spans="2:9">
      <c r="B3755" s="1" t="str">
        <f>总规划!B264</f>
        <v>弹药</v>
      </c>
      <c r="C3755" s="1" t="str">
        <f>总规划!C264</f>
        <v>1k弹药</v>
      </c>
      <c r="D3755" s="24">
        <f>总规划!D264</f>
        <v>3.75</v>
      </c>
      <c r="E3755" s="1">
        <f>总规划!E264</f>
        <v>4500</v>
      </c>
      <c r="F3755" s="1">
        <f>总规划!F264</f>
        <v>9000</v>
      </c>
      <c r="G3755" s="1">
        <f>总规划!G264</f>
        <v>9</v>
      </c>
      <c r="H3755" s="1">
        <f>总规划!H264</f>
        <v>9</v>
      </c>
      <c r="I3755" s="1" t="str">
        <f>总规划!I264</f>
        <v>1M资源</v>
      </c>
    </row>
    <row r="3756" spans="2:9">
      <c r="B3756" s="1" t="str">
        <f>总规划!B265</f>
        <v>零件</v>
      </c>
      <c r="C3756" s="1" t="str">
        <f>总规划!C265</f>
        <v>1k零件</v>
      </c>
      <c r="D3756" s="24">
        <f>总规划!D265</f>
        <v>12.5</v>
      </c>
      <c r="E3756" s="1">
        <f>总规划!E265</f>
        <v>15000</v>
      </c>
      <c r="F3756" s="1">
        <f>总规划!F265</f>
        <v>30000</v>
      </c>
      <c r="G3756" s="1">
        <f>总规划!G265</f>
        <v>30</v>
      </c>
      <c r="H3756" s="1">
        <f>总规划!H265</f>
        <v>30</v>
      </c>
      <c r="I3756" s="1" t="str">
        <f>总规划!I265</f>
        <v>1M资源</v>
      </c>
    </row>
    <row r="3757" spans="2:9">
      <c r="B3757" s="1" t="str">
        <f>总规划!B266</f>
        <v>配件材料</v>
      </c>
      <c r="C3757" s="1" t="str">
        <f>总规划!C266</f>
        <v>1k铜材料</v>
      </c>
      <c r="D3757" s="24">
        <f>总规划!D266</f>
        <v>2.08333333333333</v>
      </c>
      <c r="E3757" s="1">
        <f>总规划!E266</f>
        <v>2500</v>
      </c>
      <c r="F3757" s="1">
        <f>总规划!F266</f>
        <v>5000</v>
      </c>
      <c r="G3757" s="1">
        <f>总规划!G266</f>
        <v>5</v>
      </c>
      <c r="H3757" s="1">
        <f>总规划!H266</f>
        <v>5</v>
      </c>
      <c r="I3757" s="1" t="str">
        <f>总规划!I266</f>
        <v>1M资源</v>
      </c>
    </row>
    <row r="3758" spans="2:9">
      <c r="B3758" s="1" t="str">
        <f>总规划!B267</f>
        <v>配件图纸</v>
      </c>
      <c r="C3758" s="1" t="str">
        <f>总规划!C267</f>
        <v>1金++</v>
      </c>
      <c r="D3758" s="24">
        <f>总规划!D267</f>
        <v>62.5</v>
      </c>
      <c r="E3758" s="1">
        <f>总规划!E267</f>
        <v>75000</v>
      </c>
      <c r="F3758" s="1">
        <f>总规划!F267</f>
        <v>150000</v>
      </c>
      <c r="G3758" s="1">
        <f>总规划!G267</f>
        <v>150</v>
      </c>
      <c r="H3758" s="1">
        <f>总规划!H267</f>
        <v>150</v>
      </c>
      <c r="I3758" s="1" t="str">
        <f>总规划!I267</f>
        <v>1M资源</v>
      </c>
    </row>
    <row r="3759" spans="2:9">
      <c r="B3759" s="1" t="str">
        <f>总规划!B268</f>
        <v>军官经验</v>
      </c>
      <c r="C3759" s="1" t="str">
        <f>总规划!C268</f>
        <v>1M军经</v>
      </c>
      <c r="D3759" s="24">
        <f>总规划!D268</f>
        <v>6.25</v>
      </c>
      <c r="E3759" s="1">
        <f>总规划!E268</f>
        <v>7500</v>
      </c>
      <c r="F3759" s="1">
        <f>总规划!F268</f>
        <v>15000</v>
      </c>
      <c r="G3759" s="1">
        <f>总规划!G268</f>
        <v>15</v>
      </c>
      <c r="H3759" s="1">
        <f>总规划!H268</f>
        <v>15</v>
      </c>
      <c r="I3759" s="1" t="str">
        <f>总规划!I268</f>
        <v>1M资源</v>
      </c>
    </row>
    <row r="3760" spans="2:9">
      <c r="B3760" s="1" t="str">
        <f>总规划!B269</f>
        <v>军官技能书</v>
      </c>
      <c r="C3760" s="1" t="str">
        <f>总规划!C269</f>
        <v>1技书</v>
      </c>
      <c r="D3760" s="24">
        <f>总规划!D269</f>
        <v>3.33333333333333</v>
      </c>
      <c r="E3760" s="1">
        <f>总规划!E269</f>
        <v>4000</v>
      </c>
      <c r="F3760" s="1">
        <f>总规划!F269</f>
        <v>8000</v>
      </c>
      <c r="G3760" s="1">
        <f>总规划!G269</f>
        <v>8</v>
      </c>
      <c r="H3760" s="1">
        <f>总规划!H269</f>
        <v>8</v>
      </c>
      <c r="I3760" s="1" t="str">
        <f>总规划!I269</f>
        <v>1M资源</v>
      </c>
    </row>
    <row r="3761" spans="2:9">
      <c r="B3761" s="1" t="str">
        <f>总规划!B270</f>
        <v>阵营经验</v>
      </c>
      <c r="C3761" s="1" t="str">
        <f>总规划!C270</f>
        <v>1M阵经</v>
      </c>
      <c r="D3761" s="24">
        <f>总规划!D270</f>
        <v>69.4444444444444</v>
      </c>
      <c r="E3761" s="1">
        <f>总规划!E270</f>
        <v>83333.3333333333</v>
      </c>
      <c r="F3761" s="1">
        <f>总规划!F270</f>
        <v>166666.666666667</v>
      </c>
      <c r="G3761" s="1">
        <f>总规划!G270</f>
        <v>166.666666666667</v>
      </c>
      <c r="H3761" s="1">
        <f>总规划!H270</f>
        <v>166.666666666667</v>
      </c>
      <c r="I3761" s="1" t="str">
        <f>总规划!I270</f>
        <v>1M资源</v>
      </c>
    </row>
    <row r="3762" spans="2:9">
      <c r="B3762" s="1" t="str">
        <f>总规划!B271</f>
        <v>VIP经验</v>
      </c>
      <c r="C3762" s="1" t="str">
        <f>总规划!C271</f>
        <v>1k经验</v>
      </c>
      <c r="D3762" s="24">
        <f>总规划!D271</f>
        <v>0.833333333333333</v>
      </c>
      <c r="E3762" s="1">
        <f>总规划!E271</f>
        <v>1000</v>
      </c>
      <c r="F3762" s="1">
        <f>总规划!F271</f>
        <v>1000</v>
      </c>
      <c r="G3762" s="1">
        <f>总规划!G271</f>
        <v>2</v>
      </c>
      <c r="H3762" s="1">
        <f>总规划!H271</f>
        <v>1</v>
      </c>
      <c r="I3762" s="1" t="str">
        <f>总规划!I271</f>
        <v>1M资源</v>
      </c>
    </row>
    <row r="3763" spans="2:9">
      <c r="B3763" s="1" t="str">
        <f>总规划!B272</f>
        <v>科技书</v>
      </c>
      <c r="C3763" s="1" t="str">
        <f>总规划!C272</f>
        <v>1科技书</v>
      </c>
      <c r="D3763" s="24">
        <f>总规划!D272</f>
        <v>0.05</v>
      </c>
      <c r="E3763" s="1">
        <f>总规划!E272</f>
        <v>60</v>
      </c>
      <c r="F3763" s="1">
        <f>总规划!F272</f>
        <v>120</v>
      </c>
      <c r="G3763" s="1">
        <f>总规划!G272</f>
        <v>0.12</v>
      </c>
      <c r="H3763" s="1">
        <f>总规划!H272</f>
        <v>0.12</v>
      </c>
      <c r="I3763" s="1" t="str">
        <f>总规划!I272</f>
        <v>1M资源</v>
      </c>
    </row>
    <row r="3764" spans="2:9">
      <c r="B3764" s="1" t="str">
        <f>总规划!B273</f>
        <v>空军经验</v>
      </c>
      <c r="C3764" s="1" t="str">
        <f>总规划!C273</f>
        <v>1M空经</v>
      </c>
      <c r="D3764" s="24">
        <f>总规划!D273</f>
        <v>5</v>
      </c>
      <c r="E3764" s="1">
        <f>总规划!E273</f>
        <v>6000</v>
      </c>
      <c r="F3764" s="1">
        <f>总规划!F273</f>
        <v>12000</v>
      </c>
      <c r="G3764" s="1">
        <f>总规划!G273</f>
        <v>12</v>
      </c>
      <c r="H3764" s="1">
        <f>总规划!H273</f>
        <v>12</v>
      </c>
      <c r="I3764" s="1" t="str">
        <f>总规划!I273</f>
        <v>1M资源</v>
      </c>
    </row>
    <row r="3765" spans="2:9">
      <c r="B3765" s="1" t="str">
        <f>总规划!B274</f>
        <v>空军弹药</v>
      </c>
      <c r="C3765" s="1" t="str">
        <f>总规划!C274</f>
        <v>1k空弹</v>
      </c>
      <c r="D3765" s="24">
        <f>总规划!D274</f>
        <v>7.5</v>
      </c>
      <c r="E3765" s="1">
        <f>总规划!E274</f>
        <v>9000</v>
      </c>
      <c r="F3765" s="1">
        <f>总规划!F274</f>
        <v>18000</v>
      </c>
      <c r="G3765" s="1">
        <f>总规划!G274</f>
        <v>18</v>
      </c>
      <c r="H3765" s="1">
        <f>总规划!H274</f>
        <v>18</v>
      </c>
      <c r="I3765" s="1" t="str">
        <f>总规划!I274</f>
        <v>1M资源</v>
      </c>
    </row>
    <row r="3766" spans="2:9">
      <c r="B3766" s="1" t="str">
        <f>总规划!B275</f>
        <v>空军零件</v>
      </c>
      <c r="C3766" s="1" t="str">
        <f>总规划!C275</f>
        <v>1k空零</v>
      </c>
      <c r="D3766" s="24">
        <f>总规划!D275</f>
        <v>25</v>
      </c>
      <c r="E3766" s="1">
        <f>总规划!E275</f>
        <v>30000</v>
      </c>
      <c r="F3766" s="1">
        <f>总规划!F275</f>
        <v>60000</v>
      </c>
      <c r="G3766" s="1">
        <f>总规划!G275</f>
        <v>60</v>
      </c>
      <c r="H3766" s="1">
        <f>总规划!H275</f>
        <v>60</v>
      </c>
      <c r="I3766" s="1" t="str">
        <f>总规划!I275</f>
        <v>1M资源</v>
      </c>
    </row>
    <row r="3768" spans="2:12">
      <c r="B3768" s="27" t="s">
        <v>606</v>
      </c>
      <c r="C3768" s="27"/>
      <c r="D3768" s="27"/>
      <c r="E3768" s="27"/>
      <c r="F3768" s="27"/>
      <c r="G3768" s="27"/>
      <c r="H3768" s="27"/>
      <c r="I3768" s="27"/>
      <c r="J3768" s="27"/>
      <c r="K3768" s="27"/>
      <c r="L3768" s="27"/>
    </row>
    <row r="3770" spans="2:9">
      <c r="B3770" s="29" t="str">
        <f>总规划!B279</f>
        <v>物品</v>
      </c>
      <c r="C3770" s="29" t="str">
        <f>总规划!C279</f>
        <v>单位</v>
      </c>
      <c r="D3770" s="29" t="str">
        <f>总规划!D279</f>
        <v>内部美元价</v>
      </c>
      <c r="E3770" s="29" t="str">
        <f>总规划!E279</f>
        <v>内部黄金价</v>
      </c>
      <c r="F3770" s="29" t="str">
        <f>总规划!F279</f>
        <v>显示黄金价</v>
      </c>
      <c r="G3770" s="29" t="str">
        <f>总规划!G279</f>
        <v>资源内部价</v>
      </c>
      <c r="H3770" s="29" t="str">
        <f>总规划!H279</f>
        <v>资源显示价</v>
      </c>
      <c r="I3770" s="29" t="str">
        <f>总规划!I279</f>
        <v>资源单位</v>
      </c>
    </row>
    <row r="3771" spans="2:9">
      <c r="B3771" s="1" t="str">
        <f>总规划!B280</f>
        <v>体力药水</v>
      </c>
      <c r="C3771" s="1" t="str">
        <f>总规划!C280</f>
        <v>1体力</v>
      </c>
      <c r="D3771" s="1">
        <f>总规划!D280</f>
        <v>0.0125</v>
      </c>
      <c r="E3771" s="1">
        <f>总规划!E280</f>
        <v>15</v>
      </c>
      <c r="F3771" s="1">
        <f>总规划!F280</f>
        <v>30</v>
      </c>
      <c r="G3771" s="1">
        <f>总规划!G280</f>
        <v>0.03</v>
      </c>
      <c r="H3771" s="1">
        <f>总规划!H280</f>
        <v>0.03</v>
      </c>
      <c r="I3771" s="1" t="str">
        <f>总规划!I280</f>
        <v>1M资源</v>
      </c>
    </row>
    <row r="3772" spans="2:9">
      <c r="B3772" s="1" t="str">
        <f>总规划!B281</f>
        <v>抽卡券</v>
      </c>
      <c r="C3772" s="1" t="str">
        <f>总规划!C281</f>
        <v>1张</v>
      </c>
      <c r="D3772" s="1">
        <f>总规划!D281</f>
        <v>0.62875</v>
      </c>
      <c r="E3772" s="1">
        <f>总规划!E281</f>
        <v>754.5</v>
      </c>
      <c r="F3772" s="1">
        <f>总规划!F281</f>
        <v>900</v>
      </c>
      <c r="G3772" s="1">
        <f>总规划!G281</f>
        <v>1.509</v>
      </c>
      <c r="H3772" s="1">
        <f>总规划!H281</f>
        <v>0.9</v>
      </c>
      <c r="I3772" s="1" t="str">
        <f>总规划!I281</f>
        <v>1M资源</v>
      </c>
    </row>
    <row r="3773" spans="2:9">
      <c r="B3773" s="1" t="str">
        <f>总规划!B282</f>
        <v>阵营券</v>
      </c>
      <c r="C3773" s="1" t="str">
        <f>总规划!C282</f>
        <v>1张</v>
      </c>
      <c r="D3773" s="1">
        <f>总规划!D282</f>
        <v>0.62875</v>
      </c>
      <c r="E3773" s="1">
        <f>总规划!E282</f>
        <v>754.5</v>
      </c>
      <c r="F3773" s="1">
        <f>总规划!F282</f>
        <v>1500</v>
      </c>
      <c r="G3773" s="1">
        <f>总规划!G282</f>
        <v>1.509</v>
      </c>
      <c r="H3773" s="1">
        <f>总规划!H282</f>
        <v>1.5</v>
      </c>
      <c r="I3773" s="1" t="str">
        <f>总规划!I282</f>
        <v>1M资源</v>
      </c>
    </row>
    <row r="3774" spans="2:9">
      <c r="B3774" s="1" t="str">
        <f>总规划!B283</f>
        <v>空降券</v>
      </c>
      <c r="C3774" s="1" t="str">
        <f>总规划!C283</f>
        <v>1张</v>
      </c>
      <c r="D3774" s="1">
        <f>总规划!D283</f>
        <v>0.5</v>
      </c>
      <c r="E3774" s="1">
        <f>总规划!E283</f>
        <v>600</v>
      </c>
      <c r="F3774" s="1">
        <f>总规划!F283</f>
        <v>1200</v>
      </c>
      <c r="G3774" s="1">
        <f>总规划!G283</f>
        <v>1.2</v>
      </c>
      <c r="H3774" s="1">
        <f>总规划!H283</f>
        <v>1.2</v>
      </c>
      <c r="I3774" s="1" t="str">
        <f>总规划!I283</f>
        <v>1M资源</v>
      </c>
    </row>
    <row r="3775" spans="2:9">
      <c r="B3775" s="1" t="str">
        <f>总规划!B284</f>
        <v>跨城券</v>
      </c>
      <c r="C3775" s="1" t="str">
        <f>总规划!C284</f>
        <v>1张</v>
      </c>
      <c r="D3775" s="1">
        <f>总规划!D284</f>
        <v>1.5</v>
      </c>
      <c r="E3775" s="1">
        <f>总规划!E284</f>
        <v>1800</v>
      </c>
      <c r="F3775" s="1">
        <f>总规划!F284</f>
        <v>3600</v>
      </c>
      <c r="G3775" s="1">
        <f>总规划!G284</f>
        <v>3.6</v>
      </c>
      <c r="H3775" s="1">
        <f>总规划!H284</f>
        <v>3.6</v>
      </c>
      <c r="I3775" s="1" t="str">
        <f>总规划!I284</f>
        <v>1M资源</v>
      </c>
    </row>
    <row r="3776" spans="2:9">
      <c r="B3776" s="1" t="str">
        <f>总规划!B285</f>
        <v>预备役</v>
      </c>
      <c r="C3776" s="1" t="str">
        <f>总规划!C285</f>
        <v>1个</v>
      </c>
      <c r="D3776" s="1">
        <f>总规划!D285</f>
        <v>0.025</v>
      </c>
      <c r="E3776" s="1">
        <f>总规划!E285</f>
        <v>30</v>
      </c>
      <c r="F3776" s="1">
        <f>总规划!F285</f>
        <v>60</v>
      </c>
      <c r="G3776" s="1">
        <f>总规划!G285</f>
        <v>0.06</v>
      </c>
      <c r="H3776" s="1">
        <f>总规划!H285</f>
        <v>0.06</v>
      </c>
      <c r="I3776" s="1" t="str">
        <f>总规划!I285</f>
        <v>1M资源</v>
      </c>
    </row>
    <row r="3777" spans="2:9">
      <c r="B3777" s="1" t="str">
        <f>总规划!B286</f>
        <v>表情</v>
      </c>
      <c r="C3777" s="1" t="str">
        <f>总规划!C286</f>
        <v>1个</v>
      </c>
      <c r="D3777" s="1">
        <f>总规划!D286</f>
        <v>2.5</v>
      </c>
      <c r="E3777" s="1">
        <f>总规划!E286</f>
        <v>3000</v>
      </c>
      <c r="F3777" s="1">
        <f>总规划!F286</f>
        <v>6000</v>
      </c>
      <c r="G3777" s="1">
        <f>总规划!G286</f>
        <v>6</v>
      </c>
      <c r="H3777" s="1">
        <f>总规划!H286</f>
        <v>6</v>
      </c>
      <c r="I3777" s="1" t="str">
        <f>总规划!I286</f>
        <v>1M资源</v>
      </c>
    </row>
    <row r="3778" spans="2:9">
      <c r="B3778" s="1" t="str">
        <f>总规划!B287</f>
        <v>头像框</v>
      </c>
      <c r="C3778" s="1" t="str">
        <f>总规划!C287</f>
        <v>1个</v>
      </c>
      <c r="D3778" s="1">
        <f>总规划!D287</f>
        <v>1.25</v>
      </c>
      <c r="E3778" s="1">
        <f>总规划!E287</f>
        <v>1500</v>
      </c>
      <c r="F3778" s="1">
        <f>总规划!F287</f>
        <v>3000</v>
      </c>
      <c r="G3778" s="1">
        <f>总规划!G287</f>
        <v>3</v>
      </c>
      <c r="H3778" s="1">
        <f>总规划!H287</f>
        <v>3</v>
      </c>
      <c r="I3778" s="1" t="str">
        <f>总规划!I287</f>
        <v>1M资源</v>
      </c>
    </row>
    <row r="3779" spans="2:9">
      <c r="B3779" s="1" t="str">
        <f>总规划!B288</f>
        <v>战役币</v>
      </c>
      <c r="C3779" s="1" t="str">
        <f>总规划!C288</f>
        <v>1k战役币</v>
      </c>
      <c r="D3779" s="1">
        <f>总规划!D288</f>
        <v>1</v>
      </c>
      <c r="E3779" s="1">
        <f>总规划!E288</f>
        <v>1200</v>
      </c>
      <c r="F3779" s="1">
        <f>总规划!F288</f>
        <v>2400</v>
      </c>
      <c r="G3779" s="1">
        <f>总规划!G288</f>
        <v>2.4</v>
      </c>
      <c r="H3779" s="1">
        <f>总规划!H288</f>
        <v>2.4</v>
      </c>
      <c r="I3779" s="1" t="str">
        <f>总规划!I288</f>
        <v>1M资源</v>
      </c>
    </row>
    <row r="3781" spans="2:12">
      <c r="B3781" s="27" t="s">
        <v>1733</v>
      </c>
      <c r="C3781" s="27"/>
      <c r="D3781" s="27"/>
      <c r="E3781" s="27"/>
      <c r="F3781" s="27"/>
      <c r="G3781" s="27"/>
      <c r="H3781" s="27"/>
      <c r="I3781" s="27"/>
      <c r="J3781" s="27"/>
      <c r="K3781" s="27"/>
      <c r="L3781" s="27"/>
    </row>
    <row r="3783" spans="3:9">
      <c r="C3783" s="29" t="s">
        <v>591</v>
      </c>
      <c r="E3783" s="29" t="s">
        <v>1734</v>
      </c>
      <c r="G3783" s="29" t="s">
        <v>592</v>
      </c>
      <c r="I3783" s="29" t="s">
        <v>1735</v>
      </c>
    </row>
    <row r="3784" spans="2:10">
      <c r="B3784" s="1" t="s">
        <v>1328</v>
      </c>
      <c r="C3784" s="1">
        <f>G3751</f>
        <v>1</v>
      </c>
      <c r="D3784" s="1" t="s">
        <v>1328</v>
      </c>
      <c r="E3784" s="1">
        <f>C3784/1000000*$E$3751</f>
        <v>0.0005</v>
      </c>
      <c r="F3784" s="1" t="s">
        <v>1736</v>
      </c>
      <c r="G3784" s="1">
        <f>H3751</f>
        <v>1</v>
      </c>
      <c r="H3784" s="1" t="s">
        <v>1328</v>
      </c>
      <c r="I3784" s="1">
        <f>G3784/1000000*$F$3751</f>
        <v>0.001</v>
      </c>
      <c r="J3784" s="1" t="s">
        <v>1736</v>
      </c>
    </row>
    <row r="3785" spans="2:10">
      <c r="B3785" s="1" t="s">
        <v>1308</v>
      </c>
      <c r="C3785" s="1">
        <f>G3752*1000000/(24*60)</f>
        <v>2604.16666666667</v>
      </c>
      <c r="D3785" s="1" t="s">
        <v>1328</v>
      </c>
      <c r="E3785" s="1">
        <f t="shared" ref="E3785:E3796" si="1063">C3785/1000000*$E$3751</f>
        <v>1.30208333333333</v>
      </c>
      <c r="F3785" s="1" t="s">
        <v>1736</v>
      </c>
      <c r="G3785" s="1">
        <f>H3752*1000000/(24*60)</f>
        <v>3000</v>
      </c>
      <c r="H3785" s="1" t="s">
        <v>1328</v>
      </c>
      <c r="I3785" s="1">
        <f t="shared" ref="I3785:I3796" si="1064">G3785/1000000*$F$3751</f>
        <v>3</v>
      </c>
      <c r="J3785" s="1" t="s">
        <v>1736</v>
      </c>
    </row>
    <row r="3786" spans="2:10">
      <c r="B3786" s="1" t="s">
        <v>520</v>
      </c>
      <c r="C3786" s="1">
        <f>G3753*1000000</f>
        <v>1200000</v>
      </c>
      <c r="D3786" s="1" t="s">
        <v>1328</v>
      </c>
      <c r="E3786" s="1">
        <f t="shared" si="1063"/>
        <v>600</v>
      </c>
      <c r="F3786" s="1" t="s">
        <v>1736</v>
      </c>
      <c r="G3786" s="1">
        <f>H3753*1000000</f>
        <v>1200000</v>
      </c>
      <c r="H3786" s="1" t="s">
        <v>1328</v>
      </c>
      <c r="I3786" s="1">
        <f t="shared" si="1064"/>
        <v>1200</v>
      </c>
      <c r="J3786" s="1" t="s">
        <v>1736</v>
      </c>
    </row>
    <row r="3787" spans="2:10">
      <c r="B3787" s="1" t="s">
        <v>1460</v>
      </c>
      <c r="C3787" s="1">
        <f>G3754*1000000/1000000</f>
        <v>6</v>
      </c>
      <c r="D3787" s="1" t="s">
        <v>1328</v>
      </c>
      <c r="E3787" s="1">
        <f t="shared" si="1063"/>
        <v>0.003</v>
      </c>
      <c r="F3787" s="1" t="s">
        <v>1736</v>
      </c>
      <c r="G3787" s="1">
        <f>H3754*1000000/1000000</f>
        <v>6</v>
      </c>
      <c r="H3787" s="1" t="s">
        <v>1328</v>
      </c>
      <c r="I3787" s="1">
        <f t="shared" si="1064"/>
        <v>0.006</v>
      </c>
      <c r="J3787" s="1" t="s">
        <v>1736</v>
      </c>
    </row>
    <row r="3788" spans="2:10">
      <c r="B3788" s="1" t="s">
        <v>1321</v>
      </c>
      <c r="C3788" s="1">
        <f t="shared" ref="C3788:C3790" si="1065">G3755*1000000/1000</f>
        <v>9000</v>
      </c>
      <c r="D3788" s="1" t="s">
        <v>1328</v>
      </c>
      <c r="E3788" s="1">
        <f t="shared" si="1063"/>
        <v>4.5</v>
      </c>
      <c r="F3788" s="1" t="s">
        <v>1736</v>
      </c>
      <c r="G3788" s="1">
        <f t="shared" ref="G3788:G3790" si="1066">H3755*1000000/1000</f>
        <v>9000</v>
      </c>
      <c r="H3788" s="1" t="s">
        <v>1328</v>
      </c>
      <c r="I3788" s="1">
        <f t="shared" si="1064"/>
        <v>9</v>
      </c>
      <c r="J3788" s="1" t="s">
        <v>1736</v>
      </c>
    </row>
    <row r="3789" spans="2:10">
      <c r="B3789" s="1" t="s">
        <v>1355</v>
      </c>
      <c r="C3789" s="1">
        <f t="shared" si="1065"/>
        <v>30000</v>
      </c>
      <c r="D3789" s="1" t="s">
        <v>1328</v>
      </c>
      <c r="E3789" s="1">
        <f t="shared" si="1063"/>
        <v>15</v>
      </c>
      <c r="F3789" s="1" t="s">
        <v>1736</v>
      </c>
      <c r="G3789" s="1">
        <f t="shared" si="1066"/>
        <v>30000</v>
      </c>
      <c r="H3789" s="1" t="s">
        <v>1328</v>
      </c>
      <c r="I3789" s="1">
        <f t="shared" si="1064"/>
        <v>30</v>
      </c>
      <c r="J3789" s="1" t="s">
        <v>1736</v>
      </c>
    </row>
    <row r="3790" spans="2:10">
      <c r="B3790" s="1" t="s">
        <v>1357</v>
      </c>
      <c r="C3790" s="1">
        <f t="shared" si="1065"/>
        <v>5000</v>
      </c>
      <c r="D3790" s="1" t="s">
        <v>1328</v>
      </c>
      <c r="E3790" s="1">
        <f t="shared" si="1063"/>
        <v>2.5</v>
      </c>
      <c r="F3790" s="1" t="s">
        <v>1736</v>
      </c>
      <c r="G3790" s="1">
        <f t="shared" si="1066"/>
        <v>5000</v>
      </c>
      <c r="H3790" s="1" t="s">
        <v>1328</v>
      </c>
      <c r="I3790" s="1">
        <f t="shared" si="1064"/>
        <v>5</v>
      </c>
      <c r="J3790" s="1" t="s">
        <v>1736</v>
      </c>
    </row>
    <row r="3791" spans="2:10">
      <c r="B3791" s="1" t="s">
        <v>1346</v>
      </c>
      <c r="C3791" s="1">
        <f>G3759*1000000/1000000</f>
        <v>15</v>
      </c>
      <c r="D3791" s="1" t="s">
        <v>1328</v>
      </c>
      <c r="E3791" s="1">
        <f t="shared" si="1063"/>
        <v>0.0075</v>
      </c>
      <c r="F3791" s="1" t="s">
        <v>1736</v>
      </c>
      <c r="G3791" s="1">
        <f>H3759*1000000/1000000</f>
        <v>15</v>
      </c>
      <c r="H3791" s="1" t="s">
        <v>1328</v>
      </c>
      <c r="I3791" s="1">
        <f t="shared" si="1064"/>
        <v>0.015</v>
      </c>
      <c r="J3791" s="1" t="s">
        <v>1736</v>
      </c>
    </row>
    <row r="3792" spans="2:10">
      <c r="B3792" s="1" t="s">
        <v>527</v>
      </c>
      <c r="C3792" s="1">
        <f>G3760*1000000</f>
        <v>8000000</v>
      </c>
      <c r="D3792" s="1" t="s">
        <v>1328</v>
      </c>
      <c r="E3792" s="1">
        <f t="shared" si="1063"/>
        <v>4000</v>
      </c>
      <c r="F3792" s="1" t="s">
        <v>1736</v>
      </c>
      <c r="G3792" s="1">
        <f>H3760*1000000</f>
        <v>8000000</v>
      </c>
      <c r="H3792" s="1" t="s">
        <v>1328</v>
      </c>
      <c r="I3792" s="1">
        <f t="shared" si="1064"/>
        <v>8000</v>
      </c>
      <c r="J3792" s="1" t="s">
        <v>1736</v>
      </c>
    </row>
    <row r="3793" spans="2:10">
      <c r="B3793" s="1" t="s">
        <v>575</v>
      </c>
      <c r="C3793" s="1">
        <f t="shared" ref="C3793:C3796" si="1067">G3771*1000000</f>
        <v>30000</v>
      </c>
      <c r="D3793" s="1" t="s">
        <v>1328</v>
      </c>
      <c r="E3793" s="1">
        <f t="shared" si="1063"/>
        <v>15</v>
      </c>
      <c r="F3793" s="1" t="s">
        <v>1736</v>
      </c>
      <c r="G3793" s="1">
        <f t="shared" ref="G3793:G3796" si="1068">H3771*1000000</f>
        <v>30000</v>
      </c>
      <c r="H3793" s="1" t="s">
        <v>1328</v>
      </c>
      <c r="I3793" s="1">
        <f t="shared" si="1064"/>
        <v>30</v>
      </c>
      <c r="J3793" s="1" t="s">
        <v>1736</v>
      </c>
    </row>
    <row r="3794" spans="2:10">
      <c r="B3794" s="1" t="s">
        <v>1737</v>
      </c>
      <c r="C3794" s="1">
        <f t="shared" si="1067"/>
        <v>1509000</v>
      </c>
      <c r="D3794" s="1" t="s">
        <v>1328</v>
      </c>
      <c r="E3794" s="1">
        <f t="shared" si="1063"/>
        <v>754.5</v>
      </c>
      <c r="F3794" s="1" t="s">
        <v>1736</v>
      </c>
      <c r="G3794" s="1">
        <f t="shared" si="1068"/>
        <v>900000</v>
      </c>
      <c r="H3794" s="1" t="s">
        <v>1328</v>
      </c>
      <c r="I3794" s="1">
        <f t="shared" si="1064"/>
        <v>900</v>
      </c>
      <c r="J3794" s="1" t="s">
        <v>1736</v>
      </c>
    </row>
    <row r="3795" spans="2:10">
      <c r="B3795" s="1" t="s">
        <v>2076</v>
      </c>
      <c r="C3795" s="1">
        <f t="shared" si="1067"/>
        <v>1509000</v>
      </c>
      <c r="D3795" s="1" t="s">
        <v>1328</v>
      </c>
      <c r="E3795" s="1">
        <f t="shared" si="1063"/>
        <v>754.5</v>
      </c>
      <c r="F3795" s="1" t="s">
        <v>1736</v>
      </c>
      <c r="G3795" s="1">
        <f t="shared" si="1068"/>
        <v>1500000</v>
      </c>
      <c r="H3795" s="1" t="s">
        <v>1328</v>
      </c>
      <c r="I3795" s="1">
        <f t="shared" si="1064"/>
        <v>1500</v>
      </c>
      <c r="J3795" s="1" t="s">
        <v>1736</v>
      </c>
    </row>
    <row r="3796" spans="2:10">
      <c r="B3796" s="1" t="s">
        <v>2077</v>
      </c>
      <c r="C3796" s="1">
        <f t="shared" si="1067"/>
        <v>1200000</v>
      </c>
      <c r="D3796" s="1" t="s">
        <v>1328</v>
      </c>
      <c r="E3796" s="1">
        <f t="shared" si="1063"/>
        <v>600</v>
      </c>
      <c r="F3796" s="1" t="s">
        <v>1736</v>
      </c>
      <c r="G3796" s="1">
        <f t="shared" si="1068"/>
        <v>1200000</v>
      </c>
      <c r="H3796" s="1" t="s">
        <v>1328</v>
      </c>
      <c r="I3796" s="1">
        <f t="shared" si="1064"/>
        <v>1200</v>
      </c>
      <c r="J3796" s="1" t="s">
        <v>1736</v>
      </c>
    </row>
    <row r="3797" spans="2:10">
      <c r="B3797" s="1" t="s">
        <v>1730</v>
      </c>
      <c r="C3797" s="1">
        <f>G3764*1000000/1000000</f>
        <v>12</v>
      </c>
      <c r="D3797" s="1" t="s">
        <v>1328</v>
      </c>
      <c r="E3797" s="1">
        <f t="shared" ref="E3797:E3799" si="1069">C3797/1000000*$E$3751</f>
        <v>0.006</v>
      </c>
      <c r="F3797" s="1" t="s">
        <v>1736</v>
      </c>
      <c r="G3797" s="1">
        <f>H3764*1000000/1000000</f>
        <v>12</v>
      </c>
      <c r="H3797" s="1" t="s">
        <v>1328</v>
      </c>
      <c r="I3797" s="1">
        <f t="shared" ref="I3797:I3799" si="1070">G3797/1000000*$F$3751</f>
        <v>0.012</v>
      </c>
      <c r="J3797" s="1" t="s">
        <v>1736</v>
      </c>
    </row>
    <row r="3798" spans="2:10">
      <c r="B3798" s="1" t="s">
        <v>1713</v>
      </c>
      <c r="C3798" s="1">
        <f>G3765*1000000/1000</f>
        <v>18000</v>
      </c>
      <c r="D3798" s="1" t="s">
        <v>1328</v>
      </c>
      <c r="E3798" s="1">
        <f t="shared" si="1069"/>
        <v>9</v>
      </c>
      <c r="F3798" s="1" t="s">
        <v>1736</v>
      </c>
      <c r="G3798" s="1">
        <f>H3765*1000000/1000</f>
        <v>18000</v>
      </c>
      <c r="H3798" s="1" t="s">
        <v>1328</v>
      </c>
      <c r="I3798" s="1">
        <f t="shared" si="1070"/>
        <v>18</v>
      </c>
      <c r="J3798" s="1" t="s">
        <v>1736</v>
      </c>
    </row>
    <row r="3799" spans="2:10">
      <c r="B3799" s="1" t="s">
        <v>1675</v>
      </c>
      <c r="C3799" s="1">
        <f>G3766*1000000/1000</f>
        <v>60000</v>
      </c>
      <c r="D3799" s="1" t="s">
        <v>1328</v>
      </c>
      <c r="E3799" s="1">
        <f t="shared" si="1069"/>
        <v>30</v>
      </c>
      <c r="F3799" s="1" t="s">
        <v>1736</v>
      </c>
      <c r="G3799" s="1">
        <f>H3766*1000000/1000</f>
        <v>60000</v>
      </c>
      <c r="H3799" s="1" t="s">
        <v>1328</v>
      </c>
      <c r="I3799" s="1">
        <f t="shared" si="1070"/>
        <v>60</v>
      </c>
      <c r="J3799" s="1" t="s">
        <v>1736</v>
      </c>
    </row>
    <row r="3801" spans="2:12">
      <c r="B3801" s="27" t="s">
        <v>2078</v>
      </c>
      <c r="C3801" s="27"/>
      <c r="D3801" s="27"/>
      <c r="E3801" s="27"/>
      <c r="F3801" s="27"/>
      <c r="G3801" s="27"/>
      <c r="H3801" s="27"/>
      <c r="I3801" s="27"/>
      <c r="J3801" s="27"/>
      <c r="K3801" s="27"/>
      <c r="L3801" s="27"/>
    </row>
    <row r="3803" spans="2:6">
      <c r="B3803" s="1" t="s">
        <v>1943</v>
      </c>
      <c r="E3803" s="1">
        <f>$E$4819</f>
        <v>0.8</v>
      </c>
      <c r="F3803" s="1" t="s">
        <v>520</v>
      </c>
    </row>
    <row r="3804" spans="2:6">
      <c r="B3804" s="1" t="s">
        <v>1944</v>
      </c>
      <c r="E3804" s="1">
        <f>$E$4820</f>
        <v>18.3</v>
      </c>
      <c r="F3804" s="1" t="s">
        <v>1355</v>
      </c>
    </row>
    <row r="3806" spans="8:24">
      <c r="H3806" s="1" t="s">
        <v>1945</v>
      </c>
      <c r="I3806" s="1">
        <f t="array" ref="I3806:X3806">TRANSPOSE(C3784:C3799)</f>
        <v>1</v>
      </c>
      <c r="J3806" s="1">
        <v>2604.16666666667</v>
      </c>
      <c r="K3806" s="1">
        <v>1200000</v>
      </c>
      <c r="L3806" s="1">
        <v>6</v>
      </c>
      <c r="M3806" s="1">
        <v>9000</v>
      </c>
      <c r="N3806" s="1">
        <v>30000</v>
      </c>
      <c r="O3806" s="1">
        <v>5000</v>
      </c>
      <c r="P3806" s="1">
        <v>15</v>
      </c>
      <c r="Q3806" s="1">
        <v>8000000</v>
      </c>
      <c r="R3806" s="1">
        <v>30000</v>
      </c>
      <c r="S3806" s="1">
        <v>1509000</v>
      </c>
      <c r="T3806" s="1">
        <v>1509000</v>
      </c>
      <c r="U3806" s="1">
        <v>1200000</v>
      </c>
      <c r="V3806" s="1">
        <v>12</v>
      </c>
      <c r="W3806" s="1">
        <v>18000</v>
      </c>
      <c r="X3806" s="1">
        <v>60000</v>
      </c>
    </row>
    <row r="3807" spans="8:24">
      <c r="H3807" s="1" t="s">
        <v>29</v>
      </c>
      <c r="I3807" s="1">
        <f t="array" ref="I3807:X3807">TRANSPOSE(E3784:E3799)</f>
        <v>0.0005</v>
      </c>
      <c r="J3807" s="1">
        <v>1.30208333333333</v>
      </c>
      <c r="K3807" s="1">
        <v>600</v>
      </c>
      <c r="L3807" s="1">
        <v>0.003</v>
      </c>
      <c r="M3807" s="1">
        <v>4.5</v>
      </c>
      <c r="N3807" s="1">
        <v>15</v>
      </c>
      <c r="O3807" s="1">
        <v>2.5</v>
      </c>
      <c r="P3807" s="1">
        <v>0.0075</v>
      </c>
      <c r="Q3807" s="1">
        <v>4000</v>
      </c>
      <c r="R3807" s="1">
        <v>15</v>
      </c>
      <c r="S3807" s="1">
        <v>754.5</v>
      </c>
      <c r="T3807" s="1">
        <v>754.5</v>
      </c>
      <c r="U3807" s="1">
        <v>600</v>
      </c>
      <c r="V3807" s="1">
        <v>0.006</v>
      </c>
      <c r="W3807" s="1">
        <v>9</v>
      </c>
      <c r="X3807" s="1">
        <v>30</v>
      </c>
    </row>
    <row r="3808" spans="8:24">
      <c r="H3808" s="1" t="s">
        <v>1946</v>
      </c>
      <c r="I3808" s="1">
        <f t="array" ref="I3808:X3808">TRANSPOSE(G3784:G3799)</f>
        <v>1</v>
      </c>
      <c r="J3808" s="1">
        <v>3000</v>
      </c>
      <c r="K3808" s="1">
        <v>1200000</v>
      </c>
      <c r="L3808" s="1">
        <v>6</v>
      </c>
      <c r="M3808" s="1">
        <v>9000</v>
      </c>
      <c r="N3808" s="1">
        <v>30000</v>
      </c>
      <c r="O3808" s="1">
        <v>5000</v>
      </c>
      <c r="P3808" s="1">
        <v>15</v>
      </c>
      <c r="Q3808" s="1">
        <v>8000000</v>
      </c>
      <c r="R3808" s="1">
        <v>30000</v>
      </c>
      <c r="S3808" s="1">
        <v>900000</v>
      </c>
      <c r="T3808" s="1">
        <v>1500000</v>
      </c>
      <c r="U3808" s="1">
        <v>1200000</v>
      </c>
      <c r="V3808" s="1">
        <v>12</v>
      </c>
      <c r="W3808" s="1">
        <v>18000</v>
      </c>
      <c r="X3808" s="1">
        <v>60000</v>
      </c>
    </row>
    <row r="3809" spans="8:24">
      <c r="H3809" s="1" t="s">
        <v>31</v>
      </c>
      <c r="I3809" s="1">
        <f t="array" ref="I3809:X3809">TRANSPOSE(I3784:I3799)</f>
        <v>0.001</v>
      </c>
      <c r="J3809" s="1">
        <v>3</v>
      </c>
      <c r="K3809" s="1">
        <v>1200</v>
      </c>
      <c r="L3809" s="1">
        <v>0.006</v>
      </c>
      <c r="M3809" s="1">
        <v>9</v>
      </c>
      <c r="N3809" s="1">
        <v>30</v>
      </c>
      <c r="O3809" s="1">
        <v>5</v>
      </c>
      <c r="P3809" s="1">
        <v>0.015</v>
      </c>
      <c r="Q3809" s="1">
        <v>8000</v>
      </c>
      <c r="R3809" s="1">
        <v>30</v>
      </c>
      <c r="S3809" s="1">
        <v>900</v>
      </c>
      <c r="T3809" s="1">
        <v>1500</v>
      </c>
      <c r="U3809" s="1">
        <v>1200</v>
      </c>
      <c r="V3809" s="1">
        <v>0.012</v>
      </c>
      <c r="W3809" s="1">
        <v>18</v>
      </c>
      <c r="X3809" s="1">
        <v>60</v>
      </c>
    </row>
    <row r="3810" spans="2:33">
      <c r="B3810" s="4" t="s">
        <v>1527</v>
      </c>
      <c r="C3810" s="4"/>
      <c r="D3810" s="4" t="s">
        <v>607</v>
      </c>
      <c r="E3810" s="4"/>
      <c r="F3810" s="4"/>
      <c r="G3810" s="6" t="s">
        <v>471</v>
      </c>
      <c r="H3810" s="6" t="s">
        <v>1528</v>
      </c>
      <c r="I3810" s="110" t="s">
        <v>1328</v>
      </c>
      <c r="J3810" s="110" t="s">
        <v>1308</v>
      </c>
      <c r="K3810" s="110" t="s">
        <v>520</v>
      </c>
      <c r="L3810" s="110" t="s">
        <v>1460</v>
      </c>
      <c r="M3810" s="110" t="s">
        <v>1321</v>
      </c>
      <c r="N3810" s="110" t="s">
        <v>1355</v>
      </c>
      <c r="O3810" s="110" t="s">
        <v>1357</v>
      </c>
      <c r="P3810" s="110" t="s">
        <v>1346</v>
      </c>
      <c r="Q3810" s="110" t="s">
        <v>527</v>
      </c>
      <c r="R3810" s="110" t="s">
        <v>575</v>
      </c>
      <c r="S3810" s="110" t="s">
        <v>1737</v>
      </c>
      <c r="T3810" s="110" t="s">
        <v>2076</v>
      </c>
      <c r="U3810" s="110" t="s">
        <v>2077</v>
      </c>
      <c r="V3810" s="110" t="s">
        <v>1730</v>
      </c>
      <c r="W3810" s="110" t="s">
        <v>1713</v>
      </c>
      <c r="X3810" s="110" t="s">
        <v>1675</v>
      </c>
      <c r="Y3810" s="4" t="s">
        <v>1529</v>
      </c>
      <c r="Z3810" s="5" t="s">
        <v>1530</v>
      </c>
      <c r="AA3810" s="6" t="s">
        <v>1533</v>
      </c>
      <c r="AB3810" s="6" t="s">
        <v>1741</v>
      </c>
      <c r="AC3810" s="30" t="s">
        <v>1742</v>
      </c>
      <c r="AD3810" s="1" t="s">
        <v>1743</v>
      </c>
      <c r="AE3810" s="1" t="s">
        <v>1744</v>
      </c>
      <c r="AF3810" s="4" t="s">
        <v>1745</v>
      </c>
      <c r="AG3810" s="6" t="s">
        <v>1535</v>
      </c>
    </row>
    <row r="3811" spans="2:33">
      <c r="B3811" s="4" t="s">
        <v>2079</v>
      </c>
      <c r="C3811" s="4"/>
      <c r="D3811" s="4" t="s">
        <v>2080</v>
      </c>
      <c r="E3811" s="4"/>
      <c r="F3811" s="4"/>
      <c r="G3811" s="6">
        <v>2</v>
      </c>
      <c r="H3811" s="6">
        <v>1</v>
      </c>
      <c r="I3811" s="110"/>
      <c r="J3811" s="110"/>
      <c r="K3811" s="110"/>
      <c r="L3811" s="110"/>
      <c r="M3811" s="110"/>
      <c r="N3811" s="110"/>
      <c r="O3811" s="110"/>
      <c r="P3811" s="110"/>
      <c r="Q3811" s="110"/>
      <c r="R3811" s="110">
        <v>20</v>
      </c>
      <c r="S3811" s="110"/>
      <c r="T3811" s="110"/>
      <c r="U3811" s="110"/>
      <c r="V3811" s="110"/>
      <c r="W3811" s="110"/>
      <c r="X3811" s="110"/>
      <c r="Y3811" s="4" t="str">
        <f t="shared" ref="Y3811:Y3850" si="1071">IF(AA3811&gt;-0.5,"purple","yellow")</f>
        <v>yellow</v>
      </c>
      <c r="Z3811" s="50">
        <f>AD3811/AF3811</f>
        <v>3.33333333333333</v>
      </c>
      <c r="AA3811" s="6">
        <v>-0.7</v>
      </c>
      <c r="AB3811" s="6" t="s">
        <v>1760</v>
      </c>
      <c r="AC3811" s="30" t="b">
        <v>1</v>
      </c>
      <c r="AD3811" s="1">
        <f>IF(AB3811="l_coin",SUMPRODUCT(I3811:X3811,$I$3807:$X$3807),SUMPRODUCT(I3811:X3811,$I$3806:$X$3806))</f>
        <v>600000</v>
      </c>
      <c r="AE3811" s="1">
        <f>IF(AB3811="l_coin",SUMPRODUCT(I3811:X3811,$I$3809:$X$3809),SUMPRODUCT(I3811:X3811,$I$3808:$X$3808))</f>
        <v>600000</v>
      </c>
      <c r="AF3811" s="4">
        <f>_xlfn.FLOOR.MATH(AE3811*(1+AA3811))</f>
        <v>180000</v>
      </c>
      <c r="AG3811" s="6">
        <v>20</v>
      </c>
    </row>
    <row r="3812" spans="2:33">
      <c r="B3812" s="4" t="s">
        <v>2081</v>
      </c>
      <c r="C3812" s="4"/>
      <c r="D3812" s="4" t="s">
        <v>1873</v>
      </c>
      <c r="E3812" s="4"/>
      <c r="F3812" s="4"/>
      <c r="G3812" s="6">
        <v>2</v>
      </c>
      <c r="H3812" s="6">
        <v>1</v>
      </c>
      <c r="I3812" s="110"/>
      <c r="J3812" s="110">
        <v>15</v>
      </c>
      <c r="K3812" s="110"/>
      <c r="L3812" s="110"/>
      <c r="M3812" s="110"/>
      <c r="N3812" s="110"/>
      <c r="O3812" s="110"/>
      <c r="P3812" s="110"/>
      <c r="Q3812" s="110"/>
      <c r="R3812" s="110"/>
      <c r="S3812" s="110"/>
      <c r="T3812" s="110"/>
      <c r="U3812" s="110"/>
      <c r="V3812" s="110"/>
      <c r="W3812" s="110"/>
      <c r="X3812" s="110"/>
      <c r="Y3812" s="4" t="str">
        <f t="shared" si="1071"/>
        <v>yellow</v>
      </c>
      <c r="Z3812" s="50">
        <f t="shared" ref="Z3812:Z3850" si="1072">AD3812/AF3812</f>
        <v>1.08506944444444</v>
      </c>
      <c r="AA3812" s="6">
        <v>-0.6</v>
      </c>
      <c r="AB3812" s="6" t="s">
        <v>1785</v>
      </c>
      <c r="AC3812" s="30" t="b">
        <v>0</v>
      </c>
      <c r="AD3812" s="1">
        <f t="shared" ref="AD3812:AD3850" si="1073">IF(AB3812="l_coin",SUMPRODUCT(I3812:X3812,$I$3807:$X$3807),SUMPRODUCT(I3812:X3812,$I$3806:$X$3806))</f>
        <v>19.53125</v>
      </c>
      <c r="AE3812" s="1">
        <f t="shared" ref="AE3812:AE3850" si="1074">IF(AB3812="l_coin",SUMPRODUCT(I3812:X3812,$I$3809:$X$3809),SUMPRODUCT(I3812:X3812,$I$3808:$X$3808))</f>
        <v>45</v>
      </c>
      <c r="AF3812" s="4">
        <f>_xlfn.FLOOR.MATH(AE3812*(1+AA3812))</f>
        <v>18</v>
      </c>
      <c r="AG3812" s="6">
        <v>100</v>
      </c>
    </row>
    <row r="3813" spans="2:33">
      <c r="B3813" s="4" t="s">
        <v>2082</v>
      </c>
      <c r="C3813" s="4"/>
      <c r="D3813" s="4" t="s">
        <v>1539</v>
      </c>
      <c r="E3813" s="4"/>
      <c r="F3813" s="4"/>
      <c r="G3813" s="6">
        <v>3</v>
      </c>
      <c r="H3813" s="6">
        <v>10000</v>
      </c>
      <c r="I3813" s="110"/>
      <c r="J3813" s="110"/>
      <c r="K3813" s="110"/>
      <c r="L3813" s="110">
        <f>H3813</f>
        <v>10000</v>
      </c>
      <c r="M3813" s="110"/>
      <c r="N3813" s="110"/>
      <c r="O3813" s="110"/>
      <c r="P3813" s="110"/>
      <c r="Q3813" s="110"/>
      <c r="R3813" s="110"/>
      <c r="S3813" s="110"/>
      <c r="T3813" s="110"/>
      <c r="U3813" s="110"/>
      <c r="V3813" s="110"/>
      <c r="W3813" s="110"/>
      <c r="X3813" s="110"/>
      <c r="Y3813" s="4" t="str">
        <f t="shared" si="1071"/>
        <v>yellow</v>
      </c>
      <c r="Z3813" s="50">
        <f t="shared" si="1072"/>
        <v>1</v>
      </c>
      <c r="AA3813" s="6">
        <v>-0.5</v>
      </c>
      <c r="AB3813" s="6" t="s">
        <v>1785</v>
      </c>
      <c r="AC3813" s="30" t="b">
        <v>0</v>
      </c>
      <c r="AD3813" s="1">
        <f t="shared" si="1073"/>
        <v>30</v>
      </c>
      <c r="AE3813" s="1">
        <f t="shared" si="1074"/>
        <v>60</v>
      </c>
      <c r="AF3813" s="4">
        <f>_xlfn.FLOOR.MATH(AE3813*(1+AA3813))</f>
        <v>30</v>
      </c>
      <c r="AG3813" s="6">
        <v>200</v>
      </c>
    </row>
    <row r="3814" spans="2:33">
      <c r="B3814" s="4" t="s">
        <v>2083</v>
      </c>
      <c r="C3814" s="4"/>
      <c r="D3814" s="4" t="s">
        <v>1882</v>
      </c>
      <c r="E3814" s="4"/>
      <c r="F3814" s="4"/>
      <c r="G3814" s="6">
        <v>3</v>
      </c>
      <c r="H3814" s="6">
        <v>1</v>
      </c>
      <c r="I3814" s="110"/>
      <c r="J3814" s="110">
        <v>15</v>
      </c>
      <c r="K3814" s="110"/>
      <c r="L3814" s="110"/>
      <c r="M3814" s="110"/>
      <c r="N3814" s="110"/>
      <c r="O3814" s="110"/>
      <c r="P3814" s="110"/>
      <c r="Q3814" s="110"/>
      <c r="R3814" s="110"/>
      <c r="S3814" s="110"/>
      <c r="T3814" s="110"/>
      <c r="U3814" s="110"/>
      <c r="V3814" s="110"/>
      <c r="W3814" s="110"/>
      <c r="X3814" s="110"/>
      <c r="Y3814" s="4" t="str">
        <f t="shared" si="1071"/>
        <v>yellow</v>
      </c>
      <c r="Z3814" s="50">
        <f t="shared" si="1072"/>
        <v>1.73611111111111</v>
      </c>
      <c r="AA3814" s="6">
        <v>-0.5</v>
      </c>
      <c r="AB3814" s="6" t="s">
        <v>1760</v>
      </c>
      <c r="AC3814" s="30" t="b">
        <v>1</v>
      </c>
      <c r="AD3814" s="1">
        <f t="shared" si="1073"/>
        <v>39062.5</v>
      </c>
      <c r="AE3814" s="1">
        <f t="shared" si="1074"/>
        <v>45000</v>
      </c>
      <c r="AF3814" s="4">
        <f>_xlfn.FLOOR.MATH(AE3814*(1+AA3814))</f>
        <v>22500</v>
      </c>
      <c r="AG3814" s="6">
        <v>30</v>
      </c>
    </row>
    <row r="3815" spans="2:33">
      <c r="B3815" s="4" t="s">
        <v>2084</v>
      </c>
      <c r="C3815" s="4"/>
      <c r="D3815" s="4" t="s">
        <v>2085</v>
      </c>
      <c r="E3815" s="4"/>
      <c r="F3815" s="4"/>
      <c r="G3815" s="6">
        <v>4</v>
      </c>
      <c r="H3815" s="6">
        <v>20</v>
      </c>
      <c r="I3815" s="110"/>
      <c r="J3815" s="110"/>
      <c r="K3815" s="110">
        <f>H3815*$E$697</f>
        <v>0.4</v>
      </c>
      <c r="L3815" s="110"/>
      <c r="M3815" s="110"/>
      <c r="N3815" s="110"/>
      <c r="O3815" s="110"/>
      <c r="P3815" s="110"/>
      <c r="Q3815" s="110"/>
      <c r="R3815" s="110"/>
      <c r="S3815" s="110"/>
      <c r="T3815" s="110"/>
      <c r="U3815" s="110"/>
      <c r="V3815" s="110"/>
      <c r="W3815" s="110"/>
      <c r="X3815" s="110"/>
      <c r="Y3815" s="4" t="str">
        <f t="shared" si="1071"/>
        <v>yellow</v>
      </c>
      <c r="Z3815" s="50">
        <f t="shared" si="1072"/>
        <v>2</v>
      </c>
      <c r="AA3815" s="6">
        <v>-0.5</v>
      </c>
      <c r="AB3815" s="6" t="s">
        <v>1753</v>
      </c>
      <c r="AC3815" s="30" t="b">
        <v>1</v>
      </c>
      <c r="AD3815" s="1">
        <f t="shared" si="1073"/>
        <v>480000</v>
      </c>
      <c r="AE3815" s="1">
        <f t="shared" si="1074"/>
        <v>480000</v>
      </c>
      <c r="AF3815" s="4">
        <f>_xlfn.FLOOR.MATH(AE3815*(1+AA3815))</f>
        <v>240000</v>
      </c>
      <c r="AG3815" s="6">
        <v>20</v>
      </c>
    </row>
    <row r="3816" spans="2:33">
      <c r="B3816" s="4" t="s">
        <v>2086</v>
      </c>
      <c r="C3816" s="4"/>
      <c r="D3816" s="4" t="s">
        <v>1634</v>
      </c>
      <c r="E3816" s="4"/>
      <c r="F3816" s="4"/>
      <c r="G3816" s="6">
        <v>4</v>
      </c>
      <c r="H3816" s="6">
        <v>1</v>
      </c>
      <c r="I3816" s="110">
        <v>500000</v>
      </c>
      <c r="J3816" s="110"/>
      <c r="K3816" s="110"/>
      <c r="L3816" s="110"/>
      <c r="M3816" s="110"/>
      <c r="N3816" s="110"/>
      <c r="O3816" s="110"/>
      <c r="P3816" s="110"/>
      <c r="Q3816" s="110"/>
      <c r="R3816" s="110"/>
      <c r="S3816" s="110"/>
      <c r="T3816" s="110"/>
      <c r="U3816" s="110"/>
      <c r="V3816" s="110"/>
      <c r="W3816" s="110"/>
      <c r="X3816" s="110"/>
      <c r="Y3816" s="4" t="str">
        <f t="shared" si="1071"/>
        <v>yellow</v>
      </c>
      <c r="Z3816" s="50">
        <f t="shared" si="1072"/>
        <v>1.42857142857143</v>
      </c>
      <c r="AA3816" s="6">
        <v>-0.65</v>
      </c>
      <c r="AB3816" s="6" t="s">
        <v>1785</v>
      </c>
      <c r="AC3816" s="30" t="b">
        <v>0</v>
      </c>
      <c r="AD3816" s="1">
        <f t="shared" si="1073"/>
        <v>250</v>
      </c>
      <c r="AE3816" s="1">
        <f t="shared" si="1074"/>
        <v>500</v>
      </c>
      <c r="AF3816" s="4">
        <f>_xlfn.FLOOR.MATH(AE3816*(1+AA3816))</f>
        <v>175</v>
      </c>
      <c r="AG3816" s="6">
        <v>20</v>
      </c>
    </row>
    <row r="3817" spans="2:33">
      <c r="B3817" s="4" t="s">
        <v>2087</v>
      </c>
      <c r="C3817" s="4"/>
      <c r="D3817" s="4" t="s">
        <v>1541</v>
      </c>
      <c r="E3817" s="4"/>
      <c r="F3817" s="4"/>
      <c r="G3817" s="6">
        <v>5</v>
      </c>
      <c r="H3817" s="6">
        <v>100</v>
      </c>
      <c r="I3817" s="110"/>
      <c r="J3817" s="110"/>
      <c r="K3817" s="110"/>
      <c r="L3817" s="110"/>
      <c r="M3817" s="110">
        <f>H3817</f>
        <v>100</v>
      </c>
      <c r="N3817" s="110"/>
      <c r="O3817" s="110"/>
      <c r="P3817" s="110"/>
      <c r="Q3817" s="110"/>
      <c r="R3817" s="110"/>
      <c r="S3817" s="110"/>
      <c r="T3817" s="110"/>
      <c r="U3817" s="110"/>
      <c r="V3817" s="110"/>
      <c r="W3817" s="110"/>
      <c r="X3817" s="110"/>
      <c r="Y3817" s="4" t="str">
        <f t="shared" si="1071"/>
        <v>yellow</v>
      </c>
      <c r="Z3817" s="50">
        <f t="shared" si="1072"/>
        <v>2</v>
      </c>
      <c r="AA3817" s="6">
        <v>-0.5</v>
      </c>
      <c r="AB3817" s="6" t="s">
        <v>1753</v>
      </c>
      <c r="AC3817" s="30" t="b">
        <v>1</v>
      </c>
      <c r="AD3817" s="1">
        <f t="shared" si="1073"/>
        <v>900000</v>
      </c>
      <c r="AE3817" s="1">
        <f t="shared" si="1074"/>
        <v>900000</v>
      </c>
      <c r="AF3817" s="4">
        <f>_xlfn.FLOOR.MATH(AE3817*(1+AA3817))</f>
        <v>450000</v>
      </c>
      <c r="AG3817" s="6">
        <v>10</v>
      </c>
    </row>
    <row r="3818" spans="2:33">
      <c r="B3818" s="4" t="s">
        <v>2088</v>
      </c>
      <c r="C3818" s="4"/>
      <c r="D3818" s="4" t="s">
        <v>1636</v>
      </c>
      <c r="E3818" s="4"/>
      <c r="F3818" s="4"/>
      <c r="G3818" s="6">
        <v>5</v>
      </c>
      <c r="H3818" s="6">
        <v>1</v>
      </c>
      <c r="I3818" s="110">
        <v>500000</v>
      </c>
      <c r="J3818" s="110"/>
      <c r="K3818" s="110"/>
      <c r="L3818" s="110"/>
      <c r="M3818" s="110"/>
      <c r="N3818" s="110"/>
      <c r="O3818" s="110"/>
      <c r="P3818" s="110"/>
      <c r="Q3818" s="110"/>
      <c r="R3818" s="110"/>
      <c r="S3818" s="110"/>
      <c r="T3818" s="110"/>
      <c r="U3818" s="110"/>
      <c r="V3818" s="110"/>
      <c r="W3818" s="110"/>
      <c r="X3818" s="110"/>
      <c r="Y3818" s="4" t="str">
        <f t="shared" si="1071"/>
        <v>yellow</v>
      </c>
      <c r="Z3818" s="50">
        <f t="shared" si="1072"/>
        <v>1.42857142857143</v>
      </c>
      <c r="AA3818" s="6">
        <v>-0.65</v>
      </c>
      <c r="AB3818" s="6" t="s">
        <v>1785</v>
      </c>
      <c r="AC3818" s="30" t="b">
        <v>0</v>
      </c>
      <c r="AD3818" s="1">
        <f t="shared" si="1073"/>
        <v>250</v>
      </c>
      <c r="AE3818" s="1">
        <f t="shared" si="1074"/>
        <v>500</v>
      </c>
      <c r="AF3818" s="4">
        <f>_xlfn.FLOOR.MATH(AE3818*(1+AA3818))</f>
        <v>175</v>
      </c>
      <c r="AG3818" s="6">
        <v>20</v>
      </c>
    </row>
    <row r="3819" spans="2:33">
      <c r="B3819" s="4" t="s">
        <v>2089</v>
      </c>
      <c r="C3819" s="4"/>
      <c r="D3819" s="4" t="s">
        <v>1875</v>
      </c>
      <c r="E3819" s="4"/>
      <c r="F3819" s="4"/>
      <c r="G3819" s="6">
        <v>5</v>
      </c>
      <c r="H3819" s="6">
        <v>1</v>
      </c>
      <c r="I3819" s="110"/>
      <c r="J3819" s="110">
        <v>60</v>
      </c>
      <c r="K3819" s="110"/>
      <c r="L3819" s="110"/>
      <c r="M3819" s="110"/>
      <c r="N3819" s="110"/>
      <c r="O3819" s="110"/>
      <c r="P3819" s="110"/>
      <c r="Q3819" s="110"/>
      <c r="R3819" s="110"/>
      <c r="S3819" s="110"/>
      <c r="T3819" s="110"/>
      <c r="U3819" s="110"/>
      <c r="V3819" s="110"/>
      <c r="W3819" s="110"/>
      <c r="X3819" s="110"/>
      <c r="Y3819" s="4" t="str">
        <f t="shared" si="1071"/>
        <v>yellow</v>
      </c>
      <c r="Z3819" s="50">
        <f t="shared" si="1072"/>
        <v>1.08506944444444</v>
      </c>
      <c r="AA3819" s="6">
        <v>-0.6</v>
      </c>
      <c r="AB3819" s="6" t="s">
        <v>1785</v>
      </c>
      <c r="AC3819" s="30" t="b">
        <v>0</v>
      </c>
      <c r="AD3819" s="1">
        <f t="shared" si="1073"/>
        <v>78.125</v>
      </c>
      <c r="AE3819" s="1">
        <f t="shared" si="1074"/>
        <v>180</v>
      </c>
      <c r="AF3819" s="4">
        <f>_xlfn.FLOOR.MATH(AE3819*(1+AA3819))</f>
        <v>72</v>
      </c>
      <c r="AG3819" s="6">
        <v>30</v>
      </c>
    </row>
    <row r="3820" spans="2:33">
      <c r="B3820" s="4" t="s">
        <v>2090</v>
      </c>
      <c r="C3820" s="4"/>
      <c r="D3820" s="4" t="s">
        <v>1632</v>
      </c>
      <c r="E3820" s="4"/>
      <c r="F3820" s="4"/>
      <c r="G3820" s="6">
        <v>6</v>
      </c>
      <c r="H3820" s="6">
        <v>1</v>
      </c>
      <c r="I3820" s="110">
        <v>500000</v>
      </c>
      <c r="J3820" s="110"/>
      <c r="K3820" s="110"/>
      <c r="L3820" s="110"/>
      <c r="M3820" s="110"/>
      <c r="N3820" s="110"/>
      <c r="O3820" s="110"/>
      <c r="P3820" s="110"/>
      <c r="Q3820" s="110"/>
      <c r="R3820" s="110"/>
      <c r="S3820" s="110"/>
      <c r="T3820" s="110"/>
      <c r="U3820" s="110"/>
      <c r="V3820" s="110"/>
      <c r="W3820" s="110"/>
      <c r="X3820" s="110"/>
      <c r="Y3820" s="4" t="str">
        <f t="shared" si="1071"/>
        <v>yellow</v>
      </c>
      <c r="Z3820" s="50">
        <f t="shared" si="1072"/>
        <v>1.42857142857143</v>
      </c>
      <c r="AA3820" s="6">
        <v>-0.65</v>
      </c>
      <c r="AB3820" s="6" t="s">
        <v>1785</v>
      </c>
      <c r="AC3820" s="30" t="b">
        <v>0</v>
      </c>
      <c r="AD3820" s="1">
        <f t="shared" si="1073"/>
        <v>250</v>
      </c>
      <c r="AE3820" s="1">
        <f t="shared" si="1074"/>
        <v>500</v>
      </c>
      <c r="AF3820" s="4">
        <f>_xlfn.FLOOR.MATH(AE3820*(1+AA3820))</f>
        <v>175</v>
      </c>
      <c r="AG3820" s="6">
        <v>20</v>
      </c>
    </row>
    <row r="3821" spans="2:33">
      <c r="B3821" s="4" t="s">
        <v>2091</v>
      </c>
      <c r="C3821" s="4"/>
      <c r="D3821" s="4" t="s">
        <v>1638</v>
      </c>
      <c r="E3821" s="4"/>
      <c r="F3821" s="4"/>
      <c r="G3821" s="6">
        <v>6</v>
      </c>
      <c r="H3821" s="6">
        <v>30</v>
      </c>
      <c r="I3821" s="110"/>
      <c r="J3821" s="110"/>
      <c r="K3821" s="110"/>
      <c r="L3821" s="110"/>
      <c r="M3821" s="110"/>
      <c r="N3821" s="110">
        <f>H3821</f>
        <v>30</v>
      </c>
      <c r="O3821" s="110"/>
      <c r="P3821" s="110"/>
      <c r="Q3821" s="110"/>
      <c r="R3821" s="110"/>
      <c r="S3821" s="110"/>
      <c r="T3821" s="110"/>
      <c r="U3821" s="110"/>
      <c r="V3821" s="110"/>
      <c r="W3821" s="110"/>
      <c r="X3821" s="110"/>
      <c r="Y3821" s="4" t="str">
        <f t="shared" si="1071"/>
        <v>yellow</v>
      </c>
      <c r="Z3821" s="50">
        <f t="shared" si="1072"/>
        <v>3.33333333333333</v>
      </c>
      <c r="AA3821" s="6">
        <v>-0.85</v>
      </c>
      <c r="AB3821" s="6" t="s">
        <v>1785</v>
      </c>
      <c r="AC3821" s="30" t="b">
        <v>1</v>
      </c>
      <c r="AD3821" s="1">
        <f t="shared" si="1073"/>
        <v>450</v>
      </c>
      <c r="AE3821" s="1">
        <f t="shared" si="1074"/>
        <v>900</v>
      </c>
      <c r="AF3821" s="4">
        <f>_xlfn.FLOOR.MATH(AE3821*(1+AA3821))</f>
        <v>135</v>
      </c>
      <c r="AG3821" s="6">
        <v>25</v>
      </c>
    </row>
    <row r="3822" spans="2:33">
      <c r="B3822" s="4" t="s">
        <v>2092</v>
      </c>
      <c r="C3822" s="4"/>
      <c r="D3822" s="4" t="s">
        <v>2093</v>
      </c>
      <c r="E3822" s="4"/>
      <c r="F3822" s="4"/>
      <c r="G3822" s="6">
        <v>6</v>
      </c>
      <c r="H3822" s="6">
        <v>1</v>
      </c>
      <c r="I3822" s="110"/>
      <c r="J3822" s="110"/>
      <c r="K3822" s="110"/>
      <c r="L3822" s="110"/>
      <c r="M3822" s="110"/>
      <c r="N3822" s="110"/>
      <c r="O3822" s="110"/>
      <c r="P3822" s="110"/>
      <c r="Q3822" s="110"/>
      <c r="R3822" s="110"/>
      <c r="S3822" s="110"/>
      <c r="T3822" s="110"/>
      <c r="U3822" s="110">
        <v>1</v>
      </c>
      <c r="V3822" s="110"/>
      <c r="W3822" s="110"/>
      <c r="X3822" s="110"/>
      <c r="Y3822" s="4" t="str">
        <f t="shared" si="1071"/>
        <v>yellow</v>
      </c>
      <c r="Z3822" s="50">
        <f t="shared" si="1072"/>
        <v>2</v>
      </c>
      <c r="AA3822" s="6">
        <v>-0.75</v>
      </c>
      <c r="AB3822" s="6" t="s">
        <v>1785</v>
      </c>
      <c r="AC3822" s="30" t="b">
        <v>0</v>
      </c>
      <c r="AD3822" s="1">
        <f t="shared" si="1073"/>
        <v>600</v>
      </c>
      <c r="AE3822" s="1">
        <f t="shared" si="1074"/>
        <v>1200</v>
      </c>
      <c r="AF3822" s="4">
        <f>_xlfn.FLOOR.MATH(AE3822*(1+AA3822))</f>
        <v>300</v>
      </c>
      <c r="AG3822" s="6">
        <v>7</v>
      </c>
    </row>
    <row r="3823" spans="2:33">
      <c r="B3823" s="4" t="s">
        <v>2094</v>
      </c>
      <c r="C3823" s="4"/>
      <c r="D3823" s="4" t="s">
        <v>2095</v>
      </c>
      <c r="E3823" s="4"/>
      <c r="F3823" s="4"/>
      <c r="G3823" s="6">
        <v>7</v>
      </c>
      <c r="H3823" s="6">
        <v>1</v>
      </c>
      <c r="I3823" s="110"/>
      <c r="J3823" s="110">
        <v>180</v>
      </c>
      <c r="K3823" s="110"/>
      <c r="L3823" s="110"/>
      <c r="M3823" s="110"/>
      <c r="N3823" s="110"/>
      <c r="O3823" s="110"/>
      <c r="P3823" s="110"/>
      <c r="Q3823" s="110"/>
      <c r="R3823" s="110"/>
      <c r="S3823" s="110"/>
      <c r="T3823" s="110"/>
      <c r="U3823" s="110"/>
      <c r="V3823" s="110"/>
      <c r="W3823" s="110"/>
      <c r="X3823" s="110"/>
      <c r="Y3823" s="4" t="str">
        <f t="shared" si="1071"/>
        <v>yellow</v>
      </c>
      <c r="Z3823" s="50">
        <f t="shared" si="1072"/>
        <v>1.24007936507937</v>
      </c>
      <c r="AA3823" s="6">
        <v>-0.65</v>
      </c>
      <c r="AB3823" s="6" t="s">
        <v>1785</v>
      </c>
      <c r="AC3823" s="30" t="b">
        <v>0</v>
      </c>
      <c r="AD3823" s="1">
        <f t="shared" si="1073"/>
        <v>234.375</v>
      </c>
      <c r="AE3823" s="1">
        <f t="shared" si="1074"/>
        <v>540</v>
      </c>
      <c r="AF3823" s="4">
        <f>_xlfn.FLOOR.MATH(AE3823*(1+AA3823))</f>
        <v>189</v>
      </c>
      <c r="AG3823" s="6">
        <v>20</v>
      </c>
    </row>
    <row r="3824" spans="2:33">
      <c r="B3824" s="4" t="s">
        <v>2096</v>
      </c>
      <c r="C3824" s="4"/>
      <c r="D3824" s="4" t="s">
        <v>2097</v>
      </c>
      <c r="E3824" s="4"/>
      <c r="F3824" s="4"/>
      <c r="G3824" s="6">
        <v>7</v>
      </c>
      <c r="H3824" s="6">
        <v>1</v>
      </c>
      <c r="I3824" s="110"/>
      <c r="J3824" s="110"/>
      <c r="K3824" s="110"/>
      <c r="L3824" s="110"/>
      <c r="M3824" s="110"/>
      <c r="N3824" s="110"/>
      <c r="O3824" s="110"/>
      <c r="P3824" s="110">
        <v>50000</v>
      </c>
      <c r="Q3824" s="110"/>
      <c r="R3824" s="110"/>
      <c r="S3824" s="110"/>
      <c r="T3824" s="110"/>
      <c r="U3824" s="110"/>
      <c r="V3824" s="110"/>
      <c r="W3824" s="110"/>
      <c r="X3824" s="110"/>
      <c r="Y3824" s="4" t="str">
        <f t="shared" si="1071"/>
        <v>yellow</v>
      </c>
      <c r="Z3824" s="50">
        <f t="shared" si="1072"/>
        <v>2</v>
      </c>
      <c r="AA3824" s="6">
        <v>-0.5</v>
      </c>
      <c r="AB3824" s="6" t="s">
        <v>1767</v>
      </c>
      <c r="AC3824" s="30" t="b">
        <v>1</v>
      </c>
      <c r="AD3824" s="1">
        <f t="shared" si="1073"/>
        <v>750000</v>
      </c>
      <c r="AE3824" s="1">
        <f t="shared" si="1074"/>
        <v>750000</v>
      </c>
      <c r="AF3824" s="4">
        <f>_xlfn.FLOOR.MATH(AE3824*(1+AA3824))</f>
        <v>375000</v>
      </c>
      <c r="AG3824" s="6">
        <v>20</v>
      </c>
    </row>
    <row r="3825" spans="2:33">
      <c r="B3825" s="4" t="s">
        <v>2098</v>
      </c>
      <c r="C3825" s="4"/>
      <c r="D3825" s="4" t="s">
        <v>2099</v>
      </c>
      <c r="E3825" s="4"/>
      <c r="F3825" s="4"/>
      <c r="G3825" s="6">
        <v>8</v>
      </c>
      <c r="H3825" s="6">
        <v>1</v>
      </c>
      <c r="I3825" s="110">
        <v>1500000</v>
      </c>
      <c r="J3825" s="110"/>
      <c r="K3825" s="110"/>
      <c r="L3825" s="110"/>
      <c r="M3825" s="110"/>
      <c r="N3825" s="110"/>
      <c r="O3825" s="110"/>
      <c r="P3825" s="110"/>
      <c r="Q3825" s="110"/>
      <c r="R3825" s="110"/>
      <c r="S3825" s="110"/>
      <c r="T3825" s="110"/>
      <c r="U3825" s="110"/>
      <c r="V3825" s="110"/>
      <c r="W3825" s="110"/>
      <c r="X3825" s="110"/>
      <c r="Y3825" s="4" t="str">
        <f t="shared" si="1071"/>
        <v>yellow</v>
      </c>
      <c r="Z3825" s="50">
        <f t="shared" si="1072"/>
        <v>1.66666666666667</v>
      </c>
      <c r="AA3825" s="6">
        <v>-0.7</v>
      </c>
      <c r="AB3825" s="6" t="s">
        <v>1785</v>
      </c>
      <c r="AC3825" s="30" t="b">
        <v>0</v>
      </c>
      <c r="AD3825" s="1">
        <f t="shared" si="1073"/>
        <v>750</v>
      </c>
      <c r="AE3825" s="1">
        <f t="shared" si="1074"/>
        <v>1500</v>
      </c>
      <c r="AF3825" s="4">
        <f>_xlfn.FLOOR.MATH(AE3825*(1+AA3825))</f>
        <v>450</v>
      </c>
      <c r="AG3825" s="6">
        <v>10</v>
      </c>
    </row>
    <row r="3826" spans="2:33">
      <c r="B3826" s="4" t="s">
        <v>2100</v>
      </c>
      <c r="C3826" s="4"/>
      <c r="D3826" s="4" t="s">
        <v>1555</v>
      </c>
      <c r="E3826" s="4"/>
      <c r="F3826" s="4"/>
      <c r="G3826" s="6">
        <v>8</v>
      </c>
      <c r="H3826" s="6">
        <v>1</v>
      </c>
      <c r="I3826" s="110"/>
      <c r="J3826" s="110"/>
      <c r="K3826" s="110"/>
      <c r="L3826" s="110"/>
      <c r="M3826" s="110"/>
      <c r="N3826" s="110"/>
      <c r="O3826" s="110"/>
      <c r="P3826" s="110"/>
      <c r="Q3826" s="110"/>
      <c r="R3826" s="110"/>
      <c r="S3826" s="110">
        <v>1</v>
      </c>
      <c r="T3826" s="110"/>
      <c r="U3826" s="110"/>
      <c r="V3826" s="110"/>
      <c r="W3826" s="110"/>
      <c r="X3826" s="110"/>
      <c r="Y3826" s="4" t="str">
        <f t="shared" si="1071"/>
        <v>yellow</v>
      </c>
      <c r="Z3826" s="50">
        <f t="shared" si="1072"/>
        <v>2.79444444444444</v>
      </c>
      <c r="AA3826" s="6">
        <v>-0.7</v>
      </c>
      <c r="AB3826" s="6" t="s">
        <v>1785</v>
      </c>
      <c r="AC3826" s="30" t="b">
        <v>1</v>
      </c>
      <c r="AD3826" s="1">
        <f t="shared" si="1073"/>
        <v>754.5</v>
      </c>
      <c r="AE3826" s="1">
        <f t="shared" si="1074"/>
        <v>900</v>
      </c>
      <c r="AF3826" s="4">
        <f>_xlfn.FLOOR.MATH(AE3826*(1+AA3826))</f>
        <v>270</v>
      </c>
      <c r="AG3826" s="6">
        <v>10</v>
      </c>
    </row>
    <row r="3827" spans="2:33">
      <c r="B3827" s="4" t="s">
        <v>2101</v>
      </c>
      <c r="C3827" s="4"/>
      <c r="D3827" s="4" t="s">
        <v>2102</v>
      </c>
      <c r="E3827" s="4"/>
      <c r="F3827" s="4"/>
      <c r="G3827" s="6">
        <v>9</v>
      </c>
      <c r="H3827" s="6">
        <v>1</v>
      </c>
      <c r="I3827" s="110">
        <v>1500000</v>
      </c>
      <c r="J3827" s="110"/>
      <c r="K3827" s="110"/>
      <c r="L3827" s="110"/>
      <c r="M3827" s="110"/>
      <c r="N3827" s="110"/>
      <c r="O3827" s="110"/>
      <c r="P3827" s="110"/>
      <c r="Q3827" s="110"/>
      <c r="R3827" s="110"/>
      <c r="S3827" s="110"/>
      <c r="T3827" s="110"/>
      <c r="U3827" s="110"/>
      <c r="V3827" s="110"/>
      <c r="W3827" s="110"/>
      <c r="X3827" s="110"/>
      <c r="Y3827" s="4" t="str">
        <f t="shared" si="1071"/>
        <v>yellow</v>
      </c>
      <c r="Z3827" s="50">
        <f t="shared" si="1072"/>
        <v>1.66666666666667</v>
      </c>
      <c r="AA3827" s="6">
        <v>-0.7</v>
      </c>
      <c r="AB3827" s="6" t="s">
        <v>1785</v>
      </c>
      <c r="AC3827" s="30" t="b">
        <v>0</v>
      </c>
      <c r="AD3827" s="1">
        <f t="shared" si="1073"/>
        <v>750</v>
      </c>
      <c r="AE3827" s="1">
        <f t="shared" si="1074"/>
        <v>1500</v>
      </c>
      <c r="AF3827" s="4">
        <f>_xlfn.FLOOR.MATH(AE3827*(1+AA3827))</f>
        <v>450</v>
      </c>
      <c r="AG3827" s="6">
        <v>10</v>
      </c>
    </row>
    <row r="3828" spans="2:33">
      <c r="B3828" s="4" t="s">
        <v>2103</v>
      </c>
      <c r="C3828" s="4"/>
      <c r="D3828" s="4" t="s">
        <v>1539</v>
      </c>
      <c r="E3828" s="4"/>
      <c r="F3828" s="4"/>
      <c r="G3828" s="6">
        <v>9</v>
      </c>
      <c r="H3828" s="6">
        <v>100000</v>
      </c>
      <c r="I3828" s="110"/>
      <c r="J3828" s="110"/>
      <c r="K3828" s="110"/>
      <c r="L3828" s="110">
        <f>H3828</f>
        <v>100000</v>
      </c>
      <c r="M3828" s="110"/>
      <c r="N3828" s="110"/>
      <c r="O3828" s="110"/>
      <c r="P3828" s="110"/>
      <c r="Q3828" s="110"/>
      <c r="R3828" s="110"/>
      <c r="S3828" s="110"/>
      <c r="T3828" s="110"/>
      <c r="U3828" s="110"/>
      <c r="V3828" s="110"/>
      <c r="W3828" s="110"/>
      <c r="X3828" s="110"/>
      <c r="Y3828" s="4" t="str">
        <f t="shared" si="1071"/>
        <v>yellow</v>
      </c>
      <c r="Z3828" s="50">
        <f t="shared" si="1072"/>
        <v>1.25</v>
      </c>
      <c r="AA3828" s="6">
        <v>-0.6</v>
      </c>
      <c r="AB3828" s="6" t="s">
        <v>1785</v>
      </c>
      <c r="AC3828" s="30" t="b">
        <v>0</v>
      </c>
      <c r="AD3828" s="1">
        <f t="shared" si="1073"/>
        <v>300</v>
      </c>
      <c r="AE3828" s="1">
        <f t="shared" si="1074"/>
        <v>600</v>
      </c>
      <c r="AF3828" s="4">
        <f>_xlfn.FLOOR.MATH(AE3828*(1+AA3828))</f>
        <v>240</v>
      </c>
      <c r="AG3828" s="6">
        <v>50</v>
      </c>
    </row>
    <row r="3829" spans="2:33">
      <c r="B3829" s="4" t="s">
        <v>2104</v>
      </c>
      <c r="C3829" s="4"/>
      <c r="D3829" s="4" t="s">
        <v>2105</v>
      </c>
      <c r="E3829" s="4"/>
      <c r="F3829" s="4"/>
      <c r="G3829" s="6">
        <v>10</v>
      </c>
      <c r="H3829" s="6">
        <v>1</v>
      </c>
      <c r="I3829" s="110">
        <v>1500000</v>
      </c>
      <c r="J3829" s="110"/>
      <c r="K3829" s="110"/>
      <c r="L3829" s="110"/>
      <c r="M3829" s="110"/>
      <c r="N3829" s="110"/>
      <c r="O3829" s="110"/>
      <c r="P3829" s="110"/>
      <c r="Q3829" s="110"/>
      <c r="R3829" s="110"/>
      <c r="S3829" s="110"/>
      <c r="T3829" s="110"/>
      <c r="U3829" s="110"/>
      <c r="V3829" s="110"/>
      <c r="W3829" s="110"/>
      <c r="X3829" s="110"/>
      <c r="Y3829" s="4" t="str">
        <f t="shared" si="1071"/>
        <v>yellow</v>
      </c>
      <c r="Z3829" s="50">
        <f t="shared" si="1072"/>
        <v>1.66666666666667</v>
      </c>
      <c r="AA3829" s="6">
        <v>-0.7</v>
      </c>
      <c r="AB3829" s="6" t="s">
        <v>1785</v>
      </c>
      <c r="AC3829" s="30" t="b">
        <v>0</v>
      </c>
      <c r="AD3829" s="1">
        <f t="shared" si="1073"/>
        <v>750</v>
      </c>
      <c r="AE3829" s="1">
        <f t="shared" si="1074"/>
        <v>1500</v>
      </c>
      <c r="AF3829" s="4">
        <f>_xlfn.FLOOR.MATH(AE3829*(1+AA3829))</f>
        <v>450</v>
      </c>
      <c r="AG3829" s="6">
        <v>10</v>
      </c>
    </row>
    <row r="3830" spans="2:33">
      <c r="B3830" s="4" t="s">
        <v>2106</v>
      </c>
      <c r="C3830" s="4"/>
      <c r="D3830" s="4" t="s">
        <v>1969</v>
      </c>
      <c r="E3830" s="4"/>
      <c r="F3830" s="4"/>
      <c r="G3830" s="6">
        <v>10</v>
      </c>
      <c r="H3830" s="6">
        <v>1</v>
      </c>
      <c r="I3830" s="110"/>
      <c r="J3830" s="110"/>
      <c r="K3830" s="110"/>
      <c r="L3830" s="110"/>
      <c r="M3830" s="110"/>
      <c r="N3830" s="110"/>
      <c r="O3830" s="110">
        <f>$G$1522</f>
        <v>100</v>
      </c>
      <c r="P3830" s="110"/>
      <c r="Q3830" s="110"/>
      <c r="R3830" s="110"/>
      <c r="S3830" s="110"/>
      <c r="T3830" s="110"/>
      <c r="U3830" s="110"/>
      <c r="V3830" s="110"/>
      <c r="W3830" s="110"/>
      <c r="X3830" s="110"/>
      <c r="Y3830" s="4" t="str">
        <f t="shared" si="1071"/>
        <v>yellow</v>
      </c>
      <c r="Z3830" s="50">
        <f t="shared" si="1072"/>
        <v>1.11111111111111</v>
      </c>
      <c r="AA3830" s="6">
        <v>-0.55</v>
      </c>
      <c r="AB3830" s="6" t="s">
        <v>1785</v>
      </c>
      <c r="AC3830" s="30" t="b">
        <v>0</v>
      </c>
      <c r="AD3830" s="1">
        <f t="shared" si="1073"/>
        <v>250</v>
      </c>
      <c r="AE3830" s="1">
        <f t="shared" si="1074"/>
        <v>500</v>
      </c>
      <c r="AF3830" s="4">
        <f>_xlfn.FLOOR.MATH(AE3830*(1+AA3830))</f>
        <v>225</v>
      </c>
      <c r="AG3830" s="6">
        <v>10</v>
      </c>
    </row>
    <row r="3831" spans="2:33">
      <c r="B3831" s="4" t="s">
        <v>2107</v>
      </c>
      <c r="C3831" s="4"/>
      <c r="D3831" s="4" t="s">
        <v>1622</v>
      </c>
      <c r="E3831" s="4"/>
      <c r="F3831" s="4"/>
      <c r="G3831" s="6">
        <v>11</v>
      </c>
      <c r="H3831" s="6">
        <v>1</v>
      </c>
      <c r="I3831" s="110"/>
      <c r="J3831" s="110">
        <v>480</v>
      </c>
      <c r="K3831" s="110"/>
      <c r="L3831" s="110"/>
      <c r="M3831" s="110"/>
      <c r="N3831" s="110"/>
      <c r="O3831" s="110"/>
      <c r="P3831" s="110"/>
      <c r="Q3831" s="110"/>
      <c r="R3831" s="110"/>
      <c r="S3831" s="110"/>
      <c r="T3831" s="110"/>
      <c r="U3831" s="110"/>
      <c r="V3831" s="110"/>
      <c r="W3831" s="110"/>
      <c r="X3831" s="110"/>
      <c r="Y3831" s="4" t="str">
        <f t="shared" si="1071"/>
        <v>yellow</v>
      </c>
      <c r="Z3831" s="50">
        <f t="shared" si="1072"/>
        <v>1.44675925925926</v>
      </c>
      <c r="AA3831" s="6">
        <v>-0.7</v>
      </c>
      <c r="AB3831" s="6" t="s">
        <v>1785</v>
      </c>
      <c r="AC3831" s="30" t="b">
        <v>0</v>
      </c>
      <c r="AD3831" s="1">
        <f t="shared" si="1073"/>
        <v>625</v>
      </c>
      <c r="AE3831" s="1">
        <f t="shared" si="1074"/>
        <v>1440</v>
      </c>
      <c r="AF3831" s="4">
        <f>_xlfn.FLOOR.MATH(AE3831*(1+AA3831))</f>
        <v>432</v>
      </c>
      <c r="AG3831" s="6">
        <v>15</v>
      </c>
    </row>
    <row r="3832" spans="2:33">
      <c r="B3832" s="4" t="s">
        <v>2108</v>
      </c>
      <c r="C3832" s="4"/>
      <c r="D3832" s="4" t="s">
        <v>1541</v>
      </c>
      <c r="E3832" s="4"/>
      <c r="F3832" s="4"/>
      <c r="G3832" s="6">
        <v>11</v>
      </c>
      <c r="H3832" s="6">
        <v>500</v>
      </c>
      <c r="I3832" s="110"/>
      <c r="J3832" s="110"/>
      <c r="K3832" s="110"/>
      <c r="L3832" s="110"/>
      <c r="M3832" s="110">
        <f>H3832</f>
        <v>500</v>
      </c>
      <c r="N3832" s="110"/>
      <c r="O3832" s="110"/>
      <c r="P3832" s="110"/>
      <c r="Q3832" s="110"/>
      <c r="R3832" s="110"/>
      <c r="S3832" s="110"/>
      <c r="T3832" s="110"/>
      <c r="U3832" s="110"/>
      <c r="V3832" s="110"/>
      <c r="W3832" s="110"/>
      <c r="X3832" s="110"/>
      <c r="Y3832" s="4" t="str">
        <f t="shared" si="1071"/>
        <v>yellow</v>
      </c>
      <c r="Z3832" s="50">
        <f t="shared" si="1072"/>
        <v>2</v>
      </c>
      <c r="AA3832" s="6">
        <v>-0.75</v>
      </c>
      <c r="AB3832" s="6" t="s">
        <v>1785</v>
      </c>
      <c r="AC3832" s="30" t="b">
        <v>0</v>
      </c>
      <c r="AD3832" s="1">
        <f t="shared" si="1073"/>
        <v>2250</v>
      </c>
      <c r="AE3832" s="1">
        <f t="shared" si="1074"/>
        <v>4500</v>
      </c>
      <c r="AF3832" s="4">
        <f>_xlfn.FLOOR.MATH(AE3832*(1+AA3832))</f>
        <v>1125</v>
      </c>
      <c r="AG3832" s="6">
        <v>10</v>
      </c>
    </row>
    <row r="3833" spans="2:33">
      <c r="B3833" s="4" t="s">
        <v>2109</v>
      </c>
      <c r="C3833" s="4"/>
      <c r="D3833" s="4" t="s">
        <v>2110</v>
      </c>
      <c r="E3833" s="4"/>
      <c r="F3833" s="4"/>
      <c r="G3833" s="6">
        <v>11</v>
      </c>
      <c r="H3833" s="6">
        <v>1</v>
      </c>
      <c r="I3833" s="110"/>
      <c r="J3833" s="110"/>
      <c r="K3833" s="110"/>
      <c r="L3833" s="110"/>
      <c r="M3833" s="110"/>
      <c r="N3833" s="110"/>
      <c r="O3833" s="110"/>
      <c r="P3833" s="110">
        <v>200000</v>
      </c>
      <c r="Q3833" s="110"/>
      <c r="R3833" s="110"/>
      <c r="S3833" s="110"/>
      <c r="T3833" s="110"/>
      <c r="U3833" s="110"/>
      <c r="V3833" s="110"/>
      <c r="W3833" s="110"/>
      <c r="X3833" s="110"/>
      <c r="Y3833" s="4" t="str">
        <f t="shared" si="1071"/>
        <v>yellow</v>
      </c>
      <c r="Z3833" s="50">
        <f t="shared" si="1072"/>
        <v>1.25</v>
      </c>
      <c r="AA3833" s="6">
        <v>-0.6</v>
      </c>
      <c r="AB3833" s="6" t="s">
        <v>1785</v>
      </c>
      <c r="AC3833" s="30" t="b">
        <v>0</v>
      </c>
      <c r="AD3833" s="1">
        <f t="shared" si="1073"/>
        <v>1500</v>
      </c>
      <c r="AE3833" s="1">
        <f t="shared" si="1074"/>
        <v>3000</v>
      </c>
      <c r="AF3833" s="4">
        <f>_xlfn.FLOOR.MATH(AE3833*(1+AA3833))</f>
        <v>1200</v>
      </c>
      <c r="AG3833" s="6">
        <v>20</v>
      </c>
    </row>
    <row r="3834" spans="2:33">
      <c r="B3834" s="4" t="s">
        <v>2111</v>
      </c>
      <c r="C3834" s="4"/>
      <c r="D3834" s="4" t="s">
        <v>2112</v>
      </c>
      <c r="E3834" s="4"/>
      <c r="F3834" s="4"/>
      <c r="G3834" s="6">
        <v>12</v>
      </c>
      <c r="H3834" s="6">
        <v>1</v>
      </c>
      <c r="I3834" s="110">
        <v>5000000</v>
      </c>
      <c r="J3834" s="110"/>
      <c r="K3834" s="110"/>
      <c r="L3834" s="110"/>
      <c r="M3834" s="110"/>
      <c r="N3834" s="110"/>
      <c r="O3834" s="110"/>
      <c r="P3834" s="110"/>
      <c r="Q3834" s="110"/>
      <c r="R3834" s="110"/>
      <c r="S3834" s="110"/>
      <c r="T3834" s="110"/>
      <c r="U3834" s="110"/>
      <c r="V3834" s="110"/>
      <c r="W3834" s="110"/>
      <c r="X3834" s="110"/>
      <c r="Y3834" s="4" t="str">
        <f t="shared" si="1071"/>
        <v>yellow</v>
      </c>
      <c r="Z3834" s="50">
        <f t="shared" si="1072"/>
        <v>2</v>
      </c>
      <c r="AA3834" s="6">
        <v>-0.75</v>
      </c>
      <c r="AB3834" s="6" t="s">
        <v>1785</v>
      </c>
      <c r="AC3834" s="30" t="b">
        <v>0</v>
      </c>
      <c r="AD3834" s="1">
        <f t="shared" si="1073"/>
        <v>2500</v>
      </c>
      <c r="AE3834" s="1">
        <f t="shared" si="1074"/>
        <v>5000</v>
      </c>
      <c r="AF3834" s="4">
        <f>_xlfn.FLOOR.MATH(AE3834*(1+AA3834))</f>
        <v>1250</v>
      </c>
      <c r="AG3834" s="6">
        <v>5</v>
      </c>
    </row>
    <row r="3835" spans="2:33">
      <c r="B3835" s="4" t="s">
        <v>2113</v>
      </c>
      <c r="C3835" s="4"/>
      <c r="D3835" s="4" t="s">
        <v>2052</v>
      </c>
      <c r="E3835" s="4"/>
      <c r="F3835" s="4"/>
      <c r="G3835" s="6">
        <v>12</v>
      </c>
      <c r="H3835" s="6">
        <v>1</v>
      </c>
      <c r="I3835" s="110"/>
      <c r="J3835" s="110"/>
      <c r="K3835" s="110"/>
      <c r="L3835" s="110"/>
      <c r="M3835" s="110"/>
      <c r="N3835" s="110"/>
      <c r="O3835" s="110"/>
      <c r="P3835" s="110"/>
      <c r="Q3835" s="110"/>
      <c r="R3835" s="110"/>
      <c r="S3835" s="110"/>
      <c r="T3835" s="110">
        <v>1</v>
      </c>
      <c r="U3835" s="110"/>
      <c r="V3835" s="110"/>
      <c r="W3835" s="110"/>
      <c r="X3835" s="110"/>
      <c r="Y3835" s="4" t="str">
        <f t="shared" si="1071"/>
        <v>yellow</v>
      </c>
      <c r="Z3835" s="50">
        <f t="shared" si="1072"/>
        <v>1.67666666666667</v>
      </c>
      <c r="AA3835" s="6">
        <v>-0.7</v>
      </c>
      <c r="AB3835" s="6" t="s">
        <v>1785</v>
      </c>
      <c r="AC3835" s="30" t="b">
        <v>0</v>
      </c>
      <c r="AD3835" s="1">
        <f t="shared" si="1073"/>
        <v>754.5</v>
      </c>
      <c r="AE3835" s="1">
        <f t="shared" si="1074"/>
        <v>1500</v>
      </c>
      <c r="AF3835" s="4">
        <f>_xlfn.FLOOR.MATH(AE3835*(1+AA3835))</f>
        <v>450</v>
      </c>
      <c r="AG3835" s="6">
        <v>20</v>
      </c>
    </row>
    <row r="3836" spans="2:33">
      <c r="B3836" s="4" t="s">
        <v>2114</v>
      </c>
      <c r="C3836" s="4"/>
      <c r="D3836" s="4" t="s">
        <v>2115</v>
      </c>
      <c r="E3836" s="4"/>
      <c r="F3836" s="4"/>
      <c r="G3836" s="6">
        <v>13</v>
      </c>
      <c r="H3836" s="6">
        <v>1</v>
      </c>
      <c r="I3836" s="110">
        <v>5000000</v>
      </c>
      <c r="J3836" s="110"/>
      <c r="K3836" s="110"/>
      <c r="L3836" s="110"/>
      <c r="M3836" s="110"/>
      <c r="N3836" s="110"/>
      <c r="O3836" s="110"/>
      <c r="P3836" s="110"/>
      <c r="Q3836" s="110"/>
      <c r="R3836" s="110"/>
      <c r="S3836" s="110"/>
      <c r="T3836" s="110"/>
      <c r="U3836" s="110"/>
      <c r="V3836" s="110"/>
      <c r="W3836" s="110"/>
      <c r="X3836" s="110"/>
      <c r="Y3836" s="4" t="str">
        <f t="shared" si="1071"/>
        <v>yellow</v>
      </c>
      <c r="Z3836" s="50">
        <f t="shared" si="1072"/>
        <v>2</v>
      </c>
      <c r="AA3836" s="6">
        <v>-0.75</v>
      </c>
      <c r="AB3836" s="6" t="s">
        <v>1785</v>
      </c>
      <c r="AC3836" s="30" t="b">
        <v>0</v>
      </c>
      <c r="AD3836" s="1">
        <f t="shared" si="1073"/>
        <v>2500</v>
      </c>
      <c r="AE3836" s="1">
        <f t="shared" si="1074"/>
        <v>5000</v>
      </c>
      <c r="AF3836" s="4">
        <f>_xlfn.FLOOR.MATH(AE3836*(1+AA3836))</f>
        <v>1250</v>
      </c>
      <c r="AG3836" s="6">
        <v>5</v>
      </c>
    </row>
    <row r="3837" spans="2:33">
      <c r="B3837" s="4" t="s">
        <v>2116</v>
      </c>
      <c r="C3837" s="4"/>
      <c r="D3837" s="4" t="s">
        <v>1638</v>
      </c>
      <c r="E3837" s="4"/>
      <c r="F3837" s="4"/>
      <c r="G3837" s="6">
        <v>13</v>
      </c>
      <c r="H3837" s="6">
        <v>200</v>
      </c>
      <c r="I3837" s="110"/>
      <c r="J3837" s="110"/>
      <c r="K3837" s="110"/>
      <c r="L3837" s="110"/>
      <c r="M3837" s="110"/>
      <c r="N3837" s="110">
        <f>H3837</f>
        <v>200</v>
      </c>
      <c r="O3837" s="110"/>
      <c r="P3837" s="110"/>
      <c r="Q3837" s="110"/>
      <c r="R3837" s="110"/>
      <c r="S3837" s="110"/>
      <c r="T3837" s="110"/>
      <c r="U3837" s="110"/>
      <c r="V3837" s="110"/>
      <c r="W3837" s="110"/>
      <c r="X3837" s="110"/>
      <c r="Y3837" s="4" t="str">
        <f t="shared" si="1071"/>
        <v>yellow</v>
      </c>
      <c r="Z3837" s="50">
        <f t="shared" si="1072"/>
        <v>1.66666666666667</v>
      </c>
      <c r="AA3837" s="6">
        <v>-0.7</v>
      </c>
      <c r="AB3837" s="6" t="s">
        <v>1785</v>
      </c>
      <c r="AC3837" s="30" t="b">
        <v>0</v>
      </c>
      <c r="AD3837" s="1">
        <f t="shared" si="1073"/>
        <v>3000</v>
      </c>
      <c r="AE3837" s="1">
        <f t="shared" si="1074"/>
        <v>6000</v>
      </c>
      <c r="AF3837" s="4">
        <f>_xlfn.FLOOR.MATH(AE3837*(1+AA3837))</f>
        <v>1800</v>
      </c>
      <c r="AG3837" s="6">
        <v>15</v>
      </c>
    </row>
    <row r="3838" spans="2:33">
      <c r="B3838" s="4" t="s">
        <v>2117</v>
      </c>
      <c r="C3838" s="4"/>
      <c r="D3838" s="4" t="s">
        <v>1630</v>
      </c>
      <c r="E3838" s="4"/>
      <c r="F3838" s="4"/>
      <c r="G3838" s="6">
        <v>13</v>
      </c>
      <c r="H3838" s="6">
        <v>1</v>
      </c>
      <c r="I3838" s="110"/>
      <c r="J3838" s="110"/>
      <c r="K3838" s="110"/>
      <c r="L3838" s="110"/>
      <c r="M3838" s="110"/>
      <c r="N3838" s="110"/>
      <c r="O3838" s="110"/>
      <c r="P3838" s="110"/>
      <c r="Q3838" s="110">
        <v>1</v>
      </c>
      <c r="R3838" s="110"/>
      <c r="S3838" s="110"/>
      <c r="T3838" s="110"/>
      <c r="U3838" s="110"/>
      <c r="V3838" s="110"/>
      <c r="W3838" s="110"/>
      <c r="X3838" s="110"/>
      <c r="Y3838" s="4" t="str">
        <f t="shared" si="1071"/>
        <v>yellow</v>
      </c>
      <c r="Z3838" s="50">
        <f t="shared" si="1072"/>
        <v>1.25</v>
      </c>
      <c r="AA3838" s="6">
        <v>-0.6</v>
      </c>
      <c r="AB3838" s="6" t="s">
        <v>1785</v>
      </c>
      <c r="AC3838" s="30" t="b">
        <v>0</v>
      </c>
      <c r="AD3838" s="1">
        <f t="shared" si="1073"/>
        <v>4000</v>
      </c>
      <c r="AE3838" s="1">
        <f t="shared" si="1074"/>
        <v>8000</v>
      </c>
      <c r="AF3838" s="4">
        <f>_xlfn.FLOOR.MATH(AE3838*(1+AA3838))</f>
        <v>3200</v>
      </c>
      <c r="AG3838" s="6">
        <v>20</v>
      </c>
    </row>
    <row r="3839" spans="2:33">
      <c r="B3839" s="4" t="s">
        <v>2118</v>
      </c>
      <c r="C3839" s="4"/>
      <c r="D3839" s="4" t="s">
        <v>2119</v>
      </c>
      <c r="E3839" s="4"/>
      <c r="F3839" s="4"/>
      <c r="G3839" s="6">
        <v>14</v>
      </c>
      <c r="H3839" s="6">
        <v>1</v>
      </c>
      <c r="I3839" s="110">
        <v>5000000</v>
      </c>
      <c r="J3839" s="110"/>
      <c r="K3839" s="110"/>
      <c r="L3839" s="110"/>
      <c r="M3839" s="110"/>
      <c r="N3839" s="110"/>
      <c r="O3839" s="110"/>
      <c r="P3839" s="110"/>
      <c r="Q3839" s="110"/>
      <c r="R3839" s="110"/>
      <c r="S3839" s="110"/>
      <c r="T3839" s="110"/>
      <c r="U3839" s="110"/>
      <c r="V3839" s="110"/>
      <c r="W3839" s="110"/>
      <c r="X3839" s="110"/>
      <c r="Y3839" s="4" t="str">
        <f t="shared" si="1071"/>
        <v>yellow</v>
      </c>
      <c r="Z3839" s="50">
        <f t="shared" si="1072"/>
        <v>2</v>
      </c>
      <c r="AA3839" s="6">
        <v>-0.75</v>
      </c>
      <c r="AB3839" s="6" t="s">
        <v>1785</v>
      </c>
      <c r="AC3839" s="30" t="b">
        <v>0</v>
      </c>
      <c r="AD3839" s="1">
        <f t="shared" si="1073"/>
        <v>2500</v>
      </c>
      <c r="AE3839" s="1">
        <f t="shared" si="1074"/>
        <v>5000</v>
      </c>
      <c r="AF3839" s="4">
        <f>_xlfn.FLOOR.MATH(AE3839*(1+AA3839))</f>
        <v>1250</v>
      </c>
      <c r="AG3839" s="6">
        <v>5</v>
      </c>
    </row>
    <row r="3840" spans="2:33">
      <c r="B3840" s="4" t="s">
        <v>2120</v>
      </c>
      <c r="C3840" s="4"/>
      <c r="D3840" s="4" t="s">
        <v>2121</v>
      </c>
      <c r="E3840" s="4"/>
      <c r="F3840" s="4"/>
      <c r="G3840" s="6">
        <v>14</v>
      </c>
      <c r="H3840" s="6">
        <v>1</v>
      </c>
      <c r="I3840" s="110"/>
      <c r="J3840" s="110"/>
      <c r="K3840" s="110"/>
      <c r="L3840" s="110"/>
      <c r="M3840" s="110"/>
      <c r="N3840" s="110"/>
      <c r="O3840" s="110">
        <f>$G$1523</f>
        <v>10000</v>
      </c>
      <c r="P3840" s="110"/>
      <c r="Q3840" s="110"/>
      <c r="R3840" s="110"/>
      <c r="S3840" s="110"/>
      <c r="T3840" s="110"/>
      <c r="U3840" s="110"/>
      <c r="V3840" s="110"/>
      <c r="W3840" s="110"/>
      <c r="X3840" s="110"/>
      <c r="Y3840" s="4" t="str">
        <f t="shared" si="1071"/>
        <v>yellow</v>
      </c>
      <c r="Z3840" s="50">
        <f t="shared" si="1072"/>
        <v>1.42857142857143</v>
      </c>
      <c r="AA3840" s="6">
        <v>-0.65</v>
      </c>
      <c r="AB3840" s="6" t="s">
        <v>1785</v>
      </c>
      <c r="AC3840" s="30" t="b">
        <v>0</v>
      </c>
      <c r="AD3840" s="1">
        <f t="shared" si="1073"/>
        <v>25000</v>
      </c>
      <c r="AE3840" s="1">
        <f t="shared" si="1074"/>
        <v>50000</v>
      </c>
      <c r="AF3840" s="4">
        <f>_xlfn.FLOOR.MATH(AE3840*(1+AA3840))</f>
        <v>17500</v>
      </c>
      <c r="AG3840" s="6">
        <v>1</v>
      </c>
    </row>
    <row r="3841" spans="2:33">
      <c r="B3841" s="4" t="s">
        <v>2122</v>
      </c>
      <c r="C3841" s="4"/>
      <c r="D3841" s="4" t="s">
        <v>1624</v>
      </c>
      <c r="E3841" s="4"/>
      <c r="F3841" s="4"/>
      <c r="G3841" s="6">
        <v>15</v>
      </c>
      <c r="H3841" s="6">
        <v>1</v>
      </c>
      <c r="I3841" s="110"/>
      <c r="J3841" s="110">
        <v>1440</v>
      </c>
      <c r="K3841" s="110"/>
      <c r="L3841" s="110"/>
      <c r="M3841" s="110"/>
      <c r="N3841" s="110"/>
      <c r="O3841" s="110"/>
      <c r="P3841" s="110"/>
      <c r="Q3841" s="110"/>
      <c r="R3841" s="110"/>
      <c r="S3841" s="110"/>
      <c r="T3841" s="110"/>
      <c r="U3841" s="110"/>
      <c r="V3841" s="110"/>
      <c r="W3841" s="110"/>
      <c r="X3841" s="110"/>
      <c r="Y3841" s="4" t="str">
        <f t="shared" si="1071"/>
        <v>yellow</v>
      </c>
      <c r="Z3841" s="50">
        <f t="shared" si="1072"/>
        <v>1.73611111111111</v>
      </c>
      <c r="AA3841" s="6">
        <v>-0.75</v>
      </c>
      <c r="AB3841" s="6" t="s">
        <v>1785</v>
      </c>
      <c r="AC3841" s="30" t="b">
        <v>0</v>
      </c>
      <c r="AD3841" s="1">
        <f t="shared" si="1073"/>
        <v>1875</v>
      </c>
      <c r="AE3841" s="1">
        <f t="shared" si="1074"/>
        <v>4320</v>
      </c>
      <c r="AF3841" s="4">
        <f>_xlfn.FLOOR.MATH(AE3841*(1+AA3841))</f>
        <v>1080</v>
      </c>
      <c r="AG3841" s="6">
        <v>10</v>
      </c>
    </row>
    <row r="3842" spans="2:33">
      <c r="B3842" s="4" t="s">
        <v>2123</v>
      </c>
      <c r="C3842" s="4"/>
      <c r="D3842" s="4" t="s">
        <v>2124</v>
      </c>
      <c r="E3842" s="4"/>
      <c r="F3842" s="4"/>
      <c r="G3842" s="6">
        <v>15</v>
      </c>
      <c r="H3842" s="6">
        <v>10</v>
      </c>
      <c r="I3842" s="110"/>
      <c r="J3842" s="110"/>
      <c r="K3842" s="110">
        <f>H3842*$E$698</f>
        <v>1.8</v>
      </c>
      <c r="L3842" s="110"/>
      <c r="M3842" s="110"/>
      <c r="N3842" s="110"/>
      <c r="O3842" s="110"/>
      <c r="P3842" s="110"/>
      <c r="Q3842" s="110"/>
      <c r="R3842" s="110"/>
      <c r="S3842" s="110"/>
      <c r="T3842" s="110"/>
      <c r="U3842" s="110"/>
      <c r="V3842" s="110"/>
      <c r="W3842" s="110"/>
      <c r="X3842" s="110"/>
      <c r="Y3842" s="4" t="str">
        <f t="shared" si="1071"/>
        <v>yellow</v>
      </c>
      <c r="Z3842" s="50">
        <f t="shared" si="1072"/>
        <v>1.66666666666667</v>
      </c>
      <c r="AA3842" s="6">
        <v>-0.7</v>
      </c>
      <c r="AB3842" s="6" t="s">
        <v>1785</v>
      </c>
      <c r="AC3842" s="30" t="b">
        <v>0</v>
      </c>
      <c r="AD3842" s="1">
        <f t="shared" si="1073"/>
        <v>1080</v>
      </c>
      <c r="AE3842" s="1">
        <f t="shared" si="1074"/>
        <v>2160</v>
      </c>
      <c r="AF3842" s="4">
        <f>_xlfn.FLOOR.MATH(AE3842*(1+AA3842))</f>
        <v>648</v>
      </c>
      <c r="AG3842" s="6">
        <v>20</v>
      </c>
    </row>
    <row r="3843" spans="2:33">
      <c r="B3843" s="4"/>
      <c r="C3843" s="4"/>
      <c r="D3843" s="4" t="s">
        <v>1608</v>
      </c>
      <c r="E3843" s="4"/>
      <c r="F3843" s="4"/>
      <c r="G3843" s="6">
        <v>4</v>
      </c>
      <c r="H3843" s="6">
        <v>10000</v>
      </c>
      <c r="I3843" s="110"/>
      <c r="J3843" s="110"/>
      <c r="K3843" s="110"/>
      <c r="L3843" s="110"/>
      <c r="M3843" s="110"/>
      <c r="N3843" s="110"/>
      <c r="O3843" s="110"/>
      <c r="P3843" s="110"/>
      <c r="Q3843" s="110"/>
      <c r="R3843" s="110"/>
      <c r="S3843" s="110"/>
      <c r="T3843" s="110"/>
      <c r="U3843" s="110"/>
      <c r="V3843" s="110">
        <f>H3843</f>
        <v>10000</v>
      </c>
      <c r="W3843" s="110"/>
      <c r="X3843" s="110"/>
      <c r="Y3843" s="4" t="str">
        <f t="shared" si="1071"/>
        <v>yellow</v>
      </c>
      <c r="Z3843" s="50">
        <f t="shared" si="1072"/>
        <v>1</v>
      </c>
      <c r="AA3843" s="6">
        <v>-0.5</v>
      </c>
      <c r="AB3843" s="6" t="s">
        <v>1785</v>
      </c>
      <c r="AC3843" s="30" t="b">
        <v>0</v>
      </c>
      <c r="AD3843" s="1">
        <f t="shared" si="1073"/>
        <v>60</v>
      </c>
      <c r="AE3843" s="1">
        <f t="shared" si="1074"/>
        <v>120</v>
      </c>
      <c r="AF3843" s="4">
        <f>_xlfn.FLOOR.MATH(AE3843*(1+AA3843))</f>
        <v>60</v>
      </c>
      <c r="AG3843" s="6">
        <v>100</v>
      </c>
    </row>
    <row r="3844" spans="2:33">
      <c r="B3844" s="4"/>
      <c r="C3844" s="4"/>
      <c r="D3844" s="4" t="s">
        <v>1609</v>
      </c>
      <c r="E3844" s="4"/>
      <c r="F3844" s="4"/>
      <c r="G3844" s="6">
        <v>7</v>
      </c>
      <c r="H3844" s="6">
        <v>50</v>
      </c>
      <c r="I3844" s="110"/>
      <c r="J3844" s="110"/>
      <c r="K3844" s="110"/>
      <c r="L3844" s="110"/>
      <c r="M3844" s="110"/>
      <c r="N3844" s="110"/>
      <c r="O3844" s="110"/>
      <c r="P3844" s="110"/>
      <c r="Q3844" s="110"/>
      <c r="R3844" s="110"/>
      <c r="S3844" s="110"/>
      <c r="T3844" s="110"/>
      <c r="U3844" s="110"/>
      <c r="V3844" s="110"/>
      <c r="W3844" s="110">
        <f>H3844</f>
        <v>50</v>
      </c>
      <c r="X3844" s="110"/>
      <c r="Y3844" s="4" t="str">
        <f t="shared" si="1071"/>
        <v>yellow</v>
      </c>
      <c r="Z3844" s="50">
        <f t="shared" si="1072"/>
        <v>2</v>
      </c>
      <c r="AA3844" s="6">
        <v>-0.5</v>
      </c>
      <c r="AB3844" s="6" t="s">
        <v>1767</v>
      </c>
      <c r="AC3844" s="30" t="b">
        <v>1</v>
      </c>
      <c r="AD3844" s="1">
        <f t="shared" si="1073"/>
        <v>900000</v>
      </c>
      <c r="AE3844" s="1">
        <f t="shared" si="1074"/>
        <v>900000</v>
      </c>
      <c r="AF3844" s="4">
        <f>_xlfn.FLOOR.MATH(AE3844*(1+AA3844))</f>
        <v>450000</v>
      </c>
      <c r="AG3844" s="6">
        <v>10</v>
      </c>
    </row>
    <row r="3845" spans="2:33">
      <c r="B3845" s="4"/>
      <c r="C3845" s="4"/>
      <c r="D3845" s="4" t="s">
        <v>1610</v>
      </c>
      <c r="E3845" s="4"/>
      <c r="F3845" s="4"/>
      <c r="G3845" s="6">
        <v>8</v>
      </c>
      <c r="H3845" s="6">
        <v>15</v>
      </c>
      <c r="I3845" s="110"/>
      <c r="J3845" s="110"/>
      <c r="K3845" s="110"/>
      <c r="L3845" s="110"/>
      <c r="M3845" s="110"/>
      <c r="N3845" s="110"/>
      <c r="O3845" s="110"/>
      <c r="P3845" s="110"/>
      <c r="Q3845" s="110"/>
      <c r="R3845" s="110"/>
      <c r="S3845" s="110"/>
      <c r="T3845" s="110"/>
      <c r="U3845" s="110"/>
      <c r="V3845" s="110"/>
      <c r="W3845" s="110"/>
      <c r="X3845" s="110">
        <f>H3845</f>
        <v>15</v>
      </c>
      <c r="Y3845" s="4" t="str">
        <f t="shared" si="1071"/>
        <v>yellow</v>
      </c>
      <c r="Z3845" s="50">
        <f t="shared" si="1072"/>
        <v>3.33333333333333</v>
      </c>
      <c r="AA3845" s="6">
        <v>-0.85</v>
      </c>
      <c r="AB3845" s="6" t="s">
        <v>1785</v>
      </c>
      <c r="AC3845" s="30" t="b">
        <v>1</v>
      </c>
      <c r="AD3845" s="1">
        <f t="shared" si="1073"/>
        <v>450</v>
      </c>
      <c r="AE3845" s="1">
        <f t="shared" si="1074"/>
        <v>900</v>
      </c>
      <c r="AF3845" s="4">
        <f>_xlfn.FLOOR.MATH(AE3845*(1+AA3845))</f>
        <v>135</v>
      </c>
      <c r="AG3845" s="6">
        <v>30</v>
      </c>
    </row>
    <row r="3846" spans="2:33">
      <c r="B3846" s="4"/>
      <c r="C3846" s="4"/>
      <c r="D3846" s="4" t="s">
        <v>1608</v>
      </c>
      <c r="E3846" s="4"/>
      <c r="F3846" s="4"/>
      <c r="G3846" s="6">
        <v>10</v>
      </c>
      <c r="H3846" s="6">
        <v>50000</v>
      </c>
      <c r="I3846" s="110"/>
      <c r="J3846" s="110"/>
      <c r="K3846" s="110"/>
      <c r="L3846" s="110"/>
      <c r="M3846" s="110"/>
      <c r="N3846" s="110"/>
      <c r="O3846" s="110"/>
      <c r="P3846" s="110"/>
      <c r="Q3846" s="110"/>
      <c r="R3846" s="110"/>
      <c r="S3846" s="110"/>
      <c r="T3846" s="110"/>
      <c r="U3846" s="110"/>
      <c r="V3846" s="110">
        <f>H3846</f>
        <v>50000</v>
      </c>
      <c r="W3846" s="110"/>
      <c r="X3846" s="110"/>
      <c r="Y3846" s="4" t="str">
        <f t="shared" si="1071"/>
        <v>yellow</v>
      </c>
      <c r="Z3846" s="50">
        <f t="shared" si="1072"/>
        <v>1.25</v>
      </c>
      <c r="AA3846" s="6">
        <v>-0.6</v>
      </c>
      <c r="AB3846" s="6" t="s">
        <v>1785</v>
      </c>
      <c r="AC3846" s="30" t="b">
        <v>0</v>
      </c>
      <c r="AD3846" s="1">
        <f t="shared" si="1073"/>
        <v>300</v>
      </c>
      <c r="AE3846" s="1">
        <f t="shared" si="1074"/>
        <v>600</v>
      </c>
      <c r="AF3846" s="4">
        <f>_xlfn.FLOOR.MATH(AE3846*(1+AA3846))</f>
        <v>240</v>
      </c>
      <c r="AG3846" s="6">
        <v>50</v>
      </c>
    </row>
    <row r="3847" spans="2:33">
      <c r="B3847" s="4"/>
      <c r="C3847" s="4"/>
      <c r="D3847" s="4" t="s">
        <v>1609</v>
      </c>
      <c r="E3847" s="4"/>
      <c r="F3847" s="4"/>
      <c r="G3847" s="6">
        <v>12</v>
      </c>
      <c r="H3847" s="6">
        <v>250</v>
      </c>
      <c r="I3847" s="110"/>
      <c r="J3847" s="110"/>
      <c r="K3847" s="110"/>
      <c r="L3847" s="110"/>
      <c r="M3847" s="110"/>
      <c r="N3847" s="110"/>
      <c r="O3847" s="110"/>
      <c r="P3847" s="110"/>
      <c r="Q3847" s="110"/>
      <c r="R3847" s="110"/>
      <c r="S3847" s="110"/>
      <c r="T3847" s="110"/>
      <c r="U3847" s="110"/>
      <c r="V3847" s="110"/>
      <c r="W3847" s="110">
        <f>H3847</f>
        <v>250</v>
      </c>
      <c r="X3847" s="110"/>
      <c r="Y3847" s="4" t="str">
        <f t="shared" si="1071"/>
        <v>yellow</v>
      </c>
      <c r="Z3847" s="50">
        <f t="shared" si="1072"/>
        <v>1.42857142857143</v>
      </c>
      <c r="AA3847" s="6">
        <v>-0.65</v>
      </c>
      <c r="AB3847" s="6" t="s">
        <v>1785</v>
      </c>
      <c r="AC3847" s="30" t="b">
        <v>0</v>
      </c>
      <c r="AD3847" s="1">
        <f t="shared" si="1073"/>
        <v>2250</v>
      </c>
      <c r="AE3847" s="1">
        <f t="shared" si="1074"/>
        <v>4500</v>
      </c>
      <c r="AF3847" s="4">
        <f>_xlfn.FLOOR.MATH(AE3847*(1+AA3847))</f>
        <v>1575</v>
      </c>
      <c r="AG3847" s="6">
        <v>10</v>
      </c>
    </row>
    <row r="3848" spans="2:33">
      <c r="B3848" s="4"/>
      <c r="C3848" s="4"/>
      <c r="D3848" s="4" t="s">
        <v>1610</v>
      </c>
      <c r="E3848" s="4"/>
      <c r="F3848" s="4"/>
      <c r="G3848" s="6">
        <v>14</v>
      </c>
      <c r="H3848" s="6">
        <v>150</v>
      </c>
      <c r="I3848" s="110"/>
      <c r="J3848" s="110"/>
      <c r="K3848" s="110"/>
      <c r="L3848" s="110"/>
      <c r="M3848" s="110"/>
      <c r="N3848" s="110"/>
      <c r="O3848" s="110"/>
      <c r="P3848" s="110"/>
      <c r="Q3848" s="110"/>
      <c r="R3848" s="110"/>
      <c r="S3848" s="110"/>
      <c r="T3848" s="110"/>
      <c r="U3848" s="110"/>
      <c r="V3848" s="110"/>
      <c r="W3848" s="110"/>
      <c r="X3848" s="110">
        <f>H3848</f>
        <v>150</v>
      </c>
      <c r="Y3848" s="4" t="str">
        <f t="shared" si="1071"/>
        <v>yellow</v>
      </c>
      <c r="Z3848" s="50">
        <f t="shared" si="1072"/>
        <v>1.66666666666667</v>
      </c>
      <c r="AA3848" s="6">
        <v>-0.7</v>
      </c>
      <c r="AB3848" s="6" t="s">
        <v>1785</v>
      </c>
      <c r="AC3848" s="30" t="b">
        <v>0</v>
      </c>
      <c r="AD3848" s="1">
        <f t="shared" si="1073"/>
        <v>4500</v>
      </c>
      <c r="AE3848" s="1">
        <f t="shared" si="1074"/>
        <v>9000</v>
      </c>
      <c r="AF3848" s="4">
        <f>_xlfn.FLOOR.MATH(AE3848*(1+AA3848))</f>
        <v>2700</v>
      </c>
      <c r="AG3848" s="6">
        <v>15</v>
      </c>
    </row>
    <row r="3849" spans="2:33">
      <c r="B3849" s="4"/>
      <c r="C3849" s="4"/>
      <c r="D3849" s="4" t="s">
        <v>1608</v>
      </c>
      <c r="E3849" s="4"/>
      <c r="F3849" s="4"/>
      <c r="G3849" s="6">
        <v>17</v>
      </c>
      <c r="H3849" s="6">
        <v>250000</v>
      </c>
      <c r="I3849" s="110"/>
      <c r="J3849" s="110"/>
      <c r="K3849" s="110"/>
      <c r="L3849" s="110"/>
      <c r="M3849" s="110"/>
      <c r="N3849" s="110"/>
      <c r="O3849" s="110"/>
      <c r="P3849" s="110"/>
      <c r="Q3849" s="110"/>
      <c r="R3849" s="110"/>
      <c r="S3849" s="110"/>
      <c r="T3849" s="110"/>
      <c r="U3849" s="110"/>
      <c r="V3849" s="110">
        <f>H3849</f>
        <v>250000</v>
      </c>
      <c r="W3849" s="110"/>
      <c r="X3849" s="110"/>
      <c r="Y3849" s="4" t="str">
        <f t="shared" si="1071"/>
        <v>yellow</v>
      </c>
      <c r="Z3849" s="50">
        <f t="shared" si="1072"/>
        <v>1.66666666666667</v>
      </c>
      <c r="AA3849" s="6">
        <v>-0.7</v>
      </c>
      <c r="AB3849" s="6" t="s">
        <v>1785</v>
      </c>
      <c r="AC3849" s="30" t="b">
        <v>0</v>
      </c>
      <c r="AD3849" s="1">
        <f t="shared" si="1073"/>
        <v>1500</v>
      </c>
      <c r="AE3849" s="1">
        <f t="shared" si="1074"/>
        <v>3000</v>
      </c>
      <c r="AF3849" s="4">
        <f>_xlfn.FLOOR.MATH(AE3849*(1+AA3849))</f>
        <v>900</v>
      </c>
      <c r="AG3849" s="6">
        <v>10</v>
      </c>
    </row>
    <row r="3850" spans="2:33">
      <c r="B3850" s="4"/>
      <c r="C3850" s="4"/>
      <c r="D3850" s="4" t="s">
        <v>1609</v>
      </c>
      <c r="E3850" s="4"/>
      <c r="F3850" s="4"/>
      <c r="G3850" s="6">
        <v>18</v>
      </c>
      <c r="H3850" s="6">
        <v>500</v>
      </c>
      <c r="I3850" s="110"/>
      <c r="J3850" s="110"/>
      <c r="K3850" s="110"/>
      <c r="L3850" s="110"/>
      <c r="M3850" s="110"/>
      <c r="N3850" s="110"/>
      <c r="O3850" s="110"/>
      <c r="P3850" s="110"/>
      <c r="Q3850" s="110"/>
      <c r="R3850" s="110"/>
      <c r="S3850" s="110"/>
      <c r="T3850" s="110"/>
      <c r="U3850" s="110"/>
      <c r="V3850" s="110"/>
      <c r="W3850" s="110">
        <f>H3850</f>
        <v>500</v>
      </c>
      <c r="X3850" s="110"/>
      <c r="Y3850" s="4" t="str">
        <f t="shared" si="1071"/>
        <v>yellow</v>
      </c>
      <c r="Z3850" s="50">
        <f t="shared" si="1072"/>
        <v>1.66666666666667</v>
      </c>
      <c r="AA3850" s="6">
        <v>-0.7</v>
      </c>
      <c r="AB3850" s="6" t="s">
        <v>1785</v>
      </c>
      <c r="AC3850" s="30" t="b">
        <v>0</v>
      </c>
      <c r="AD3850" s="1">
        <f t="shared" si="1073"/>
        <v>4500</v>
      </c>
      <c r="AE3850" s="1">
        <f t="shared" si="1074"/>
        <v>9000</v>
      </c>
      <c r="AF3850" s="4">
        <f>_xlfn.FLOOR.MATH(AE3850*(1+AA3850))</f>
        <v>2700</v>
      </c>
      <c r="AG3850" s="6">
        <v>10</v>
      </c>
    </row>
    <row r="3851" spans="4:4">
      <c r="D3851" s="4"/>
    </row>
    <row r="3852" spans="2:12">
      <c r="B3852" s="27" t="s">
        <v>2125</v>
      </c>
      <c r="C3852" s="27"/>
      <c r="D3852" s="27"/>
      <c r="E3852" s="27"/>
      <c r="F3852" s="27"/>
      <c r="G3852" s="27"/>
      <c r="H3852" s="27"/>
      <c r="I3852" s="27"/>
      <c r="J3852" s="27"/>
      <c r="K3852" s="27"/>
      <c r="L3852" s="27"/>
    </row>
    <row r="3853" spans="18:18">
      <c r="R3853" s="1" t="s">
        <v>2126</v>
      </c>
    </row>
    <row r="3854" spans="2:32">
      <c r="B3854" s="1" t="str">
        <f t="shared" ref="B3854:B3867" si="1075">D3810</f>
        <v>物品</v>
      </c>
      <c r="E3854" s="110" t="s">
        <v>2127</v>
      </c>
      <c r="F3854" s="110" t="s">
        <v>2128</v>
      </c>
      <c r="G3854" s="110" t="s">
        <v>1947</v>
      </c>
      <c r="H3854" s="110" t="s">
        <v>2129</v>
      </c>
      <c r="I3854" s="110" t="s">
        <v>1949</v>
      </c>
      <c r="J3854" s="110" t="s">
        <v>1950</v>
      </c>
      <c r="K3854" s="110" t="s">
        <v>1951</v>
      </c>
      <c r="L3854" s="110" t="s">
        <v>1952</v>
      </c>
      <c r="M3854" s="110" t="s">
        <v>2130</v>
      </c>
      <c r="N3854" s="110" t="s">
        <v>1953</v>
      </c>
      <c r="O3854" s="110" t="s">
        <v>1954</v>
      </c>
      <c r="P3854" s="110" t="s">
        <v>1955</v>
      </c>
      <c r="Q3854" s="1" t="s">
        <v>1747</v>
      </c>
      <c r="R3854" s="1" t="s">
        <v>1748</v>
      </c>
      <c r="S3854" s="1" t="s">
        <v>1749</v>
      </c>
      <c r="T3854" s="1" t="s">
        <v>1750</v>
      </c>
      <c r="U3854" s="111" t="s">
        <v>726</v>
      </c>
      <c r="V3854" s="111" t="s">
        <v>478</v>
      </c>
      <c r="W3854" s="111" t="s">
        <v>2131</v>
      </c>
      <c r="X3854" s="111" t="s">
        <v>2132</v>
      </c>
      <c r="Y3854" s="111" t="s">
        <v>379</v>
      </c>
      <c r="Z3854" s="111" t="s">
        <v>458</v>
      </c>
      <c r="AA3854" s="111" t="s">
        <v>1120</v>
      </c>
      <c r="AB3854" s="111" t="s">
        <v>2133</v>
      </c>
      <c r="AC3854" s="111" t="s">
        <v>1406</v>
      </c>
      <c r="AD3854" s="111" t="s">
        <v>2134</v>
      </c>
      <c r="AE3854" s="111" t="s">
        <v>541</v>
      </c>
      <c r="AF3854" s="111" t="s">
        <v>542</v>
      </c>
    </row>
    <row r="3855" spans="2:32">
      <c r="B3855" s="1" t="str">
        <f t="shared" si="1075"/>
        <v>action_point_small</v>
      </c>
      <c r="E3855" s="110">
        <f t="shared" ref="E3855:E3886" si="1076">I3811*$AG3811</f>
        <v>0</v>
      </c>
      <c r="F3855" s="110">
        <f t="shared" ref="F3855:F3886" si="1077">J3811*$AG3811</f>
        <v>0</v>
      </c>
      <c r="G3855" s="110">
        <f t="shared" ref="G3855:G3894" si="1078">(K3811+(S3811+T3811)*$E$3803)*$AG3811</f>
        <v>0</v>
      </c>
      <c r="H3855" s="110">
        <f t="shared" ref="H3855:H3886" si="1079">L3811*$AG3811</f>
        <v>0</v>
      </c>
      <c r="I3855" s="110">
        <f t="shared" ref="I3855:I3886" si="1080">M3811*$AG3811</f>
        <v>0</v>
      </c>
      <c r="J3855" s="110">
        <f t="shared" ref="J3855:J3894" si="1081">(N3811+(S3811+T3811)*$E$3804)*$AG3811</f>
        <v>0</v>
      </c>
      <c r="K3855" s="110">
        <f t="shared" ref="K3855:K3886" si="1082">O3811*$AG3811</f>
        <v>0</v>
      </c>
      <c r="L3855" s="110">
        <f t="shared" ref="L3855:L3886" si="1083">P3811*$AG3811</f>
        <v>0</v>
      </c>
      <c r="M3855" s="110">
        <f t="shared" ref="M3855:M3886" si="1084">Q3811*$AG3811</f>
        <v>0</v>
      </c>
      <c r="N3855" s="110">
        <f t="shared" ref="N3855:P3855" si="1085">V3811*$AG3811</f>
        <v>0</v>
      </c>
      <c r="O3855" s="110">
        <f t="shared" si="1085"/>
        <v>0</v>
      </c>
      <c r="P3855" s="110">
        <f t="shared" si="1085"/>
        <v>0</v>
      </c>
      <c r="Q3855" s="1">
        <f t="shared" ref="Q3855:Q3886" si="1086">IF(AB3811="l_coin",AF3811,0)</f>
        <v>0</v>
      </c>
      <c r="R3855" s="1">
        <f t="shared" ref="R3855:R3886" si="1087">Q3855*AG3811</f>
        <v>0</v>
      </c>
      <c r="S3855" s="1">
        <f t="shared" ref="S3855:S3886" si="1088">IF(AB3811="l_coin",0,AF3811)</f>
        <v>180000</v>
      </c>
      <c r="T3855" s="1">
        <f t="shared" ref="T3855:T3886" si="1089">S3855*AG3811</f>
        <v>3600000</v>
      </c>
      <c r="U3855" s="111">
        <f t="shared" ref="U3855:U3886" si="1090">IF($AC3811=TRUE,E3855,0)/$E$3746</f>
        <v>0</v>
      </c>
      <c r="V3855" s="111">
        <f t="shared" ref="V3855:V3886" si="1091">IF($AC3811=TRUE,F3855,0)/$E$3746</f>
        <v>0</v>
      </c>
      <c r="W3855" s="111">
        <f t="shared" ref="W3855:W3886" si="1092">IF($AC3811=TRUE,G3855,0)/$E$3746</f>
        <v>0</v>
      </c>
      <c r="X3855" s="111">
        <f t="shared" ref="X3855:X3886" si="1093">IF($AC3811=TRUE,H3855,0)/$E$3746</f>
        <v>0</v>
      </c>
      <c r="Y3855" s="111">
        <f t="shared" ref="Y3855:Y3886" si="1094">IF($AC3811=TRUE,I3855,0)/$E$3746</f>
        <v>0</v>
      </c>
      <c r="Z3855" s="111">
        <f t="shared" ref="Z3855:Z3886" si="1095">IF($AC3811=TRUE,J3855,0)/$E$3746</f>
        <v>0</v>
      </c>
      <c r="AA3855" s="111">
        <f t="shared" ref="AA3855:AA3886" si="1096">IF($AC3811=TRUE,K3855,0)/$E$3746</f>
        <v>0</v>
      </c>
      <c r="AB3855" s="111">
        <f t="shared" ref="AB3855:AB3886" si="1097">IF($AC3811=TRUE,L3855,0)/$E$3746</f>
        <v>0</v>
      </c>
      <c r="AC3855" s="111">
        <f t="shared" ref="AC3855:AC3886" si="1098">IF($AC3811=TRUE,M3855,0)/$E$3746</f>
        <v>0</v>
      </c>
      <c r="AD3855" s="111">
        <f t="shared" ref="AD3855:AD3886" si="1099">IF($AC3811=TRUE,N3855,0)/$E$3746</f>
        <v>0</v>
      </c>
      <c r="AE3855" s="111">
        <f t="shared" ref="AE3855:AE3886" si="1100">IF($AC3811=TRUE,O3855,0)/$E$3746</f>
        <v>0</v>
      </c>
      <c r="AF3855" s="111">
        <f t="shared" ref="AF3855:AF3886" si="1101">IF($AC3811=TRUE,P3855,0)/$E$3746</f>
        <v>0</v>
      </c>
    </row>
    <row r="3856" spans="2:32">
      <c r="B3856" s="1" t="str">
        <f t="shared" si="1075"/>
        <v>rush_build_common_15m</v>
      </c>
      <c r="E3856" s="110">
        <f t="shared" si="1076"/>
        <v>0</v>
      </c>
      <c r="F3856" s="110">
        <f t="shared" si="1077"/>
        <v>1500</v>
      </c>
      <c r="G3856" s="110">
        <f t="shared" si="1078"/>
        <v>0</v>
      </c>
      <c r="H3856" s="110">
        <f t="shared" si="1079"/>
        <v>0</v>
      </c>
      <c r="I3856" s="110">
        <f t="shared" si="1080"/>
        <v>0</v>
      </c>
      <c r="J3856" s="110">
        <f t="shared" si="1081"/>
        <v>0</v>
      </c>
      <c r="K3856" s="110">
        <f t="shared" si="1082"/>
        <v>0</v>
      </c>
      <c r="L3856" s="110">
        <f t="shared" si="1083"/>
        <v>0</v>
      </c>
      <c r="M3856" s="110">
        <f t="shared" si="1084"/>
        <v>0</v>
      </c>
      <c r="N3856" s="110">
        <f t="shared" ref="N3856:N3894" si="1102">V3812*$AG3812</f>
        <v>0</v>
      </c>
      <c r="O3856" s="110">
        <f t="shared" ref="O3856:O3894" si="1103">W3812*$AG3812</f>
        <v>0</v>
      </c>
      <c r="P3856" s="110">
        <f t="shared" ref="P3856:P3894" si="1104">X3812*$AG3812</f>
        <v>0</v>
      </c>
      <c r="Q3856" s="1">
        <f t="shared" si="1086"/>
        <v>18</v>
      </c>
      <c r="R3856" s="1">
        <f t="shared" si="1087"/>
        <v>1800</v>
      </c>
      <c r="S3856" s="1">
        <f t="shared" si="1088"/>
        <v>0</v>
      </c>
      <c r="T3856" s="1">
        <f t="shared" si="1089"/>
        <v>0</v>
      </c>
      <c r="U3856" s="111">
        <f t="shared" si="1090"/>
        <v>0</v>
      </c>
      <c r="V3856" s="111">
        <f t="shared" si="1091"/>
        <v>0</v>
      </c>
      <c r="W3856" s="111">
        <f t="shared" si="1092"/>
        <v>0</v>
      </c>
      <c r="X3856" s="111">
        <f t="shared" si="1093"/>
        <v>0</v>
      </c>
      <c r="Y3856" s="111">
        <f t="shared" si="1094"/>
        <v>0</v>
      </c>
      <c r="Z3856" s="111">
        <f t="shared" si="1095"/>
        <v>0</v>
      </c>
      <c r="AA3856" s="111">
        <f t="shared" si="1096"/>
        <v>0</v>
      </c>
      <c r="AB3856" s="111">
        <f t="shared" si="1097"/>
        <v>0</v>
      </c>
      <c r="AC3856" s="111">
        <f t="shared" si="1098"/>
        <v>0</v>
      </c>
      <c r="AD3856" s="111">
        <f t="shared" si="1099"/>
        <v>0</v>
      </c>
      <c r="AE3856" s="111">
        <f t="shared" si="1100"/>
        <v>0</v>
      </c>
      <c r="AF3856" s="111">
        <f t="shared" si="1101"/>
        <v>0</v>
      </c>
    </row>
    <row r="3857" spans="2:32">
      <c r="B3857" s="1" t="str">
        <f t="shared" si="1075"/>
        <v>common_equipment_exp</v>
      </c>
      <c r="E3857" s="110">
        <f t="shared" si="1076"/>
        <v>0</v>
      </c>
      <c r="F3857" s="110">
        <f t="shared" si="1077"/>
        <v>0</v>
      </c>
      <c r="G3857" s="110">
        <f t="shared" si="1078"/>
        <v>0</v>
      </c>
      <c r="H3857" s="110">
        <f t="shared" si="1079"/>
        <v>2000000</v>
      </c>
      <c r="I3857" s="110">
        <f t="shared" si="1080"/>
        <v>0</v>
      </c>
      <c r="J3857" s="110">
        <f t="shared" si="1081"/>
        <v>0</v>
      </c>
      <c r="K3857" s="110">
        <f t="shared" si="1082"/>
        <v>0</v>
      </c>
      <c r="L3857" s="110">
        <f t="shared" si="1083"/>
        <v>0</v>
      </c>
      <c r="M3857" s="110">
        <f t="shared" si="1084"/>
        <v>0</v>
      </c>
      <c r="N3857" s="110">
        <f t="shared" si="1102"/>
        <v>0</v>
      </c>
      <c r="O3857" s="110">
        <f t="shared" si="1103"/>
        <v>0</v>
      </c>
      <c r="P3857" s="110">
        <f t="shared" si="1104"/>
        <v>0</v>
      </c>
      <c r="Q3857" s="1">
        <f t="shared" si="1086"/>
        <v>30</v>
      </c>
      <c r="R3857" s="1">
        <f t="shared" si="1087"/>
        <v>6000</v>
      </c>
      <c r="S3857" s="1">
        <f t="shared" si="1088"/>
        <v>0</v>
      </c>
      <c r="T3857" s="1">
        <f t="shared" si="1089"/>
        <v>0</v>
      </c>
      <c r="U3857" s="111">
        <f t="shared" si="1090"/>
        <v>0</v>
      </c>
      <c r="V3857" s="111">
        <f t="shared" si="1091"/>
        <v>0</v>
      </c>
      <c r="W3857" s="111">
        <f t="shared" si="1092"/>
        <v>0</v>
      </c>
      <c r="X3857" s="111">
        <f t="shared" si="1093"/>
        <v>0</v>
      </c>
      <c r="Y3857" s="111">
        <f t="shared" si="1094"/>
        <v>0</v>
      </c>
      <c r="Z3857" s="111">
        <f t="shared" si="1095"/>
        <v>0</v>
      </c>
      <c r="AA3857" s="111">
        <f t="shared" si="1096"/>
        <v>0</v>
      </c>
      <c r="AB3857" s="111">
        <f t="shared" si="1097"/>
        <v>0</v>
      </c>
      <c r="AC3857" s="111">
        <f t="shared" si="1098"/>
        <v>0</v>
      </c>
      <c r="AD3857" s="111">
        <f t="shared" si="1099"/>
        <v>0</v>
      </c>
      <c r="AE3857" s="111">
        <f t="shared" si="1100"/>
        <v>0</v>
      </c>
      <c r="AF3857" s="111">
        <f t="shared" si="1101"/>
        <v>0</v>
      </c>
    </row>
    <row r="3858" spans="2:32">
      <c r="B3858" s="1" t="str">
        <f t="shared" si="1075"/>
        <v>rush_tech_common_15m</v>
      </c>
      <c r="E3858" s="110">
        <f t="shared" si="1076"/>
        <v>0</v>
      </c>
      <c r="F3858" s="110">
        <f t="shared" si="1077"/>
        <v>450</v>
      </c>
      <c r="G3858" s="110">
        <f t="shared" si="1078"/>
        <v>0</v>
      </c>
      <c r="H3858" s="110">
        <f t="shared" si="1079"/>
        <v>0</v>
      </c>
      <c r="I3858" s="110">
        <f t="shared" si="1080"/>
        <v>0</v>
      </c>
      <c r="J3858" s="110">
        <f t="shared" si="1081"/>
        <v>0</v>
      </c>
      <c r="K3858" s="110">
        <f t="shared" si="1082"/>
        <v>0</v>
      </c>
      <c r="L3858" s="110">
        <f t="shared" si="1083"/>
        <v>0</v>
      </c>
      <c r="M3858" s="110">
        <f t="shared" si="1084"/>
        <v>0</v>
      </c>
      <c r="N3858" s="110">
        <f t="shared" si="1102"/>
        <v>0</v>
      </c>
      <c r="O3858" s="110">
        <f t="shared" si="1103"/>
        <v>0</v>
      </c>
      <c r="P3858" s="110">
        <f t="shared" si="1104"/>
        <v>0</v>
      </c>
      <c r="Q3858" s="1">
        <f t="shared" si="1086"/>
        <v>0</v>
      </c>
      <c r="R3858" s="1">
        <f t="shared" si="1087"/>
        <v>0</v>
      </c>
      <c r="S3858" s="1">
        <f t="shared" si="1088"/>
        <v>22500</v>
      </c>
      <c r="T3858" s="1">
        <f t="shared" si="1089"/>
        <v>675000</v>
      </c>
      <c r="U3858" s="111">
        <f t="shared" si="1090"/>
        <v>0</v>
      </c>
      <c r="V3858" s="111">
        <f t="shared" si="1091"/>
        <v>64.2857142857143</v>
      </c>
      <c r="W3858" s="111">
        <f t="shared" si="1092"/>
        <v>0</v>
      </c>
      <c r="X3858" s="111">
        <f t="shared" si="1093"/>
        <v>0</v>
      </c>
      <c r="Y3858" s="111">
        <f t="shared" si="1094"/>
        <v>0</v>
      </c>
      <c r="Z3858" s="111">
        <f t="shared" si="1095"/>
        <v>0</v>
      </c>
      <c r="AA3858" s="111">
        <f t="shared" si="1096"/>
        <v>0</v>
      </c>
      <c r="AB3858" s="111">
        <f t="shared" si="1097"/>
        <v>0</v>
      </c>
      <c r="AC3858" s="111">
        <f t="shared" si="1098"/>
        <v>0</v>
      </c>
      <c r="AD3858" s="111">
        <f t="shared" si="1099"/>
        <v>0</v>
      </c>
      <c r="AE3858" s="111">
        <f t="shared" si="1100"/>
        <v>0</v>
      </c>
      <c r="AF3858" s="111">
        <f t="shared" si="1101"/>
        <v>0</v>
      </c>
    </row>
    <row r="3859" spans="2:32">
      <c r="B3859" s="1" t="str">
        <f t="shared" si="1075"/>
        <v>fragment_star04</v>
      </c>
      <c r="E3859" s="110">
        <f t="shared" si="1076"/>
        <v>0</v>
      </c>
      <c r="F3859" s="110">
        <f t="shared" si="1077"/>
        <v>0</v>
      </c>
      <c r="G3859" s="110">
        <f t="shared" si="1078"/>
        <v>8</v>
      </c>
      <c r="H3859" s="110">
        <f t="shared" si="1079"/>
        <v>0</v>
      </c>
      <c r="I3859" s="110">
        <f t="shared" si="1080"/>
        <v>0</v>
      </c>
      <c r="J3859" s="110">
        <f t="shared" si="1081"/>
        <v>0</v>
      </c>
      <c r="K3859" s="110">
        <f t="shared" si="1082"/>
        <v>0</v>
      </c>
      <c r="L3859" s="110">
        <f t="shared" si="1083"/>
        <v>0</v>
      </c>
      <c r="M3859" s="110">
        <f t="shared" si="1084"/>
        <v>0</v>
      </c>
      <c r="N3859" s="110">
        <f t="shared" si="1102"/>
        <v>0</v>
      </c>
      <c r="O3859" s="110">
        <f t="shared" si="1103"/>
        <v>0</v>
      </c>
      <c r="P3859" s="110">
        <f t="shared" si="1104"/>
        <v>0</v>
      </c>
      <c r="Q3859" s="1">
        <f t="shared" si="1086"/>
        <v>0</v>
      </c>
      <c r="R3859" s="1">
        <f t="shared" si="1087"/>
        <v>0</v>
      </c>
      <c r="S3859" s="1">
        <f t="shared" si="1088"/>
        <v>240000</v>
      </c>
      <c r="T3859" s="1">
        <f t="shared" si="1089"/>
        <v>4800000</v>
      </c>
      <c r="U3859" s="111">
        <f t="shared" si="1090"/>
        <v>0</v>
      </c>
      <c r="V3859" s="111">
        <f t="shared" si="1091"/>
        <v>0</v>
      </c>
      <c r="W3859" s="111">
        <f t="shared" si="1092"/>
        <v>1.14285714285714</v>
      </c>
      <c r="X3859" s="111">
        <f t="shared" si="1093"/>
        <v>0</v>
      </c>
      <c r="Y3859" s="111">
        <f t="shared" si="1094"/>
        <v>0</v>
      </c>
      <c r="Z3859" s="111">
        <f t="shared" si="1095"/>
        <v>0</v>
      </c>
      <c r="AA3859" s="111">
        <f t="shared" si="1096"/>
        <v>0</v>
      </c>
      <c r="AB3859" s="111">
        <f t="shared" si="1097"/>
        <v>0</v>
      </c>
      <c r="AC3859" s="111">
        <f t="shared" si="1098"/>
        <v>0</v>
      </c>
      <c r="AD3859" s="111">
        <f t="shared" si="1099"/>
        <v>0</v>
      </c>
      <c r="AE3859" s="111">
        <f t="shared" si="1100"/>
        <v>0</v>
      </c>
      <c r="AF3859" s="111">
        <f t="shared" si="1101"/>
        <v>0</v>
      </c>
    </row>
    <row r="3860" spans="2:32">
      <c r="B3860" s="1" t="str">
        <f t="shared" si="1075"/>
        <v>metal_500000_card</v>
      </c>
      <c r="E3860" s="110">
        <f t="shared" si="1076"/>
        <v>10000000</v>
      </c>
      <c r="F3860" s="110">
        <f t="shared" si="1077"/>
        <v>0</v>
      </c>
      <c r="G3860" s="110">
        <f t="shared" si="1078"/>
        <v>0</v>
      </c>
      <c r="H3860" s="110">
        <f t="shared" si="1079"/>
        <v>0</v>
      </c>
      <c r="I3860" s="110">
        <f t="shared" si="1080"/>
        <v>0</v>
      </c>
      <c r="J3860" s="110">
        <f t="shared" si="1081"/>
        <v>0</v>
      </c>
      <c r="K3860" s="110">
        <f t="shared" si="1082"/>
        <v>0</v>
      </c>
      <c r="L3860" s="110">
        <f t="shared" si="1083"/>
        <v>0</v>
      </c>
      <c r="M3860" s="110">
        <f t="shared" si="1084"/>
        <v>0</v>
      </c>
      <c r="N3860" s="110">
        <f t="shared" si="1102"/>
        <v>0</v>
      </c>
      <c r="O3860" s="110">
        <f t="shared" si="1103"/>
        <v>0</v>
      </c>
      <c r="P3860" s="110">
        <f t="shared" si="1104"/>
        <v>0</v>
      </c>
      <c r="Q3860" s="1">
        <f t="shared" si="1086"/>
        <v>175</v>
      </c>
      <c r="R3860" s="1">
        <f t="shared" si="1087"/>
        <v>3500</v>
      </c>
      <c r="S3860" s="1">
        <f t="shared" si="1088"/>
        <v>0</v>
      </c>
      <c r="T3860" s="1">
        <f t="shared" si="1089"/>
        <v>0</v>
      </c>
      <c r="U3860" s="111">
        <f t="shared" si="1090"/>
        <v>0</v>
      </c>
      <c r="V3860" s="111">
        <f t="shared" si="1091"/>
        <v>0</v>
      </c>
      <c r="W3860" s="111">
        <f t="shared" si="1092"/>
        <v>0</v>
      </c>
      <c r="X3860" s="111">
        <f t="shared" si="1093"/>
        <v>0</v>
      </c>
      <c r="Y3860" s="111">
        <f t="shared" si="1094"/>
        <v>0</v>
      </c>
      <c r="Z3860" s="111">
        <f t="shared" si="1095"/>
        <v>0</v>
      </c>
      <c r="AA3860" s="111">
        <f t="shared" si="1096"/>
        <v>0</v>
      </c>
      <c r="AB3860" s="111">
        <f t="shared" si="1097"/>
        <v>0</v>
      </c>
      <c r="AC3860" s="111">
        <f t="shared" si="1098"/>
        <v>0</v>
      </c>
      <c r="AD3860" s="111">
        <f t="shared" si="1099"/>
        <v>0</v>
      </c>
      <c r="AE3860" s="111">
        <f t="shared" si="1100"/>
        <v>0</v>
      </c>
      <c r="AF3860" s="111">
        <f t="shared" si="1101"/>
        <v>0</v>
      </c>
    </row>
    <row r="3861" spans="2:32">
      <c r="B3861" s="1" t="str">
        <f t="shared" si="1075"/>
        <v>ammunition</v>
      </c>
      <c r="E3861" s="110">
        <f t="shared" si="1076"/>
        <v>0</v>
      </c>
      <c r="F3861" s="110">
        <f t="shared" si="1077"/>
        <v>0</v>
      </c>
      <c r="G3861" s="110">
        <f t="shared" si="1078"/>
        <v>0</v>
      </c>
      <c r="H3861" s="110">
        <f t="shared" si="1079"/>
        <v>0</v>
      </c>
      <c r="I3861" s="110">
        <f t="shared" si="1080"/>
        <v>1000</v>
      </c>
      <c r="J3861" s="110">
        <f t="shared" si="1081"/>
        <v>0</v>
      </c>
      <c r="K3861" s="110">
        <f t="shared" si="1082"/>
        <v>0</v>
      </c>
      <c r="L3861" s="110">
        <f t="shared" si="1083"/>
        <v>0</v>
      </c>
      <c r="M3861" s="110">
        <f t="shared" si="1084"/>
        <v>0</v>
      </c>
      <c r="N3861" s="110">
        <f t="shared" si="1102"/>
        <v>0</v>
      </c>
      <c r="O3861" s="110">
        <f t="shared" si="1103"/>
        <v>0</v>
      </c>
      <c r="P3861" s="110">
        <f t="shared" si="1104"/>
        <v>0</v>
      </c>
      <c r="Q3861" s="1">
        <f t="shared" si="1086"/>
        <v>0</v>
      </c>
      <c r="R3861" s="1">
        <f t="shared" si="1087"/>
        <v>0</v>
      </c>
      <c r="S3861" s="1">
        <f t="shared" si="1088"/>
        <v>450000</v>
      </c>
      <c r="T3861" s="1">
        <f t="shared" si="1089"/>
        <v>4500000</v>
      </c>
      <c r="U3861" s="111">
        <f t="shared" si="1090"/>
        <v>0</v>
      </c>
      <c r="V3861" s="111">
        <f t="shared" si="1091"/>
        <v>0</v>
      </c>
      <c r="W3861" s="111">
        <f t="shared" si="1092"/>
        <v>0</v>
      </c>
      <c r="X3861" s="111">
        <f t="shared" si="1093"/>
        <v>0</v>
      </c>
      <c r="Y3861" s="111">
        <f t="shared" si="1094"/>
        <v>142.857142857143</v>
      </c>
      <c r="Z3861" s="111">
        <f t="shared" si="1095"/>
        <v>0</v>
      </c>
      <c r="AA3861" s="111">
        <f t="shared" si="1096"/>
        <v>0</v>
      </c>
      <c r="AB3861" s="111">
        <f t="shared" si="1097"/>
        <v>0</v>
      </c>
      <c r="AC3861" s="111">
        <f t="shared" si="1098"/>
        <v>0</v>
      </c>
      <c r="AD3861" s="111">
        <f t="shared" si="1099"/>
        <v>0</v>
      </c>
      <c r="AE3861" s="111">
        <f t="shared" si="1100"/>
        <v>0</v>
      </c>
      <c r="AF3861" s="111">
        <f t="shared" si="1101"/>
        <v>0</v>
      </c>
    </row>
    <row r="3862" spans="2:32">
      <c r="B3862" s="1" t="str">
        <f t="shared" si="1075"/>
        <v>oil_500000_card</v>
      </c>
      <c r="E3862" s="110">
        <f t="shared" si="1076"/>
        <v>10000000</v>
      </c>
      <c r="F3862" s="110">
        <f t="shared" si="1077"/>
        <v>0</v>
      </c>
      <c r="G3862" s="110">
        <f t="shared" si="1078"/>
        <v>0</v>
      </c>
      <c r="H3862" s="110">
        <f t="shared" si="1079"/>
        <v>0</v>
      </c>
      <c r="I3862" s="110">
        <f t="shared" si="1080"/>
        <v>0</v>
      </c>
      <c r="J3862" s="110">
        <f t="shared" si="1081"/>
        <v>0</v>
      </c>
      <c r="K3862" s="110">
        <f t="shared" si="1082"/>
        <v>0</v>
      </c>
      <c r="L3862" s="110">
        <f t="shared" si="1083"/>
        <v>0</v>
      </c>
      <c r="M3862" s="110">
        <f t="shared" si="1084"/>
        <v>0</v>
      </c>
      <c r="N3862" s="110">
        <f t="shared" si="1102"/>
        <v>0</v>
      </c>
      <c r="O3862" s="110">
        <f t="shared" si="1103"/>
        <v>0</v>
      </c>
      <c r="P3862" s="110">
        <f t="shared" si="1104"/>
        <v>0</v>
      </c>
      <c r="Q3862" s="1">
        <f t="shared" si="1086"/>
        <v>175</v>
      </c>
      <c r="R3862" s="1">
        <f t="shared" si="1087"/>
        <v>3500</v>
      </c>
      <c r="S3862" s="1">
        <f t="shared" si="1088"/>
        <v>0</v>
      </c>
      <c r="T3862" s="1">
        <f t="shared" si="1089"/>
        <v>0</v>
      </c>
      <c r="U3862" s="111">
        <f t="shared" si="1090"/>
        <v>0</v>
      </c>
      <c r="V3862" s="111">
        <f t="shared" si="1091"/>
        <v>0</v>
      </c>
      <c r="W3862" s="111">
        <f t="shared" si="1092"/>
        <v>0</v>
      </c>
      <c r="X3862" s="111">
        <f t="shared" si="1093"/>
        <v>0</v>
      </c>
      <c r="Y3862" s="111">
        <f t="shared" si="1094"/>
        <v>0</v>
      </c>
      <c r="Z3862" s="111">
        <f t="shared" si="1095"/>
        <v>0</v>
      </c>
      <c r="AA3862" s="111">
        <f t="shared" si="1096"/>
        <v>0</v>
      </c>
      <c r="AB3862" s="111">
        <f t="shared" si="1097"/>
        <v>0</v>
      </c>
      <c r="AC3862" s="111">
        <f t="shared" si="1098"/>
        <v>0</v>
      </c>
      <c r="AD3862" s="111">
        <f t="shared" si="1099"/>
        <v>0</v>
      </c>
      <c r="AE3862" s="111">
        <f t="shared" si="1100"/>
        <v>0</v>
      </c>
      <c r="AF3862" s="111">
        <f t="shared" si="1101"/>
        <v>0</v>
      </c>
    </row>
    <row r="3863" spans="2:32">
      <c r="B3863" s="1" t="str">
        <f t="shared" si="1075"/>
        <v>rush_build_common_60m</v>
      </c>
      <c r="E3863" s="110">
        <f t="shared" si="1076"/>
        <v>0</v>
      </c>
      <c r="F3863" s="110">
        <f t="shared" si="1077"/>
        <v>1800</v>
      </c>
      <c r="G3863" s="110">
        <f t="shared" si="1078"/>
        <v>0</v>
      </c>
      <c r="H3863" s="110">
        <f t="shared" si="1079"/>
        <v>0</v>
      </c>
      <c r="I3863" s="110">
        <f t="shared" si="1080"/>
        <v>0</v>
      </c>
      <c r="J3863" s="110">
        <f t="shared" si="1081"/>
        <v>0</v>
      </c>
      <c r="K3863" s="110">
        <f t="shared" si="1082"/>
        <v>0</v>
      </c>
      <c r="L3863" s="110">
        <f t="shared" si="1083"/>
        <v>0</v>
      </c>
      <c r="M3863" s="110">
        <f t="shared" si="1084"/>
        <v>0</v>
      </c>
      <c r="N3863" s="110">
        <f t="shared" si="1102"/>
        <v>0</v>
      </c>
      <c r="O3863" s="110">
        <f t="shared" si="1103"/>
        <v>0</v>
      </c>
      <c r="P3863" s="110">
        <f t="shared" si="1104"/>
        <v>0</v>
      </c>
      <c r="Q3863" s="1">
        <f t="shared" si="1086"/>
        <v>72</v>
      </c>
      <c r="R3863" s="1">
        <f t="shared" si="1087"/>
        <v>2160</v>
      </c>
      <c r="S3863" s="1">
        <f t="shared" si="1088"/>
        <v>0</v>
      </c>
      <c r="T3863" s="1">
        <f t="shared" si="1089"/>
        <v>0</v>
      </c>
      <c r="U3863" s="111">
        <f t="shared" si="1090"/>
        <v>0</v>
      </c>
      <c r="V3863" s="111">
        <f t="shared" si="1091"/>
        <v>0</v>
      </c>
      <c r="W3863" s="111">
        <f t="shared" si="1092"/>
        <v>0</v>
      </c>
      <c r="X3863" s="111">
        <f t="shared" si="1093"/>
        <v>0</v>
      </c>
      <c r="Y3863" s="111">
        <f t="shared" si="1094"/>
        <v>0</v>
      </c>
      <c r="Z3863" s="111">
        <f t="shared" si="1095"/>
        <v>0</v>
      </c>
      <c r="AA3863" s="111">
        <f t="shared" si="1096"/>
        <v>0</v>
      </c>
      <c r="AB3863" s="111">
        <f t="shared" si="1097"/>
        <v>0</v>
      </c>
      <c r="AC3863" s="111">
        <f t="shared" si="1098"/>
        <v>0</v>
      </c>
      <c r="AD3863" s="111">
        <f t="shared" si="1099"/>
        <v>0</v>
      </c>
      <c r="AE3863" s="111">
        <f t="shared" si="1100"/>
        <v>0</v>
      </c>
      <c r="AF3863" s="111">
        <f t="shared" si="1101"/>
        <v>0</v>
      </c>
    </row>
    <row r="3864" spans="2:32">
      <c r="B3864" s="1" t="str">
        <f t="shared" si="1075"/>
        <v>gold_500000_card</v>
      </c>
      <c r="E3864" s="110">
        <f t="shared" si="1076"/>
        <v>10000000</v>
      </c>
      <c r="F3864" s="110">
        <f t="shared" si="1077"/>
        <v>0</v>
      </c>
      <c r="G3864" s="110">
        <f t="shared" si="1078"/>
        <v>0</v>
      </c>
      <c r="H3864" s="110">
        <f t="shared" si="1079"/>
        <v>0</v>
      </c>
      <c r="I3864" s="110">
        <f t="shared" si="1080"/>
        <v>0</v>
      </c>
      <c r="J3864" s="110">
        <f t="shared" si="1081"/>
        <v>0</v>
      </c>
      <c r="K3864" s="110">
        <f t="shared" si="1082"/>
        <v>0</v>
      </c>
      <c r="L3864" s="110">
        <f t="shared" si="1083"/>
        <v>0</v>
      </c>
      <c r="M3864" s="110">
        <f t="shared" si="1084"/>
        <v>0</v>
      </c>
      <c r="N3864" s="110">
        <f t="shared" si="1102"/>
        <v>0</v>
      </c>
      <c r="O3864" s="110">
        <f t="shared" si="1103"/>
        <v>0</v>
      </c>
      <c r="P3864" s="110">
        <f t="shared" si="1104"/>
        <v>0</v>
      </c>
      <c r="Q3864" s="1">
        <f t="shared" si="1086"/>
        <v>175</v>
      </c>
      <c r="R3864" s="1">
        <f t="shared" si="1087"/>
        <v>3500</v>
      </c>
      <c r="S3864" s="1">
        <f t="shared" si="1088"/>
        <v>0</v>
      </c>
      <c r="T3864" s="1">
        <f t="shared" si="1089"/>
        <v>0</v>
      </c>
      <c r="U3864" s="111">
        <f t="shared" si="1090"/>
        <v>0</v>
      </c>
      <c r="V3864" s="111">
        <f t="shared" si="1091"/>
        <v>0</v>
      </c>
      <c r="W3864" s="111">
        <f t="shared" si="1092"/>
        <v>0</v>
      </c>
      <c r="X3864" s="111">
        <f t="shared" si="1093"/>
        <v>0</v>
      </c>
      <c r="Y3864" s="111">
        <f t="shared" si="1094"/>
        <v>0</v>
      </c>
      <c r="Z3864" s="111">
        <f t="shared" si="1095"/>
        <v>0</v>
      </c>
      <c r="AA3864" s="111">
        <f t="shared" si="1096"/>
        <v>0</v>
      </c>
      <c r="AB3864" s="111">
        <f t="shared" si="1097"/>
        <v>0</v>
      </c>
      <c r="AC3864" s="111">
        <f t="shared" si="1098"/>
        <v>0</v>
      </c>
      <c r="AD3864" s="111">
        <f t="shared" si="1099"/>
        <v>0</v>
      </c>
      <c r="AE3864" s="111">
        <f t="shared" si="1100"/>
        <v>0</v>
      </c>
      <c r="AF3864" s="111">
        <f t="shared" si="1101"/>
        <v>0</v>
      </c>
    </row>
    <row r="3865" spans="2:32">
      <c r="B3865" s="1" t="str">
        <f t="shared" si="1075"/>
        <v>elements</v>
      </c>
      <c r="E3865" s="110">
        <f t="shared" si="1076"/>
        <v>0</v>
      </c>
      <c r="F3865" s="110">
        <f t="shared" si="1077"/>
        <v>0</v>
      </c>
      <c r="G3865" s="110">
        <f t="shared" si="1078"/>
        <v>0</v>
      </c>
      <c r="H3865" s="110">
        <f t="shared" si="1079"/>
        <v>0</v>
      </c>
      <c r="I3865" s="110">
        <f t="shared" si="1080"/>
        <v>0</v>
      </c>
      <c r="J3865" s="110">
        <f t="shared" si="1081"/>
        <v>750</v>
      </c>
      <c r="K3865" s="110">
        <f t="shared" si="1082"/>
        <v>0</v>
      </c>
      <c r="L3865" s="110">
        <f t="shared" si="1083"/>
        <v>0</v>
      </c>
      <c r="M3865" s="110">
        <f t="shared" si="1084"/>
        <v>0</v>
      </c>
      <c r="N3865" s="110">
        <f t="shared" si="1102"/>
        <v>0</v>
      </c>
      <c r="O3865" s="110">
        <f t="shared" si="1103"/>
        <v>0</v>
      </c>
      <c r="P3865" s="110">
        <f t="shared" si="1104"/>
        <v>0</v>
      </c>
      <c r="Q3865" s="1">
        <f t="shared" si="1086"/>
        <v>135</v>
      </c>
      <c r="R3865" s="1">
        <f t="shared" si="1087"/>
        <v>3375</v>
      </c>
      <c r="S3865" s="1">
        <f t="shared" si="1088"/>
        <v>0</v>
      </c>
      <c r="T3865" s="1">
        <f t="shared" si="1089"/>
        <v>0</v>
      </c>
      <c r="U3865" s="111">
        <f t="shared" si="1090"/>
        <v>0</v>
      </c>
      <c r="V3865" s="111">
        <f t="shared" si="1091"/>
        <v>0</v>
      </c>
      <c r="W3865" s="111">
        <f t="shared" si="1092"/>
        <v>0</v>
      </c>
      <c r="X3865" s="111">
        <f t="shared" si="1093"/>
        <v>0</v>
      </c>
      <c r="Y3865" s="111">
        <f t="shared" si="1094"/>
        <v>0</v>
      </c>
      <c r="Z3865" s="111">
        <f t="shared" si="1095"/>
        <v>107.142857142857</v>
      </c>
      <c r="AA3865" s="111">
        <f t="shared" si="1096"/>
        <v>0</v>
      </c>
      <c r="AB3865" s="111">
        <f t="shared" si="1097"/>
        <v>0</v>
      </c>
      <c r="AC3865" s="111">
        <f t="shared" si="1098"/>
        <v>0</v>
      </c>
      <c r="AD3865" s="111">
        <f t="shared" si="1099"/>
        <v>0</v>
      </c>
      <c r="AE3865" s="111">
        <f t="shared" si="1100"/>
        <v>0</v>
      </c>
      <c r="AF3865" s="111">
        <f t="shared" si="1101"/>
        <v>0</v>
      </c>
    </row>
    <row r="3866" spans="2:32">
      <c r="B3866" s="1" t="str">
        <f t="shared" si="1075"/>
        <v>teleport_common</v>
      </c>
      <c r="E3866" s="110">
        <f t="shared" si="1076"/>
        <v>0</v>
      </c>
      <c r="F3866" s="110">
        <f t="shared" si="1077"/>
        <v>0</v>
      </c>
      <c r="G3866" s="110">
        <f t="shared" si="1078"/>
        <v>0</v>
      </c>
      <c r="H3866" s="110">
        <f t="shared" si="1079"/>
        <v>0</v>
      </c>
      <c r="I3866" s="110">
        <f t="shared" si="1080"/>
        <v>0</v>
      </c>
      <c r="J3866" s="110">
        <f t="shared" si="1081"/>
        <v>0</v>
      </c>
      <c r="K3866" s="110">
        <f t="shared" si="1082"/>
        <v>0</v>
      </c>
      <c r="L3866" s="110">
        <f t="shared" si="1083"/>
        <v>0</v>
      </c>
      <c r="M3866" s="110">
        <f t="shared" si="1084"/>
        <v>0</v>
      </c>
      <c r="N3866" s="110">
        <f t="shared" si="1102"/>
        <v>0</v>
      </c>
      <c r="O3866" s="110">
        <f t="shared" si="1103"/>
        <v>0</v>
      </c>
      <c r="P3866" s="110">
        <f t="shared" si="1104"/>
        <v>0</v>
      </c>
      <c r="Q3866" s="1">
        <f t="shared" si="1086"/>
        <v>300</v>
      </c>
      <c r="R3866" s="1">
        <f t="shared" si="1087"/>
        <v>2100</v>
      </c>
      <c r="S3866" s="1">
        <f t="shared" si="1088"/>
        <v>0</v>
      </c>
      <c r="T3866" s="1">
        <f t="shared" si="1089"/>
        <v>0</v>
      </c>
      <c r="U3866" s="111">
        <f t="shared" si="1090"/>
        <v>0</v>
      </c>
      <c r="V3866" s="111">
        <f t="shared" si="1091"/>
        <v>0</v>
      </c>
      <c r="W3866" s="111">
        <f t="shared" si="1092"/>
        <v>0</v>
      </c>
      <c r="X3866" s="111">
        <f t="shared" si="1093"/>
        <v>0</v>
      </c>
      <c r="Y3866" s="111">
        <f t="shared" si="1094"/>
        <v>0</v>
      </c>
      <c r="Z3866" s="111">
        <f t="shared" si="1095"/>
        <v>0</v>
      </c>
      <c r="AA3866" s="111">
        <f t="shared" si="1096"/>
        <v>0</v>
      </c>
      <c r="AB3866" s="111">
        <f t="shared" si="1097"/>
        <v>0</v>
      </c>
      <c r="AC3866" s="111">
        <f t="shared" si="1098"/>
        <v>0</v>
      </c>
      <c r="AD3866" s="111">
        <f t="shared" si="1099"/>
        <v>0</v>
      </c>
      <c r="AE3866" s="111">
        <f t="shared" si="1100"/>
        <v>0</v>
      </c>
      <c r="AF3866" s="111">
        <f t="shared" si="1101"/>
        <v>0</v>
      </c>
    </row>
    <row r="3867" spans="2:32">
      <c r="B3867" s="1" t="str">
        <f t="shared" si="1075"/>
        <v>rush_tech_common_3h</v>
      </c>
      <c r="E3867" s="110">
        <f t="shared" si="1076"/>
        <v>0</v>
      </c>
      <c r="F3867" s="110">
        <f t="shared" si="1077"/>
        <v>3600</v>
      </c>
      <c r="G3867" s="110">
        <f t="shared" si="1078"/>
        <v>0</v>
      </c>
      <c r="H3867" s="110">
        <f t="shared" si="1079"/>
        <v>0</v>
      </c>
      <c r="I3867" s="110">
        <f t="shared" si="1080"/>
        <v>0</v>
      </c>
      <c r="J3867" s="110">
        <f t="shared" si="1081"/>
        <v>0</v>
      </c>
      <c r="K3867" s="110">
        <f t="shared" si="1082"/>
        <v>0</v>
      </c>
      <c r="L3867" s="110">
        <f t="shared" si="1083"/>
        <v>0</v>
      </c>
      <c r="M3867" s="110">
        <f t="shared" si="1084"/>
        <v>0</v>
      </c>
      <c r="N3867" s="110">
        <f t="shared" si="1102"/>
        <v>0</v>
      </c>
      <c r="O3867" s="110">
        <f t="shared" si="1103"/>
        <v>0</v>
      </c>
      <c r="P3867" s="110">
        <f t="shared" si="1104"/>
        <v>0</v>
      </c>
      <c r="Q3867" s="1">
        <f t="shared" si="1086"/>
        <v>189</v>
      </c>
      <c r="R3867" s="1">
        <f t="shared" si="1087"/>
        <v>3780</v>
      </c>
      <c r="S3867" s="1">
        <f t="shared" si="1088"/>
        <v>0</v>
      </c>
      <c r="T3867" s="1">
        <f t="shared" si="1089"/>
        <v>0</v>
      </c>
      <c r="U3867" s="111">
        <f t="shared" si="1090"/>
        <v>0</v>
      </c>
      <c r="V3867" s="111">
        <f t="shared" si="1091"/>
        <v>0</v>
      </c>
      <c r="W3867" s="111">
        <f t="shared" si="1092"/>
        <v>0</v>
      </c>
      <c r="X3867" s="111">
        <f t="shared" si="1093"/>
        <v>0</v>
      </c>
      <c r="Y3867" s="111">
        <f t="shared" si="1094"/>
        <v>0</v>
      </c>
      <c r="Z3867" s="111">
        <f t="shared" si="1095"/>
        <v>0</v>
      </c>
      <c r="AA3867" s="111">
        <f t="shared" si="1096"/>
        <v>0</v>
      </c>
      <c r="AB3867" s="111">
        <f t="shared" si="1097"/>
        <v>0</v>
      </c>
      <c r="AC3867" s="111">
        <f t="shared" si="1098"/>
        <v>0</v>
      </c>
      <c r="AD3867" s="111">
        <f t="shared" si="1099"/>
        <v>0</v>
      </c>
      <c r="AE3867" s="111">
        <f t="shared" si="1100"/>
        <v>0</v>
      </c>
      <c r="AF3867" s="111">
        <f t="shared" si="1101"/>
        <v>0</v>
      </c>
    </row>
    <row r="3868" spans="2:32">
      <c r="B3868" s="1" t="s">
        <v>2097</v>
      </c>
      <c r="E3868" s="110">
        <f t="shared" si="1076"/>
        <v>0</v>
      </c>
      <c r="F3868" s="110">
        <f t="shared" si="1077"/>
        <v>0</v>
      </c>
      <c r="G3868" s="110">
        <f t="shared" si="1078"/>
        <v>0</v>
      </c>
      <c r="H3868" s="110">
        <f t="shared" si="1079"/>
        <v>0</v>
      </c>
      <c r="I3868" s="110">
        <f t="shared" si="1080"/>
        <v>0</v>
      </c>
      <c r="J3868" s="110">
        <f t="shared" si="1081"/>
        <v>0</v>
      </c>
      <c r="K3868" s="110">
        <f t="shared" si="1082"/>
        <v>0</v>
      </c>
      <c r="L3868" s="110">
        <f t="shared" si="1083"/>
        <v>1000000</v>
      </c>
      <c r="M3868" s="110">
        <f t="shared" si="1084"/>
        <v>0</v>
      </c>
      <c r="N3868" s="110">
        <f t="shared" si="1102"/>
        <v>0</v>
      </c>
      <c r="O3868" s="110">
        <f t="shared" si="1103"/>
        <v>0</v>
      </c>
      <c r="P3868" s="110">
        <f t="shared" si="1104"/>
        <v>0</v>
      </c>
      <c r="Q3868" s="1">
        <f t="shared" si="1086"/>
        <v>0</v>
      </c>
      <c r="R3868" s="1">
        <f t="shared" si="1087"/>
        <v>0</v>
      </c>
      <c r="S3868" s="1">
        <f t="shared" si="1088"/>
        <v>375000</v>
      </c>
      <c r="T3868" s="1">
        <f t="shared" si="1089"/>
        <v>7500000</v>
      </c>
      <c r="U3868" s="111">
        <f t="shared" si="1090"/>
        <v>0</v>
      </c>
      <c r="V3868" s="111">
        <f t="shared" si="1091"/>
        <v>0</v>
      </c>
      <c r="W3868" s="111">
        <f t="shared" si="1092"/>
        <v>0</v>
      </c>
      <c r="X3868" s="111">
        <f t="shared" si="1093"/>
        <v>0</v>
      </c>
      <c r="Y3868" s="111">
        <f t="shared" si="1094"/>
        <v>0</v>
      </c>
      <c r="Z3868" s="111">
        <f t="shared" si="1095"/>
        <v>0</v>
      </c>
      <c r="AA3868" s="111">
        <f t="shared" si="1096"/>
        <v>0</v>
      </c>
      <c r="AB3868" s="111">
        <f t="shared" si="1097"/>
        <v>142857.142857143</v>
      </c>
      <c r="AC3868" s="111">
        <f t="shared" si="1098"/>
        <v>0</v>
      </c>
      <c r="AD3868" s="111">
        <f t="shared" si="1099"/>
        <v>0</v>
      </c>
      <c r="AE3868" s="111">
        <f t="shared" si="1100"/>
        <v>0</v>
      </c>
      <c r="AF3868" s="111">
        <f t="shared" si="1101"/>
        <v>0</v>
      </c>
    </row>
    <row r="3869" spans="2:32">
      <c r="B3869" s="1" t="str">
        <f t="shared" ref="B3869:B3876" si="1105">D3825</f>
        <v>metal_1500000_card</v>
      </c>
      <c r="E3869" s="110">
        <f t="shared" si="1076"/>
        <v>15000000</v>
      </c>
      <c r="F3869" s="110">
        <f t="shared" si="1077"/>
        <v>0</v>
      </c>
      <c r="G3869" s="110">
        <f t="shared" si="1078"/>
        <v>0</v>
      </c>
      <c r="H3869" s="110">
        <f t="shared" si="1079"/>
        <v>0</v>
      </c>
      <c r="I3869" s="110">
        <f t="shared" si="1080"/>
        <v>0</v>
      </c>
      <c r="J3869" s="110">
        <f t="shared" si="1081"/>
        <v>0</v>
      </c>
      <c r="K3869" s="110">
        <f t="shared" si="1082"/>
        <v>0</v>
      </c>
      <c r="L3869" s="110">
        <f t="shared" si="1083"/>
        <v>0</v>
      </c>
      <c r="M3869" s="110">
        <f t="shared" si="1084"/>
        <v>0</v>
      </c>
      <c r="N3869" s="110">
        <f t="shared" si="1102"/>
        <v>0</v>
      </c>
      <c r="O3869" s="110">
        <f t="shared" si="1103"/>
        <v>0</v>
      </c>
      <c r="P3869" s="110">
        <f t="shared" si="1104"/>
        <v>0</v>
      </c>
      <c r="Q3869" s="1">
        <f t="shared" si="1086"/>
        <v>450</v>
      </c>
      <c r="R3869" s="1">
        <f t="shared" si="1087"/>
        <v>4500</v>
      </c>
      <c r="S3869" s="1">
        <f t="shared" si="1088"/>
        <v>0</v>
      </c>
      <c r="T3869" s="1">
        <f t="shared" si="1089"/>
        <v>0</v>
      </c>
      <c r="U3869" s="111">
        <f t="shared" si="1090"/>
        <v>0</v>
      </c>
      <c r="V3869" s="111">
        <f t="shared" si="1091"/>
        <v>0</v>
      </c>
      <c r="W3869" s="111">
        <f t="shared" si="1092"/>
        <v>0</v>
      </c>
      <c r="X3869" s="111">
        <f t="shared" si="1093"/>
        <v>0</v>
      </c>
      <c r="Y3869" s="111">
        <f t="shared" si="1094"/>
        <v>0</v>
      </c>
      <c r="Z3869" s="111">
        <f t="shared" si="1095"/>
        <v>0</v>
      </c>
      <c r="AA3869" s="111">
        <f t="shared" si="1096"/>
        <v>0</v>
      </c>
      <c r="AB3869" s="111">
        <f t="shared" si="1097"/>
        <v>0</v>
      </c>
      <c r="AC3869" s="111">
        <f t="shared" si="1098"/>
        <v>0</v>
      </c>
      <c r="AD3869" s="111">
        <f t="shared" si="1099"/>
        <v>0</v>
      </c>
      <c r="AE3869" s="111">
        <f t="shared" si="1100"/>
        <v>0</v>
      </c>
      <c r="AF3869" s="111">
        <f t="shared" si="1101"/>
        <v>0</v>
      </c>
    </row>
    <row r="3870" spans="2:32">
      <c r="B3870" s="1" t="str">
        <f t="shared" si="1105"/>
        <v>top_key</v>
      </c>
      <c r="E3870" s="110">
        <f t="shared" si="1076"/>
        <v>0</v>
      </c>
      <c r="F3870" s="110">
        <f t="shared" si="1077"/>
        <v>0</v>
      </c>
      <c r="G3870" s="110">
        <f t="shared" si="1078"/>
        <v>8</v>
      </c>
      <c r="H3870" s="110">
        <f t="shared" si="1079"/>
        <v>0</v>
      </c>
      <c r="I3870" s="110">
        <f t="shared" si="1080"/>
        <v>0</v>
      </c>
      <c r="J3870" s="110">
        <f t="shared" si="1081"/>
        <v>183</v>
      </c>
      <c r="K3870" s="110">
        <f t="shared" si="1082"/>
        <v>0</v>
      </c>
      <c r="L3870" s="110">
        <f t="shared" si="1083"/>
        <v>0</v>
      </c>
      <c r="M3870" s="110">
        <f t="shared" si="1084"/>
        <v>0</v>
      </c>
      <c r="N3870" s="110">
        <f t="shared" si="1102"/>
        <v>0</v>
      </c>
      <c r="O3870" s="110">
        <f t="shared" si="1103"/>
        <v>0</v>
      </c>
      <c r="P3870" s="110">
        <f t="shared" si="1104"/>
        <v>0</v>
      </c>
      <c r="Q3870" s="1">
        <f t="shared" si="1086"/>
        <v>270</v>
      </c>
      <c r="R3870" s="1">
        <f t="shared" si="1087"/>
        <v>2700</v>
      </c>
      <c r="S3870" s="1">
        <f t="shared" si="1088"/>
        <v>0</v>
      </c>
      <c r="T3870" s="1">
        <f t="shared" si="1089"/>
        <v>0</v>
      </c>
      <c r="U3870" s="111">
        <f t="shared" si="1090"/>
        <v>0</v>
      </c>
      <c r="V3870" s="111">
        <f t="shared" si="1091"/>
        <v>0</v>
      </c>
      <c r="W3870" s="111">
        <f t="shared" si="1092"/>
        <v>1.14285714285714</v>
      </c>
      <c r="X3870" s="111">
        <f t="shared" si="1093"/>
        <v>0</v>
      </c>
      <c r="Y3870" s="111">
        <f t="shared" si="1094"/>
        <v>0</v>
      </c>
      <c r="Z3870" s="111">
        <f t="shared" si="1095"/>
        <v>26.1428571428571</v>
      </c>
      <c r="AA3870" s="111">
        <f t="shared" si="1096"/>
        <v>0</v>
      </c>
      <c r="AB3870" s="111">
        <f t="shared" si="1097"/>
        <v>0</v>
      </c>
      <c r="AC3870" s="111">
        <f t="shared" si="1098"/>
        <v>0</v>
      </c>
      <c r="AD3870" s="111">
        <f t="shared" si="1099"/>
        <v>0</v>
      </c>
      <c r="AE3870" s="111">
        <f t="shared" si="1100"/>
        <v>0</v>
      </c>
      <c r="AF3870" s="111">
        <f t="shared" si="1101"/>
        <v>0</v>
      </c>
    </row>
    <row r="3871" spans="2:32">
      <c r="B3871" s="1" t="str">
        <f t="shared" si="1105"/>
        <v>oil_1500000_card</v>
      </c>
      <c r="E3871" s="110">
        <f t="shared" si="1076"/>
        <v>15000000</v>
      </c>
      <c r="F3871" s="110">
        <f t="shared" si="1077"/>
        <v>0</v>
      </c>
      <c r="G3871" s="110">
        <f t="shared" si="1078"/>
        <v>0</v>
      </c>
      <c r="H3871" s="110">
        <f t="shared" si="1079"/>
        <v>0</v>
      </c>
      <c r="I3871" s="110">
        <f t="shared" si="1080"/>
        <v>0</v>
      </c>
      <c r="J3871" s="110">
        <f t="shared" si="1081"/>
        <v>0</v>
      </c>
      <c r="K3871" s="110">
        <f t="shared" si="1082"/>
        <v>0</v>
      </c>
      <c r="L3871" s="110">
        <f t="shared" si="1083"/>
        <v>0</v>
      </c>
      <c r="M3871" s="110">
        <f t="shared" si="1084"/>
        <v>0</v>
      </c>
      <c r="N3871" s="110">
        <f t="shared" si="1102"/>
        <v>0</v>
      </c>
      <c r="O3871" s="110">
        <f t="shared" si="1103"/>
        <v>0</v>
      </c>
      <c r="P3871" s="110">
        <f t="shared" si="1104"/>
        <v>0</v>
      </c>
      <c r="Q3871" s="1">
        <f t="shared" si="1086"/>
        <v>450</v>
      </c>
      <c r="R3871" s="1">
        <f t="shared" si="1087"/>
        <v>4500</v>
      </c>
      <c r="S3871" s="1">
        <f t="shared" si="1088"/>
        <v>0</v>
      </c>
      <c r="T3871" s="1">
        <f t="shared" si="1089"/>
        <v>0</v>
      </c>
      <c r="U3871" s="111">
        <f t="shared" si="1090"/>
        <v>0</v>
      </c>
      <c r="V3871" s="111">
        <f t="shared" si="1091"/>
        <v>0</v>
      </c>
      <c r="W3871" s="111">
        <f t="shared" si="1092"/>
        <v>0</v>
      </c>
      <c r="X3871" s="111">
        <f t="shared" si="1093"/>
        <v>0</v>
      </c>
      <c r="Y3871" s="111">
        <f t="shared" si="1094"/>
        <v>0</v>
      </c>
      <c r="Z3871" s="111">
        <f t="shared" si="1095"/>
        <v>0</v>
      </c>
      <c r="AA3871" s="111">
        <f t="shared" si="1096"/>
        <v>0</v>
      </c>
      <c r="AB3871" s="111">
        <f t="shared" si="1097"/>
        <v>0</v>
      </c>
      <c r="AC3871" s="111">
        <f t="shared" si="1098"/>
        <v>0</v>
      </c>
      <c r="AD3871" s="111">
        <f t="shared" si="1099"/>
        <v>0</v>
      </c>
      <c r="AE3871" s="111">
        <f t="shared" si="1100"/>
        <v>0</v>
      </c>
      <c r="AF3871" s="111">
        <f t="shared" si="1101"/>
        <v>0</v>
      </c>
    </row>
    <row r="3872" spans="2:32">
      <c r="B3872" s="1" t="str">
        <f t="shared" si="1105"/>
        <v>common_equipment_exp</v>
      </c>
      <c r="E3872" s="110">
        <f t="shared" si="1076"/>
        <v>0</v>
      </c>
      <c r="F3872" s="110">
        <f t="shared" si="1077"/>
        <v>0</v>
      </c>
      <c r="G3872" s="110">
        <f t="shared" si="1078"/>
        <v>0</v>
      </c>
      <c r="H3872" s="110">
        <f t="shared" si="1079"/>
        <v>5000000</v>
      </c>
      <c r="I3872" s="110">
        <f t="shared" si="1080"/>
        <v>0</v>
      </c>
      <c r="J3872" s="110">
        <f t="shared" si="1081"/>
        <v>0</v>
      </c>
      <c r="K3872" s="110">
        <f t="shared" si="1082"/>
        <v>0</v>
      </c>
      <c r="L3872" s="110">
        <f t="shared" si="1083"/>
        <v>0</v>
      </c>
      <c r="M3872" s="110">
        <f t="shared" si="1084"/>
        <v>0</v>
      </c>
      <c r="N3872" s="110">
        <f t="shared" si="1102"/>
        <v>0</v>
      </c>
      <c r="O3872" s="110">
        <f t="shared" si="1103"/>
        <v>0</v>
      </c>
      <c r="P3872" s="110">
        <f t="shared" si="1104"/>
        <v>0</v>
      </c>
      <c r="Q3872" s="1">
        <f t="shared" si="1086"/>
        <v>240</v>
      </c>
      <c r="R3872" s="1">
        <f t="shared" si="1087"/>
        <v>12000</v>
      </c>
      <c r="S3872" s="1">
        <f t="shared" si="1088"/>
        <v>0</v>
      </c>
      <c r="T3872" s="1">
        <f t="shared" si="1089"/>
        <v>0</v>
      </c>
      <c r="U3872" s="111">
        <f t="shared" si="1090"/>
        <v>0</v>
      </c>
      <c r="V3872" s="111">
        <f t="shared" si="1091"/>
        <v>0</v>
      </c>
      <c r="W3872" s="111">
        <f t="shared" si="1092"/>
        <v>0</v>
      </c>
      <c r="X3872" s="111">
        <f t="shared" si="1093"/>
        <v>0</v>
      </c>
      <c r="Y3872" s="111">
        <f t="shared" si="1094"/>
        <v>0</v>
      </c>
      <c r="Z3872" s="111">
        <f t="shared" si="1095"/>
        <v>0</v>
      </c>
      <c r="AA3872" s="111">
        <f t="shared" si="1096"/>
        <v>0</v>
      </c>
      <c r="AB3872" s="111">
        <f t="shared" si="1097"/>
        <v>0</v>
      </c>
      <c r="AC3872" s="111">
        <f t="shared" si="1098"/>
        <v>0</v>
      </c>
      <c r="AD3872" s="111">
        <f t="shared" si="1099"/>
        <v>0</v>
      </c>
      <c r="AE3872" s="111">
        <f t="shared" si="1100"/>
        <v>0</v>
      </c>
      <c r="AF3872" s="111">
        <f t="shared" si="1101"/>
        <v>0</v>
      </c>
    </row>
    <row r="3873" spans="2:32">
      <c r="B3873" s="1" t="str">
        <f t="shared" si="1105"/>
        <v>gold_1500000_card</v>
      </c>
      <c r="E3873" s="110">
        <f t="shared" si="1076"/>
        <v>15000000</v>
      </c>
      <c r="F3873" s="110">
        <f t="shared" si="1077"/>
        <v>0</v>
      </c>
      <c r="G3873" s="110">
        <f t="shared" si="1078"/>
        <v>0</v>
      </c>
      <c r="H3873" s="110">
        <f t="shared" si="1079"/>
        <v>0</v>
      </c>
      <c r="I3873" s="110">
        <f t="shared" si="1080"/>
        <v>0</v>
      </c>
      <c r="J3873" s="110">
        <f t="shared" si="1081"/>
        <v>0</v>
      </c>
      <c r="K3873" s="110">
        <f t="shared" si="1082"/>
        <v>0</v>
      </c>
      <c r="L3873" s="110">
        <f t="shared" si="1083"/>
        <v>0</v>
      </c>
      <c r="M3873" s="110">
        <f t="shared" si="1084"/>
        <v>0</v>
      </c>
      <c r="N3873" s="110">
        <f t="shared" si="1102"/>
        <v>0</v>
      </c>
      <c r="O3873" s="110">
        <f t="shared" si="1103"/>
        <v>0</v>
      </c>
      <c r="P3873" s="110">
        <f t="shared" si="1104"/>
        <v>0</v>
      </c>
      <c r="Q3873" s="1">
        <f t="shared" si="1086"/>
        <v>450</v>
      </c>
      <c r="R3873" s="1">
        <f t="shared" si="1087"/>
        <v>4500</v>
      </c>
      <c r="S3873" s="1">
        <f t="shared" si="1088"/>
        <v>0</v>
      </c>
      <c r="T3873" s="1">
        <f t="shared" si="1089"/>
        <v>0</v>
      </c>
      <c r="U3873" s="111">
        <f t="shared" si="1090"/>
        <v>0</v>
      </c>
      <c r="V3873" s="111">
        <f t="shared" si="1091"/>
        <v>0</v>
      </c>
      <c r="W3873" s="111">
        <f t="shared" si="1092"/>
        <v>0</v>
      </c>
      <c r="X3873" s="111">
        <f t="shared" si="1093"/>
        <v>0</v>
      </c>
      <c r="Y3873" s="111">
        <f t="shared" si="1094"/>
        <v>0</v>
      </c>
      <c r="Z3873" s="111">
        <f t="shared" si="1095"/>
        <v>0</v>
      </c>
      <c r="AA3873" s="111">
        <f t="shared" si="1096"/>
        <v>0</v>
      </c>
      <c r="AB3873" s="111">
        <f t="shared" si="1097"/>
        <v>0</v>
      </c>
      <c r="AC3873" s="111">
        <f t="shared" si="1098"/>
        <v>0</v>
      </c>
      <c r="AD3873" s="111">
        <f t="shared" si="1099"/>
        <v>0</v>
      </c>
      <c r="AE3873" s="111">
        <f t="shared" si="1100"/>
        <v>0</v>
      </c>
      <c r="AF3873" s="111">
        <f t="shared" si="1101"/>
        <v>0</v>
      </c>
    </row>
    <row r="3874" spans="2:32">
      <c r="B3874" s="1" t="str">
        <f t="shared" si="1105"/>
        <v>chest_select_replacement_silver</v>
      </c>
      <c r="E3874" s="110">
        <f t="shared" si="1076"/>
        <v>0</v>
      </c>
      <c r="F3874" s="110">
        <f t="shared" si="1077"/>
        <v>0</v>
      </c>
      <c r="G3874" s="110">
        <f t="shared" si="1078"/>
        <v>0</v>
      </c>
      <c r="H3874" s="110">
        <f t="shared" si="1079"/>
        <v>0</v>
      </c>
      <c r="I3874" s="110">
        <f t="shared" si="1080"/>
        <v>0</v>
      </c>
      <c r="J3874" s="110">
        <f t="shared" si="1081"/>
        <v>0</v>
      </c>
      <c r="K3874" s="110">
        <f t="shared" si="1082"/>
        <v>1000</v>
      </c>
      <c r="L3874" s="110">
        <f t="shared" si="1083"/>
        <v>0</v>
      </c>
      <c r="M3874" s="110">
        <f t="shared" si="1084"/>
        <v>0</v>
      </c>
      <c r="N3874" s="110">
        <f t="shared" si="1102"/>
        <v>0</v>
      </c>
      <c r="O3874" s="110">
        <f t="shared" si="1103"/>
        <v>0</v>
      </c>
      <c r="P3874" s="110">
        <f t="shared" si="1104"/>
        <v>0</v>
      </c>
      <c r="Q3874" s="1">
        <f t="shared" si="1086"/>
        <v>225</v>
      </c>
      <c r="R3874" s="1">
        <f t="shared" si="1087"/>
        <v>2250</v>
      </c>
      <c r="S3874" s="1">
        <f t="shared" si="1088"/>
        <v>0</v>
      </c>
      <c r="T3874" s="1">
        <f t="shared" si="1089"/>
        <v>0</v>
      </c>
      <c r="U3874" s="111">
        <f t="shared" si="1090"/>
        <v>0</v>
      </c>
      <c r="V3874" s="111">
        <f t="shared" si="1091"/>
        <v>0</v>
      </c>
      <c r="W3874" s="111">
        <f t="shared" si="1092"/>
        <v>0</v>
      </c>
      <c r="X3874" s="111">
        <f t="shared" si="1093"/>
        <v>0</v>
      </c>
      <c r="Y3874" s="111">
        <f t="shared" si="1094"/>
        <v>0</v>
      </c>
      <c r="Z3874" s="111">
        <f t="shared" si="1095"/>
        <v>0</v>
      </c>
      <c r="AA3874" s="111">
        <f t="shared" si="1096"/>
        <v>0</v>
      </c>
      <c r="AB3874" s="111">
        <f t="shared" si="1097"/>
        <v>0</v>
      </c>
      <c r="AC3874" s="111">
        <f t="shared" si="1098"/>
        <v>0</v>
      </c>
      <c r="AD3874" s="111">
        <f t="shared" si="1099"/>
        <v>0</v>
      </c>
      <c r="AE3874" s="111">
        <f t="shared" si="1100"/>
        <v>0</v>
      </c>
      <c r="AF3874" s="111">
        <f t="shared" si="1101"/>
        <v>0</v>
      </c>
    </row>
    <row r="3875" spans="2:32">
      <c r="B3875" s="1" t="str">
        <f t="shared" si="1105"/>
        <v>rush_common_8h</v>
      </c>
      <c r="E3875" s="110">
        <f t="shared" si="1076"/>
        <v>0</v>
      </c>
      <c r="F3875" s="110">
        <f t="shared" si="1077"/>
        <v>7200</v>
      </c>
      <c r="G3875" s="110">
        <f t="shared" si="1078"/>
        <v>0</v>
      </c>
      <c r="H3875" s="110">
        <f t="shared" si="1079"/>
        <v>0</v>
      </c>
      <c r="I3875" s="110">
        <f t="shared" si="1080"/>
        <v>0</v>
      </c>
      <c r="J3875" s="110">
        <f t="shared" si="1081"/>
        <v>0</v>
      </c>
      <c r="K3875" s="110">
        <f t="shared" si="1082"/>
        <v>0</v>
      </c>
      <c r="L3875" s="110">
        <f t="shared" si="1083"/>
        <v>0</v>
      </c>
      <c r="M3875" s="110">
        <f t="shared" si="1084"/>
        <v>0</v>
      </c>
      <c r="N3875" s="110">
        <f t="shared" si="1102"/>
        <v>0</v>
      </c>
      <c r="O3875" s="110">
        <f t="shared" si="1103"/>
        <v>0</v>
      </c>
      <c r="P3875" s="110">
        <f t="shared" si="1104"/>
        <v>0</v>
      </c>
      <c r="Q3875" s="1">
        <f t="shared" si="1086"/>
        <v>432</v>
      </c>
      <c r="R3875" s="1">
        <f t="shared" si="1087"/>
        <v>6480</v>
      </c>
      <c r="S3875" s="1">
        <f t="shared" si="1088"/>
        <v>0</v>
      </c>
      <c r="T3875" s="1">
        <f t="shared" si="1089"/>
        <v>0</v>
      </c>
      <c r="U3875" s="111">
        <f t="shared" si="1090"/>
        <v>0</v>
      </c>
      <c r="V3875" s="111">
        <f t="shared" si="1091"/>
        <v>0</v>
      </c>
      <c r="W3875" s="111">
        <f t="shared" si="1092"/>
        <v>0</v>
      </c>
      <c r="X3875" s="111">
        <f t="shared" si="1093"/>
        <v>0</v>
      </c>
      <c r="Y3875" s="111">
        <f t="shared" si="1094"/>
        <v>0</v>
      </c>
      <c r="Z3875" s="111">
        <f t="shared" si="1095"/>
        <v>0</v>
      </c>
      <c r="AA3875" s="111">
        <f t="shared" si="1096"/>
        <v>0</v>
      </c>
      <c r="AB3875" s="111">
        <f t="shared" si="1097"/>
        <v>0</v>
      </c>
      <c r="AC3875" s="111">
        <f t="shared" si="1098"/>
        <v>0</v>
      </c>
      <c r="AD3875" s="111">
        <f t="shared" si="1099"/>
        <v>0</v>
      </c>
      <c r="AE3875" s="111">
        <f t="shared" si="1100"/>
        <v>0</v>
      </c>
      <c r="AF3875" s="111">
        <f t="shared" si="1101"/>
        <v>0</v>
      </c>
    </row>
    <row r="3876" spans="2:32">
      <c r="B3876" s="1" t="str">
        <f t="shared" si="1105"/>
        <v>ammunition</v>
      </c>
      <c r="E3876" s="110">
        <f t="shared" si="1076"/>
        <v>0</v>
      </c>
      <c r="F3876" s="110">
        <f t="shared" si="1077"/>
        <v>0</v>
      </c>
      <c r="G3876" s="110">
        <f t="shared" si="1078"/>
        <v>0</v>
      </c>
      <c r="H3876" s="110">
        <f t="shared" si="1079"/>
        <v>0</v>
      </c>
      <c r="I3876" s="110">
        <f t="shared" si="1080"/>
        <v>5000</v>
      </c>
      <c r="J3876" s="110">
        <f t="shared" si="1081"/>
        <v>0</v>
      </c>
      <c r="K3876" s="110">
        <f t="shared" si="1082"/>
        <v>0</v>
      </c>
      <c r="L3876" s="110">
        <f t="shared" si="1083"/>
        <v>0</v>
      </c>
      <c r="M3876" s="110">
        <f t="shared" si="1084"/>
        <v>0</v>
      </c>
      <c r="N3876" s="110">
        <f t="shared" si="1102"/>
        <v>0</v>
      </c>
      <c r="O3876" s="110">
        <f t="shared" si="1103"/>
        <v>0</v>
      </c>
      <c r="P3876" s="110">
        <f t="shared" si="1104"/>
        <v>0</v>
      </c>
      <c r="Q3876" s="1">
        <f t="shared" si="1086"/>
        <v>1125</v>
      </c>
      <c r="R3876" s="1">
        <f t="shared" si="1087"/>
        <v>11250</v>
      </c>
      <c r="S3876" s="1">
        <f t="shared" si="1088"/>
        <v>0</v>
      </c>
      <c r="T3876" s="1">
        <f t="shared" si="1089"/>
        <v>0</v>
      </c>
      <c r="U3876" s="111">
        <f t="shared" si="1090"/>
        <v>0</v>
      </c>
      <c r="V3876" s="111">
        <f t="shared" si="1091"/>
        <v>0</v>
      </c>
      <c r="W3876" s="111">
        <f t="shared" si="1092"/>
        <v>0</v>
      </c>
      <c r="X3876" s="111">
        <f t="shared" si="1093"/>
        <v>0</v>
      </c>
      <c r="Y3876" s="111">
        <f t="shared" si="1094"/>
        <v>0</v>
      </c>
      <c r="Z3876" s="111">
        <f t="shared" si="1095"/>
        <v>0</v>
      </c>
      <c r="AA3876" s="111">
        <f t="shared" si="1096"/>
        <v>0</v>
      </c>
      <c r="AB3876" s="111">
        <f t="shared" si="1097"/>
        <v>0</v>
      </c>
      <c r="AC3876" s="111">
        <f t="shared" si="1098"/>
        <v>0</v>
      </c>
      <c r="AD3876" s="111">
        <f t="shared" si="1099"/>
        <v>0</v>
      </c>
      <c r="AE3876" s="111">
        <f t="shared" si="1100"/>
        <v>0</v>
      </c>
      <c r="AF3876" s="111">
        <f t="shared" si="1101"/>
        <v>0</v>
      </c>
    </row>
    <row r="3877" spans="2:32">
      <c r="B3877" s="1" t="s">
        <v>2110</v>
      </c>
      <c r="E3877" s="110">
        <f t="shared" si="1076"/>
        <v>0</v>
      </c>
      <c r="F3877" s="110">
        <f t="shared" si="1077"/>
        <v>0</v>
      </c>
      <c r="G3877" s="110">
        <f t="shared" si="1078"/>
        <v>0</v>
      </c>
      <c r="H3877" s="110">
        <f t="shared" si="1079"/>
        <v>0</v>
      </c>
      <c r="I3877" s="110">
        <f t="shared" si="1080"/>
        <v>0</v>
      </c>
      <c r="J3877" s="110">
        <f t="shared" si="1081"/>
        <v>0</v>
      </c>
      <c r="K3877" s="110">
        <f t="shared" si="1082"/>
        <v>0</v>
      </c>
      <c r="L3877" s="110">
        <f t="shared" si="1083"/>
        <v>4000000</v>
      </c>
      <c r="M3877" s="110">
        <f t="shared" si="1084"/>
        <v>0</v>
      </c>
      <c r="N3877" s="110">
        <f t="shared" si="1102"/>
        <v>0</v>
      </c>
      <c r="O3877" s="110">
        <f t="shared" si="1103"/>
        <v>0</v>
      </c>
      <c r="P3877" s="110">
        <f t="shared" si="1104"/>
        <v>0</v>
      </c>
      <c r="Q3877" s="1">
        <f t="shared" si="1086"/>
        <v>1200</v>
      </c>
      <c r="R3877" s="1">
        <f t="shared" si="1087"/>
        <v>24000</v>
      </c>
      <c r="S3877" s="1">
        <f t="shared" si="1088"/>
        <v>0</v>
      </c>
      <c r="T3877" s="1">
        <f t="shared" si="1089"/>
        <v>0</v>
      </c>
      <c r="U3877" s="111">
        <f t="shared" si="1090"/>
        <v>0</v>
      </c>
      <c r="V3877" s="111">
        <f t="shared" si="1091"/>
        <v>0</v>
      </c>
      <c r="W3877" s="111">
        <f t="shared" si="1092"/>
        <v>0</v>
      </c>
      <c r="X3877" s="111">
        <f t="shared" si="1093"/>
        <v>0</v>
      </c>
      <c r="Y3877" s="111">
        <f t="shared" si="1094"/>
        <v>0</v>
      </c>
      <c r="Z3877" s="111">
        <f t="shared" si="1095"/>
        <v>0</v>
      </c>
      <c r="AA3877" s="111">
        <f t="shared" si="1096"/>
        <v>0</v>
      </c>
      <c r="AB3877" s="111">
        <f t="shared" si="1097"/>
        <v>0</v>
      </c>
      <c r="AC3877" s="111">
        <f t="shared" si="1098"/>
        <v>0</v>
      </c>
      <c r="AD3877" s="111">
        <f t="shared" si="1099"/>
        <v>0</v>
      </c>
      <c r="AE3877" s="111">
        <f t="shared" si="1100"/>
        <v>0</v>
      </c>
      <c r="AF3877" s="111">
        <f t="shared" si="1101"/>
        <v>0</v>
      </c>
    </row>
    <row r="3878" spans="2:32">
      <c r="B3878" s="1" t="str">
        <f t="shared" ref="B3878:B3881" si="1106">D3834</f>
        <v>metal_5000000_card</v>
      </c>
      <c r="E3878" s="110">
        <f t="shared" si="1076"/>
        <v>25000000</v>
      </c>
      <c r="F3878" s="110">
        <f t="shared" si="1077"/>
        <v>0</v>
      </c>
      <c r="G3878" s="110">
        <f t="shared" si="1078"/>
        <v>0</v>
      </c>
      <c r="H3878" s="110">
        <f t="shared" si="1079"/>
        <v>0</v>
      </c>
      <c r="I3878" s="110">
        <f t="shared" si="1080"/>
        <v>0</v>
      </c>
      <c r="J3878" s="110">
        <f t="shared" si="1081"/>
        <v>0</v>
      </c>
      <c r="K3878" s="110">
        <f t="shared" si="1082"/>
        <v>0</v>
      </c>
      <c r="L3878" s="110">
        <f t="shared" si="1083"/>
        <v>0</v>
      </c>
      <c r="M3878" s="110">
        <f t="shared" si="1084"/>
        <v>0</v>
      </c>
      <c r="N3878" s="110">
        <f t="shared" si="1102"/>
        <v>0</v>
      </c>
      <c r="O3878" s="110">
        <f t="shared" si="1103"/>
        <v>0</v>
      </c>
      <c r="P3878" s="110">
        <f t="shared" si="1104"/>
        <v>0</v>
      </c>
      <c r="Q3878" s="1">
        <f t="shared" si="1086"/>
        <v>1250</v>
      </c>
      <c r="R3878" s="1">
        <f t="shared" si="1087"/>
        <v>6250</v>
      </c>
      <c r="S3878" s="1">
        <f t="shared" si="1088"/>
        <v>0</v>
      </c>
      <c r="T3878" s="1">
        <f t="shared" si="1089"/>
        <v>0</v>
      </c>
      <c r="U3878" s="111">
        <f t="shared" si="1090"/>
        <v>0</v>
      </c>
      <c r="V3878" s="111">
        <f t="shared" si="1091"/>
        <v>0</v>
      </c>
      <c r="W3878" s="111">
        <f t="shared" si="1092"/>
        <v>0</v>
      </c>
      <c r="X3878" s="111">
        <f t="shared" si="1093"/>
        <v>0</v>
      </c>
      <c r="Y3878" s="111">
        <f t="shared" si="1094"/>
        <v>0</v>
      </c>
      <c r="Z3878" s="111">
        <f t="shared" si="1095"/>
        <v>0</v>
      </c>
      <c r="AA3878" s="111">
        <f t="shared" si="1096"/>
        <v>0</v>
      </c>
      <c r="AB3878" s="111">
        <f t="shared" si="1097"/>
        <v>0</v>
      </c>
      <c r="AC3878" s="111">
        <f t="shared" si="1098"/>
        <v>0</v>
      </c>
      <c r="AD3878" s="111">
        <f t="shared" si="1099"/>
        <v>0</v>
      </c>
      <c r="AE3878" s="111">
        <f t="shared" si="1100"/>
        <v>0</v>
      </c>
      <c r="AF3878" s="111">
        <f t="shared" si="1101"/>
        <v>0</v>
      </c>
    </row>
    <row r="3879" spans="2:32">
      <c r="B3879" s="1" t="str">
        <f t="shared" si="1106"/>
        <v>camp_key</v>
      </c>
      <c r="E3879" s="110">
        <f t="shared" si="1076"/>
        <v>0</v>
      </c>
      <c r="F3879" s="110">
        <f t="shared" si="1077"/>
        <v>0</v>
      </c>
      <c r="G3879" s="110">
        <f t="shared" si="1078"/>
        <v>16</v>
      </c>
      <c r="H3879" s="110">
        <f t="shared" si="1079"/>
        <v>0</v>
      </c>
      <c r="I3879" s="110">
        <f t="shared" si="1080"/>
        <v>0</v>
      </c>
      <c r="J3879" s="110">
        <f t="shared" si="1081"/>
        <v>366</v>
      </c>
      <c r="K3879" s="110">
        <f t="shared" si="1082"/>
        <v>0</v>
      </c>
      <c r="L3879" s="110">
        <f t="shared" si="1083"/>
        <v>0</v>
      </c>
      <c r="M3879" s="110">
        <f t="shared" si="1084"/>
        <v>0</v>
      </c>
      <c r="N3879" s="110">
        <f t="shared" si="1102"/>
        <v>0</v>
      </c>
      <c r="O3879" s="110">
        <f t="shared" si="1103"/>
        <v>0</v>
      </c>
      <c r="P3879" s="110">
        <f t="shared" si="1104"/>
        <v>0</v>
      </c>
      <c r="Q3879" s="1">
        <f t="shared" si="1086"/>
        <v>450</v>
      </c>
      <c r="R3879" s="1">
        <f t="shared" si="1087"/>
        <v>9000</v>
      </c>
      <c r="S3879" s="1">
        <f t="shared" si="1088"/>
        <v>0</v>
      </c>
      <c r="T3879" s="1">
        <f t="shared" si="1089"/>
        <v>0</v>
      </c>
      <c r="U3879" s="111">
        <f t="shared" si="1090"/>
        <v>0</v>
      </c>
      <c r="V3879" s="111">
        <f t="shared" si="1091"/>
        <v>0</v>
      </c>
      <c r="W3879" s="111">
        <f t="shared" si="1092"/>
        <v>0</v>
      </c>
      <c r="X3879" s="111">
        <f t="shared" si="1093"/>
        <v>0</v>
      </c>
      <c r="Y3879" s="111">
        <f t="shared" si="1094"/>
        <v>0</v>
      </c>
      <c r="Z3879" s="111">
        <f t="shared" si="1095"/>
        <v>0</v>
      </c>
      <c r="AA3879" s="111">
        <f t="shared" si="1096"/>
        <v>0</v>
      </c>
      <c r="AB3879" s="111">
        <f t="shared" si="1097"/>
        <v>0</v>
      </c>
      <c r="AC3879" s="111">
        <f t="shared" si="1098"/>
        <v>0</v>
      </c>
      <c r="AD3879" s="111">
        <f t="shared" si="1099"/>
        <v>0</v>
      </c>
      <c r="AE3879" s="111">
        <f t="shared" si="1100"/>
        <v>0</v>
      </c>
      <c r="AF3879" s="111">
        <f t="shared" si="1101"/>
        <v>0</v>
      </c>
    </row>
    <row r="3880" spans="2:32">
      <c r="B3880" s="1" t="str">
        <f t="shared" si="1106"/>
        <v>oil_5000000_card</v>
      </c>
      <c r="E3880" s="110">
        <f t="shared" si="1076"/>
        <v>25000000</v>
      </c>
      <c r="F3880" s="110">
        <f t="shared" si="1077"/>
        <v>0</v>
      </c>
      <c r="G3880" s="110">
        <f t="shared" si="1078"/>
        <v>0</v>
      </c>
      <c r="H3880" s="110">
        <f t="shared" si="1079"/>
        <v>0</v>
      </c>
      <c r="I3880" s="110">
        <f t="shared" si="1080"/>
        <v>0</v>
      </c>
      <c r="J3880" s="110">
        <f t="shared" si="1081"/>
        <v>0</v>
      </c>
      <c r="K3880" s="110">
        <f t="shared" si="1082"/>
        <v>0</v>
      </c>
      <c r="L3880" s="110">
        <f t="shared" si="1083"/>
        <v>0</v>
      </c>
      <c r="M3880" s="110">
        <f t="shared" si="1084"/>
        <v>0</v>
      </c>
      <c r="N3880" s="110">
        <f t="shared" si="1102"/>
        <v>0</v>
      </c>
      <c r="O3880" s="110">
        <f t="shared" si="1103"/>
        <v>0</v>
      </c>
      <c r="P3880" s="110">
        <f t="shared" si="1104"/>
        <v>0</v>
      </c>
      <c r="Q3880" s="1">
        <f t="shared" si="1086"/>
        <v>1250</v>
      </c>
      <c r="R3880" s="1">
        <f t="shared" si="1087"/>
        <v>6250</v>
      </c>
      <c r="S3880" s="1">
        <f t="shared" si="1088"/>
        <v>0</v>
      </c>
      <c r="T3880" s="1">
        <f t="shared" si="1089"/>
        <v>0</v>
      </c>
      <c r="U3880" s="111">
        <f t="shared" si="1090"/>
        <v>0</v>
      </c>
      <c r="V3880" s="111">
        <f t="shared" si="1091"/>
        <v>0</v>
      </c>
      <c r="W3880" s="111">
        <f t="shared" si="1092"/>
        <v>0</v>
      </c>
      <c r="X3880" s="111">
        <f t="shared" si="1093"/>
        <v>0</v>
      </c>
      <c r="Y3880" s="111">
        <f t="shared" si="1094"/>
        <v>0</v>
      </c>
      <c r="Z3880" s="111">
        <f t="shared" si="1095"/>
        <v>0</v>
      </c>
      <c r="AA3880" s="111">
        <f t="shared" si="1096"/>
        <v>0</v>
      </c>
      <c r="AB3880" s="111">
        <f t="shared" si="1097"/>
        <v>0</v>
      </c>
      <c r="AC3880" s="111">
        <f t="shared" si="1098"/>
        <v>0</v>
      </c>
      <c r="AD3880" s="111">
        <f t="shared" si="1099"/>
        <v>0</v>
      </c>
      <c r="AE3880" s="111">
        <f t="shared" si="1100"/>
        <v>0</v>
      </c>
      <c r="AF3880" s="111">
        <f t="shared" si="1101"/>
        <v>0</v>
      </c>
    </row>
    <row r="3881" spans="2:32">
      <c r="B3881" s="1" t="str">
        <f t="shared" si="1106"/>
        <v>elements</v>
      </c>
      <c r="E3881" s="110">
        <f t="shared" si="1076"/>
        <v>0</v>
      </c>
      <c r="F3881" s="110">
        <f t="shared" si="1077"/>
        <v>0</v>
      </c>
      <c r="G3881" s="110">
        <f t="shared" si="1078"/>
        <v>0</v>
      </c>
      <c r="H3881" s="110">
        <f t="shared" si="1079"/>
        <v>0</v>
      </c>
      <c r="I3881" s="110">
        <f t="shared" si="1080"/>
        <v>0</v>
      </c>
      <c r="J3881" s="110">
        <f t="shared" si="1081"/>
        <v>3000</v>
      </c>
      <c r="K3881" s="110">
        <f t="shared" si="1082"/>
        <v>0</v>
      </c>
      <c r="L3881" s="110">
        <f t="shared" si="1083"/>
        <v>0</v>
      </c>
      <c r="M3881" s="110">
        <f t="shared" si="1084"/>
        <v>0</v>
      </c>
      <c r="N3881" s="110">
        <f t="shared" si="1102"/>
        <v>0</v>
      </c>
      <c r="O3881" s="110">
        <f t="shared" si="1103"/>
        <v>0</v>
      </c>
      <c r="P3881" s="110">
        <f t="shared" si="1104"/>
        <v>0</v>
      </c>
      <c r="Q3881" s="1">
        <f t="shared" si="1086"/>
        <v>1800</v>
      </c>
      <c r="R3881" s="1">
        <f t="shared" si="1087"/>
        <v>27000</v>
      </c>
      <c r="S3881" s="1">
        <f t="shared" si="1088"/>
        <v>0</v>
      </c>
      <c r="T3881" s="1">
        <f t="shared" si="1089"/>
        <v>0</v>
      </c>
      <c r="U3881" s="111">
        <f t="shared" si="1090"/>
        <v>0</v>
      </c>
      <c r="V3881" s="111">
        <f t="shared" si="1091"/>
        <v>0</v>
      </c>
      <c r="W3881" s="111">
        <f t="shared" si="1092"/>
        <v>0</v>
      </c>
      <c r="X3881" s="111">
        <f t="shared" si="1093"/>
        <v>0</v>
      </c>
      <c r="Y3881" s="111">
        <f t="shared" si="1094"/>
        <v>0</v>
      </c>
      <c r="Z3881" s="111">
        <f t="shared" si="1095"/>
        <v>0</v>
      </c>
      <c r="AA3881" s="111">
        <f t="shared" si="1096"/>
        <v>0</v>
      </c>
      <c r="AB3881" s="111">
        <f t="shared" si="1097"/>
        <v>0</v>
      </c>
      <c r="AC3881" s="111">
        <f t="shared" si="1098"/>
        <v>0</v>
      </c>
      <c r="AD3881" s="111">
        <f t="shared" si="1099"/>
        <v>0</v>
      </c>
      <c r="AE3881" s="111">
        <f t="shared" si="1100"/>
        <v>0</v>
      </c>
      <c r="AF3881" s="111">
        <f t="shared" si="1101"/>
        <v>0</v>
      </c>
    </row>
    <row r="3882" spans="2:32">
      <c r="B3882" s="1" t="s">
        <v>1630</v>
      </c>
      <c r="E3882" s="110">
        <f t="shared" si="1076"/>
        <v>0</v>
      </c>
      <c r="F3882" s="110">
        <f t="shared" si="1077"/>
        <v>0</v>
      </c>
      <c r="G3882" s="110">
        <f t="shared" si="1078"/>
        <v>0</v>
      </c>
      <c r="H3882" s="110">
        <f t="shared" si="1079"/>
        <v>0</v>
      </c>
      <c r="I3882" s="110">
        <f t="shared" si="1080"/>
        <v>0</v>
      </c>
      <c r="J3882" s="110">
        <f t="shared" si="1081"/>
        <v>0</v>
      </c>
      <c r="K3882" s="110">
        <f t="shared" si="1082"/>
        <v>0</v>
      </c>
      <c r="L3882" s="110">
        <f t="shared" si="1083"/>
        <v>0</v>
      </c>
      <c r="M3882" s="110">
        <f t="shared" si="1084"/>
        <v>20</v>
      </c>
      <c r="N3882" s="110">
        <f t="shared" si="1102"/>
        <v>0</v>
      </c>
      <c r="O3882" s="110">
        <f t="shared" si="1103"/>
        <v>0</v>
      </c>
      <c r="P3882" s="110">
        <f t="shared" si="1104"/>
        <v>0</v>
      </c>
      <c r="Q3882" s="1">
        <f t="shared" si="1086"/>
        <v>3200</v>
      </c>
      <c r="R3882" s="1">
        <f t="shared" si="1087"/>
        <v>64000</v>
      </c>
      <c r="S3882" s="1">
        <f t="shared" si="1088"/>
        <v>0</v>
      </c>
      <c r="T3882" s="1">
        <f t="shared" si="1089"/>
        <v>0</v>
      </c>
      <c r="U3882" s="111">
        <f t="shared" si="1090"/>
        <v>0</v>
      </c>
      <c r="V3882" s="111">
        <f t="shared" si="1091"/>
        <v>0</v>
      </c>
      <c r="W3882" s="111">
        <f t="shared" si="1092"/>
        <v>0</v>
      </c>
      <c r="X3882" s="111">
        <f t="shared" si="1093"/>
        <v>0</v>
      </c>
      <c r="Y3882" s="111">
        <f t="shared" si="1094"/>
        <v>0</v>
      </c>
      <c r="Z3882" s="111">
        <f t="shared" si="1095"/>
        <v>0</v>
      </c>
      <c r="AA3882" s="111">
        <f t="shared" si="1096"/>
        <v>0</v>
      </c>
      <c r="AB3882" s="111">
        <f t="shared" si="1097"/>
        <v>0</v>
      </c>
      <c r="AC3882" s="111">
        <f t="shared" si="1098"/>
        <v>0</v>
      </c>
      <c r="AD3882" s="111">
        <f t="shared" si="1099"/>
        <v>0</v>
      </c>
      <c r="AE3882" s="111">
        <f t="shared" si="1100"/>
        <v>0</v>
      </c>
      <c r="AF3882" s="111">
        <f t="shared" si="1101"/>
        <v>0</v>
      </c>
    </row>
    <row r="3883" spans="2:32">
      <c r="B3883" s="1" t="str">
        <f t="shared" ref="B3883:B3886" si="1107">D3839</f>
        <v>gold_5000000_card</v>
      </c>
      <c r="E3883" s="110">
        <f t="shared" si="1076"/>
        <v>25000000</v>
      </c>
      <c r="F3883" s="110">
        <f t="shared" si="1077"/>
        <v>0</v>
      </c>
      <c r="G3883" s="110">
        <f t="shared" si="1078"/>
        <v>0</v>
      </c>
      <c r="H3883" s="110">
        <f t="shared" si="1079"/>
        <v>0</v>
      </c>
      <c r="I3883" s="110">
        <f t="shared" si="1080"/>
        <v>0</v>
      </c>
      <c r="J3883" s="110">
        <f t="shared" si="1081"/>
        <v>0</v>
      </c>
      <c r="K3883" s="110">
        <f t="shared" si="1082"/>
        <v>0</v>
      </c>
      <c r="L3883" s="110">
        <f t="shared" si="1083"/>
        <v>0</v>
      </c>
      <c r="M3883" s="110">
        <f t="shared" si="1084"/>
        <v>0</v>
      </c>
      <c r="N3883" s="110">
        <f t="shared" si="1102"/>
        <v>0</v>
      </c>
      <c r="O3883" s="110">
        <f t="shared" si="1103"/>
        <v>0</v>
      </c>
      <c r="P3883" s="110">
        <f t="shared" si="1104"/>
        <v>0</v>
      </c>
      <c r="Q3883" s="1">
        <f t="shared" si="1086"/>
        <v>1250</v>
      </c>
      <c r="R3883" s="1">
        <f t="shared" si="1087"/>
        <v>6250</v>
      </c>
      <c r="S3883" s="1">
        <f t="shared" si="1088"/>
        <v>0</v>
      </c>
      <c r="T3883" s="1">
        <f t="shared" si="1089"/>
        <v>0</v>
      </c>
      <c r="U3883" s="111">
        <f t="shared" si="1090"/>
        <v>0</v>
      </c>
      <c r="V3883" s="111">
        <f t="shared" si="1091"/>
        <v>0</v>
      </c>
      <c r="W3883" s="111">
        <f t="shared" si="1092"/>
        <v>0</v>
      </c>
      <c r="X3883" s="111">
        <f t="shared" si="1093"/>
        <v>0</v>
      </c>
      <c r="Y3883" s="111">
        <f t="shared" si="1094"/>
        <v>0</v>
      </c>
      <c r="Z3883" s="111">
        <f t="shared" si="1095"/>
        <v>0</v>
      </c>
      <c r="AA3883" s="111">
        <f t="shared" si="1096"/>
        <v>0</v>
      </c>
      <c r="AB3883" s="111">
        <f t="shared" si="1097"/>
        <v>0</v>
      </c>
      <c r="AC3883" s="111">
        <f t="shared" si="1098"/>
        <v>0</v>
      </c>
      <c r="AD3883" s="111">
        <f t="shared" si="1099"/>
        <v>0</v>
      </c>
      <c r="AE3883" s="111">
        <f t="shared" si="1100"/>
        <v>0</v>
      </c>
      <c r="AF3883" s="111">
        <f t="shared" si="1101"/>
        <v>0</v>
      </c>
    </row>
    <row r="3884" spans="2:32">
      <c r="B3884" s="1" t="str">
        <f t="shared" si="1107"/>
        <v>chest_select_replacement_golden</v>
      </c>
      <c r="E3884" s="110">
        <f t="shared" si="1076"/>
        <v>0</v>
      </c>
      <c r="F3884" s="110">
        <f t="shared" si="1077"/>
        <v>0</v>
      </c>
      <c r="G3884" s="110">
        <f t="shared" si="1078"/>
        <v>0</v>
      </c>
      <c r="H3884" s="110">
        <f t="shared" si="1079"/>
        <v>0</v>
      </c>
      <c r="I3884" s="110">
        <f t="shared" si="1080"/>
        <v>0</v>
      </c>
      <c r="J3884" s="110">
        <f t="shared" si="1081"/>
        <v>0</v>
      </c>
      <c r="K3884" s="110">
        <f t="shared" si="1082"/>
        <v>10000</v>
      </c>
      <c r="L3884" s="110">
        <f t="shared" si="1083"/>
        <v>0</v>
      </c>
      <c r="M3884" s="110">
        <f t="shared" si="1084"/>
        <v>0</v>
      </c>
      <c r="N3884" s="110">
        <f t="shared" si="1102"/>
        <v>0</v>
      </c>
      <c r="O3884" s="110">
        <f t="shared" si="1103"/>
        <v>0</v>
      </c>
      <c r="P3884" s="110">
        <f t="shared" si="1104"/>
        <v>0</v>
      </c>
      <c r="Q3884" s="1">
        <f t="shared" si="1086"/>
        <v>17500</v>
      </c>
      <c r="R3884" s="1">
        <f t="shared" si="1087"/>
        <v>17500</v>
      </c>
      <c r="S3884" s="1">
        <f t="shared" si="1088"/>
        <v>0</v>
      </c>
      <c r="T3884" s="1">
        <f t="shared" si="1089"/>
        <v>0</v>
      </c>
      <c r="U3884" s="111">
        <f t="shared" si="1090"/>
        <v>0</v>
      </c>
      <c r="V3884" s="111">
        <f t="shared" si="1091"/>
        <v>0</v>
      </c>
      <c r="W3884" s="111">
        <f t="shared" si="1092"/>
        <v>0</v>
      </c>
      <c r="X3884" s="111">
        <f t="shared" si="1093"/>
        <v>0</v>
      </c>
      <c r="Y3884" s="111">
        <f t="shared" si="1094"/>
        <v>0</v>
      </c>
      <c r="Z3884" s="111">
        <f t="shared" si="1095"/>
        <v>0</v>
      </c>
      <c r="AA3884" s="111">
        <f t="shared" si="1096"/>
        <v>0</v>
      </c>
      <c r="AB3884" s="111">
        <f t="shared" si="1097"/>
        <v>0</v>
      </c>
      <c r="AC3884" s="111">
        <f t="shared" si="1098"/>
        <v>0</v>
      </c>
      <c r="AD3884" s="111">
        <f t="shared" si="1099"/>
        <v>0</v>
      </c>
      <c r="AE3884" s="111">
        <f t="shared" si="1100"/>
        <v>0</v>
      </c>
      <c r="AF3884" s="111">
        <f t="shared" si="1101"/>
        <v>0</v>
      </c>
    </row>
    <row r="3885" spans="2:32">
      <c r="B3885" s="1" t="str">
        <f t="shared" si="1107"/>
        <v>rush_common_24h</v>
      </c>
      <c r="E3885" s="110">
        <f t="shared" si="1076"/>
        <v>0</v>
      </c>
      <c r="F3885" s="110">
        <f t="shared" si="1077"/>
        <v>14400</v>
      </c>
      <c r="G3885" s="110">
        <f t="shared" si="1078"/>
        <v>0</v>
      </c>
      <c r="H3885" s="110">
        <f t="shared" si="1079"/>
        <v>0</v>
      </c>
      <c r="I3885" s="110">
        <f t="shared" si="1080"/>
        <v>0</v>
      </c>
      <c r="J3885" s="110">
        <f t="shared" si="1081"/>
        <v>0</v>
      </c>
      <c r="K3885" s="110">
        <f t="shared" si="1082"/>
        <v>0</v>
      </c>
      <c r="L3885" s="110">
        <f t="shared" si="1083"/>
        <v>0</v>
      </c>
      <c r="M3885" s="110">
        <f t="shared" si="1084"/>
        <v>0</v>
      </c>
      <c r="N3885" s="110">
        <f t="shared" si="1102"/>
        <v>0</v>
      </c>
      <c r="O3885" s="110">
        <f t="shared" si="1103"/>
        <v>0</v>
      </c>
      <c r="P3885" s="110">
        <f t="shared" si="1104"/>
        <v>0</v>
      </c>
      <c r="Q3885" s="1">
        <f t="shared" si="1086"/>
        <v>1080</v>
      </c>
      <c r="R3885" s="1">
        <f t="shared" si="1087"/>
        <v>10800</v>
      </c>
      <c r="S3885" s="1">
        <f t="shared" si="1088"/>
        <v>0</v>
      </c>
      <c r="T3885" s="1">
        <f t="shared" si="1089"/>
        <v>0</v>
      </c>
      <c r="U3885" s="111">
        <f t="shared" si="1090"/>
        <v>0</v>
      </c>
      <c r="V3885" s="111">
        <f t="shared" si="1091"/>
        <v>0</v>
      </c>
      <c r="W3885" s="111">
        <f t="shared" si="1092"/>
        <v>0</v>
      </c>
      <c r="X3885" s="111">
        <f t="shared" si="1093"/>
        <v>0</v>
      </c>
      <c r="Y3885" s="111">
        <f t="shared" si="1094"/>
        <v>0</v>
      </c>
      <c r="Z3885" s="111">
        <f t="shared" si="1095"/>
        <v>0</v>
      </c>
      <c r="AA3885" s="111">
        <f t="shared" si="1096"/>
        <v>0</v>
      </c>
      <c r="AB3885" s="111">
        <f t="shared" si="1097"/>
        <v>0</v>
      </c>
      <c r="AC3885" s="111">
        <f t="shared" si="1098"/>
        <v>0</v>
      </c>
      <c r="AD3885" s="111">
        <f t="shared" si="1099"/>
        <v>0</v>
      </c>
      <c r="AE3885" s="111">
        <f t="shared" si="1100"/>
        <v>0</v>
      </c>
      <c r="AF3885" s="111">
        <f t="shared" si="1101"/>
        <v>0</v>
      </c>
    </row>
    <row r="3886" spans="2:32">
      <c r="B3886" s="1" t="str">
        <f t="shared" si="1107"/>
        <v>fragment_star05</v>
      </c>
      <c r="E3886" s="110">
        <f t="shared" si="1076"/>
        <v>0</v>
      </c>
      <c r="F3886" s="110">
        <f t="shared" si="1077"/>
        <v>0</v>
      </c>
      <c r="G3886" s="110">
        <f t="shared" si="1078"/>
        <v>36</v>
      </c>
      <c r="H3886" s="110">
        <f t="shared" si="1079"/>
        <v>0</v>
      </c>
      <c r="I3886" s="110">
        <f t="shared" si="1080"/>
        <v>0</v>
      </c>
      <c r="J3886" s="110">
        <f t="shared" si="1081"/>
        <v>0</v>
      </c>
      <c r="K3886" s="110">
        <f t="shared" si="1082"/>
        <v>0</v>
      </c>
      <c r="L3886" s="110">
        <f t="shared" si="1083"/>
        <v>0</v>
      </c>
      <c r="M3886" s="110">
        <f t="shared" si="1084"/>
        <v>0</v>
      </c>
      <c r="N3886" s="110">
        <f t="shared" si="1102"/>
        <v>0</v>
      </c>
      <c r="O3886" s="110">
        <f t="shared" si="1103"/>
        <v>0</v>
      </c>
      <c r="P3886" s="110">
        <f t="shared" si="1104"/>
        <v>0</v>
      </c>
      <c r="Q3886" s="1">
        <f t="shared" si="1086"/>
        <v>648</v>
      </c>
      <c r="R3886" s="1">
        <f t="shared" si="1087"/>
        <v>12960</v>
      </c>
      <c r="S3886" s="1">
        <f t="shared" si="1088"/>
        <v>0</v>
      </c>
      <c r="T3886" s="1">
        <f t="shared" si="1089"/>
        <v>0</v>
      </c>
      <c r="U3886" s="111">
        <f t="shared" si="1090"/>
        <v>0</v>
      </c>
      <c r="V3886" s="111">
        <f t="shared" si="1091"/>
        <v>0</v>
      </c>
      <c r="W3886" s="111">
        <f t="shared" si="1092"/>
        <v>0</v>
      </c>
      <c r="X3886" s="111">
        <f t="shared" si="1093"/>
        <v>0</v>
      </c>
      <c r="Y3886" s="111">
        <f t="shared" si="1094"/>
        <v>0</v>
      </c>
      <c r="Z3886" s="111">
        <f t="shared" si="1095"/>
        <v>0</v>
      </c>
      <c r="AA3886" s="111">
        <f t="shared" si="1096"/>
        <v>0</v>
      </c>
      <c r="AB3886" s="111">
        <f t="shared" si="1097"/>
        <v>0</v>
      </c>
      <c r="AC3886" s="111">
        <f t="shared" si="1098"/>
        <v>0</v>
      </c>
      <c r="AD3886" s="111">
        <f t="shared" si="1099"/>
        <v>0</v>
      </c>
      <c r="AE3886" s="111">
        <f t="shared" si="1100"/>
        <v>0</v>
      </c>
      <c r="AF3886" s="111">
        <f t="shared" si="1101"/>
        <v>0</v>
      </c>
    </row>
    <row r="3887" spans="2:32">
      <c r="B3887" s="1" t="s">
        <v>2135</v>
      </c>
      <c r="E3887" s="110">
        <f t="shared" ref="E3887:F3887" si="1108">I3843*$AG3843</f>
        <v>0</v>
      </c>
      <c r="F3887" s="110">
        <f t="shared" si="1108"/>
        <v>0</v>
      </c>
      <c r="G3887" s="110">
        <f t="shared" si="1078"/>
        <v>0</v>
      </c>
      <c r="H3887" s="110">
        <f t="shared" ref="H3887:I3887" si="1109">L3843*$AG3843</f>
        <v>0</v>
      </c>
      <c r="I3887" s="110">
        <f t="shared" si="1109"/>
        <v>0</v>
      </c>
      <c r="J3887" s="110">
        <f t="shared" si="1081"/>
        <v>0</v>
      </c>
      <c r="K3887" s="110">
        <f t="shared" ref="K3887:M3887" si="1110">O3843*$AG3843</f>
        <v>0</v>
      </c>
      <c r="L3887" s="110">
        <f t="shared" si="1110"/>
        <v>0</v>
      </c>
      <c r="M3887" s="110">
        <f t="shared" si="1110"/>
        <v>0</v>
      </c>
      <c r="N3887" s="110">
        <f t="shared" si="1102"/>
        <v>1000000</v>
      </c>
      <c r="O3887" s="110">
        <f t="shared" si="1103"/>
        <v>0</v>
      </c>
      <c r="P3887" s="110">
        <f t="shared" si="1104"/>
        <v>0</v>
      </c>
      <c r="Q3887" s="1">
        <f t="shared" ref="Q3887:Q3894" si="1111">IF(AB3843="l_coin",AF3843,0)</f>
        <v>60</v>
      </c>
      <c r="R3887" s="1">
        <f t="shared" ref="R3887:R3894" si="1112">Q3887*AG3843</f>
        <v>6000</v>
      </c>
      <c r="S3887" s="1">
        <f t="shared" ref="S3887:S3894" si="1113">IF(AB3843="l_coin",0,AF3843)</f>
        <v>0</v>
      </c>
      <c r="T3887" s="1">
        <f t="shared" ref="T3887:T3894" si="1114">S3887*AG3843</f>
        <v>0</v>
      </c>
      <c r="U3887" s="111">
        <f t="shared" ref="U3887:AC3887" si="1115">IF($AC3843=TRUE,E3887,0)/$E$3746</f>
        <v>0</v>
      </c>
      <c r="V3887" s="111">
        <f t="shared" si="1115"/>
        <v>0</v>
      </c>
      <c r="W3887" s="111">
        <f t="shared" si="1115"/>
        <v>0</v>
      </c>
      <c r="X3887" s="111">
        <f t="shared" si="1115"/>
        <v>0</v>
      </c>
      <c r="Y3887" s="111">
        <f t="shared" si="1115"/>
        <v>0</v>
      </c>
      <c r="Z3887" s="111">
        <f t="shared" si="1115"/>
        <v>0</v>
      </c>
      <c r="AA3887" s="111">
        <f t="shared" si="1115"/>
        <v>0</v>
      </c>
      <c r="AB3887" s="111">
        <f t="shared" si="1115"/>
        <v>0</v>
      </c>
      <c r="AC3887" s="111">
        <f t="shared" si="1115"/>
        <v>0</v>
      </c>
      <c r="AD3887" s="111">
        <f t="shared" ref="AD3887:AD3894" si="1116">IF($AC3843=TRUE,N3887,0)/$E$3746</f>
        <v>0</v>
      </c>
      <c r="AE3887" s="111">
        <f t="shared" ref="AE3887:AE3894" si="1117">IF($AC3843=TRUE,O3887,0)/$E$3746</f>
        <v>0</v>
      </c>
      <c r="AF3887" s="111">
        <f t="shared" ref="AF3887:AF3894" si="1118">IF($AC3843=TRUE,P3887,0)/$E$3746</f>
        <v>0</v>
      </c>
    </row>
    <row r="3888" spans="2:32">
      <c r="B3888" s="1" t="s">
        <v>2136</v>
      </c>
      <c r="E3888" s="110">
        <f t="shared" ref="E3888:F3888" si="1119">I3844*$AG3844</f>
        <v>0</v>
      </c>
      <c r="F3888" s="110">
        <f t="shared" si="1119"/>
        <v>0</v>
      </c>
      <c r="G3888" s="110">
        <f t="shared" si="1078"/>
        <v>0</v>
      </c>
      <c r="H3888" s="110">
        <f t="shared" ref="H3888:I3888" si="1120">L3844*$AG3844</f>
        <v>0</v>
      </c>
      <c r="I3888" s="110">
        <f t="shared" si="1120"/>
        <v>0</v>
      </c>
      <c r="J3888" s="110">
        <f t="shared" si="1081"/>
        <v>0</v>
      </c>
      <c r="K3888" s="110">
        <f t="shared" ref="K3888:M3888" si="1121">O3844*$AG3844</f>
        <v>0</v>
      </c>
      <c r="L3888" s="110">
        <f t="shared" si="1121"/>
        <v>0</v>
      </c>
      <c r="M3888" s="110">
        <f t="shared" si="1121"/>
        <v>0</v>
      </c>
      <c r="N3888" s="110">
        <f t="shared" si="1102"/>
        <v>0</v>
      </c>
      <c r="O3888" s="110">
        <f t="shared" si="1103"/>
        <v>500</v>
      </c>
      <c r="P3888" s="110">
        <f t="shared" si="1104"/>
        <v>0</v>
      </c>
      <c r="Q3888" s="1">
        <f t="shared" si="1111"/>
        <v>0</v>
      </c>
      <c r="R3888" s="1">
        <f t="shared" si="1112"/>
        <v>0</v>
      </c>
      <c r="S3888" s="1">
        <f t="shared" si="1113"/>
        <v>450000</v>
      </c>
      <c r="T3888" s="1">
        <f t="shared" si="1114"/>
        <v>4500000</v>
      </c>
      <c r="U3888" s="111">
        <f t="shared" ref="U3888:AC3888" si="1122">IF($AC3844=TRUE,E3888,0)/$E$3746</f>
        <v>0</v>
      </c>
      <c r="V3888" s="111">
        <f t="shared" si="1122"/>
        <v>0</v>
      </c>
      <c r="W3888" s="111">
        <f t="shared" si="1122"/>
        <v>0</v>
      </c>
      <c r="X3888" s="111">
        <f t="shared" si="1122"/>
        <v>0</v>
      </c>
      <c r="Y3888" s="111">
        <f t="shared" si="1122"/>
        <v>0</v>
      </c>
      <c r="Z3888" s="111">
        <f t="shared" si="1122"/>
        <v>0</v>
      </c>
      <c r="AA3888" s="111">
        <f t="shared" si="1122"/>
        <v>0</v>
      </c>
      <c r="AB3888" s="111">
        <f t="shared" si="1122"/>
        <v>0</v>
      </c>
      <c r="AC3888" s="111">
        <f t="shared" si="1122"/>
        <v>0</v>
      </c>
      <c r="AD3888" s="111">
        <f t="shared" si="1116"/>
        <v>0</v>
      </c>
      <c r="AE3888" s="111">
        <f t="shared" si="1117"/>
        <v>71.4285714285714</v>
      </c>
      <c r="AF3888" s="111">
        <f t="shared" si="1118"/>
        <v>0</v>
      </c>
    </row>
    <row r="3889" spans="2:32">
      <c r="B3889" s="1" t="s">
        <v>2137</v>
      </c>
      <c r="E3889" s="110">
        <f t="shared" ref="E3889:F3889" si="1123">I3845*$AG3845</f>
        <v>0</v>
      </c>
      <c r="F3889" s="110">
        <f t="shared" si="1123"/>
        <v>0</v>
      </c>
      <c r="G3889" s="110">
        <f t="shared" si="1078"/>
        <v>0</v>
      </c>
      <c r="H3889" s="110">
        <f t="shared" ref="H3889:I3889" si="1124">L3845*$AG3845</f>
        <v>0</v>
      </c>
      <c r="I3889" s="110">
        <f t="shared" si="1124"/>
        <v>0</v>
      </c>
      <c r="J3889" s="110">
        <f t="shared" si="1081"/>
        <v>0</v>
      </c>
      <c r="K3889" s="110">
        <f t="shared" ref="K3889:M3889" si="1125">O3845*$AG3845</f>
        <v>0</v>
      </c>
      <c r="L3889" s="110">
        <f t="shared" si="1125"/>
        <v>0</v>
      </c>
      <c r="M3889" s="110">
        <f t="shared" si="1125"/>
        <v>0</v>
      </c>
      <c r="N3889" s="110">
        <f t="shared" si="1102"/>
        <v>0</v>
      </c>
      <c r="O3889" s="110">
        <f t="shared" si="1103"/>
        <v>0</v>
      </c>
      <c r="P3889" s="110">
        <f t="shared" si="1104"/>
        <v>450</v>
      </c>
      <c r="Q3889" s="1">
        <f t="shared" si="1111"/>
        <v>135</v>
      </c>
      <c r="R3889" s="1">
        <f t="shared" si="1112"/>
        <v>4050</v>
      </c>
      <c r="S3889" s="1">
        <f t="shared" si="1113"/>
        <v>0</v>
      </c>
      <c r="T3889" s="1">
        <f t="shared" si="1114"/>
        <v>0</v>
      </c>
      <c r="U3889" s="111">
        <f t="shared" ref="U3889:AC3889" si="1126">IF($AC3845=TRUE,E3889,0)/$E$3746</f>
        <v>0</v>
      </c>
      <c r="V3889" s="111">
        <f t="shared" si="1126"/>
        <v>0</v>
      </c>
      <c r="W3889" s="111">
        <f t="shared" si="1126"/>
        <v>0</v>
      </c>
      <c r="X3889" s="111">
        <f t="shared" si="1126"/>
        <v>0</v>
      </c>
      <c r="Y3889" s="111">
        <f t="shared" si="1126"/>
        <v>0</v>
      </c>
      <c r="Z3889" s="111">
        <f t="shared" si="1126"/>
        <v>0</v>
      </c>
      <c r="AA3889" s="111">
        <f t="shared" si="1126"/>
        <v>0</v>
      </c>
      <c r="AB3889" s="111">
        <f t="shared" si="1126"/>
        <v>0</v>
      </c>
      <c r="AC3889" s="111">
        <f t="shared" si="1126"/>
        <v>0</v>
      </c>
      <c r="AD3889" s="111">
        <f t="shared" si="1116"/>
        <v>0</v>
      </c>
      <c r="AE3889" s="111">
        <f t="shared" si="1117"/>
        <v>0</v>
      </c>
      <c r="AF3889" s="111">
        <f t="shared" si="1118"/>
        <v>64.2857142857143</v>
      </c>
    </row>
    <row r="3890" spans="2:32">
      <c r="B3890" s="1" t="s">
        <v>2138</v>
      </c>
      <c r="E3890" s="110">
        <f t="shared" ref="E3890:F3890" si="1127">I3846*$AG3846</f>
        <v>0</v>
      </c>
      <c r="F3890" s="110">
        <f t="shared" si="1127"/>
        <v>0</v>
      </c>
      <c r="G3890" s="110">
        <f t="shared" si="1078"/>
        <v>0</v>
      </c>
      <c r="H3890" s="110">
        <f t="shared" ref="H3890:I3890" si="1128">L3846*$AG3846</f>
        <v>0</v>
      </c>
      <c r="I3890" s="110">
        <f t="shared" si="1128"/>
        <v>0</v>
      </c>
      <c r="J3890" s="110">
        <f t="shared" si="1081"/>
        <v>0</v>
      </c>
      <c r="K3890" s="110">
        <f t="shared" ref="K3890:M3890" si="1129">O3846*$AG3846</f>
        <v>0</v>
      </c>
      <c r="L3890" s="110">
        <f t="shared" si="1129"/>
        <v>0</v>
      </c>
      <c r="M3890" s="110">
        <f t="shared" si="1129"/>
        <v>0</v>
      </c>
      <c r="N3890" s="110">
        <f t="shared" si="1102"/>
        <v>2500000</v>
      </c>
      <c r="O3890" s="110">
        <f t="shared" si="1103"/>
        <v>0</v>
      </c>
      <c r="P3890" s="110">
        <f t="shared" si="1104"/>
        <v>0</v>
      </c>
      <c r="Q3890" s="1">
        <f t="shared" si="1111"/>
        <v>240</v>
      </c>
      <c r="R3890" s="1">
        <f t="shared" si="1112"/>
        <v>12000</v>
      </c>
      <c r="S3890" s="1">
        <f t="shared" si="1113"/>
        <v>0</v>
      </c>
      <c r="T3890" s="1">
        <f t="shared" si="1114"/>
        <v>0</v>
      </c>
      <c r="U3890" s="111">
        <f t="shared" ref="U3890:AC3890" si="1130">IF($AC3846=TRUE,E3890,0)/$E$3746</f>
        <v>0</v>
      </c>
      <c r="V3890" s="111">
        <f t="shared" si="1130"/>
        <v>0</v>
      </c>
      <c r="W3890" s="111">
        <f t="shared" si="1130"/>
        <v>0</v>
      </c>
      <c r="X3890" s="111">
        <f t="shared" si="1130"/>
        <v>0</v>
      </c>
      <c r="Y3890" s="111">
        <f t="shared" si="1130"/>
        <v>0</v>
      </c>
      <c r="Z3890" s="111">
        <f t="shared" si="1130"/>
        <v>0</v>
      </c>
      <c r="AA3890" s="111">
        <f t="shared" si="1130"/>
        <v>0</v>
      </c>
      <c r="AB3890" s="111">
        <f t="shared" si="1130"/>
        <v>0</v>
      </c>
      <c r="AC3890" s="111">
        <f t="shared" si="1130"/>
        <v>0</v>
      </c>
      <c r="AD3890" s="111">
        <f t="shared" si="1116"/>
        <v>0</v>
      </c>
      <c r="AE3890" s="111">
        <f t="shared" si="1117"/>
        <v>0</v>
      </c>
      <c r="AF3890" s="111">
        <f t="shared" si="1118"/>
        <v>0</v>
      </c>
    </row>
    <row r="3891" spans="2:32">
      <c r="B3891" s="1" t="s">
        <v>2139</v>
      </c>
      <c r="E3891" s="110">
        <f t="shared" ref="E3891:F3891" si="1131">I3847*$AG3847</f>
        <v>0</v>
      </c>
      <c r="F3891" s="110">
        <f t="shared" si="1131"/>
        <v>0</v>
      </c>
      <c r="G3891" s="110">
        <f t="shared" si="1078"/>
        <v>0</v>
      </c>
      <c r="H3891" s="110">
        <f t="shared" ref="H3891:I3891" si="1132">L3847*$AG3847</f>
        <v>0</v>
      </c>
      <c r="I3891" s="110">
        <f t="shared" si="1132"/>
        <v>0</v>
      </c>
      <c r="J3891" s="110">
        <f t="shared" si="1081"/>
        <v>0</v>
      </c>
      <c r="K3891" s="110">
        <f t="shared" ref="K3891:M3891" si="1133">O3847*$AG3847</f>
        <v>0</v>
      </c>
      <c r="L3891" s="110">
        <f t="shared" si="1133"/>
        <v>0</v>
      </c>
      <c r="M3891" s="110">
        <f t="shared" si="1133"/>
        <v>0</v>
      </c>
      <c r="N3891" s="110">
        <f t="shared" si="1102"/>
        <v>0</v>
      </c>
      <c r="O3891" s="110">
        <f t="shared" si="1103"/>
        <v>2500</v>
      </c>
      <c r="P3891" s="110">
        <f t="shared" si="1104"/>
        <v>0</v>
      </c>
      <c r="Q3891" s="1">
        <f t="shared" si="1111"/>
        <v>1575</v>
      </c>
      <c r="R3891" s="1">
        <f t="shared" si="1112"/>
        <v>15750</v>
      </c>
      <c r="S3891" s="1">
        <f t="shared" si="1113"/>
        <v>0</v>
      </c>
      <c r="T3891" s="1">
        <f t="shared" si="1114"/>
        <v>0</v>
      </c>
      <c r="U3891" s="111">
        <f t="shared" ref="U3891:AC3891" si="1134">IF($AC3847=TRUE,E3891,0)/$E$3746</f>
        <v>0</v>
      </c>
      <c r="V3891" s="111">
        <f t="shared" si="1134"/>
        <v>0</v>
      </c>
      <c r="W3891" s="111">
        <f t="shared" si="1134"/>
        <v>0</v>
      </c>
      <c r="X3891" s="111">
        <f t="shared" si="1134"/>
        <v>0</v>
      </c>
      <c r="Y3891" s="111">
        <f t="shared" si="1134"/>
        <v>0</v>
      </c>
      <c r="Z3891" s="111">
        <f t="shared" si="1134"/>
        <v>0</v>
      </c>
      <c r="AA3891" s="111">
        <f t="shared" si="1134"/>
        <v>0</v>
      </c>
      <c r="AB3891" s="111">
        <f t="shared" si="1134"/>
        <v>0</v>
      </c>
      <c r="AC3891" s="111">
        <f t="shared" si="1134"/>
        <v>0</v>
      </c>
      <c r="AD3891" s="111">
        <f t="shared" si="1116"/>
        <v>0</v>
      </c>
      <c r="AE3891" s="111">
        <f t="shared" si="1117"/>
        <v>0</v>
      </c>
      <c r="AF3891" s="111">
        <f t="shared" si="1118"/>
        <v>0</v>
      </c>
    </row>
    <row r="3892" spans="2:32">
      <c r="B3892" s="1" t="s">
        <v>2140</v>
      </c>
      <c r="E3892" s="110">
        <f t="shared" ref="E3892:F3892" si="1135">I3848*$AG3848</f>
        <v>0</v>
      </c>
      <c r="F3892" s="110">
        <f t="shared" si="1135"/>
        <v>0</v>
      </c>
      <c r="G3892" s="110">
        <f t="shared" si="1078"/>
        <v>0</v>
      </c>
      <c r="H3892" s="110">
        <f t="shared" ref="H3892:I3892" si="1136">L3848*$AG3848</f>
        <v>0</v>
      </c>
      <c r="I3892" s="110">
        <f t="shared" si="1136"/>
        <v>0</v>
      </c>
      <c r="J3892" s="110">
        <f t="shared" si="1081"/>
        <v>0</v>
      </c>
      <c r="K3892" s="110">
        <f t="shared" ref="K3892:M3892" si="1137">O3848*$AG3848</f>
        <v>0</v>
      </c>
      <c r="L3892" s="110">
        <f t="shared" si="1137"/>
        <v>0</v>
      </c>
      <c r="M3892" s="110">
        <f t="shared" si="1137"/>
        <v>0</v>
      </c>
      <c r="N3892" s="110">
        <f t="shared" si="1102"/>
        <v>0</v>
      </c>
      <c r="O3892" s="110">
        <f t="shared" si="1103"/>
        <v>0</v>
      </c>
      <c r="P3892" s="110">
        <f t="shared" si="1104"/>
        <v>2250</v>
      </c>
      <c r="Q3892" s="1">
        <f t="shared" si="1111"/>
        <v>2700</v>
      </c>
      <c r="R3892" s="1">
        <f t="shared" si="1112"/>
        <v>40500</v>
      </c>
      <c r="S3892" s="1">
        <f t="shared" si="1113"/>
        <v>0</v>
      </c>
      <c r="T3892" s="1">
        <f t="shared" si="1114"/>
        <v>0</v>
      </c>
      <c r="U3892" s="111">
        <f t="shared" ref="U3892:AC3892" si="1138">IF($AC3848=TRUE,E3892,0)/$E$3746</f>
        <v>0</v>
      </c>
      <c r="V3892" s="111">
        <f t="shared" si="1138"/>
        <v>0</v>
      </c>
      <c r="W3892" s="111">
        <f t="shared" si="1138"/>
        <v>0</v>
      </c>
      <c r="X3892" s="111">
        <f t="shared" si="1138"/>
        <v>0</v>
      </c>
      <c r="Y3892" s="111">
        <f t="shared" si="1138"/>
        <v>0</v>
      </c>
      <c r="Z3892" s="111">
        <f t="shared" si="1138"/>
        <v>0</v>
      </c>
      <c r="AA3892" s="111">
        <f t="shared" si="1138"/>
        <v>0</v>
      </c>
      <c r="AB3892" s="111">
        <f t="shared" si="1138"/>
        <v>0</v>
      </c>
      <c r="AC3892" s="111">
        <f t="shared" si="1138"/>
        <v>0</v>
      </c>
      <c r="AD3892" s="111">
        <f t="shared" si="1116"/>
        <v>0</v>
      </c>
      <c r="AE3892" s="111">
        <f t="shared" si="1117"/>
        <v>0</v>
      </c>
      <c r="AF3892" s="111">
        <f t="shared" si="1118"/>
        <v>0</v>
      </c>
    </row>
    <row r="3893" spans="2:32">
      <c r="B3893" s="1" t="s">
        <v>2141</v>
      </c>
      <c r="E3893" s="110">
        <f t="shared" ref="E3893:F3893" si="1139">I3849*$AG3849</f>
        <v>0</v>
      </c>
      <c r="F3893" s="110">
        <f t="shared" si="1139"/>
        <v>0</v>
      </c>
      <c r="G3893" s="110">
        <f t="shared" si="1078"/>
        <v>0</v>
      </c>
      <c r="H3893" s="110">
        <f t="shared" ref="H3893:I3893" si="1140">L3849*$AG3849</f>
        <v>0</v>
      </c>
      <c r="I3893" s="110">
        <f t="shared" si="1140"/>
        <v>0</v>
      </c>
      <c r="J3893" s="110">
        <f t="shared" si="1081"/>
        <v>0</v>
      </c>
      <c r="K3893" s="110">
        <f t="shared" ref="K3893:M3893" si="1141">O3849*$AG3849</f>
        <v>0</v>
      </c>
      <c r="L3893" s="110">
        <f t="shared" si="1141"/>
        <v>0</v>
      </c>
      <c r="M3893" s="110">
        <f t="shared" si="1141"/>
        <v>0</v>
      </c>
      <c r="N3893" s="110">
        <f t="shared" si="1102"/>
        <v>2500000</v>
      </c>
      <c r="O3893" s="110">
        <f t="shared" si="1103"/>
        <v>0</v>
      </c>
      <c r="P3893" s="110">
        <f t="shared" si="1104"/>
        <v>0</v>
      </c>
      <c r="Q3893" s="1">
        <f t="shared" si="1111"/>
        <v>900</v>
      </c>
      <c r="R3893" s="1">
        <f t="shared" si="1112"/>
        <v>9000</v>
      </c>
      <c r="S3893" s="1">
        <f t="shared" si="1113"/>
        <v>0</v>
      </c>
      <c r="T3893" s="1">
        <f t="shared" si="1114"/>
        <v>0</v>
      </c>
      <c r="U3893" s="111">
        <f t="shared" ref="U3893:AC3893" si="1142">IF($AC3849=TRUE,E3893,0)/$E$3746</f>
        <v>0</v>
      </c>
      <c r="V3893" s="111">
        <f t="shared" si="1142"/>
        <v>0</v>
      </c>
      <c r="W3893" s="111">
        <f t="shared" si="1142"/>
        <v>0</v>
      </c>
      <c r="X3893" s="111">
        <f t="shared" si="1142"/>
        <v>0</v>
      </c>
      <c r="Y3893" s="111">
        <f t="shared" si="1142"/>
        <v>0</v>
      </c>
      <c r="Z3893" s="111">
        <f t="shared" si="1142"/>
        <v>0</v>
      </c>
      <c r="AA3893" s="111">
        <f t="shared" si="1142"/>
        <v>0</v>
      </c>
      <c r="AB3893" s="111">
        <f t="shared" si="1142"/>
        <v>0</v>
      </c>
      <c r="AC3893" s="111">
        <f t="shared" si="1142"/>
        <v>0</v>
      </c>
      <c r="AD3893" s="111">
        <f t="shared" si="1116"/>
        <v>0</v>
      </c>
      <c r="AE3893" s="111">
        <f t="shared" si="1117"/>
        <v>0</v>
      </c>
      <c r="AF3893" s="111">
        <f t="shared" si="1118"/>
        <v>0</v>
      </c>
    </row>
    <row r="3894" spans="2:32">
      <c r="B3894" s="1" t="s">
        <v>2142</v>
      </c>
      <c r="E3894" s="110">
        <f t="shared" ref="E3894:F3894" si="1143">I3850*$AG3850</f>
        <v>0</v>
      </c>
      <c r="F3894" s="110">
        <f t="shared" si="1143"/>
        <v>0</v>
      </c>
      <c r="G3894" s="110">
        <f t="shared" si="1078"/>
        <v>0</v>
      </c>
      <c r="H3894" s="110">
        <f t="shared" ref="H3894:I3894" si="1144">L3850*$AG3850</f>
        <v>0</v>
      </c>
      <c r="I3894" s="110">
        <f t="shared" si="1144"/>
        <v>0</v>
      </c>
      <c r="J3894" s="110">
        <f t="shared" si="1081"/>
        <v>0</v>
      </c>
      <c r="K3894" s="110">
        <f t="shared" ref="K3894:M3894" si="1145">O3850*$AG3850</f>
        <v>0</v>
      </c>
      <c r="L3894" s="110">
        <f t="shared" si="1145"/>
        <v>0</v>
      </c>
      <c r="M3894" s="110">
        <f t="shared" si="1145"/>
        <v>0</v>
      </c>
      <c r="N3894" s="110">
        <f t="shared" si="1102"/>
        <v>0</v>
      </c>
      <c r="O3894" s="110">
        <f t="shared" si="1103"/>
        <v>5000</v>
      </c>
      <c r="P3894" s="110">
        <f t="shared" si="1104"/>
        <v>0</v>
      </c>
      <c r="Q3894" s="1">
        <f t="shared" si="1111"/>
        <v>2700</v>
      </c>
      <c r="R3894" s="1">
        <f t="shared" si="1112"/>
        <v>27000</v>
      </c>
      <c r="S3894" s="1">
        <f t="shared" si="1113"/>
        <v>0</v>
      </c>
      <c r="T3894" s="1">
        <f t="shared" si="1114"/>
        <v>0</v>
      </c>
      <c r="U3894" s="111">
        <f t="shared" ref="U3894" si="1146">IF($AC3850=TRUE,E3894,0)/$E$3746</f>
        <v>0</v>
      </c>
      <c r="V3894" s="111">
        <f t="shared" ref="V3894" si="1147">IF($AC3850=TRUE,F3894,0)/$E$3746</f>
        <v>0</v>
      </c>
      <c r="W3894" s="111">
        <f t="shared" ref="W3894" si="1148">IF($AC3850=TRUE,G3894,0)/$E$3746</f>
        <v>0</v>
      </c>
      <c r="X3894" s="111">
        <f t="shared" ref="X3894" si="1149">IF($AC3850=TRUE,H3894,0)/$E$3746</f>
        <v>0</v>
      </c>
      <c r="Y3894" s="111">
        <f t="shared" ref="Y3894" si="1150">IF($AC3850=TRUE,I3894,0)/$E$3746</f>
        <v>0</v>
      </c>
      <c r="Z3894" s="111">
        <f t="shared" ref="Z3894" si="1151">IF($AC3850=TRUE,J3894,0)/$E$3746</f>
        <v>0</v>
      </c>
      <c r="AA3894" s="111">
        <f t="shared" ref="AA3894" si="1152">IF($AC3850=TRUE,K3894,0)/$E$3746</f>
        <v>0</v>
      </c>
      <c r="AB3894" s="111">
        <f t="shared" ref="AB3894" si="1153">IF($AC3850=TRUE,L3894,0)/$E$3746</f>
        <v>0</v>
      </c>
      <c r="AC3894" s="111">
        <f t="shared" ref="AC3894" si="1154">IF($AC3850=TRUE,M3894,0)/$E$3746</f>
        <v>0</v>
      </c>
      <c r="AD3894" s="111">
        <f t="shared" si="1116"/>
        <v>0</v>
      </c>
      <c r="AE3894" s="111">
        <f t="shared" si="1117"/>
        <v>0</v>
      </c>
      <c r="AF3894" s="111">
        <f t="shared" si="1118"/>
        <v>0</v>
      </c>
    </row>
    <row r="3896" spans="2:20">
      <c r="B3896" s="5" t="s">
        <v>534</v>
      </c>
      <c r="E3896" s="5">
        <f>SUM(E3855:E3894)</f>
        <v>150000000</v>
      </c>
      <c r="F3896" s="5">
        <f t="shared" ref="F3896:P3896" si="1155">SUM(F3855:F3894)</f>
        <v>28950</v>
      </c>
      <c r="G3896" s="5">
        <f t="shared" si="1155"/>
        <v>68</v>
      </c>
      <c r="H3896" s="5">
        <f t="shared" si="1155"/>
        <v>7000000</v>
      </c>
      <c r="I3896" s="5">
        <f t="shared" si="1155"/>
        <v>6000</v>
      </c>
      <c r="J3896" s="5">
        <f t="shared" si="1155"/>
        <v>4299</v>
      </c>
      <c r="K3896" s="5">
        <f t="shared" si="1155"/>
        <v>11000</v>
      </c>
      <c r="L3896" s="5">
        <f t="shared" si="1155"/>
        <v>5000000</v>
      </c>
      <c r="M3896" s="5">
        <f t="shared" si="1155"/>
        <v>20</v>
      </c>
      <c r="N3896" s="5">
        <f t="shared" si="1155"/>
        <v>6000000</v>
      </c>
      <c r="O3896" s="5">
        <f t="shared" si="1155"/>
        <v>8000</v>
      </c>
      <c r="P3896" s="5">
        <f t="shared" si="1155"/>
        <v>2700</v>
      </c>
      <c r="Q3896" s="5"/>
      <c r="R3896" s="5">
        <f>SUM(R3855:R3894)</f>
        <v>376205</v>
      </c>
      <c r="S3896" s="5"/>
      <c r="T3896" s="5">
        <f>SUM(T3855:T3894)</f>
        <v>25575000</v>
      </c>
    </row>
    <row r="3897" spans="2:20">
      <c r="B3897" s="5" t="s">
        <v>1809</v>
      </c>
      <c r="E3897" s="5">
        <f>SUMIFS(E3855:E3894,$AC$3811:$AC$3850,TRUE)</f>
        <v>0</v>
      </c>
      <c r="F3897" s="5">
        <f t="shared" ref="F3897:P3897" si="1156">SUMIFS(F3855:F3894,$AC$3811:$AC$3850,TRUE)</f>
        <v>450</v>
      </c>
      <c r="G3897" s="5">
        <f t="shared" si="1156"/>
        <v>16</v>
      </c>
      <c r="H3897" s="5">
        <f t="shared" si="1156"/>
        <v>0</v>
      </c>
      <c r="I3897" s="5">
        <f t="shared" si="1156"/>
        <v>1000</v>
      </c>
      <c r="J3897" s="5">
        <f t="shared" si="1156"/>
        <v>933</v>
      </c>
      <c r="K3897" s="5">
        <f t="shared" si="1156"/>
        <v>0</v>
      </c>
      <c r="L3897" s="5">
        <f t="shared" si="1156"/>
        <v>1000000</v>
      </c>
      <c r="M3897" s="5">
        <f t="shared" si="1156"/>
        <v>0</v>
      </c>
      <c r="N3897" s="5">
        <f t="shared" si="1156"/>
        <v>0</v>
      </c>
      <c r="O3897" s="5">
        <f t="shared" si="1156"/>
        <v>500</v>
      </c>
      <c r="P3897" s="5">
        <f t="shared" si="1156"/>
        <v>450</v>
      </c>
      <c r="Q3897" s="5"/>
      <c r="R3897" s="5">
        <f>SUMIFS(R3855:R3894,$AC$3811:$AC$3850,TRUE)</f>
        <v>10125</v>
      </c>
      <c r="S3897" s="5"/>
      <c r="T3897" s="5">
        <f>SUMIFS(T3855:T3894,$AC$3811:$AC$3850,TRUE)</f>
        <v>25575000</v>
      </c>
    </row>
    <row r="3898" spans="2:20">
      <c r="B3898" s="5" t="s">
        <v>2143</v>
      </c>
      <c r="E3898" s="5">
        <f>E3897/$E$3746</f>
        <v>0</v>
      </c>
      <c r="F3898" s="5">
        <f t="shared" ref="F3898:P3898" si="1157">F3897/$E$3746</f>
        <v>64.2857142857143</v>
      </c>
      <c r="G3898" s="5">
        <f t="shared" si="1157"/>
        <v>2.28571428571429</v>
      </c>
      <c r="H3898" s="5">
        <f t="shared" si="1157"/>
        <v>0</v>
      </c>
      <c r="I3898" s="5">
        <f t="shared" si="1157"/>
        <v>142.857142857143</v>
      </c>
      <c r="J3898" s="5">
        <f t="shared" si="1157"/>
        <v>133.285714285714</v>
      </c>
      <c r="K3898" s="5">
        <f t="shared" si="1157"/>
        <v>0</v>
      </c>
      <c r="L3898" s="5">
        <f t="shared" si="1157"/>
        <v>142857.142857143</v>
      </c>
      <c r="M3898" s="5">
        <f t="shared" si="1157"/>
        <v>0</v>
      </c>
      <c r="N3898" s="5">
        <f t="shared" si="1157"/>
        <v>0</v>
      </c>
      <c r="O3898" s="5">
        <f t="shared" si="1157"/>
        <v>71.4285714285714</v>
      </c>
      <c r="P3898" s="5">
        <f t="shared" si="1157"/>
        <v>64.2857142857143</v>
      </c>
      <c r="Q3898" s="5"/>
      <c r="R3898" s="5">
        <f>R3897/$E$3746</f>
        <v>1446.42857142857</v>
      </c>
      <c r="S3898" s="5"/>
      <c r="T3898" s="5">
        <f>T3897/$E$3746</f>
        <v>3653571.42857143</v>
      </c>
    </row>
    <row r="3900" spans="2:12">
      <c r="B3900" s="27" t="s">
        <v>2144</v>
      </c>
      <c r="C3900" s="27"/>
      <c r="D3900" s="27"/>
      <c r="E3900" s="27"/>
      <c r="F3900" s="27"/>
      <c r="G3900" s="27"/>
      <c r="H3900" s="27"/>
      <c r="I3900" s="27"/>
      <c r="J3900" s="27"/>
      <c r="K3900" s="27"/>
      <c r="L3900" s="27"/>
    </row>
    <row r="3902" spans="2:14">
      <c r="B3902" s="1" t="s">
        <v>471</v>
      </c>
      <c r="C3902" s="1" t="s">
        <v>726</v>
      </c>
      <c r="D3902" s="1" t="s">
        <v>478</v>
      </c>
      <c r="E3902" s="1" t="s">
        <v>2131</v>
      </c>
      <c r="F3902" s="1" t="s">
        <v>2132</v>
      </c>
      <c r="G3902" s="1" t="s">
        <v>379</v>
      </c>
      <c r="H3902" s="1" t="s">
        <v>458</v>
      </c>
      <c r="I3902" s="1" t="s">
        <v>1120</v>
      </c>
      <c r="J3902" s="1" t="s">
        <v>2133</v>
      </c>
      <c r="K3902" s="1" t="s">
        <v>1406</v>
      </c>
      <c r="L3902" s="1" t="s">
        <v>2134</v>
      </c>
      <c r="M3902" s="1" t="s">
        <v>541</v>
      </c>
      <c r="N3902" s="1" t="s">
        <v>542</v>
      </c>
    </row>
    <row r="3903" spans="2:14">
      <c r="B3903" s="1">
        <v>0</v>
      </c>
      <c r="C3903" s="1">
        <f t="shared" ref="C3903:N3903" si="1158">SUMIF($G$3811:$G$3850,"&lt;="&amp;$B3903,U$3855:U$3894)</f>
        <v>0</v>
      </c>
      <c r="D3903" s="1">
        <f t="shared" si="1158"/>
        <v>0</v>
      </c>
      <c r="E3903" s="1">
        <f t="shared" si="1158"/>
        <v>0</v>
      </c>
      <c r="F3903" s="1">
        <f t="shared" si="1158"/>
        <v>0</v>
      </c>
      <c r="G3903" s="1">
        <f t="shared" si="1158"/>
        <v>0</v>
      </c>
      <c r="H3903" s="1">
        <f t="shared" si="1158"/>
        <v>0</v>
      </c>
      <c r="I3903" s="1">
        <f t="shared" si="1158"/>
        <v>0</v>
      </c>
      <c r="J3903" s="1">
        <f t="shared" si="1158"/>
        <v>0</v>
      </c>
      <c r="K3903" s="1">
        <f t="shared" si="1158"/>
        <v>0</v>
      </c>
      <c r="L3903" s="1">
        <f t="shared" si="1158"/>
        <v>0</v>
      </c>
      <c r="M3903" s="1">
        <f t="shared" si="1158"/>
        <v>0</v>
      </c>
      <c r="N3903" s="1">
        <f t="shared" si="1158"/>
        <v>0</v>
      </c>
    </row>
    <row r="3904" spans="2:14">
      <c r="B3904" s="1">
        <v>1</v>
      </c>
      <c r="C3904" s="1">
        <f t="shared" ref="C3904:C3918" si="1159">SUMIF($G$3811:$G$3850,"&lt;="&amp;$B3904,U$3855:U$3894)</f>
        <v>0</v>
      </c>
      <c r="D3904" s="1">
        <f t="shared" ref="D3904:D3918" si="1160">SUMIF($G$3811:$G$3850,"&lt;="&amp;$B3904,V$3855:V$3894)</f>
        <v>0</v>
      </c>
      <c r="E3904" s="1">
        <f t="shared" ref="E3904:E3918" si="1161">SUMIF($G$3811:$G$3850,"&lt;="&amp;$B3904,W$3855:W$3894)</f>
        <v>0</v>
      </c>
      <c r="F3904" s="1">
        <f t="shared" ref="F3904:F3918" si="1162">SUMIF($G$3811:$G$3850,"&lt;="&amp;$B3904,X$3855:X$3894)</f>
        <v>0</v>
      </c>
      <c r="G3904" s="1">
        <f t="shared" ref="G3904:G3918" si="1163">SUMIF($G$3811:$G$3850,"&lt;="&amp;$B3904,Y$3855:Y$3894)</f>
        <v>0</v>
      </c>
      <c r="H3904" s="1">
        <f t="shared" ref="H3904:H3918" si="1164">SUMIF($G$3811:$G$3850,"&lt;="&amp;$B3904,Z$3855:Z$3894)</f>
        <v>0</v>
      </c>
      <c r="I3904" s="1">
        <f t="shared" ref="I3904:I3918" si="1165">SUMIF($G$3811:$G$3850,"&lt;="&amp;$B3904,AA$3855:AA$3894)</f>
        <v>0</v>
      </c>
      <c r="J3904" s="1">
        <f t="shared" ref="J3904:J3918" si="1166">SUMIF($G$3811:$G$3850,"&lt;="&amp;$B3904,AB$3855:AB$3894)</f>
        <v>0</v>
      </c>
      <c r="K3904" s="1">
        <f t="shared" ref="K3904:K3918" si="1167">SUMIF($G$3811:$G$3850,"&lt;="&amp;$B3904,AC$3855:AC$3894)</f>
        <v>0</v>
      </c>
      <c r="L3904" s="1">
        <f t="shared" ref="L3904:L3918" si="1168">SUMIF($G$3811:$G$3850,"&lt;="&amp;$B3904,AD$3855:AD$3894)</f>
        <v>0</v>
      </c>
      <c r="M3904" s="1">
        <f t="shared" ref="M3904:M3918" si="1169">SUMIF($G$3811:$G$3850,"&lt;="&amp;$B3904,AE$3855:AE$3894)</f>
        <v>0</v>
      </c>
      <c r="N3904" s="1">
        <f t="shared" ref="N3904:N3918" si="1170">SUMIF($G$3811:$G$3850,"&lt;="&amp;$B3904,AF$3855:AF$3894)</f>
        <v>0</v>
      </c>
    </row>
    <row r="3905" spans="2:14">
      <c r="B3905" s="1">
        <v>2</v>
      </c>
      <c r="C3905" s="1">
        <f t="shared" si="1159"/>
        <v>0</v>
      </c>
      <c r="D3905" s="1">
        <f t="shared" si="1160"/>
        <v>0</v>
      </c>
      <c r="E3905" s="1">
        <f t="shared" si="1161"/>
        <v>0</v>
      </c>
      <c r="F3905" s="1">
        <f t="shared" si="1162"/>
        <v>0</v>
      </c>
      <c r="G3905" s="1">
        <f t="shared" si="1163"/>
        <v>0</v>
      </c>
      <c r="H3905" s="1">
        <f t="shared" si="1164"/>
        <v>0</v>
      </c>
      <c r="I3905" s="1">
        <f t="shared" si="1165"/>
        <v>0</v>
      </c>
      <c r="J3905" s="1">
        <f t="shared" si="1166"/>
        <v>0</v>
      </c>
      <c r="K3905" s="1">
        <f t="shared" si="1167"/>
        <v>0</v>
      </c>
      <c r="L3905" s="1">
        <f t="shared" si="1168"/>
        <v>0</v>
      </c>
      <c r="M3905" s="1">
        <f t="shared" si="1169"/>
        <v>0</v>
      </c>
      <c r="N3905" s="1">
        <f t="shared" si="1170"/>
        <v>0</v>
      </c>
    </row>
    <row r="3906" spans="2:14">
      <c r="B3906" s="1">
        <v>3</v>
      </c>
      <c r="C3906" s="1">
        <f t="shared" si="1159"/>
        <v>0</v>
      </c>
      <c r="D3906" s="1">
        <f t="shared" si="1160"/>
        <v>64.2857142857143</v>
      </c>
      <c r="E3906" s="1">
        <f t="shared" si="1161"/>
        <v>0</v>
      </c>
      <c r="F3906" s="1">
        <f t="shared" si="1162"/>
        <v>0</v>
      </c>
      <c r="G3906" s="1">
        <f t="shared" si="1163"/>
        <v>0</v>
      </c>
      <c r="H3906" s="1">
        <f t="shared" si="1164"/>
        <v>0</v>
      </c>
      <c r="I3906" s="1">
        <f t="shared" si="1165"/>
        <v>0</v>
      </c>
      <c r="J3906" s="1">
        <f t="shared" si="1166"/>
        <v>0</v>
      </c>
      <c r="K3906" s="1">
        <f t="shared" si="1167"/>
        <v>0</v>
      </c>
      <c r="L3906" s="1">
        <f t="shared" si="1168"/>
        <v>0</v>
      </c>
      <c r="M3906" s="1">
        <f t="shared" si="1169"/>
        <v>0</v>
      </c>
      <c r="N3906" s="1">
        <f t="shared" si="1170"/>
        <v>0</v>
      </c>
    </row>
    <row r="3907" spans="2:14">
      <c r="B3907" s="1">
        <v>4</v>
      </c>
      <c r="C3907" s="1">
        <f t="shared" si="1159"/>
        <v>0</v>
      </c>
      <c r="D3907" s="1">
        <f t="shared" si="1160"/>
        <v>64.2857142857143</v>
      </c>
      <c r="E3907" s="1">
        <f t="shared" si="1161"/>
        <v>1.14285714285714</v>
      </c>
      <c r="F3907" s="1">
        <f t="shared" si="1162"/>
        <v>0</v>
      </c>
      <c r="G3907" s="1">
        <f t="shared" si="1163"/>
        <v>0</v>
      </c>
      <c r="H3907" s="1">
        <f t="shared" si="1164"/>
        <v>0</v>
      </c>
      <c r="I3907" s="1">
        <f t="shared" si="1165"/>
        <v>0</v>
      </c>
      <c r="J3907" s="1">
        <f t="shared" si="1166"/>
        <v>0</v>
      </c>
      <c r="K3907" s="1">
        <f t="shared" si="1167"/>
        <v>0</v>
      </c>
      <c r="L3907" s="1">
        <f t="shared" si="1168"/>
        <v>0</v>
      </c>
      <c r="M3907" s="1">
        <f t="shared" si="1169"/>
        <v>0</v>
      </c>
      <c r="N3907" s="1">
        <f t="shared" si="1170"/>
        <v>0</v>
      </c>
    </row>
    <row r="3908" spans="2:14">
      <c r="B3908" s="1">
        <v>5</v>
      </c>
      <c r="C3908" s="1">
        <f t="shared" si="1159"/>
        <v>0</v>
      </c>
      <c r="D3908" s="1">
        <f t="shared" si="1160"/>
        <v>64.2857142857143</v>
      </c>
      <c r="E3908" s="1">
        <f t="shared" si="1161"/>
        <v>1.14285714285714</v>
      </c>
      <c r="F3908" s="1">
        <f t="shared" si="1162"/>
        <v>0</v>
      </c>
      <c r="G3908" s="1">
        <f t="shared" si="1163"/>
        <v>142.857142857143</v>
      </c>
      <c r="H3908" s="1">
        <f t="shared" si="1164"/>
        <v>0</v>
      </c>
      <c r="I3908" s="1">
        <f t="shared" si="1165"/>
        <v>0</v>
      </c>
      <c r="J3908" s="1">
        <f t="shared" si="1166"/>
        <v>0</v>
      </c>
      <c r="K3908" s="1">
        <f t="shared" si="1167"/>
        <v>0</v>
      </c>
      <c r="L3908" s="1">
        <f t="shared" si="1168"/>
        <v>0</v>
      </c>
      <c r="M3908" s="1">
        <f t="shared" si="1169"/>
        <v>0</v>
      </c>
      <c r="N3908" s="1">
        <f t="shared" si="1170"/>
        <v>0</v>
      </c>
    </row>
    <row r="3909" spans="2:14">
      <c r="B3909" s="1">
        <v>6</v>
      </c>
      <c r="C3909" s="1">
        <f t="shared" si="1159"/>
        <v>0</v>
      </c>
      <c r="D3909" s="1">
        <f t="shared" si="1160"/>
        <v>64.2857142857143</v>
      </c>
      <c r="E3909" s="1">
        <f t="shared" si="1161"/>
        <v>1.14285714285714</v>
      </c>
      <c r="F3909" s="1">
        <f t="shared" si="1162"/>
        <v>0</v>
      </c>
      <c r="G3909" s="1">
        <f t="shared" si="1163"/>
        <v>142.857142857143</v>
      </c>
      <c r="H3909" s="1">
        <f t="shared" si="1164"/>
        <v>107.142857142857</v>
      </c>
      <c r="I3909" s="1">
        <f t="shared" si="1165"/>
        <v>0</v>
      </c>
      <c r="J3909" s="1">
        <f t="shared" si="1166"/>
        <v>0</v>
      </c>
      <c r="K3909" s="1">
        <f t="shared" si="1167"/>
        <v>0</v>
      </c>
      <c r="L3909" s="1">
        <f t="shared" si="1168"/>
        <v>0</v>
      </c>
      <c r="M3909" s="1">
        <f t="shared" si="1169"/>
        <v>0</v>
      </c>
      <c r="N3909" s="1">
        <f t="shared" si="1170"/>
        <v>0</v>
      </c>
    </row>
    <row r="3910" spans="2:14">
      <c r="B3910" s="1">
        <v>7</v>
      </c>
      <c r="C3910" s="1">
        <f t="shared" si="1159"/>
        <v>0</v>
      </c>
      <c r="D3910" s="1">
        <f t="shared" si="1160"/>
        <v>64.2857142857143</v>
      </c>
      <c r="E3910" s="1">
        <f t="shared" si="1161"/>
        <v>1.14285714285714</v>
      </c>
      <c r="F3910" s="1">
        <f t="shared" si="1162"/>
        <v>0</v>
      </c>
      <c r="G3910" s="1">
        <f t="shared" si="1163"/>
        <v>142.857142857143</v>
      </c>
      <c r="H3910" s="1">
        <f t="shared" si="1164"/>
        <v>107.142857142857</v>
      </c>
      <c r="I3910" s="1">
        <f t="shared" si="1165"/>
        <v>0</v>
      </c>
      <c r="J3910" s="1">
        <f t="shared" si="1166"/>
        <v>142857.142857143</v>
      </c>
      <c r="K3910" s="1">
        <f t="shared" si="1167"/>
        <v>0</v>
      </c>
      <c r="L3910" s="1">
        <f t="shared" si="1168"/>
        <v>0</v>
      </c>
      <c r="M3910" s="1">
        <f t="shared" si="1169"/>
        <v>71.4285714285714</v>
      </c>
      <c r="N3910" s="1">
        <f t="shared" si="1170"/>
        <v>0</v>
      </c>
    </row>
    <row r="3911" spans="2:14">
      <c r="B3911" s="1">
        <v>8</v>
      </c>
      <c r="C3911" s="1">
        <f t="shared" si="1159"/>
        <v>0</v>
      </c>
      <c r="D3911" s="1">
        <f t="shared" si="1160"/>
        <v>64.2857142857143</v>
      </c>
      <c r="E3911" s="1">
        <f t="shared" si="1161"/>
        <v>2.28571428571429</v>
      </c>
      <c r="F3911" s="1">
        <f t="shared" si="1162"/>
        <v>0</v>
      </c>
      <c r="G3911" s="1">
        <f t="shared" si="1163"/>
        <v>142.857142857143</v>
      </c>
      <c r="H3911" s="1">
        <f t="shared" si="1164"/>
        <v>133.285714285714</v>
      </c>
      <c r="I3911" s="1">
        <f t="shared" si="1165"/>
        <v>0</v>
      </c>
      <c r="J3911" s="1">
        <f t="shared" si="1166"/>
        <v>142857.142857143</v>
      </c>
      <c r="K3911" s="1">
        <f t="shared" si="1167"/>
        <v>0</v>
      </c>
      <c r="L3911" s="1">
        <f t="shared" si="1168"/>
        <v>0</v>
      </c>
      <c r="M3911" s="1">
        <f t="shared" si="1169"/>
        <v>71.4285714285714</v>
      </c>
      <c r="N3911" s="1">
        <f t="shared" si="1170"/>
        <v>64.2857142857143</v>
      </c>
    </row>
    <row r="3912" spans="2:14">
      <c r="B3912" s="1">
        <v>9</v>
      </c>
      <c r="C3912" s="1">
        <f t="shared" si="1159"/>
        <v>0</v>
      </c>
      <c r="D3912" s="1">
        <f t="shared" si="1160"/>
        <v>64.2857142857143</v>
      </c>
      <c r="E3912" s="1">
        <f t="shared" si="1161"/>
        <v>2.28571428571429</v>
      </c>
      <c r="F3912" s="1">
        <f t="shared" si="1162"/>
        <v>0</v>
      </c>
      <c r="G3912" s="1">
        <f t="shared" si="1163"/>
        <v>142.857142857143</v>
      </c>
      <c r="H3912" s="1">
        <f t="shared" si="1164"/>
        <v>133.285714285714</v>
      </c>
      <c r="I3912" s="1">
        <f t="shared" si="1165"/>
        <v>0</v>
      </c>
      <c r="J3912" s="1">
        <f t="shared" si="1166"/>
        <v>142857.142857143</v>
      </c>
      <c r="K3912" s="1">
        <f t="shared" si="1167"/>
        <v>0</v>
      </c>
      <c r="L3912" s="1">
        <f t="shared" si="1168"/>
        <v>0</v>
      </c>
      <c r="M3912" s="1">
        <f t="shared" si="1169"/>
        <v>71.4285714285714</v>
      </c>
      <c r="N3912" s="1">
        <f t="shared" si="1170"/>
        <v>64.2857142857143</v>
      </c>
    </row>
    <row r="3913" spans="2:14">
      <c r="B3913" s="1">
        <v>10</v>
      </c>
      <c r="C3913" s="1">
        <f t="shared" si="1159"/>
        <v>0</v>
      </c>
      <c r="D3913" s="1">
        <f t="shared" si="1160"/>
        <v>64.2857142857143</v>
      </c>
      <c r="E3913" s="1">
        <f t="shared" si="1161"/>
        <v>2.28571428571429</v>
      </c>
      <c r="F3913" s="1">
        <f t="shared" si="1162"/>
        <v>0</v>
      </c>
      <c r="G3913" s="1">
        <f t="shared" si="1163"/>
        <v>142.857142857143</v>
      </c>
      <c r="H3913" s="1">
        <f t="shared" si="1164"/>
        <v>133.285714285714</v>
      </c>
      <c r="I3913" s="1">
        <f t="shared" si="1165"/>
        <v>0</v>
      </c>
      <c r="J3913" s="1">
        <f t="shared" si="1166"/>
        <v>142857.142857143</v>
      </c>
      <c r="K3913" s="1">
        <f t="shared" si="1167"/>
        <v>0</v>
      </c>
      <c r="L3913" s="1">
        <f t="shared" si="1168"/>
        <v>0</v>
      </c>
      <c r="M3913" s="1">
        <f t="shared" si="1169"/>
        <v>71.4285714285714</v>
      </c>
      <c r="N3913" s="1">
        <f t="shared" si="1170"/>
        <v>64.2857142857143</v>
      </c>
    </row>
    <row r="3914" spans="2:14">
      <c r="B3914" s="1">
        <v>11</v>
      </c>
      <c r="C3914" s="1">
        <f t="shared" si="1159"/>
        <v>0</v>
      </c>
      <c r="D3914" s="1">
        <f t="shared" si="1160"/>
        <v>64.2857142857143</v>
      </c>
      <c r="E3914" s="1">
        <f t="shared" si="1161"/>
        <v>2.28571428571429</v>
      </c>
      <c r="F3914" s="1">
        <f t="shared" si="1162"/>
        <v>0</v>
      </c>
      <c r="G3914" s="1">
        <f t="shared" si="1163"/>
        <v>142.857142857143</v>
      </c>
      <c r="H3914" s="1">
        <f t="shared" si="1164"/>
        <v>133.285714285714</v>
      </c>
      <c r="I3914" s="1">
        <f t="shared" si="1165"/>
        <v>0</v>
      </c>
      <c r="J3914" s="1">
        <f t="shared" si="1166"/>
        <v>142857.142857143</v>
      </c>
      <c r="K3914" s="1">
        <f t="shared" si="1167"/>
        <v>0</v>
      </c>
      <c r="L3914" s="1">
        <f t="shared" si="1168"/>
        <v>0</v>
      </c>
      <c r="M3914" s="1">
        <f t="shared" si="1169"/>
        <v>71.4285714285714</v>
      </c>
      <c r="N3914" s="1">
        <f t="shared" si="1170"/>
        <v>64.2857142857143</v>
      </c>
    </row>
    <row r="3915" spans="2:14">
      <c r="B3915" s="1">
        <v>12</v>
      </c>
      <c r="C3915" s="1">
        <f t="shared" si="1159"/>
        <v>0</v>
      </c>
      <c r="D3915" s="1">
        <f t="shared" si="1160"/>
        <v>64.2857142857143</v>
      </c>
      <c r="E3915" s="1">
        <f t="shared" si="1161"/>
        <v>2.28571428571429</v>
      </c>
      <c r="F3915" s="1">
        <f t="shared" si="1162"/>
        <v>0</v>
      </c>
      <c r="G3915" s="1">
        <f t="shared" si="1163"/>
        <v>142.857142857143</v>
      </c>
      <c r="H3915" s="1">
        <f t="shared" si="1164"/>
        <v>133.285714285714</v>
      </c>
      <c r="I3915" s="1">
        <f t="shared" si="1165"/>
        <v>0</v>
      </c>
      <c r="J3915" s="1">
        <f t="shared" si="1166"/>
        <v>142857.142857143</v>
      </c>
      <c r="K3915" s="1">
        <f t="shared" si="1167"/>
        <v>0</v>
      </c>
      <c r="L3915" s="1">
        <f t="shared" si="1168"/>
        <v>0</v>
      </c>
      <c r="M3915" s="1">
        <f t="shared" si="1169"/>
        <v>71.4285714285714</v>
      </c>
      <c r="N3915" s="1">
        <f t="shared" si="1170"/>
        <v>64.2857142857143</v>
      </c>
    </row>
    <row r="3916" spans="2:14">
      <c r="B3916" s="1">
        <v>13</v>
      </c>
      <c r="C3916" s="1">
        <f t="shared" si="1159"/>
        <v>0</v>
      </c>
      <c r="D3916" s="1">
        <f t="shared" si="1160"/>
        <v>64.2857142857143</v>
      </c>
      <c r="E3916" s="1">
        <f t="shared" si="1161"/>
        <v>2.28571428571429</v>
      </c>
      <c r="F3916" s="1">
        <f t="shared" si="1162"/>
        <v>0</v>
      </c>
      <c r="G3916" s="1">
        <f t="shared" si="1163"/>
        <v>142.857142857143</v>
      </c>
      <c r="H3916" s="1">
        <f t="shared" si="1164"/>
        <v>133.285714285714</v>
      </c>
      <c r="I3916" s="1">
        <f t="shared" si="1165"/>
        <v>0</v>
      </c>
      <c r="J3916" s="1">
        <f t="shared" si="1166"/>
        <v>142857.142857143</v>
      </c>
      <c r="K3916" s="1">
        <f t="shared" si="1167"/>
        <v>0</v>
      </c>
      <c r="L3916" s="1">
        <f t="shared" si="1168"/>
        <v>0</v>
      </c>
      <c r="M3916" s="1">
        <f t="shared" si="1169"/>
        <v>71.4285714285714</v>
      </c>
      <c r="N3916" s="1">
        <f t="shared" si="1170"/>
        <v>64.2857142857143</v>
      </c>
    </row>
    <row r="3917" spans="2:14">
      <c r="B3917" s="1">
        <v>14</v>
      </c>
      <c r="C3917" s="1">
        <f t="shared" si="1159"/>
        <v>0</v>
      </c>
      <c r="D3917" s="1">
        <f t="shared" si="1160"/>
        <v>64.2857142857143</v>
      </c>
      <c r="E3917" s="1">
        <f t="shared" si="1161"/>
        <v>2.28571428571429</v>
      </c>
      <c r="F3917" s="1">
        <f t="shared" si="1162"/>
        <v>0</v>
      </c>
      <c r="G3917" s="1">
        <f t="shared" si="1163"/>
        <v>142.857142857143</v>
      </c>
      <c r="H3917" s="1">
        <f t="shared" si="1164"/>
        <v>133.285714285714</v>
      </c>
      <c r="I3917" s="1">
        <f t="shared" si="1165"/>
        <v>0</v>
      </c>
      <c r="J3917" s="1">
        <f t="shared" si="1166"/>
        <v>142857.142857143</v>
      </c>
      <c r="K3917" s="1">
        <f t="shared" si="1167"/>
        <v>0</v>
      </c>
      <c r="L3917" s="1">
        <f t="shared" si="1168"/>
        <v>0</v>
      </c>
      <c r="M3917" s="1">
        <f t="shared" si="1169"/>
        <v>71.4285714285714</v>
      </c>
      <c r="N3917" s="1">
        <f t="shared" si="1170"/>
        <v>64.2857142857143</v>
      </c>
    </row>
    <row r="3918" spans="2:14">
      <c r="B3918" s="1">
        <v>15</v>
      </c>
      <c r="C3918" s="1">
        <f t="shared" si="1159"/>
        <v>0</v>
      </c>
      <c r="D3918" s="1">
        <f t="shared" si="1160"/>
        <v>64.2857142857143</v>
      </c>
      <c r="E3918" s="1">
        <f t="shared" si="1161"/>
        <v>2.28571428571429</v>
      </c>
      <c r="F3918" s="1">
        <f t="shared" si="1162"/>
        <v>0</v>
      </c>
      <c r="G3918" s="1">
        <f t="shared" si="1163"/>
        <v>142.857142857143</v>
      </c>
      <c r="H3918" s="1">
        <f t="shared" si="1164"/>
        <v>133.285714285714</v>
      </c>
      <c r="I3918" s="1">
        <f t="shared" si="1165"/>
        <v>0</v>
      </c>
      <c r="J3918" s="1">
        <f t="shared" si="1166"/>
        <v>142857.142857143</v>
      </c>
      <c r="K3918" s="1">
        <f t="shared" si="1167"/>
        <v>0</v>
      </c>
      <c r="L3918" s="1">
        <f t="shared" si="1168"/>
        <v>0</v>
      </c>
      <c r="M3918" s="1">
        <f t="shared" si="1169"/>
        <v>71.4285714285714</v>
      </c>
      <c r="N3918" s="1">
        <f t="shared" si="1170"/>
        <v>64.2857142857143</v>
      </c>
    </row>
    <row r="3921" s="25" customFormat="1" spans="1:5">
      <c r="A3921" s="2" t="s">
        <v>706</v>
      </c>
      <c r="B3921" s="2"/>
      <c r="C3921" s="41" t="s">
        <v>436</v>
      </c>
      <c r="E3921" s="26" t="s">
        <v>2145</v>
      </c>
    </row>
    <row r="3923" spans="2:12">
      <c r="B3923" s="27" t="s">
        <v>2146</v>
      </c>
      <c r="C3923" s="27"/>
      <c r="D3923" s="27"/>
      <c r="E3923" s="27"/>
      <c r="F3923" s="27"/>
      <c r="G3923" s="27"/>
      <c r="H3923" s="27"/>
      <c r="I3923" s="27"/>
      <c r="J3923" s="27"/>
      <c r="K3923" s="27"/>
      <c r="L3923" s="27"/>
    </row>
    <row r="3925" spans="2:3">
      <c r="B3925" s="1" t="s">
        <v>382</v>
      </c>
      <c r="C3925" s="1" t="s">
        <v>2147</v>
      </c>
    </row>
    <row r="3926" spans="2:3">
      <c r="B3926" s="1">
        <v>0</v>
      </c>
      <c r="C3926" s="69">
        <v>0</v>
      </c>
    </row>
    <row r="3927" spans="2:3">
      <c r="B3927" s="1">
        <v>30</v>
      </c>
      <c r="C3927" s="69">
        <v>100</v>
      </c>
    </row>
    <row r="3928" spans="2:3">
      <c r="B3928" s="1">
        <v>45</v>
      </c>
      <c r="C3928" s="69">
        <v>200</v>
      </c>
    </row>
    <row r="3931" s="25" customFormat="1" spans="1:5">
      <c r="A3931" s="2" t="s">
        <v>556</v>
      </c>
      <c r="B3931" s="2"/>
      <c r="C3931" s="41" t="s">
        <v>436</v>
      </c>
      <c r="E3931" s="41"/>
    </row>
    <row r="3933" spans="2:12">
      <c r="B3933" s="27" t="s">
        <v>1306</v>
      </c>
      <c r="C3933" s="27"/>
      <c r="D3933" s="27"/>
      <c r="E3933" s="27"/>
      <c r="F3933" s="27"/>
      <c r="G3933" s="27"/>
      <c r="H3933" s="27"/>
      <c r="I3933" s="27"/>
      <c r="J3933" s="27"/>
      <c r="K3933" s="27"/>
      <c r="L3933" s="27"/>
    </row>
    <row r="3935" spans="2:6">
      <c r="B3935" s="1" t="s">
        <v>944</v>
      </c>
      <c r="E3935" s="1">
        <f>总规划!$D$107</f>
        <v>1500</v>
      </c>
      <c r="F3935" s="1" t="str">
        <f>总规划!$C$107</f>
        <v>1四星卡</v>
      </c>
    </row>
    <row r="3936" spans="2:5">
      <c r="B3936" s="1" t="s">
        <v>2148</v>
      </c>
      <c r="E3936" s="68">
        <f>总规划!$F$149</f>
        <v>0.02</v>
      </c>
    </row>
    <row r="3937" spans="2:6">
      <c r="B3937" s="1" t="s">
        <v>2149</v>
      </c>
      <c r="E3937" s="1">
        <f>E3935/30*E3936</f>
        <v>1</v>
      </c>
      <c r="F3937" s="1" t="str">
        <f>总规划!$C$107</f>
        <v>1四星卡</v>
      </c>
    </row>
    <row r="3939" spans="2:6">
      <c r="B3939" s="1" t="s">
        <v>1057</v>
      </c>
      <c r="E3939" s="1">
        <f>总规划!$D$110</f>
        <v>60</v>
      </c>
      <c r="F3939" s="1" t="str">
        <f>总规划!$C$110</f>
        <v>1k零件</v>
      </c>
    </row>
    <row r="3940" spans="2:5">
      <c r="B3940" s="1" t="s">
        <v>2150</v>
      </c>
      <c r="E3940" s="68">
        <f>总规划!$I$149</f>
        <v>0.0115</v>
      </c>
    </row>
    <row r="3941" spans="2:6">
      <c r="B3941" s="1" t="s">
        <v>2151</v>
      </c>
      <c r="E3941" s="1">
        <f>E3939/30*E3940*1000</f>
        <v>23</v>
      </c>
      <c r="F3941" s="1" t="s">
        <v>1355</v>
      </c>
    </row>
    <row r="3943" spans="2:6">
      <c r="B3943" s="1" t="s">
        <v>1103</v>
      </c>
      <c r="E3943" s="1">
        <f>总规划!$D$111</f>
        <v>360</v>
      </c>
      <c r="F3943" s="1" t="str">
        <f>总规划!$C$111</f>
        <v>1k铜材料</v>
      </c>
    </row>
    <row r="3944" spans="2:5">
      <c r="B3944" s="1" t="s">
        <v>2152</v>
      </c>
      <c r="E3944" s="68">
        <f>总规划!$J$149</f>
        <v>0.05</v>
      </c>
    </row>
    <row r="3945" spans="2:6">
      <c r="B3945" s="1" t="s">
        <v>2153</v>
      </c>
      <c r="E3945" s="1">
        <f>E3943/30*E3944*1000</f>
        <v>600</v>
      </c>
      <c r="F3945" s="1" t="s">
        <v>1357</v>
      </c>
    </row>
    <row r="3947" spans="2:12">
      <c r="B3947" s="27" t="s">
        <v>2154</v>
      </c>
      <c r="C3947" s="27"/>
      <c r="D3947" s="27"/>
      <c r="E3947" s="27"/>
      <c r="F3947" s="27"/>
      <c r="G3947" s="27"/>
      <c r="H3947" s="27"/>
      <c r="I3947" s="27"/>
      <c r="J3947" s="27"/>
      <c r="K3947" s="27"/>
      <c r="L3947" s="27"/>
    </row>
    <row r="3949" spans="2:5">
      <c r="B3949" s="1" t="s">
        <v>2155</v>
      </c>
      <c r="E3949" s="6">
        <v>40000</v>
      </c>
    </row>
    <row r="3951" spans="2:12">
      <c r="B3951" s="27" t="s">
        <v>2156</v>
      </c>
      <c r="C3951" s="27"/>
      <c r="D3951" s="27"/>
      <c r="E3951" s="27"/>
      <c r="F3951" s="27"/>
      <c r="G3951" s="27"/>
      <c r="H3951" s="27"/>
      <c r="I3951" s="27"/>
      <c r="J3951" s="27"/>
      <c r="K3951" s="27"/>
      <c r="L3951" s="27"/>
    </row>
    <row r="3953" spans="2:8">
      <c r="B3953" s="1" t="s">
        <v>382</v>
      </c>
      <c r="C3953" s="30" t="s">
        <v>2157</v>
      </c>
      <c r="D3953" s="30" t="s">
        <v>2158</v>
      </c>
      <c r="E3953" s="30" t="s">
        <v>2159</v>
      </c>
      <c r="F3953" s="1" t="s">
        <v>1341</v>
      </c>
      <c r="G3953" s="1" t="s">
        <v>2160</v>
      </c>
      <c r="H3953" s="1" t="s">
        <v>2161</v>
      </c>
    </row>
    <row r="3954" spans="2:8">
      <c r="B3954" s="7">
        <v>0</v>
      </c>
      <c r="C3954" s="30">
        <v>200</v>
      </c>
      <c r="D3954" s="30">
        <v>100</v>
      </c>
      <c r="E3954" s="30">
        <v>100</v>
      </c>
      <c r="F3954" s="8">
        <f ca="1" t="shared" ref="F3954:F3985" si="1171">K2494</f>
        <v>0</v>
      </c>
      <c r="G3954" s="1">
        <f ca="1" t="shared" ref="G3954:G3985" si="1172">F3954/$E$3949</f>
        <v>0</v>
      </c>
      <c r="H3954" s="1">
        <f ca="1" t="shared" ref="H3954:H3985" si="1173">SUM(C3954:E3954)+G3954</f>
        <v>400</v>
      </c>
    </row>
    <row r="3955" spans="2:8">
      <c r="B3955" s="7">
        <v>0.1</v>
      </c>
      <c r="C3955" s="30">
        <v>200</v>
      </c>
      <c r="D3955" s="30">
        <v>100</v>
      </c>
      <c r="E3955" s="30">
        <v>100</v>
      </c>
      <c r="F3955" s="8">
        <f ca="1" t="shared" si="1171"/>
        <v>209790</v>
      </c>
      <c r="G3955" s="1">
        <f ca="1" t="shared" si="1172"/>
        <v>5.24475</v>
      </c>
      <c r="H3955" s="1">
        <f ca="1" t="shared" si="1173"/>
        <v>405.24475</v>
      </c>
    </row>
    <row r="3956" spans="2:8">
      <c r="B3956" s="7">
        <v>0.2</v>
      </c>
      <c r="C3956" s="30">
        <v>200</v>
      </c>
      <c r="D3956" s="30">
        <v>100</v>
      </c>
      <c r="E3956" s="30">
        <v>100</v>
      </c>
      <c r="F3956" s="8">
        <f ca="1" t="shared" si="1171"/>
        <v>209790</v>
      </c>
      <c r="G3956" s="1">
        <f ca="1" t="shared" si="1172"/>
        <v>5.24475</v>
      </c>
      <c r="H3956" s="1">
        <f ca="1" t="shared" si="1173"/>
        <v>405.24475</v>
      </c>
    </row>
    <row r="3957" spans="2:8">
      <c r="B3957" s="7">
        <v>0.3</v>
      </c>
      <c r="C3957" s="30">
        <v>200</v>
      </c>
      <c r="D3957" s="30">
        <v>100</v>
      </c>
      <c r="E3957" s="30">
        <v>100</v>
      </c>
      <c r="F3957" s="8">
        <f ca="1" t="shared" si="1171"/>
        <v>209790</v>
      </c>
      <c r="G3957" s="1">
        <f ca="1" t="shared" si="1172"/>
        <v>5.24475</v>
      </c>
      <c r="H3957" s="1">
        <f ca="1" t="shared" si="1173"/>
        <v>405.24475</v>
      </c>
    </row>
    <row r="3958" spans="2:8">
      <c r="B3958" s="7">
        <v>0.4</v>
      </c>
      <c r="C3958" s="30">
        <v>200</v>
      </c>
      <c r="D3958" s="30">
        <v>100</v>
      </c>
      <c r="E3958" s="30">
        <v>100</v>
      </c>
      <c r="F3958" s="8">
        <f ca="1" t="shared" si="1171"/>
        <v>209790</v>
      </c>
      <c r="G3958" s="1">
        <f ca="1" t="shared" si="1172"/>
        <v>5.24475</v>
      </c>
      <c r="H3958" s="1">
        <f ca="1" t="shared" si="1173"/>
        <v>405.24475</v>
      </c>
    </row>
    <row r="3959" spans="2:8">
      <c r="B3959" s="7">
        <v>0.5</v>
      </c>
      <c r="C3959" s="30">
        <v>200</v>
      </c>
      <c r="D3959" s="30">
        <v>100</v>
      </c>
      <c r="E3959" s="30">
        <v>100</v>
      </c>
      <c r="F3959" s="8">
        <f ca="1" t="shared" si="1171"/>
        <v>219780</v>
      </c>
      <c r="G3959" s="1">
        <f ca="1" t="shared" si="1172"/>
        <v>5.4945</v>
      </c>
      <c r="H3959" s="1">
        <f ca="1" t="shared" si="1173"/>
        <v>405.4945</v>
      </c>
    </row>
    <row r="3960" spans="2:8">
      <c r="B3960" s="7">
        <v>0.6</v>
      </c>
      <c r="C3960" s="30">
        <v>200</v>
      </c>
      <c r="D3960" s="30">
        <v>100</v>
      </c>
      <c r="E3960" s="30">
        <v>100</v>
      </c>
      <c r="F3960" s="8">
        <f ca="1" t="shared" si="1171"/>
        <v>219780</v>
      </c>
      <c r="G3960" s="1">
        <f ca="1" t="shared" si="1172"/>
        <v>5.4945</v>
      </c>
      <c r="H3960" s="1">
        <f ca="1" t="shared" si="1173"/>
        <v>405.4945</v>
      </c>
    </row>
    <row r="3961" spans="2:8">
      <c r="B3961" s="7">
        <v>0.7</v>
      </c>
      <c r="C3961" s="30">
        <v>200</v>
      </c>
      <c r="D3961" s="30">
        <v>100</v>
      </c>
      <c r="E3961" s="30">
        <v>100</v>
      </c>
      <c r="F3961" s="8">
        <f ca="1" t="shared" si="1171"/>
        <v>219780</v>
      </c>
      <c r="G3961" s="1">
        <f ca="1" t="shared" si="1172"/>
        <v>5.4945</v>
      </c>
      <c r="H3961" s="1">
        <f ca="1" t="shared" si="1173"/>
        <v>405.4945</v>
      </c>
    </row>
    <row r="3962" spans="2:8">
      <c r="B3962" s="7">
        <v>0.8</v>
      </c>
      <c r="C3962" s="30">
        <v>200</v>
      </c>
      <c r="D3962" s="30">
        <v>100</v>
      </c>
      <c r="E3962" s="30">
        <v>100</v>
      </c>
      <c r="F3962" s="8">
        <f ca="1" t="shared" si="1171"/>
        <v>219780</v>
      </c>
      <c r="G3962" s="1">
        <f ca="1" t="shared" si="1172"/>
        <v>5.4945</v>
      </c>
      <c r="H3962" s="1">
        <f ca="1" t="shared" si="1173"/>
        <v>405.4945</v>
      </c>
    </row>
    <row r="3963" spans="2:8">
      <c r="B3963" s="7">
        <v>0.9</v>
      </c>
      <c r="C3963" s="30">
        <v>200</v>
      </c>
      <c r="D3963" s="30">
        <v>100</v>
      </c>
      <c r="E3963" s="30">
        <v>100</v>
      </c>
      <c r="F3963" s="8">
        <f ca="1" t="shared" si="1171"/>
        <v>219780</v>
      </c>
      <c r="G3963" s="1">
        <f ca="1" t="shared" si="1172"/>
        <v>5.4945</v>
      </c>
      <c r="H3963" s="1">
        <f ca="1" t="shared" si="1173"/>
        <v>405.4945</v>
      </c>
    </row>
    <row r="3964" spans="2:8">
      <c r="B3964" s="7">
        <v>1</v>
      </c>
      <c r="C3964" s="30">
        <v>200</v>
      </c>
      <c r="D3964" s="30">
        <v>100</v>
      </c>
      <c r="E3964" s="30">
        <v>100</v>
      </c>
      <c r="F3964" s="8">
        <f ca="1" t="shared" si="1171"/>
        <v>439560</v>
      </c>
      <c r="G3964" s="1">
        <f ca="1" t="shared" si="1172"/>
        <v>10.989</v>
      </c>
      <c r="H3964" s="1">
        <f ca="1" t="shared" si="1173"/>
        <v>410.989</v>
      </c>
    </row>
    <row r="3965" spans="2:8">
      <c r="B3965" s="9">
        <v>1.5</v>
      </c>
      <c r="C3965" s="30">
        <v>200</v>
      </c>
      <c r="D3965" s="30">
        <v>100</v>
      </c>
      <c r="E3965" s="30">
        <v>100</v>
      </c>
      <c r="F3965" s="8">
        <f ca="1" t="shared" si="1171"/>
        <v>943056</v>
      </c>
      <c r="G3965" s="1">
        <f ca="1" t="shared" si="1172"/>
        <v>23.5764</v>
      </c>
      <c r="H3965" s="1">
        <f ca="1" t="shared" si="1173"/>
        <v>423.5764</v>
      </c>
    </row>
    <row r="3966" spans="2:8">
      <c r="B3966" s="9">
        <v>2</v>
      </c>
      <c r="C3966" s="30">
        <v>200</v>
      </c>
      <c r="D3966" s="30">
        <v>100</v>
      </c>
      <c r="E3966" s="30">
        <v>100</v>
      </c>
      <c r="F3966" s="8">
        <f ca="1" t="shared" si="1171"/>
        <v>1022976</v>
      </c>
      <c r="G3966" s="1">
        <f ca="1" t="shared" si="1172"/>
        <v>25.5744</v>
      </c>
      <c r="H3966" s="1">
        <f ca="1" t="shared" si="1173"/>
        <v>425.5744</v>
      </c>
    </row>
    <row r="3967" spans="2:8">
      <c r="B3967" s="9">
        <v>2.5</v>
      </c>
      <c r="C3967" s="30">
        <v>200</v>
      </c>
      <c r="D3967" s="30">
        <v>100</v>
      </c>
      <c r="E3967" s="30">
        <v>100</v>
      </c>
      <c r="F3967" s="8">
        <f ca="1" t="shared" si="1171"/>
        <v>1534464</v>
      </c>
      <c r="G3967" s="1">
        <f ca="1" t="shared" si="1172"/>
        <v>38.3616</v>
      </c>
      <c r="H3967" s="1">
        <f ca="1" t="shared" si="1173"/>
        <v>438.3616</v>
      </c>
    </row>
    <row r="3968" spans="2:8">
      <c r="B3968" s="9">
        <v>3</v>
      </c>
      <c r="C3968" s="30">
        <v>200</v>
      </c>
      <c r="D3968" s="30">
        <v>100</v>
      </c>
      <c r="E3968" s="30">
        <v>100</v>
      </c>
      <c r="F3968" s="8">
        <f ca="1" t="shared" si="1171"/>
        <v>1534464</v>
      </c>
      <c r="G3968" s="1">
        <f ca="1" t="shared" si="1172"/>
        <v>38.3616</v>
      </c>
      <c r="H3968" s="1">
        <f ca="1" t="shared" si="1173"/>
        <v>438.3616</v>
      </c>
    </row>
    <row r="3969" spans="2:8">
      <c r="B3969" s="9">
        <v>3.5</v>
      </c>
      <c r="C3969" s="30">
        <v>200</v>
      </c>
      <c r="D3969" s="30">
        <v>100</v>
      </c>
      <c r="E3969" s="30">
        <v>100</v>
      </c>
      <c r="F3969" s="8">
        <f ca="1" t="shared" si="1171"/>
        <v>2045952</v>
      </c>
      <c r="G3969" s="1">
        <f ca="1" t="shared" si="1172"/>
        <v>51.1488</v>
      </c>
      <c r="H3969" s="1">
        <f ca="1" t="shared" si="1173"/>
        <v>451.1488</v>
      </c>
    </row>
    <row r="3970" spans="2:8">
      <c r="B3970" s="9">
        <v>4</v>
      </c>
      <c r="C3970" s="30">
        <v>200</v>
      </c>
      <c r="D3970" s="30">
        <v>100</v>
      </c>
      <c r="E3970" s="30">
        <v>100</v>
      </c>
      <c r="F3970" s="8">
        <f ca="1" t="shared" si="1171"/>
        <v>3068928</v>
      </c>
      <c r="G3970" s="1">
        <f ca="1" t="shared" si="1172"/>
        <v>76.7232</v>
      </c>
      <c r="H3970" s="1">
        <f ca="1" t="shared" si="1173"/>
        <v>476.7232</v>
      </c>
    </row>
    <row r="3971" spans="2:8">
      <c r="B3971" s="9">
        <v>4.5</v>
      </c>
      <c r="C3971" s="30">
        <v>200</v>
      </c>
      <c r="D3971" s="30">
        <v>100</v>
      </c>
      <c r="E3971" s="30">
        <v>100</v>
      </c>
      <c r="F3971" s="8">
        <f ca="1" t="shared" si="1171"/>
        <v>3836160</v>
      </c>
      <c r="G3971" s="1">
        <f ca="1" t="shared" si="1172"/>
        <v>95.904</v>
      </c>
      <c r="H3971" s="1">
        <f ca="1" t="shared" si="1173"/>
        <v>495.904</v>
      </c>
    </row>
    <row r="3972" spans="2:8">
      <c r="B3972" s="9">
        <v>5</v>
      </c>
      <c r="C3972" s="30">
        <v>200</v>
      </c>
      <c r="D3972" s="30">
        <v>100</v>
      </c>
      <c r="E3972" s="30">
        <v>100</v>
      </c>
      <c r="F3972" s="8">
        <f ca="1" t="shared" si="1171"/>
        <v>3836160</v>
      </c>
      <c r="G3972" s="1">
        <f ca="1" t="shared" si="1172"/>
        <v>95.904</v>
      </c>
      <c r="H3972" s="1">
        <f ca="1" t="shared" si="1173"/>
        <v>495.904</v>
      </c>
    </row>
    <row r="3973" spans="2:8">
      <c r="B3973" s="9">
        <v>5.5</v>
      </c>
      <c r="C3973" s="30">
        <v>200</v>
      </c>
      <c r="D3973" s="30">
        <v>100</v>
      </c>
      <c r="E3973" s="30">
        <v>100</v>
      </c>
      <c r="F3973" s="8">
        <f ca="1" t="shared" si="1171"/>
        <v>4603392</v>
      </c>
      <c r="G3973" s="1">
        <f ca="1" t="shared" si="1172"/>
        <v>115.0848</v>
      </c>
      <c r="H3973" s="1">
        <f ca="1" t="shared" si="1173"/>
        <v>515.0848</v>
      </c>
    </row>
    <row r="3974" spans="2:8">
      <c r="B3974" s="9">
        <v>6</v>
      </c>
      <c r="C3974" s="30">
        <v>200</v>
      </c>
      <c r="D3974" s="30">
        <v>100</v>
      </c>
      <c r="E3974" s="30">
        <v>100</v>
      </c>
      <c r="F3974" s="8">
        <f ca="1" t="shared" si="1171"/>
        <v>4783212</v>
      </c>
      <c r="G3974" s="1">
        <f ca="1" t="shared" si="1172"/>
        <v>119.5803</v>
      </c>
      <c r="H3974" s="1">
        <f ca="1" t="shared" si="1173"/>
        <v>519.5803</v>
      </c>
    </row>
    <row r="3975" spans="2:8">
      <c r="B3975" s="9">
        <v>6.5</v>
      </c>
      <c r="C3975" s="30">
        <v>200</v>
      </c>
      <c r="D3975" s="30">
        <v>100</v>
      </c>
      <c r="E3975" s="30">
        <v>100</v>
      </c>
      <c r="F3975" s="8">
        <f ca="1" t="shared" si="1171"/>
        <v>5580414</v>
      </c>
      <c r="G3975" s="1">
        <f ca="1" t="shared" si="1172"/>
        <v>139.51035</v>
      </c>
      <c r="H3975" s="1">
        <f ca="1" t="shared" si="1173"/>
        <v>539.51035</v>
      </c>
    </row>
    <row r="3976" spans="2:8">
      <c r="B3976" s="9">
        <v>7</v>
      </c>
      <c r="C3976" s="30">
        <v>200</v>
      </c>
      <c r="D3976" s="30">
        <v>100</v>
      </c>
      <c r="E3976" s="30">
        <v>100</v>
      </c>
      <c r="F3976" s="8">
        <f ca="1" t="shared" si="1171"/>
        <v>5580414</v>
      </c>
      <c r="G3976" s="1">
        <f ca="1" t="shared" si="1172"/>
        <v>139.51035</v>
      </c>
      <c r="H3976" s="1">
        <f ca="1" t="shared" si="1173"/>
        <v>539.51035</v>
      </c>
    </row>
    <row r="3977" spans="2:8">
      <c r="B3977" s="10">
        <v>8</v>
      </c>
      <c r="C3977" s="30">
        <v>200</v>
      </c>
      <c r="D3977" s="30">
        <v>100</v>
      </c>
      <c r="E3977" s="30">
        <v>100</v>
      </c>
      <c r="F3977" s="8">
        <f ca="1" t="shared" si="1171"/>
        <v>7096896</v>
      </c>
      <c r="G3977" s="1">
        <f ca="1" t="shared" si="1172"/>
        <v>177.4224</v>
      </c>
      <c r="H3977" s="1">
        <f ca="1" t="shared" si="1173"/>
        <v>577.4224</v>
      </c>
    </row>
    <row r="3978" spans="2:8">
      <c r="B3978" s="10">
        <v>9</v>
      </c>
      <c r="C3978" s="30">
        <v>200</v>
      </c>
      <c r="D3978" s="30">
        <v>100</v>
      </c>
      <c r="E3978" s="30">
        <v>100</v>
      </c>
      <c r="F3978" s="8">
        <f ca="1" t="shared" si="1171"/>
        <v>7984008</v>
      </c>
      <c r="G3978" s="1">
        <f ca="1" t="shared" si="1172"/>
        <v>199.6002</v>
      </c>
      <c r="H3978" s="1">
        <f ca="1" t="shared" si="1173"/>
        <v>599.6002</v>
      </c>
    </row>
    <row r="3979" spans="2:8">
      <c r="B3979" s="10">
        <v>10</v>
      </c>
      <c r="C3979" s="30">
        <v>200</v>
      </c>
      <c r="D3979" s="30">
        <v>100</v>
      </c>
      <c r="E3979" s="30">
        <v>100</v>
      </c>
      <c r="F3979" s="8">
        <f ca="1" t="shared" si="1171"/>
        <v>9590400</v>
      </c>
      <c r="G3979" s="1">
        <f ca="1" t="shared" si="1172"/>
        <v>239.76</v>
      </c>
      <c r="H3979" s="1">
        <f ca="1" t="shared" si="1173"/>
        <v>639.76</v>
      </c>
    </row>
    <row r="3980" spans="2:8">
      <c r="B3980" s="10">
        <v>11</v>
      </c>
      <c r="C3980" s="30">
        <v>200</v>
      </c>
      <c r="D3980" s="30">
        <v>100</v>
      </c>
      <c r="E3980" s="30">
        <v>100</v>
      </c>
      <c r="F3980" s="8">
        <f ca="1" t="shared" si="1171"/>
        <v>9590400</v>
      </c>
      <c r="G3980" s="1">
        <f ca="1" t="shared" si="1172"/>
        <v>239.76</v>
      </c>
      <c r="H3980" s="1">
        <f ca="1" t="shared" si="1173"/>
        <v>639.76</v>
      </c>
    </row>
    <row r="3981" spans="2:8">
      <c r="B3981" s="10">
        <v>12</v>
      </c>
      <c r="C3981" s="30">
        <v>200</v>
      </c>
      <c r="D3981" s="30">
        <v>100</v>
      </c>
      <c r="E3981" s="30">
        <v>100</v>
      </c>
      <c r="F3981" s="8">
        <f ca="1" t="shared" si="1171"/>
        <v>9590400</v>
      </c>
      <c r="G3981" s="1">
        <f ca="1" t="shared" si="1172"/>
        <v>239.76</v>
      </c>
      <c r="H3981" s="1">
        <f ca="1" t="shared" si="1173"/>
        <v>639.76</v>
      </c>
    </row>
    <row r="3982" spans="2:8">
      <c r="B3982" s="10">
        <v>13</v>
      </c>
      <c r="C3982" s="30">
        <v>200</v>
      </c>
      <c r="D3982" s="30">
        <v>100</v>
      </c>
      <c r="E3982" s="30">
        <v>100</v>
      </c>
      <c r="F3982" s="8">
        <f ca="1" t="shared" si="1171"/>
        <v>9590400</v>
      </c>
      <c r="G3982" s="1">
        <f ca="1" t="shared" si="1172"/>
        <v>239.76</v>
      </c>
      <c r="H3982" s="1">
        <f ca="1" t="shared" si="1173"/>
        <v>639.76</v>
      </c>
    </row>
    <row r="3983" spans="2:8">
      <c r="B3983" s="10">
        <v>14</v>
      </c>
      <c r="C3983" s="30">
        <v>200</v>
      </c>
      <c r="D3983" s="30">
        <v>100</v>
      </c>
      <c r="E3983" s="30">
        <v>100</v>
      </c>
      <c r="F3983" s="8">
        <f ca="1" t="shared" si="1171"/>
        <v>12787200</v>
      </c>
      <c r="G3983" s="1">
        <f ca="1" t="shared" si="1172"/>
        <v>319.68</v>
      </c>
      <c r="H3983" s="1">
        <f ca="1" t="shared" si="1173"/>
        <v>719.68</v>
      </c>
    </row>
    <row r="3984" spans="2:8">
      <c r="B3984" s="10">
        <v>15</v>
      </c>
      <c r="C3984" s="30">
        <v>200</v>
      </c>
      <c r="D3984" s="30">
        <v>100</v>
      </c>
      <c r="E3984" s="30">
        <v>100</v>
      </c>
      <c r="F3984" s="8">
        <f ca="1" t="shared" si="1171"/>
        <v>12787200</v>
      </c>
      <c r="G3984" s="1">
        <f ca="1" t="shared" si="1172"/>
        <v>319.68</v>
      </c>
      <c r="H3984" s="1">
        <f ca="1" t="shared" si="1173"/>
        <v>719.68</v>
      </c>
    </row>
    <row r="3985" spans="2:8">
      <c r="B3985" s="10">
        <v>16</v>
      </c>
      <c r="C3985" s="30">
        <v>200</v>
      </c>
      <c r="D3985" s="30">
        <v>100</v>
      </c>
      <c r="E3985" s="30">
        <v>100</v>
      </c>
      <c r="F3985" s="8">
        <f ca="1" t="shared" si="1171"/>
        <v>12787200</v>
      </c>
      <c r="G3985" s="1">
        <f ca="1" t="shared" si="1172"/>
        <v>319.68</v>
      </c>
      <c r="H3985" s="1">
        <f ca="1" t="shared" si="1173"/>
        <v>719.68</v>
      </c>
    </row>
    <row r="3986" spans="2:8">
      <c r="B3986" s="10">
        <v>17</v>
      </c>
      <c r="C3986" s="30">
        <v>200</v>
      </c>
      <c r="D3986" s="30">
        <v>100</v>
      </c>
      <c r="E3986" s="30">
        <v>100</v>
      </c>
      <c r="F3986" s="8">
        <f ca="1" t="shared" ref="F3986:F4017" si="1174">K2526</f>
        <v>12787200</v>
      </c>
      <c r="G3986" s="1">
        <f ca="1" t="shared" ref="G3986:G4017" si="1175">F3986/$E$3949</f>
        <v>319.68</v>
      </c>
      <c r="H3986" s="1">
        <f ca="1" t="shared" ref="H3986:H4017" si="1176">SUM(C3986:E3986)+G3986</f>
        <v>719.68</v>
      </c>
    </row>
    <row r="3987" spans="2:8">
      <c r="B3987" s="10">
        <v>18</v>
      </c>
      <c r="C3987" s="30">
        <v>200</v>
      </c>
      <c r="D3987" s="30">
        <v>100</v>
      </c>
      <c r="E3987" s="30">
        <v>100</v>
      </c>
      <c r="F3987" s="8">
        <f ca="1" t="shared" si="1174"/>
        <v>12787200</v>
      </c>
      <c r="G3987" s="1">
        <f ca="1" t="shared" si="1175"/>
        <v>319.68</v>
      </c>
      <c r="H3987" s="1">
        <f ca="1" t="shared" si="1176"/>
        <v>719.68</v>
      </c>
    </row>
    <row r="3988" spans="2:8">
      <c r="B3988" s="10">
        <v>19</v>
      </c>
      <c r="C3988" s="30">
        <v>200</v>
      </c>
      <c r="D3988" s="30">
        <v>100</v>
      </c>
      <c r="E3988" s="30">
        <v>100</v>
      </c>
      <c r="F3988" s="8">
        <f ca="1" t="shared" si="1174"/>
        <v>12787200</v>
      </c>
      <c r="G3988" s="1">
        <f ca="1" t="shared" si="1175"/>
        <v>319.68</v>
      </c>
      <c r="H3988" s="1">
        <f ca="1" t="shared" si="1176"/>
        <v>719.68</v>
      </c>
    </row>
    <row r="3989" spans="2:8">
      <c r="B3989" s="10">
        <v>20</v>
      </c>
      <c r="C3989" s="30">
        <v>200</v>
      </c>
      <c r="D3989" s="30">
        <v>100</v>
      </c>
      <c r="E3989" s="30">
        <v>100</v>
      </c>
      <c r="F3989" s="8">
        <f ca="1" t="shared" si="1174"/>
        <v>13186800</v>
      </c>
      <c r="G3989" s="1">
        <f ca="1" t="shared" si="1175"/>
        <v>329.67</v>
      </c>
      <c r="H3989" s="1">
        <f ca="1" t="shared" si="1176"/>
        <v>729.67</v>
      </c>
    </row>
    <row r="3990" spans="2:8">
      <c r="B3990" s="10">
        <v>21</v>
      </c>
      <c r="C3990" s="30">
        <v>200</v>
      </c>
      <c r="D3990" s="30">
        <v>100</v>
      </c>
      <c r="E3990" s="30">
        <v>100</v>
      </c>
      <c r="F3990" s="8">
        <f ca="1" t="shared" si="1174"/>
        <v>13186800</v>
      </c>
      <c r="G3990" s="1">
        <f ca="1" t="shared" si="1175"/>
        <v>329.67</v>
      </c>
      <c r="H3990" s="1">
        <f ca="1" t="shared" si="1176"/>
        <v>729.67</v>
      </c>
    </row>
    <row r="3991" spans="2:8">
      <c r="B3991" s="10">
        <v>22</v>
      </c>
      <c r="C3991" s="30">
        <v>200</v>
      </c>
      <c r="D3991" s="30">
        <v>100</v>
      </c>
      <c r="E3991" s="30">
        <v>100</v>
      </c>
      <c r="F3991" s="8">
        <f ca="1" t="shared" si="1174"/>
        <v>13186800</v>
      </c>
      <c r="G3991" s="1">
        <f ca="1" t="shared" si="1175"/>
        <v>329.67</v>
      </c>
      <c r="H3991" s="1">
        <f ca="1" t="shared" si="1176"/>
        <v>729.67</v>
      </c>
    </row>
    <row r="3992" spans="2:8">
      <c r="B3992" s="10">
        <v>23</v>
      </c>
      <c r="C3992" s="30">
        <v>200</v>
      </c>
      <c r="D3992" s="30">
        <v>100</v>
      </c>
      <c r="E3992" s="30">
        <v>100</v>
      </c>
      <c r="F3992" s="8">
        <f ca="1" t="shared" si="1174"/>
        <v>13186800</v>
      </c>
      <c r="G3992" s="1">
        <f ca="1" t="shared" si="1175"/>
        <v>329.67</v>
      </c>
      <c r="H3992" s="1">
        <f ca="1" t="shared" si="1176"/>
        <v>729.67</v>
      </c>
    </row>
    <row r="3993" spans="2:8">
      <c r="B3993" s="10">
        <v>24</v>
      </c>
      <c r="C3993" s="30">
        <v>200</v>
      </c>
      <c r="D3993" s="30">
        <v>100</v>
      </c>
      <c r="E3993" s="30">
        <v>100</v>
      </c>
      <c r="F3993" s="8">
        <f ca="1" t="shared" si="1174"/>
        <v>14785200</v>
      </c>
      <c r="G3993" s="1">
        <f ca="1" t="shared" si="1175"/>
        <v>369.63</v>
      </c>
      <c r="H3993" s="1">
        <f ca="1" t="shared" si="1176"/>
        <v>769.63</v>
      </c>
    </row>
    <row r="3994" spans="2:8">
      <c r="B3994" s="10">
        <v>25</v>
      </c>
      <c r="C3994" s="30">
        <v>200</v>
      </c>
      <c r="D3994" s="30">
        <v>100</v>
      </c>
      <c r="E3994" s="30">
        <v>100</v>
      </c>
      <c r="F3994" s="8">
        <f ca="1" t="shared" si="1174"/>
        <v>14785200</v>
      </c>
      <c r="G3994" s="1">
        <f ca="1" t="shared" si="1175"/>
        <v>369.63</v>
      </c>
      <c r="H3994" s="1">
        <f ca="1" t="shared" si="1176"/>
        <v>769.63</v>
      </c>
    </row>
    <row r="3995" spans="2:8">
      <c r="B3995" s="10">
        <v>26</v>
      </c>
      <c r="C3995" s="30">
        <v>200</v>
      </c>
      <c r="D3995" s="30">
        <v>100</v>
      </c>
      <c r="E3995" s="30">
        <v>100</v>
      </c>
      <c r="F3995" s="8">
        <f ca="1" t="shared" si="1174"/>
        <v>14785200</v>
      </c>
      <c r="G3995" s="1">
        <f ca="1" t="shared" si="1175"/>
        <v>369.63</v>
      </c>
      <c r="H3995" s="1">
        <f ca="1" t="shared" si="1176"/>
        <v>769.63</v>
      </c>
    </row>
    <row r="3996" spans="2:8">
      <c r="B3996" s="10">
        <v>27</v>
      </c>
      <c r="C3996" s="30">
        <v>200</v>
      </c>
      <c r="D3996" s="30">
        <v>100</v>
      </c>
      <c r="E3996" s="30">
        <v>100</v>
      </c>
      <c r="F3996" s="8">
        <f ca="1" t="shared" si="1174"/>
        <v>14785200</v>
      </c>
      <c r="G3996" s="1">
        <f ca="1" t="shared" si="1175"/>
        <v>369.63</v>
      </c>
      <c r="H3996" s="1">
        <f ca="1" t="shared" si="1176"/>
        <v>769.63</v>
      </c>
    </row>
    <row r="3997" spans="2:8">
      <c r="B3997" s="10">
        <v>28</v>
      </c>
      <c r="C3997" s="30">
        <v>200</v>
      </c>
      <c r="D3997" s="30">
        <v>100</v>
      </c>
      <c r="E3997" s="30">
        <v>100</v>
      </c>
      <c r="F3997" s="8">
        <f ca="1" t="shared" si="1174"/>
        <v>18481500</v>
      </c>
      <c r="G3997" s="1">
        <f ca="1" t="shared" si="1175"/>
        <v>462.0375</v>
      </c>
      <c r="H3997" s="1">
        <f ca="1" t="shared" si="1176"/>
        <v>862.0375</v>
      </c>
    </row>
    <row r="3998" spans="2:8">
      <c r="B3998" s="10">
        <v>29</v>
      </c>
      <c r="C3998" s="30">
        <v>200</v>
      </c>
      <c r="D3998" s="30">
        <v>100</v>
      </c>
      <c r="E3998" s="30">
        <v>100</v>
      </c>
      <c r="F3998" s="8">
        <f ca="1" t="shared" si="1174"/>
        <v>18481500</v>
      </c>
      <c r="G3998" s="1">
        <f ca="1" t="shared" si="1175"/>
        <v>462.0375</v>
      </c>
      <c r="H3998" s="1">
        <f ca="1" t="shared" si="1176"/>
        <v>862.0375</v>
      </c>
    </row>
    <row r="3999" spans="2:8">
      <c r="B3999" s="10">
        <v>30</v>
      </c>
      <c r="C3999" s="30">
        <v>200</v>
      </c>
      <c r="D3999" s="30">
        <v>100</v>
      </c>
      <c r="E3999" s="30">
        <v>100</v>
      </c>
      <c r="F3999" s="8">
        <f ca="1" t="shared" si="1174"/>
        <v>18481500</v>
      </c>
      <c r="G3999" s="1">
        <f ca="1" t="shared" si="1175"/>
        <v>462.0375</v>
      </c>
      <c r="H3999" s="1">
        <f ca="1" t="shared" si="1176"/>
        <v>862.0375</v>
      </c>
    </row>
    <row r="4000" spans="2:8">
      <c r="B4000" s="11">
        <v>35</v>
      </c>
      <c r="C4000" s="30">
        <v>200</v>
      </c>
      <c r="D4000" s="30">
        <v>100</v>
      </c>
      <c r="E4000" s="30">
        <v>100</v>
      </c>
      <c r="F4000" s="8">
        <f ca="1" t="shared" si="1174"/>
        <v>18481500</v>
      </c>
      <c r="G4000" s="1">
        <f ca="1" t="shared" si="1175"/>
        <v>462.0375</v>
      </c>
      <c r="H4000" s="1">
        <f ca="1" t="shared" si="1176"/>
        <v>862.0375</v>
      </c>
    </row>
    <row r="4001" spans="2:8">
      <c r="B4001" s="11">
        <v>40</v>
      </c>
      <c r="C4001" s="30">
        <v>200</v>
      </c>
      <c r="D4001" s="30">
        <v>100</v>
      </c>
      <c r="E4001" s="30">
        <v>100</v>
      </c>
      <c r="F4001" s="8">
        <f ca="1" t="shared" si="1174"/>
        <v>18481500</v>
      </c>
      <c r="G4001" s="1">
        <f ca="1" t="shared" si="1175"/>
        <v>462.0375</v>
      </c>
      <c r="H4001" s="1">
        <f ca="1" t="shared" si="1176"/>
        <v>862.0375</v>
      </c>
    </row>
    <row r="4002" spans="2:8">
      <c r="B4002" s="11">
        <v>45</v>
      </c>
      <c r="C4002" s="30">
        <v>200</v>
      </c>
      <c r="D4002" s="30">
        <v>100</v>
      </c>
      <c r="E4002" s="30">
        <v>100</v>
      </c>
      <c r="F4002" s="8">
        <f ca="1" t="shared" si="1174"/>
        <v>20979000</v>
      </c>
      <c r="G4002" s="1">
        <f ca="1" t="shared" si="1175"/>
        <v>524.475</v>
      </c>
      <c r="H4002" s="1">
        <f ca="1" t="shared" si="1176"/>
        <v>924.475</v>
      </c>
    </row>
    <row r="4003" spans="2:8">
      <c r="B4003" s="11">
        <v>50</v>
      </c>
      <c r="C4003" s="30">
        <v>200</v>
      </c>
      <c r="D4003" s="30">
        <v>100</v>
      </c>
      <c r="E4003" s="30">
        <v>100</v>
      </c>
      <c r="F4003" s="8">
        <f ca="1" t="shared" si="1174"/>
        <v>20979000</v>
      </c>
      <c r="G4003" s="1">
        <f ca="1" t="shared" si="1175"/>
        <v>524.475</v>
      </c>
      <c r="H4003" s="1">
        <f ca="1" t="shared" si="1176"/>
        <v>924.475</v>
      </c>
    </row>
    <row r="4004" spans="2:8">
      <c r="B4004" s="11">
        <v>55</v>
      </c>
      <c r="C4004" s="30">
        <v>200</v>
      </c>
      <c r="D4004" s="30">
        <v>100</v>
      </c>
      <c r="E4004" s="30">
        <v>100</v>
      </c>
      <c r="F4004" s="8">
        <f ca="1" t="shared" si="1174"/>
        <v>20979000</v>
      </c>
      <c r="G4004" s="1">
        <f ca="1" t="shared" si="1175"/>
        <v>524.475</v>
      </c>
      <c r="H4004" s="1">
        <f ca="1" t="shared" si="1176"/>
        <v>924.475</v>
      </c>
    </row>
    <row r="4005" spans="2:8">
      <c r="B4005" s="11">
        <v>60</v>
      </c>
      <c r="C4005" s="30">
        <v>200</v>
      </c>
      <c r="D4005" s="30">
        <v>100</v>
      </c>
      <c r="E4005" s="30">
        <v>100</v>
      </c>
      <c r="F4005" s="8">
        <f ca="1" t="shared" si="1174"/>
        <v>22477500</v>
      </c>
      <c r="G4005" s="1">
        <f ca="1" t="shared" si="1175"/>
        <v>561.9375</v>
      </c>
      <c r="H4005" s="1">
        <f ca="1" t="shared" si="1176"/>
        <v>961.9375</v>
      </c>
    </row>
    <row r="4006" spans="2:8">
      <c r="B4006" s="11">
        <v>65</v>
      </c>
      <c r="C4006" s="30">
        <v>200</v>
      </c>
      <c r="D4006" s="30">
        <v>100</v>
      </c>
      <c r="E4006" s="30">
        <v>100</v>
      </c>
      <c r="F4006" s="8">
        <f ca="1" t="shared" si="1174"/>
        <v>22477500</v>
      </c>
      <c r="G4006" s="1">
        <f ca="1" t="shared" si="1175"/>
        <v>561.9375</v>
      </c>
      <c r="H4006" s="1">
        <f ca="1" t="shared" si="1176"/>
        <v>961.9375</v>
      </c>
    </row>
    <row r="4007" spans="2:8">
      <c r="B4007" s="11">
        <v>70</v>
      </c>
      <c r="C4007" s="30">
        <v>200</v>
      </c>
      <c r="D4007" s="30">
        <v>100</v>
      </c>
      <c r="E4007" s="30">
        <v>100</v>
      </c>
      <c r="F4007" s="8">
        <f ca="1" t="shared" si="1174"/>
        <v>22477500</v>
      </c>
      <c r="G4007" s="1">
        <f ca="1" t="shared" si="1175"/>
        <v>561.9375</v>
      </c>
      <c r="H4007" s="1">
        <f ca="1" t="shared" si="1176"/>
        <v>961.9375</v>
      </c>
    </row>
    <row r="4008" spans="2:8">
      <c r="B4008" s="11">
        <v>75</v>
      </c>
      <c r="C4008" s="30">
        <v>200</v>
      </c>
      <c r="D4008" s="30">
        <v>100</v>
      </c>
      <c r="E4008" s="30">
        <v>100</v>
      </c>
      <c r="F4008" s="8">
        <f ca="1" t="shared" si="1174"/>
        <v>22477500</v>
      </c>
      <c r="G4008" s="1">
        <f ca="1" t="shared" si="1175"/>
        <v>561.9375</v>
      </c>
      <c r="H4008" s="1">
        <f ca="1" t="shared" si="1176"/>
        <v>961.9375</v>
      </c>
    </row>
    <row r="4009" spans="2:8">
      <c r="B4009" s="11">
        <v>80</v>
      </c>
      <c r="C4009" s="30">
        <v>200</v>
      </c>
      <c r="D4009" s="30">
        <v>100</v>
      </c>
      <c r="E4009" s="30">
        <v>100</v>
      </c>
      <c r="F4009" s="8">
        <f ca="1" t="shared" si="1174"/>
        <v>22477500</v>
      </c>
      <c r="G4009" s="1">
        <f ca="1" t="shared" si="1175"/>
        <v>561.9375</v>
      </c>
      <c r="H4009" s="1">
        <f ca="1" t="shared" si="1176"/>
        <v>961.9375</v>
      </c>
    </row>
    <row r="4010" spans="2:8">
      <c r="B4010" s="11">
        <v>85</v>
      </c>
      <c r="C4010" s="30">
        <v>200</v>
      </c>
      <c r="D4010" s="30">
        <v>100</v>
      </c>
      <c r="E4010" s="30">
        <v>100</v>
      </c>
      <c r="F4010" s="8">
        <f ca="1" t="shared" si="1174"/>
        <v>22477500</v>
      </c>
      <c r="G4010" s="1">
        <f ca="1" t="shared" si="1175"/>
        <v>561.9375</v>
      </c>
      <c r="H4010" s="1">
        <f ca="1" t="shared" si="1176"/>
        <v>961.9375</v>
      </c>
    </row>
    <row r="4011" spans="2:8">
      <c r="B4011" s="11">
        <v>90</v>
      </c>
      <c r="C4011" s="30">
        <v>200</v>
      </c>
      <c r="D4011" s="30">
        <v>100</v>
      </c>
      <c r="E4011" s="30">
        <v>100</v>
      </c>
      <c r="F4011" s="8">
        <f ca="1" t="shared" si="1174"/>
        <v>22977000</v>
      </c>
      <c r="G4011" s="1">
        <f ca="1" t="shared" si="1175"/>
        <v>574.425</v>
      </c>
      <c r="H4011" s="1">
        <f ca="1" t="shared" si="1176"/>
        <v>974.425</v>
      </c>
    </row>
    <row r="4012" spans="2:8">
      <c r="B4012" s="11">
        <v>95</v>
      </c>
      <c r="C4012" s="30">
        <v>200</v>
      </c>
      <c r="D4012" s="30">
        <v>100</v>
      </c>
      <c r="E4012" s="30">
        <v>100</v>
      </c>
      <c r="F4012" s="8">
        <f ca="1" t="shared" si="1174"/>
        <v>22977000</v>
      </c>
      <c r="G4012" s="1">
        <f ca="1" t="shared" si="1175"/>
        <v>574.425</v>
      </c>
      <c r="H4012" s="1">
        <f ca="1" t="shared" si="1176"/>
        <v>974.425</v>
      </c>
    </row>
    <row r="4013" spans="2:8">
      <c r="B4013" s="11">
        <v>100</v>
      </c>
      <c r="C4013" s="30">
        <v>200</v>
      </c>
      <c r="D4013" s="30">
        <v>100</v>
      </c>
      <c r="E4013" s="30">
        <v>100</v>
      </c>
      <c r="F4013" s="8">
        <f ca="1" t="shared" si="1174"/>
        <v>22977000</v>
      </c>
      <c r="G4013" s="1">
        <f ca="1" t="shared" si="1175"/>
        <v>574.425</v>
      </c>
      <c r="H4013" s="1">
        <f ca="1" t="shared" si="1176"/>
        <v>974.425</v>
      </c>
    </row>
    <row r="4014" spans="2:8">
      <c r="B4014" s="11">
        <v>105</v>
      </c>
      <c r="C4014" s="30">
        <v>200</v>
      </c>
      <c r="D4014" s="30">
        <v>100</v>
      </c>
      <c r="E4014" s="30">
        <v>100</v>
      </c>
      <c r="F4014" s="8">
        <f ca="1" t="shared" si="1174"/>
        <v>22977000</v>
      </c>
      <c r="G4014" s="1">
        <f ca="1" t="shared" si="1175"/>
        <v>574.425</v>
      </c>
      <c r="H4014" s="1">
        <f ca="1" t="shared" si="1176"/>
        <v>974.425</v>
      </c>
    </row>
    <row r="4015" spans="2:8">
      <c r="B4015" s="11">
        <v>110</v>
      </c>
      <c r="C4015" s="30">
        <v>200</v>
      </c>
      <c r="D4015" s="30">
        <v>100</v>
      </c>
      <c r="E4015" s="30">
        <v>100</v>
      </c>
      <c r="F4015" s="8">
        <f ca="1" t="shared" si="1174"/>
        <v>22977000</v>
      </c>
      <c r="G4015" s="1">
        <f ca="1" t="shared" si="1175"/>
        <v>574.425</v>
      </c>
      <c r="H4015" s="1">
        <f ca="1" t="shared" si="1176"/>
        <v>974.425</v>
      </c>
    </row>
    <row r="4016" spans="2:8">
      <c r="B4016" s="11">
        <v>115</v>
      </c>
      <c r="C4016" s="30">
        <v>200</v>
      </c>
      <c r="D4016" s="30">
        <v>100</v>
      </c>
      <c r="E4016" s="30">
        <v>100</v>
      </c>
      <c r="F4016" s="8">
        <f ca="1" t="shared" si="1174"/>
        <v>22977000</v>
      </c>
      <c r="G4016" s="1">
        <f ca="1" t="shared" si="1175"/>
        <v>574.425</v>
      </c>
      <c r="H4016" s="1">
        <f ca="1" t="shared" si="1176"/>
        <v>974.425</v>
      </c>
    </row>
    <row r="4017" spans="2:8">
      <c r="B4017" s="11">
        <v>120</v>
      </c>
      <c r="C4017" s="30">
        <v>200</v>
      </c>
      <c r="D4017" s="30">
        <v>100</v>
      </c>
      <c r="E4017" s="30">
        <v>100</v>
      </c>
      <c r="F4017" s="8">
        <f ca="1" t="shared" si="1174"/>
        <v>22977000</v>
      </c>
      <c r="G4017" s="1">
        <f ca="1" t="shared" si="1175"/>
        <v>574.425</v>
      </c>
      <c r="H4017" s="1">
        <f ca="1" t="shared" si="1176"/>
        <v>974.425</v>
      </c>
    </row>
    <row r="4018" spans="2:8">
      <c r="B4018" s="12">
        <v>150</v>
      </c>
      <c r="C4018" s="30">
        <v>200</v>
      </c>
      <c r="D4018" s="30">
        <v>100</v>
      </c>
      <c r="E4018" s="30">
        <v>100</v>
      </c>
      <c r="F4018" s="8">
        <f ca="1" t="shared" ref="F4018:F4025" si="1177">K2558</f>
        <v>27972000</v>
      </c>
      <c r="G4018" s="1">
        <f ca="1" t="shared" ref="G4018:G4025" si="1178">F4018/$E$3949</f>
        <v>699.3</v>
      </c>
      <c r="H4018" s="1">
        <f ca="1" t="shared" ref="H4018:H4025" si="1179">SUM(C4018:E4018)+G4018</f>
        <v>1099.3</v>
      </c>
    </row>
    <row r="4019" spans="2:8">
      <c r="B4019" s="12">
        <v>180</v>
      </c>
      <c r="C4019" s="30">
        <v>200</v>
      </c>
      <c r="D4019" s="30">
        <v>100</v>
      </c>
      <c r="E4019" s="30">
        <v>100</v>
      </c>
      <c r="F4019" s="8">
        <f ca="1" t="shared" si="1177"/>
        <v>27972000</v>
      </c>
      <c r="G4019" s="1">
        <f ca="1" t="shared" si="1178"/>
        <v>699.3</v>
      </c>
      <c r="H4019" s="1">
        <f ca="1" t="shared" si="1179"/>
        <v>1099.3</v>
      </c>
    </row>
    <row r="4020" spans="2:8">
      <c r="B4020" s="12">
        <v>210</v>
      </c>
      <c r="C4020" s="30">
        <v>200</v>
      </c>
      <c r="D4020" s="30">
        <v>100</v>
      </c>
      <c r="E4020" s="30">
        <v>100</v>
      </c>
      <c r="F4020" s="8">
        <f ca="1" t="shared" si="1177"/>
        <v>27972000</v>
      </c>
      <c r="G4020" s="1">
        <f ca="1" t="shared" si="1178"/>
        <v>699.3</v>
      </c>
      <c r="H4020" s="1">
        <f ca="1" t="shared" si="1179"/>
        <v>1099.3</v>
      </c>
    </row>
    <row r="4021" spans="2:8">
      <c r="B4021" s="12">
        <v>240</v>
      </c>
      <c r="C4021" s="30">
        <v>200</v>
      </c>
      <c r="D4021" s="30">
        <v>100</v>
      </c>
      <c r="E4021" s="30">
        <v>100</v>
      </c>
      <c r="F4021" s="8">
        <f ca="1" t="shared" si="1177"/>
        <v>27972000</v>
      </c>
      <c r="G4021" s="1">
        <f ca="1" t="shared" si="1178"/>
        <v>699.3</v>
      </c>
      <c r="H4021" s="1">
        <f ca="1" t="shared" si="1179"/>
        <v>1099.3</v>
      </c>
    </row>
    <row r="4022" spans="2:8">
      <c r="B4022" s="12">
        <v>270</v>
      </c>
      <c r="C4022" s="30">
        <v>200</v>
      </c>
      <c r="D4022" s="30">
        <v>100</v>
      </c>
      <c r="E4022" s="30">
        <v>100</v>
      </c>
      <c r="F4022" s="8">
        <f ca="1" t="shared" si="1177"/>
        <v>27972000</v>
      </c>
      <c r="G4022" s="1">
        <f ca="1" t="shared" si="1178"/>
        <v>699.3</v>
      </c>
      <c r="H4022" s="1">
        <f ca="1" t="shared" si="1179"/>
        <v>1099.3</v>
      </c>
    </row>
    <row r="4023" spans="2:8">
      <c r="B4023" s="12">
        <v>300</v>
      </c>
      <c r="C4023" s="30">
        <v>200</v>
      </c>
      <c r="D4023" s="30">
        <v>100</v>
      </c>
      <c r="E4023" s="30">
        <v>100</v>
      </c>
      <c r="F4023" s="8">
        <f ca="1" t="shared" si="1177"/>
        <v>27972000</v>
      </c>
      <c r="G4023" s="1">
        <f ca="1" t="shared" si="1178"/>
        <v>699.3</v>
      </c>
      <c r="H4023" s="1">
        <f ca="1" t="shared" si="1179"/>
        <v>1099.3</v>
      </c>
    </row>
    <row r="4024" spans="2:8">
      <c r="B4024" s="12">
        <v>330</v>
      </c>
      <c r="C4024" s="30">
        <v>200</v>
      </c>
      <c r="D4024" s="30">
        <v>100</v>
      </c>
      <c r="E4024" s="30">
        <v>100</v>
      </c>
      <c r="F4024" s="8">
        <f ca="1" t="shared" si="1177"/>
        <v>27972000</v>
      </c>
      <c r="G4024" s="1">
        <f ca="1" t="shared" si="1178"/>
        <v>699.3</v>
      </c>
      <c r="H4024" s="1">
        <f ca="1" t="shared" si="1179"/>
        <v>1099.3</v>
      </c>
    </row>
    <row r="4025" spans="2:8">
      <c r="B4025" s="12">
        <v>360</v>
      </c>
      <c r="C4025" s="30">
        <v>200</v>
      </c>
      <c r="D4025" s="30">
        <v>100</v>
      </c>
      <c r="E4025" s="30">
        <v>100</v>
      </c>
      <c r="F4025" s="8">
        <f ca="1" t="shared" si="1177"/>
        <v>28471500</v>
      </c>
      <c r="G4025" s="1">
        <f ca="1" t="shared" si="1178"/>
        <v>711.7875</v>
      </c>
      <c r="H4025" s="1">
        <f ca="1" t="shared" si="1179"/>
        <v>1111.7875</v>
      </c>
    </row>
    <row r="4027" spans="2:12">
      <c r="B4027" s="27" t="s">
        <v>2162</v>
      </c>
      <c r="C4027" s="27"/>
      <c r="D4027" s="27"/>
      <c r="E4027" s="27"/>
      <c r="F4027" s="27"/>
      <c r="G4027" s="27"/>
      <c r="H4027" s="27"/>
      <c r="I4027" s="27"/>
      <c r="J4027" s="27"/>
      <c r="K4027" s="27"/>
      <c r="L4027" s="27"/>
    </row>
    <row r="4029" spans="2:4">
      <c r="B4029" s="1" t="s">
        <v>1512</v>
      </c>
      <c r="D4029" s="30">
        <v>7</v>
      </c>
    </row>
    <row r="4031" spans="2:12">
      <c r="B4031" s="27" t="s">
        <v>666</v>
      </c>
      <c r="C4031" s="27"/>
      <c r="D4031" s="27"/>
      <c r="E4031" s="27"/>
      <c r="F4031" s="27"/>
      <c r="G4031" s="27"/>
      <c r="H4031" s="27"/>
      <c r="I4031" s="27"/>
      <c r="J4031" s="27"/>
      <c r="K4031" s="27"/>
      <c r="L4031" s="27"/>
    </row>
    <row r="4033" spans="2:4">
      <c r="B4033" s="1" t="s">
        <v>2163</v>
      </c>
      <c r="D4033" s="103">
        <v>2.5</v>
      </c>
    </row>
    <row r="4034" spans="2:4">
      <c r="B4034" s="1" t="s">
        <v>1523</v>
      </c>
      <c r="D4034" s="60">
        <v>1000</v>
      </c>
    </row>
    <row r="4035" spans="4:4">
      <c r="D4035" s="8"/>
    </row>
    <row r="4036" spans="2:12">
      <c r="B4036" s="27" t="s">
        <v>2164</v>
      </c>
      <c r="C4036" s="27"/>
      <c r="D4036" s="27"/>
      <c r="E4036" s="27"/>
      <c r="F4036" s="27"/>
      <c r="G4036" s="27"/>
      <c r="H4036" s="27"/>
      <c r="I4036" s="27"/>
      <c r="J4036" s="27"/>
      <c r="K4036" s="27"/>
      <c r="L4036" s="27"/>
    </row>
    <row r="4038" spans="2:15">
      <c r="B4038" s="29" t="str">
        <f>总规划!B259</f>
        <v>萝卜</v>
      </c>
      <c r="C4038" s="29" t="str">
        <f>总规划!C259</f>
        <v>单位</v>
      </c>
      <c r="D4038" s="29" t="str">
        <f>总规划!D259</f>
        <v>内部美元价</v>
      </c>
      <c r="E4038" s="29" t="str">
        <f>总规划!E259</f>
        <v>内部黄金价</v>
      </c>
      <c r="F4038" s="29" t="str">
        <f>总规划!F259</f>
        <v>显示黄金价</v>
      </c>
      <c r="G4038" s="29" t="str">
        <f>总规划!G259</f>
        <v>资源内部价</v>
      </c>
      <c r="H4038" s="29" t="str">
        <f>总规划!H259</f>
        <v>资源显示价</v>
      </c>
      <c r="I4038" s="29" t="str">
        <f>总规划!I259</f>
        <v>资源单位</v>
      </c>
      <c r="J4038" s="29" t="str">
        <f>总规划!J259</f>
        <v>战币内部价</v>
      </c>
      <c r="K4038" s="29" t="str">
        <f>总规划!K259</f>
        <v>战币显示价</v>
      </c>
      <c r="L4038" s="29" t="str">
        <f>总规划!L259</f>
        <v>战币单位</v>
      </c>
      <c r="M4038" s="29" t="str">
        <f>总规划!M259</f>
        <v>盟币内部价</v>
      </c>
      <c r="N4038" s="29" t="str">
        <f>总规划!N259</f>
        <v>盟币显示价</v>
      </c>
      <c r="O4038" s="29" t="str">
        <f>总规划!O259</f>
        <v>盟币单位</v>
      </c>
    </row>
    <row r="4039" spans="2:15">
      <c r="B4039" s="1" t="str">
        <f>总规划!B260</f>
        <v>基础资源</v>
      </c>
      <c r="C4039" s="1" t="str">
        <f>总规划!C260</f>
        <v>1M资源</v>
      </c>
      <c r="D4039" s="1">
        <f>总规划!D260</f>
        <v>0.416666666666667</v>
      </c>
      <c r="E4039" s="1">
        <f>总规划!E260</f>
        <v>500</v>
      </c>
      <c r="F4039" s="1">
        <f>总规划!F260</f>
        <v>1000</v>
      </c>
      <c r="G4039" s="1">
        <f>总规划!G260</f>
        <v>1</v>
      </c>
      <c r="H4039" s="1">
        <f>总规划!H260</f>
        <v>1</v>
      </c>
      <c r="I4039" s="1" t="str">
        <f>总规划!I260</f>
        <v>1M资源</v>
      </c>
      <c r="J4039" s="1">
        <f>总规划!J260</f>
        <v>416.666666666667</v>
      </c>
      <c r="K4039" s="1">
        <f>总规划!K260</f>
        <v>416.666666666667</v>
      </c>
      <c r="L4039" s="1" t="str">
        <f>总规划!L260</f>
        <v>1战役币</v>
      </c>
      <c r="M4039" s="1">
        <f>总规划!M260</f>
        <v>166.666666666667</v>
      </c>
      <c r="N4039" s="1">
        <f>总规划!N260</f>
        <v>166.666666666667</v>
      </c>
      <c r="O4039" s="1" t="str">
        <f>总规划!O260</f>
        <v>1联盟币</v>
      </c>
    </row>
    <row r="4040" spans="2:15">
      <c r="B4040" s="1" t="str">
        <f>总规划!B261</f>
        <v>加速</v>
      </c>
      <c r="C4040" s="1" t="str">
        <f>总规划!C261</f>
        <v>1天</v>
      </c>
      <c r="D4040" s="1">
        <f>总规划!D261</f>
        <v>1.5625</v>
      </c>
      <c r="E4040" s="1">
        <f>总规划!E261</f>
        <v>1875</v>
      </c>
      <c r="F4040" s="1">
        <f>总规划!F261</f>
        <v>4320</v>
      </c>
      <c r="G4040" s="1">
        <f>总规划!G261</f>
        <v>3.75</v>
      </c>
      <c r="H4040" s="1">
        <f>总规划!H261</f>
        <v>4.32</v>
      </c>
      <c r="I4040" s="1" t="str">
        <f>总规划!I261</f>
        <v>1M资源</v>
      </c>
      <c r="J4040" s="1">
        <f>总规划!J261</f>
        <v>1562.5</v>
      </c>
      <c r="K4040" s="1">
        <f>总规划!K261</f>
        <v>1800</v>
      </c>
      <c r="L4040" s="1" t="str">
        <f>总规划!L261</f>
        <v>1战役币</v>
      </c>
      <c r="M4040" s="1">
        <f>总规划!M261</f>
        <v>625</v>
      </c>
      <c r="N4040" s="1">
        <f>总规划!N261</f>
        <v>720</v>
      </c>
      <c r="O4040" s="1" t="str">
        <f>总规划!O261</f>
        <v>1联盟币</v>
      </c>
    </row>
    <row r="4041" spans="2:15">
      <c r="B4041" s="1" t="str">
        <f>总规划!B262</f>
        <v>卡牌</v>
      </c>
      <c r="C4041" s="1" t="str">
        <f>总规划!C262</f>
        <v>1四星卡</v>
      </c>
      <c r="D4041" s="1">
        <f>总规划!D262</f>
        <v>0.5</v>
      </c>
      <c r="E4041" s="1">
        <f>总规划!E262</f>
        <v>600</v>
      </c>
      <c r="F4041" s="1">
        <f>总规划!F262</f>
        <v>1200</v>
      </c>
      <c r="G4041" s="1">
        <f>总规划!G262</f>
        <v>1.2</v>
      </c>
      <c r="H4041" s="1">
        <f>总规划!H262</f>
        <v>1.2</v>
      </c>
      <c r="I4041" s="1" t="str">
        <f>总规划!I262</f>
        <v>1M资源</v>
      </c>
      <c r="J4041" s="1">
        <f>总规划!J262</f>
        <v>500</v>
      </c>
      <c r="K4041" s="1">
        <f>总规划!K262</f>
        <v>500</v>
      </c>
      <c r="L4041" s="1" t="str">
        <f>总规划!L262</f>
        <v>1战役币</v>
      </c>
      <c r="M4041" s="1">
        <f>总规划!M262</f>
        <v>200</v>
      </c>
      <c r="N4041" s="1">
        <f>总规划!N262</f>
        <v>200</v>
      </c>
      <c r="O4041" s="1" t="str">
        <f>总规划!O262</f>
        <v>1联盟币</v>
      </c>
    </row>
    <row r="4042" spans="2:15">
      <c r="B4042" s="1" t="str">
        <f>总规划!B263</f>
        <v>陆军经验</v>
      </c>
      <c r="C4042" s="1" t="str">
        <f>总规划!C263</f>
        <v>1M陆经</v>
      </c>
      <c r="D4042" s="1">
        <f>总规划!D263</f>
        <v>2.5</v>
      </c>
      <c r="E4042" s="1">
        <f>总规划!E263</f>
        <v>3000</v>
      </c>
      <c r="F4042" s="1">
        <f>总规划!F263</f>
        <v>6000</v>
      </c>
      <c r="G4042" s="1">
        <f>总规划!G263</f>
        <v>6</v>
      </c>
      <c r="H4042" s="1">
        <f>总规划!H263</f>
        <v>6</v>
      </c>
      <c r="I4042" s="1" t="str">
        <f>总规划!I263</f>
        <v>1M资源</v>
      </c>
      <c r="J4042" s="1">
        <f>总规划!J263</f>
        <v>2500</v>
      </c>
      <c r="K4042" s="1">
        <f>总规划!K263</f>
        <v>2500</v>
      </c>
      <c r="L4042" s="1" t="str">
        <f>总规划!L263</f>
        <v>1战役币</v>
      </c>
      <c r="M4042" s="1">
        <f>总规划!M263</f>
        <v>1000</v>
      </c>
      <c r="N4042" s="1">
        <f>总规划!N263</f>
        <v>1000</v>
      </c>
      <c r="O4042" s="1" t="str">
        <f>总规划!O263</f>
        <v>1联盟币</v>
      </c>
    </row>
    <row r="4043" spans="2:15">
      <c r="B4043" s="1" t="str">
        <f>总规划!B264</f>
        <v>弹药</v>
      </c>
      <c r="C4043" s="1" t="str">
        <f>总规划!C264</f>
        <v>1k弹药</v>
      </c>
      <c r="D4043" s="1">
        <f>总规划!D264</f>
        <v>3.75</v>
      </c>
      <c r="E4043" s="1">
        <f>总规划!E264</f>
        <v>4500</v>
      </c>
      <c r="F4043" s="1">
        <f>总规划!F264</f>
        <v>9000</v>
      </c>
      <c r="G4043" s="1">
        <f>总规划!G264</f>
        <v>9</v>
      </c>
      <c r="H4043" s="1">
        <f>总规划!H264</f>
        <v>9</v>
      </c>
      <c r="I4043" s="1" t="str">
        <f>总规划!I264</f>
        <v>1M资源</v>
      </c>
      <c r="J4043" s="1">
        <f>总规划!J264</f>
        <v>3750</v>
      </c>
      <c r="K4043" s="1">
        <f>总规划!K264</f>
        <v>3750</v>
      </c>
      <c r="L4043" s="1" t="str">
        <f>总规划!L264</f>
        <v>1战役币</v>
      </c>
      <c r="M4043" s="1">
        <f>总规划!M264</f>
        <v>1500</v>
      </c>
      <c r="N4043" s="1">
        <f>总规划!N264</f>
        <v>1500</v>
      </c>
      <c r="O4043" s="1" t="str">
        <f>总规划!O264</f>
        <v>1联盟币</v>
      </c>
    </row>
    <row r="4044" spans="2:15">
      <c r="B4044" s="1" t="str">
        <f>总规划!B265</f>
        <v>零件</v>
      </c>
      <c r="C4044" s="1" t="str">
        <f>总规划!C265</f>
        <v>1k零件</v>
      </c>
      <c r="D4044" s="1">
        <f>总规划!D265</f>
        <v>12.5</v>
      </c>
      <c r="E4044" s="1">
        <f>总规划!E265</f>
        <v>15000</v>
      </c>
      <c r="F4044" s="1">
        <f>总规划!F265</f>
        <v>30000</v>
      </c>
      <c r="G4044" s="1">
        <f>总规划!G265</f>
        <v>30</v>
      </c>
      <c r="H4044" s="1">
        <f>总规划!H265</f>
        <v>30</v>
      </c>
      <c r="I4044" s="1" t="str">
        <f>总规划!I265</f>
        <v>1M资源</v>
      </c>
      <c r="J4044" s="1">
        <f>总规划!J265</f>
        <v>12500</v>
      </c>
      <c r="K4044" s="1">
        <f>总规划!K265</f>
        <v>12500</v>
      </c>
      <c r="L4044" s="1" t="str">
        <f>总规划!L265</f>
        <v>1战役币</v>
      </c>
      <c r="M4044" s="1">
        <f>总规划!M265</f>
        <v>5000</v>
      </c>
      <c r="N4044" s="1">
        <f>总规划!N265</f>
        <v>5000</v>
      </c>
      <c r="O4044" s="1" t="str">
        <f>总规划!O265</f>
        <v>1联盟币</v>
      </c>
    </row>
    <row r="4045" spans="2:15">
      <c r="B4045" s="1" t="str">
        <f>总规划!B266</f>
        <v>配件材料</v>
      </c>
      <c r="C4045" s="1" t="str">
        <f>总规划!C266</f>
        <v>1k铜材料</v>
      </c>
      <c r="D4045" s="1">
        <f>总规划!D266</f>
        <v>2.08333333333333</v>
      </c>
      <c r="E4045" s="1">
        <f>总规划!E266</f>
        <v>2500</v>
      </c>
      <c r="F4045" s="1">
        <f>总规划!F266</f>
        <v>5000</v>
      </c>
      <c r="G4045" s="1">
        <f>总规划!G266</f>
        <v>5</v>
      </c>
      <c r="H4045" s="1">
        <f>总规划!H266</f>
        <v>5</v>
      </c>
      <c r="I4045" s="1" t="str">
        <f>总规划!I266</f>
        <v>1M资源</v>
      </c>
      <c r="J4045" s="1">
        <f>总规划!J266</f>
        <v>2083.33333333333</v>
      </c>
      <c r="K4045" s="1">
        <f>总规划!K266</f>
        <v>2083.33333333333</v>
      </c>
      <c r="L4045" s="1" t="str">
        <f>总规划!L266</f>
        <v>1战役币</v>
      </c>
      <c r="M4045" s="1">
        <f>总规划!M266</f>
        <v>833.333333333333</v>
      </c>
      <c r="N4045" s="1">
        <f>总规划!N266</f>
        <v>833.333333333333</v>
      </c>
      <c r="O4045" s="1" t="str">
        <f>总规划!O266</f>
        <v>1联盟币</v>
      </c>
    </row>
    <row r="4046" spans="2:15">
      <c r="B4046" s="1" t="str">
        <f>总规划!B267</f>
        <v>配件图纸</v>
      </c>
      <c r="C4046" s="1" t="str">
        <f>总规划!C267</f>
        <v>1金++</v>
      </c>
      <c r="D4046" s="1">
        <f>总规划!D267</f>
        <v>62.5</v>
      </c>
      <c r="E4046" s="1">
        <f>总规划!E267</f>
        <v>75000</v>
      </c>
      <c r="F4046" s="1">
        <f>总规划!F267</f>
        <v>150000</v>
      </c>
      <c r="G4046" s="1">
        <f>总规划!G267</f>
        <v>150</v>
      </c>
      <c r="H4046" s="1">
        <f>总规划!H267</f>
        <v>150</v>
      </c>
      <c r="I4046" s="1" t="str">
        <f>总规划!I267</f>
        <v>1M资源</v>
      </c>
      <c r="J4046" s="1">
        <f>总规划!J267</f>
        <v>62500</v>
      </c>
      <c r="K4046" s="1">
        <f>总规划!K267</f>
        <v>62500</v>
      </c>
      <c r="L4046" s="1" t="str">
        <f>总规划!L267</f>
        <v>1战役币</v>
      </c>
      <c r="M4046" s="1">
        <f>总规划!M267</f>
        <v>25000</v>
      </c>
      <c r="N4046" s="1">
        <f>总规划!N267</f>
        <v>25000</v>
      </c>
      <c r="O4046" s="1" t="str">
        <f>总规划!O267</f>
        <v>1联盟币</v>
      </c>
    </row>
    <row r="4047" spans="2:15">
      <c r="B4047" s="1" t="str">
        <f>总规划!B268</f>
        <v>军官经验</v>
      </c>
      <c r="C4047" s="1" t="str">
        <f>总规划!C268</f>
        <v>1M军经</v>
      </c>
      <c r="D4047" s="1">
        <f>总规划!D268</f>
        <v>6.25</v>
      </c>
      <c r="E4047" s="1">
        <f>总规划!E268</f>
        <v>7500</v>
      </c>
      <c r="F4047" s="1">
        <f>总规划!F268</f>
        <v>15000</v>
      </c>
      <c r="G4047" s="1">
        <f>总规划!G268</f>
        <v>15</v>
      </c>
      <c r="H4047" s="1">
        <f>总规划!H268</f>
        <v>15</v>
      </c>
      <c r="I4047" s="1" t="str">
        <f>总规划!I268</f>
        <v>1M资源</v>
      </c>
      <c r="J4047" s="1">
        <f>总规划!J268</f>
        <v>6250</v>
      </c>
      <c r="K4047" s="1">
        <f>总规划!K268</f>
        <v>6250</v>
      </c>
      <c r="L4047" s="1" t="str">
        <f>总规划!L268</f>
        <v>1战役币</v>
      </c>
      <c r="M4047" s="1">
        <f>总规划!M268</f>
        <v>2500</v>
      </c>
      <c r="N4047" s="1">
        <f>总规划!N268</f>
        <v>2500</v>
      </c>
      <c r="O4047" s="1" t="str">
        <f>总规划!O268</f>
        <v>1联盟币</v>
      </c>
    </row>
    <row r="4048" spans="2:15">
      <c r="B4048" s="1" t="str">
        <f>总规划!B269</f>
        <v>军官技能书</v>
      </c>
      <c r="C4048" s="1" t="str">
        <f>总规划!C269</f>
        <v>1技书</v>
      </c>
      <c r="D4048" s="1">
        <f>总规划!D269</f>
        <v>3.33333333333333</v>
      </c>
      <c r="E4048" s="1">
        <f>总规划!E269</f>
        <v>4000</v>
      </c>
      <c r="F4048" s="1">
        <f>总规划!F269</f>
        <v>8000</v>
      </c>
      <c r="G4048" s="1">
        <f>总规划!G269</f>
        <v>8</v>
      </c>
      <c r="H4048" s="1">
        <f>总规划!H269</f>
        <v>8</v>
      </c>
      <c r="I4048" s="1" t="str">
        <f>总规划!I269</f>
        <v>1M资源</v>
      </c>
      <c r="J4048" s="1">
        <f>总规划!J269</f>
        <v>3333.33333333333</v>
      </c>
      <c r="K4048" s="1">
        <f>总规划!K269</f>
        <v>3333.33333333333</v>
      </c>
      <c r="L4048" s="1" t="str">
        <f>总规划!L269</f>
        <v>1战役币</v>
      </c>
      <c r="M4048" s="1">
        <f>总规划!M269</f>
        <v>1333.33333333333</v>
      </c>
      <c r="N4048" s="1">
        <f>总规划!N269</f>
        <v>1333.33333333333</v>
      </c>
      <c r="O4048" s="1" t="str">
        <f>总规划!O269</f>
        <v>1联盟币</v>
      </c>
    </row>
    <row r="4049" spans="2:15">
      <c r="B4049" s="1" t="str">
        <f>总规划!B270</f>
        <v>阵营经验</v>
      </c>
      <c r="C4049" s="1" t="str">
        <f>总规划!C270</f>
        <v>1M阵经</v>
      </c>
      <c r="D4049" s="1">
        <f>总规划!D270</f>
        <v>69.4444444444444</v>
      </c>
      <c r="E4049" s="1">
        <f>总规划!E270</f>
        <v>83333.3333333333</v>
      </c>
      <c r="F4049" s="1">
        <f>总规划!F270</f>
        <v>166666.666666667</v>
      </c>
      <c r="G4049" s="1">
        <f>总规划!G270</f>
        <v>166.666666666667</v>
      </c>
      <c r="H4049" s="1">
        <f>总规划!H270</f>
        <v>166.666666666667</v>
      </c>
      <c r="I4049" s="1" t="str">
        <f>总规划!I270</f>
        <v>1M资源</v>
      </c>
      <c r="J4049" s="1">
        <f>总规划!J270</f>
        <v>69444.4444444444</v>
      </c>
      <c r="K4049" s="1">
        <f>总规划!K270</f>
        <v>69444.4444444444</v>
      </c>
      <c r="L4049" s="1" t="str">
        <f>总规划!L270</f>
        <v>1战役币</v>
      </c>
      <c r="M4049" s="1">
        <f>总规划!M270</f>
        <v>27777.7777777778</v>
      </c>
      <c r="N4049" s="1">
        <f>总规划!N270</f>
        <v>27777.7777777778</v>
      </c>
      <c r="O4049" s="1" t="str">
        <f>总规划!O270</f>
        <v>1联盟币</v>
      </c>
    </row>
    <row r="4050" spans="2:15">
      <c r="B4050" s="1" t="str">
        <f>总规划!B271</f>
        <v>VIP经验</v>
      </c>
      <c r="C4050" s="1" t="str">
        <f>总规划!C271</f>
        <v>1k经验</v>
      </c>
      <c r="D4050" s="1">
        <f>总规划!D271</f>
        <v>0.833333333333333</v>
      </c>
      <c r="E4050" s="1">
        <f>总规划!E271</f>
        <v>1000</v>
      </c>
      <c r="F4050" s="1">
        <f>总规划!F271</f>
        <v>1000</v>
      </c>
      <c r="G4050" s="1">
        <f>总规划!G271</f>
        <v>2</v>
      </c>
      <c r="H4050" s="1">
        <f>总规划!H271</f>
        <v>1</v>
      </c>
      <c r="I4050" s="1" t="str">
        <f>总规划!I271</f>
        <v>1M资源</v>
      </c>
      <c r="J4050" s="1">
        <f>总规划!J271</f>
        <v>833.333333333333</v>
      </c>
      <c r="K4050" s="1">
        <f>总规划!K271</f>
        <v>416.666666666667</v>
      </c>
      <c r="L4050" s="1" t="str">
        <f>总规划!L271</f>
        <v>1战役币</v>
      </c>
      <c r="M4050" s="1">
        <f>总规划!M271</f>
        <v>333.333333333333</v>
      </c>
      <c r="N4050" s="1">
        <f>总规划!N271</f>
        <v>166.666666666667</v>
      </c>
      <c r="O4050" s="1" t="str">
        <f>总规划!O271</f>
        <v>1联盟币</v>
      </c>
    </row>
    <row r="4052" spans="2:12">
      <c r="B4052" s="27" t="s">
        <v>2165</v>
      </c>
      <c r="C4052" s="27"/>
      <c r="D4052" s="27"/>
      <c r="E4052" s="27"/>
      <c r="F4052" s="27"/>
      <c r="G4052" s="27"/>
      <c r="H4052" s="27"/>
      <c r="I4052" s="27"/>
      <c r="J4052" s="27"/>
      <c r="K4052" s="27"/>
      <c r="L4052" s="27"/>
    </row>
    <row r="4054" spans="2:15">
      <c r="B4054" s="29" t="str">
        <f>总规划!B279</f>
        <v>物品</v>
      </c>
      <c r="C4054" s="29" t="str">
        <f>总规划!C279</f>
        <v>单位</v>
      </c>
      <c r="D4054" s="29" t="str">
        <f>总规划!D279</f>
        <v>内部美元价</v>
      </c>
      <c r="E4054" s="29" t="str">
        <f>总规划!E279</f>
        <v>内部黄金价</v>
      </c>
      <c r="F4054" s="29" t="str">
        <f>总规划!F279</f>
        <v>显示黄金价</v>
      </c>
      <c r="G4054" s="29" t="str">
        <f>总规划!G279</f>
        <v>资源内部价</v>
      </c>
      <c r="H4054" s="29" t="str">
        <f>总规划!H279</f>
        <v>资源显示价</v>
      </c>
      <c r="I4054" s="29" t="str">
        <f>总规划!I279</f>
        <v>资源单位</v>
      </c>
      <c r="J4054" s="29" t="str">
        <f>总规划!J279</f>
        <v>战币内部价</v>
      </c>
      <c r="K4054" s="29" t="str">
        <f>总规划!K279</f>
        <v>战币显示价</v>
      </c>
      <c r="L4054" s="29" t="str">
        <f>总规划!L279</f>
        <v>战币单位</v>
      </c>
      <c r="M4054" s="29" t="str">
        <f>总规划!M279</f>
        <v>盟币内部价</v>
      </c>
      <c r="N4054" s="29" t="str">
        <f>总规划!N279</f>
        <v>盟币显示价</v>
      </c>
      <c r="O4054" s="29" t="str">
        <f>总规划!O279</f>
        <v>盟币单位</v>
      </c>
    </row>
    <row r="4055" spans="2:15">
      <c r="B4055" s="1" t="str">
        <f>总规划!B280</f>
        <v>体力药水</v>
      </c>
      <c r="C4055" s="1" t="str">
        <f>总规划!C280</f>
        <v>1体力</v>
      </c>
      <c r="D4055" s="1">
        <f>总规划!D280</f>
        <v>0.0125</v>
      </c>
      <c r="E4055" s="1">
        <f>总规划!E280</f>
        <v>15</v>
      </c>
      <c r="F4055" s="1">
        <f>总规划!F280</f>
        <v>30</v>
      </c>
      <c r="G4055" s="1">
        <f>总规划!G280</f>
        <v>0.03</v>
      </c>
      <c r="H4055" s="1">
        <f>总规划!H280</f>
        <v>0.03</v>
      </c>
      <c r="I4055" s="1" t="str">
        <f>总规划!I280</f>
        <v>1M资源</v>
      </c>
      <c r="J4055" s="1">
        <f>总规划!J280</f>
        <v>12.5</v>
      </c>
      <c r="K4055" s="1">
        <f>总规划!K280</f>
        <v>12.5</v>
      </c>
      <c r="L4055" s="1" t="str">
        <f>总规划!L280</f>
        <v>1战役币</v>
      </c>
      <c r="M4055" s="1">
        <f>总规划!M280</f>
        <v>5</v>
      </c>
      <c r="N4055" s="1">
        <f>总规划!N280</f>
        <v>5</v>
      </c>
      <c r="O4055" s="1" t="str">
        <f>总规划!O280</f>
        <v>1联盟币</v>
      </c>
    </row>
    <row r="4056" spans="2:15">
      <c r="B4056" s="1" t="str">
        <f>总规划!B281</f>
        <v>抽卡券</v>
      </c>
      <c r="C4056" s="1" t="str">
        <f>总规划!C281</f>
        <v>1张</v>
      </c>
      <c r="D4056" s="1">
        <f>总规划!D281</f>
        <v>0.62875</v>
      </c>
      <c r="E4056" s="1">
        <f>总规划!E281</f>
        <v>754.5</v>
      </c>
      <c r="F4056" s="1">
        <f>总规划!F281</f>
        <v>900</v>
      </c>
      <c r="G4056" s="1">
        <f>总规划!G281</f>
        <v>1.509</v>
      </c>
      <c r="H4056" s="1">
        <f>总规划!H281</f>
        <v>0.9</v>
      </c>
      <c r="I4056" s="1" t="str">
        <f>总规划!I281</f>
        <v>1M资源</v>
      </c>
      <c r="J4056" s="1">
        <f>总规划!J281</f>
        <v>628.75</v>
      </c>
      <c r="K4056" s="1">
        <f>总规划!K281</f>
        <v>375</v>
      </c>
      <c r="L4056" s="1" t="str">
        <f>总规划!L281</f>
        <v>1战役币</v>
      </c>
      <c r="M4056" s="1">
        <f>总规划!M281</f>
        <v>251.5</v>
      </c>
      <c r="N4056" s="1">
        <f>总规划!N281</f>
        <v>150</v>
      </c>
      <c r="O4056" s="1" t="str">
        <f>总规划!O281</f>
        <v>1联盟币</v>
      </c>
    </row>
    <row r="4057" spans="2:15">
      <c r="B4057" s="1" t="str">
        <f>总规划!B282</f>
        <v>阵营券</v>
      </c>
      <c r="C4057" s="1" t="str">
        <f>总规划!C282</f>
        <v>1张</v>
      </c>
      <c r="D4057" s="1">
        <f>总规划!D282</f>
        <v>0.62875</v>
      </c>
      <c r="E4057" s="1">
        <f>总规划!E282</f>
        <v>754.5</v>
      </c>
      <c r="F4057" s="1">
        <f>总规划!F282</f>
        <v>1500</v>
      </c>
      <c r="G4057" s="1">
        <f>总规划!G282</f>
        <v>1.509</v>
      </c>
      <c r="H4057" s="1">
        <f>总规划!H282</f>
        <v>1.5</v>
      </c>
      <c r="I4057" s="1" t="str">
        <f>总规划!I282</f>
        <v>1M资源</v>
      </c>
      <c r="J4057" s="1">
        <f>总规划!J282</f>
        <v>628.75</v>
      </c>
      <c r="K4057" s="1">
        <f>总规划!K282</f>
        <v>625</v>
      </c>
      <c r="L4057" s="1" t="str">
        <f>总规划!L282</f>
        <v>1战役币</v>
      </c>
      <c r="M4057" s="1">
        <f>总规划!M282</f>
        <v>251.5</v>
      </c>
      <c r="N4057" s="1">
        <f>总规划!N282</f>
        <v>250</v>
      </c>
      <c r="O4057" s="1" t="str">
        <f>总规划!O282</f>
        <v>1联盟币</v>
      </c>
    </row>
    <row r="4058" spans="2:15">
      <c r="B4058" s="1" t="str">
        <f>总规划!B283</f>
        <v>空降券</v>
      </c>
      <c r="C4058" s="1" t="str">
        <f>总规划!C283</f>
        <v>1张</v>
      </c>
      <c r="D4058" s="1">
        <f>总规划!D283</f>
        <v>0.5</v>
      </c>
      <c r="E4058" s="1">
        <f>总规划!E283</f>
        <v>600</v>
      </c>
      <c r="F4058" s="1">
        <f>总规划!F283</f>
        <v>1200</v>
      </c>
      <c r="G4058" s="1">
        <f>总规划!G283</f>
        <v>1.2</v>
      </c>
      <c r="H4058" s="1">
        <f>总规划!H283</f>
        <v>1.2</v>
      </c>
      <c r="I4058" s="1" t="str">
        <f>总规划!I283</f>
        <v>1M资源</v>
      </c>
      <c r="J4058" s="1">
        <f>总规划!J283</f>
        <v>500</v>
      </c>
      <c r="K4058" s="1">
        <f>总规划!K283</f>
        <v>500</v>
      </c>
      <c r="L4058" s="1" t="str">
        <f>总规划!L283</f>
        <v>1战役币</v>
      </c>
      <c r="M4058" s="1">
        <f>总规划!M283</f>
        <v>200</v>
      </c>
      <c r="N4058" s="1">
        <f>总规划!N283</f>
        <v>200</v>
      </c>
      <c r="O4058" s="1" t="str">
        <f>总规划!O283</f>
        <v>1联盟币</v>
      </c>
    </row>
    <row r="4059" spans="2:15">
      <c r="B4059" s="1" t="str">
        <f>总规划!B284</f>
        <v>跨城券</v>
      </c>
      <c r="C4059" s="1" t="str">
        <f>总规划!C284</f>
        <v>1张</v>
      </c>
      <c r="D4059" s="1">
        <f>总规划!D284</f>
        <v>1.5</v>
      </c>
      <c r="E4059" s="1">
        <f>总规划!E284</f>
        <v>1800</v>
      </c>
      <c r="F4059" s="1">
        <f>总规划!F284</f>
        <v>3600</v>
      </c>
      <c r="G4059" s="1">
        <f>总规划!G284</f>
        <v>3.6</v>
      </c>
      <c r="H4059" s="1">
        <f>总规划!H284</f>
        <v>3.6</v>
      </c>
      <c r="I4059" s="1" t="str">
        <f>总规划!I284</f>
        <v>1M资源</v>
      </c>
      <c r="J4059" s="1">
        <f>总规划!J284</f>
        <v>1500</v>
      </c>
      <c r="K4059" s="1">
        <f>总规划!K284</f>
        <v>1500</v>
      </c>
      <c r="L4059" s="1" t="str">
        <f>总规划!L284</f>
        <v>1战役币</v>
      </c>
      <c r="M4059" s="1">
        <f>总规划!M284</f>
        <v>600</v>
      </c>
      <c r="N4059" s="1">
        <f>总规划!N284</f>
        <v>600</v>
      </c>
      <c r="O4059" s="1" t="str">
        <f>总规划!O284</f>
        <v>1联盟币</v>
      </c>
    </row>
    <row r="4060" spans="2:15">
      <c r="B4060" s="1" t="str">
        <f>总规划!B285</f>
        <v>预备役</v>
      </c>
      <c r="C4060" s="1" t="str">
        <f>总规划!C285</f>
        <v>1个</v>
      </c>
      <c r="D4060" s="1">
        <f>总规划!D285</f>
        <v>0.025</v>
      </c>
      <c r="E4060" s="1">
        <f>总规划!E285</f>
        <v>30</v>
      </c>
      <c r="F4060" s="1">
        <f>总规划!F285</f>
        <v>60</v>
      </c>
      <c r="G4060" s="1">
        <f>总规划!G285</f>
        <v>0.06</v>
      </c>
      <c r="H4060" s="1">
        <f>总规划!H285</f>
        <v>0.06</v>
      </c>
      <c r="I4060" s="1" t="str">
        <f>总规划!I285</f>
        <v>1M资源</v>
      </c>
      <c r="J4060" s="1">
        <f>总规划!J285</f>
        <v>25</v>
      </c>
      <c r="K4060" s="1">
        <f>总规划!K285</f>
        <v>25</v>
      </c>
      <c r="L4060" s="1" t="str">
        <f>总规划!L285</f>
        <v>1战役币</v>
      </c>
      <c r="M4060" s="1">
        <f>总规划!M285</f>
        <v>10</v>
      </c>
      <c r="N4060" s="1">
        <f>总规划!N285</f>
        <v>10</v>
      </c>
      <c r="O4060" s="1" t="str">
        <f>总规划!O285</f>
        <v>1联盟币</v>
      </c>
    </row>
    <row r="4061" spans="2:15">
      <c r="B4061" s="1" t="str">
        <f>总规划!B286</f>
        <v>表情</v>
      </c>
      <c r="C4061" s="1" t="str">
        <f>总规划!C286</f>
        <v>1个</v>
      </c>
      <c r="D4061" s="1">
        <f>总规划!D286</f>
        <v>2.5</v>
      </c>
      <c r="E4061" s="1">
        <f>总规划!E286</f>
        <v>3000</v>
      </c>
      <c r="F4061" s="1">
        <f>总规划!F286</f>
        <v>6000</v>
      </c>
      <c r="G4061" s="1">
        <f>总规划!G286</f>
        <v>6</v>
      </c>
      <c r="H4061" s="1">
        <f>总规划!H286</f>
        <v>6</v>
      </c>
      <c r="I4061" s="1" t="str">
        <f>总规划!I286</f>
        <v>1M资源</v>
      </c>
      <c r="J4061" s="1">
        <f>总规划!J286</f>
        <v>2500</v>
      </c>
      <c r="K4061" s="1">
        <f>总规划!K286</f>
        <v>2500</v>
      </c>
      <c r="L4061" s="1" t="str">
        <f>总规划!L286</f>
        <v>1战役币</v>
      </c>
      <c r="M4061" s="1">
        <f>总规划!M286</f>
        <v>1000</v>
      </c>
      <c r="N4061" s="1">
        <f>总规划!N286</f>
        <v>1000</v>
      </c>
      <c r="O4061" s="1" t="str">
        <f>总规划!O286</f>
        <v>1联盟币</v>
      </c>
    </row>
    <row r="4062" spans="2:15">
      <c r="B4062" s="1" t="str">
        <f>总规划!B287</f>
        <v>头像框</v>
      </c>
      <c r="C4062" s="1" t="str">
        <f>总规划!C287</f>
        <v>1个</v>
      </c>
      <c r="D4062" s="1">
        <f>总规划!D287</f>
        <v>1.25</v>
      </c>
      <c r="E4062" s="1">
        <f>总规划!E287</f>
        <v>1500</v>
      </c>
      <c r="F4062" s="1">
        <f>总规划!F287</f>
        <v>3000</v>
      </c>
      <c r="G4062" s="1">
        <f>总规划!G287</f>
        <v>3</v>
      </c>
      <c r="H4062" s="1">
        <f>总规划!H287</f>
        <v>3</v>
      </c>
      <c r="I4062" s="1" t="str">
        <f>总规划!I287</f>
        <v>1M资源</v>
      </c>
      <c r="J4062" s="1">
        <f>总规划!J287</f>
        <v>1250</v>
      </c>
      <c r="K4062" s="1">
        <f>总规划!K287</f>
        <v>1250</v>
      </c>
      <c r="L4062" s="1" t="str">
        <f>总规划!L287</f>
        <v>1战役币</v>
      </c>
      <c r="M4062" s="1">
        <f>总规划!M287</f>
        <v>500</v>
      </c>
      <c r="N4062" s="1">
        <f>总规划!N287</f>
        <v>500</v>
      </c>
      <c r="O4062" s="1" t="str">
        <f>总规划!O287</f>
        <v>1联盟币</v>
      </c>
    </row>
    <row r="4063" spans="2:15">
      <c r="B4063" s="1" t="str">
        <f>总规划!B288</f>
        <v>战役币</v>
      </c>
      <c r="C4063" s="1" t="str">
        <f>总规划!C288</f>
        <v>1k战役币</v>
      </c>
      <c r="D4063" s="1">
        <f>总规划!D288</f>
        <v>1</v>
      </c>
      <c r="E4063" s="1">
        <f>总规划!E288</f>
        <v>1200</v>
      </c>
      <c r="F4063" s="1">
        <f>总规划!F288</f>
        <v>2400</v>
      </c>
      <c r="G4063" s="1">
        <f>总规划!G288</f>
        <v>2.4</v>
      </c>
      <c r="H4063" s="1">
        <f>总规划!H288</f>
        <v>2.4</v>
      </c>
      <c r="I4063" s="1" t="str">
        <f>总规划!I288</f>
        <v>1M资源</v>
      </c>
      <c r="J4063" s="1">
        <f>总规划!J288</f>
        <v>1000</v>
      </c>
      <c r="K4063" s="1">
        <f>总规划!K288</f>
        <v>1000</v>
      </c>
      <c r="L4063" s="1" t="str">
        <f>总规划!L288</f>
        <v>1战役币</v>
      </c>
      <c r="M4063" s="1">
        <f>总规划!M288</f>
        <v>400</v>
      </c>
      <c r="N4063" s="1">
        <f>总规划!N288</f>
        <v>400</v>
      </c>
      <c r="O4063" s="1" t="str">
        <f>总规划!O288</f>
        <v>1联盟币</v>
      </c>
    </row>
    <row r="4064" spans="2:15">
      <c r="B4064" s="1" t="str">
        <f>总规划!B290</f>
        <v>银随机步兵配件图纸宝箱</v>
      </c>
      <c r="C4064" s="1" t="str">
        <f>总规划!C290</f>
        <v>1个</v>
      </c>
      <c r="D4064" s="1">
        <f ca="1">总规划!D290</f>
        <v>0.9125</v>
      </c>
      <c r="E4064" s="1">
        <f ca="1">总规划!E290</f>
        <v>1095</v>
      </c>
      <c r="F4064" s="1">
        <f ca="1">总规划!F290</f>
        <v>2190</v>
      </c>
      <c r="G4064" s="1">
        <f ca="1">总规划!G290</f>
        <v>2.19</v>
      </c>
      <c r="H4064" s="1">
        <f ca="1">总规划!H290</f>
        <v>2.19</v>
      </c>
      <c r="I4064" s="1" t="str">
        <f>总规划!I290</f>
        <v>1M资源</v>
      </c>
      <c r="J4064" s="1">
        <f ca="1">总规划!J290</f>
        <v>912.5</v>
      </c>
      <c r="K4064" s="1">
        <f ca="1">总规划!K290</f>
        <v>912.5</v>
      </c>
      <c r="L4064" s="1" t="str">
        <f>总规划!L290</f>
        <v>1战役币</v>
      </c>
      <c r="M4064" s="1">
        <f ca="1">总规划!M290</f>
        <v>365</v>
      </c>
      <c r="N4064" s="1">
        <f ca="1">总规划!N290</f>
        <v>365</v>
      </c>
      <c r="O4064" s="1" t="str">
        <f>总规划!O290</f>
        <v>1联盟币</v>
      </c>
    </row>
    <row r="4065" spans="2:15">
      <c r="B4065" s="1" t="str">
        <f>总规划!B291</f>
        <v>银随机中坦配件图纸宝箱</v>
      </c>
      <c r="C4065" s="1" t="str">
        <f>总规划!C291</f>
        <v>1个</v>
      </c>
      <c r="D4065" s="1">
        <f ca="1">总规划!D291</f>
        <v>0.9125</v>
      </c>
      <c r="E4065" s="1">
        <f ca="1">总规划!E291</f>
        <v>1095</v>
      </c>
      <c r="F4065" s="1">
        <f ca="1">总规划!F291</f>
        <v>2190</v>
      </c>
      <c r="G4065" s="1">
        <f ca="1">总规划!G291</f>
        <v>2.19</v>
      </c>
      <c r="H4065" s="1">
        <f ca="1">总规划!H291</f>
        <v>2.19</v>
      </c>
      <c r="I4065" s="1" t="str">
        <f>总规划!I291</f>
        <v>1M资源</v>
      </c>
      <c r="J4065" s="1">
        <f ca="1">总规划!J291</f>
        <v>912.5</v>
      </c>
      <c r="K4065" s="1">
        <f ca="1">总规划!K291</f>
        <v>912.5</v>
      </c>
      <c r="L4065" s="1" t="str">
        <f>总规划!L291</f>
        <v>1战役币</v>
      </c>
      <c r="M4065" s="1">
        <f ca="1">总规划!M291</f>
        <v>365</v>
      </c>
      <c r="N4065" s="1">
        <f ca="1">总规划!N291</f>
        <v>365</v>
      </c>
      <c r="O4065" s="1" t="str">
        <f>总规划!O291</f>
        <v>1联盟币</v>
      </c>
    </row>
    <row r="4066" spans="2:15">
      <c r="B4066" s="1" t="str">
        <f>总规划!B292</f>
        <v>银随机重坦配件图纸宝箱</v>
      </c>
      <c r="C4066" s="1" t="str">
        <f>总规划!C292</f>
        <v>1个</v>
      </c>
      <c r="D4066" s="1">
        <f ca="1">总规划!D292</f>
        <v>0.9125</v>
      </c>
      <c r="E4066" s="1">
        <f ca="1">总规划!E292</f>
        <v>1095</v>
      </c>
      <c r="F4066" s="1">
        <f ca="1">总规划!F292</f>
        <v>2190</v>
      </c>
      <c r="G4066" s="1">
        <f ca="1">总规划!G292</f>
        <v>2.19</v>
      </c>
      <c r="H4066" s="1">
        <f ca="1">总规划!H292</f>
        <v>2.19</v>
      </c>
      <c r="I4066" s="1" t="str">
        <f>总规划!I292</f>
        <v>1M资源</v>
      </c>
      <c r="J4066" s="1">
        <f ca="1">总规划!J292</f>
        <v>912.5</v>
      </c>
      <c r="K4066" s="1">
        <f ca="1">总规划!K292</f>
        <v>912.5</v>
      </c>
      <c r="L4066" s="1" t="str">
        <f>总规划!L292</f>
        <v>1战役币</v>
      </c>
      <c r="M4066" s="1">
        <f ca="1">总规划!M292</f>
        <v>365</v>
      </c>
      <c r="N4066" s="1">
        <f ca="1">总规划!N292</f>
        <v>365</v>
      </c>
      <c r="O4066" s="1" t="str">
        <f>总规划!O292</f>
        <v>1联盟币</v>
      </c>
    </row>
    <row r="4067" spans="2:15">
      <c r="B4067" s="1" t="str">
        <f>总规划!B293</f>
        <v>银随机坦歼配件图纸宝箱</v>
      </c>
      <c r="C4067" s="1" t="str">
        <f>总规划!C293</f>
        <v>1个</v>
      </c>
      <c r="D4067" s="1">
        <f ca="1">总规划!D293</f>
        <v>0.9125</v>
      </c>
      <c r="E4067" s="1">
        <f ca="1">总规划!E293</f>
        <v>1095</v>
      </c>
      <c r="F4067" s="1">
        <f ca="1">总规划!F293</f>
        <v>2190</v>
      </c>
      <c r="G4067" s="1">
        <f ca="1">总规划!G293</f>
        <v>2.19</v>
      </c>
      <c r="H4067" s="1">
        <f ca="1">总规划!H293</f>
        <v>2.19</v>
      </c>
      <c r="I4067" s="1" t="str">
        <f>总规划!I293</f>
        <v>1M资源</v>
      </c>
      <c r="J4067" s="1">
        <f ca="1">总规划!J293</f>
        <v>912.5</v>
      </c>
      <c r="K4067" s="1">
        <f ca="1">总规划!K293</f>
        <v>912.5</v>
      </c>
      <c r="L4067" s="1" t="str">
        <f>总规划!L293</f>
        <v>1战役币</v>
      </c>
      <c r="M4067" s="1">
        <f ca="1">总规划!M293</f>
        <v>365</v>
      </c>
      <c r="N4067" s="1">
        <f ca="1">总规划!N293</f>
        <v>365</v>
      </c>
      <c r="O4067" s="1" t="str">
        <f>总规划!O293</f>
        <v>1联盟币</v>
      </c>
    </row>
    <row r="4068" spans="2:15">
      <c r="B4068" s="1" t="str">
        <f>总规划!B294</f>
        <v>银随机榴弹炮配件图纸宝箱</v>
      </c>
      <c r="C4068" s="1" t="str">
        <f>总规划!C294</f>
        <v>1个</v>
      </c>
      <c r="D4068" s="1">
        <f ca="1">总规划!D294</f>
        <v>0.9125</v>
      </c>
      <c r="E4068" s="1">
        <f ca="1">总规划!E294</f>
        <v>1095</v>
      </c>
      <c r="F4068" s="1">
        <f ca="1">总规划!F294</f>
        <v>2190</v>
      </c>
      <c r="G4068" s="1">
        <f ca="1">总规划!G294</f>
        <v>2.19</v>
      </c>
      <c r="H4068" s="1">
        <f ca="1">总规划!H294</f>
        <v>2.19</v>
      </c>
      <c r="I4068" s="1" t="str">
        <f>总规划!I294</f>
        <v>1M资源</v>
      </c>
      <c r="J4068" s="1">
        <f ca="1">总规划!J294</f>
        <v>912.5</v>
      </c>
      <c r="K4068" s="1">
        <f ca="1">总规划!K294</f>
        <v>912.5</v>
      </c>
      <c r="L4068" s="1" t="str">
        <f>总规划!L294</f>
        <v>1战役币</v>
      </c>
      <c r="M4068" s="1">
        <f ca="1">总规划!M294</f>
        <v>365</v>
      </c>
      <c r="N4068" s="1">
        <f ca="1">总规划!N294</f>
        <v>365</v>
      </c>
      <c r="O4068" s="1" t="str">
        <f>总规划!O294</f>
        <v>1联盟币</v>
      </c>
    </row>
    <row r="4069" spans="2:15">
      <c r="B4069" s="1" t="str">
        <f>总规划!B295</f>
        <v>银随机反坦克炮配件图纸宝箱</v>
      </c>
      <c r="C4069" s="1" t="str">
        <f>总规划!C295</f>
        <v>1个</v>
      </c>
      <c r="D4069" s="1">
        <f ca="1">总规划!D295</f>
        <v>1.825</v>
      </c>
      <c r="E4069" s="1">
        <f ca="1">总规划!E295</f>
        <v>2190</v>
      </c>
      <c r="F4069" s="1">
        <f ca="1">总规划!F295</f>
        <v>4380</v>
      </c>
      <c r="G4069" s="1">
        <f ca="1">总规划!G295</f>
        <v>4.38</v>
      </c>
      <c r="H4069" s="1">
        <f ca="1">总规划!H295</f>
        <v>4.38</v>
      </c>
      <c r="I4069" s="1" t="str">
        <f>总规划!I295</f>
        <v>1M资源</v>
      </c>
      <c r="J4069" s="1">
        <f ca="1">总规划!J295</f>
        <v>1825</v>
      </c>
      <c r="K4069" s="1">
        <f ca="1">总规划!K295</f>
        <v>1825</v>
      </c>
      <c r="L4069" s="1" t="str">
        <f>总规划!L295</f>
        <v>1战役币</v>
      </c>
      <c r="M4069" s="1">
        <f ca="1">总规划!M295</f>
        <v>730</v>
      </c>
      <c r="N4069" s="1">
        <f ca="1">总规划!N295</f>
        <v>730</v>
      </c>
      <c r="O4069" s="1" t="str">
        <f>总规划!O295</f>
        <v>1联盟币</v>
      </c>
    </row>
    <row r="4070" spans="2:15">
      <c r="B4070" s="1" t="str">
        <f>总规划!B296</f>
        <v>银随机轻坦配件图纸宝箱</v>
      </c>
      <c r="C4070" s="1" t="str">
        <f>总规划!C296</f>
        <v>1个</v>
      </c>
      <c r="D4070" s="1">
        <f ca="1">总规划!D296</f>
        <v>1.825</v>
      </c>
      <c r="E4070" s="1">
        <f ca="1">总规划!E296</f>
        <v>2190</v>
      </c>
      <c r="F4070" s="1">
        <f ca="1">总规划!F296</f>
        <v>4380</v>
      </c>
      <c r="G4070" s="1">
        <f ca="1">总规划!G296</f>
        <v>4.38</v>
      </c>
      <c r="H4070" s="1">
        <f ca="1">总规划!H296</f>
        <v>4.38</v>
      </c>
      <c r="I4070" s="1" t="str">
        <f>总规划!I296</f>
        <v>1M资源</v>
      </c>
      <c r="J4070" s="1">
        <f ca="1">总规划!J296</f>
        <v>1825</v>
      </c>
      <c r="K4070" s="1">
        <f ca="1">总规划!K296</f>
        <v>1825</v>
      </c>
      <c r="L4070" s="1" t="str">
        <f>总规划!L296</f>
        <v>1战役币</v>
      </c>
      <c r="M4070" s="1">
        <f ca="1">总规划!M296</f>
        <v>730</v>
      </c>
      <c r="N4070" s="1">
        <f ca="1">总规划!N296</f>
        <v>730</v>
      </c>
      <c r="O4070" s="1" t="str">
        <f>总规划!O296</f>
        <v>1联盟币</v>
      </c>
    </row>
    <row r="4071" spans="2:15">
      <c r="B4071" s="1" t="str">
        <f>总规划!B297</f>
        <v>银随机超重坦配件图纸宝箱</v>
      </c>
      <c r="C4071" s="1" t="str">
        <f>总规划!C297</f>
        <v>1个</v>
      </c>
      <c r="D4071" s="1">
        <f ca="1">总规划!D297</f>
        <v>1.825</v>
      </c>
      <c r="E4071" s="1">
        <f ca="1">总规划!E297</f>
        <v>2190</v>
      </c>
      <c r="F4071" s="1">
        <f ca="1">总规划!F297</f>
        <v>4380</v>
      </c>
      <c r="G4071" s="1">
        <f ca="1">总规划!G297</f>
        <v>4.38</v>
      </c>
      <c r="H4071" s="1">
        <f ca="1">总规划!H297</f>
        <v>4.38</v>
      </c>
      <c r="I4071" s="1" t="str">
        <f>总规划!I297</f>
        <v>1M资源</v>
      </c>
      <c r="J4071" s="1">
        <f ca="1">总规划!J297</f>
        <v>1825</v>
      </c>
      <c r="K4071" s="1">
        <f ca="1">总规划!K297</f>
        <v>1825</v>
      </c>
      <c r="L4071" s="1" t="str">
        <f>总规划!L297</f>
        <v>1战役币</v>
      </c>
      <c r="M4071" s="1">
        <f ca="1">总规划!M297</f>
        <v>730</v>
      </c>
      <c r="N4071" s="1">
        <f ca="1">总规划!N297</f>
        <v>730</v>
      </c>
      <c r="O4071" s="1" t="str">
        <f>总规划!O297</f>
        <v>1联盟币</v>
      </c>
    </row>
    <row r="4072" spans="2:15">
      <c r="B4072" s="1" t="str">
        <f>总规划!B298</f>
        <v>银随机火箭炮配件图纸宝箱</v>
      </c>
      <c r="C4072" s="1" t="str">
        <f>总规划!C298</f>
        <v>1个</v>
      </c>
      <c r="D4072" s="1">
        <f ca="1">总规划!D298</f>
        <v>1.825</v>
      </c>
      <c r="E4072" s="1">
        <f ca="1">总规划!E298</f>
        <v>2190</v>
      </c>
      <c r="F4072" s="1">
        <f ca="1">总规划!F298</f>
        <v>4380</v>
      </c>
      <c r="G4072" s="1">
        <f ca="1">总规划!G298</f>
        <v>4.38</v>
      </c>
      <c r="H4072" s="1">
        <f ca="1">总规划!H298</f>
        <v>4.38</v>
      </c>
      <c r="I4072" s="1" t="str">
        <f>总规划!I298</f>
        <v>1M资源</v>
      </c>
      <c r="J4072" s="1">
        <f ca="1">总规划!J298</f>
        <v>1825</v>
      </c>
      <c r="K4072" s="1">
        <f ca="1">总规划!K298</f>
        <v>1825</v>
      </c>
      <c r="L4072" s="1" t="str">
        <f>总规划!L298</f>
        <v>1战役币</v>
      </c>
      <c r="M4072" s="1">
        <f ca="1">总规划!M298</f>
        <v>730</v>
      </c>
      <c r="N4072" s="1">
        <f ca="1">总规划!N298</f>
        <v>730</v>
      </c>
      <c r="O4072" s="1" t="str">
        <f>总规划!O298</f>
        <v>1联盟币</v>
      </c>
    </row>
    <row r="4073" spans="2:15">
      <c r="B4073" s="1" t="str">
        <f>总规划!B299</f>
        <v>银随机配件图纸宝箱</v>
      </c>
      <c r="C4073" s="1" t="str">
        <f>总规划!C299</f>
        <v>1个</v>
      </c>
      <c r="D4073" s="1">
        <f ca="1">总规划!D299</f>
        <v>0.45625</v>
      </c>
      <c r="E4073" s="1">
        <f ca="1">总规划!E299</f>
        <v>547.5</v>
      </c>
      <c r="F4073" s="1">
        <f ca="1">总规划!F299</f>
        <v>1095</v>
      </c>
      <c r="G4073" s="1">
        <f ca="1">总规划!G299</f>
        <v>1.095</v>
      </c>
      <c r="H4073" s="1">
        <f ca="1">总规划!H299</f>
        <v>1.095</v>
      </c>
      <c r="I4073" s="1" t="str">
        <f>总规划!I299</f>
        <v>1M资源</v>
      </c>
      <c r="J4073" s="1">
        <f ca="1">总规划!J299</f>
        <v>456.25</v>
      </c>
      <c r="K4073" s="1">
        <f ca="1">总规划!K299</f>
        <v>456.25</v>
      </c>
      <c r="L4073" s="1" t="str">
        <f>总规划!L299</f>
        <v>1战役币</v>
      </c>
      <c r="M4073" s="1">
        <f ca="1">总规划!M299</f>
        <v>182.5</v>
      </c>
      <c r="N4073" s="1">
        <f ca="1">总规划!N299</f>
        <v>182.5</v>
      </c>
      <c r="O4073" s="1" t="str">
        <f>总规划!O299</f>
        <v>1联盟币</v>
      </c>
    </row>
    <row r="4074" spans="2:15">
      <c r="B4074" s="1" t="str">
        <f>总规划!B300</f>
        <v>金随机步兵配件图纸宝箱</v>
      </c>
      <c r="C4074" s="1" t="str">
        <f>总规划!C300</f>
        <v>1个</v>
      </c>
      <c r="D4074" s="1">
        <f ca="1">总规划!D300</f>
        <v>14.75</v>
      </c>
      <c r="E4074" s="1">
        <f ca="1">总规划!E300</f>
        <v>17700</v>
      </c>
      <c r="F4074" s="1">
        <f ca="1">总规划!F300</f>
        <v>35400</v>
      </c>
      <c r="G4074" s="1">
        <f ca="1">总规划!G300</f>
        <v>35.4</v>
      </c>
      <c r="H4074" s="1">
        <f ca="1">总规划!H300</f>
        <v>35.4</v>
      </c>
      <c r="I4074" s="1" t="str">
        <f>总规划!I300</f>
        <v>1M资源</v>
      </c>
      <c r="J4074" s="1">
        <f ca="1">总规划!J300</f>
        <v>14750</v>
      </c>
      <c r="K4074" s="1">
        <f ca="1">总规划!K300</f>
        <v>14750</v>
      </c>
      <c r="L4074" s="1" t="str">
        <f>总规划!L300</f>
        <v>1战役币</v>
      </c>
      <c r="M4074" s="1">
        <f ca="1">总规划!M300</f>
        <v>5900</v>
      </c>
      <c r="N4074" s="1">
        <f ca="1">总规划!N300</f>
        <v>5900</v>
      </c>
      <c r="O4074" s="1" t="str">
        <f>总规划!O300</f>
        <v>1联盟币</v>
      </c>
    </row>
    <row r="4075" spans="2:15">
      <c r="B4075" s="1" t="str">
        <f>总规划!B301</f>
        <v>金随机中坦配件图纸宝箱</v>
      </c>
      <c r="C4075" s="1" t="str">
        <f>总规划!C301</f>
        <v>1个</v>
      </c>
      <c r="D4075" s="1">
        <f ca="1">总规划!D301</f>
        <v>14.75</v>
      </c>
      <c r="E4075" s="1">
        <f ca="1">总规划!E301</f>
        <v>17700</v>
      </c>
      <c r="F4075" s="1">
        <f ca="1">总规划!F301</f>
        <v>35400</v>
      </c>
      <c r="G4075" s="1">
        <f ca="1">总规划!G301</f>
        <v>35.4</v>
      </c>
      <c r="H4075" s="1">
        <f ca="1">总规划!H301</f>
        <v>35.4</v>
      </c>
      <c r="I4075" s="1" t="str">
        <f>总规划!I301</f>
        <v>1M资源</v>
      </c>
      <c r="J4075" s="1">
        <f ca="1">总规划!J301</f>
        <v>14750</v>
      </c>
      <c r="K4075" s="1">
        <f ca="1">总规划!K301</f>
        <v>14750</v>
      </c>
      <c r="L4075" s="1" t="str">
        <f>总规划!L301</f>
        <v>1战役币</v>
      </c>
      <c r="M4075" s="1">
        <f ca="1">总规划!M301</f>
        <v>5900</v>
      </c>
      <c r="N4075" s="1">
        <f ca="1">总规划!N301</f>
        <v>5900</v>
      </c>
      <c r="O4075" s="1" t="str">
        <f>总规划!O301</f>
        <v>1联盟币</v>
      </c>
    </row>
    <row r="4076" spans="2:15">
      <c r="B4076" s="1" t="str">
        <f>总规划!B302</f>
        <v>金随机重坦配件图纸宝箱</v>
      </c>
      <c r="C4076" s="1" t="str">
        <f>总规划!C302</f>
        <v>1个</v>
      </c>
      <c r="D4076" s="1">
        <f ca="1">总规划!D302</f>
        <v>14.75</v>
      </c>
      <c r="E4076" s="1">
        <f ca="1">总规划!E302</f>
        <v>17700</v>
      </c>
      <c r="F4076" s="1">
        <f ca="1">总规划!F302</f>
        <v>35400</v>
      </c>
      <c r="G4076" s="1">
        <f ca="1">总规划!G302</f>
        <v>35.4</v>
      </c>
      <c r="H4076" s="1">
        <f ca="1">总规划!H302</f>
        <v>35.4</v>
      </c>
      <c r="I4076" s="1" t="str">
        <f>总规划!I302</f>
        <v>1M资源</v>
      </c>
      <c r="J4076" s="1">
        <f ca="1">总规划!J302</f>
        <v>14750</v>
      </c>
      <c r="K4076" s="1">
        <f ca="1">总规划!K302</f>
        <v>14750</v>
      </c>
      <c r="L4076" s="1" t="str">
        <f>总规划!L302</f>
        <v>1战役币</v>
      </c>
      <c r="M4076" s="1">
        <f ca="1">总规划!M302</f>
        <v>5900</v>
      </c>
      <c r="N4076" s="1">
        <f ca="1">总规划!N302</f>
        <v>5900</v>
      </c>
      <c r="O4076" s="1" t="str">
        <f>总规划!O302</f>
        <v>1联盟币</v>
      </c>
    </row>
    <row r="4077" spans="2:15">
      <c r="B4077" s="1" t="str">
        <f>总规划!B303</f>
        <v>金随机坦歼配件图纸宝箱</v>
      </c>
      <c r="C4077" s="1" t="str">
        <f>总规划!C303</f>
        <v>1个</v>
      </c>
      <c r="D4077" s="1">
        <f ca="1">总规划!D303</f>
        <v>14.75</v>
      </c>
      <c r="E4077" s="1">
        <f ca="1">总规划!E303</f>
        <v>17700</v>
      </c>
      <c r="F4077" s="1">
        <f ca="1">总规划!F303</f>
        <v>35400</v>
      </c>
      <c r="G4077" s="1">
        <f ca="1">总规划!G303</f>
        <v>35.4</v>
      </c>
      <c r="H4077" s="1">
        <f ca="1">总规划!H303</f>
        <v>35.4</v>
      </c>
      <c r="I4077" s="1" t="str">
        <f>总规划!I303</f>
        <v>1M资源</v>
      </c>
      <c r="J4077" s="1">
        <f ca="1">总规划!J303</f>
        <v>14750</v>
      </c>
      <c r="K4077" s="1">
        <f ca="1">总规划!K303</f>
        <v>14750</v>
      </c>
      <c r="L4077" s="1" t="str">
        <f>总规划!L303</f>
        <v>1战役币</v>
      </c>
      <c r="M4077" s="1">
        <f ca="1">总规划!M303</f>
        <v>5900</v>
      </c>
      <c r="N4077" s="1">
        <f ca="1">总规划!N303</f>
        <v>5900</v>
      </c>
      <c r="O4077" s="1" t="str">
        <f>总规划!O303</f>
        <v>1联盟币</v>
      </c>
    </row>
    <row r="4078" spans="2:15">
      <c r="B4078" s="1" t="str">
        <f>总规划!B304</f>
        <v>金随机榴弹炮配件图纸宝箱</v>
      </c>
      <c r="C4078" s="1" t="str">
        <f>总规划!C304</f>
        <v>1个</v>
      </c>
      <c r="D4078" s="1">
        <f ca="1">总规划!D304</f>
        <v>14.75</v>
      </c>
      <c r="E4078" s="1">
        <f ca="1">总规划!E304</f>
        <v>17700</v>
      </c>
      <c r="F4078" s="1">
        <f ca="1">总规划!F304</f>
        <v>35400</v>
      </c>
      <c r="G4078" s="1">
        <f ca="1">总规划!G304</f>
        <v>35.4</v>
      </c>
      <c r="H4078" s="1">
        <f ca="1">总规划!H304</f>
        <v>35.4</v>
      </c>
      <c r="I4078" s="1" t="str">
        <f>总规划!I304</f>
        <v>1M资源</v>
      </c>
      <c r="J4078" s="1">
        <f ca="1">总规划!J304</f>
        <v>14750</v>
      </c>
      <c r="K4078" s="1">
        <f ca="1">总规划!K304</f>
        <v>14750</v>
      </c>
      <c r="L4078" s="1" t="str">
        <f>总规划!L304</f>
        <v>1战役币</v>
      </c>
      <c r="M4078" s="1">
        <f ca="1">总规划!M304</f>
        <v>5900</v>
      </c>
      <c r="N4078" s="1">
        <f ca="1">总规划!N304</f>
        <v>5900</v>
      </c>
      <c r="O4078" s="1" t="str">
        <f>总规划!O304</f>
        <v>1联盟币</v>
      </c>
    </row>
    <row r="4079" spans="2:15">
      <c r="B4079" s="1" t="str">
        <f>总规划!B305</f>
        <v>金随机反坦克炮配件图纸宝箱</v>
      </c>
      <c r="C4079" s="1" t="str">
        <f>总规划!C305</f>
        <v>1个</v>
      </c>
      <c r="D4079" s="1">
        <f ca="1">总规划!D305</f>
        <v>29.5</v>
      </c>
      <c r="E4079" s="1">
        <f ca="1">总规划!E305</f>
        <v>35400</v>
      </c>
      <c r="F4079" s="1">
        <f ca="1">总规划!F305</f>
        <v>70800</v>
      </c>
      <c r="G4079" s="1">
        <f ca="1">总规划!G305</f>
        <v>70.8</v>
      </c>
      <c r="H4079" s="1">
        <f ca="1">总规划!H305</f>
        <v>70.8</v>
      </c>
      <c r="I4079" s="1" t="str">
        <f>总规划!I305</f>
        <v>1M资源</v>
      </c>
      <c r="J4079" s="1">
        <f ca="1">总规划!J305</f>
        <v>29500</v>
      </c>
      <c r="K4079" s="1">
        <f ca="1">总规划!K305</f>
        <v>29500</v>
      </c>
      <c r="L4079" s="1" t="str">
        <f>总规划!L305</f>
        <v>1战役币</v>
      </c>
      <c r="M4079" s="1">
        <f ca="1">总规划!M305</f>
        <v>11800</v>
      </c>
      <c r="N4079" s="1">
        <f ca="1">总规划!N305</f>
        <v>11800</v>
      </c>
      <c r="O4079" s="1" t="str">
        <f>总规划!O305</f>
        <v>1联盟币</v>
      </c>
    </row>
    <row r="4080" spans="2:15">
      <c r="B4080" s="1" t="str">
        <f>总规划!B306</f>
        <v>金随机轻坦配件图纸宝箱</v>
      </c>
      <c r="C4080" s="1" t="str">
        <f>总规划!C306</f>
        <v>1个</v>
      </c>
      <c r="D4080" s="1">
        <f ca="1">总规划!D306</f>
        <v>29.5</v>
      </c>
      <c r="E4080" s="1">
        <f ca="1">总规划!E306</f>
        <v>35400</v>
      </c>
      <c r="F4080" s="1">
        <f ca="1">总规划!F306</f>
        <v>70800</v>
      </c>
      <c r="G4080" s="1">
        <f ca="1">总规划!G306</f>
        <v>70.8</v>
      </c>
      <c r="H4080" s="1">
        <f ca="1">总规划!H306</f>
        <v>70.8</v>
      </c>
      <c r="I4080" s="1" t="str">
        <f>总规划!I306</f>
        <v>1M资源</v>
      </c>
      <c r="J4080" s="1">
        <f ca="1">总规划!J306</f>
        <v>29500</v>
      </c>
      <c r="K4080" s="1">
        <f ca="1">总规划!K306</f>
        <v>29500</v>
      </c>
      <c r="L4080" s="1" t="str">
        <f>总规划!L306</f>
        <v>1战役币</v>
      </c>
      <c r="M4080" s="1">
        <f ca="1">总规划!M306</f>
        <v>11800</v>
      </c>
      <c r="N4080" s="1">
        <f ca="1">总规划!N306</f>
        <v>11800</v>
      </c>
      <c r="O4080" s="1" t="str">
        <f>总规划!O306</f>
        <v>1联盟币</v>
      </c>
    </row>
    <row r="4081" spans="2:15">
      <c r="B4081" s="1" t="str">
        <f>总规划!B307</f>
        <v>金随机超重坦配件图纸宝箱</v>
      </c>
      <c r="C4081" s="1" t="str">
        <f>总规划!C307</f>
        <v>1个</v>
      </c>
      <c r="D4081" s="1">
        <f ca="1">总规划!D307</f>
        <v>29.5</v>
      </c>
      <c r="E4081" s="1">
        <f ca="1">总规划!E307</f>
        <v>35400</v>
      </c>
      <c r="F4081" s="1">
        <f ca="1">总规划!F307</f>
        <v>70800</v>
      </c>
      <c r="G4081" s="1">
        <f ca="1">总规划!G307</f>
        <v>70.8</v>
      </c>
      <c r="H4081" s="1">
        <f ca="1">总规划!H307</f>
        <v>70.8</v>
      </c>
      <c r="I4081" s="1" t="str">
        <f>总规划!I307</f>
        <v>1M资源</v>
      </c>
      <c r="J4081" s="1">
        <f ca="1">总规划!J307</f>
        <v>29500</v>
      </c>
      <c r="K4081" s="1">
        <f ca="1">总规划!K307</f>
        <v>29500</v>
      </c>
      <c r="L4081" s="1" t="str">
        <f>总规划!L307</f>
        <v>1战役币</v>
      </c>
      <c r="M4081" s="1">
        <f ca="1">总规划!M307</f>
        <v>11800</v>
      </c>
      <c r="N4081" s="1">
        <f ca="1">总规划!N307</f>
        <v>11800</v>
      </c>
      <c r="O4081" s="1" t="str">
        <f>总规划!O307</f>
        <v>1联盟币</v>
      </c>
    </row>
    <row r="4082" spans="2:15">
      <c r="B4082" s="1" t="str">
        <f>总规划!B308</f>
        <v>金随机火箭炮配件图纸宝箱</v>
      </c>
      <c r="C4082" s="1" t="str">
        <f>总规划!C308</f>
        <v>1个</v>
      </c>
      <c r="D4082" s="1">
        <f ca="1">总规划!D308</f>
        <v>29.5</v>
      </c>
      <c r="E4082" s="1">
        <f ca="1">总规划!E308</f>
        <v>35400</v>
      </c>
      <c r="F4082" s="1">
        <f ca="1">总规划!F308</f>
        <v>70800</v>
      </c>
      <c r="G4082" s="1">
        <f ca="1">总规划!G308</f>
        <v>70.8</v>
      </c>
      <c r="H4082" s="1">
        <f ca="1">总规划!H308</f>
        <v>70.8</v>
      </c>
      <c r="I4082" s="1" t="str">
        <f>总规划!I308</f>
        <v>1M资源</v>
      </c>
      <c r="J4082" s="1">
        <f ca="1">总规划!J308</f>
        <v>29500</v>
      </c>
      <c r="K4082" s="1">
        <f ca="1">总规划!K308</f>
        <v>29500</v>
      </c>
      <c r="L4082" s="1" t="str">
        <f>总规划!L308</f>
        <v>1战役币</v>
      </c>
      <c r="M4082" s="1">
        <f ca="1">总规划!M308</f>
        <v>11800</v>
      </c>
      <c r="N4082" s="1">
        <f ca="1">总规划!N308</f>
        <v>11800</v>
      </c>
      <c r="O4082" s="1" t="str">
        <f>总规划!O308</f>
        <v>1联盟币</v>
      </c>
    </row>
    <row r="4083" spans="2:15">
      <c r="B4083" s="1" t="str">
        <f>总规划!B309</f>
        <v>金随机配件图纸宝箱</v>
      </c>
      <c r="C4083" s="1" t="str">
        <f>总规划!C309</f>
        <v>1个</v>
      </c>
      <c r="D4083" s="1">
        <f ca="1">总规划!D309</f>
        <v>7.375</v>
      </c>
      <c r="E4083" s="1">
        <f ca="1">总规划!E309</f>
        <v>8850</v>
      </c>
      <c r="F4083" s="1">
        <f ca="1">总规划!F309</f>
        <v>17700</v>
      </c>
      <c r="G4083" s="1">
        <f ca="1">总规划!G309</f>
        <v>17.7</v>
      </c>
      <c r="H4083" s="1">
        <f ca="1">总规划!H309</f>
        <v>17.7</v>
      </c>
      <c r="I4083" s="1" t="str">
        <f>总规划!I309</f>
        <v>1M资源</v>
      </c>
      <c r="J4083" s="1">
        <f ca="1">总规划!J309</f>
        <v>7375</v>
      </c>
      <c r="K4083" s="1">
        <f ca="1">总规划!K309</f>
        <v>7375</v>
      </c>
      <c r="L4083" s="1" t="str">
        <f>总规划!L309</f>
        <v>1战役币</v>
      </c>
      <c r="M4083" s="1">
        <f ca="1">总规划!M309</f>
        <v>2950</v>
      </c>
      <c r="N4083" s="1">
        <f ca="1">总规划!N309</f>
        <v>2950</v>
      </c>
      <c r="O4083" s="1" t="str">
        <f>总规划!O309</f>
        <v>1联盟币</v>
      </c>
    </row>
    <row r="4084" spans="2:15">
      <c r="B4084" s="1" t="str">
        <f>总规划!B310</f>
        <v>金+随机步兵配件图纸宝箱</v>
      </c>
      <c r="C4084" s="1" t="str">
        <f>总规划!C310</f>
        <v>1个</v>
      </c>
      <c r="D4084" s="1">
        <f ca="1">总规划!D310</f>
        <v>35</v>
      </c>
      <c r="E4084" s="1">
        <f ca="1">总规划!E310</f>
        <v>42000</v>
      </c>
      <c r="F4084" s="1">
        <f ca="1">总规划!F310</f>
        <v>84000</v>
      </c>
      <c r="G4084" s="1">
        <f ca="1">总规划!G310</f>
        <v>84</v>
      </c>
      <c r="H4084" s="1">
        <f ca="1">总规划!H310</f>
        <v>84</v>
      </c>
      <c r="I4084" s="1" t="str">
        <f>总规划!I310</f>
        <v>1M资源</v>
      </c>
      <c r="J4084" s="1">
        <f ca="1">总规划!J310</f>
        <v>35000</v>
      </c>
      <c r="K4084" s="1">
        <f ca="1">总规划!K310</f>
        <v>35000</v>
      </c>
      <c r="L4084" s="1" t="str">
        <f>总规划!L310</f>
        <v>1战役币</v>
      </c>
      <c r="M4084" s="1">
        <f ca="1">总规划!M310</f>
        <v>14000</v>
      </c>
      <c r="N4084" s="1">
        <f ca="1">总规划!N310</f>
        <v>14000</v>
      </c>
      <c r="O4084" s="1" t="str">
        <f>总规划!O310</f>
        <v>1联盟币</v>
      </c>
    </row>
    <row r="4085" spans="2:15">
      <c r="B4085" s="1" t="str">
        <f>总规划!B311</f>
        <v>金+随机中坦配件图纸宝箱</v>
      </c>
      <c r="C4085" s="1" t="str">
        <f>总规划!C311</f>
        <v>1个</v>
      </c>
      <c r="D4085" s="1">
        <f ca="1">总规划!D311</f>
        <v>35</v>
      </c>
      <c r="E4085" s="1">
        <f ca="1">总规划!E311</f>
        <v>42000</v>
      </c>
      <c r="F4085" s="1">
        <f ca="1">总规划!F311</f>
        <v>84000</v>
      </c>
      <c r="G4085" s="1">
        <f ca="1">总规划!G311</f>
        <v>84</v>
      </c>
      <c r="H4085" s="1">
        <f ca="1">总规划!H311</f>
        <v>84</v>
      </c>
      <c r="I4085" s="1" t="str">
        <f>总规划!I311</f>
        <v>1M资源</v>
      </c>
      <c r="J4085" s="1">
        <f ca="1">总规划!J311</f>
        <v>35000</v>
      </c>
      <c r="K4085" s="1">
        <f ca="1">总规划!K311</f>
        <v>35000</v>
      </c>
      <c r="L4085" s="1" t="str">
        <f>总规划!L311</f>
        <v>1战役币</v>
      </c>
      <c r="M4085" s="1">
        <f ca="1">总规划!M311</f>
        <v>14000</v>
      </c>
      <c r="N4085" s="1">
        <f ca="1">总规划!N311</f>
        <v>14000</v>
      </c>
      <c r="O4085" s="1" t="str">
        <f>总规划!O311</f>
        <v>1联盟币</v>
      </c>
    </row>
    <row r="4086" spans="2:15">
      <c r="B4086" s="1" t="str">
        <f>总规划!B312</f>
        <v>金+随机重坦配件图纸宝箱</v>
      </c>
      <c r="C4086" s="1" t="str">
        <f>总规划!C312</f>
        <v>1个</v>
      </c>
      <c r="D4086" s="1">
        <f ca="1">总规划!D312</f>
        <v>35</v>
      </c>
      <c r="E4086" s="1">
        <f ca="1">总规划!E312</f>
        <v>42000</v>
      </c>
      <c r="F4086" s="1">
        <f ca="1">总规划!F312</f>
        <v>84000</v>
      </c>
      <c r="G4086" s="1">
        <f ca="1">总规划!G312</f>
        <v>84</v>
      </c>
      <c r="H4086" s="1">
        <f ca="1">总规划!H312</f>
        <v>84</v>
      </c>
      <c r="I4086" s="1" t="str">
        <f>总规划!I312</f>
        <v>1M资源</v>
      </c>
      <c r="J4086" s="1">
        <f ca="1">总规划!J312</f>
        <v>35000</v>
      </c>
      <c r="K4086" s="1">
        <f ca="1">总规划!K312</f>
        <v>35000</v>
      </c>
      <c r="L4086" s="1" t="str">
        <f>总规划!L312</f>
        <v>1战役币</v>
      </c>
      <c r="M4086" s="1">
        <f ca="1">总规划!M312</f>
        <v>14000</v>
      </c>
      <c r="N4086" s="1">
        <f ca="1">总规划!N312</f>
        <v>14000</v>
      </c>
      <c r="O4086" s="1" t="str">
        <f>总规划!O312</f>
        <v>1联盟币</v>
      </c>
    </row>
    <row r="4087" spans="2:15">
      <c r="B4087" s="1" t="str">
        <f>总规划!B313</f>
        <v>金+随机坦歼配件图纸宝箱</v>
      </c>
      <c r="C4087" s="1" t="str">
        <f>总规划!C313</f>
        <v>1个</v>
      </c>
      <c r="D4087" s="1">
        <f ca="1">总规划!D313</f>
        <v>35</v>
      </c>
      <c r="E4087" s="1">
        <f ca="1">总规划!E313</f>
        <v>42000</v>
      </c>
      <c r="F4087" s="1">
        <f ca="1">总规划!F313</f>
        <v>84000</v>
      </c>
      <c r="G4087" s="1">
        <f ca="1">总规划!G313</f>
        <v>84</v>
      </c>
      <c r="H4087" s="1">
        <f ca="1">总规划!H313</f>
        <v>84</v>
      </c>
      <c r="I4087" s="1" t="str">
        <f>总规划!I313</f>
        <v>1M资源</v>
      </c>
      <c r="J4087" s="1">
        <f ca="1">总规划!J313</f>
        <v>35000</v>
      </c>
      <c r="K4087" s="1">
        <f ca="1">总规划!K313</f>
        <v>35000</v>
      </c>
      <c r="L4087" s="1" t="str">
        <f>总规划!L313</f>
        <v>1战役币</v>
      </c>
      <c r="M4087" s="1">
        <f ca="1">总规划!M313</f>
        <v>14000</v>
      </c>
      <c r="N4087" s="1">
        <f ca="1">总规划!N313</f>
        <v>14000</v>
      </c>
      <c r="O4087" s="1" t="str">
        <f>总规划!O313</f>
        <v>1联盟币</v>
      </c>
    </row>
    <row r="4088" spans="2:15">
      <c r="B4088" s="1" t="str">
        <f>总规划!B314</f>
        <v>金+随机榴弹炮配件图纸宝箱</v>
      </c>
      <c r="C4088" s="1" t="str">
        <f>总规划!C314</f>
        <v>1个</v>
      </c>
      <c r="D4088" s="1">
        <f ca="1">总规划!D314</f>
        <v>35</v>
      </c>
      <c r="E4088" s="1">
        <f ca="1">总规划!E314</f>
        <v>42000</v>
      </c>
      <c r="F4088" s="1">
        <f ca="1">总规划!F314</f>
        <v>84000</v>
      </c>
      <c r="G4088" s="1">
        <f ca="1">总规划!G314</f>
        <v>84</v>
      </c>
      <c r="H4088" s="1">
        <f ca="1">总规划!H314</f>
        <v>84</v>
      </c>
      <c r="I4088" s="1" t="str">
        <f>总规划!I314</f>
        <v>1M资源</v>
      </c>
      <c r="J4088" s="1">
        <f ca="1">总规划!J314</f>
        <v>35000</v>
      </c>
      <c r="K4088" s="1">
        <f ca="1">总规划!K314</f>
        <v>35000</v>
      </c>
      <c r="L4088" s="1" t="str">
        <f>总规划!L314</f>
        <v>1战役币</v>
      </c>
      <c r="M4088" s="1">
        <f ca="1">总规划!M314</f>
        <v>14000</v>
      </c>
      <c r="N4088" s="1">
        <f ca="1">总规划!N314</f>
        <v>14000</v>
      </c>
      <c r="O4088" s="1" t="str">
        <f>总规划!O314</f>
        <v>1联盟币</v>
      </c>
    </row>
    <row r="4089" spans="2:15">
      <c r="B4089" s="1" t="str">
        <f>总规划!B315</f>
        <v>金+随机反坦克炮配件图纸宝箱</v>
      </c>
      <c r="C4089" s="1" t="str">
        <f>总规划!C315</f>
        <v>1个</v>
      </c>
      <c r="D4089" s="1">
        <f ca="1">总规划!D315</f>
        <v>70</v>
      </c>
      <c r="E4089" s="1">
        <f ca="1">总规划!E315</f>
        <v>84000</v>
      </c>
      <c r="F4089" s="1">
        <f ca="1">总规划!F315</f>
        <v>168000</v>
      </c>
      <c r="G4089" s="1">
        <f ca="1">总规划!G315</f>
        <v>168</v>
      </c>
      <c r="H4089" s="1">
        <f ca="1">总规划!H315</f>
        <v>168</v>
      </c>
      <c r="I4089" s="1" t="str">
        <f>总规划!I315</f>
        <v>1M资源</v>
      </c>
      <c r="J4089" s="1">
        <f ca="1">总规划!J315</f>
        <v>70000</v>
      </c>
      <c r="K4089" s="1">
        <f ca="1">总规划!K315</f>
        <v>70000</v>
      </c>
      <c r="L4089" s="1" t="str">
        <f>总规划!L315</f>
        <v>1战役币</v>
      </c>
      <c r="M4089" s="1">
        <f ca="1">总规划!M315</f>
        <v>28000</v>
      </c>
      <c r="N4089" s="1">
        <f ca="1">总规划!N315</f>
        <v>28000</v>
      </c>
      <c r="O4089" s="1" t="str">
        <f>总规划!O315</f>
        <v>1联盟币</v>
      </c>
    </row>
    <row r="4090" spans="2:15">
      <c r="B4090" s="1" t="str">
        <f>总规划!B316</f>
        <v>金+随机轻坦配件图纸宝箱</v>
      </c>
      <c r="C4090" s="1" t="str">
        <f>总规划!C316</f>
        <v>1个</v>
      </c>
      <c r="D4090" s="1">
        <f ca="1">总规划!D316</f>
        <v>70</v>
      </c>
      <c r="E4090" s="1">
        <f ca="1">总规划!E316</f>
        <v>84000</v>
      </c>
      <c r="F4090" s="1">
        <f ca="1">总规划!F316</f>
        <v>168000</v>
      </c>
      <c r="G4090" s="1">
        <f ca="1">总规划!G316</f>
        <v>168</v>
      </c>
      <c r="H4090" s="1">
        <f ca="1">总规划!H316</f>
        <v>168</v>
      </c>
      <c r="I4090" s="1" t="str">
        <f>总规划!I316</f>
        <v>1M资源</v>
      </c>
      <c r="J4090" s="1">
        <f ca="1">总规划!J316</f>
        <v>70000</v>
      </c>
      <c r="K4090" s="1">
        <f ca="1">总规划!K316</f>
        <v>70000</v>
      </c>
      <c r="L4090" s="1" t="str">
        <f>总规划!L316</f>
        <v>1战役币</v>
      </c>
      <c r="M4090" s="1">
        <f ca="1">总规划!M316</f>
        <v>28000</v>
      </c>
      <c r="N4090" s="1">
        <f ca="1">总规划!N316</f>
        <v>28000</v>
      </c>
      <c r="O4090" s="1" t="str">
        <f>总规划!O316</f>
        <v>1联盟币</v>
      </c>
    </row>
    <row r="4091" spans="2:15">
      <c r="B4091" s="1" t="str">
        <f>总规划!B317</f>
        <v>金+随机超重坦配件图纸宝箱</v>
      </c>
      <c r="C4091" s="1" t="str">
        <f>总规划!C317</f>
        <v>1个</v>
      </c>
      <c r="D4091" s="1">
        <f ca="1">总规划!D317</f>
        <v>70</v>
      </c>
      <c r="E4091" s="1">
        <f ca="1">总规划!E317</f>
        <v>84000</v>
      </c>
      <c r="F4091" s="1">
        <f ca="1">总规划!F317</f>
        <v>168000</v>
      </c>
      <c r="G4091" s="1">
        <f ca="1">总规划!G317</f>
        <v>168</v>
      </c>
      <c r="H4091" s="1">
        <f ca="1">总规划!H317</f>
        <v>168</v>
      </c>
      <c r="I4091" s="1" t="str">
        <f>总规划!I317</f>
        <v>1M资源</v>
      </c>
      <c r="J4091" s="1">
        <f ca="1">总规划!J317</f>
        <v>70000</v>
      </c>
      <c r="K4091" s="1">
        <f ca="1">总规划!K317</f>
        <v>70000</v>
      </c>
      <c r="L4091" s="1" t="str">
        <f>总规划!L317</f>
        <v>1战役币</v>
      </c>
      <c r="M4091" s="1">
        <f ca="1">总规划!M317</f>
        <v>28000</v>
      </c>
      <c r="N4091" s="1">
        <f ca="1">总规划!N317</f>
        <v>28000</v>
      </c>
      <c r="O4091" s="1" t="str">
        <f>总规划!O317</f>
        <v>1联盟币</v>
      </c>
    </row>
    <row r="4092" spans="2:15">
      <c r="B4092" s="1" t="str">
        <f>总规划!B318</f>
        <v>金+随机火箭炮配件图纸宝箱</v>
      </c>
      <c r="C4092" s="1" t="str">
        <f>总规划!C318</f>
        <v>1个</v>
      </c>
      <c r="D4092" s="1">
        <f ca="1">总规划!D318</f>
        <v>70</v>
      </c>
      <c r="E4092" s="1">
        <f ca="1">总规划!E318</f>
        <v>84000</v>
      </c>
      <c r="F4092" s="1">
        <f ca="1">总规划!F318</f>
        <v>168000</v>
      </c>
      <c r="G4092" s="1">
        <f ca="1">总规划!G318</f>
        <v>168</v>
      </c>
      <c r="H4092" s="1">
        <f ca="1">总规划!H318</f>
        <v>168</v>
      </c>
      <c r="I4092" s="1" t="str">
        <f>总规划!I318</f>
        <v>1M资源</v>
      </c>
      <c r="J4092" s="1">
        <f ca="1">总规划!J318</f>
        <v>70000</v>
      </c>
      <c r="K4092" s="1">
        <f ca="1">总规划!K318</f>
        <v>70000</v>
      </c>
      <c r="L4092" s="1" t="str">
        <f>总规划!L318</f>
        <v>1战役币</v>
      </c>
      <c r="M4092" s="1">
        <f ca="1">总规划!M318</f>
        <v>28000</v>
      </c>
      <c r="N4092" s="1">
        <f ca="1">总规划!N318</f>
        <v>28000</v>
      </c>
      <c r="O4092" s="1" t="str">
        <f>总规划!O318</f>
        <v>1联盟币</v>
      </c>
    </row>
    <row r="4093" spans="2:15">
      <c r="B4093" s="1" t="str">
        <f>总规划!B319</f>
        <v>金+随机配件图纸宝箱</v>
      </c>
      <c r="C4093" s="1" t="str">
        <f>总规划!C319</f>
        <v>1个</v>
      </c>
      <c r="D4093" s="1">
        <f ca="1">总规划!D319</f>
        <v>17.5</v>
      </c>
      <c r="E4093" s="1">
        <f ca="1">总规划!E319</f>
        <v>21000</v>
      </c>
      <c r="F4093" s="1">
        <f ca="1">总规划!F319</f>
        <v>42000</v>
      </c>
      <c r="G4093" s="1">
        <f ca="1">总规划!G319</f>
        <v>42</v>
      </c>
      <c r="H4093" s="1">
        <f ca="1">总规划!H319</f>
        <v>42</v>
      </c>
      <c r="I4093" s="1" t="str">
        <f>总规划!I319</f>
        <v>1M资源</v>
      </c>
      <c r="J4093" s="1">
        <f ca="1">总规划!J319</f>
        <v>17500</v>
      </c>
      <c r="K4093" s="1">
        <f ca="1">总规划!K319</f>
        <v>17500</v>
      </c>
      <c r="L4093" s="1" t="str">
        <f>总规划!L319</f>
        <v>1战役币</v>
      </c>
      <c r="M4093" s="1">
        <f ca="1">总规划!M319</f>
        <v>7000</v>
      </c>
      <c r="N4093" s="1">
        <f ca="1">总规划!N319</f>
        <v>7000</v>
      </c>
      <c r="O4093" s="1" t="str">
        <f>总规划!O319</f>
        <v>1联盟币</v>
      </c>
    </row>
    <row r="4094" spans="2:15">
      <c r="B4094" s="1" t="str">
        <f>总规划!B335</f>
        <v>联盟币</v>
      </c>
      <c r="C4094" s="1" t="str">
        <f>总规划!C335</f>
        <v>1k联盟币</v>
      </c>
      <c r="D4094" s="1">
        <f>总规划!D335</f>
        <v>2.5</v>
      </c>
      <c r="E4094" s="1">
        <f>总规划!E335</f>
        <v>3000</v>
      </c>
      <c r="F4094" s="1">
        <f>总规划!F335</f>
        <v>6000</v>
      </c>
      <c r="G4094" s="1">
        <f>总规划!G335</f>
        <v>6</v>
      </c>
      <c r="H4094" s="1">
        <f>总规划!H335</f>
        <v>6</v>
      </c>
      <c r="I4094" s="1" t="str">
        <f>总规划!I335</f>
        <v>1M资源</v>
      </c>
      <c r="J4094" s="1">
        <f>总规划!J335</f>
        <v>2500</v>
      </c>
      <c r="K4094" s="1">
        <f>总规划!K335</f>
        <v>2500</v>
      </c>
      <c r="L4094" s="1" t="str">
        <f>总规划!L335</f>
        <v>1战役币</v>
      </c>
      <c r="M4094" s="1">
        <f>总规划!M335</f>
        <v>1000</v>
      </c>
      <c r="N4094" s="1">
        <f>总规划!N335</f>
        <v>1000</v>
      </c>
      <c r="O4094" s="1" t="str">
        <f>总规划!O335</f>
        <v>1联盟币</v>
      </c>
    </row>
    <row r="4096" spans="2:12">
      <c r="B4096" s="27" t="s">
        <v>2166</v>
      </c>
      <c r="C4096" s="27"/>
      <c r="D4096" s="27"/>
      <c r="E4096" s="27"/>
      <c r="F4096" s="27"/>
      <c r="G4096" s="27"/>
      <c r="H4096" s="27"/>
      <c r="I4096" s="27"/>
      <c r="J4096" s="27"/>
      <c r="K4096" s="27"/>
      <c r="L4096" s="27"/>
    </row>
    <row r="4098" spans="2:20">
      <c r="B4098" s="4" t="s">
        <v>1527</v>
      </c>
      <c r="D4098" s="4" t="s">
        <v>607</v>
      </c>
      <c r="E4098" s="4"/>
      <c r="F4098" s="4"/>
      <c r="G4098" s="6" t="s">
        <v>1528</v>
      </c>
      <c r="H4098" s="4" t="s">
        <v>1529</v>
      </c>
      <c r="I4098" s="5" t="s">
        <v>1530</v>
      </c>
      <c r="J4098" s="92" t="s">
        <v>1493</v>
      </c>
      <c r="K4098" s="60" t="s">
        <v>1532</v>
      </c>
      <c r="L4098" s="30" t="s">
        <v>1514</v>
      </c>
      <c r="M4098" s="6" t="s">
        <v>1533</v>
      </c>
      <c r="N4098" s="1" t="s">
        <v>597</v>
      </c>
      <c r="O4098" s="1" t="s">
        <v>598</v>
      </c>
      <c r="P4098" s="1" t="s">
        <v>2167</v>
      </c>
      <c r="Q4098" s="4" t="s">
        <v>1378</v>
      </c>
      <c r="R4098" s="6" t="s">
        <v>1535</v>
      </c>
      <c r="S4098" s="1" t="s">
        <v>1536</v>
      </c>
      <c r="T4098" s="1" t="s">
        <v>2168</v>
      </c>
    </row>
    <row r="4099" spans="2:20">
      <c r="B4099" s="4" t="s">
        <v>2169</v>
      </c>
      <c r="D4099" s="4" t="s">
        <v>2170</v>
      </c>
      <c r="G4099" s="6">
        <v>1</v>
      </c>
      <c r="H4099" s="4" t="str">
        <f t="shared" ref="H4099:H4117" si="1180">IF(M4099&gt;-0.5,"purple","yellow")</f>
        <v>purple</v>
      </c>
      <c r="I4099" s="105">
        <f t="shared" ref="I4099:I4117" si="1181">N4099/Q4099</f>
        <v>1.04166666666667</v>
      </c>
      <c r="J4099" s="106">
        <v>1</v>
      </c>
      <c r="K4099" s="69" t="s">
        <v>476</v>
      </c>
      <c r="L4099" s="30"/>
      <c r="M4099" s="6"/>
      <c r="N4099" s="1">
        <v>83.3333333333333</v>
      </c>
      <c r="O4099" s="1">
        <v>83.3333333333333</v>
      </c>
      <c r="P4099" s="1">
        <f>O4099*(1+M4099)</f>
        <v>83.3333333333333</v>
      </c>
      <c r="Q4099" s="4">
        <f>_xlfn.FLOOR.MATH(P4099,5)</f>
        <v>80</v>
      </c>
      <c r="R4099" s="6"/>
      <c r="S4099" s="1">
        <f t="shared" ref="S4099:S4116" si="1182">R4099*G4099</f>
        <v>0</v>
      </c>
      <c r="T4099" s="1">
        <f t="shared" ref="T4099:T4101" si="1183">R4099*Q4099</f>
        <v>0</v>
      </c>
    </row>
    <row r="4100" spans="2:20">
      <c r="B4100" s="4" t="s">
        <v>2171</v>
      </c>
      <c r="D4100" s="4" t="s">
        <v>1622</v>
      </c>
      <c r="G4100" s="6">
        <v>1</v>
      </c>
      <c r="H4100" s="4" t="str">
        <f t="shared" si="1180"/>
        <v>purple</v>
      </c>
      <c r="I4100" s="105">
        <f t="shared" si="1181"/>
        <v>0.868055555555556</v>
      </c>
      <c r="J4100" s="106">
        <v>1</v>
      </c>
      <c r="K4100" s="69" t="s">
        <v>478</v>
      </c>
      <c r="L4100" s="30"/>
      <c r="M4100" s="6"/>
      <c r="N4100" s="1">
        <v>208.333333333333</v>
      </c>
      <c r="O4100" s="1">
        <v>240</v>
      </c>
      <c r="P4100" s="1">
        <f t="shared" ref="P4100:P4104" si="1184">O4100*(1+M4100)</f>
        <v>240</v>
      </c>
      <c r="Q4100" s="4">
        <f>_xlfn.FLOOR.MATH(P4100,5)</f>
        <v>240</v>
      </c>
      <c r="R4100" s="6"/>
      <c r="S4100" s="1">
        <f t="shared" si="1182"/>
        <v>0</v>
      </c>
      <c r="T4100" s="1">
        <f t="shared" si="1183"/>
        <v>0</v>
      </c>
    </row>
    <row r="4101" spans="2:20">
      <c r="B4101" s="4" t="s">
        <v>2172</v>
      </c>
      <c r="D4101" s="4" t="s">
        <v>1555</v>
      </c>
      <c r="G4101" s="6">
        <v>1</v>
      </c>
      <c r="H4101" s="4" t="str">
        <f t="shared" si="1180"/>
        <v>yellow</v>
      </c>
      <c r="I4101" s="105">
        <f t="shared" si="1181"/>
        <v>4.19166666666667</v>
      </c>
      <c r="J4101" s="106">
        <v>1</v>
      </c>
      <c r="K4101" s="69" t="s">
        <v>63</v>
      </c>
      <c r="L4101" s="30" t="s">
        <v>1515</v>
      </c>
      <c r="M4101" s="6">
        <v>-0.6</v>
      </c>
      <c r="N4101" s="1">
        <v>251.5</v>
      </c>
      <c r="O4101" s="1">
        <v>150</v>
      </c>
      <c r="P4101" s="1">
        <f t="shared" si="1184"/>
        <v>60</v>
      </c>
      <c r="Q4101" s="4">
        <f>_xlfn.FLOOR.MATH(P4101,5)</f>
        <v>60</v>
      </c>
      <c r="R4101" s="6">
        <v>10</v>
      </c>
      <c r="S4101" s="1">
        <f t="shared" si="1182"/>
        <v>10</v>
      </c>
      <c r="T4101" s="1">
        <f t="shared" si="1183"/>
        <v>600</v>
      </c>
    </row>
    <row r="4102" spans="2:20">
      <c r="B4102" s="4" t="s">
        <v>2173</v>
      </c>
      <c r="D4102" s="4" t="s">
        <v>2174</v>
      </c>
      <c r="G4102" s="6">
        <v>1</v>
      </c>
      <c r="H4102" s="4" t="str">
        <f t="shared" si="1180"/>
        <v>yellow</v>
      </c>
      <c r="I4102" s="105">
        <f t="shared" si="1181"/>
        <v>10.2564102564103</v>
      </c>
      <c r="J4102" s="106">
        <v>1</v>
      </c>
      <c r="K4102" s="69" t="s">
        <v>468</v>
      </c>
      <c r="L4102" s="30" t="s">
        <v>1515</v>
      </c>
      <c r="M4102" s="6">
        <v>-0.9</v>
      </c>
      <c r="N4102" s="1">
        <v>1333.33333333333</v>
      </c>
      <c r="O4102" s="1">
        <v>1333.33333333333</v>
      </c>
      <c r="P4102" s="1">
        <f t="shared" si="1184"/>
        <v>133.333333333333</v>
      </c>
      <c r="Q4102" s="4">
        <f>_xlfn.FLOOR.MATH(P4102,5)</f>
        <v>130</v>
      </c>
      <c r="R4102" s="6">
        <v>10</v>
      </c>
      <c r="S4102" s="1">
        <f t="shared" si="1182"/>
        <v>10</v>
      </c>
      <c r="T4102" s="1">
        <f t="shared" ref="T4102:T4104" si="1185">R4102*Q4102</f>
        <v>1300</v>
      </c>
    </row>
    <row r="4103" spans="2:20">
      <c r="B4103" s="4" t="s">
        <v>2175</v>
      </c>
      <c r="D4103" s="4" t="s">
        <v>2174</v>
      </c>
      <c r="G4103" s="6">
        <v>1</v>
      </c>
      <c r="H4103" s="4" t="str">
        <f t="shared" si="1180"/>
        <v>yellow</v>
      </c>
      <c r="I4103" s="105">
        <f t="shared" si="1181"/>
        <v>5.0314465408805</v>
      </c>
      <c r="J4103" s="106">
        <v>2</v>
      </c>
      <c r="K4103" s="69" t="s">
        <v>468</v>
      </c>
      <c r="L4103" s="30" t="s">
        <v>1516</v>
      </c>
      <c r="M4103" s="6">
        <v>-0.8</v>
      </c>
      <c r="N4103" s="1">
        <v>1333.33333333333</v>
      </c>
      <c r="O4103" s="1">
        <v>1333.33333333333</v>
      </c>
      <c r="P4103" s="1">
        <f t="shared" si="1184"/>
        <v>266.666666666667</v>
      </c>
      <c r="Q4103" s="4">
        <f>_xlfn.FLOOR.MATH(P4103,5)</f>
        <v>265</v>
      </c>
      <c r="R4103" s="6">
        <v>10</v>
      </c>
      <c r="S4103" s="1">
        <f t="shared" si="1182"/>
        <v>10</v>
      </c>
      <c r="T4103" s="1">
        <f t="shared" si="1185"/>
        <v>2650</v>
      </c>
    </row>
    <row r="4104" spans="2:20">
      <c r="B4104" s="4" t="s">
        <v>2176</v>
      </c>
      <c r="D4104" s="4" t="s">
        <v>2177</v>
      </c>
      <c r="G4104" s="6">
        <v>1</v>
      </c>
      <c r="H4104" s="4" t="str">
        <f t="shared" si="1180"/>
        <v>yellow</v>
      </c>
      <c r="I4104" s="105">
        <f t="shared" si="1181"/>
        <v>5.55555555555556</v>
      </c>
      <c r="J4104" s="106">
        <v>2</v>
      </c>
      <c r="K4104" s="69" t="s">
        <v>483</v>
      </c>
      <c r="L4104" s="30" t="s">
        <v>1515</v>
      </c>
      <c r="M4104" s="6">
        <v>-0.8</v>
      </c>
      <c r="N4104" s="1">
        <v>83.3333333333333</v>
      </c>
      <c r="O4104" s="1">
        <v>83.3333333333333</v>
      </c>
      <c r="P4104" s="1">
        <f t="shared" si="1184"/>
        <v>16.6666666666667</v>
      </c>
      <c r="Q4104" s="4">
        <f>_xlfn.FLOOR.MATH(P4104,5)</f>
        <v>15</v>
      </c>
      <c r="R4104" s="6">
        <v>15</v>
      </c>
      <c r="S4104" s="1">
        <f t="shared" si="1182"/>
        <v>15</v>
      </c>
      <c r="T4104" s="1">
        <f t="shared" si="1185"/>
        <v>225</v>
      </c>
    </row>
    <row r="4105" spans="2:20">
      <c r="B4105" s="4" t="s">
        <v>2178</v>
      </c>
      <c r="D4105" s="4" t="s">
        <v>2093</v>
      </c>
      <c r="G4105" s="6">
        <v>1</v>
      </c>
      <c r="H4105" s="4" t="str">
        <f t="shared" si="1180"/>
        <v>yellow</v>
      </c>
      <c r="I4105" s="105">
        <f t="shared" si="1181"/>
        <v>2.5</v>
      </c>
      <c r="J4105" s="106">
        <v>2</v>
      </c>
      <c r="K4105" s="69" t="s">
        <v>611</v>
      </c>
      <c r="L4105" s="30" t="s">
        <v>1516</v>
      </c>
      <c r="M4105" s="6">
        <v>-0.6</v>
      </c>
      <c r="N4105" s="1">
        <v>200</v>
      </c>
      <c r="O4105" s="1">
        <v>200</v>
      </c>
      <c r="P4105" s="1">
        <f t="shared" ref="P4105:P4117" si="1186">O4105*(1+M4105)</f>
        <v>80</v>
      </c>
      <c r="Q4105" s="4">
        <f>_xlfn.FLOOR.MATH(P4105,5)</f>
        <v>80</v>
      </c>
      <c r="R4105" s="6">
        <v>5</v>
      </c>
      <c r="S4105" s="1">
        <f t="shared" si="1182"/>
        <v>5</v>
      </c>
      <c r="T4105" s="1">
        <f t="shared" ref="T4105" si="1187">R4105*Q4105</f>
        <v>400</v>
      </c>
    </row>
    <row r="4106" spans="2:20">
      <c r="B4106" s="4" t="s">
        <v>2179</v>
      </c>
      <c r="D4106" s="4" t="s">
        <v>1584</v>
      </c>
      <c r="G4106" s="6">
        <v>1</v>
      </c>
      <c r="H4106" s="4" t="str">
        <f t="shared" si="1180"/>
        <v>yellow</v>
      </c>
      <c r="I4106" s="105">
        <f t="shared" si="1181"/>
        <v>2.5</v>
      </c>
      <c r="J4106" s="106">
        <v>2</v>
      </c>
      <c r="K4106" s="69" t="s">
        <v>484</v>
      </c>
      <c r="L4106" s="30"/>
      <c r="M4106" s="6">
        <v>-0.6</v>
      </c>
      <c r="N4106" s="1">
        <v>5900</v>
      </c>
      <c r="O4106" s="1">
        <v>5900</v>
      </c>
      <c r="P4106" s="1">
        <f t="shared" si="1186"/>
        <v>2360</v>
      </c>
      <c r="Q4106" s="4">
        <f>_xlfn.FLOOR.MATH(P4106,5)</f>
        <v>2360</v>
      </c>
      <c r="R4106" s="6">
        <v>1</v>
      </c>
      <c r="S4106" s="1">
        <f t="shared" si="1182"/>
        <v>1</v>
      </c>
      <c r="T4106" s="1">
        <f t="shared" ref="T4106:T4111" si="1188">R4106*Q4106</f>
        <v>2360</v>
      </c>
    </row>
    <row r="4107" spans="2:20">
      <c r="B4107" s="4" t="s">
        <v>2180</v>
      </c>
      <c r="D4107" s="4" t="s">
        <v>2181</v>
      </c>
      <c r="G4107" s="6">
        <v>1</v>
      </c>
      <c r="H4107" s="4" t="str">
        <f t="shared" si="1180"/>
        <v>yellow</v>
      </c>
      <c r="I4107" s="105">
        <f t="shared" si="1181"/>
        <v>2.5</v>
      </c>
      <c r="J4107" s="106">
        <v>3</v>
      </c>
      <c r="K4107" s="69" t="s">
        <v>2182</v>
      </c>
      <c r="L4107" s="30" t="s">
        <v>1516</v>
      </c>
      <c r="M4107" s="6">
        <v>-0.6</v>
      </c>
      <c r="N4107" s="1">
        <v>600</v>
      </c>
      <c r="O4107" s="1">
        <v>600</v>
      </c>
      <c r="P4107" s="1">
        <f t="shared" si="1186"/>
        <v>240</v>
      </c>
      <c r="Q4107" s="4">
        <f>_xlfn.FLOOR.MATH(P4107,5)</f>
        <v>240</v>
      </c>
      <c r="R4107" s="6">
        <v>3</v>
      </c>
      <c r="S4107" s="1">
        <f t="shared" si="1182"/>
        <v>3</v>
      </c>
      <c r="T4107" s="1">
        <f t="shared" si="1188"/>
        <v>720</v>
      </c>
    </row>
    <row r="4108" spans="2:20">
      <c r="B4108" s="4" t="s">
        <v>2183</v>
      </c>
      <c r="D4108" s="4" t="s">
        <v>1586</v>
      </c>
      <c r="G4108" s="6">
        <v>1</v>
      </c>
      <c r="H4108" s="4" t="str">
        <f t="shared" si="1180"/>
        <v>yellow</v>
      </c>
      <c r="I4108" s="105">
        <f t="shared" si="1181"/>
        <v>2.5</v>
      </c>
      <c r="J4108" s="106">
        <v>3</v>
      </c>
      <c r="K4108" s="69" t="s">
        <v>484</v>
      </c>
      <c r="L4108" s="30"/>
      <c r="M4108" s="6">
        <v>-0.6</v>
      </c>
      <c r="N4108" s="1">
        <v>5900</v>
      </c>
      <c r="O4108" s="1">
        <v>5900</v>
      </c>
      <c r="P4108" s="1">
        <f t="shared" si="1186"/>
        <v>2360</v>
      </c>
      <c r="Q4108" s="4">
        <f>_xlfn.FLOOR.MATH(P4108,5)</f>
        <v>2360</v>
      </c>
      <c r="R4108" s="6">
        <v>1</v>
      </c>
      <c r="S4108" s="1">
        <f t="shared" si="1182"/>
        <v>1</v>
      </c>
      <c r="T4108" s="1">
        <f t="shared" si="1188"/>
        <v>2360</v>
      </c>
    </row>
    <row r="4109" spans="2:20">
      <c r="B4109" s="4" t="s">
        <v>2184</v>
      </c>
      <c r="D4109" s="4" t="s">
        <v>1588</v>
      </c>
      <c r="G4109" s="6">
        <v>1</v>
      </c>
      <c r="H4109" s="4" t="str">
        <f t="shared" si="1180"/>
        <v>yellow</v>
      </c>
      <c r="I4109" s="105">
        <f t="shared" si="1181"/>
        <v>2.5</v>
      </c>
      <c r="J4109" s="106">
        <v>3</v>
      </c>
      <c r="K4109" s="69" t="s">
        <v>484</v>
      </c>
      <c r="L4109" s="30"/>
      <c r="M4109" s="6">
        <v>-0.6</v>
      </c>
      <c r="N4109" s="1">
        <v>5900</v>
      </c>
      <c r="O4109" s="1">
        <v>5900</v>
      </c>
      <c r="P4109" s="1">
        <f t="shared" si="1186"/>
        <v>2360</v>
      </c>
      <c r="Q4109" s="4">
        <f>_xlfn.FLOOR.MATH(P4109,5)</f>
        <v>2360</v>
      </c>
      <c r="R4109" s="6">
        <v>1</v>
      </c>
      <c r="S4109" s="1">
        <f t="shared" si="1182"/>
        <v>1</v>
      </c>
      <c r="T4109" s="1">
        <f t="shared" si="1188"/>
        <v>2360</v>
      </c>
    </row>
    <row r="4110" spans="2:20">
      <c r="B4110" s="4" t="s">
        <v>2185</v>
      </c>
      <c r="D4110" s="4" t="s">
        <v>1590</v>
      </c>
      <c r="G4110" s="6">
        <v>1</v>
      </c>
      <c r="H4110" s="4" t="str">
        <f t="shared" si="1180"/>
        <v>yellow</v>
      </c>
      <c r="I4110" s="105">
        <f t="shared" si="1181"/>
        <v>2.5</v>
      </c>
      <c r="J4110" s="106">
        <v>3</v>
      </c>
      <c r="K4110" s="69" t="s">
        <v>484</v>
      </c>
      <c r="L4110" s="30"/>
      <c r="M4110" s="6">
        <v>-0.6</v>
      </c>
      <c r="N4110" s="1">
        <v>5900</v>
      </c>
      <c r="O4110" s="1">
        <v>5900</v>
      </c>
      <c r="P4110" s="1">
        <f t="shared" si="1186"/>
        <v>2360</v>
      </c>
      <c r="Q4110" s="4">
        <f>_xlfn.FLOOR.MATH(P4110,5)</f>
        <v>2360</v>
      </c>
      <c r="R4110" s="6">
        <v>1</v>
      </c>
      <c r="S4110" s="1">
        <f t="shared" si="1182"/>
        <v>1</v>
      </c>
      <c r="T4110" s="1">
        <f t="shared" si="1188"/>
        <v>2360</v>
      </c>
    </row>
    <row r="4111" spans="2:20">
      <c r="B4111" s="4" t="s">
        <v>2186</v>
      </c>
      <c r="D4111" s="4" t="s">
        <v>1592</v>
      </c>
      <c r="G4111" s="6">
        <v>1</v>
      </c>
      <c r="H4111" s="4" t="str">
        <f t="shared" si="1180"/>
        <v>yellow</v>
      </c>
      <c r="I4111" s="105">
        <f t="shared" si="1181"/>
        <v>2.5</v>
      </c>
      <c r="J4111" s="106">
        <v>3</v>
      </c>
      <c r="K4111" s="69" t="s">
        <v>484</v>
      </c>
      <c r="L4111" s="30"/>
      <c r="M4111" s="6">
        <v>-0.6</v>
      </c>
      <c r="N4111" s="1">
        <v>5900</v>
      </c>
      <c r="O4111" s="1">
        <v>5900</v>
      </c>
      <c r="P4111" s="1">
        <f t="shared" si="1186"/>
        <v>2360</v>
      </c>
      <c r="Q4111" s="4">
        <f>_xlfn.FLOOR.MATH(P4111,5)</f>
        <v>2360</v>
      </c>
      <c r="R4111" s="6">
        <v>1</v>
      </c>
      <c r="S4111" s="1">
        <f t="shared" si="1182"/>
        <v>1</v>
      </c>
      <c r="T4111" s="1">
        <f t="shared" si="1188"/>
        <v>2360</v>
      </c>
    </row>
    <row r="4112" spans="2:20">
      <c r="B4112" s="4" t="s">
        <v>2187</v>
      </c>
      <c r="D4112" s="4" t="s">
        <v>2177</v>
      </c>
      <c r="G4112" s="6">
        <v>5</v>
      </c>
      <c r="H4112" s="4" t="str">
        <f t="shared" si="1180"/>
        <v>yellow</v>
      </c>
      <c r="I4112" s="105">
        <f t="shared" si="1181"/>
        <v>2.52525252525253</v>
      </c>
      <c r="J4112" s="106">
        <v>4</v>
      </c>
      <c r="K4112" s="69" t="s">
        <v>483</v>
      </c>
      <c r="L4112" s="30" t="s">
        <v>1516</v>
      </c>
      <c r="M4112" s="6">
        <v>-0.6</v>
      </c>
      <c r="N4112" s="1">
        <v>416.666666666667</v>
      </c>
      <c r="O4112" s="1">
        <v>416.666666666667</v>
      </c>
      <c r="P4112" s="1">
        <f t="shared" si="1186"/>
        <v>166.666666666667</v>
      </c>
      <c r="Q4112" s="4">
        <f>_xlfn.FLOOR.MATH(P4112,5)</f>
        <v>165</v>
      </c>
      <c r="R4112" s="6">
        <v>5</v>
      </c>
      <c r="S4112" s="1">
        <f t="shared" si="1182"/>
        <v>25</v>
      </c>
      <c r="T4112" s="1">
        <f t="shared" ref="T4112:T4117" si="1189">R4112*Q4112</f>
        <v>825</v>
      </c>
    </row>
    <row r="4113" spans="2:20">
      <c r="B4113" s="4" t="s">
        <v>2188</v>
      </c>
      <c r="D4113" s="4" t="s">
        <v>1594</v>
      </c>
      <c r="G4113" s="6">
        <v>1</v>
      </c>
      <c r="H4113" s="4" t="str">
        <f t="shared" ref="H4113" si="1190">IF(M4113&gt;-0.5,"purple","yellow")</f>
        <v>yellow</v>
      </c>
      <c r="I4113" s="105">
        <f t="shared" si="1181"/>
        <v>2.5</v>
      </c>
      <c r="J4113" s="106">
        <v>4</v>
      </c>
      <c r="K4113" s="69" t="s">
        <v>484</v>
      </c>
      <c r="L4113" s="30"/>
      <c r="M4113" s="6">
        <v>-0.6</v>
      </c>
      <c r="N4113" s="1">
        <v>11800</v>
      </c>
      <c r="O4113" s="1">
        <v>11800</v>
      </c>
      <c r="P4113" s="1">
        <f t="shared" si="1186"/>
        <v>4720</v>
      </c>
      <c r="Q4113" s="4">
        <f>_xlfn.FLOOR.MATH(P4113,5)</f>
        <v>4720</v>
      </c>
      <c r="R4113" s="6">
        <v>1</v>
      </c>
      <c r="S4113" s="1">
        <f t="shared" ref="S4113" si="1191">R4113*G4113</f>
        <v>1</v>
      </c>
      <c r="T4113" s="1">
        <f t="shared" si="1189"/>
        <v>4720</v>
      </c>
    </row>
    <row r="4114" spans="2:20">
      <c r="B4114" s="4" t="s">
        <v>2189</v>
      </c>
      <c r="D4114" s="4" t="s">
        <v>1596</v>
      </c>
      <c r="G4114" s="6">
        <v>1</v>
      </c>
      <c r="H4114" s="4" t="str">
        <f t="shared" si="1180"/>
        <v>yellow</v>
      </c>
      <c r="I4114" s="105">
        <f t="shared" si="1181"/>
        <v>2.5</v>
      </c>
      <c r="J4114" s="106">
        <v>4</v>
      </c>
      <c r="K4114" s="69" t="s">
        <v>484</v>
      </c>
      <c r="L4114" s="30"/>
      <c r="M4114" s="6">
        <v>-0.6</v>
      </c>
      <c r="N4114" s="1">
        <v>11800</v>
      </c>
      <c r="O4114" s="1">
        <v>11800</v>
      </c>
      <c r="P4114" s="1">
        <f t="shared" si="1186"/>
        <v>4720</v>
      </c>
      <c r="Q4114" s="4">
        <f>_xlfn.FLOOR.MATH(P4114,10)</f>
        <v>4720</v>
      </c>
      <c r="R4114" s="6">
        <v>1</v>
      </c>
      <c r="S4114" s="1">
        <f t="shared" si="1182"/>
        <v>1</v>
      </c>
      <c r="T4114" s="1">
        <f t="shared" si="1189"/>
        <v>4720</v>
      </c>
    </row>
    <row r="4115" spans="2:20">
      <c r="B4115" s="4" t="s">
        <v>2190</v>
      </c>
      <c r="D4115" s="4" t="s">
        <v>1598</v>
      </c>
      <c r="G4115" s="6">
        <v>1</v>
      </c>
      <c r="H4115" s="4" t="str">
        <f t="shared" si="1180"/>
        <v>yellow</v>
      </c>
      <c r="I4115" s="105">
        <f t="shared" si="1181"/>
        <v>2.5</v>
      </c>
      <c r="J4115" s="106">
        <v>4</v>
      </c>
      <c r="K4115" s="69" t="s">
        <v>484</v>
      </c>
      <c r="L4115" s="30"/>
      <c r="M4115" s="6">
        <v>-0.6</v>
      </c>
      <c r="N4115" s="1">
        <v>11800</v>
      </c>
      <c r="O4115" s="1">
        <v>11800</v>
      </c>
      <c r="P4115" s="1">
        <f t="shared" si="1186"/>
        <v>4720</v>
      </c>
      <c r="Q4115" s="4">
        <f>_xlfn.FLOOR.MATH(P4115,10)</f>
        <v>4720</v>
      </c>
      <c r="R4115" s="6">
        <v>1</v>
      </c>
      <c r="S4115" s="1">
        <f t="shared" si="1182"/>
        <v>1</v>
      </c>
      <c r="T4115" s="1">
        <f t="shared" si="1189"/>
        <v>4720</v>
      </c>
    </row>
    <row r="4116" spans="2:20">
      <c r="B4116" s="4" t="s">
        <v>2191</v>
      </c>
      <c r="D4116" s="4" t="s">
        <v>1600</v>
      </c>
      <c r="G4116" s="6">
        <v>1</v>
      </c>
      <c r="H4116" s="4" t="str">
        <f t="shared" si="1180"/>
        <v>yellow</v>
      </c>
      <c r="I4116" s="105">
        <f t="shared" si="1181"/>
        <v>2.5</v>
      </c>
      <c r="J4116" s="106">
        <v>4</v>
      </c>
      <c r="K4116" s="69" t="s">
        <v>484</v>
      </c>
      <c r="L4116" s="30"/>
      <c r="M4116" s="6">
        <v>-0.6</v>
      </c>
      <c r="N4116" s="1">
        <v>11800</v>
      </c>
      <c r="O4116" s="1">
        <v>11800</v>
      </c>
      <c r="P4116" s="1">
        <f t="shared" si="1186"/>
        <v>4720</v>
      </c>
      <c r="Q4116" s="4">
        <f>_xlfn.FLOOR.MATH(P4116,10)</f>
        <v>4720</v>
      </c>
      <c r="R4116" s="6">
        <v>1</v>
      </c>
      <c r="S4116" s="1">
        <f t="shared" si="1182"/>
        <v>1</v>
      </c>
      <c r="T4116" s="1">
        <f t="shared" si="1189"/>
        <v>4720</v>
      </c>
    </row>
    <row r="4117" spans="2:20">
      <c r="B4117" s="4" t="s">
        <v>2192</v>
      </c>
      <c r="D4117" s="4" t="s">
        <v>2193</v>
      </c>
      <c r="G4117" s="6">
        <v>1</v>
      </c>
      <c r="H4117" s="4" t="str">
        <f t="shared" si="1180"/>
        <v>purple</v>
      </c>
      <c r="I4117" s="105">
        <f t="shared" si="1181"/>
        <v>1.11111111111111</v>
      </c>
      <c r="J4117" s="106">
        <v>1</v>
      </c>
      <c r="K4117" s="69" t="s">
        <v>472</v>
      </c>
      <c r="L4117" s="30"/>
      <c r="M4117" s="6">
        <v>1</v>
      </c>
      <c r="N4117" s="1">
        <v>33.3333333333333</v>
      </c>
      <c r="O4117" s="1">
        <v>16.6666666666667</v>
      </c>
      <c r="P4117" s="1">
        <f t="shared" si="1186"/>
        <v>33.3333333333333</v>
      </c>
      <c r="Q4117" s="4">
        <f>_xlfn.FLOOR.MATH(P4117,5)</f>
        <v>30</v>
      </c>
      <c r="R4117" s="6"/>
      <c r="S4117" s="1">
        <f t="shared" ref="S4117" si="1192">R4117*G4117</f>
        <v>0</v>
      </c>
      <c r="T4117" s="1">
        <f t="shared" si="1189"/>
        <v>0</v>
      </c>
    </row>
    <row r="4118" spans="2:20">
      <c r="B4118" s="4"/>
      <c r="D4118" s="4"/>
      <c r="G4118" s="4"/>
      <c r="H4118" s="4"/>
      <c r="I4118" s="105"/>
      <c r="J4118" s="105"/>
      <c r="L4118" s="4"/>
      <c r="O4118" s="4"/>
      <c r="S4118" s="1" t="s">
        <v>1601</v>
      </c>
      <c r="T4118" s="5">
        <f>SUMIFS($T$4099:$T$4116,$L$4099:$L$4116,"一档")</f>
        <v>2125</v>
      </c>
    </row>
    <row r="4119" spans="2:20">
      <c r="B4119" s="4"/>
      <c r="D4119" s="4"/>
      <c r="G4119" s="4"/>
      <c r="H4119" s="4"/>
      <c r="I4119" s="105"/>
      <c r="J4119" s="105"/>
      <c r="L4119" s="4"/>
      <c r="O4119" s="4"/>
      <c r="S4119" s="1" t="s">
        <v>1602</v>
      </c>
      <c r="T4119" s="5">
        <f>SUMIFS($T$4099:$T$4116,$L$4099:$L$4116,"二档")</f>
        <v>4595</v>
      </c>
    </row>
    <row r="4120" spans="2:20">
      <c r="B4120" s="4"/>
      <c r="D4120" s="4"/>
      <c r="G4120" s="4"/>
      <c r="H4120" s="4"/>
      <c r="I4120" s="105"/>
      <c r="J4120" s="105"/>
      <c r="L4120" s="4"/>
      <c r="O4120" s="4"/>
      <c r="S4120" s="1" t="s">
        <v>1603</v>
      </c>
      <c r="T4120" s="5">
        <f>SUM(T4118:T4119)</f>
        <v>6720</v>
      </c>
    </row>
    <row r="4121" spans="2:20">
      <c r="B4121" s="4"/>
      <c r="D4121" s="4"/>
      <c r="G4121" s="4"/>
      <c r="H4121" s="4"/>
      <c r="I4121" s="105"/>
      <c r="J4121" s="105"/>
      <c r="L4121" s="4"/>
      <c r="O4121" s="4"/>
      <c r="T4121" s="5"/>
    </row>
    <row r="4122" spans="2:12">
      <c r="B4122" s="27" t="s">
        <v>2194</v>
      </c>
      <c r="C4122" s="27"/>
      <c r="D4122" s="27"/>
      <c r="E4122" s="27"/>
      <c r="F4122" s="27"/>
      <c r="G4122" s="27"/>
      <c r="H4122" s="27"/>
      <c r="I4122" s="27"/>
      <c r="J4122" s="27"/>
      <c r="K4122" s="27"/>
      <c r="L4122" s="27"/>
    </row>
    <row r="4124" spans="2:4">
      <c r="B4124" s="1" t="s">
        <v>483</v>
      </c>
      <c r="D4124" s="5">
        <f>SUMIFS($S$4099:$S$4116,$K$4099:$K$4116,"配件材料")*100/$D$4029</f>
        <v>571.428571428571</v>
      </c>
    </row>
    <row r="4125" spans="2:4">
      <c r="B4125" s="1" t="s">
        <v>454</v>
      </c>
      <c r="D4125" s="5">
        <f>SUMIFS($S$4099:$S$4116,$K$4099:$K$4116,"抽卡券")*$E$4819/$D$4029</f>
        <v>1.14285714285714</v>
      </c>
    </row>
    <row r="4126" spans="2:4">
      <c r="B4126" s="1" t="s">
        <v>458</v>
      </c>
      <c r="D4126" s="5">
        <f>SUMIFS($S$4099:$S$4116,$K$4099:$K$4116,"抽卡券")*$E$4820/$D$4029</f>
        <v>26.1428571428571</v>
      </c>
    </row>
    <row r="4128" s="25" customFormat="1" spans="1:5">
      <c r="A4128" s="2" t="s">
        <v>557</v>
      </c>
      <c r="B4128" s="2"/>
      <c r="C4128" s="41" t="s">
        <v>436</v>
      </c>
      <c r="E4128" s="41"/>
    </row>
    <row r="4130" spans="2:12">
      <c r="B4130" s="27" t="s">
        <v>1306</v>
      </c>
      <c r="C4130" s="27"/>
      <c r="D4130" s="27"/>
      <c r="E4130" s="27"/>
      <c r="F4130" s="27"/>
      <c r="G4130" s="27"/>
      <c r="H4130" s="27"/>
      <c r="I4130" s="27"/>
      <c r="J4130" s="27"/>
      <c r="K4130" s="27"/>
      <c r="L4130" s="27"/>
    </row>
    <row r="4132" spans="2:5">
      <c r="B4132" s="1" t="s">
        <v>1437</v>
      </c>
      <c r="E4132" s="1">
        <f>总规划!$D$245</f>
        <v>90000</v>
      </c>
    </row>
    <row r="4133" spans="2:5">
      <c r="B4133" s="1" t="s">
        <v>2195</v>
      </c>
      <c r="E4133" s="68">
        <f>总规划!$C$150</f>
        <v>0.02</v>
      </c>
    </row>
    <row r="4134" spans="2:5">
      <c r="B4134" s="1" t="s">
        <v>2196</v>
      </c>
      <c r="E4134" s="1">
        <f>E4132*E4133/30*$E$4151</f>
        <v>1800</v>
      </c>
    </row>
    <row r="4136" spans="2:6">
      <c r="B4136" s="1" t="s">
        <v>1349</v>
      </c>
      <c r="E4136" s="1">
        <f>总规划!$D$105</f>
        <v>1800</v>
      </c>
      <c r="F4136" s="1" t="str">
        <f>总规划!$C$105</f>
        <v>1M资源</v>
      </c>
    </row>
    <row r="4137" spans="2:5">
      <c r="B4137" s="1" t="s">
        <v>2195</v>
      </c>
      <c r="E4137" s="68">
        <f>总规划!$D$150</f>
        <v>0.05</v>
      </c>
    </row>
    <row r="4138" spans="2:6">
      <c r="B4138" s="1" t="s">
        <v>2196</v>
      </c>
      <c r="E4138" s="1">
        <f>E4136/30*E4137*$E$4151*1000000</f>
        <v>90000000</v>
      </c>
      <c r="F4138" s="1" t="s">
        <v>1328</v>
      </c>
    </row>
    <row r="4140" spans="2:6">
      <c r="B4140" s="1" t="s">
        <v>715</v>
      </c>
      <c r="E4140" s="1">
        <f>总规划!$D$106</f>
        <v>480</v>
      </c>
      <c r="F4140" s="1" t="str">
        <f>总规划!$C$106</f>
        <v>1天</v>
      </c>
    </row>
    <row r="4141" spans="2:5">
      <c r="B4141" s="1" t="s">
        <v>2195</v>
      </c>
      <c r="E4141" s="68">
        <f>总规划!$E$150</f>
        <v>0.03</v>
      </c>
    </row>
    <row r="4142" spans="2:6">
      <c r="B4142" s="1" t="s">
        <v>2196</v>
      </c>
      <c r="E4142" s="1">
        <f>E4140/30*E4141*24*60*$E$4151</f>
        <v>20736</v>
      </c>
      <c r="F4142" s="1" t="s">
        <v>1308</v>
      </c>
    </row>
    <row r="4144" spans="2:6">
      <c r="B4144" s="1" t="s">
        <v>1103</v>
      </c>
      <c r="E4144" s="1">
        <f>总规划!$D$111</f>
        <v>360</v>
      </c>
      <c r="F4144" s="1" t="str">
        <f>总规划!$C$111</f>
        <v>1k铜材料</v>
      </c>
    </row>
    <row r="4145" spans="2:5">
      <c r="B4145" s="1" t="s">
        <v>2195</v>
      </c>
      <c r="E4145" s="68">
        <f>总规划!$J$150</f>
        <v>0.1</v>
      </c>
    </row>
    <row r="4146" spans="2:6">
      <c r="B4146" s="1" t="s">
        <v>2196</v>
      </c>
      <c r="E4146" s="1">
        <f>E4144/30*E4145*1000*$E$4151</f>
        <v>36000</v>
      </c>
      <c r="F4146" s="1" t="s">
        <v>1357</v>
      </c>
    </row>
    <row r="4149" spans="2:12">
      <c r="B4149" s="27" t="s">
        <v>2197</v>
      </c>
      <c r="C4149" s="27"/>
      <c r="D4149" s="27"/>
      <c r="E4149" s="27"/>
      <c r="F4149" s="27"/>
      <c r="G4149" s="27"/>
      <c r="H4149" s="27"/>
      <c r="I4149" s="27"/>
      <c r="J4149" s="27"/>
      <c r="K4149" s="27"/>
      <c r="L4149" s="27"/>
    </row>
    <row r="4151" spans="2:5">
      <c r="B4151" s="1" t="s">
        <v>2198</v>
      </c>
      <c r="E4151" s="6">
        <v>30</v>
      </c>
    </row>
    <row r="4154" spans="2:12">
      <c r="B4154" s="27" t="s">
        <v>539</v>
      </c>
      <c r="C4154" s="27"/>
      <c r="D4154" s="27"/>
      <c r="E4154" s="27"/>
      <c r="F4154" s="27"/>
      <c r="G4154" s="27"/>
      <c r="H4154" s="27"/>
      <c r="I4154" s="27"/>
      <c r="J4154" s="27"/>
      <c r="K4154" s="27"/>
      <c r="L4154" s="27"/>
    </row>
    <row r="4156" spans="3:7">
      <c r="C4156" s="1" t="s">
        <v>540</v>
      </c>
      <c r="D4156" s="1" t="s">
        <v>476</v>
      </c>
      <c r="E4156" s="1" t="s">
        <v>478</v>
      </c>
      <c r="F4156" s="1" t="s">
        <v>483</v>
      </c>
      <c r="G4156" s="42">
        <f>G4157/SUM(G4157:G4158)</f>
        <v>0.695751911639762</v>
      </c>
    </row>
    <row r="4157" spans="2:7">
      <c r="B4157" s="1" t="s">
        <v>2199</v>
      </c>
      <c r="C4157" s="112">
        <v>0.7</v>
      </c>
      <c r="D4157" s="112">
        <v>0.6</v>
      </c>
      <c r="E4157" s="112">
        <v>0.5</v>
      </c>
      <c r="F4157" s="112">
        <v>0.7</v>
      </c>
      <c r="G4157" s="24">
        <f>C4157*$E$4134*(1/1200)+D4157*$E$4138*总规划!$G$105/1000000+E4157*$E$4142/24/60*总规划!$G$106*$E$4146/1000*F4157*总规划!$G$111</f>
        <v>614.175</v>
      </c>
    </row>
    <row r="4158" spans="2:7">
      <c r="B4158" s="1" t="s">
        <v>2200</v>
      </c>
      <c r="C4158" s="1">
        <f>1-C4157</f>
        <v>0.3</v>
      </c>
      <c r="D4158" s="1">
        <f t="shared" ref="D4158:F4158" si="1193">1-D4157</f>
        <v>0.4</v>
      </c>
      <c r="E4158" s="1">
        <f t="shared" si="1193"/>
        <v>0.5</v>
      </c>
      <c r="F4158" s="1">
        <f t="shared" si="1193"/>
        <v>0.3</v>
      </c>
      <c r="G4158" s="24">
        <f>C4158*$E$4134*(1/1200)+D4158*$E$4138*总规划!$G$105/1000000+E4158*$E$4142/24/60*总规划!$G$106*$E$4146/1000*F4158*总规划!$G$111</f>
        <v>268.575</v>
      </c>
    </row>
    <row r="4160" spans="2:12">
      <c r="B4160" s="27" t="s">
        <v>2201</v>
      </c>
      <c r="C4160" s="27"/>
      <c r="D4160" s="27"/>
      <c r="E4160" s="27"/>
      <c r="F4160" s="27"/>
      <c r="G4160" s="27"/>
      <c r="H4160" s="27"/>
      <c r="I4160" s="27"/>
      <c r="J4160" s="27"/>
      <c r="K4160" s="27"/>
      <c r="L4160" s="27"/>
    </row>
    <row r="4162" spans="2:10">
      <c r="B4162" s="1" t="s">
        <v>2202</v>
      </c>
      <c r="C4162" s="1" t="s">
        <v>2203</v>
      </c>
      <c r="D4162" s="1" t="s">
        <v>2204</v>
      </c>
      <c r="E4162" s="1" t="s">
        <v>1315</v>
      </c>
      <c r="F4162" s="1" t="s">
        <v>809</v>
      </c>
      <c r="G4162" s="1" t="s">
        <v>540</v>
      </c>
      <c r="H4162" s="1" t="s">
        <v>476</v>
      </c>
      <c r="I4162" s="1" t="s">
        <v>478</v>
      </c>
      <c r="J4162" s="1" t="s">
        <v>483</v>
      </c>
    </row>
    <row r="4163" spans="2:10">
      <c r="B4163" s="1">
        <v>0</v>
      </c>
      <c r="C4163" s="30">
        <v>0</v>
      </c>
      <c r="D4163" s="1">
        <f ca="1">OFFSET(养成规划!$B$85,MATCH(B4163,养成规划!$F$85:$F$156,0)-1,0)</f>
        <v>0</v>
      </c>
      <c r="E4163" s="30"/>
      <c r="G4163" s="1">
        <f>$E4163*$E$4134*C$4157</f>
        <v>0</v>
      </c>
      <c r="H4163" s="1">
        <f>$E4163*$E$4138*D$4157</f>
        <v>0</v>
      </c>
      <c r="I4163" s="1">
        <f>$E4163*$E$4142*E$4157</f>
        <v>0</v>
      </c>
      <c r="J4163" s="1">
        <f>$E4163*$E$4146*F$4157</f>
        <v>0</v>
      </c>
    </row>
    <row r="4164" spans="2:10">
      <c r="B4164" s="1">
        <v>1</v>
      </c>
      <c r="C4164" s="30">
        <v>14</v>
      </c>
      <c r="D4164" s="1">
        <f ca="1">OFFSET(养成规划!$B$85,MATCH(B4164,养成规划!$F$85:$F$156,0)-1,0)</f>
        <v>14</v>
      </c>
      <c r="E4164" s="43">
        <v>0.05</v>
      </c>
      <c r="F4164" s="48"/>
      <c r="G4164" s="1">
        <f t="shared" ref="G4164:G4168" si="1194">$E4164*$E$4134*C$4157</f>
        <v>63</v>
      </c>
      <c r="H4164" s="1">
        <f t="shared" ref="H4164:H4168" si="1195">$E4164*$E$4138*D$4157</f>
        <v>2700000</v>
      </c>
      <c r="I4164" s="1">
        <f t="shared" ref="I4164:I4168" si="1196">$E4164*$E$4142*E$4157</f>
        <v>518.4</v>
      </c>
      <c r="J4164" s="1">
        <f t="shared" ref="J4164:J4168" si="1197">$E4164*$E$4146*F$4157</f>
        <v>1260</v>
      </c>
    </row>
    <row r="4165" spans="2:10">
      <c r="B4165" s="1">
        <v>2</v>
      </c>
      <c r="C4165" s="30">
        <f>C4164+30</f>
        <v>44</v>
      </c>
      <c r="D4165" s="1">
        <f ca="1">OFFSET(养成规划!$B$85,MATCH(B4165,养成规划!$F$85:$F$156,0)-1,0)</f>
        <v>45</v>
      </c>
      <c r="E4165" s="43">
        <v>0.1</v>
      </c>
      <c r="F4165" s="48">
        <f t="shared" ref="F4165:F4168" si="1198">E4165/E4164</f>
        <v>2</v>
      </c>
      <c r="G4165" s="1">
        <f t="shared" si="1194"/>
        <v>126</v>
      </c>
      <c r="H4165" s="1">
        <f t="shared" si="1195"/>
        <v>5400000</v>
      </c>
      <c r="I4165" s="1">
        <f t="shared" si="1196"/>
        <v>1036.8</v>
      </c>
      <c r="J4165" s="1">
        <f t="shared" si="1197"/>
        <v>2520</v>
      </c>
    </row>
    <row r="4166" spans="2:10">
      <c r="B4166" s="1">
        <v>3</v>
      </c>
      <c r="C4166" s="30">
        <f t="shared" ref="C4166:C4168" si="1199">C4165+30</f>
        <v>74</v>
      </c>
      <c r="D4166" s="1">
        <f ca="1">OFFSET(养成规划!$B$85,MATCH(B4166,养成规划!$F$85:$F$156,0)-1,0)</f>
        <v>75</v>
      </c>
      <c r="E4166" s="43">
        <v>0.2</v>
      </c>
      <c r="F4166" s="48">
        <f t="shared" si="1198"/>
        <v>2</v>
      </c>
      <c r="G4166" s="1">
        <f t="shared" si="1194"/>
        <v>252</v>
      </c>
      <c r="H4166" s="1">
        <f t="shared" si="1195"/>
        <v>10800000</v>
      </c>
      <c r="I4166" s="1">
        <f t="shared" si="1196"/>
        <v>2073.6</v>
      </c>
      <c r="J4166" s="1">
        <f t="shared" si="1197"/>
        <v>5040</v>
      </c>
    </row>
    <row r="4167" spans="2:10">
      <c r="B4167" s="1">
        <v>4</v>
      </c>
      <c r="C4167" s="30">
        <f t="shared" si="1199"/>
        <v>104</v>
      </c>
      <c r="D4167" s="1">
        <f ca="1">OFFSET(养成规划!$B$85,MATCH(B4167,养成规划!$F$85:$F$156,0)-1,0)</f>
        <v>120</v>
      </c>
      <c r="E4167" s="43">
        <v>0.4</v>
      </c>
      <c r="F4167" s="48">
        <f t="shared" si="1198"/>
        <v>2</v>
      </c>
      <c r="G4167" s="1">
        <f t="shared" si="1194"/>
        <v>504</v>
      </c>
      <c r="H4167" s="1">
        <f t="shared" si="1195"/>
        <v>21600000</v>
      </c>
      <c r="I4167" s="1">
        <f t="shared" si="1196"/>
        <v>4147.2</v>
      </c>
      <c r="J4167" s="1">
        <f t="shared" si="1197"/>
        <v>10080</v>
      </c>
    </row>
    <row r="4168" spans="2:10">
      <c r="B4168" s="1">
        <v>5</v>
      </c>
      <c r="C4168" s="30">
        <f t="shared" si="1199"/>
        <v>134</v>
      </c>
      <c r="D4168" s="1">
        <f ca="1">OFFSET(养成规划!$B$85,MATCH(B4168,养成规划!$F$85:$F$156,0)-1,0)</f>
        <v>180</v>
      </c>
      <c r="E4168" s="43">
        <v>0.8</v>
      </c>
      <c r="F4168" s="48">
        <f t="shared" si="1198"/>
        <v>2</v>
      </c>
      <c r="G4168" s="1">
        <f t="shared" si="1194"/>
        <v>1008</v>
      </c>
      <c r="H4168" s="1">
        <f t="shared" si="1195"/>
        <v>43200000</v>
      </c>
      <c r="I4168" s="1">
        <f t="shared" si="1196"/>
        <v>8294.4</v>
      </c>
      <c r="J4168" s="1">
        <f t="shared" si="1197"/>
        <v>20160</v>
      </c>
    </row>
    <row r="4169" spans="6:6">
      <c r="F4169" s="48"/>
    </row>
    <row r="4170" spans="2:2">
      <c r="B4170" s="1" t="s">
        <v>2205</v>
      </c>
    </row>
    <row r="4171" spans="2:10">
      <c r="B4171" s="1" t="s">
        <v>2206</v>
      </c>
      <c r="C4171" s="1" t="s">
        <v>2207</v>
      </c>
      <c r="D4171" s="1" t="s">
        <v>809</v>
      </c>
      <c r="E4171" s="1" t="s">
        <v>2208</v>
      </c>
      <c r="F4171" s="1" t="s">
        <v>809</v>
      </c>
      <c r="G4171" s="1" t="s">
        <v>2209</v>
      </c>
      <c r="H4171" s="1" t="s">
        <v>809</v>
      </c>
      <c r="I4171" s="1" t="s">
        <v>2210</v>
      </c>
      <c r="J4171" s="1" t="s">
        <v>809</v>
      </c>
    </row>
    <row r="4172" spans="2:10">
      <c r="B4172" s="1">
        <v>1</v>
      </c>
      <c r="C4172" s="43">
        <v>0</v>
      </c>
      <c r="D4172" s="42">
        <f t="shared" ref="D4172:H4172" si="1200">IFERROR(C4172/C4171,0)</f>
        <v>0</v>
      </c>
      <c r="E4172" s="43">
        <v>0.1</v>
      </c>
      <c r="F4172" s="42">
        <f t="shared" si="1200"/>
        <v>0</v>
      </c>
      <c r="G4172" s="43">
        <v>0.1</v>
      </c>
      <c r="H4172" s="42">
        <f t="shared" si="1200"/>
        <v>0</v>
      </c>
      <c r="I4172" s="43">
        <v>0</v>
      </c>
      <c r="J4172" s="42">
        <f>IFERROR(I4172/I4171,0)</f>
        <v>0</v>
      </c>
    </row>
    <row r="4173" spans="2:10">
      <c r="B4173" s="1">
        <v>2</v>
      </c>
      <c r="C4173" s="43">
        <v>0</v>
      </c>
      <c r="D4173" s="42">
        <f t="shared" ref="D4173:F4186" si="1201">IFERROR(C4173/C4172,0)</f>
        <v>0</v>
      </c>
      <c r="E4173" s="43">
        <v>0.125</v>
      </c>
      <c r="F4173" s="42">
        <f t="shared" si="1201"/>
        <v>1.25</v>
      </c>
      <c r="G4173" s="43">
        <v>0.125</v>
      </c>
      <c r="H4173" s="42">
        <f t="shared" ref="H4173" si="1202">IFERROR(G4173/G4172,0)</f>
        <v>1.25</v>
      </c>
      <c r="I4173" s="43">
        <v>0</v>
      </c>
      <c r="J4173" s="42">
        <f t="shared" ref="J4173" si="1203">IFERROR(I4173/I4172,0)</f>
        <v>0</v>
      </c>
    </row>
    <row r="4174" spans="2:10">
      <c r="B4174" s="1">
        <v>3</v>
      </c>
      <c r="C4174" s="43">
        <v>0</v>
      </c>
      <c r="D4174" s="42">
        <f t="shared" si="1201"/>
        <v>0</v>
      </c>
      <c r="E4174" s="43">
        <v>0.15</v>
      </c>
      <c r="F4174" s="42">
        <f t="shared" si="1201"/>
        <v>1.2</v>
      </c>
      <c r="G4174" s="43">
        <v>0.15</v>
      </c>
      <c r="H4174" s="42">
        <f t="shared" ref="H4174" si="1204">IFERROR(G4174/G4173,0)</f>
        <v>1.2</v>
      </c>
      <c r="I4174" s="43">
        <v>0</v>
      </c>
      <c r="J4174" s="42">
        <f t="shared" ref="J4174" si="1205">IFERROR(I4174/I4173,0)</f>
        <v>0</v>
      </c>
    </row>
    <row r="4175" spans="2:10">
      <c r="B4175" s="1">
        <v>4</v>
      </c>
      <c r="C4175" s="43">
        <v>0</v>
      </c>
      <c r="D4175" s="42">
        <f t="shared" si="1201"/>
        <v>0</v>
      </c>
      <c r="E4175" s="43">
        <v>0.18</v>
      </c>
      <c r="F4175" s="42">
        <f t="shared" si="1201"/>
        <v>1.2</v>
      </c>
      <c r="G4175" s="43">
        <v>0.18</v>
      </c>
      <c r="H4175" s="42">
        <f t="shared" ref="H4175" si="1206">IFERROR(G4175/G4174,0)</f>
        <v>1.2</v>
      </c>
      <c r="I4175" s="43">
        <v>0</v>
      </c>
      <c r="J4175" s="42">
        <f t="shared" ref="J4175" si="1207">IFERROR(I4175/I4174,0)</f>
        <v>0</v>
      </c>
    </row>
    <row r="4176" spans="2:10">
      <c r="B4176" s="1">
        <v>5</v>
      </c>
      <c r="C4176" s="43">
        <v>0</v>
      </c>
      <c r="D4176" s="42">
        <f t="shared" si="1201"/>
        <v>0</v>
      </c>
      <c r="E4176" s="43">
        <v>0.2</v>
      </c>
      <c r="F4176" s="42">
        <f t="shared" si="1201"/>
        <v>1.11111111111111</v>
      </c>
      <c r="G4176" s="43">
        <v>0.2</v>
      </c>
      <c r="H4176" s="42">
        <f t="shared" ref="H4176" si="1208">IFERROR(G4176/G4175,0)</f>
        <v>1.11111111111111</v>
      </c>
      <c r="I4176" s="43">
        <v>0.3</v>
      </c>
      <c r="J4176" s="42">
        <f t="shared" ref="J4176" si="1209">IFERROR(I4176/I4175,0)</f>
        <v>0</v>
      </c>
    </row>
    <row r="4177" spans="2:10">
      <c r="B4177" s="1">
        <v>6</v>
      </c>
      <c r="C4177" s="43">
        <v>0</v>
      </c>
      <c r="D4177" s="42">
        <f t="shared" si="1201"/>
        <v>0</v>
      </c>
      <c r="E4177" s="43">
        <v>0.25</v>
      </c>
      <c r="F4177" s="42">
        <f t="shared" si="1201"/>
        <v>1.25</v>
      </c>
      <c r="G4177" s="43">
        <v>0.25</v>
      </c>
      <c r="H4177" s="42">
        <f t="shared" ref="H4177" si="1210">IFERROR(G4177/G4176,0)</f>
        <v>1.25</v>
      </c>
      <c r="I4177" s="43">
        <v>0.35</v>
      </c>
      <c r="J4177" s="42">
        <f t="shared" ref="J4177" si="1211">IFERROR(I4177/I4176,0)</f>
        <v>1.16666666666667</v>
      </c>
    </row>
    <row r="4178" spans="2:10">
      <c r="B4178" s="1">
        <v>7</v>
      </c>
      <c r="C4178" s="43">
        <v>0</v>
      </c>
      <c r="D4178" s="42">
        <f t="shared" si="1201"/>
        <v>0</v>
      </c>
      <c r="E4178" s="43">
        <v>0.3</v>
      </c>
      <c r="F4178" s="42">
        <f t="shared" si="1201"/>
        <v>1.2</v>
      </c>
      <c r="G4178" s="43">
        <v>0.3</v>
      </c>
      <c r="H4178" s="42">
        <f t="shared" ref="H4178" si="1212">IFERROR(G4178/G4177,0)</f>
        <v>1.2</v>
      </c>
      <c r="I4178" s="43">
        <v>0.4</v>
      </c>
      <c r="J4178" s="42">
        <f t="shared" ref="J4178" si="1213">IFERROR(I4178/I4177,0)</f>
        <v>1.14285714285714</v>
      </c>
    </row>
    <row r="4179" spans="2:10">
      <c r="B4179" s="1">
        <v>8</v>
      </c>
      <c r="C4179" s="43">
        <v>0</v>
      </c>
      <c r="D4179" s="42">
        <f t="shared" si="1201"/>
        <v>0</v>
      </c>
      <c r="E4179" s="43">
        <v>0.35</v>
      </c>
      <c r="F4179" s="42">
        <f t="shared" si="1201"/>
        <v>1.16666666666667</v>
      </c>
      <c r="G4179" s="43">
        <v>0.35</v>
      </c>
      <c r="H4179" s="42">
        <f t="shared" ref="H4179" si="1214">IFERROR(G4179/G4178,0)</f>
        <v>1.16666666666667</v>
      </c>
      <c r="I4179" s="43">
        <v>0.45</v>
      </c>
      <c r="J4179" s="42">
        <f t="shared" ref="J4179" si="1215">IFERROR(I4179/I4178,0)</f>
        <v>1.125</v>
      </c>
    </row>
    <row r="4180" spans="2:10">
      <c r="B4180" s="1">
        <v>9</v>
      </c>
      <c r="C4180" s="43">
        <v>0</v>
      </c>
      <c r="D4180" s="42">
        <f t="shared" si="1201"/>
        <v>0</v>
      </c>
      <c r="E4180" s="43">
        <v>0.4</v>
      </c>
      <c r="F4180" s="42">
        <f t="shared" si="1201"/>
        <v>1.14285714285714</v>
      </c>
      <c r="G4180" s="43">
        <v>0.4</v>
      </c>
      <c r="H4180" s="42">
        <f t="shared" ref="H4180" si="1216">IFERROR(G4180/G4179,0)</f>
        <v>1.14285714285714</v>
      </c>
      <c r="I4180" s="43">
        <v>0.5</v>
      </c>
      <c r="J4180" s="42">
        <f t="shared" ref="J4180" si="1217">IFERROR(I4180/I4179,0)</f>
        <v>1.11111111111111</v>
      </c>
    </row>
    <row r="4181" spans="2:10">
      <c r="B4181" s="1">
        <v>10</v>
      </c>
      <c r="C4181" s="43">
        <v>0</v>
      </c>
      <c r="D4181" s="42">
        <f t="shared" si="1201"/>
        <v>0</v>
      </c>
      <c r="E4181" s="43">
        <v>0.5</v>
      </c>
      <c r="F4181" s="42">
        <f t="shared" si="1201"/>
        <v>1.25</v>
      </c>
      <c r="G4181" s="43">
        <v>0.5</v>
      </c>
      <c r="H4181" s="42">
        <f t="shared" ref="H4181" si="1218">IFERROR(G4181/G4180,0)</f>
        <v>1.25</v>
      </c>
      <c r="I4181" s="43">
        <v>0.55</v>
      </c>
      <c r="J4181" s="42">
        <f t="shared" ref="J4181" si="1219">IFERROR(I4181/I4180,0)</f>
        <v>1.1</v>
      </c>
    </row>
    <row r="4182" spans="2:10">
      <c r="B4182" s="1">
        <v>11</v>
      </c>
      <c r="C4182" s="43">
        <v>0</v>
      </c>
      <c r="D4182" s="42">
        <f t="shared" si="1201"/>
        <v>0</v>
      </c>
      <c r="E4182" s="43">
        <v>0.6</v>
      </c>
      <c r="F4182" s="42">
        <f t="shared" si="1201"/>
        <v>1.2</v>
      </c>
      <c r="G4182" s="43">
        <v>0.6</v>
      </c>
      <c r="H4182" s="42">
        <f t="shared" ref="H4182" si="1220">IFERROR(G4182/G4181,0)</f>
        <v>1.2</v>
      </c>
      <c r="I4182" s="43">
        <v>0.6</v>
      </c>
      <c r="J4182" s="42">
        <f t="shared" ref="J4182" si="1221">IFERROR(I4182/I4181,0)</f>
        <v>1.09090909090909</v>
      </c>
    </row>
    <row r="4183" spans="2:10">
      <c r="B4183" s="1">
        <v>12</v>
      </c>
      <c r="C4183" s="43">
        <v>0</v>
      </c>
      <c r="D4183" s="42">
        <f t="shared" si="1201"/>
        <v>0</v>
      </c>
      <c r="E4183" s="43">
        <v>0.7</v>
      </c>
      <c r="F4183" s="42">
        <f t="shared" si="1201"/>
        <v>1.16666666666667</v>
      </c>
      <c r="G4183" s="43">
        <v>0.7</v>
      </c>
      <c r="H4183" s="42">
        <f t="shared" ref="H4183" si="1222">IFERROR(G4183/G4182,0)</f>
        <v>1.16666666666667</v>
      </c>
      <c r="I4183" s="43">
        <v>0.7</v>
      </c>
      <c r="J4183" s="42">
        <f t="shared" ref="J4183" si="1223">IFERROR(I4183/I4182,0)</f>
        <v>1.16666666666667</v>
      </c>
    </row>
    <row r="4184" spans="2:10">
      <c r="B4184" s="1">
        <v>13</v>
      </c>
      <c r="C4184" s="43">
        <v>0</v>
      </c>
      <c r="D4184" s="42">
        <f t="shared" si="1201"/>
        <v>0</v>
      </c>
      <c r="E4184" s="43">
        <v>0.8</v>
      </c>
      <c r="F4184" s="42">
        <f t="shared" si="1201"/>
        <v>1.14285714285714</v>
      </c>
      <c r="G4184" s="43">
        <v>0.8</v>
      </c>
      <c r="H4184" s="42">
        <f t="shared" ref="H4184" si="1224">IFERROR(G4184/G4183,0)</f>
        <v>1.14285714285714</v>
      </c>
      <c r="I4184" s="43">
        <v>0.8</v>
      </c>
      <c r="J4184" s="42">
        <f t="shared" ref="J4184" si="1225">IFERROR(I4184/I4183,0)</f>
        <v>1.14285714285714</v>
      </c>
    </row>
    <row r="4185" spans="2:10">
      <c r="B4185" s="1">
        <v>14</v>
      </c>
      <c r="C4185" s="43">
        <v>0</v>
      </c>
      <c r="D4185" s="42">
        <f t="shared" si="1201"/>
        <v>0</v>
      </c>
      <c r="E4185" s="43">
        <v>0.9</v>
      </c>
      <c r="F4185" s="42">
        <f t="shared" si="1201"/>
        <v>1.125</v>
      </c>
      <c r="G4185" s="43">
        <v>0.9</v>
      </c>
      <c r="H4185" s="42">
        <f t="shared" ref="H4185" si="1226">IFERROR(G4185/G4184,0)</f>
        <v>1.125</v>
      </c>
      <c r="I4185" s="43">
        <v>0.9</v>
      </c>
      <c r="J4185" s="42">
        <f t="shared" ref="J4185" si="1227">IFERROR(I4185/I4184,0)</f>
        <v>1.125</v>
      </c>
    </row>
    <row r="4186" spans="2:10">
      <c r="B4186" s="1">
        <v>15</v>
      </c>
      <c r="C4186" s="43">
        <v>1</v>
      </c>
      <c r="D4186" s="42">
        <f t="shared" si="1201"/>
        <v>0</v>
      </c>
      <c r="E4186" s="43">
        <v>1</v>
      </c>
      <c r="F4186" s="42">
        <f t="shared" si="1201"/>
        <v>1.11111111111111</v>
      </c>
      <c r="G4186" s="43">
        <v>1</v>
      </c>
      <c r="H4186" s="42">
        <f t="shared" ref="H4186" si="1228">IFERROR(G4186/G4185,0)</f>
        <v>1.11111111111111</v>
      </c>
      <c r="I4186" s="43">
        <v>1</v>
      </c>
      <c r="J4186" s="42">
        <f t="shared" ref="J4186" si="1229">IFERROR(I4186/I4185,0)</f>
        <v>1.11111111111111</v>
      </c>
    </row>
    <row r="4188" spans="2:14">
      <c r="B4188" s="27" t="s">
        <v>2205</v>
      </c>
      <c r="C4188" s="27">
        <v>1</v>
      </c>
      <c r="G4188" s="1" t="s">
        <v>2211</v>
      </c>
      <c r="H4188" s="1" t="s">
        <v>1752</v>
      </c>
      <c r="I4188" s="1" t="s">
        <v>1759</v>
      </c>
      <c r="J4188" s="1" t="s">
        <v>1766</v>
      </c>
      <c r="K4188" s="1" t="s">
        <v>1871</v>
      </c>
      <c r="L4188" s="1" t="s">
        <v>1880</v>
      </c>
      <c r="M4188" s="1" t="s">
        <v>2177</v>
      </c>
      <c r="N4188" s="1" t="s">
        <v>2212</v>
      </c>
    </row>
    <row r="4189" spans="3:18">
      <c r="C4189" s="1" t="s">
        <v>540</v>
      </c>
      <c r="D4189" s="1" t="s">
        <v>476</v>
      </c>
      <c r="E4189" s="1" t="s">
        <v>478</v>
      </c>
      <c r="F4189" s="1" t="s">
        <v>483</v>
      </c>
      <c r="G4189" s="1" t="s">
        <v>540</v>
      </c>
      <c r="H4189" s="1" t="s">
        <v>728</v>
      </c>
      <c r="I4189" s="1" t="s">
        <v>2213</v>
      </c>
      <c r="J4189" s="1" t="s">
        <v>730</v>
      </c>
      <c r="K4189" s="1" t="s">
        <v>2214</v>
      </c>
      <c r="L4189" s="1" t="s">
        <v>735</v>
      </c>
      <c r="M4189" s="1" t="s">
        <v>2215</v>
      </c>
      <c r="N4189" s="1" t="s">
        <v>2216</v>
      </c>
      <c r="O4189" s="1" t="s">
        <v>2217</v>
      </c>
      <c r="P4189" s="1" t="s">
        <v>2218</v>
      </c>
      <c r="Q4189" s="1" t="s">
        <v>2219</v>
      </c>
      <c r="R4189" s="1" t="s">
        <v>2220</v>
      </c>
    </row>
    <row r="4190" spans="2:18">
      <c r="B4190" s="1">
        <v>1</v>
      </c>
      <c r="C4190" s="1">
        <f ca="1">OFFSET($G$4163,MATCH($C$4188,$B$4163:$B$4168,0)-1,MATCH($C$4189,$G$4162:$J$4162,0)-1)*$C4172</f>
        <v>0</v>
      </c>
      <c r="D4190" s="1">
        <f ca="1" t="shared" ref="D4190:D4204" si="1230">OFFSET($G$4163,MATCH($C$4188,$B$4163:$B$4168,0)-1,MATCH($D$4189,$G$4162:$J$4162,0)-1)*$E4172</f>
        <v>270000</v>
      </c>
      <c r="E4190" s="1">
        <f ca="1" t="shared" ref="E4190:E4204" si="1231">OFFSET($G$4163,MATCH($C$4188,$B$4163:$B$4168,0)-1,MATCH($E$4189,$G$4162:$J$4162,0)-1)*$G4172</f>
        <v>51.84</v>
      </c>
      <c r="F4190" s="1">
        <f ca="1" t="shared" ref="F4190:F4204" si="1232">OFFSET($G$4163,MATCH($C$4188,$B$4163:$B$4168,0)-1,MATCH($F$4189,$G$4162:$J$4162,0)-1)*$I4172</f>
        <v>0</v>
      </c>
      <c r="G4190" s="30">
        <v>0</v>
      </c>
      <c r="H4190" s="30">
        <f ca="1">ROUND($D4190/6/10000,0)*2</f>
        <v>10</v>
      </c>
      <c r="I4190" s="30">
        <f ca="1" t="shared" ref="I4190:J4190" si="1233">ROUND($D4190/6/10000,0)*2</f>
        <v>10</v>
      </c>
      <c r="J4190" s="30">
        <f ca="1" t="shared" si="1233"/>
        <v>10</v>
      </c>
      <c r="K4190" s="30">
        <f ca="1">ROUND($E4190/4/3,0)*2</f>
        <v>8</v>
      </c>
      <c r="L4190" s="30">
        <f ca="1">ROUND($E4190/4/3,0)*2</f>
        <v>8</v>
      </c>
      <c r="M4190" s="30">
        <f ca="1">ROUND($F4190/10/10,0)*10</f>
        <v>0</v>
      </c>
      <c r="N4190" s="30">
        <v>0</v>
      </c>
      <c r="O4190" s="5">
        <f ca="1">C4190</f>
        <v>0</v>
      </c>
      <c r="P4190" s="5">
        <f ca="1" t="shared" ref="P4190:P4204" si="1234">SUM(H4190:J4190)*10000</f>
        <v>300000</v>
      </c>
      <c r="Q4190" s="5">
        <f ca="1" t="shared" ref="Q4190:Q4204" si="1235">SUM(K4190:L4190)*3</f>
        <v>48</v>
      </c>
      <c r="R4190" s="5">
        <f ca="1">M4190*10</f>
        <v>0</v>
      </c>
    </row>
    <row r="4191" spans="2:18">
      <c r="B4191" s="1">
        <v>2</v>
      </c>
      <c r="C4191" s="1">
        <f ca="1" t="shared" ref="C4191:C4204" si="1236">OFFSET($G$4163,MATCH($C$4188,$B$4163:$B$4168,0)-1,MATCH($C$4189,$G$4162:$J$4162,0)-1)*$C4173</f>
        <v>0</v>
      </c>
      <c r="D4191" s="1">
        <f ca="1" t="shared" si="1230"/>
        <v>337500</v>
      </c>
      <c r="E4191" s="1">
        <f ca="1" t="shared" si="1231"/>
        <v>64.8</v>
      </c>
      <c r="F4191" s="1">
        <f ca="1" t="shared" si="1232"/>
        <v>0</v>
      </c>
      <c r="G4191" s="30">
        <v>0</v>
      </c>
      <c r="H4191" s="30">
        <f ca="1" t="shared" ref="H4191:J4204" si="1237">ROUND($D4191/6/10000,0)*2</f>
        <v>12</v>
      </c>
      <c r="I4191" s="30">
        <f ca="1" t="shared" si="1237"/>
        <v>12</v>
      </c>
      <c r="J4191" s="30">
        <f ca="1" t="shared" si="1237"/>
        <v>12</v>
      </c>
      <c r="K4191" s="30">
        <f ca="1" t="shared" ref="K4191:L4204" si="1238">ROUND($E4191/4/3,0)*2</f>
        <v>10</v>
      </c>
      <c r="L4191" s="30">
        <f ca="1" t="shared" si="1238"/>
        <v>10</v>
      </c>
      <c r="M4191" s="30">
        <f ca="1" t="shared" ref="M4191:M4204" si="1239">ROUND($F4191/10/10,0)*10</f>
        <v>0</v>
      </c>
      <c r="N4191" s="30">
        <v>0</v>
      </c>
      <c r="O4191" s="5">
        <f ca="1" t="shared" ref="O4191:O4204" si="1240">C4191</f>
        <v>0</v>
      </c>
      <c r="P4191" s="5">
        <f ca="1" t="shared" si="1234"/>
        <v>360000</v>
      </c>
      <c r="Q4191" s="5">
        <f ca="1" t="shared" si="1235"/>
        <v>60</v>
      </c>
      <c r="R4191" s="5">
        <f ca="1" t="shared" ref="R4191:R4204" si="1241">M4191*10</f>
        <v>0</v>
      </c>
    </row>
    <row r="4192" spans="2:18">
      <c r="B4192" s="1">
        <v>3</v>
      </c>
      <c r="C4192" s="1">
        <f ca="1" t="shared" si="1236"/>
        <v>0</v>
      </c>
      <c r="D4192" s="1">
        <f ca="1" t="shared" si="1230"/>
        <v>405000</v>
      </c>
      <c r="E4192" s="1">
        <f ca="1" t="shared" si="1231"/>
        <v>77.76</v>
      </c>
      <c r="F4192" s="1">
        <f ca="1" t="shared" si="1232"/>
        <v>0</v>
      </c>
      <c r="G4192" s="30">
        <v>0</v>
      </c>
      <c r="H4192" s="30">
        <f ca="1" t="shared" si="1237"/>
        <v>14</v>
      </c>
      <c r="I4192" s="30">
        <f ca="1" t="shared" si="1237"/>
        <v>14</v>
      </c>
      <c r="J4192" s="30">
        <f ca="1" t="shared" si="1237"/>
        <v>14</v>
      </c>
      <c r="K4192" s="30">
        <f ca="1" t="shared" si="1238"/>
        <v>12</v>
      </c>
      <c r="L4192" s="30">
        <f ca="1" t="shared" si="1238"/>
        <v>12</v>
      </c>
      <c r="M4192" s="30">
        <f ca="1" t="shared" si="1239"/>
        <v>0</v>
      </c>
      <c r="N4192" s="30">
        <v>0</v>
      </c>
      <c r="O4192" s="5">
        <f ca="1" t="shared" si="1240"/>
        <v>0</v>
      </c>
      <c r="P4192" s="5">
        <f ca="1" t="shared" si="1234"/>
        <v>420000</v>
      </c>
      <c r="Q4192" s="5">
        <f ca="1" t="shared" si="1235"/>
        <v>72</v>
      </c>
      <c r="R4192" s="5">
        <f ca="1" t="shared" si="1241"/>
        <v>0</v>
      </c>
    </row>
    <row r="4193" spans="2:18">
      <c r="B4193" s="1">
        <v>4</v>
      </c>
      <c r="C4193" s="1">
        <f ca="1" t="shared" si="1236"/>
        <v>0</v>
      </c>
      <c r="D4193" s="1">
        <f ca="1" t="shared" si="1230"/>
        <v>486000</v>
      </c>
      <c r="E4193" s="1">
        <f ca="1" t="shared" si="1231"/>
        <v>93.312</v>
      </c>
      <c r="F4193" s="1">
        <f ca="1" t="shared" si="1232"/>
        <v>0</v>
      </c>
      <c r="G4193" s="30">
        <v>0</v>
      </c>
      <c r="H4193" s="30">
        <f ca="1" t="shared" si="1237"/>
        <v>16</v>
      </c>
      <c r="I4193" s="30">
        <f ca="1" t="shared" si="1237"/>
        <v>16</v>
      </c>
      <c r="J4193" s="30">
        <f ca="1" t="shared" si="1237"/>
        <v>16</v>
      </c>
      <c r="K4193" s="30">
        <f ca="1" t="shared" si="1238"/>
        <v>16</v>
      </c>
      <c r="L4193" s="30">
        <f ca="1" t="shared" si="1238"/>
        <v>16</v>
      </c>
      <c r="M4193" s="30">
        <f ca="1" t="shared" si="1239"/>
        <v>0</v>
      </c>
      <c r="N4193" s="30">
        <v>0</v>
      </c>
      <c r="O4193" s="5">
        <f ca="1" t="shared" si="1240"/>
        <v>0</v>
      </c>
      <c r="P4193" s="5">
        <f ca="1" t="shared" si="1234"/>
        <v>480000</v>
      </c>
      <c r="Q4193" s="5">
        <f ca="1" t="shared" si="1235"/>
        <v>96</v>
      </c>
      <c r="R4193" s="5">
        <f ca="1" t="shared" si="1241"/>
        <v>0</v>
      </c>
    </row>
    <row r="4194" spans="2:18">
      <c r="B4194" s="1">
        <v>5</v>
      </c>
      <c r="C4194" s="1">
        <f ca="1" t="shared" si="1236"/>
        <v>0</v>
      </c>
      <c r="D4194" s="1">
        <f ca="1" t="shared" si="1230"/>
        <v>540000</v>
      </c>
      <c r="E4194" s="1">
        <f ca="1" t="shared" si="1231"/>
        <v>103.68</v>
      </c>
      <c r="F4194" s="1">
        <f ca="1" t="shared" si="1232"/>
        <v>378</v>
      </c>
      <c r="G4194" s="30">
        <v>0</v>
      </c>
      <c r="H4194" s="30">
        <f ca="1" t="shared" si="1237"/>
        <v>18</v>
      </c>
      <c r="I4194" s="30">
        <f ca="1" t="shared" si="1237"/>
        <v>18</v>
      </c>
      <c r="J4194" s="30">
        <f ca="1" t="shared" si="1237"/>
        <v>18</v>
      </c>
      <c r="K4194" s="30">
        <f ca="1" t="shared" si="1238"/>
        <v>18</v>
      </c>
      <c r="L4194" s="30">
        <f ca="1" t="shared" si="1238"/>
        <v>18</v>
      </c>
      <c r="M4194" s="30">
        <f ca="1" t="shared" si="1239"/>
        <v>40</v>
      </c>
      <c r="N4194" s="30">
        <v>0</v>
      </c>
      <c r="O4194" s="5">
        <f ca="1" t="shared" si="1240"/>
        <v>0</v>
      </c>
      <c r="P4194" s="5">
        <f ca="1" t="shared" si="1234"/>
        <v>540000</v>
      </c>
      <c r="Q4194" s="5">
        <f ca="1" t="shared" si="1235"/>
        <v>108</v>
      </c>
      <c r="R4194" s="5">
        <f ca="1" t="shared" si="1241"/>
        <v>400</v>
      </c>
    </row>
    <row r="4195" spans="2:18">
      <c r="B4195" s="1">
        <v>6</v>
      </c>
      <c r="C4195" s="1">
        <f ca="1" t="shared" si="1236"/>
        <v>0</v>
      </c>
      <c r="D4195" s="1">
        <f ca="1" t="shared" si="1230"/>
        <v>675000</v>
      </c>
      <c r="E4195" s="1">
        <f ca="1" t="shared" si="1231"/>
        <v>129.6</v>
      </c>
      <c r="F4195" s="1">
        <f ca="1" t="shared" si="1232"/>
        <v>441</v>
      </c>
      <c r="G4195" s="30">
        <v>0</v>
      </c>
      <c r="H4195" s="30">
        <f ca="1" t="shared" si="1237"/>
        <v>22</v>
      </c>
      <c r="I4195" s="30">
        <f ca="1" t="shared" si="1237"/>
        <v>22</v>
      </c>
      <c r="J4195" s="30">
        <f ca="1" t="shared" si="1237"/>
        <v>22</v>
      </c>
      <c r="K4195" s="30">
        <f ca="1" t="shared" si="1238"/>
        <v>22</v>
      </c>
      <c r="L4195" s="30">
        <f ca="1" t="shared" si="1238"/>
        <v>22</v>
      </c>
      <c r="M4195" s="30">
        <f ca="1" t="shared" si="1239"/>
        <v>40</v>
      </c>
      <c r="N4195" s="30">
        <v>0</v>
      </c>
      <c r="O4195" s="5">
        <f ca="1" t="shared" si="1240"/>
        <v>0</v>
      </c>
      <c r="P4195" s="5">
        <f ca="1" t="shared" si="1234"/>
        <v>660000</v>
      </c>
      <c r="Q4195" s="5">
        <f ca="1" t="shared" si="1235"/>
        <v>132</v>
      </c>
      <c r="R4195" s="5">
        <f ca="1" t="shared" si="1241"/>
        <v>400</v>
      </c>
    </row>
    <row r="4196" spans="2:18">
      <c r="B4196" s="1">
        <v>7</v>
      </c>
      <c r="C4196" s="1">
        <f ca="1" t="shared" si="1236"/>
        <v>0</v>
      </c>
      <c r="D4196" s="1">
        <f ca="1" t="shared" si="1230"/>
        <v>810000</v>
      </c>
      <c r="E4196" s="1">
        <f ca="1" t="shared" si="1231"/>
        <v>155.52</v>
      </c>
      <c r="F4196" s="1">
        <f ca="1" t="shared" si="1232"/>
        <v>504</v>
      </c>
      <c r="G4196" s="30">
        <v>0</v>
      </c>
      <c r="H4196" s="30">
        <f ca="1" t="shared" si="1237"/>
        <v>28</v>
      </c>
      <c r="I4196" s="30">
        <f ca="1" t="shared" si="1237"/>
        <v>28</v>
      </c>
      <c r="J4196" s="30">
        <f ca="1" t="shared" si="1237"/>
        <v>28</v>
      </c>
      <c r="K4196" s="30">
        <f ca="1" t="shared" si="1238"/>
        <v>26</v>
      </c>
      <c r="L4196" s="30">
        <f ca="1" t="shared" si="1238"/>
        <v>26</v>
      </c>
      <c r="M4196" s="30">
        <f ca="1" t="shared" si="1239"/>
        <v>50</v>
      </c>
      <c r="N4196" s="30">
        <v>0</v>
      </c>
      <c r="O4196" s="5">
        <f ca="1" t="shared" si="1240"/>
        <v>0</v>
      </c>
      <c r="P4196" s="5">
        <f ca="1" t="shared" si="1234"/>
        <v>840000</v>
      </c>
      <c r="Q4196" s="5">
        <f ca="1" t="shared" si="1235"/>
        <v>156</v>
      </c>
      <c r="R4196" s="5">
        <f ca="1" t="shared" si="1241"/>
        <v>500</v>
      </c>
    </row>
    <row r="4197" spans="2:18">
      <c r="B4197" s="1">
        <v>8</v>
      </c>
      <c r="C4197" s="1">
        <f ca="1" t="shared" si="1236"/>
        <v>0</v>
      </c>
      <c r="D4197" s="1">
        <f ca="1" t="shared" si="1230"/>
        <v>945000</v>
      </c>
      <c r="E4197" s="1">
        <f ca="1" t="shared" si="1231"/>
        <v>181.44</v>
      </c>
      <c r="F4197" s="1">
        <f ca="1" t="shared" si="1232"/>
        <v>567</v>
      </c>
      <c r="G4197" s="30">
        <v>0</v>
      </c>
      <c r="H4197" s="30">
        <f ca="1" t="shared" si="1237"/>
        <v>32</v>
      </c>
      <c r="I4197" s="30">
        <f ca="1" t="shared" si="1237"/>
        <v>32</v>
      </c>
      <c r="J4197" s="30">
        <f ca="1" t="shared" si="1237"/>
        <v>32</v>
      </c>
      <c r="K4197" s="30">
        <f ca="1" t="shared" si="1238"/>
        <v>30</v>
      </c>
      <c r="L4197" s="30">
        <f ca="1" t="shared" si="1238"/>
        <v>30</v>
      </c>
      <c r="M4197" s="30">
        <f ca="1" t="shared" si="1239"/>
        <v>60</v>
      </c>
      <c r="N4197" s="30">
        <v>0</v>
      </c>
      <c r="O4197" s="5">
        <f ca="1" t="shared" si="1240"/>
        <v>0</v>
      </c>
      <c r="P4197" s="5">
        <f ca="1" t="shared" si="1234"/>
        <v>960000</v>
      </c>
      <c r="Q4197" s="5">
        <f ca="1" t="shared" si="1235"/>
        <v>180</v>
      </c>
      <c r="R4197" s="5">
        <f ca="1" t="shared" si="1241"/>
        <v>600</v>
      </c>
    </row>
    <row r="4198" spans="2:18">
      <c r="B4198" s="1">
        <v>9</v>
      </c>
      <c r="C4198" s="1">
        <f ca="1" t="shared" si="1236"/>
        <v>0</v>
      </c>
      <c r="D4198" s="1">
        <f ca="1" t="shared" si="1230"/>
        <v>1080000</v>
      </c>
      <c r="E4198" s="1">
        <f ca="1" t="shared" si="1231"/>
        <v>207.36</v>
      </c>
      <c r="F4198" s="1">
        <f ca="1" t="shared" si="1232"/>
        <v>630</v>
      </c>
      <c r="G4198" s="30">
        <v>0</v>
      </c>
      <c r="H4198" s="30">
        <f ca="1" t="shared" si="1237"/>
        <v>36</v>
      </c>
      <c r="I4198" s="30">
        <f ca="1" t="shared" si="1237"/>
        <v>36</v>
      </c>
      <c r="J4198" s="30">
        <f ca="1" t="shared" si="1237"/>
        <v>36</v>
      </c>
      <c r="K4198" s="30">
        <f ca="1" t="shared" si="1238"/>
        <v>34</v>
      </c>
      <c r="L4198" s="30">
        <f ca="1" t="shared" si="1238"/>
        <v>34</v>
      </c>
      <c r="M4198" s="30">
        <f ca="1" t="shared" si="1239"/>
        <v>60</v>
      </c>
      <c r="N4198" s="30">
        <v>1</v>
      </c>
      <c r="O4198" s="5">
        <f ca="1" t="shared" si="1240"/>
        <v>0</v>
      </c>
      <c r="P4198" s="5">
        <f ca="1" t="shared" si="1234"/>
        <v>1080000</v>
      </c>
      <c r="Q4198" s="5">
        <f ca="1" t="shared" si="1235"/>
        <v>204</v>
      </c>
      <c r="R4198" s="5">
        <f ca="1" t="shared" si="1241"/>
        <v>600</v>
      </c>
    </row>
    <row r="4199" spans="2:18">
      <c r="B4199" s="1">
        <v>10</v>
      </c>
      <c r="C4199" s="1">
        <f ca="1" t="shared" si="1236"/>
        <v>0</v>
      </c>
      <c r="D4199" s="1">
        <f ca="1" t="shared" si="1230"/>
        <v>1350000</v>
      </c>
      <c r="E4199" s="1">
        <f ca="1" t="shared" si="1231"/>
        <v>259.2</v>
      </c>
      <c r="F4199" s="1">
        <f ca="1" t="shared" si="1232"/>
        <v>693</v>
      </c>
      <c r="G4199" s="30">
        <v>0</v>
      </c>
      <c r="H4199" s="30">
        <f ca="1" t="shared" si="1237"/>
        <v>46</v>
      </c>
      <c r="I4199" s="30">
        <f ca="1" t="shared" si="1237"/>
        <v>46</v>
      </c>
      <c r="J4199" s="30">
        <f ca="1" t="shared" si="1237"/>
        <v>46</v>
      </c>
      <c r="K4199" s="30">
        <f ca="1" t="shared" si="1238"/>
        <v>44</v>
      </c>
      <c r="L4199" s="30">
        <f ca="1" t="shared" si="1238"/>
        <v>44</v>
      </c>
      <c r="M4199" s="30">
        <f ca="1" t="shared" si="1239"/>
        <v>70</v>
      </c>
      <c r="N4199" s="30">
        <v>1</v>
      </c>
      <c r="O4199" s="5">
        <f ca="1" t="shared" si="1240"/>
        <v>0</v>
      </c>
      <c r="P4199" s="5">
        <f ca="1" t="shared" si="1234"/>
        <v>1380000</v>
      </c>
      <c r="Q4199" s="5">
        <f ca="1" t="shared" si="1235"/>
        <v>264</v>
      </c>
      <c r="R4199" s="5">
        <f ca="1" t="shared" si="1241"/>
        <v>700</v>
      </c>
    </row>
    <row r="4200" spans="2:18">
      <c r="B4200" s="1">
        <v>11</v>
      </c>
      <c r="C4200" s="1">
        <f ca="1" t="shared" si="1236"/>
        <v>0</v>
      </c>
      <c r="D4200" s="1">
        <f ca="1" t="shared" si="1230"/>
        <v>1620000</v>
      </c>
      <c r="E4200" s="1">
        <f ca="1" t="shared" si="1231"/>
        <v>311.04</v>
      </c>
      <c r="F4200" s="1">
        <f ca="1" t="shared" si="1232"/>
        <v>756</v>
      </c>
      <c r="G4200" s="30">
        <v>0</v>
      </c>
      <c r="H4200" s="30">
        <f ca="1" t="shared" si="1237"/>
        <v>54</v>
      </c>
      <c r="I4200" s="30">
        <f ca="1" t="shared" si="1237"/>
        <v>54</v>
      </c>
      <c r="J4200" s="30">
        <f ca="1" t="shared" si="1237"/>
        <v>54</v>
      </c>
      <c r="K4200" s="30">
        <f ca="1" t="shared" si="1238"/>
        <v>52</v>
      </c>
      <c r="L4200" s="30">
        <f ca="1" t="shared" si="1238"/>
        <v>52</v>
      </c>
      <c r="M4200" s="30">
        <f ca="1" t="shared" si="1239"/>
        <v>80</v>
      </c>
      <c r="N4200" s="30">
        <v>1</v>
      </c>
      <c r="O4200" s="5">
        <f ca="1" t="shared" si="1240"/>
        <v>0</v>
      </c>
      <c r="P4200" s="5">
        <f ca="1" t="shared" si="1234"/>
        <v>1620000</v>
      </c>
      <c r="Q4200" s="5">
        <f ca="1" t="shared" si="1235"/>
        <v>312</v>
      </c>
      <c r="R4200" s="5">
        <f ca="1" t="shared" si="1241"/>
        <v>800</v>
      </c>
    </row>
    <row r="4201" spans="2:18">
      <c r="B4201" s="1">
        <v>12</v>
      </c>
      <c r="C4201" s="1">
        <f ca="1" t="shared" si="1236"/>
        <v>0</v>
      </c>
      <c r="D4201" s="1">
        <f ca="1" t="shared" si="1230"/>
        <v>1890000</v>
      </c>
      <c r="E4201" s="1">
        <f ca="1" t="shared" si="1231"/>
        <v>362.88</v>
      </c>
      <c r="F4201" s="1">
        <f ca="1" t="shared" si="1232"/>
        <v>882</v>
      </c>
      <c r="G4201" s="30">
        <v>0</v>
      </c>
      <c r="H4201" s="30">
        <f ca="1" t="shared" si="1237"/>
        <v>64</v>
      </c>
      <c r="I4201" s="30">
        <f ca="1" t="shared" si="1237"/>
        <v>64</v>
      </c>
      <c r="J4201" s="30">
        <f ca="1" t="shared" si="1237"/>
        <v>64</v>
      </c>
      <c r="K4201" s="30">
        <f ca="1" t="shared" si="1238"/>
        <v>60</v>
      </c>
      <c r="L4201" s="30">
        <f ca="1" t="shared" si="1238"/>
        <v>60</v>
      </c>
      <c r="M4201" s="30">
        <f ca="1" t="shared" si="1239"/>
        <v>90</v>
      </c>
      <c r="N4201" s="30">
        <v>1</v>
      </c>
      <c r="O4201" s="5">
        <f ca="1" t="shared" si="1240"/>
        <v>0</v>
      </c>
      <c r="P4201" s="5">
        <f ca="1" t="shared" si="1234"/>
        <v>1920000</v>
      </c>
      <c r="Q4201" s="5">
        <f ca="1" t="shared" si="1235"/>
        <v>360</v>
      </c>
      <c r="R4201" s="5">
        <f ca="1" t="shared" si="1241"/>
        <v>900</v>
      </c>
    </row>
    <row r="4202" spans="2:18">
      <c r="B4202" s="1">
        <v>13</v>
      </c>
      <c r="C4202" s="1">
        <f ca="1" t="shared" si="1236"/>
        <v>0</v>
      </c>
      <c r="D4202" s="1">
        <f ca="1" t="shared" si="1230"/>
        <v>2160000</v>
      </c>
      <c r="E4202" s="1">
        <f ca="1" t="shared" si="1231"/>
        <v>414.72</v>
      </c>
      <c r="F4202" s="1">
        <f ca="1" t="shared" si="1232"/>
        <v>1008</v>
      </c>
      <c r="G4202" s="30">
        <v>0</v>
      </c>
      <c r="H4202" s="30">
        <f ca="1" t="shared" si="1237"/>
        <v>72</v>
      </c>
      <c r="I4202" s="30">
        <f ca="1" t="shared" si="1237"/>
        <v>72</v>
      </c>
      <c r="J4202" s="30">
        <f ca="1" t="shared" si="1237"/>
        <v>72</v>
      </c>
      <c r="K4202" s="30">
        <f ca="1" t="shared" si="1238"/>
        <v>70</v>
      </c>
      <c r="L4202" s="30">
        <f ca="1" t="shared" si="1238"/>
        <v>70</v>
      </c>
      <c r="M4202" s="30">
        <f ca="1" t="shared" si="1239"/>
        <v>100</v>
      </c>
      <c r="N4202" s="30">
        <v>1</v>
      </c>
      <c r="O4202" s="5">
        <f ca="1" t="shared" si="1240"/>
        <v>0</v>
      </c>
      <c r="P4202" s="5">
        <f ca="1" t="shared" si="1234"/>
        <v>2160000</v>
      </c>
      <c r="Q4202" s="5">
        <f ca="1" t="shared" si="1235"/>
        <v>420</v>
      </c>
      <c r="R4202" s="5">
        <f ca="1" t="shared" si="1241"/>
        <v>1000</v>
      </c>
    </row>
    <row r="4203" spans="2:18">
      <c r="B4203" s="1">
        <v>14</v>
      </c>
      <c r="C4203" s="1">
        <f ca="1" t="shared" si="1236"/>
        <v>0</v>
      </c>
      <c r="D4203" s="1">
        <f ca="1" t="shared" si="1230"/>
        <v>2430000</v>
      </c>
      <c r="E4203" s="1">
        <f ca="1" t="shared" si="1231"/>
        <v>466.56</v>
      </c>
      <c r="F4203" s="1">
        <f ca="1" t="shared" si="1232"/>
        <v>1134</v>
      </c>
      <c r="G4203" s="30">
        <v>0</v>
      </c>
      <c r="H4203" s="30">
        <f ca="1" t="shared" si="1237"/>
        <v>82</v>
      </c>
      <c r="I4203" s="30">
        <f ca="1" t="shared" si="1237"/>
        <v>82</v>
      </c>
      <c r="J4203" s="30">
        <f ca="1" t="shared" si="1237"/>
        <v>82</v>
      </c>
      <c r="K4203" s="30">
        <f ca="1" t="shared" si="1238"/>
        <v>78</v>
      </c>
      <c r="L4203" s="30">
        <f ca="1" t="shared" si="1238"/>
        <v>78</v>
      </c>
      <c r="M4203" s="30">
        <f ca="1" t="shared" si="1239"/>
        <v>110</v>
      </c>
      <c r="N4203" s="30">
        <v>1</v>
      </c>
      <c r="O4203" s="5">
        <f ca="1" t="shared" si="1240"/>
        <v>0</v>
      </c>
      <c r="P4203" s="5">
        <f ca="1" t="shared" si="1234"/>
        <v>2460000</v>
      </c>
      <c r="Q4203" s="5">
        <f ca="1" t="shared" si="1235"/>
        <v>468</v>
      </c>
      <c r="R4203" s="5">
        <f ca="1" t="shared" si="1241"/>
        <v>1100</v>
      </c>
    </row>
    <row r="4204" spans="2:18">
      <c r="B4204" s="1">
        <v>15</v>
      </c>
      <c r="C4204" s="1">
        <f ca="1" t="shared" si="1236"/>
        <v>63</v>
      </c>
      <c r="D4204" s="1">
        <f ca="1" t="shared" si="1230"/>
        <v>2700000</v>
      </c>
      <c r="E4204" s="1">
        <f ca="1" t="shared" si="1231"/>
        <v>518.4</v>
      </c>
      <c r="F4204" s="1">
        <f ca="1" t="shared" si="1232"/>
        <v>1260</v>
      </c>
      <c r="G4204" s="30">
        <v>200</v>
      </c>
      <c r="H4204" s="30">
        <f ca="1" t="shared" si="1237"/>
        <v>90</v>
      </c>
      <c r="I4204" s="30">
        <f ca="1" t="shared" si="1237"/>
        <v>90</v>
      </c>
      <c r="J4204" s="30">
        <f ca="1" t="shared" si="1237"/>
        <v>90</v>
      </c>
      <c r="K4204" s="30">
        <f ca="1" t="shared" si="1238"/>
        <v>86</v>
      </c>
      <c r="L4204" s="30">
        <f ca="1" t="shared" si="1238"/>
        <v>86</v>
      </c>
      <c r="M4204" s="30">
        <f ca="1" t="shared" si="1239"/>
        <v>130</v>
      </c>
      <c r="N4204" s="30">
        <v>2</v>
      </c>
      <c r="O4204" s="5">
        <f ca="1" t="shared" si="1240"/>
        <v>63</v>
      </c>
      <c r="P4204" s="5">
        <f ca="1" t="shared" si="1234"/>
        <v>2700000</v>
      </c>
      <c r="Q4204" s="5">
        <f ca="1" t="shared" si="1235"/>
        <v>516</v>
      </c>
      <c r="R4204" s="5">
        <f ca="1" t="shared" si="1241"/>
        <v>1300</v>
      </c>
    </row>
    <row r="4206" spans="2:14">
      <c r="B4206" s="27" t="s">
        <v>2205</v>
      </c>
      <c r="C4206" s="27">
        <v>2</v>
      </c>
      <c r="G4206" s="1" t="s">
        <v>2211</v>
      </c>
      <c r="H4206" s="1" t="s">
        <v>1752</v>
      </c>
      <c r="I4206" s="1" t="s">
        <v>1759</v>
      </c>
      <c r="J4206" s="1" t="s">
        <v>1766</v>
      </c>
      <c r="K4206" s="1" t="s">
        <v>1871</v>
      </c>
      <c r="L4206" s="1" t="s">
        <v>1880</v>
      </c>
      <c r="M4206" s="1" t="s">
        <v>2177</v>
      </c>
      <c r="N4206" s="1" t="s">
        <v>2212</v>
      </c>
    </row>
    <row r="4207" spans="3:18">
      <c r="C4207" s="1" t="s">
        <v>540</v>
      </c>
      <c r="D4207" s="1" t="s">
        <v>476</v>
      </c>
      <c r="E4207" s="1" t="s">
        <v>478</v>
      </c>
      <c r="F4207" s="1" t="s">
        <v>483</v>
      </c>
      <c r="G4207" s="1" t="s">
        <v>540</v>
      </c>
      <c r="H4207" s="1" t="s">
        <v>728</v>
      </c>
      <c r="I4207" s="1" t="s">
        <v>2213</v>
      </c>
      <c r="J4207" s="1" t="s">
        <v>730</v>
      </c>
      <c r="K4207" s="1" t="s">
        <v>2214</v>
      </c>
      <c r="L4207" s="1" t="s">
        <v>735</v>
      </c>
      <c r="M4207" s="1" t="s">
        <v>2215</v>
      </c>
      <c r="N4207" s="1" t="s">
        <v>2216</v>
      </c>
      <c r="O4207" s="1" t="s">
        <v>2217</v>
      </c>
      <c r="P4207" s="1" t="s">
        <v>2218</v>
      </c>
      <c r="Q4207" s="1" t="s">
        <v>2219</v>
      </c>
      <c r="R4207" s="1" t="s">
        <v>2220</v>
      </c>
    </row>
    <row r="4208" spans="2:18">
      <c r="B4208" s="1">
        <v>1</v>
      </c>
      <c r="C4208" s="1">
        <f ca="1">OFFSET($G$4163,MATCH($C$4206,$B$4163:$B$4168,0)-1,MATCH($C$4189,$G$4162:$J$4162,0)-1)*$C4172</f>
        <v>0</v>
      </c>
      <c r="D4208" s="1">
        <f ca="1">OFFSET($G$4163,MATCH($C$4206,$B$4163:$B$4168,0)-1,MATCH($D$4207,$G$4162:$J$4162,0)-1)*$E4172</f>
        <v>540000</v>
      </c>
      <c r="E4208" s="1">
        <f ca="1">OFFSET($G$4163,MATCH($C$4206,$B$4163:$B$4168,0)-1,MATCH($E$4207,$G$4162:$J$4162,0)-1)*$G4172</f>
        <v>103.68</v>
      </c>
      <c r="F4208" s="1">
        <f ca="1">OFFSET($G$4163,MATCH($C$4206,$B$4163:$B$4168,0)-1,MATCH($F$4207,$G$4162:$J$4162,0)-1)*$I4172</f>
        <v>0</v>
      </c>
      <c r="G4208" s="30">
        <v>0</v>
      </c>
      <c r="H4208" s="30">
        <f ca="1">ROUND($D4208/6/10000,0)*2</f>
        <v>18</v>
      </c>
      <c r="I4208" s="30">
        <f ca="1" t="shared" ref="I4208:J4208" si="1242">ROUND($D4208/6/10000,0)*2</f>
        <v>18</v>
      </c>
      <c r="J4208" s="30">
        <f ca="1" t="shared" si="1242"/>
        <v>18</v>
      </c>
      <c r="K4208" s="30">
        <f ca="1">ROUND($E4208/4/3,0)*2</f>
        <v>18</v>
      </c>
      <c r="L4208" s="30">
        <f ca="1">ROUND($E4208/4/3,0)*2</f>
        <v>18</v>
      </c>
      <c r="M4208" s="30">
        <f ca="1">ROUND($F4208/10/10,0)*10</f>
        <v>0</v>
      </c>
      <c r="N4208" s="30">
        <v>0</v>
      </c>
      <c r="O4208" s="5">
        <f ca="1">C4208</f>
        <v>0</v>
      </c>
      <c r="P4208" s="5">
        <f ca="1" t="shared" ref="P4208:P4222" si="1243">SUM(H4208:J4208)*10000</f>
        <v>540000</v>
      </c>
      <c r="Q4208" s="5">
        <f ca="1" t="shared" ref="Q4208:Q4222" si="1244">SUM(K4208:L4208)*3</f>
        <v>108</v>
      </c>
      <c r="R4208" s="5">
        <f ca="1">M4208*10</f>
        <v>0</v>
      </c>
    </row>
    <row r="4209" spans="2:18">
      <c r="B4209" s="1">
        <v>2</v>
      </c>
      <c r="C4209" s="1">
        <f ca="1" t="shared" ref="C4209:C4222" si="1245">OFFSET($G$4163,MATCH($C$4206,$B$4163:$B$4168,0)-1,MATCH($C$4189,$G$4162:$J$4162,0)-1)*$C4173</f>
        <v>0</v>
      </c>
      <c r="D4209" s="1">
        <f ca="1" t="shared" ref="D4209:D4222" si="1246">OFFSET($G$4163,MATCH($C$4206,$B$4163:$B$4168,0)-1,MATCH($D$4207,$G$4162:$J$4162,0)-1)*$E4173</f>
        <v>675000</v>
      </c>
      <c r="E4209" s="1">
        <f ca="1" t="shared" ref="E4209:E4222" si="1247">OFFSET($G$4163,MATCH($C$4206,$B$4163:$B$4168,0)-1,MATCH($E$4207,$G$4162:$J$4162,0)-1)*$G4173</f>
        <v>129.6</v>
      </c>
      <c r="F4209" s="1">
        <f ca="1" t="shared" ref="F4209:F4222" si="1248">OFFSET($G$4163,MATCH($C$4206,$B$4163:$B$4168,0)-1,MATCH($F$4207,$G$4162:$J$4162,0)-1)*$I4173</f>
        <v>0</v>
      </c>
      <c r="G4209" s="30">
        <v>0</v>
      </c>
      <c r="H4209" s="30">
        <f ca="1" t="shared" ref="H4209:J4222" si="1249">ROUND($D4209/6/10000,0)*2</f>
        <v>22</v>
      </c>
      <c r="I4209" s="30">
        <f ca="1" t="shared" si="1249"/>
        <v>22</v>
      </c>
      <c r="J4209" s="30">
        <f ca="1" t="shared" si="1249"/>
        <v>22</v>
      </c>
      <c r="K4209" s="30">
        <f ca="1" t="shared" ref="K4209:L4222" si="1250">ROUND($E4209/4/3,0)*2</f>
        <v>22</v>
      </c>
      <c r="L4209" s="30">
        <f ca="1" t="shared" si="1250"/>
        <v>22</v>
      </c>
      <c r="M4209" s="30">
        <f ca="1" t="shared" ref="M4209:M4222" si="1251">ROUND($F4209/10/10,0)*10</f>
        <v>0</v>
      </c>
      <c r="N4209" s="30">
        <v>0</v>
      </c>
      <c r="O4209" s="5">
        <f ca="1" t="shared" ref="O4209:O4222" si="1252">C4209</f>
        <v>0</v>
      </c>
      <c r="P4209" s="5">
        <f ca="1" t="shared" si="1243"/>
        <v>660000</v>
      </c>
      <c r="Q4209" s="5">
        <f ca="1" t="shared" si="1244"/>
        <v>132</v>
      </c>
      <c r="R4209" s="5">
        <f ca="1" t="shared" ref="R4209:R4222" si="1253">M4209*10</f>
        <v>0</v>
      </c>
    </row>
    <row r="4210" spans="2:18">
      <c r="B4210" s="1">
        <v>3</v>
      </c>
      <c r="C4210" s="1">
        <f ca="1" t="shared" si="1245"/>
        <v>0</v>
      </c>
      <c r="D4210" s="1">
        <f ca="1" t="shared" si="1246"/>
        <v>810000</v>
      </c>
      <c r="E4210" s="1">
        <f ca="1" t="shared" si="1247"/>
        <v>155.52</v>
      </c>
      <c r="F4210" s="1">
        <f ca="1" t="shared" si="1248"/>
        <v>0</v>
      </c>
      <c r="G4210" s="30">
        <v>0</v>
      </c>
      <c r="H4210" s="30">
        <f ca="1" t="shared" si="1249"/>
        <v>28</v>
      </c>
      <c r="I4210" s="30">
        <f ca="1" t="shared" si="1249"/>
        <v>28</v>
      </c>
      <c r="J4210" s="30">
        <f ca="1" t="shared" si="1249"/>
        <v>28</v>
      </c>
      <c r="K4210" s="30">
        <f ca="1" t="shared" si="1250"/>
        <v>26</v>
      </c>
      <c r="L4210" s="30">
        <f ca="1" t="shared" si="1250"/>
        <v>26</v>
      </c>
      <c r="M4210" s="30">
        <f ca="1" t="shared" si="1251"/>
        <v>0</v>
      </c>
      <c r="N4210" s="30">
        <v>0</v>
      </c>
      <c r="O4210" s="5">
        <f ca="1" t="shared" si="1252"/>
        <v>0</v>
      </c>
      <c r="P4210" s="5">
        <f ca="1" t="shared" si="1243"/>
        <v>840000</v>
      </c>
      <c r="Q4210" s="5">
        <f ca="1" t="shared" si="1244"/>
        <v>156</v>
      </c>
      <c r="R4210" s="5">
        <f ca="1" t="shared" si="1253"/>
        <v>0</v>
      </c>
    </row>
    <row r="4211" spans="2:18">
      <c r="B4211" s="1">
        <v>4</v>
      </c>
      <c r="C4211" s="1">
        <f ca="1" t="shared" si="1245"/>
        <v>0</v>
      </c>
      <c r="D4211" s="1">
        <f ca="1" t="shared" si="1246"/>
        <v>972000</v>
      </c>
      <c r="E4211" s="1">
        <f ca="1" t="shared" si="1247"/>
        <v>186.624</v>
      </c>
      <c r="F4211" s="1">
        <f ca="1" t="shared" si="1248"/>
        <v>0</v>
      </c>
      <c r="G4211" s="30">
        <v>0</v>
      </c>
      <c r="H4211" s="30">
        <f ca="1" t="shared" si="1249"/>
        <v>32</v>
      </c>
      <c r="I4211" s="30">
        <f ca="1" t="shared" si="1249"/>
        <v>32</v>
      </c>
      <c r="J4211" s="30">
        <f ca="1" t="shared" si="1249"/>
        <v>32</v>
      </c>
      <c r="K4211" s="30">
        <f ca="1" t="shared" si="1250"/>
        <v>32</v>
      </c>
      <c r="L4211" s="30">
        <f ca="1" t="shared" si="1250"/>
        <v>32</v>
      </c>
      <c r="M4211" s="30">
        <f ca="1" t="shared" si="1251"/>
        <v>0</v>
      </c>
      <c r="N4211" s="30">
        <v>0</v>
      </c>
      <c r="O4211" s="5">
        <f ca="1" t="shared" si="1252"/>
        <v>0</v>
      </c>
      <c r="P4211" s="5">
        <f ca="1" t="shared" si="1243"/>
        <v>960000</v>
      </c>
      <c r="Q4211" s="5">
        <f ca="1" t="shared" si="1244"/>
        <v>192</v>
      </c>
      <c r="R4211" s="5">
        <f ca="1" t="shared" si="1253"/>
        <v>0</v>
      </c>
    </row>
    <row r="4212" spans="2:18">
      <c r="B4212" s="1">
        <v>5</v>
      </c>
      <c r="C4212" s="1">
        <f ca="1" t="shared" si="1245"/>
        <v>0</v>
      </c>
      <c r="D4212" s="1">
        <f ca="1" t="shared" si="1246"/>
        <v>1080000</v>
      </c>
      <c r="E4212" s="1">
        <f ca="1" t="shared" si="1247"/>
        <v>207.36</v>
      </c>
      <c r="F4212" s="1">
        <f ca="1" t="shared" si="1248"/>
        <v>756</v>
      </c>
      <c r="G4212" s="30">
        <v>0</v>
      </c>
      <c r="H4212" s="30">
        <f ca="1" t="shared" si="1249"/>
        <v>36</v>
      </c>
      <c r="I4212" s="30">
        <f ca="1" t="shared" si="1249"/>
        <v>36</v>
      </c>
      <c r="J4212" s="30">
        <f ca="1" t="shared" si="1249"/>
        <v>36</v>
      </c>
      <c r="K4212" s="30">
        <f ca="1" t="shared" si="1250"/>
        <v>34</v>
      </c>
      <c r="L4212" s="30">
        <f ca="1" t="shared" si="1250"/>
        <v>34</v>
      </c>
      <c r="M4212" s="30">
        <f ca="1" t="shared" si="1251"/>
        <v>80</v>
      </c>
      <c r="N4212" s="30">
        <v>0</v>
      </c>
      <c r="O4212" s="5">
        <f ca="1" t="shared" si="1252"/>
        <v>0</v>
      </c>
      <c r="P4212" s="5">
        <f ca="1" t="shared" si="1243"/>
        <v>1080000</v>
      </c>
      <c r="Q4212" s="5">
        <f ca="1" t="shared" si="1244"/>
        <v>204</v>
      </c>
      <c r="R4212" s="5">
        <f ca="1" t="shared" si="1253"/>
        <v>800</v>
      </c>
    </row>
    <row r="4213" spans="2:18">
      <c r="B4213" s="1">
        <v>6</v>
      </c>
      <c r="C4213" s="1">
        <f ca="1" t="shared" si="1245"/>
        <v>0</v>
      </c>
      <c r="D4213" s="1">
        <f ca="1" t="shared" si="1246"/>
        <v>1350000</v>
      </c>
      <c r="E4213" s="1">
        <f ca="1" t="shared" si="1247"/>
        <v>259.2</v>
      </c>
      <c r="F4213" s="1">
        <f ca="1" t="shared" si="1248"/>
        <v>882</v>
      </c>
      <c r="G4213" s="30">
        <v>0</v>
      </c>
      <c r="H4213" s="30">
        <f ca="1" t="shared" si="1249"/>
        <v>46</v>
      </c>
      <c r="I4213" s="30">
        <f ca="1" t="shared" si="1249"/>
        <v>46</v>
      </c>
      <c r="J4213" s="30">
        <f ca="1" t="shared" si="1249"/>
        <v>46</v>
      </c>
      <c r="K4213" s="30">
        <f ca="1" t="shared" si="1250"/>
        <v>44</v>
      </c>
      <c r="L4213" s="30">
        <f ca="1" t="shared" si="1250"/>
        <v>44</v>
      </c>
      <c r="M4213" s="30">
        <f ca="1" t="shared" si="1251"/>
        <v>90</v>
      </c>
      <c r="N4213" s="30">
        <v>0</v>
      </c>
      <c r="O4213" s="5">
        <f ca="1" t="shared" si="1252"/>
        <v>0</v>
      </c>
      <c r="P4213" s="5">
        <f ca="1" t="shared" si="1243"/>
        <v>1380000</v>
      </c>
      <c r="Q4213" s="5">
        <f ca="1" t="shared" si="1244"/>
        <v>264</v>
      </c>
      <c r="R4213" s="5">
        <f ca="1" t="shared" si="1253"/>
        <v>900</v>
      </c>
    </row>
    <row r="4214" spans="2:18">
      <c r="B4214" s="1">
        <v>7</v>
      </c>
      <c r="C4214" s="1">
        <f ca="1" t="shared" si="1245"/>
        <v>0</v>
      </c>
      <c r="D4214" s="1">
        <f ca="1" t="shared" si="1246"/>
        <v>1620000</v>
      </c>
      <c r="E4214" s="1">
        <f ca="1" t="shared" si="1247"/>
        <v>311.04</v>
      </c>
      <c r="F4214" s="1">
        <f ca="1" t="shared" si="1248"/>
        <v>1008</v>
      </c>
      <c r="G4214" s="30">
        <v>0</v>
      </c>
      <c r="H4214" s="30">
        <f ca="1" t="shared" si="1249"/>
        <v>54</v>
      </c>
      <c r="I4214" s="30">
        <f ca="1" t="shared" si="1249"/>
        <v>54</v>
      </c>
      <c r="J4214" s="30">
        <f ca="1" t="shared" si="1249"/>
        <v>54</v>
      </c>
      <c r="K4214" s="30">
        <f ca="1" t="shared" si="1250"/>
        <v>52</v>
      </c>
      <c r="L4214" s="30">
        <f ca="1" t="shared" si="1250"/>
        <v>52</v>
      </c>
      <c r="M4214" s="30">
        <f ca="1" t="shared" si="1251"/>
        <v>100</v>
      </c>
      <c r="N4214" s="30">
        <v>0</v>
      </c>
      <c r="O4214" s="5">
        <f ca="1" t="shared" si="1252"/>
        <v>0</v>
      </c>
      <c r="P4214" s="5">
        <f ca="1" t="shared" si="1243"/>
        <v>1620000</v>
      </c>
      <c r="Q4214" s="5">
        <f ca="1" t="shared" si="1244"/>
        <v>312</v>
      </c>
      <c r="R4214" s="5">
        <f ca="1" t="shared" si="1253"/>
        <v>1000</v>
      </c>
    </row>
    <row r="4215" spans="2:18">
      <c r="B4215" s="1">
        <v>8</v>
      </c>
      <c r="C4215" s="1">
        <f ca="1" t="shared" si="1245"/>
        <v>0</v>
      </c>
      <c r="D4215" s="1">
        <f ca="1" t="shared" si="1246"/>
        <v>1890000</v>
      </c>
      <c r="E4215" s="1">
        <f ca="1" t="shared" si="1247"/>
        <v>362.88</v>
      </c>
      <c r="F4215" s="1">
        <f ca="1" t="shared" si="1248"/>
        <v>1134</v>
      </c>
      <c r="G4215" s="30">
        <v>0</v>
      </c>
      <c r="H4215" s="30">
        <f ca="1" t="shared" si="1249"/>
        <v>64</v>
      </c>
      <c r="I4215" s="30">
        <f ca="1" t="shared" si="1249"/>
        <v>64</v>
      </c>
      <c r="J4215" s="30">
        <f ca="1" t="shared" si="1249"/>
        <v>64</v>
      </c>
      <c r="K4215" s="30">
        <f ca="1" t="shared" si="1250"/>
        <v>60</v>
      </c>
      <c r="L4215" s="30">
        <f ca="1" t="shared" si="1250"/>
        <v>60</v>
      </c>
      <c r="M4215" s="30">
        <f ca="1" t="shared" si="1251"/>
        <v>110</v>
      </c>
      <c r="N4215" s="30">
        <v>0</v>
      </c>
      <c r="O4215" s="5">
        <f ca="1" t="shared" si="1252"/>
        <v>0</v>
      </c>
      <c r="P4215" s="5">
        <f ca="1" t="shared" si="1243"/>
        <v>1920000</v>
      </c>
      <c r="Q4215" s="5">
        <f ca="1" t="shared" si="1244"/>
        <v>360</v>
      </c>
      <c r="R4215" s="5">
        <f ca="1" t="shared" si="1253"/>
        <v>1100</v>
      </c>
    </row>
    <row r="4216" spans="2:18">
      <c r="B4216" s="1">
        <v>9</v>
      </c>
      <c r="C4216" s="1">
        <f ca="1" t="shared" si="1245"/>
        <v>0</v>
      </c>
      <c r="D4216" s="1">
        <f ca="1" t="shared" si="1246"/>
        <v>2160000</v>
      </c>
      <c r="E4216" s="1">
        <f ca="1" t="shared" si="1247"/>
        <v>414.72</v>
      </c>
      <c r="F4216" s="1">
        <f ca="1" t="shared" si="1248"/>
        <v>1260</v>
      </c>
      <c r="G4216" s="30">
        <v>0</v>
      </c>
      <c r="H4216" s="30">
        <f ca="1" t="shared" si="1249"/>
        <v>72</v>
      </c>
      <c r="I4216" s="30">
        <f ca="1" t="shared" si="1249"/>
        <v>72</v>
      </c>
      <c r="J4216" s="30">
        <f ca="1" t="shared" si="1249"/>
        <v>72</v>
      </c>
      <c r="K4216" s="30">
        <f ca="1" t="shared" si="1250"/>
        <v>70</v>
      </c>
      <c r="L4216" s="30">
        <f ca="1" t="shared" si="1250"/>
        <v>70</v>
      </c>
      <c r="M4216" s="30">
        <f ca="1" t="shared" si="1251"/>
        <v>130</v>
      </c>
      <c r="N4216" s="30">
        <v>1</v>
      </c>
      <c r="O4216" s="5">
        <f ca="1" t="shared" si="1252"/>
        <v>0</v>
      </c>
      <c r="P4216" s="5">
        <f ca="1" t="shared" si="1243"/>
        <v>2160000</v>
      </c>
      <c r="Q4216" s="5">
        <f ca="1" t="shared" si="1244"/>
        <v>420</v>
      </c>
      <c r="R4216" s="5">
        <f ca="1" t="shared" si="1253"/>
        <v>1300</v>
      </c>
    </row>
    <row r="4217" spans="2:18">
      <c r="B4217" s="1">
        <v>10</v>
      </c>
      <c r="C4217" s="1">
        <f ca="1" t="shared" si="1245"/>
        <v>0</v>
      </c>
      <c r="D4217" s="1">
        <f ca="1" t="shared" si="1246"/>
        <v>2700000</v>
      </c>
      <c r="E4217" s="1">
        <f ca="1" t="shared" si="1247"/>
        <v>518.4</v>
      </c>
      <c r="F4217" s="1">
        <f ca="1" t="shared" si="1248"/>
        <v>1386</v>
      </c>
      <c r="G4217" s="30">
        <v>0</v>
      </c>
      <c r="H4217" s="30">
        <f ca="1" t="shared" si="1249"/>
        <v>90</v>
      </c>
      <c r="I4217" s="30">
        <f ca="1" t="shared" si="1249"/>
        <v>90</v>
      </c>
      <c r="J4217" s="30">
        <f ca="1" t="shared" si="1249"/>
        <v>90</v>
      </c>
      <c r="K4217" s="30">
        <f ca="1" t="shared" si="1250"/>
        <v>86</v>
      </c>
      <c r="L4217" s="30">
        <f ca="1" t="shared" si="1250"/>
        <v>86</v>
      </c>
      <c r="M4217" s="30">
        <f ca="1" t="shared" si="1251"/>
        <v>140</v>
      </c>
      <c r="N4217" s="30">
        <v>1</v>
      </c>
      <c r="O4217" s="5">
        <f ca="1" t="shared" si="1252"/>
        <v>0</v>
      </c>
      <c r="P4217" s="5">
        <f ca="1" t="shared" si="1243"/>
        <v>2700000</v>
      </c>
      <c r="Q4217" s="5">
        <f ca="1" t="shared" si="1244"/>
        <v>516</v>
      </c>
      <c r="R4217" s="5">
        <f ca="1" t="shared" si="1253"/>
        <v>1400</v>
      </c>
    </row>
    <row r="4218" spans="2:18">
      <c r="B4218" s="1">
        <v>11</v>
      </c>
      <c r="C4218" s="1">
        <f ca="1" t="shared" si="1245"/>
        <v>0</v>
      </c>
      <c r="D4218" s="1">
        <f ca="1" t="shared" si="1246"/>
        <v>3240000</v>
      </c>
      <c r="E4218" s="1">
        <f ca="1" t="shared" si="1247"/>
        <v>622.08</v>
      </c>
      <c r="F4218" s="1">
        <f ca="1" t="shared" si="1248"/>
        <v>1512</v>
      </c>
      <c r="G4218" s="30">
        <v>0</v>
      </c>
      <c r="H4218" s="30">
        <f ca="1" t="shared" si="1249"/>
        <v>108</v>
      </c>
      <c r="I4218" s="30">
        <f ca="1" t="shared" si="1249"/>
        <v>108</v>
      </c>
      <c r="J4218" s="30">
        <f ca="1" t="shared" si="1249"/>
        <v>108</v>
      </c>
      <c r="K4218" s="30">
        <f ca="1" t="shared" si="1250"/>
        <v>104</v>
      </c>
      <c r="L4218" s="30">
        <f ca="1" t="shared" si="1250"/>
        <v>104</v>
      </c>
      <c r="M4218" s="30">
        <f ca="1" t="shared" si="1251"/>
        <v>150</v>
      </c>
      <c r="N4218" s="30">
        <v>1</v>
      </c>
      <c r="O4218" s="5">
        <f ca="1" t="shared" si="1252"/>
        <v>0</v>
      </c>
      <c r="P4218" s="5">
        <f ca="1" t="shared" si="1243"/>
        <v>3240000</v>
      </c>
      <c r="Q4218" s="5">
        <f ca="1" t="shared" si="1244"/>
        <v>624</v>
      </c>
      <c r="R4218" s="5">
        <f ca="1" t="shared" si="1253"/>
        <v>1500</v>
      </c>
    </row>
    <row r="4219" spans="2:18">
      <c r="B4219" s="1">
        <v>12</v>
      </c>
      <c r="C4219" s="1">
        <f ca="1" t="shared" si="1245"/>
        <v>0</v>
      </c>
      <c r="D4219" s="1">
        <f ca="1" t="shared" si="1246"/>
        <v>3780000</v>
      </c>
      <c r="E4219" s="1">
        <f ca="1" t="shared" si="1247"/>
        <v>725.76</v>
      </c>
      <c r="F4219" s="1">
        <f ca="1" t="shared" si="1248"/>
        <v>1764</v>
      </c>
      <c r="G4219" s="30">
        <v>0</v>
      </c>
      <c r="H4219" s="30">
        <f ca="1" t="shared" si="1249"/>
        <v>126</v>
      </c>
      <c r="I4219" s="30">
        <f ca="1" t="shared" si="1249"/>
        <v>126</v>
      </c>
      <c r="J4219" s="30">
        <f ca="1" t="shared" si="1249"/>
        <v>126</v>
      </c>
      <c r="K4219" s="30">
        <f ca="1" t="shared" si="1250"/>
        <v>120</v>
      </c>
      <c r="L4219" s="30">
        <f ca="1" t="shared" si="1250"/>
        <v>120</v>
      </c>
      <c r="M4219" s="30">
        <f ca="1" t="shared" si="1251"/>
        <v>180</v>
      </c>
      <c r="N4219" s="30">
        <v>1</v>
      </c>
      <c r="O4219" s="5">
        <f ca="1" t="shared" si="1252"/>
        <v>0</v>
      </c>
      <c r="P4219" s="5">
        <f ca="1" t="shared" si="1243"/>
        <v>3780000</v>
      </c>
      <c r="Q4219" s="5">
        <f ca="1" t="shared" si="1244"/>
        <v>720</v>
      </c>
      <c r="R4219" s="5">
        <f ca="1" t="shared" si="1253"/>
        <v>1800</v>
      </c>
    </row>
    <row r="4220" spans="2:18">
      <c r="B4220" s="1">
        <v>13</v>
      </c>
      <c r="C4220" s="1">
        <f ca="1" t="shared" si="1245"/>
        <v>0</v>
      </c>
      <c r="D4220" s="1">
        <f ca="1" t="shared" si="1246"/>
        <v>4320000</v>
      </c>
      <c r="E4220" s="1">
        <f ca="1" t="shared" si="1247"/>
        <v>829.44</v>
      </c>
      <c r="F4220" s="1">
        <f ca="1" t="shared" si="1248"/>
        <v>2016</v>
      </c>
      <c r="G4220" s="30">
        <v>0</v>
      </c>
      <c r="H4220" s="30">
        <f ca="1" t="shared" si="1249"/>
        <v>144</v>
      </c>
      <c r="I4220" s="30">
        <f ca="1" t="shared" si="1249"/>
        <v>144</v>
      </c>
      <c r="J4220" s="30">
        <f ca="1" t="shared" si="1249"/>
        <v>144</v>
      </c>
      <c r="K4220" s="30">
        <f ca="1" t="shared" si="1250"/>
        <v>138</v>
      </c>
      <c r="L4220" s="30">
        <f ca="1" t="shared" si="1250"/>
        <v>138</v>
      </c>
      <c r="M4220" s="30">
        <f ca="1" t="shared" si="1251"/>
        <v>200</v>
      </c>
      <c r="N4220" s="30">
        <v>1</v>
      </c>
      <c r="O4220" s="5">
        <f ca="1" t="shared" si="1252"/>
        <v>0</v>
      </c>
      <c r="P4220" s="5">
        <f ca="1" t="shared" si="1243"/>
        <v>4320000</v>
      </c>
      <c r="Q4220" s="5">
        <f ca="1" t="shared" si="1244"/>
        <v>828</v>
      </c>
      <c r="R4220" s="5">
        <f ca="1" t="shared" si="1253"/>
        <v>2000</v>
      </c>
    </row>
    <row r="4221" spans="2:18">
      <c r="B4221" s="1">
        <v>14</v>
      </c>
      <c r="C4221" s="1">
        <f ca="1" t="shared" si="1245"/>
        <v>0</v>
      </c>
      <c r="D4221" s="1">
        <f ca="1" t="shared" si="1246"/>
        <v>4860000</v>
      </c>
      <c r="E4221" s="1">
        <f ca="1" t="shared" si="1247"/>
        <v>933.12</v>
      </c>
      <c r="F4221" s="1">
        <f ca="1" t="shared" si="1248"/>
        <v>2268</v>
      </c>
      <c r="G4221" s="30">
        <v>0</v>
      </c>
      <c r="H4221" s="30">
        <f ca="1" t="shared" si="1249"/>
        <v>162</v>
      </c>
      <c r="I4221" s="30">
        <f ca="1" t="shared" si="1249"/>
        <v>162</v>
      </c>
      <c r="J4221" s="30">
        <f ca="1" t="shared" si="1249"/>
        <v>162</v>
      </c>
      <c r="K4221" s="30">
        <f ca="1" t="shared" si="1250"/>
        <v>156</v>
      </c>
      <c r="L4221" s="30">
        <f ca="1" t="shared" si="1250"/>
        <v>156</v>
      </c>
      <c r="M4221" s="30">
        <f ca="1" t="shared" si="1251"/>
        <v>230</v>
      </c>
      <c r="N4221" s="30">
        <v>1</v>
      </c>
      <c r="O4221" s="5">
        <f ca="1" t="shared" si="1252"/>
        <v>0</v>
      </c>
      <c r="P4221" s="5">
        <f ca="1" t="shared" si="1243"/>
        <v>4860000</v>
      </c>
      <c r="Q4221" s="5">
        <f ca="1" t="shared" si="1244"/>
        <v>936</v>
      </c>
      <c r="R4221" s="5">
        <f ca="1" t="shared" si="1253"/>
        <v>2300</v>
      </c>
    </row>
    <row r="4222" spans="2:18">
      <c r="B4222" s="1">
        <v>15</v>
      </c>
      <c r="C4222" s="1">
        <f ca="1" t="shared" si="1245"/>
        <v>126</v>
      </c>
      <c r="D4222" s="1">
        <f ca="1" t="shared" si="1246"/>
        <v>5400000</v>
      </c>
      <c r="E4222" s="1">
        <f ca="1" t="shared" si="1247"/>
        <v>1036.8</v>
      </c>
      <c r="F4222" s="1">
        <f ca="1" t="shared" si="1248"/>
        <v>2520</v>
      </c>
      <c r="G4222" s="30">
        <v>400</v>
      </c>
      <c r="H4222" s="30">
        <f ca="1" t="shared" si="1249"/>
        <v>180</v>
      </c>
      <c r="I4222" s="30">
        <f ca="1" t="shared" si="1249"/>
        <v>180</v>
      </c>
      <c r="J4222" s="30">
        <f ca="1" t="shared" si="1249"/>
        <v>180</v>
      </c>
      <c r="K4222" s="30">
        <f ca="1" t="shared" si="1250"/>
        <v>172</v>
      </c>
      <c r="L4222" s="30">
        <f ca="1" t="shared" si="1250"/>
        <v>172</v>
      </c>
      <c r="M4222" s="30">
        <f ca="1" t="shared" si="1251"/>
        <v>250</v>
      </c>
      <c r="N4222" s="30">
        <v>2</v>
      </c>
      <c r="O4222" s="5">
        <f ca="1" t="shared" si="1252"/>
        <v>126</v>
      </c>
      <c r="P4222" s="5">
        <f ca="1" t="shared" si="1243"/>
        <v>5400000</v>
      </c>
      <c r="Q4222" s="5">
        <f ca="1" t="shared" si="1244"/>
        <v>1032</v>
      </c>
      <c r="R4222" s="5">
        <f ca="1" t="shared" si="1253"/>
        <v>2500</v>
      </c>
    </row>
    <row r="4223" spans="3:6">
      <c r="C4223" s="81"/>
      <c r="D4223" s="81"/>
      <c r="E4223" s="81"/>
      <c r="F4223" s="81"/>
    </row>
    <row r="4224" spans="2:14">
      <c r="B4224" s="27" t="s">
        <v>2205</v>
      </c>
      <c r="C4224" s="27">
        <v>3</v>
      </c>
      <c r="G4224" s="1" t="s">
        <v>2211</v>
      </c>
      <c r="H4224" s="1" t="s">
        <v>1543</v>
      </c>
      <c r="I4224" s="1" t="s">
        <v>1545</v>
      </c>
      <c r="J4224" s="1" t="s">
        <v>1547</v>
      </c>
      <c r="K4224" s="1" t="s">
        <v>1871</v>
      </c>
      <c r="L4224" s="1" t="s">
        <v>1880</v>
      </c>
      <c r="M4224" s="1" t="s">
        <v>2177</v>
      </c>
      <c r="N4224" s="1" t="s">
        <v>2212</v>
      </c>
    </row>
    <row r="4225" spans="3:18">
      <c r="C4225" s="1" t="s">
        <v>540</v>
      </c>
      <c r="D4225" s="1" t="s">
        <v>476</v>
      </c>
      <c r="E4225" s="1" t="s">
        <v>478</v>
      </c>
      <c r="F4225" s="1" t="s">
        <v>483</v>
      </c>
      <c r="G4225" s="1" t="s">
        <v>540</v>
      </c>
      <c r="H4225" s="1" t="s">
        <v>728</v>
      </c>
      <c r="I4225" s="1" t="s">
        <v>2213</v>
      </c>
      <c r="J4225" s="1" t="s">
        <v>730</v>
      </c>
      <c r="K4225" s="1" t="s">
        <v>2214</v>
      </c>
      <c r="L4225" s="1" t="s">
        <v>735</v>
      </c>
      <c r="M4225" s="1" t="s">
        <v>2215</v>
      </c>
      <c r="N4225" s="1" t="s">
        <v>2216</v>
      </c>
      <c r="O4225" s="1" t="s">
        <v>2217</v>
      </c>
      <c r="P4225" s="1" t="s">
        <v>2218</v>
      </c>
      <c r="Q4225" s="1" t="s">
        <v>2219</v>
      </c>
      <c r="R4225" s="1" t="s">
        <v>2220</v>
      </c>
    </row>
    <row r="4226" spans="2:18">
      <c r="B4226" s="1">
        <v>1</v>
      </c>
      <c r="C4226" s="1">
        <f ca="1">OFFSET($G$4163,MATCH($C$4224,$B$4163:$B$4168,0)-1,MATCH($C$4225,$G$4162:$J$4162,0)-1)*$C4172</f>
        <v>0</v>
      </c>
      <c r="D4226" s="1">
        <f ca="1">OFFSET($G$4163,MATCH($C$4224,$B$4163:$B$4168,0)-1,MATCH($D$4225,$G$4162:$J$4162,0)-1)*$E4172</f>
        <v>1080000</v>
      </c>
      <c r="E4226" s="1">
        <f ca="1">OFFSET($G$4163,MATCH($C$4224,$B$4163:$B$4168,0)-1,MATCH($E$4225,$G$4162:$J$4162,0)-1)*$G4172</f>
        <v>207.36</v>
      </c>
      <c r="F4226" s="1">
        <f ca="1">OFFSET($G$4163,MATCH($C$4224,$B$4163:$B$4168,0)-1,MATCH($F$4225,$G$4162:$J$4162,0)-1)*$I4172</f>
        <v>0</v>
      </c>
      <c r="G4226" s="30">
        <v>0</v>
      </c>
      <c r="H4226" s="30">
        <f ca="1">ROUND($D4226/6/50000,0)*2</f>
        <v>8</v>
      </c>
      <c r="I4226" s="30">
        <f ca="1" t="shared" ref="I4226:J4240" si="1254">ROUND($D4226/6/50000,0)*2</f>
        <v>8</v>
      </c>
      <c r="J4226" s="30">
        <f ca="1" t="shared" si="1254"/>
        <v>8</v>
      </c>
      <c r="K4226" s="30">
        <f ca="1">ROUND($E4226/4/3,0)*2</f>
        <v>34</v>
      </c>
      <c r="L4226" s="30">
        <f ca="1">ROUND($E4226/4/3,0)*2</f>
        <v>34</v>
      </c>
      <c r="M4226" s="30">
        <f ca="1">ROUND($F4226/10/10,0)*10</f>
        <v>0</v>
      </c>
      <c r="N4226" s="30">
        <v>0</v>
      </c>
      <c r="O4226" s="5">
        <f ca="1">C4226</f>
        <v>0</v>
      </c>
      <c r="P4226" s="5">
        <f ca="1">SUM(H4226:J4226)*50000</f>
        <v>1200000</v>
      </c>
      <c r="Q4226" s="5">
        <f ca="1" t="shared" ref="Q4226:Q4240" si="1255">SUM(K4226:L4226)*3</f>
        <v>204</v>
      </c>
      <c r="R4226" s="5">
        <f ca="1">M4226*10</f>
        <v>0</v>
      </c>
    </row>
    <row r="4227" spans="2:18">
      <c r="B4227" s="1">
        <v>2</v>
      </c>
      <c r="C4227" s="1">
        <f ca="1" t="shared" ref="C4227:C4240" si="1256">OFFSET($G$4163,MATCH($C$4224,$B$4163:$B$4168,0)-1,MATCH($C$4225,$G$4162:$J$4162,0)-1)*$C4173</f>
        <v>0</v>
      </c>
      <c r="D4227" s="1">
        <f ca="1" t="shared" ref="D4227:D4240" si="1257">OFFSET($G$4163,MATCH($C$4224,$B$4163:$B$4168,0)-1,MATCH($D$4225,$G$4162:$J$4162,0)-1)*$E4173</f>
        <v>1350000</v>
      </c>
      <c r="E4227" s="1">
        <f ca="1" t="shared" ref="E4227:E4240" si="1258">OFFSET($G$4163,MATCH($C$4224,$B$4163:$B$4168,0)-1,MATCH($E$4207,$G$4162:$J$4162,0)-1)*$G4173</f>
        <v>259.2</v>
      </c>
      <c r="F4227" s="1">
        <f ca="1" t="shared" ref="F4227:F4240" si="1259">OFFSET($G$4163,MATCH($C$4224,$B$4163:$B$4168,0)-1,MATCH($F$4207,$G$4162:$J$4162,0)-1)*$I4173</f>
        <v>0</v>
      </c>
      <c r="G4227" s="30">
        <v>0</v>
      </c>
      <c r="H4227" s="30">
        <f ca="1" t="shared" ref="H4227:H4240" si="1260">ROUND($D4227/6/50000,0)*2</f>
        <v>10</v>
      </c>
      <c r="I4227" s="30">
        <f ca="1" t="shared" si="1254"/>
        <v>10</v>
      </c>
      <c r="J4227" s="30">
        <f ca="1" t="shared" si="1254"/>
        <v>10</v>
      </c>
      <c r="K4227" s="30">
        <f ca="1" t="shared" ref="K4227:L4240" si="1261">ROUND($E4227/4/3,0)*2</f>
        <v>44</v>
      </c>
      <c r="L4227" s="30">
        <f ca="1" t="shared" si="1261"/>
        <v>44</v>
      </c>
      <c r="M4227" s="30">
        <f ca="1" t="shared" ref="M4227:M4240" si="1262">ROUND($F4227/10/10,0)*10</f>
        <v>0</v>
      </c>
      <c r="N4227" s="30">
        <v>0</v>
      </c>
      <c r="O4227" s="5">
        <f ca="1" t="shared" ref="O4227:O4240" si="1263">C4227</f>
        <v>0</v>
      </c>
      <c r="P4227" s="5">
        <f ca="1" t="shared" ref="P4227:P4240" si="1264">SUM(H4227:J4227)*50000</f>
        <v>1500000</v>
      </c>
      <c r="Q4227" s="5">
        <f ca="1" t="shared" si="1255"/>
        <v>264</v>
      </c>
      <c r="R4227" s="5">
        <f ca="1" t="shared" ref="R4227:R4240" si="1265">M4227*10</f>
        <v>0</v>
      </c>
    </row>
    <row r="4228" spans="2:18">
      <c r="B4228" s="1">
        <v>3</v>
      </c>
      <c r="C4228" s="1">
        <f ca="1" t="shared" si="1256"/>
        <v>0</v>
      </c>
      <c r="D4228" s="1">
        <f ca="1" t="shared" si="1257"/>
        <v>1620000</v>
      </c>
      <c r="E4228" s="1">
        <f ca="1" t="shared" si="1258"/>
        <v>311.04</v>
      </c>
      <c r="F4228" s="1">
        <f ca="1" t="shared" si="1259"/>
        <v>0</v>
      </c>
      <c r="G4228" s="30">
        <v>0</v>
      </c>
      <c r="H4228" s="30">
        <f ca="1" t="shared" si="1260"/>
        <v>10</v>
      </c>
      <c r="I4228" s="30">
        <f ca="1" t="shared" si="1254"/>
        <v>10</v>
      </c>
      <c r="J4228" s="30">
        <f ca="1" t="shared" si="1254"/>
        <v>10</v>
      </c>
      <c r="K4228" s="30">
        <f ca="1" t="shared" si="1261"/>
        <v>52</v>
      </c>
      <c r="L4228" s="30">
        <f ca="1" t="shared" si="1261"/>
        <v>52</v>
      </c>
      <c r="M4228" s="30">
        <f ca="1" t="shared" si="1262"/>
        <v>0</v>
      </c>
      <c r="N4228" s="30">
        <v>0</v>
      </c>
      <c r="O4228" s="5">
        <f ca="1" t="shared" si="1263"/>
        <v>0</v>
      </c>
      <c r="P4228" s="5">
        <f ca="1" t="shared" si="1264"/>
        <v>1500000</v>
      </c>
      <c r="Q4228" s="5">
        <f ca="1" t="shared" si="1255"/>
        <v>312</v>
      </c>
      <c r="R4228" s="5">
        <f ca="1" t="shared" si="1265"/>
        <v>0</v>
      </c>
    </row>
    <row r="4229" spans="2:18">
      <c r="B4229" s="1">
        <v>4</v>
      </c>
      <c r="C4229" s="1">
        <f ca="1" t="shared" si="1256"/>
        <v>0</v>
      </c>
      <c r="D4229" s="1">
        <f ca="1" t="shared" si="1257"/>
        <v>1944000</v>
      </c>
      <c r="E4229" s="1">
        <f ca="1" t="shared" si="1258"/>
        <v>373.248</v>
      </c>
      <c r="F4229" s="1">
        <f ca="1" t="shared" si="1259"/>
        <v>0</v>
      </c>
      <c r="G4229" s="30">
        <v>0</v>
      </c>
      <c r="H4229" s="30">
        <f ca="1" t="shared" si="1260"/>
        <v>12</v>
      </c>
      <c r="I4229" s="30">
        <f ca="1" t="shared" si="1254"/>
        <v>12</v>
      </c>
      <c r="J4229" s="30">
        <f ca="1" t="shared" si="1254"/>
        <v>12</v>
      </c>
      <c r="K4229" s="30">
        <f ca="1" t="shared" si="1261"/>
        <v>62</v>
      </c>
      <c r="L4229" s="30">
        <f ca="1" t="shared" si="1261"/>
        <v>62</v>
      </c>
      <c r="M4229" s="30">
        <f ca="1" t="shared" si="1262"/>
        <v>0</v>
      </c>
      <c r="N4229" s="30">
        <v>0</v>
      </c>
      <c r="O4229" s="5">
        <f ca="1" t="shared" si="1263"/>
        <v>0</v>
      </c>
      <c r="P4229" s="5">
        <f ca="1" t="shared" si="1264"/>
        <v>1800000</v>
      </c>
      <c r="Q4229" s="5">
        <f ca="1" t="shared" si="1255"/>
        <v>372</v>
      </c>
      <c r="R4229" s="5">
        <f ca="1" t="shared" si="1265"/>
        <v>0</v>
      </c>
    </row>
    <row r="4230" spans="2:18">
      <c r="B4230" s="1">
        <v>5</v>
      </c>
      <c r="C4230" s="1">
        <f ca="1" t="shared" si="1256"/>
        <v>0</v>
      </c>
      <c r="D4230" s="1">
        <f ca="1" t="shared" si="1257"/>
        <v>2160000</v>
      </c>
      <c r="E4230" s="1">
        <f ca="1" t="shared" si="1258"/>
        <v>414.72</v>
      </c>
      <c r="F4230" s="1">
        <f ca="1" t="shared" si="1259"/>
        <v>1512</v>
      </c>
      <c r="G4230" s="30">
        <v>0</v>
      </c>
      <c r="H4230" s="30">
        <f ca="1" t="shared" si="1260"/>
        <v>14</v>
      </c>
      <c r="I4230" s="30">
        <f ca="1" t="shared" si="1254"/>
        <v>14</v>
      </c>
      <c r="J4230" s="30">
        <f ca="1" t="shared" si="1254"/>
        <v>14</v>
      </c>
      <c r="K4230" s="30">
        <f ca="1" t="shared" si="1261"/>
        <v>70</v>
      </c>
      <c r="L4230" s="30">
        <f ca="1" t="shared" si="1261"/>
        <v>70</v>
      </c>
      <c r="M4230" s="30">
        <f ca="1" t="shared" si="1262"/>
        <v>150</v>
      </c>
      <c r="N4230" s="30">
        <v>0</v>
      </c>
      <c r="O4230" s="5">
        <f ca="1" t="shared" si="1263"/>
        <v>0</v>
      </c>
      <c r="P4230" s="5">
        <f ca="1" t="shared" si="1264"/>
        <v>2100000</v>
      </c>
      <c r="Q4230" s="5">
        <f ca="1" t="shared" si="1255"/>
        <v>420</v>
      </c>
      <c r="R4230" s="5">
        <f ca="1" t="shared" si="1265"/>
        <v>1500</v>
      </c>
    </row>
    <row r="4231" spans="2:18">
      <c r="B4231" s="1">
        <v>6</v>
      </c>
      <c r="C4231" s="1">
        <f ca="1" t="shared" si="1256"/>
        <v>0</v>
      </c>
      <c r="D4231" s="1">
        <f ca="1" t="shared" si="1257"/>
        <v>2700000</v>
      </c>
      <c r="E4231" s="1">
        <f ca="1" t="shared" si="1258"/>
        <v>518.4</v>
      </c>
      <c r="F4231" s="1">
        <f ca="1" t="shared" si="1259"/>
        <v>1764</v>
      </c>
      <c r="G4231" s="30">
        <v>0</v>
      </c>
      <c r="H4231" s="30">
        <f ca="1" t="shared" si="1260"/>
        <v>18</v>
      </c>
      <c r="I4231" s="30">
        <f ca="1" t="shared" si="1254"/>
        <v>18</v>
      </c>
      <c r="J4231" s="30">
        <f ca="1" t="shared" si="1254"/>
        <v>18</v>
      </c>
      <c r="K4231" s="30">
        <f ca="1" t="shared" si="1261"/>
        <v>86</v>
      </c>
      <c r="L4231" s="30">
        <f ca="1" t="shared" si="1261"/>
        <v>86</v>
      </c>
      <c r="M4231" s="30">
        <f ca="1" t="shared" si="1262"/>
        <v>180</v>
      </c>
      <c r="N4231" s="30">
        <v>0</v>
      </c>
      <c r="O4231" s="5">
        <f ca="1" t="shared" si="1263"/>
        <v>0</v>
      </c>
      <c r="P4231" s="5">
        <f ca="1" t="shared" si="1264"/>
        <v>2700000</v>
      </c>
      <c r="Q4231" s="5">
        <f ca="1" t="shared" si="1255"/>
        <v>516</v>
      </c>
      <c r="R4231" s="5">
        <f ca="1" t="shared" si="1265"/>
        <v>1800</v>
      </c>
    </row>
    <row r="4232" spans="2:18">
      <c r="B4232" s="1">
        <v>7</v>
      </c>
      <c r="C4232" s="1">
        <f ca="1" t="shared" si="1256"/>
        <v>0</v>
      </c>
      <c r="D4232" s="1">
        <f ca="1" t="shared" si="1257"/>
        <v>3240000</v>
      </c>
      <c r="E4232" s="1">
        <f ca="1" t="shared" si="1258"/>
        <v>622.08</v>
      </c>
      <c r="F4232" s="1">
        <f ca="1" t="shared" si="1259"/>
        <v>2016</v>
      </c>
      <c r="G4232" s="30">
        <v>0</v>
      </c>
      <c r="H4232" s="30">
        <f ca="1" t="shared" si="1260"/>
        <v>22</v>
      </c>
      <c r="I4232" s="30">
        <f ca="1" t="shared" si="1254"/>
        <v>22</v>
      </c>
      <c r="J4232" s="30">
        <f ca="1" t="shared" si="1254"/>
        <v>22</v>
      </c>
      <c r="K4232" s="30">
        <f ca="1" t="shared" si="1261"/>
        <v>104</v>
      </c>
      <c r="L4232" s="30">
        <f ca="1" t="shared" si="1261"/>
        <v>104</v>
      </c>
      <c r="M4232" s="30">
        <f ca="1" t="shared" si="1262"/>
        <v>200</v>
      </c>
      <c r="N4232" s="30">
        <v>0</v>
      </c>
      <c r="O4232" s="5">
        <f ca="1" t="shared" si="1263"/>
        <v>0</v>
      </c>
      <c r="P4232" s="5">
        <f ca="1" t="shared" si="1264"/>
        <v>3300000</v>
      </c>
      <c r="Q4232" s="5">
        <f ca="1" t="shared" si="1255"/>
        <v>624</v>
      </c>
      <c r="R4232" s="5">
        <f ca="1" t="shared" si="1265"/>
        <v>2000</v>
      </c>
    </row>
    <row r="4233" spans="2:18">
      <c r="B4233" s="1">
        <v>8</v>
      </c>
      <c r="C4233" s="1">
        <f ca="1" t="shared" si="1256"/>
        <v>0</v>
      </c>
      <c r="D4233" s="1">
        <f ca="1" t="shared" si="1257"/>
        <v>3780000</v>
      </c>
      <c r="E4233" s="1">
        <f ca="1" t="shared" si="1258"/>
        <v>725.76</v>
      </c>
      <c r="F4233" s="1">
        <f ca="1" t="shared" si="1259"/>
        <v>2268</v>
      </c>
      <c r="G4233" s="30">
        <v>0</v>
      </c>
      <c r="H4233" s="30">
        <f ca="1" t="shared" si="1260"/>
        <v>26</v>
      </c>
      <c r="I4233" s="30">
        <f ca="1" t="shared" si="1254"/>
        <v>26</v>
      </c>
      <c r="J4233" s="30">
        <f ca="1" t="shared" si="1254"/>
        <v>26</v>
      </c>
      <c r="K4233" s="30">
        <f ca="1" t="shared" si="1261"/>
        <v>120</v>
      </c>
      <c r="L4233" s="30">
        <f ca="1" t="shared" si="1261"/>
        <v>120</v>
      </c>
      <c r="M4233" s="30">
        <f ca="1" t="shared" si="1262"/>
        <v>230</v>
      </c>
      <c r="N4233" s="30">
        <v>0</v>
      </c>
      <c r="O4233" s="5">
        <f ca="1" t="shared" si="1263"/>
        <v>0</v>
      </c>
      <c r="P4233" s="5">
        <f ca="1" t="shared" si="1264"/>
        <v>3900000</v>
      </c>
      <c r="Q4233" s="5">
        <f ca="1" t="shared" si="1255"/>
        <v>720</v>
      </c>
      <c r="R4233" s="5">
        <f ca="1" t="shared" si="1265"/>
        <v>2300</v>
      </c>
    </row>
    <row r="4234" spans="2:18">
      <c r="B4234" s="1">
        <v>9</v>
      </c>
      <c r="C4234" s="1">
        <f ca="1" t="shared" si="1256"/>
        <v>0</v>
      </c>
      <c r="D4234" s="1">
        <f ca="1" t="shared" si="1257"/>
        <v>4320000</v>
      </c>
      <c r="E4234" s="1">
        <f ca="1" t="shared" si="1258"/>
        <v>829.44</v>
      </c>
      <c r="F4234" s="1">
        <f ca="1" t="shared" si="1259"/>
        <v>2520</v>
      </c>
      <c r="G4234" s="30">
        <v>0</v>
      </c>
      <c r="H4234" s="30">
        <f ca="1" t="shared" si="1260"/>
        <v>28</v>
      </c>
      <c r="I4234" s="30">
        <f ca="1" t="shared" si="1254"/>
        <v>28</v>
      </c>
      <c r="J4234" s="30">
        <f ca="1" t="shared" si="1254"/>
        <v>28</v>
      </c>
      <c r="K4234" s="30">
        <f ca="1" t="shared" si="1261"/>
        <v>138</v>
      </c>
      <c r="L4234" s="30">
        <f ca="1" t="shared" si="1261"/>
        <v>138</v>
      </c>
      <c r="M4234" s="30">
        <f ca="1" t="shared" si="1262"/>
        <v>250</v>
      </c>
      <c r="N4234" s="30">
        <v>1</v>
      </c>
      <c r="O4234" s="5">
        <f ca="1" t="shared" si="1263"/>
        <v>0</v>
      </c>
      <c r="P4234" s="5">
        <f ca="1" t="shared" si="1264"/>
        <v>4200000</v>
      </c>
      <c r="Q4234" s="5">
        <f ca="1" t="shared" si="1255"/>
        <v>828</v>
      </c>
      <c r="R4234" s="5">
        <f ca="1" t="shared" si="1265"/>
        <v>2500</v>
      </c>
    </row>
    <row r="4235" spans="2:18">
      <c r="B4235" s="1">
        <v>10</v>
      </c>
      <c r="C4235" s="1">
        <f ca="1" t="shared" si="1256"/>
        <v>0</v>
      </c>
      <c r="D4235" s="1">
        <f ca="1" t="shared" si="1257"/>
        <v>5400000</v>
      </c>
      <c r="E4235" s="1">
        <f ca="1" t="shared" si="1258"/>
        <v>1036.8</v>
      </c>
      <c r="F4235" s="1">
        <f ca="1" t="shared" si="1259"/>
        <v>2772</v>
      </c>
      <c r="G4235" s="30">
        <v>0</v>
      </c>
      <c r="H4235" s="30">
        <f ca="1" t="shared" si="1260"/>
        <v>36</v>
      </c>
      <c r="I4235" s="30">
        <f ca="1" t="shared" si="1254"/>
        <v>36</v>
      </c>
      <c r="J4235" s="30">
        <f ca="1" t="shared" si="1254"/>
        <v>36</v>
      </c>
      <c r="K4235" s="30">
        <f ca="1" t="shared" si="1261"/>
        <v>172</v>
      </c>
      <c r="L4235" s="30">
        <f ca="1" t="shared" si="1261"/>
        <v>172</v>
      </c>
      <c r="M4235" s="30">
        <f ca="1" t="shared" si="1262"/>
        <v>280</v>
      </c>
      <c r="N4235" s="30">
        <v>1</v>
      </c>
      <c r="O4235" s="5">
        <f ca="1" t="shared" si="1263"/>
        <v>0</v>
      </c>
      <c r="P4235" s="5">
        <f ca="1" t="shared" si="1264"/>
        <v>5400000</v>
      </c>
      <c r="Q4235" s="5">
        <f ca="1" t="shared" si="1255"/>
        <v>1032</v>
      </c>
      <c r="R4235" s="5">
        <f ca="1" t="shared" si="1265"/>
        <v>2800</v>
      </c>
    </row>
    <row r="4236" spans="2:18">
      <c r="B4236" s="1">
        <v>11</v>
      </c>
      <c r="C4236" s="1">
        <f ca="1" t="shared" si="1256"/>
        <v>0</v>
      </c>
      <c r="D4236" s="1">
        <f ca="1" t="shared" si="1257"/>
        <v>6480000</v>
      </c>
      <c r="E4236" s="1">
        <f ca="1" t="shared" si="1258"/>
        <v>1244.16</v>
      </c>
      <c r="F4236" s="1">
        <f ca="1" t="shared" si="1259"/>
        <v>3024</v>
      </c>
      <c r="G4236" s="30">
        <v>0</v>
      </c>
      <c r="H4236" s="30">
        <f ca="1" t="shared" si="1260"/>
        <v>44</v>
      </c>
      <c r="I4236" s="30">
        <f ca="1" t="shared" si="1254"/>
        <v>44</v>
      </c>
      <c r="J4236" s="30">
        <f ca="1" t="shared" si="1254"/>
        <v>44</v>
      </c>
      <c r="K4236" s="30">
        <f ca="1" t="shared" si="1261"/>
        <v>208</v>
      </c>
      <c r="L4236" s="30">
        <f ca="1" t="shared" si="1261"/>
        <v>208</v>
      </c>
      <c r="M4236" s="30">
        <f ca="1" t="shared" si="1262"/>
        <v>300</v>
      </c>
      <c r="N4236" s="30">
        <v>1</v>
      </c>
      <c r="O4236" s="5">
        <f ca="1" t="shared" si="1263"/>
        <v>0</v>
      </c>
      <c r="P4236" s="5">
        <f ca="1" t="shared" si="1264"/>
        <v>6600000</v>
      </c>
      <c r="Q4236" s="5">
        <f ca="1" t="shared" si="1255"/>
        <v>1248</v>
      </c>
      <c r="R4236" s="5">
        <f ca="1" t="shared" si="1265"/>
        <v>3000</v>
      </c>
    </row>
    <row r="4237" spans="2:18">
      <c r="B4237" s="1">
        <v>12</v>
      </c>
      <c r="C4237" s="1">
        <f ca="1" t="shared" si="1256"/>
        <v>0</v>
      </c>
      <c r="D4237" s="1">
        <f ca="1" t="shared" si="1257"/>
        <v>7560000</v>
      </c>
      <c r="E4237" s="1">
        <f ca="1" t="shared" si="1258"/>
        <v>1451.52</v>
      </c>
      <c r="F4237" s="1">
        <f ca="1" t="shared" si="1259"/>
        <v>3528</v>
      </c>
      <c r="G4237" s="30">
        <v>0</v>
      </c>
      <c r="H4237" s="30">
        <f ca="1" t="shared" si="1260"/>
        <v>50</v>
      </c>
      <c r="I4237" s="30">
        <f ca="1" t="shared" si="1254"/>
        <v>50</v>
      </c>
      <c r="J4237" s="30">
        <f ca="1" t="shared" si="1254"/>
        <v>50</v>
      </c>
      <c r="K4237" s="30">
        <f ca="1" t="shared" si="1261"/>
        <v>242</v>
      </c>
      <c r="L4237" s="30">
        <f ca="1" t="shared" si="1261"/>
        <v>242</v>
      </c>
      <c r="M4237" s="30">
        <f ca="1" t="shared" si="1262"/>
        <v>350</v>
      </c>
      <c r="N4237" s="30">
        <v>1</v>
      </c>
      <c r="O4237" s="5">
        <f ca="1" t="shared" si="1263"/>
        <v>0</v>
      </c>
      <c r="P4237" s="5">
        <f ca="1" t="shared" si="1264"/>
        <v>7500000</v>
      </c>
      <c r="Q4237" s="5">
        <f ca="1" t="shared" si="1255"/>
        <v>1452</v>
      </c>
      <c r="R4237" s="5">
        <f ca="1" t="shared" si="1265"/>
        <v>3500</v>
      </c>
    </row>
    <row r="4238" spans="2:18">
      <c r="B4238" s="1">
        <v>13</v>
      </c>
      <c r="C4238" s="1">
        <f ca="1" t="shared" si="1256"/>
        <v>0</v>
      </c>
      <c r="D4238" s="1">
        <f ca="1" t="shared" si="1257"/>
        <v>8640000</v>
      </c>
      <c r="E4238" s="1">
        <f ca="1" t="shared" si="1258"/>
        <v>1658.88</v>
      </c>
      <c r="F4238" s="1">
        <f ca="1" t="shared" si="1259"/>
        <v>4032</v>
      </c>
      <c r="G4238" s="30">
        <v>0</v>
      </c>
      <c r="H4238" s="30">
        <f ca="1" t="shared" si="1260"/>
        <v>58</v>
      </c>
      <c r="I4238" s="30">
        <f ca="1" t="shared" si="1254"/>
        <v>58</v>
      </c>
      <c r="J4238" s="30">
        <f ca="1" t="shared" si="1254"/>
        <v>58</v>
      </c>
      <c r="K4238" s="30">
        <f ca="1" t="shared" si="1261"/>
        <v>276</v>
      </c>
      <c r="L4238" s="30">
        <f ca="1" t="shared" si="1261"/>
        <v>276</v>
      </c>
      <c r="M4238" s="30">
        <f ca="1" t="shared" si="1262"/>
        <v>400</v>
      </c>
      <c r="N4238" s="30">
        <v>1</v>
      </c>
      <c r="O4238" s="5">
        <f ca="1" t="shared" si="1263"/>
        <v>0</v>
      </c>
      <c r="P4238" s="5">
        <f ca="1" t="shared" si="1264"/>
        <v>8700000</v>
      </c>
      <c r="Q4238" s="5">
        <f ca="1" t="shared" si="1255"/>
        <v>1656</v>
      </c>
      <c r="R4238" s="5">
        <f ca="1" t="shared" si="1265"/>
        <v>4000</v>
      </c>
    </row>
    <row r="4239" spans="2:18">
      <c r="B4239" s="1">
        <v>14</v>
      </c>
      <c r="C4239" s="1">
        <f ca="1" t="shared" si="1256"/>
        <v>0</v>
      </c>
      <c r="D4239" s="1">
        <f ca="1" t="shared" si="1257"/>
        <v>9720000</v>
      </c>
      <c r="E4239" s="1">
        <f ca="1" t="shared" si="1258"/>
        <v>1866.24</v>
      </c>
      <c r="F4239" s="1">
        <f ca="1" t="shared" si="1259"/>
        <v>4536</v>
      </c>
      <c r="G4239" s="30">
        <v>0</v>
      </c>
      <c r="H4239" s="30">
        <f ca="1" t="shared" si="1260"/>
        <v>64</v>
      </c>
      <c r="I4239" s="30">
        <f ca="1" t="shared" si="1254"/>
        <v>64</v>
      </c>
      <c r="J4239" s="30">
        <f ca="1" t="shared" si="1254"/>
        <v>64</v>
      </c>
      <c r="K4239" s="30">
        <f ca="1" t="shared" si="1261"/>
        <v>312</v>
      </c>
      <c r="L4239" s="30">
        <f ca="1" t="shared" si="1261"/>
        <v>312</v>
      </c>
      <c r="M4239" s="30">
        <f ca="1" t="shared" si="1262"/>
        <v>450</v>
      </c>
      <c r="N4239" s="30">
        <v>1</v>
      </c>
      <c r="O4239" s="5">
        <f ca="1" t="shared" si="1263"/>
        <v>0</v>
      </c>
      <c r="P4239" s="5">
        <f ca="1" t="shared" si="1264"/>
        <v>9600000</v>
      </c>
      <c r="Q4239" s="5">
        <f ca="1" t="shared" si="1255"/>
        <v>1872</v>
      </c>
      <c r="R4239" s="5">
        <f ca="1" t="shared" si="1265"/>
        <v>4500</v>
      </c>
    </row>
    <row r="4240" spans="2:18">
      <c r="B4240" s="1">
        <v>15</v>
      </c>
      <c r="C4240" s="1">
        <f ca="1" t="shared" si="1256"/>
        <v>252</v>
      </c>
      <c r="D4240" s="1">
        <f ca="1" t="shared" si="1257"/>
        <v>10800000</v>
      </c>
      <c r="E4240" s="1">
        <f ca="1" t="shared" si="1258"/>
        <v>2073.6</v>
      </c>
      <c r="F4240" s="1">
        <f ca="1" t="shared" si="1259"/>
        <v>5040</v>
      </c>
      <c r="G4240" s="30">
        <v>600</v>
      </c>
      <c r="H4240" s="30">
        <f ca="1" t="shared" si="1260"/>
        <v>72</v>
      </c>
      <c r="I4240" s="30">
        <f ca="1" t="shared" si="1254"/>
        <v>72</v>
      </c>
      <c r="J4240" s="30">
        <f ca="1" t="shared" si="1254"/>
        <v>72</v>
      </c>
      <c r="K4240" s="30">
        <f ca="1" t="shared" si="1261"/>
        <v>346</v>
      </c>
      <c r="L4240" s="30">
        <f ca="1" t="shared" si="1261"/>
        <v>346</v>
      </c>
      <c r="M4240" s="30">
        <f ca="1" t="shared" si="1262"/>
        <v>500</v>
      </c>
      <c r="N4240" s="30">
        <v>2</v>
      </c>
      <c r="O4240" s="5">
        <f ca="1" t="shared" si="1263"/>
        <v>252</v>
      </c>
      <c r="P4240" s="5">
        <f ca="1" t="shared" si="1264"/>
        <v>10800000</v>
      </c>
      <c r="Q4240" s="5">
        <f ca="1" t="shared" si="1255"/>
        <v>2076</v>
      </c>
      <c r="R4240" s="5">
        <f ca="1" t="shared" si="1265"/>
        <v>5000</v>
      </c>
    </row>
    <row r="4241" spans="3:6">
      <c r="C4241" s="81"/>
      <c r="D4241" s="81"/>
      <c r="E4241" s="81"/>
      <c r="F4241" s="81"/>
    </row>
    <row r="4242" spans="2:14">
      <c r="B4242" s="27" t="s">
        <v>2205</v>
      </c>
      <c r="C4242" s="27">
        <v>4</v>
      </c>
      <c r="G4242" s="1" t="s">
        <v>2211</v>
      </c>
      <c r="H4242" s="1" t="s">
        <v>1543</v>
      </c>
      <c r="I4242" s="1" t="s">
        <v>1545</v>
      </c>
      <c r="J4242" s="1" t="s">
        <v>1547</v>
      </c>
      <c r="K4242" s="1" t="s">
        <v>1871</v>
      </c>
      <c r="L4242" s="1" t="s">
        <v>1880</v>
      </c>
      <c r="M4242" s="1" t="s">
        <v>2177</v>
      </c>
      <c r="N4242" s="1" t="s">
        <v>2212</v>
      </c>
    </row>
    <row r="4243" spans="3:18">
      <c r="C4243" s="1" t="s">
        <v>540</v>
      </c>
      <c r="D4243" s="1" t="s">
        <v>476</v>
      </c>
      <c r="E4243" s="1" t="s">
        <v>478</v>
      </c>
      <c r="F4243" s="1" t="s">
        <v>483</v>
      </c>
      <c r="G4243" s="1" t="s">
        <v>540</v>
      </c>
      <c r="H4243" s="1" t="s">
        <v>728</v>
      </c>
      <c r="I4243" s="1" t="s">
        <v>2213</v>
      </c>
      <c r="J4243" s="1" t="s">
        <v>730</v>
      </c>
      <c r="K4243" s="1" t="s">
        <v>2214</v>
      </c>
      <c r="L4243" s="1" t="s">
        <v>735</v>
      </c>
      <c r="M4243" s="1" t="s">
        <v>2215</v>
      </c>
      <c r="N4243" s="1" t="s">
        <v>2216</v>
      </c>
      <c r="O4243" s="1" t="s">
        <v>2217</v>
      </c>
      <c r="P4243" s="1" t="s">
        <v>2218</v>
      </c>
      <c r="Q4243" s="1" t="s">
        <v>2219</v>
      </c>
      <c r="R4243" s="1" t="s">
        <v>2220</v>
      </c>
    </row>
    <row r="4244" spans="2:18">
      <c r="B4244" s="1">
        <v>1</v>
      </c>
      <c r="C4244" s="1">
        <f ca="1">OFFSET($G$4163,MATCH($C$4242,$B$4163:$B$4168,0)-1,MATCH($C$4243,$G$4162:$J$4162,0)-1)*$C4172</f>
        <v>0</v>
      </c>
      <c r="D4244" s="1">
        <f ca="1">OFFSET($G$4163,MATCH($C$4242,$B$4163:$B$4168,0)-1,MATCH($D$4243,$G$4162:$J$4162,0)-1)*$E4172</f>
        <v>2160000</v>
      </c>
      <c r="E4244" s="1">
        <f ca="1">OFFSET($G$4163,MATCH($C$4242,$B$4163:$B$4168,0)-1,MATCH($E$4243,$G$4162:$J$4162,0)-1)*$G4172</f>
        <v>414.72</v>
      </c>
      <c r="F4244" s="1">
        <f ca="1">OFFSET($G$4163,MATCH($C$4242,$B$4163:$B$4168,0)-1,MATCH($F$4243,$G$4162:$J$4162,0)-1)*$I4172</f>
        <v>0</v>
      </c>
      <c r="G4244" s="30">
        <v>0</v>
      </c>
      <c r="H4244" s="30">
        <f ca="1">ROUND($D4244/6/50000,0)*2</f>
        <v>14</v>
      </c>
      <c r="I4244" s="30">
        <f ca="1" t="shared" ref="I4244:J4258" si="1266">ROUND($D4244/6/50000,0)*2</f>
        <v>14</v>
      </c>
      <c r="J4244" s="30">
        <f ca="1" t="shared" si="1266"/>
        <v>14</v>
      </c>
      <c r="K4244" s="30">
        <f ca="1">ROUND($E4244/4/3,0)*2</f>
        <v>70</v>
      </c>
      <c r="L4244" s="30">
        <f ca="1">ROUND($E4244/4/3,0)*2</f>
        <v>70</v>
      </c>
      <c r="M4244" s="30">
        <f ca="1">ROUND($F4244/10/10,0)*10</f>
        <v>0</v>
      </c>
      <c r="N4244" s="30">
        <v>0</v>
      </c>
      <c r="O4244" s="5">
        <f ca="1">C4244</f>
        <v>0</v>
      </c>
      <c r="P4244" s="5">
        <f ca="1">SUM(H4244:J4244)*50000</f>
        <v>2100000</v>
      </c>
      <c r="Q4244" s="5">
        <f ca="1" t="shared" ref="Q4244:Q4258" si="1267">SUM(K4244:L4244)*3</f>
        <v>420</v>
      </c>
      <c r="R4244" s="5">
        <f ca="1">M4244*10</f>
        <v>0</v>
      </c>
    </row>
    <row r="4245" spans="2:18">
      <c r="B4245" s="1">
        <v>2</v>
      </c>
      <c r="C4245" s="1">
        <f ca="1" t="shared" ref="C4245:C4258" si="1268">OFFSET($G$4163,MATCH($C$4242,$B$4163:$B$4168,0)-1,MATCH($C$4243,$G$4162:$J$4162,0)-1)*$C4173</f>
        <v>0</v>
      </c>
      <c r="D4245" s="1">
        <f ca="1" t="shared" ref="D4245:D4258" si="1269">OFFSET($G$4163,MATCH($C$4242,$B$4163:$B$4168,0)-1,MATCH($D$4243,$G$4162:$J$4162,0)-1)*$E4173</f>
        <v>2700000</v>
      </c>
      <c r="E4245" s="1">
        <f ca="1" t="shared" ref="E4245:E4258" si="1270">OFFSET($G$4163,MATCH($C$4242,$B$4163:$B$4168,0)-1,MATCH($E$4243,$G$4162:$J$4162,0)-1)*$G4173</f>
        <v>518.4</v>
      </c>
      <c r="F4245" s="1">
        <f ca="1" t="shared" ref="F4245:F4258" si="1271">OFFSET($G$4163,MATCH($C$4242,$B$4163:$B$4168,0)-1,MATCH($F$4243,$G$4162:$J$4162,0)-1)*$I4173</f>
        <v>0</v>
      </c>
      <c r="G4245" s="30">
        <v>0</v>
      </c>
      <c r="H4245" s="30">
        <f ca="1" t="shared" ref="H4245:H4258" si="1272">ROUND($D4245/6/50000,0)*2</f>
        <v>18</v>
      </c>
      <c r="I4245" s="30">
        <f ca="1" t="shared" si="1266"/>
        <v>18</v>
      </c>
      <c r="J4245" s="30">
        <f ca="1" t="shared" si="1266"/>
        <v>18</v>
      </c>
      <c r="K4245" s="30">
        <f ca="1" t="shared" ref="K4245:L4258" si="1273">ROUND($E4245/4/3,0)*2</f>
        <v>86</v>
      </c>
      <c r="L4245" s="30">
        <f ca="1" t="shared" si="1273"/>
        <v>86</v>
      </c>
      <c r="M4245" s="30">
        <f ca="1" t="shared" ref="M4245:M4258" si="1274">ROUND($F4245/10/10,0)*10</f>
        <v>0</v>
      </c>
      <c r="N4245" s="30">
        <v>0</v>
      </c>
      <c r="O4245" s="5">
        <f ca="1" t="shared" ref="O4245:O4258" si="1275">C4245</f>
        <v>0</v>
      </c>
      <c r="P4245" s="5">
        <f ca="1" t="shared" ref="P4245:P4258" si="1276">SUM(H4245:J4245)*50000</f>
        <v>2700000</v>
      </c>
      <c r="Q4245" s="5">
        <f ca="1" t="shared" si="1267"/>
        <v>516</v>
      </c>
      <c r="R4245" s="5">
        <f ca="1" t="shared" ref="R4245:R4258" si="1277">M4245*10</f>
        <v>0</v>
      </c>
    </row>
    <row r="4246" spans="2:18">
      <c r="B4246" s="1">
        <v>3</v>
      </c>
      <c r="C4246" s="1">
        <f ca="1" t="shared" si="1268"/>
        <v>0</v>
      </c>
      <c r="D4246" s="1">
        <f ca="1" t="shared" si="1269"/>
        <v>3240000</v>
      </c>
      <c r="E4246" s="1">
        <f ca="1" t="shared" si="1270"/>
        <v>622.08</v>
      </c>
      <c r="F4246" s="1">
        <f ca="1" t="shared" si="1271"/>
        <v>0</v>
      </c>
      <c r="G4246" s="30">
        <v>0</v>
      </c>
      <c r="H4246" s="30">
        <f ca="1" t="shared" si="1272"/>
        <v>22</v>
      </c>
      <c r="I4246" s="30">
        <f ca="1" t="shared" si="1266"/>
        <v>22</v>
      </c>
      <c r="J4246" s="30">
        <f ca="1" t="shared" si="1266"/>
        <v>22</v>
      </c>
      <c r="K4246" s="30">
        <f ca="1" t="shared" si="1273"/>
        <v>104</v>
      </c>
      <c r="L4246" s="30">
        <f ca="1" t="shared" si="1273"/>
        <v>104</v>
      </c>
      <c r="M4246" s="30">
        <f ca="1" t="shared" si="1274"/>
        <v>0</v>
      </c>
      <c r="N4246" s="30">
        <v>0</v>
      </c>
      <c r="O4246" s="5">
        <f ca="1" t="shared" si="1275"/>
        <v>0</v>
      </c>
      <c r="P4246" s="5">
        <f ca="1" t="shared" si="1276"/>
        <v>3300000</v>
      </c>
      <c r="Q4246" s="5">
        <f ca="1" t="shared" si="1267"/>
        <v>624</v>
      </c>
      <c r="R4246" s="5">
        <f ca="1" t="shared" si="1277"/>
        <v>0</v>
      </c>
    </row>
    <row r="4247" spans="2:18">
      <c r="B4247" s="1">
        <v>4</v>
      </c>
      <c r="C4247" s="1">
        <f ca="1" t="shared" si="1268"/>
        <v>0</v>
      </c>
      <c r="D4247" s="1">
        <f ca="1" t="shared" si="1269"/>
        <v>3888000</v>
      </c>
      <c r="E4247" s="1">
        <f ca="1" t="shared" si="1270"/>
        <v>746.496</v>
      </c>
      <c r="F4247" s="1">
        <f ca="1" t="shared" si="1271"/>
        <v>0</v>
      </c>
      <c r="G4247" s="30">
        <v>0</v>
      </c>
      <c r="H4247" s="30">
        <f ca="1" t="shared" si="1272"/>
        <v>26</v>
      </c>
      <c r="I4247" s="30">
        <f ca="1" t="shared" si="1266"/>
        <v>26</v>
      </c>
      <c r="J4247" s="30">
        <f ca="1" t="shared" si="1266"/>
        <v>26</v>
      </c>
      <c r="K4247" s="30">
        <f ca="1" t="shared" si="1273"/>
        <v>124</v>
      </c>
      <c r="L4247" s="30">
        <f ca="1" t="shared" si="1273"/>
        <v>124</v>
      </c>
      <c r="M4247" s="30">
        <f ca="1" t="shared" si="1274"/>
        <v>0</v>
      </c>
      <c r="N4247" s="30">
        <v>0</v>
      </c>
      <c r="O4247" s="5">
        <f ca="1" t="shared" si="1275"/>
        <v>0</v>
      </c>
      <c r="P4247" s="5">
        <f ca="1" t="shared" si="1276"/>
        <v>3900000</v>
      </c>
      <c r="Q4247" s="5">
        <f ca="1" t="shared" si="1267"/>
        <v>744</v>
      </c>
      <c r="R4247" s="5">
        <f ca="1" t="shared" si="1277"/>
        <v>0</v>
      </c>
    </row>
    <row r="4248" spans="2:18">
      <c r="B4248" s="1">
        <v>5</v>
      </c>
      <c r="C4248" s="1">
        <f ca="1" t="shared" si="1268"/>
        <v>0</v>
      </c>
      <c r="D4248" s="1">
        <f ca="1" t="shared" si="1269"/>
        <v>4320000</v>
      </c>
      <c r="E4248" s="1">
        <f ca="1" t="shared" si="1270"/>
        <v>829.44</v>
      </c>
      <c r="F4248" s="1">
        <f ca="1" t="shared" si="1271"/>
        <v>3024</v>
      </c>
      <c r="G4248" s="30">
        <v>0</v>
      </c>
      <c r="H4248" s="30">
        <f ca="1" t="shared" si="1272"/>
        <v>28</v>
      </c>
      <c r="I4248" s="30">
        <f ca="1" t="shared" si="1266"/>
        <v>28</v>
      </c>
      <c r="J4248" s="30">
        <f ca="1" t="shared" si="1266"/>
        <v>28</v>
      </c>
      <c r="K4248" s="30">
        <f ca="1" t="shared" si="1273"/>
        <v>138</v>
      </c>
      <c r="L4248" s="30">
        <f ca="1" t="shared" si="1273"/>
        <v>138</v>
      </c>
      <c r="M4248" s="30">
        <f ca="1" t="shared" si="1274"/>
        <v>300</v>
      </c>
      <c r="N4248" s="30">
        <v>0</v>
      </c>
      <c r="O4248" s="5">
        <f ca="1" t="shared" si="1275"/>
        <v>0</v>
      </c>
      <c r="P4248" s="5">
        <f ca="1" t="shared" si="1276"/>
        <v>4200000</v>
      </c>
      <c r="Q4248" s="5">
        <f ca="1" t="shared" si="1267"/>
        <v>828</v>
      </c>
      <c r="R4248" s="5">
        <f ca="1" t="shared" si="1277"/>
        <v>3000</v>
      </c>
    </row>
    <row r="4249" spans="2:18">
      <c r="B4249" s="1">
        <v>6</v>
      </c>
      <c r="C4249" s="1">
        <f ca="1" t="shared" si="1268"/>
        <v>0</v>
      </c>
      <c r="D4249" s="1">
        <f ca="1" t="shared" si="1269"/>
        <v>5400000</v>
      </c>
      <c r="E4249" s="1">
        <f ca="1" t="shared" si="1270"/>
        <v>1036.8</v>
      </c>
      <c r="F4249" s="1">
        <f ca="1" t="shared" si="1271"/>
        <v>3528</v>
      </c>
      <c r="G4249" s="30">
        <v>0</v>
      </c>
      <c r="H4249" s="30">
        <f ca="1" t="shared" si="1272"/>
        <v>36</v>
      </c>
      <c r="I4249" s="30">
        <f ca="1" t="shared" si="1266"/>
        <v>36</v>
      </c>
      <c r="J4249" s="30">
        <f ca="1" t="shared" si="1266"/>
        <v>36</v>
      </c>
      <c r="K4249" s="30">
        <f ca="1" t="shared" si="1273"/>
        <v>172</v>
      </c>
      <c r="L4249" s="30">
        <f ca="1" t="shared" si="1273"/>
        <v>172</v>
      </c>
      <c r="M4249" s="30">
        <f ca="1" t="shared" si="1274"/>
        <v>350</v>
      </c>
      <c r="N4249" s="30">
        <v>0</v>
      </c>
      <c r="O4249" s="5">
        <f ca="1" t="shared" si="1275"/>
        <v>0</v>
      </c>
      <c r="P4249" s="5">
        <f ca="1" t="shared" si="1276"/>
        <v>5400000</v>
      </c>
      <c r="Q4249" s="5">
        <f ca="1" t="shared" si="1267"/>
        <v>1032</v>
      </c>
      <c r="R4249" s="5">
        <f ca="1" t="shared" si="1277"/>
        <v>3500</v>
      </c>
    </row>
    <row r="4250" spans="2:18">
      <c r="B4250" s="1">
        <v>7</v>
      </c>
      <c r="C4250" s="1">
        <f ca="1" t="shared" si="1268"/>
        <v>0</v>
      </c>
      <c r="D4250" s="1">
        <f ca="1" t="shared" si="1269"/>
        <v>6480000</v>
      </c>
      <c r="E4250" s="1">
        <f ca="1" t="shared" si="1270"/>
        <v>1244.16</v>
      </c>
      <c r="F4250" s="1">
        <f ca="1" t="shared" si="1271"/>
        <v>4032</v>
      </c>
      <c r="G4250" s="30">
        <v>0</v>
      </c>
      <c r="H4250" s="30">
        <f ca="1" t="shared" si="1272"/>
        <v>44</v>
      </c>
      <c r="I4250" s="30">
        <f ca="1" t="shared" si="1266"/>
        <v>44</v>
      </c>
      <c r="J4250" s="30">
        <f ca="1" t="shared" si="1266"/>
        <v>44</v>
      </c>
      <c r="K4250" s="30">
        <f ca="1" t="shared" si="1273"/>
        <v>208</v>
      </c>
      <c r="L4250" s="30">
        <f ca="1" t="shared" si="1273"/>
        <v>208</v>
      </c>
      <c r="M4250" s="30">
        <f ca="1" t="shared" si="1274"/>
        <v>400</v>
      </c>
      <c r="N4250" s="30">
        <v>0</v>
      </c>
      <c r="O4250" s="5">
        <f ca="1" t="shared" si="1275"/>
        <v>0</v>
      </c>
      <c r="P4250" s="5">
        <f ca="1" t="shared" si="1276"/>
        <v>6600000</v>
      </c>
      <c r="Q4250" s="5">
        <f ca="1" t="shared" si="1267"/>
        <v>1248</v>
      </c>
      <c r="R4250" s="5">
        <f ca="1" t="shared" si="1277"/>
        <v>4000</v>
      </c>
    </row>
    <row r="4251" spans="2:18">
      <c r="B4251" s="1">
        <v>8</v>
      </c>
      <c r="C4251" s="1">
        <f ca="1" t="shared" si="1268"/>
        <v>0</v>
      </c>
      <c r="D4251" s="1">
        <f ca="1" t="shared" si="1269"/>
        <v>7560000</v>
      </c>
      <c r="E4251" s="1">
        <f ca="1" t="shared" si="1270"/>
        <v>1451.52</v>
      </c>
      <c r="F4251" s="1">
        <f ca="1" t="shared" si="1271"/>
        <v>4536</v>
      </c>
      <c r="G4251" s="30">
        <v>0</v>
      </c>
      <c r="H4251" s="30">
        <f ca="1" t="shared" si="1272"/>
        <v>50</v>
      </c>
      <c r="I4251" s="30">
        <f ca="1" t="shared" si="1266"/>
        <v>50</v>
      </c>
      <c r="J4251" s="30">
        <f ca="1" t="shared" si="1266"/>
        <v>50</v>
      </c>
      <c r="K4251" s="30">
        <f ca="1" t="shared" si="1273"/>
        <v>242</v>
      </c>
      <c r="L4251" s="30">
        <f ca="1" t="shared" si="1273"/>
        <v>242</v>
      </c>
      <c r="M4251" s="30">
        <f ca="1" t="shared" si="1274"/>
        <v>450</v>
      </c>
      <c r="N4251" s="30">
        <v>0</v>
      </c>
      <c r="O4251" s="5">
        <f ca="1" t="shared" si="1275"/>
        <v>0</v>
      </c>
      <c r="P4251" s="5">
        <f ca="1" t="shared" si="1276"/>
        <v>7500000</v>
      </c>
      <c r="Q4251" s="5">
        <f ca="1" t="shared" si="1267"/>
        <v>1452</v>
      </c>
      <c r="R4251" s="5">
        <f ca="1" t="shared" si="1277"/>
        <v>4500</v>
      </c>
    </row>
    <row r="4252" spans="2:18">
      <c r="B4252" s="1">
        <v>9</v>
      </c>
      <c r="C4252" s="1">
        <f ca="1" t="shared" si="1268"/>
        <v>0</v>
      </c>
      <c r="D4252" s="1">
        <f ca="1" t="shared" si="1269"/>
        <v>8640000</v>
      </c>
      <c r="E4252" s="1">
        <f ca="1" t="shared" si="1270"/>
        <v>1658.88</v>
      </c>
      <c r="F4252" s="1">
        <f ca="1" t="shared" si="1271"/>
        <v>5040</v>
      </c>
      <c r="G4252" s="30">
        <v>0</v>
      </c>
      <c r="H4252" s="30">
        <f ca="1" t="shared" si="1272"/>
        <v>58</v>
      </c>
      <c r="I4252" s="30">
        <f ca="1" t="shared" si="1266"/>
        <v>58</v>
      </c>
      <c r="J4252" s="30">
        <f ca="1" t="shared" si="1266"/>
        <v>58</v>
      </c>
      <c r="K4252" s="30">
        <f ca="1" t="shared" si="1273"/>
        <v>276</v>
      </c>
      <c r="L4252" s="30">
        <f ca="1" t="shared" si="1273"/>
        <v>276</v>
      </c>
      <c r="M4252" s="30">
        <f ca="1" t="shared" si="1274"/>
        <v>500</v>
      </c>
      <c r="N4252" s="30">
        <v>1</v>
      </c>
      <c r="O4252" s="5">
        <f ca="1" t="shared" si="1275"/>
        <v>0</v>
      </c>
      <c r="P4252" s="5">
        <f ca="1" t="shared" si="1276"/>
        <v>8700000</v>
      </c>
      <c r="Q4252" s="5">
        <f ca="1" t="shared" si="1267"/>
        <v>1656</v>
      </c>
      <c r="R4252" s="5">
        <f ca="1" t="shared" si="1277"/>
        <v>5000</v>
      </c>
    </row>
    <row r="4253" spans="2:18">
      <c r="B4253" s="1">
        <v>10</v>
      </c>
      <c r="C4253" s="1">
        <f ca="1" t="shared" si="1268"/>
        <v>0</v>
      </c>
      <c r="D4253" s="1">
        <f ca="1" t="shared" si="1269"/>
        <v>10800000</v>
      </c>
      <c r="E4253" s="1">
        <f ca="1" t="shared" si="1270"/>
        <v>2073.6</v>
      </c>
      <c r="F4253" s="1">
        <f ca="1" t="shared" si="1271"/>
        <v>5544</v>
      </c>
      <c r="G4253" s="30">
        <v>0</v>
      </c>
      <c r="H4253" s="30">
        <f ca="1" t="shared" si="1272"/>
        <v>72</v>
      </c>
      <c r="I4253" s="30">
        <f ca="1" t="shared" si="1266"/>
        <v>72</v>
      </c>
      <c r="J4253" s="30">
        <f ca="1" t="shared" si="1266"/>
        <v>72</v>
      </c>
      <c r="K4253" s="30">
        <f ca="1" t="shared" si="1273"/>
        <v>346</v>
      </c>
      <c r="L4253" s="30">
        <f ca="1" t="shared" si="1273"/>
        <v>346</v>
      </c>
      <c r="M4253" s="30">
        <f ca="1" t="shared" si="1274"/>
        <v>550</v>
      </c>
      <c r="N4253" s="30">
        <v>1</v>
      </c>
      <c r="O4253" s="5">
        <f ca="1" t="shared" si="1275"/>
        <v>0</v>
      </c>
      <c r="P4253" s="5">
        <f ca="1" t="shared" si="1276"/>
        <v>10800000</v>
      </c>
      <c r="Q4253" s="5">
        <f ca="1" t="shared" si="1267"/>
        <v>2076</v>
      </c>
      <c r="R4253" s="5">
        <f ca="1" t="shared" si="1277"/>
        <v>5500</v>
      </c>
    </row>
    <row r="4254" spans="2:18">
      <c r="B4254" s="1">
        <v>11</v>
      </c>
      <c r="C4254" s="1">
        <f ca="1" t="shared" si="1268"/>
        <v>0</v>
      </c>
      <c r="D4254" s="1">
        <f ca="1" t="shared" si="1269"/>
        <v>12960000</v>
      </c>
      <c r="E4254" s="1">
        <f ca="1" t="shared" si="1270"/>
        <v>2488.32</v>
      </c>
      <c r="F4254" s="1">
        <f ca="1" t="shared" si="1271"/>
        <v>6048</v>
      </c>
      <c r="G4254" s="30">
        <v>0</v>
      </c>
      <c r="H4254" s="30">
        <f ca="1" t="shared" si="1272"/>
        <v>86</v>
      </c>
      <c r="I4254" s="30">
        <f ca="1" t="shared" si="1266"/>
        <v>86</v>
      </c>
      <c r="J4254" s="30">
        <f ca="1" t="shared" si="1266"/>
        <v>86</v>
      </c>
      <c r="K4254" s="30">
        <f ca="1" t="shared" si="1273"/>
        <v>414</v>
      </c>
      <c r="L4254" s="30">
        <f ca="1" t="shared" si="1273"/>
        <v>414</v>
      </c>
      <c r="M4254" s="30">
        <f ca="1" t="shared" si="1274"/>
        <v>600</v>
      </c>
      <c r="N4254" s="30">
        <v>1</v>
      </c>
      <c r="O4254" s="5">
        <f ca="1" t="shared" si="1275"/>
        <v>0</v>
      </c>
      <c r="P4254" s="5">
        <f ca="1" t="shared" si="1276"/>
        <v>12900000</v>
      </c>
      <c r="Q4254" s="5">
        <f ca="1" t="shared" si="1267"/>
        <v>2484</v>
      </c>
      <c r="R4254" s="5">
        <f ca="1" t="shared" si="1277"/>
        <v>6000</v>
      </c>
    </row>
    <row r="4255" spans="2:18">
      <c r="B4255" s="1">
        <v>12</v>
      </c>
      <c r="C4255" s="1">
        <f ca="1" t="shared" si="1268"/>
        <v>0</v>
      </c>
      <c r="D4255" s="1">
        <f ca="1" t="shared" si="1269"/>
        <v>15120000</v>
      </c>
      <c r="E4255" s="1">
        <f ca="1" t="shared" si="1270"/>
        <v>2903.04</v>
      </c>
      <c r="F4255" s="1">
        <f ca="1" t="shared" si="1271"/>
        <v>7056</v>
      </c>
      <c r="G4255" s="30">
        <v>0</v>
      </c>
      <c r="H4255" s="30">
        <f ca="1" t="shared" si="1272"/>
        <v>100</v>
      </c>
      <c r="I4255" s="30">
        <f ca="1" t="shared" si="1266"/>
        <v>100</v>
      </c>
      <c r="J4255" s="30">
        <f ca="1" t="shared" si="1266"/>
        <v>100</v>
      </c>
      <c r="K4255" s="30">
        <f ca="1" t="shared" si="1273"/>
        <v>484</v>
      </c>
      <c r="L4255" s="30">
        <f ca="1" t="shared" si="1273"/>
        <v>484</v>
      </c>
      <c r="M4255" s="30">
        <f ca="1" t="shared" si="1274"/>
        <v>710</v>
      </c>
      <c r="N4255" s="30">
        <v>1</v>
      </c>
      <c r="O4255" s="5">
        <f ca="1" t="shared" si="1275"/>
        <v>0</v>
      </c>
      <c r="P4255" s="5">
        <f ca="1" t="shared" si="1276"/>
        <v>15000000</v>
      </c>
      <c r="Q4255" s="5">
        <f ca="1" t="shared" si="1267"/>
        <v>2904</v>
      </c>
      <c r="R4255" s="5">
        <f ca="1" t="shared" si="1277"/>
        <v>7100</v>
      </c>
    </row>
    <row r="4256" spans="2:18">
      <c r="B4256" s="1">
        <v>13</v>
      </c>
      <c r="C4256" s="1">
        <f ca="1" t="shared" si="1268"/>
        <v>0</v>
      </c>
      <c r="D4256" s="1">
        <f ca="1" t="shared" si="1269"/>
        <v>17280000</v>
      </c>
      <c r="E4256" s="1">
        <f ca="1" t="shared" si="1270"/>
        <v>3317.76</v>
      </c>
      <c r="F4256" s="1">
        <f ca="1" t="shared" si="1271"/>
        <v>8064</v>
      </c>
      <c r="G4256" s="30">
        <v>0</v>
      </c>
      <c r="H4256" s="30">
        <f ca="1" t="shared" si="1272"/>
        <v>116</v>
      </c>
      <c r="I4256" s="30">
        <f ca="1" t="shared" si="1266"/>
        <v>116</v>
      </c>
      <c r="J4256" s="30">
        <f ca="1" t="shared" si="1266"/>
        <v>116</v>
      </c>
      <c r="K4256" s="30">
        <f ca="1" t="shared" si="1273"/>
        <v>552</v>
      </c>
      <c r="L4256" s="30">
        <f ca="1" t="shared" si="1273"/>
        <v>552</v>
      </c>
      <c r="M4256" s="30">
        <f ca="1" t="shared" si="1274"/>
        <v>810</v>
      </c>
      <c r="N4256" s="30">
        <v>1</v>
      </c>
      <c r="O4256" s="5">
        <f ca="1" t="shared" si="1275"/>
        <v>0</v>
      </c>
      <c r="P4256" s="5">
        <f ca="1" t="shared" si="1276"/>
        <v>17400000</v>
      </c>
      <c r="Q4256" s="5">
        <f ca="1" t="shared" si="1267"/>
        <v>3312</v>
      </c>
      <c r="R4256" s="5">
        <f ca="1" t="shared" si="1277"/>
        <v>8100</v>
      </c>
    </row>
    <row r="4257" spans="2:18">
      <c r="B4257" s="1">
        <v>14</v>
      </c>
      <c r="C4257" s="1">
        <f ca="1" t="shared" si="1268"/>
        <v>0</v>
      </c>
      <c r="D4257" s="1">
        <f ca="1" t="shared" si="1269"/>
        <v>19440000</v>
      </c>
      <c r="E4257" s="1">
        <f ca="1" t="shared" si="1270"/>
        <v>3732.48</v>
      </c>
      <c r="F4257" s="1">
        <f ca="1" t="shared" si="1271"/>
        <v>9072</v>
      </c>
      <c r="G4257" s="30">
        <v>0</v>
      </c>
      <c r="H4257" s="30">
        <f ca="1" t="shared" si="1272"/>
        <v>130</v>
      </c>
      <c r="I4257" s="30">
        <f ca="1" t="shared" si="1266"/>
        <v>130</v>
      </c>
      <c r="J4257" s="30">
        <f ca="1" t="shared" si="1266"/>
        <v>130</v>
      </c>
      <c r="K4257" s="30">
        <f ca="1" t="shared" si="1273"/>
        <v>622</v>
      </c>
      <c r="L4257" s="30">
        <f ca="1" t="shared" si="1273"/>
        <v>622</v>
      </c>
      <c r="M4257" s="30">
        <f ca="1" t="shared" si="1274"/>
        <v>910</v>
      </c>
      <c r="N4257" s="30">
        <v>1</v>
      </c>
      <c r="O4257" s="5">
        <f ca="1" t="shared" si="1275"/>
        <v>0</v>
      </c>
      <c r="P4257" s="5">
        <f ca="1" t="shared" si="1276"/>
        <v>19500000</v>
      </c>
      <c r="Q4257" s="5">
        <f ca="1" t="shared" si="1267"/>
        <v>3732</v>
      </c>
      <c r="R4257" s="5">
        <f ca="1" t="shared" si="1277"/>
        <v>9100</v>
      </c>
    </row>
    <row r="4258" spans="2:18">
      <c r="B4258" s="1">
        <v>15</v>
      </c>
      <c r="C4258" s="1">
        <f ca="1" t="shared" si="1268"/>
        <v>504</v>
      </c>
      <c r="D4258" s="1">
        <f ca="1" t="shared" si="1269"/>
        <v>21600000</v>
      </c>
      <c r="E4258" s="1">
        <f ca="1" t="shared" si="1270"/>
        <v>4147.2</v>
      </c>
      <c r="F4258" s="1">
        <f ca="1" t="shared" si="1271"/>
        <v>10080</v>
      </c>
      <c r="G4258" s="30">
        <v>800</v>
      </c>
      <c r="H4258" s="30">
        <f ca="1" t="shared" si="1272"/>
        <v>144</v>
      </c>
      <c r="I4258" s="30">
        <f ca="1" t="shared" si="1266"/>
        <v>144</v>
      </c>
      <c r="J4258" s="30">
        <f ca="1" t="shared" si="1266"/>
        <v>144</v>
      </c>
      <c r="K4258" s="30">
        <f ca="1" t="shared" si="1273"/>
        <v>692</v>
      </c>
      <c r="L4258" s="30">
        <f ca="1" t="shared" si="1273"/>
        <v>692</v>
      </c>
      <c r="M4258" s="30">
        <f ca="1" t="shared" si="1274"/>
        <v>1010</v>
      </c>
      <c r="N4258" s="30">
        <v>2</v>
      </c>
      <c r="O4258" s="5">
        <f ca="1" t="shared" si="1275"/>
        <v>504</v>
      </c>
      <c r="P4258" s="5">
        <f ca="1" t="shared" si="1276"/>
        <v>21600000</v>
      </c>
      <c r="Q4258" s="5">
        <f ca="1" t="shared" si="1267"/>
        <v>4152</v>
      </c>
      <c r="R4258" s="5">
        <f ca="1" t="shared" si="1277"/>
        <v>10100</v>
      </c>
    </row>
    <row r="4259" spans="3:6">
      <c r="C4259" s="81"/>
      <c r="D4259" s="81"/>
      <c r="E4259" s="81"/>
      <c r="F4259" s="81"/>
    </row>
    <row r="4260" spans="2:14">
      <c r="B4260" s="27" t="s">
        <v>2205</v>
      </c>
      <c r="C4260" s="27">
        <v>5</v>
      </c>
      <c r="G4260" s="1" t="s">
        <v>2211</v>
      </c>
      <c r="H4260" s="1" t="s">
        <v>1756</v>
      </c>
      <c r="I4260" s="1" t="s">
        <v>1763</v>
      </c>
      <c r="J4260" s="1" t="s">
        <v>1770</v>
      </c>
      <c r="K4260" s="1" t="s">
        <v>1871</v>
      </c>
      <c r="L4260" s="1" t="s">
        <v>1880</v>
      </c>
      <c r="M4260" s="1" t="s">
        <v>2177</v>
      </c>
      <c r="N4260" s="1" t="s">
        <v>2212</v>
      </c>
    </row>
    <row r="4261" spans="3:18">
      <c r="C4261" s="1" t="s">
        <v>540</v>
      </c>
      <c r="D4261" s="1" t="s">
        <v>476</v>
      </c>
      <c r="E4261" s="1" t="s">
        <v>478</v>
      </c>
      <c r="F4261" s="1" t="s">
        <v>483</v>
      </c>
      <c r="G4261" s="1" t="s">
        <v>540</v>
      </c>
      <c r="H4261" s="1" t="s">
        <v>728</v>
      </c>
      <c r="I4261" s="1" t="s">
        <v>2213</v>
      </c>
      <c r="J4261" s="1" t="s">
        <v>730</v>
      </c>
      <c r="K4261" s="1" t="s">
        <v>2214</v>
      </c>
      <c r="L4261" s="1" t="s">
        <v>735</v>
      </c>
      <c r="M4261" s="1" t="s">
        <v>2215</v>
      </c>
      <c r="N4261" s="1" t="s">
        <v>2216</v>
      </c>
      <c r="O4261" s="1" t="s">
        <v>2217</v>
      </c>
      <c r="P4261" s="1" t="s">
        <v>2218</v>
      </c>
      <c r="Q4261" s="1" t="s">
        <v>2219</v>
      </c>
      <c r="R4261" s="1" t="s">
        <v>2220</v>
      </c>
    </row>
    <row r="4262" spans="2:18">
      <c r="B4262" s="1">
        <v>1</v>
      </c>
      <c r="C4262" s="1">
        <f ca="1">OFFSET($G$4163,MATCH($C$4260,$B$4163:$B$4168,0)-1,MATCH($C$4261,$G$4162:$J$4162,0)-1)*$C4172</f>
        <v>0</v>
      </c>
      <c r="D4262" s="1">
        <f ca="1">OFFSET($G$4163,MATCH($C$4260,$B$4163:$B$4168,0)-1,MATCH($D$4261,$G$4162:$J$4162,0)-1)*$E4172</f>
        <v>4320000</v>
      </c>
      <c r="E4262" s="1">
        <f ca="1">OFFSET($G$4163,MATCH($C$4260,$B$4163:$B$4168,0)-1,MATCH($E$4261,$G$4162:$J$4162,0)-1)*$G4172</f>
        <v>829.44</v>
      </c>
      <c r="F4262" s="1">
        <f ca="1">OFFSET($G$4163,MATCH($C$4260,$B$4163:$B$4168,0)-1,MATCH($F$4261,$G$4162:$J$4162,0)-1)*$I4172</f>
        <v>0</v>
      </c>
      <c r="G4262" s="30">
        <v>0</v>
      </c>
      <c r="H4262" s="30">
        <f ca="1">ROUND($D4262/6/150000,0)*2</f>
        <v>10</v>
      </c>
      <c r="I4262" s="30">
        <f ca="1" t="shared" ref="I4262:J4276" si="1278">ROUND($D4262/6/150000,0)*2</f>
        <v>10</v>
      </c>
      <c r="J4262" s="30">
        <f ca="1" t="shared" si="1278"/>
        <v>10</v>
      </c>
      <c r="K4262" s="30">
        <f ca="1">ROUND($E4262/4/3,0)*2</f>
        <v>138</v>
      </c>
      <c r="L4262" s="30">
        <f ca="1">ROUND($E4262/4/3,0)*2</f>
        <v>138</v>
      </c>
      <c r="M4262" s="30">
        <f ca="1">ROUND($F4262/10/10,0)*10</f>
        <v>0</v>
      </c>
      <c r="N4262" s="30">
        <v>0</v>
      </c>
      <c r="O4262" s="5">
        <f ca="1">C4262</f>
        <v>0</v>
      </c>
      <c r="P4262" s="5">
        <f ca="1">SUM(H4262:J4262)*150000</f>
        <v>4500000</v>
      </c>
      <c r="Q4262" s="5">
        <f ca="1" t="shared" ref="Q4262:Q4276" si="1279">SUM(K4262:L4262)*3</f>
        <v>828</v>
      </c>
      <c r="R4262" s="5">
        <f ca="1">M4262*10</f>
        <v>0</v>
      </c>
    </row>
    <row r="4263" spans="2:18">
      <c r="B4263" s="1">
        <v>2</v>
      </c>
      <c r="C4263" s="1">
        <f ca="1" t="shared" ref="C4263:C4276" si="1280">OFFSET($G$4163,MATCH($C$4260,$B$4163:$B$4168,0)-1,MATCH($C$4261,$G$4162:$J$4162,0)-1)*$C4173</f>
        <v>0</v>
      </c>
      <c r="D4263" s="1">
        <f ca="1" t="shared" ref="D4263:D4276" si="1281">OFFSET($G$4163,MATCH($C$4260,$B$4163:$B$4168,0)-1,MATCH($D$4261,$G$4162:$J$4162,0)-1)*$E4173</f>
        <v>5400000</v>
      </c>
      <c r="E4263" s="1">
        <f ca="1" t="shared" ref="E4263:E4276" si="1282">OFFSET($G$4163,MATCH($C$4260,$B$4163:$B$4168,0)-1,MATCH($E$4261,$G$4162:$J$4162,0)-1)*$G4173</f>
        <v>1036.8</v>
      </c>
      <c r="F4263" s="1">
        <f ca="1" t="shared" ref="F4263:F4276" si="1283">OFFSET($G$4163,MATCH($C$4260,$B$4163:$B$4168,0)-1,MATCH($F$4261,$G$4162:$J$4162,0)-1)*$I4173</f>
        <v>0</v>
      </c>
      <c r="G4263" s="30">
        <v>0</v>
      </c>
      <c r="H4263" s="30">
        <f ca="1" t="shared" ref="H4263:H4276" si="1284">ROUND($D4263/6/150000,0)*2</f>
        <v>12</v>
      </c>
      <c r="I4263" s="30">
        <f ca="1" t="shared" si="1278"/>
        <v>12</v>
      </c>
      <c r="J4263" s="30">
        <f ca="1" t="shared" si="1278"/>
        <v>12</v>
      </c>
      <c r="K4263" s="30">
        <f ca="1" t="shared" ref="K4263:L4276" si="1285">ROUND($E4263/4/3,0)*2</f>
        <v>172</v>
      </c>
      <c r="L4263" s="30">
        <f ca="1" t="shared" si="1285"/>
        <v>172</v>
      </c>
      <c r="M4263" s="30">
        <f ca="1" t="shared" ref="M4263:M4276" si="1286">ROUND($F4263/10/10,0)*10</f>
        <v>0</v>
      </c>
      <c r="N4263" s="30">
        <v>0</v>
      </c>
      <c r="O4263" s="5">
        <f ca="1" t="shared" ref="O4263:O4276" si="1287">C4263</f>
        <v>0</v>
      </c>
      <c r="P4263" s="5">
        <f ca="1" t="shared" ref="P4263:P4276" si="1288">SUM(H4263:J4263)*150000</f>
        <v>5400000</v>
      </c>
      <c r="Q4263" s="5">
        <f ca="1" t="shared" si="1279"/>
        <v>1032</v>
      </c>
      <c r="R4263" s="5">
        <f ca="1" t="shared" ref="R4263:R4276" si="1289">M4263*10</f>
        <v>0</v>
      </c>
    </row>
    <row r="4264" spans="2:18">
      <c r="B4264" s="1">
        <v>3</v>
      </c>
      <c r="C4264" s="1">
        <f ca="1" t="shared" si="1280"/>
        <v>0</v>
      </c>
      <c r="D4264" s="1">
        <f ca="1" t="shared" si="1281"/>
        <v>6480000</v>
      </c>
      <c r="E4264" s="1">
        <f ca="1" t="shared" si="1282"/>
        <v>1244.16</v>
      </c>
      <c r="F4264" s="1">
        <f ca="1" t="shared" si="1283"/>
        <v>0</v>
      </c>
      <c r="G4264" s="30">
        <v>0</v>
      </c>
      <c r="H4264" s="30">
        <f ca="1" t="shared" si="1284"/>
        <v>14</v>
      </c>
      <c r="I4264" s="30">
        <f ca="1" t="shared" si="1278"/>
        <v>14</v>
      </c>
      <c r="J4264" s="30">
        <f ca="1" t="shared" si="1278"/>
        <v>14</v>
      </c>
      <c r="K4264" s="30">
        <f ca="1" t="shared" si="1285"/>
        <v>208</v>
      </c>
      <c r="L4264" s="30">
        <f ca="1" t="shared" si="1285"/>
        <v>208</v>
      </c>
      <c r="M4264" s="30">
        <f ca="1" t="shared" si="1286"/>
        <v>0</v>
      </c>
      <c r="N4264" s="30">
        <v>0</v>
      </c>
      <c r="O4264" s="5">
        <f ca="1" t="shared" si="1287"/>
        <v>0</v>
      </c>
      <c r="P4264" s="5">
        <f ca="1" t="shared" si="1288"/>
        <v>6300000</v>
      </c>
      <c r="Q4264" s="5">
        <f ca="1" t="shared" si="1279"/>
        <v>1248</v>
      </c>
      <c r="R4264" s="5">
        <f ca="1" t="shared" si="1289"/>
        <v>0</v>
      </c>
    </row>
    <row r="4265" spans="2:18">
      <c r="B4265" s="1">
        <v>4</v>
      </c>
      <c r="C4265" s="1">
        <f ca="1" t="shared" si="1280"/>
        <v>0</v>
      </c>
      <c r="D4265" s="1">
        <f ca="1" t="shared" si="1281"/>
        <v>7776000</v>
      </c>
      <c r="E4265" s="1">
        <f ca="1" t="shared" si="1282"/>
        <v>1492.992</v>
      </c>
      <c r="F4265" s="1">
        <f ca="1" t="shared" si="1283"/>
        <v>0</v>
      </c>
      <c r="G4265" s="30">
        <v>0</v>
      </c>
      <c r="H4265" s="30">
        <f ca="1" t="shared" si="1284"/>
        <v>18</v>
      </c>
      <c r="I4265" s="30">
        <f ca="1" t="shared" si="1278"/>
        <v>18</v>
      </c>
      <c r="J4265" s="30">
        <f ca="1" t="shared" si="1278"/>
        <v>18</v>
      </c>
      <c r="K4265" s="30">
        <f ca="1" t="shared" si="1285"/>
        <v>248</v>
      </c>
      <c r="L4265" s="30">
        <f ca="1" t="shared" si="1285"/>
        <v>248</v>
      </c>
      <c r="M4265" s="30">
        <f ca="1" t="shared" si="1286"/>
        <v>0</v>
      </c>
      <c r="N4265" s="30">
        <v>0</v>
      </c>
      <c r="O4265" s="5">
        <f ca="1" t="shared" si="1287"/>
        <v>0</v>
      </c>
      <c r="P4265" s="5">
        <f ca="1" t="shared" si="1288"/>
        <v>8100000</v>
      </c>
      <c r="Q4265" s="5">
        <f ca="1" t="shared" si="1279"/>
        <v>1488</v>
      </c>
      <c r="R4265" s="5">
        <f ca="1" t="shared" si="1289"/>
        <v>0</v>
      </c>
    </row>
    <row r="4266" spans="2:18">
      <c r="B4266" s="1">
        <v>5</v>
      </c>
      <c r="C4266" s="1">
        <f ca="1" t="shared" si="1280"/>
        <v>0</v>
      </c>
      <c r="D4266" s="1">
        <f ca="1" t="shared" si="1281"/>
        <v>8640000</v>
      </c>
      <c r="E4266" s="1">
        <f ca="1" t="shared" si="1282"/>
        <v>1658.88</v>
      </c>
      <c r="F4266" s="1">
        <f ca="1" t="shared" si="1283"/>
        <v>6048</v>
      </c>
      <c r="G4266" s="30">
        <v>0</v>
      </c>
      <c r="H4266" s="30">
        <f ca="1" t="shared" si="1284"/>
        <v>20</v>
      </c>
      <c r="I4266" s="30">
        <f ca="1" t="shared" si="1278"/>
        <v>20</v>
      </c>
      <c r="J4266" s="30">
        <f ca="1" t="shared" si="1278"/>
        <v>20</v>
      </c>
      <c r="K4266" s="30">
        <f ca="1" t="shared" si="1285"/>
        <v>276</v>
      </c>
      <c r="L4266" s="30">
        <f ca="1" t="shared" si="1285"/>
        <v>276</v>
      </c>
      <c r="M4266" s="30">
        <f ca="1" t="shared" si="1286"/>
        <v>600</v>
      </c>
      <c r="N4266" s="30">
        <v>0</v>
      </c>
      <c r="O4266" s="5">
        <f ca="1" t="shared" si="1287"/>
        <v>0</v>
      </c>
      <c r="P4266" s="5">
        <f ca="1" t="shared" si="1288"/>
        <v>9000000</v>
      </c>
      <c r="Q4266" s="5">
        <f ca="1" t="shared" si="1279"/>
        <v>1656</v>
      </c>
      <c r="R4266" s="5">
        <f ca="1" t="shared" si="1289"/>
        <v>6000</v>
      </c>
    </row>
    <row r="4267" spans="2:18">
      <c r="B4267" s="1">
        <v>6</v>
      </c>
      <c r="C4267" s="1">
        <f ca="1" t="shared" si="1280"/>
        <v>0</v>
      </c>
      <c r="D4267" s="1">
        <f ca="1" t="shared" si="1281"/>
        <v>10800000</v>
      </c>
      <c r="E4267" s="1">
        <f ca="1" t="shared" si="1282"/>
        <v>2073.6</v>
      </c>
      <c r="F4267" s="1">
        <f ca="1" t="shared" si="1283"/>
        <v>7056</v>
      </c>
      <c r="G4267" s="30">
        <v>0</v>
      </c>
      <c r="H4267" s="30">
        <f ca="1" t="shared" si="1284"/>
        <v>24</v>
      </c>
      <c r="I4267" s="30">
        <f ca="1" t="shared" si="1278"/>
        <v>24</v>
      </c>
      <c r="J4267" s="30">
        <f ca="1" t="shared" si="1278"/>
        <v>24</v>
      </c>
      <c r="K4267" s="30">
        <f ca="1" t="shared" si="1285"/>
        <v>346</v>
      </c>
      <c r="L4267" s="30">
        <f ca="1" t="shared" si="1285"/>
        <v>346</v>
      </c>
      <c r="M4267" s="30">
        <f ca="1" t="shared" si="1286"/>
        <v>710</v>
      </c>
      <c r="N4267" s="30">
        <v>0</v>
      </c>
      <c r="O4267" s="5">
        <f ca="1" t="shared" si="1287"/>
        <v>0</v>
      </c>
      <c r="P4267" s="5">
        <f ca="1" t="shared" si="1288"/>
        <v>10800000</v>
      </c>
      <c r="Q4267" s="5">
        <f ca="1" t="shared" si="1279"/>
        <v>2076</v>
      </c>
      <c r="R4267" s="5">
        <f ca="1" t="shared" si="1289"/>
        <v>7100</v>
      </c>
    </row>
    <row r="4268" spans="2:18">
      <c r="B4268" s="1">
        <v>7</v>
      </c>
      <c r="C4268" s="1">
        <f ca="1" t="shared" si="1280"/>
        <v>0</v>
      </c>
      <c r="D4268" s="1">
        <f ca="1" t="shared" si="1281"/>
        <v>12960000</v>
      </c>
      <c r="E4268" s="1">
        <f ca="1" t="shared" si="1282"/>
        <v>2488.32</v>
      </c>
      <c r="F4268" s="1">
        <f ca="1" t="shared" si="1283"/>
        <v>8064</v>
      </c>
      <c r="G4268" s="30">
        <v>0</v>
      </c>
      <c r="H4268" s="30">
        <f ca="1" t="shared" si="1284"/>
        <v>28</v>
      </c>
      <c r="I4268" s="30">
        <f ca="1" t="shared" si="1278"/>
        <v>28</v>
      </c>
      <c r="J4268" s="30">
        <f ca="1" t="shared" si="1278"/>
        <v>28</v>
      </c>
      <c r="K4268" s="30">
        <f ca="1" t="shared" si="1285"/>
        <v>414</v>
      </c>
      <c r="L4268" s="30">
        <f ca="1" t="shared" si="1285"/>
        <v>414</v>
      </c>
      <c r="M4268" s="30">
        <f ca="1" t="shared" si="1286"/>
        <v>810</v>
      </c>
      <c r="N4268" s="30">
        <v>0</v>
      </c>
      <c r="O4268" s="5">
        <f ca="1" t="shared" si="1287"/>
        <v>0</v>
      </c>
      <c r="P4268" s="5">
        <f ca="1" t="shared" si="1288"/>
        <v>12600000</v>
      </c>
      <c r="Q4268" s="5">
        <f ca="1" t="shared" si="1279"/>
        <v>2484</v>
      </c>
      <c r="R4268" s="5">
        <f ca="1" t="shared" si="1289"/>
        <v>8100</v>
      </c>
    </row>
    <row r="4269" spans="2:18">
      <c r="B4269" s="1">
        <v>8</v>
      </c>
      <c r="C4269" s="1">
        <f ca="1" t="shared" si="1280"/>
        <v>0</v>
      </c>
      <c r="D4269" s="1">
        <f ca="1" t="shared" si="1281"/>
        <v>15120000</v>
      </c>
      <c r="E4269" s="1">
        <f ca="1" t="shared" si="1282"/>
        <v>2903.04</v>
      </c>
      <c r="F4269" s="1">
        <f ca="1" t="shared" si="1283"/>
        <v>9072</v>
      </c>
      <c r="G4269" s="30">
        <v>0</v>
      </c>
      <c r="H4269" s="30">
        <f ca="1" t="shared" si="1284"/>
        <v>34</v>
      </c>
      <c r="I4269" s="30">
        <f ca="1" t="shared" si="1278"/>
        <v>34</v>
      </c>
      <c r="J4269" s="30">
        <f ca="1" t="shared" si="1278"/>
        <v>34</v>
      </c>
      <c r="K4269" s="30">
        <f ca="1" t="shared" si="1285"/>
        <v>484</v>
      </c>
      <c r="L4269" s="30">
        <f ca="1" t="shared" si="1285"/>
        <v>484</v>
      </c>
      <c r="M4269" s="30">
        <f ca="1" t="shared" si="1286"/>
        <v>910</v>
      </c>
      <c r="N4269" s="30">
        <v>0</v>
      </c>
      <c r="O4269" s="5">
        <f ca="1" t="shared" si="1287"/>
        <v>0</v>
      </c>
      <c r="P4269" s="5">
        <f ca="1" t="shared" si="1288"/>
        <v>15300000</v>
      </c>
      <c r="Q4269" s="5">
        <f ca="1" t="shared" si="1279"/>
        <v>2904</v>
      </c>
      <c r="R4269" s="5">
        <f ca="1" t="shared" si="1289"/>
        <v>9100</v>
      </c>
    </row>
    <row r="4270" spans="2:18">
      <c r="B4270" s="1">
        <v>9</v>
      </c>
      <c r="C4270" s="1">
        <f ca="1" t="shared" si="1280"/>
        <v>0</v>
      </c>
      <c r="D4270" s="1">
        <f ca="1" t="shared" si="1281"/>
        <v>17280000</v>
      </c>
      <c r="E4270" s="1">
        <f ca="1" t="shared" si="1282"/>
        <v>3317.76</v>
      </c>
      <c r="F4270" s="1">
        <f ca="1" t="shared" si="1283"/>
        <v>10080</v>
      </c>
      <c r="G4270" s="30">
        <v>0</v>
      </c>
      <c r="H4270" s="30">
        <f ca="1" t="shared" si="1284"/>
        <v>38</v>
      </c>
      <c r="I4270" s="30">
        <f ca="1" t="shared" si="1278"/>
        <v>38</v>
      </c>
      <c r="J4270" s="30">
        <f ca="1" t="shared" si="1278"/>
        <v>38</v>
      </c>
      <c r="K4270" s="30">
        <f ca="1" t="shared" si="1285"/>
        <v>552</v>
      </c>
      <c r="L4270" s="30">
        <f ca="1" t="shared" si="1285"/>
        <v>552</v>
      </c>
      <c r="M4270" s="30">
        <f ca="1" t="shared" si="1286"/>
        <v>1010</v>
      </c>
      <c r="N4270" s="30">
        <v>1</v>
      </c>
      <c r="O4270" s="5">
        <f ca="1" t="shared" si="1287"/>
        <v>0</v>
      </c>
      <c r="P4270" s="5">
        <f ca="1" t="shared" si="1288"/>
        <v>17100000</v>
      </c>
      <c r="Q4270" s="5">
        <f ca="1" t="shared" si="1279"/>
        <v>3312</v>
      </c>
      <c r="R4270" s="5">
        <f ca="1" t="shared" si="1289"/>
        <v>10100</v>
      </c>
    </row>
    <row r="4271" spans="2:18">
      <c r="B4271" s="1">
        <v>10</v>
      </c>
      <c r="C4271" s="1">
        <f ca="1" t="shared" si="1280"/>
        <v>0</v>
      </c>
      <c r="D4271" s="1">
        <f ca="1" t="shared" si="1281"/>
        <v>21600000</v>
      </c>
      <c r="E4271" s="1">
        <f ca="1" t="shared" si="1282"/>
        <v>4147.2</v>
      </c>
      <c r="F4271" s="1">
        <f ca="1" t="shared" si="1283"/>
        <v>11088</v>
      </c>
      <c r="G4271" s="30">
        <v>0</v>
      </c>
      <c r="H4271" s="30">
        <f ca="1" t="shared" si="1284"/>
        <v>48</v>
      </c>
      <c r="I4271" s="30">
        <f ca="1" t="shared" si="1278"/>
        <v>48</v>
      </c>
      <c r="J4271" s="30">
        <f ca="1" t="shared" si="1278"/>
        <v>48</v>
      </c>
      <c r="K4271" s="30">
        <f ca="1" t="shared" si="1285"/>
        <v>692</v>
      </c>
      <c r="L4271" s="30">
        <f ca="1" t="shared" si="1285"/>
        <v>692</v>
      </c>
      <c r="M4271" s="30">
        <f ca="1" t="shared" si="1286"/>
        <v>1110</v>
      </c>
      <c r="N4271" s="30">
        <v>1</v>
      </c>
      <c r="O4271" s="5">
        <f ca="1" t="shared" si="1287"/>
        <v>0</v>
      </c>
      <c r="P4271" s="5">
        <f ca="1" t="shared" si="1288"/>
        <v>21600000</v>
      </c>
      <c r="Q4271" s="5">
        <f ca="1" t="shared" si="1279"/>
        <v>4152</v>
      </c>
      <c r="R4271" s="5">
        <f ca="1" t="shared" si="1289"/>
        <v>11100</v>
      </c>
    </row>
    <row r="4272" spans="2:18">
      <c r="B4272" s="1">
        <v>11</v>
      </c>
      <c r="C4272" s="1">
        <f ca="1" t="shared" si="1280"/>
        <v>0</v>
      </c>
      <c r="D4272" s="1">
        <f ca="1" t="shared" si="1281"/>
        <v>25920000</v>
      </c>
      <c r="E4272" s="1">
        <f ca="1" t="shared" si="1282"/>
        <v>4976.64</v>
      </c>
      <c r="F4272" s="1">
        <f ca="1" t="shared" si="1283"/>
        <v>12096</v>
      </c>
      <c r="G4272" s="30">
        <v>0</v>
      </c>
      <c r="H4272" s="30">
        <f ca="1" t="shared" si="1284"/>
        <v>58</v>
      </c>
      <c r="I4272" s="30">
        <f ca="1" t="shared" si="1278"/>
        <v>58</v>
      </c>
      <c r="J4272" s="30">
        <f ca="1" t="shared" si="1278"/>
        <v>58</v>
      </c>
      <c r="K4272" s="30">
        <f ca="1" t="shared" si="1285"/>
        <v>830</v>
      </c>
      <c r="L4272" s="30">
        <f ca="1" t="shared" si="1285"/>
        <v>830</v>
      </c>
      <c r="M4272" s="30">
        <f ca="1" t="shared" si="1286"/>
        <v>1210</v>
      </c>
      <c r="N4272" s="30">
        <v>1</v>
      </c>
      <c r="O4272" s="5">
        <f ca="1" t="shared" si="1287"/>
        <v>0</v>
      </c>
      <c r="P4272" s="5">
        <f ca="1" t="shared" si="1288"/>
        <v>26100000</v>
      </c>
      <c r="Q4272" s="5">
        <f ca="1" t="shared" si="1279"/>
        <v>4980</v>
      </c>
      <c r="R4272" s="5">
        <f ca="1" t="shared" si="1289"/>
        <v>12100</v>
      </c>
    </row>
    <row r="4273" spans="2:18">
      <c r="B4273" s="1">
        <v>12</v>
      </c>
      <c r="C4273" s="1">
        <f ca="1" t="shared" si="1280"/>
        <v>0</v>
      </c>
      <c r="D4273" s="1">
        <f ca="1" t="shared" si="1281"/>
        <v>30240000</v>
      </c>
      <c r="E4273" s="1">
        <f ca="1" t="shared" si="1282"/>
        <v>5806.08</v>
      </c>
      <c r="F4273" s="1">
        <f ca="1" t="shared" si="1283"/>
        <v>14112</v>
      </c>
      <c r="G4273" s="30">
        <v>0</v>
      </c>
      <c r="H4273" s="30">
        <f ca="1" t="shared" si="1284"/>
        <v>68</v>
      </c>
      <c r="I4273" s="30">
        <f ca="1" t="shared" si="1278"/>
        <v>68</v>
      </c>
      <c r="J4273" s="30">
        <f ca="1" t="shared" si="1278"/>
        <v>68</v>
      </c>
      <c r="K4273" s="30">
        <f ca="1" t="shared" si="1285"/>
        <v>968</v>
      </c>
      <c r="L4273" s="30">
        <f ca="1" t="shared" si="1285"/>
        <v>968</v>
      </c>
      <c r="M4273" s="30">
        <f ca="1" t="shared" si="1286"/>
        <v>1410</v>
      </c>
      <c r="N4273" s="30">
        <v>1</v>
      </c>
      <c r="O4273" s="5">
        <f ca="1" t="shared" si="1287"/>
        <v>0</v>
      </c>
      <c r="P4273" s="5">
        <f ca="1" t="shared" si="1288"/>
        <v>30600000</v>
      </c>
      <c r="Q4273" s="5">
        <f ca="1" t="shared" si="1279"/>
        <v>5808</v>
      </c>
      <c r="R4273" s="5">
        <f ca="1" t="shared" si="1289"/>
        <v>14100</v>
      </c>
    </row>
    <row r="4274" spans="2:18">
      <c r="B4274" s="1">
        <v>13</v>
      </c>
      <c r="C4274" s="1">
        <f ca="1" t="shared" si="1280"/>
        <v>0</v>
      </c>
      <c r="D4274" s="1">
        <f ca="1" t="shared" si="1281"/>
        <v>34560000</v>
      </c>
      <c r="E4274" s="1">
        <f ca="1" t="shared" si="1282"/>
        <v>6635.52</v>
      </c>
      <c r="F4274" s="1">
        <f ca="1" t="shared" si="1283"/>
        <v>16128</v>
      </c>
      <c r="G4274" s="30">
        <v>0</v>
      </c>
      <c r="H4274" s="30">
        <f ca="1" t="shared" si="1284"/>
        <v>76</v>
      </c>
      <c r="I4274" s="30">
        <f ca="1" t="shared" si="1278"/>
        <v>76</v>
      </c>
      <c r="J4274" s="30">
        <f ca="1" t="shared" si="1278"/>
        <v>76</v>
      </c>
      <c r="K4274" s="30">
        <f ca="1" t="shared" si="1285"/>
        <v>1106</v>
      </c>
      <c r="L4274" s="30">
        <f ca="1" t="shared" si="1285"/>
        <v>1106</v>
      </c>
      <c r="M4274" s="30">
        <f ca="1" t="shared" si="1286"/>
        <v>1610</v>
      </c>
      <c r="N4274" s="30">
        <v>1</v>
      </c>
      <c r="O4274" s="5">
        <f ca="1" t="shared" si="1287"/>
        <v>0</v>
      </c>
      <c r="P4274" s="5">
        <f ca="1" t="shared" si="1288"/>
        <v>34200000</v>
      </c>
      <c r="Q4274" s="5">
        <f ca="1" t="shared" si="1279"/>
        <v>6636</v>
      </c>
      <c r="R4274" s="5">
        <f ca="1" t="shared" si="1289"/>
        <v>16100</v>
      </c>
    </row>
    <row r="4275" spans="2:18">
      <c r="B4275" s="1">
        <v>14</v>
      </c>
      <c r="C4275" s="1">
        <f ca="1" t="shared" si="1280"/>
        <v>0</v>
      </c>
      <c r="D4275" s="1">
        <f ca="1" t="shared" si="1281"/>
        <v>38880000</v>
      </c>
      <c r="E4275" s="1">
        <f ca="1" t="shared" si="1282"/>
        <v>7464.96</v>
      </c>
      <c r="F4275" s="1">
        <f ca="1" t="shared" si="1283"/>
        <v>18144</v>
      </c>
      <c r="G4275" s="30">
        <v>0</v>
      </c>
      <c r="H4275" s="30">
        <f ca="1" t="shared" si="1284"/>
        <v>86</v>
      </c>
      <c r="I4275" s="30">
        <f ca="1" t="shared" si="1278"/>
        <v>86</v>
      </c>
      <c r="J4275" s="30">
        <f ca="1" t="shared" si="1278"/>
        <v>86</v>
      </c>
      <c r="K4275" s="30">
        <f ca="1" t="shared" si="1285"/>
        <v>1244</v>
      </c>
      <c r="L4275" s="30">
        <f ca="1" t="shared" si="1285"/>
        <v>1244</v>
      </c>
      <c r="M4275" s="30">
        <f ca="1" t="shared" si="1286"/>
        <v>1810</v>
      </c>
      <c r="N4275" s="30">
        <v>1</v>
      </c>
      <c r="O4275" s="5">
        <f ca="1" t="shared" si="1287"/>
        <v>0</v>
      </c>
      <c r="P4275" s="5">
        <f ca="1" t="shared" si="1288"/>
        <v>38700000</v>
      </c>
      <c r="Q4275" s="5">
        <f ca="1" t="shared" si="1279"/>
        <v>7464</v>
      </c>
      <c r="R4275" s="5">
        <f ca="1" t="shared" si="1289"/>
        <v>18100</v>
      </c>
    </row>
    <row r="4276" spans="2:18">
      <c r="B4276" s="1">
        <v>15</v>
      </c>
      <c r="C4276" s="1">
        <f ca="1" t="shared" si="1280"/>
        <v>1008</v>
      </c>
      <c r="D4276" s="1">
        <f ca="1" t="shared" si="1281"/>
        <v>43200000</v>
      </c>
      <c r="E4276" s="1">
        <f ca="1" t="shared" si="1282"/>
        <v>8294.4</v>
      </c>
      <c r="F4276" s="1">
        <f ca="1" t="shared" si="1283"/>
        <v>20160</v>
      </c>
      <c r="G4276" s="30">
        <v>1000</v>
      </c>
      <c r="H4276" s="30">
        <f ca="1" t="shared" si="1284"/>
        <v>96</v>
      </c>
      <c r="I4276" s="30">
        <f ca="1" t="shared" si="1278"/>
        <v>96</v>
      </c>
      <c r="J4276" s="30">
        <f ca="1" t="shared" si="1278"/>
        <v>96</v>
      </c>
      <c r="K4276" s="30">
        <f ca="1" t="shared" si="1285"/>
        <v>1382</v>
      </c>
      <c r="L4276" s="30">
        <f ca="1" t="shared" si="1285"/>
        <v>1382</v>
      </c>
      <c r="M4276" s="30">
        <f ca="1" t="shared" si="1286"/>
        <v>2020</v>
      </c>
      <c r="N4276" s="30">
        <v>2</v>
      </c>
      <c r="O4276" s="5">
        <f ca="1" t="shared" si="1287"/>
        <v>1008</v>
      </c>
      <c r="P4276" s="5">
        <f ca="1" t="shared" si="1288"/>
        <v>43200000</v>
      </c>
      <c r="Q4276" s="5">
        <f ca="1" t="shared" si="1279"/>
        <v>8292</v>
      </c>
      <c r="R4276" s="5">
        <f ca="1" t="shared" si="1289"/>
        <v>20200</v>
      </c>
    </row>
    <row r="4277" spans="3:6">
      <c r="C4277" s="81"/>
      <c r="D4277" s="81"/>
      <c r="E4277" s="81"/>
      <c r="F4277" s="81"/>
    </row>
    <row r="4283" spans="2:12">
      <c r="B4283" s="27" t="s">
        <v>2162</v>
      </c>
      <c r="C4283" s="27"/>
      <c r="D4283" s="27"/>
      <c r="E4283" s="27"/>
      <c r="F4283" s="27"/>
      <c r="G4283" s="27"/>
      <c r="H4283" s="27"/>
      <c r="I4283" s="27"/>
      <c r="J4283" s="27"/>
      <c r="K4283" s="27"/>
      <c r="L4283" s="27"/>
    </row>
    <row r="4285" spans="2:4">
      <c r="B4285" s="1" t="s">
        <v>1512</v>
      </c>
      <c r="D4285" s="30">
        <v>7</v>
      </c>
    </row>
    <row r="4287" spans="2:12">
      <c r="B4287" s="27" t="s">
        <v>666</v>
      </c>
      <c r="C4287" s="27"/>
      <c r="D4287" s="27"/>
      <c r="E4287" s="27"/>
      <c r="F4287" s="27"/>
      <c r="G4287" s="27"/>
      <c r="H4287" s="27"/>
      <c r="I4287" s="27"/>
      <c r="J4287" s="27"/>
      <c r="K4287" s="27"/>
      <c r="L4287" s="27"/>
    </row>
    <row r="4289" spans="2:4">
      <c r="B4289" s="1" t="s">
        <v>2163</v>
      </c>
      <c r="D4289" s="103">
        <v>2.5</v>
      </c>
    </row>
    <row r="4290" spans="2:4">
      <c r="B4290" s="1" t="s">
        <v>1523</v>
      </c>
      <c r="D4290" s="60">
        <v>1000</v>
      </c>
    </row>
    <row r="4291" spans="4:4">
      <c r="D4291" s="8"/>
    </row>
    <row r="4292" spans="2:12">
      <c r="B4292" s="27" t="s">
        <v>2164</v>
      </c>
      <c r="C4292" s="27"/>
      <c r="D4292" s="27"/>
      <c r="E4292" s="27"/>
      <c r="F4292" s="27"/>
      <c r="G4292" s="27"/>
      <c r="H4292" s="27"/>
      <c r="I4292" s="27"/>
      <c r="J4292" s="27"/>
      <c r="K4292" s="27"/>
      <c r="L4292" s="27"/>
    </row>
    <row r="4294" spans="2:15">
      <c r="B4294" s="29">
        <f>总规划!B456</f>
        <v>0</v>
      </c>
      <c r="C4294" s="29">
        <f>总规划!C456</f>
        <v>0</v>
      </c>
      <c r="D4294" s="29">
        <f>总规划!D456</f>
        <v>0</v>
      </c>
      <c r="E4294" s="29">
        <f>总规划!E456</f>
        <v>0</v>
      </c>
      <c r="F4294" s="29">
        <f>总规划!F456</f>
        <v>0</v>
      </c>
      <c r="G4294" s="29">
        <f>总规划!G456</f>
        <v>0</v>
      </c>
      <c r="H4294" s="29">
        <f>总规划!H456</f>
        <v>0</v>
      </c>
      <c r="I4294" s="29">
        <f>总规划!I456</f>
        <v>0</v>
      </c>
      <c r="J4294" s="29">
        <f>总规划!J456</f>
        <v>0</v>
      </c>
      <c r="K4294" s="29">
        <f>总规划!K456</f>
        <v>0</v>
      </c>
      <c r="L4294" s="29">
        <f>总规划!L456</f>
        <v>0</v>
      </c>
      <c r="M4294" s="29">
        <f>总规划!M456</f>
        <v>0</v>
      </c>
      <c r="N4294" s="29">
        <f>总规划!N456</f>
        <v>0</v>
      </c>
      <c r="O4294" s="29">
        <f>总规划!O456</f>
        <v>0</v>
      </c>
    </row>
    <row r="4295" spans="2:15">
      <c r="B4295" s="1">
        <f>总规划!B457</f>
        <v>0</v>
      </c>
      <c r="C4295" s="1">
        <f>总规划!C457</f>
        <v>0</v>
      </c>
      <c r="D4295" s="1">
        <f>总规划!D457</f>
        <v>0</v>
      </c>
      <c r="E4295" s="1">
        <f>总规划!E457</f>
        <v>0</v>
      </c>
      <c r="F4295" s="1">
        <f>总规划!F457</f>
        <v>0</v>
      </c>
      <c r="G4295" s="1">
        <f>总规划!G457</f>
        <v>0</v>
      </c>
      <c r="H4295" s="1">
        <f>总规划!H457</f>
        <v>0</v>
      </c>
      <c r="I4295" s="1">
        <f>总规划!I457</f>
        <v>0</v>
      </c>
      <c r="J4295" s="1">
        <f>总规划!J457</f>
        <v>0</v>
      </c>
      <c r="K4295" s="1">
        <f>总规划!K457</f>
        <v>0</v>
      </c>
      <c r="L4295" s="1">
        <f>总规划!L457</f>
        <v>0</v>
      </c>
      <c r="M4295" s="1">
        <f>总规划!M457</f>
        <v>0</v>
      </c>
      <c r="N4295" s="1">
        <f>总规划!N457</f>
        <v>0</v>
      </c>
      <c r="O4295" s="1">
        <f>总规划!O457</f>
        <v>0</v>
      </c>
    </row>
    <row r="4296" spans="2:15">
      <c r="B4296" s="1">
        <f>总规划!B458</f>
        <v>0</v>
      </c>
      <c r="C4296" s="1">
        <f>总规划!C458</f>
        <v>0</v>
      </c>
      <c r="D4296" s="1">
        <f>总规划!D458</f>
        <v>0</v>
      </c>
      <c r="E4296" s="1">
        <f>总规划!E458</f>
        <v>0</v>
      </c>
      <c r="F4296" s="1">
        <f>总规划!F458</f>
        <v>0</v>
      </c>
      <c r="G4296" s="1">
        <f>总规划!G458</f>
        <v>0</v>
      </c>
      <c r="H4296" s="1">
        <f>总规划!H458</f>
        <v>0</v>
      </c>
      <c r="I4296" s="1">
        <f>总规划!I458</f>
        <v>0</v>
      </c>
      <c r="J4296" s="1">
        <f>总规划!J458</f>
        <v>0</v>
      </c>
      <c r="K4296" s="1">
        <f>总规划!K458</f>
        <v>0</v>
      </c>
      <c r="L4296" s="1">
        <f>总规划!L458</f>
        <v>0</v>
      </c>
      <c r="M4296" s="1">
        <f>总规划!M458</f>
        <v>0</v>
      </c>
      <c r="N4296" s="1">
        <f>总规划!N458</f>
        <v>0</v>
      </c>
      <c r="O4296" s="1">
        <f>总规划!O458</f>
        <v>0</v>
      </c>
    </row>
    <row r="4297" spans="2:15">
      <c r="B4297" s="1">
        <f>总规划!B459</f>
        <v>0</v>
      </c>
      <c r="C4297" s="1">
        <f>总规划!C459</f>
        <v>0</v>
      </c>
      <c r="D4297" s="1">
        <f>总规划!D459</f>
        <v>0</v>
      </c>
      <c r="E4297" s="1">
        <f>总规划!E459</f>
        <v>0</v>
      </c>
      <c r="F4297" s="1">
        <f>总规划!F459</f>
        <v>0</v>
      </c>
      <c r="G4297" s="1">
        <f>总规划!G459</f>
        <v>0</v>
      </c>
      <c r="H4297" s="1">
        <f>总规划!H459</f>
        <v>0</v>
      </c>
      <c r="I4297" s="1">
        <f>总规划!I459</f>
        <v>0</v>
      </c>
      <c r="J4297" s="1">
        <f>总规划!J459</f>
        <v>0</v>
      </c>
      <c r="K4297" s="1">
        <f>总规划!K459</f>
        <v>0</v>
      </c>
      <c r="L4297" s="1">
        <f>总规划!L459</f>
        <v>0</v>
      </c>
      <c r="M4297" s="1">
        <f>总规划!M459</f>
        <v>0</v>
      </c>
      <c r="N4297" s="1">
        <f>总规划!N459</f>
        <v>0</v>
      </c>
      <c r="O4297" s="1">
        <f>总规划!O459</f>
        <v>0</v>
      </c>
    </row>
    <row r="4298" spans="2:15">
      <c r="B4298" s="1">
        <f>总规划!B460</f>
        <v>0</v>
      </c>
      <c r="C4298" s="1">
        <f>总规划!C460</f>
        <v>0</v>
      </c>
      <c r="D4298" s="1">
        <f>总规划!D460</f>
        <v>0</v>
      </c>
      <c r="E4298" s="1">
        <f>总规划!E460</f>
        <v>0</v>
      </c>
      <c r="F4298" s="1">
        <f>总规划!F460</f>
        <v>0</v>
      </c>
      <c r="G4298" s="1">
        <f>总规划!G460</f>
        <v>0</v>
      </c>
      <c r="H4298" s="1">
        <f>总规划!H460</f>
        <v>0</v>
      </c>
      <c r="I4298" s="1">
        <f>总规划!I460</f>
        <v>0</v>
      </c>
      <c r="J4298" s="1">
        <f>总规划!J460</f>
        <v>0</v>
      </c>
      <c r="K4298" s="1">
        <f>总规划!K460</f>
        <v>0</v>
      </c>
      <c r="L4298" s="1">
        <f>总规划!L460</f>
        <v>0</v>
      </c>
      <c r="M4298" s="1">
        <f>总规划!M460</f>
        <v>0</v>
      </c>
      <c r="N4298" s="1">
        <f>总规划!N460</f>
        <v>0</v>
      </c>
      <c r="O4298" s="1">
        <f>总规划!O460</f>
        <v>0</v>
      </c>
    </row>
    <row r="4299" spans="2:15">
      <c r="B4299" s="1">
        <f>总规划!B461</f>
        <v>0</v>
      </c>
      <c r="C4299" s="1">
        <f>总规划!C461</f>
        <v>0</v>
      </c>
      <c r="D4299" s="1">
        <f>总规划!D461</f>
        <v>0</v>
      </c>
      <c r="E4299" s="1">
        <f>总规划!E461</f>
        <v>0</v>
      </c>
      <c r="F4299" s="1">
        <f>总规划!F461</f>
        <v>0</v>
      </c>
      <c r="G4299" s="1">
        <f>总规划!G461</f>
        <v>0</v>
      </c>
      <c r="H4299" s="1">
        <f>总规划!H461</f>
        <v>0</v>
      </c>
      <c r="I4299" s="1">
        <f>总规划!I461</f>
        <v>0</v>
      </c>
      <c r="J4299" s="1">
        <f>总规划!J461</f>
        <v>0</v>
      </c>
      <c r="K4299" s="1">
        <f>总规划!K461</f>
        <v>0</v>
      </c>
      <c r="L4299" s="1">
        <f>总规划!L461</f>
        <v>0</v>
      </c>
      <c r="M4299" s="1">
        <f>总规划!M461</f>
        <v>0</v>
      </c>
      <c r="N4299" s="1">
        <f>总规划!N461</f>
        <v>0</v>
      </c>
      <c r="O4299" s="1">
        <f>总规划!O461</f>
        <v>0</v>
      </c>
    </row>
    <row r="4300" spans="2:15">
      <c r="B4300" s="1">
        <f>总规划!B462</f>
        <v>0</v>
      </c>
      <c r="C4300" s="1">
        <f>总规划!C462</f>
        <v>0</v>
      </c>
      <c r="D4300" s="1">
        <f>总规划!D462</f>
        <v>0</v>
      </c>
      <c r="E4300" s="1">
        <f>总规划!E462</f>
        <v>0</v>
      </c>
      <c r="F4300" s="1">
        <f>总规划!F462</f>
        <v>0</v>
      </c>
      <c r="G4300" s="1">
        <f>总规划!G462</f>
        <v>0</v>
      </c>
      <c r="H4300" s="1">
        <f>总规划!H462</f>
        <v>0</v>
      </c>
      <c r="I4300" s="1">
        <f>总规划!I462</f>
        <v>0</v>
      </c>
      <c r="J4300" s="1">
        <f>总规划!J462</f>
        <v>0</v>
      </c>
      <c r="K4300" s="1">
        <f>总规划!K462</f>
        <v>0</v>
      </c>
      <c r="L4300" s="1">
        <f>总规划!L462</f>
        <v>0</v>
      </c>
      <c r="M4300" s="1">
        <f>总规划!M462</f>
        <v>0</v>
      </c>
      <c r="N4300" s="1">
        <f>总规划!N462</f>
        <v>0</v>
      </c>
      <c r="O4300" s="1">
        <f>总规划!O462</f>
        <v>0</v>
      </c>
    </row>
    <row r="4301" spans="2:15">
      <c r="B4301" s="1">
        <f>总规划!B463</f>
        <v>0</v>
      </c>
      <c r="C4301" s="1">
        <f>总规划!C463</f>
        <v>0</v>
      </c>
      <c r="D4301" s="1">
        <f>总规划!D463</f>
        <v>0</v>
      </c>
      <c r="E4301" s="1">
        <f>总规划!E463</f>
        <v>0</v>
      </c>
      <c r="F4301" s="1">
        <f>总规划!F463</f>
        <v>0</v>
      </c>
      <c r="G4301" s="1">
        <f>总规划!G463</f>
        <v>0</v>
      </c>
      <c r="H4301" s="1">
        <f>总规划!H463</f>
        <v>0</v>
      </c>
      <c r="I4301" s="1">
        <f>总规划!I463</f>
        <v>0</v>
      </c>
      <c r="J4301" s="1">
        <f>总规划!J463</f>
        <v>0</v>
      </c>
      <c r="K4301" s="1">
        <f>总规划!K463</f>
        <v>0</v>
      </c>
      <c r="L4301" s="1">
        <f>总规划!L463</f>
        <v>0</v>
      </c>
      <c r="M4301" s="1">
        <f>总规划!M463</f>
        <v>0</v>
      </c>
      <c r="N4301" s="1">
        <f>总规划!N463</f>
        <v>0</v>
      </c>
      <c r="O4301" s="1">
        <f>总规划!O463</f>
        <v>0</v>
      </c>
    </row>
    <row r="4302" spans="2:15">
      <c r="B4302" s="1">
        <f>总规划!B464</f>
        <v>0</v>
      </c>
      <c r="C4302" s="1">
        <f>总规划!C464</f>
        <v>0</v>
      </c>
      <c r="D4302" s="1">
        <f>总规划!D464</f>
        <v>0</v>
      </c>
      <c r="E4302" s="1">
        <f>总规划!E464</f>
        <v>0</v>
      </c>
      <c r="F4302" s="1">
        <f>总规划!F464</f>
        <v>0</v>
      </c>
      <c r="G4302" s="1">
        <f>总规划!G464</f>
        <v>0</v>
      </c>
      <c r="H4302" s="1">
        <f>总规划!H464</f>
        <v>0</v>
      </c>
      <c r="I4302" s="1">
        <f>总规划!I464</f>
        <v>0</v>
      </c>
      <c r="J4302" s="1">
        <f>总规划!J464</f>
        <v>0</v>
      </c>
      <c r="K4302" s="1">
        <f>总规划!K464</f>
        <v>0</v>
      </c>
      <c r="L4302" s="1">
        <f>总规划!L464</f>
        <v>0</v>
      </c>
      <c r="M4302" s="1">
        <f>总规划!M464</f>
        <v>0</v>
      </c>
      <c r="N4302" s="1">
        <f>总规划!N464</f>
        <v>0</v>
      </c>
      <c r="O4302" s="1">
        <f>总规划!O464</f>
        <v>0</v>
      </c>
    </row>
    <row r="4303" spans="2:15">
      <c r="B4303" s="1">
        <f>总规划!B465</f>
        <v>0</v>
      </c>
      <c r="C4303" s="1">
        <f>总规划!C465</f>
        <v>0</v>
      </c>
      <c r="D4303" s="1">
        <f>总规划!D465</f>
        <v>0</v>
      </c>
      <c r="E4303" s="1">
        <f>总规划!E465</f>
        <v>0</v>
      </c>
      <c r="F4303" s="1">
        <f>总规划!F465</f>
        <v>0</v>
      </c>
      <c r="G4303" s="1">
        <f>总规划!G465</f>
        <v>0</v>
      </c>
      <c r="H4303" s="1">
        <f>总规划!H465</f>
        <v>0</v>
      </c>
      <c r="I4303" s="1">
        <f>总规划!I465</f>
        <v>0</v>
      </c>
      <c r="J4303" s="1">
        <f>总规划!J465</f>
        <v>0</v>
      </c>
      <c r="K4303" s="1">
        <f>总规划!K465</f>
        <v>0</v>
      </c>
      <c r="L4303" s="1">
        <f>总规划!L465</f>
        <v>0</v>
      </c>
      <c r="M4303" s="1">
        <f>总规划!M465</f>
        <v>0</v>
      </c>
      <c r="N4303" s="1">
        <f>总规划!N465</f>
        <v>0</v>
      </c>
      <c r="O4303" s="1">
        <f>总规划!O465</f>
        <v>0</v>
      </c>
    </row>
    <row r="4304" spans="2:15">
      <c r="B4304" s="1">
        <f>总规划!B466</f>
        <v>0</v>
      </c>
      <c r="C4304" s="1">
        <f>总规划!C466</f>
        <v>0</v>
      </c>
      <c r="D4304" s="1">
        <f>总规划!D466</f>
        <v>0</v>
      </c>
      <c r="E4304" s="1">
        <f>总规划!E466</f>
        <v>0</v>
      </c>
      <c r="F4304" s="1">
        <f>总规划!F466</f>
        <v>0</v>
      </c>
      <c r="G4304" s="1">
        <f>总规划!G466</f>
        <v>0</v>
      </c>
      <c r="H4304" s="1">
        <f>总规划!H466</f>
        <v>0</v>
      </c>
      <c r="I4304" s="1">
        <f>总规划!I466</f>
        <v>0</v>
      </c>
      <c r="J4304" s="1">
        <f>总规划!J466</f>
        <v>0</v>
      </c>
      <c r="K4304" s="1">
        <f>总规划!K466</f>
        <v>0</v>
      </c>
      <c r="L4304" s="1">
        <f>总规划!L466</f>
        <v>0</v>
      </c>
      <c r="M4304" s="1">
        <f>总规划!M466</f>
        <v>0</v>
      </c>
      <c r="N4304" s="1">
        <f>总规划!N466</f>
        <v>0</v>
      </c>
      <c r="O4304" s="1">
        <f>总规划!O466</f>
        <v>0</v>
      </c>
    </row>
    <row r="4305" spans="2:15">
      <c r="B4305" s="1">
        <f>总规划!B467</f>
        <v>0</v>
      </c>
      <c r="C4305" s="1">
        <f>总规划!C467</f>
        <v>0</v>
      </c>
      <c r="D4305" s="1">
        <f>总规划!D467</f>
        <v>0</v>
      </c>
      <c r="E4305" s="1">
        <f>总规划!E467</f>
        <v>0</v>
      </c>
      <c r="F4305" s="1">
        <f>总规划!F467</f>
        <v>0</v>
      </c>
      <c r="G4305" s="1">
        <f>总规划!G467</f>
        <v>0</v>
      </c>
      <c r="H4305" s="1">
        <f>总规划!H467</f>
        <v>0</v>
      </c>
      <c r="I4305" s="1">
        <f>总规划!I467</f>
        <v>0</v>
      </c>
      <c r="J4305" s="1">
        <f>总规划!J467</f>
        <v>0</v>
      </c>
      <c r="K4305" s="1">
        <f>总规划!K467</f>
        <v>0</v>
      </c>
      <c r="L4305" s="1">
        <f>总规划!L467</f>
        <v>0</v>
      </c>
      <c r="M4305" s="1">
        <f>总规划!M467</f>
        <v>0</v>
      </c>
      <c r="N4305" s="1">
        <f>总规划!N467</f>
        <v>0</v>
      </c>
      <c r="O4305" s="1">
        <f>总规划!O467</f>
        <v>0</v>
      </c>
    </row>
    <row r="4306" spans="2:15">
      <c r="B4306" s="1">
        <f>总规划!B468</f>
        <v>0</v>
      </c>
      <c r="C4306" s="1">
        <f>总规划!C468</f>
        <v>0</v>
      </c>
      <c r="D4306" s="1">
        <f>总规划!D468</f>
        <v>0</v>
      </c>
      <c r="E4306" s="1">
        <f>总规划!E468</f>
        <v>0</v>
      </c>
      <c r="F4306" s="1">
        <f>总规划!F468</f>
        <v>0</v>
      </c>
      <c r="G4306" s="1">
        <f>总规划!G468</f>
        <v>0</v>
      </c>
      <c r="H4306" s="1">
        <f>总规划!H468</f>
        <v>0</v>
      </c>
      <c r="I4306" s="1">
        <f>总规划!I468</f>
        <v>0</v>
      </c>
      <c r="J4306" s="1">
        <f>总规划!J468</f>
        <v>0</v>
      </c>
      <c r="K4306" s="1">
        <f>总规划!K468</f>
        <v>0</v>
      </c>
      <c r="L4306" s="1">
        <f>总规划!L468</f>
        <v>0</v>
      </c>
      <c r="M4306" s="1">
        <f>总规划!M468</f>
        <v>0</v>
      </c>
      <c r="N4306" s="1">
        <f>总规划!N468</f>
        <v>0</v>
      </c>
      <c r="O4306" s="1">
        <f>总规划!O468</f>
        <v>0</v>
      </c>
    </row>
    <row r="4308" spans="2:12">
      <c r="B4308" s="27" t="s">
        <v>2165</v>
      </c>
      <c r="C4308" s="27"/>
      <c r="D4308" s="27"/>
      <c r="E4308" s="27"/>
      <c r="F4308" s="27"/>
      <c r="G4308" s="27"/>
      <c r="H4308" s="27"/>
      <c r="I4308" s="27"/>
      <c r="J4308" s="27"/>
      <c r="K4308" s="27"/>
      <c r="L4308" s="27"/>
    </row>
    <row r="4310" spans="2:15">
      <c r="B4310" s="29">
        <f>总规划!B476</f>
        <v>0</v>
      </c>
      <c r="C4310" s="29">
        <f>总规划!C476</f>
        <v>0</v>
      </c>
      <c r="D4310" s="29">
        <f>总规划!D476</f>
        <v>0</v>
      </c>
      <c r="E4310" s="29">
        <f>总规划!E476</f>
        <v>0</v>
      </c>
      <c r="F4310" s="29">
        <f>总规划!F476</f>
        <v>0</v>
      </c>
      <c r="G4310" s="29">
        <f>总规划!G476</f>
        <v>0</v>
      </c>
      <c r="H4310" s="29">
        <f>总规划!H476</f>
        <v>0</v>
      </c>
      <c r="I4310" s="29">
        <f>总规划!I476</f>
        <v>0</v>
      </c>
      <c r="J4310" s="29">
        <f>总规划!J476</f>
        <v>0</v>
      </c>
      <c r="K4310" s="29">
        <f>总规划!K476</f>
        <v>0</v>
      </c>
      <c r="L4310" s="29">
        <f>总规划!L476</f>
        <v>0</v>
      </c>
      <c r="M4310" s="29">
        <f>总规划!M476</f>
        <v>0</v>
      </c>
      <c r="N4310" s="29">
        <f>总规划!N476</f>
        <v>0</v>
      </c>
      <c r="O4310" s="29">
        <f>总规划!O476</f>
        <v>0</v>
      </c>
    </row>
    <row r="4311" spans="2:15">
      <c r="B4311" s="1">
        <f>总规划!B477</f>
        <v>0</v>
      </c>
      <c r="C4311" s="1">
        <f>总规划!C477</f>
        <v>0</v>
      </c>
      <c r="D4311" s="1">
        <f>总规划!D477</f>
        <v>0</v>
      </c>
      <c r="E4311" s="1">
        <f>总规划!E477</f>
        <v>0</v>
      </c>
      <c r="F4311" s="1">
        <f>总规划!F477</f>
        <v>0</v>
      </c>
      <c r="G4311" s="1">
        <f>总规划!G477</f>
        <v>0</v>
      </c>
      <c r="H4311" s="1">
        <f>总规划!H477</f>
        <v>0</v>
      </c>
      <c r="I4311" s="1">
        <f>总规划!I477</f>
        <v>0</v>
      </c>
      <c r="J4311" s="1">
        <f>总规划!J477</f>
        <v>0</v>
      </c>
      <c r="K4311" s="1">
        <f>总规划!K477</f>
        <v>0</v>
      </c>
      <c r="L4311" s="1">
        <f>总规划!L477</f>
        <v>0</v>
      </c>
      <c r="M4311" s="1">
        <f>总规划!M477</f>
        <v>0</v>
      </c>
      <c r="N4311" s="1">
        <f>总规划!N477</f>
        <v>0</v>
      </c>
      <c r="O4311" s="1">
        <f>总规划!O477</f>
        <v>0</v>
      </c>
    </row>
    <row r="4312" spans="2:15">
      <c r="B4312" s="1">
        <f>总规划!B478</f>
        <v>0</v>
      </c>
      <c r="C4312" s="1">
        <f>总规划!C478</f>
        <v>0</v>
      </c>
      <c r="D4312" s="1">
        <f>总规划!D478</f>
        <v>0</v>
      </c>
      <c r="E4312" s="1">
        <f>总规划!E478</f>
        <v>0</v>
      </c>
      <c r="F4312" s="1">
        <f>总规划!F478</f>
        <v>0</v>
      </c>
      <c r="G4312" s="1">
        <f>总规划!G478</f>
        <v>0</v>
      </c>
      <c r="H4312" s="1">
        <f>总规划!H478</f>
        <v>0</v>
      </c>
      <c r="I4312" s="1">
        <f>总规划!I478</f>
        <v>0</v>
      </c>
      <c r="J4312" s="1">
        <f>总规划!J478</f>
        <v>0</v>
      </c>
      <c r="K4312" s="1">
        <f>总规划!K478</f>
        <v>0</v>
      </c>
      <c r="L4312" s="1">
        <f>总规划!L478</f>
        <v>0</v>
      </c>
      <c r="M4312" s="1">
        <f>总规划!M478</f>
        <v>0</v>
      </c>
      <c r="N4312" s="1">
        <f>总规划!N478</f>
        <v>0</v>
      </c>
      <c r="O4312" s="1">
        <f>总规划!O478</f>
        <v>0</v>
      </c>
    </row>
    <row r="4313" spans="2:15">
      <c r="B4313" s="1">
        <f>总规划!B479</f>
        <v>0</v>
      </c>
      <c r="C4313" s="1">
        <f>总规划!C479</f>
        <v>0</v>
      </c>
      <c r="D4313" s="1">
        <f>总规划!D479</f>
        <v>0</v>
      </c>
      <c r="E4313" s="1">
        <f>总规划!E479</f>
        <v>0</v>
      </c>
      <c r="F4313" s="1">
        <f>总规划!F479</f>
        <v>0</v>
      </c>
      <c r="G4313" s="1">
        <f>总规划!G479</f>
        <v>0</v>
      </c>
      <c r="H4313" s="1">
        <f>总规划!H479</f>
        <v>0</v>
      </c>
      <c r="I4313" s="1">
        <f>总规划!I479</f>
        <v>0</v>
      </c>
      <c r="J4313" s="1">
        <f>总规划!J479</f>
        <v>0</v>
      </c>
      <c r="K4313" s="1">
        <f>总规划!K479</f>
        <v>0</v>
      </c>
      <c r="L4313" s="1">
        <f>总规划!L479</f>
        <v>0</v>
      </c>
      <c r="M4313" s="1">
        <f>总规划!M479</f>
        <v>0</v>
      </c>
      <c r="N4313" s="1">
        <f>总规划!N479</f>
        <v>0</v>
      </c>
      <c r="O4313" s="1">
        <f>总规划!O479</f>
        <v>0</v>
      </c>
    </row>
    <row r="4314" spans="2:15">
      <c r="B4314" s="1">
        <f>总规划!B480</f>
        <v>0</v>
      </c>
      <c r="C4314" s="1">
        <f>总规划!C480</f>
        <v>0</v>
      </c>
      <c r="D4314" s="1">
        <f>总规划!D480</f>
        <v>0</v>
      </c>
      <c r="E4314" s="1">
        <f>总规划!E480</f>
        <v>0</v>
      </c>
      <c r="F4314" s="1">
        <f>总规划!F480</f>
        <v>0</v>
      </c>
      <c r="G4314" s="1">
        <f>总规划!G480</f>
        <v>0</v>
      </c>
      <c r="H4314" s="1">
        <f>总规划!H480</f>
        <v>0</v>
      </c>
      <c r="I4314" s="1">
        <f>总规划!I480</f>
        <v>0</v>
      </c>
      <c r="J4314" s="1">
        <f>总规划!J480</f>
        <v>0</v>
      </c>
      <c r="K4314" s="1">
        <f>总规划!K480</f>
        <v>0</v>
      </c>
      <c r="L4314" s="1">
        <f>总规划!L480</f>
        <v>0</v>
      </c>
      <c r="M4314" s="1">
        <f>总规划!M480</f>
        <v>0</v>
      </c>
      <c r="N4314" s="1">
        <f>总规划!N480</f>
        <v>0</v>
      </c>
      <c r="O4314" s="1">
        <f>总规划!O480</f>
        <v>0</v>
      </c>
    </row>
    <row r="4315" spans="2:15">
      <c r="B4315" s="1">
        <f>总规划!B481</f>
        <v>0</v>
      </c>
      <c r="C4315" s="1">
        <f>总规划!C481</f>
        <v>0</v>
      </c>
      <c r="D4315" s="1">
        <f>总规划!D481</f>
        <v>0</v>
      </c>
      <c r="E4315" s="1">
        <f>总规划!E481</f>
        <v>0</v>
      </c>
      <c r="F4315" s="1">
        <f>总规划!F481</f>
        <v>0</v>
      </c>
      <c r="G4315" s="1">
        <f>总规划!G481</f>
        <v>0</v>
      </c>
      <c r="H4315" s="1">
        <f>总规划!H481</f>
        <v>0</v>
      </c>
      <c r="I4315" s="1">
        <f>总规划!I481</f>
        <v>0</v>
      </c>
      <c r="J4315" s="1">
        <f>总规划!J481</f>
        <v>0</v>
      </c>
      <c r="K4315" s="1">
        <f>总规划!K481</f>
        <v>0</v>
      </c>
      <c r="L4315" s="1">
        <f>总规划!L481</f>
        <v>0</v>
      </c>
      <c r="M4315" s="1">
        <f>总规划!M481</f>
        <v>0</v>
      </c>
      <c r="N4315" s="1">
        <f>总规划!N481</f>
        <v>0</v>
      </c>
      <c r="O4315" s="1">
        <f>总规划!O481</f>
        <v>0</v>
      </c>
    </row>
    <row r="4316" spans="2:15">
      <c r="B4316" s="1">
        <f>总规划!B482</f>
        <v>0</v>
      </c>
      <c r="C4316" s="1">
        <f>总规划!C482</f>
        <v>0</v>
      </c>
      <c r="D4316" s="1">
        <f>总规划!D482</f>
        <v>0</v>
      </c>
      <c r="E4316" s="1">
        <f>总规划!E482</f>
        <v>0</v>
      </c>
      <c r="F4316" s="1">
        <f>总规划!F482</f>
        <v>0</v>
      </c>
      <c r="G4316" s="1">
        <f>总规划!G482</f>
        <v>0</v>
      </c>
      <c r="H4316" s="1">
        <f>总规划!H482</f>
        <v>0</v>
      </c>
      <c r="I4316" s="1">
        <f>总规划!I482</f>
        <v>0</v>
      </c>
      <c r="J4316" s="1">
        <f>总规划!J482</f>
        <v>0</v>
      </c>
      <c r="K4316" s="1">
        <f>总规划!K482</f>
        <v>0</v>
      </c>
      <c r="L4316" s="1">
        <f>总规划!L482</f>
        <v>0</v>
      </c>
      <c r="M4316" s="1">
        <f>总规划!M482</f>
        <v>0</v>
      </c>
      <c r="N4316" s="1">
        <f>总规划!N482</f>
        <v>0</v>
      </c>
      <c r="O4316" s="1">
        <f>总规划!O482</f>
        <v>0</v>
      </c>
    </row>
    <row r="4317" spans="2:15">
      <c r="B4317" s="1">
        <f>总规划!B483</f>
        <v>0</v>
      </c>
      <c r="C4317" s="1">
        <f>总规划!C483</f>
        <v>0</v>
      </c>
      <c r="D4317" s="1">
        <f>总规划!D483</f>
        <v>0</v>
      </c>
      <c r="E4317" s="1">
        <f>总规划!E483</f>
        <v>0</v>
      </c>
      <c r="F4317" s="1">
        <f>总规划!F483</f>
        <v>0</v>
      </c>
      <c r="G4317" s="1">
        <f>总规划!G483</f>
        <v>0</v>
      </c>
      <c r="H4317" s="1">
        <f>总规划!H483</f>
        <v>0</v>
      </c>
      <c r="I4317" s="1">
        <f>总规划!I483</f>
        <v>0</v>
      </c>
      <c r="J4317" s="1">
        <f>总规划!J483</f>
        <v>0</v>
      </c>
      <c r="K4317" s="1">
        <f>总规划!K483</f>
        <v>0</v>
      </c>
      <c r="L4317" s="1">
        <f>总规划!L483</f>
        <v>0</v>
      </c>
      <c r="M4317" s="1">
        <f>总规划!M483</f>
        <v>0</v>
      </c>
      <c r="N4317" s="1">
        <f>总规划!N483</f>
        <v>0</v>
      </c>
      <c r="O4317" s="1">
        <f>总规划!O483</f>
        <v>0</v>
      </c>
    </row>
    <row r="4318" spans="2:15">
      <c r="B4318" s="1">
        <f>总规划!B484</f>
        <v>0</v>
      </c>
      <c r="C4318" s="1">
        <f>总规划!C484</f>
        <v>0</v>
      </c>
      <c r="D4318" s="1">
        <f>总规划!D484</f>
        <v>0</v>
      </c>
      <c r="E4318" s="1">
        <f>总规划!E484</f>
        <v>0</v>
      </c>
      <c r="F4318" s="1">
        <f>总规划!F484</f>
        <v>0</v>
      </c>
      <c r="G4318" s="1">
        <f>总规划!G484</f>
        <v>0</v>
      </c>
      <c r="H4318" s="1">
        <f>总规划!H484</f>
        <v>0</v>
      </c>
      <c r="I4318" s="1">
        <f>总规划!I484</f>
        <v>0</v>
      </c>
      <c r="J4318" s="1">
        <f>总规划!J484</f>
        <v>0</v>
      </c>
      <c r="K4318" s="1">
        <f>总规划!K484</f>
        <v>0</v>
      </c>
      <c r="L4318" s="1">
        <f>总规划!L484</f>
        <v>0</v>
      </c>
      <c r="M4318" s="1">
        <f>总规划!M484</f>
        <v>0</v>
      </c>
      <c r="N4318" s="1">
        <f>总规划!N484</f>
        <v>0</v>
      </c>
      <c r="O4318" s="1">
        <f>总规划!O484</f>
        <v>0</v>
      </c>
    </row>
    <row r="4319" spans="2:15">
      <c r="B4319" s="1">
        <f>总规划!B485</f>
        <v>0</v>
      </c>
      <c r="C4319" s="1">
        <f>总规划!C485</f>
        <v>0</v>
      </c>
      <c r="D4319" s="1">
        <f>总规划!D485</f>
        <v>0</v>
      </c>
      <c r="E4319" s="1">
        <f>总规划!E485</f>
        <v>0</v>
      </c>
      <c r="F4319" s="1">
        <f>总规划!F485</f>
        <v>0</v>
      </c>
      <c r="G4319" s="1">
        <f>总规划!G485</f>
        <v>0</v>
      </c>
      <c r="H4319" s="1">
        <f>总规划!H485</f>
        <v>0</v>
      </c>
      <c r="I4319" s="1">
        <f>总规划!I485</f>
        <v>0</v>
      </c>
      <c r="J4319" s="1">
        <f>总规划!J485</f>
        <v>0</v>
      </c>
      <c r="K4319" s="1">
        <f>总规划!K485</f>
        <v>0</v>
      </c>
      <c r="L4319" s="1">
        <f>总规划!L485</f>
        <v>0</v>
      </c>
      <c r="M4319" s="1">
        <f>总规划!M485</f>
        <v>0</v>
      </c>
      <c r="N4319" s="1">
        <f>总规划!N485</f>
        <v>0</v>
      </c>
      <c r="O4319" s="1">
        <f>总规划!O485</f>
        <v>0</v>
      </c>
    </row>
    <row r="4320" spans="2:15">
      <c r="B4320" s="1">
        <f>总规划!B487</f>
        <v>0</v>
      </c>
      <c r="C4320" s="1">
        <f>总规划!C487</f>
        <v>0</v>
      </c>
      <c r="D4320" s="1">
        <f>总规划!D487</f>
        <v>0</v>
      </c>
      <c r="E4320" s="1">
        <f>总规划!E487</f>
        <v>0</v>
      </c>
      <c r="F4320" s="1">
        <f>总规划!F487</f>
        <v>0</v>
      </c>
      <c r="G4320" s="1">
        <f>总规划!G487</f>
        <v>0</v>
      </c>
      <c r="H4320" s="1">
        <f>总规划!H487</f>
        <v>0</v>
      </c>
      <c r="I4320" s="1">
        <f>总规划!I487</f>
        <v>0</v>
      </c>
      <c r="J4320" s="1">
        <f>总规划!J487</f>
        <v>0</v>
      </c>
      <c r="K4320" s="1">
        <f>总规划!K487</f>
        <v>0</v>
      </c>
      <c r="L4320" s="1">
        <f>总规划!L487</f>
        <v>0</v>
      </c>
      <c r="M4320" s="1">
        <f>总规划!M487</f>
        <v>0</v>
      </c>
      <c r="N4320" s="1">
        <f>总规划!N487</f>
        <v>0</v>
      </c>
      <c r="O4320" s="1">
        <f>总规划!O487</f>
        <v>0</v>
      </c>
    </row>
    <row r="4321" spans="2:15">
      <c r="B4321" s="1">
        <f>总规划!B488</f>
        <v>0</v>
      </c>
      <c r="C4321" s="1">
        <f>总规划!C488</f>
        <v>0</v>
      </c>
      <c r="D4321" s="1">
        <f>总规划!D488</f>
        <v>0</v>
      </c>
      <c r="E4321" s="1">
        <f>总规划!E488</f>
        <v>0</v>
      </c>
      <c r="F4321" s="1">
        <f>总规划!F488</f>
        <v>0</v>
      </c>
      <c r="G4321" s="1">
        <f>总规划!G488</f>
        <v>0</v>
      </c>
      <c r="H4321" s="1">
        <f>总规划!H488</f>
        <v>0</v>
      </c>
      <c r="I4321" s="1">
        <f>总规划!I488</f>
        <v>0</v>
      </c>
      <c r="J4321" s="1">
        <f>总规划!J488</f>
        <v>0</v>
      </c>
      <c r="K4321" s="1">
        <f>总规划!K488</f>
        <v>0</v>
      </c>
      <c r="L4321" s="1">
        <f>总规划!L488</f>
        <v>0</v>
      </c>
      <c r="M4321" s="1">
        <f>总规划!M488</f>
        <v>0</v>
      </c>
      <c r="N4321" s="1">
        <f>总规划!N488</f>
        <v>0</v>
      </c>
      <c r="O4321" s="1">
        <f>总规划!O488</f>
        <v>0</v>
      </c>
    </row>
    <row r="4322" spans="2:15">
      <c r="B4322" s="1">
        <f>总规划!B489</f>
        <v>0</v>
      </c>
      <c r="C4322" s="1">
        <f>总规划!C489</f>
        <v>0</v>
      </c>
      <c r="D4322" s="1">
        <f>总规划!D489</f>
        <v>0</v>
      </c>
      <c r="E4322" s="1">
        <f>总规划!E489</f>
        <v>0</v>
      </c>
      <c r="F4322" s="1">
        <f>总规划!F489</f>
        <v>0</v>
      </c>
      <c r="G4322" s="1">
        <f>总规划!G489</f>
        <v>0</v>
      </c>
      <c r="H4322" s="1">
        <f>总规划!H489</f>
        <v>0</v>
      </c>
      <c r="I4322" s="1">
        <f>总规划!I489</f>
        <v>0</v>
      </c>
      <c r="J4322" s="1">
        <f>总规划!J489</f>
        <v>0</v>
      </c>
      <c r="K4322" s="1">
        <f>总规划!K489</f>
        <v>0</v>
      </c>
      <c r="L4322" s="1">
        <f>总规划!L489</f>
        <v>0</v>
      </c>
      <c r="M4322" s="1">
        <f>总规划!M489</f>
        <v>0</v>
      </c>
      <c r="N4322" s="1">
        <f>总规划!N489</f>
        <v>0</v>
      </c>
      <c r="O4322" s="1">
        <f>总规划!O489</f>
        <v>0</v>
      </c>
    </row>
    <row r="4323" spans="2:15">
      <c r="B4323" s="1">
        <f>总规划!B490</f>
        <v>0</v>
      </c>
      <c r="C4323" s="1">
        <f>总规划!C490</f>
        <v>0</v>
      </c>
      <c r="D4323" s="1">
        <f>总规划!D490</f>
        <v>0</v>
      </c>
      <c r="E4323" s="1">
        <f>总规划!E490</f>
        <v>0</v>
      </c>
      <c r="F4323" s="1">
        <f>总规划!F490</f>
        <v>0</v>
      </c>
      <c r="G4323" s="1">
        <f>总规划!G490</f>
        <v>0</v>
      </c>
      <c r="H4323" s="1">
        <f>总规划!H490</f>
        <v>0</v>
      </c>
      <c r="I4323" s="1">
        <f>总规划!I490</f>
        <v>0</v>
      </c>
      <c r="J4323" s="1">
        <f>总规划!J490</f>
        <v>0</v>
      </c>
      <c r="K4323" s="1">
        <f>总规划!K490</f>
        <v>0</v>
      </c>
      <c r="L4323" s="1">
        <f>总规划!L490</f>
        <v>0</v>
      </c>
      <c r="M4323" s="1">
        <f>总规划!M490</f>
        <v>0</v>
      </c>
      <c r="N4323" s="1">
        <f>总规划!N490</f>
        <v>0</v>
      </c>
      <c r="O4323" s="1">
        <f>总规划!O490</f>
        <v>0</v>
      </c>
    </row>
    <row r="4324" spans="2:15">
      <c r="B4324" s="1">
        <f>总规划!B491</f>
        <v>0</v>
      </c>
      <c r="C4324" s="1">
        <f>总规划!C491</f>
        <v>0</v>
      </c>
      <c r="D4324" s="1">
        <f>总规划!D491</f>
        <v>0</v>
      </c>
      <c r="E4324" s="1">
        <f>总规划!E491</f>
        <v>0</v>
      </c>
      <c r="F4324" s="1">
        <f>总规划!F491</f>
        <v>0</v>
      </c>
      <c r="G4324" s="1">
        <f>总规划!G491</f>
        <v>0</v>
      </c>
      <c r="H4324" s="1">
        <f>总规划!H491</f>
        <v>0</v>
      </c>
      <c r="I4324" s="1">
        <f>总规划!I491</f>
        <v>0</v>
      </c>
      <c r="J4324" s="1">
        <f>总规划!J491</f>
        <v>0</v>
      </c>
      <c r="K4324" s="1">
        <f>总规划!K491</f>
        <v>0</v>
      </c>
      <c r="L4324" s="1">
        <f>总规划!L491</f>
        <v>0</v>
      </c>
      <c r="M4324" s="1">
        <f>总规划!M491</f>
        <v>0</v>
      </c>
      <c r="N4324" s="1">
        <f>总规划!N491</f>
        <v>0</v>
      </c>
      <c r="O4324" s="1">
        <f>总规划!O491</f>
        <v>0</v>
      </c>
    </row>
    <row r="4325" spans="2:15">
      <c r="B4325" s="1">
        <f>总规划!B492</f>
        <v>0</v>
      </c>
      <c r="C4325" s="1">
        <f>总规划!C492</f>
        <v>0</v>
      </c>
      <c r="D4325" s="1">
        <f>总规划!D492</f>
        <v>0</v>
      </c>
      <c r="E4325" s="1">
        <f>总规划!E492</f>
        <v>0</v>
      </c>
      <c r="F4325" s="1">
        <f>总规划!F492</f>
        <v>0</v>
      </c>
      <c r="G4325" s="1">
        <f>总规划!G492</f>
        <v>0</v>
      </c>
      <c r="H4325" s="1">
        <f>总规划!H492</f>
        <v>0</v>
      </c>
      <c r="I4325" s="1">
        <f>总规划!I492</f>
        <v>0</v>
      </c>
      <c r="J4325" s="1">
        <f>总规划!J492</f>
        <v>0</v>
      </c>
      <c r="K4325" s="1">
        <f>总规划!K492</f>
        <v>0</v>
      </c>
      <c r="L4325" s="1">
        <f>总规划!L492</f>
        <v>0</v>
      </c>
      <c r="M4325" s="1">
        <f>总规划!M492</f>
        <v>0</v>
      </c>
      <c r="N4325" s="1">
        <f>总规划!N492</f>
        <v>0</v>
      </c>
      <c r="O4325" s="1">
        <f>总规划!O492</f>
        <v>0</v>
      </c>
    </row>
    <row r="4326" spans="2:15">
      <c r="B4326" s="1">
        <f>总规划!B493</f>
        <v>0</v>
      </c>
      <c r="C4326" s="1">
        <f>总规划!C493</f>
        <v>0</v>
      </c>
      <c r="D4326" s="1">
        <f>总规划!D493</f>
        <v>0</v>
      </c>
      <c r="E4326" s="1">
        <f>总规划!E493</f>
        <v>0</v>
      </c>
      <c r="F4326" s="1">
        <f>总规划!F493</f>
        <v>0</v>
      </c>
      <c r="G4326" s="1">
        <f>总规划!G493</f>
        <v>0</v>
      </c>
      <c r="H4326" s="1">
        <f>总规划!H493</f>
        <v>0</v>
      </c>
      <c r="I4326" s="1">
        <f>总规划!I493</f>
        <v>0</v>
      </c>
      <c r="J4326" s="1">
        <f>总规划!J493</f>
        <v>0</v>
      </c>
      <c r="K4326" s="1">
        <f>总规划!K493</f>
        <v>0</v>
      </c>
      <c r="L4326" s="1">
        <f>总规划!L493</f>
        <v>0</v>
      </c>
      <c r="M4326" s="1">
        <f>总规划!M493</f>
        <v>0</v>
      </c>
      <c r="N4326" s="1">
        <f>总规划!N493</f>
        <v>0</v>
      </c>
      <c r="O4326" s="1">
        <f>总规划!O493</f>
        <v>0</v>
      </c>
    </row>
    <row r="4327" spans="2:15">
      <c r="B4327" s="1">
        <f>总规划!B494</f>
        <v>0</v>
      </c>
      <c r="C4327" s="1">
        <f>总规划!C494</f>
        <v>0</v>
      </c>
      <c r="D4327" s="1">
        <f>总规划!D494</f>
        <v>0</v>
      </c>
      <c r="E4327" s="1">
        <f>总规划!E494</f>
        <v>0</v>
      </c>
      <c r="F4327" s="1">
        <f>总规划!F494</f>
        <v>0</v>
      </c>
      <c r="G4327" s="1">
        <f>总规划!G494</f>
        <v>0</v>
      </c>
      <c r="H4327" s="1">
        <f>总规划!H494</f>
        <v>0</v>
      </c>
      <c r="I4327" s="1">
        <f>总规划!I494</f>
        <v>0</v>
      </c>
      <c r="J4327" s="1">
        <f>总规划!J494</f>
        <v>0</v>
      </c>
      <c r="K4327" s="1">
        <f>总规划!K494</f>
        <v>0</v>
      </c>
      <c r="L4327" s="1">
        <f>总规划!L494</f>
        <v>0</v>
      </c>
      <c r="M4327" s="1">
        <f>总规划!M494</f>
        <v>0</v>
      </c>
      <c r="N4327" s="1">
        <f>总规划!N494</f>
        <v>0</v>
      </c>
      <c r="O4327" s="1">
        <f>总规划!O494</f>
        <v>0</v>
      </c>
    </row>
    <row r="4328" spans="2:15">
      <c r="B4328" s="1">
        <f>总规划!B495</f>
        <v>0</v>
      </c>
      <c r="C4328" s="1">
        <f>总规划!C495</f>
        <v>0</v>
      </c>
      <c r="D4328" s="1">
        <f>总规划!D495</f>
        <v>0</v>
      </c>
      <c r="E4328" s="1">
        <f>总规划!E495</f>
        <v>0</v>
      </c>
      <c r="F4328" s="1">
        <f>总规划!F495</f>
        <v>0</v>
      </c>
      <c r="G4328" s="1">
        <f>总规划!G495</f>
        <v>0</v>
      </c>
      <c r="H4328" s="1">
        <f>总规划!H495</f>
        <v>0</v>
      </c>
      <c r="I4328" s="1">
        <f>总规划!I495</f>
        <v>0</v>
      </c>
      <c r="J4328" s="1">
        <f>总规划!J495</f>
        <v>0</v>
      </c>
      <c r="K4328" s="1">
        <f>总规划!K495</f>
        <v>0</v>
      </c>
      <c r="L4328" s="1">
        <f>总规划!L495</f>
        <v>0</v>
      </c>
      <c r="M4328" s="1">
        <f>总规划!M495</f>
        <v>0</v>
      </c>
      <c r="N4328" s="1">
        <f>总规划!N495</f>
        <v>0</v>
      </c>
      <c r="O4328" s="1">
        <f>总规划!O495</f>
        <v>0</v>
      </c>
    </row>
    <row r="4329" spans="2:15">
      <c r="B4329" s="1">
        <f>总规划!B496</f>
        <v>0</v>
      </c>
      <c r="C4329" s="1">
        <f>总规划!C496</f>
        <v>0</v>
      </c>
      <c r="D4329" s="1">
        <f>总规划!D496</f>
        <v>0</v>
      </c>
      <c r="E4329" s="1">
        <f>总规划!E496</f>
        <v>0</v>
      </c>
      <c r="F4329" s="1">
        <f>总规划!F496</f>
        <v>0</v>
      </c>
      <c r="G4329" s="1">
        <f>总规划!G496</f>
        <v>0</v>
      </c>
      <c r="H4329" s="1">
        <f>总规划!H496</f>
        <v>0</v>
      </c>
      <c r="I4329" s="1">
        <f>总规划!I496</f>
        <v>0</v>
      </c>
      <c r="J4329" s="1">
        <f>总规划!J496</f>
        <v>0</v>
      </c>
      <c r="K4329" s="1">
        <f>总规划!K496</f>
        <v>0</v>
      </c>
      <c r="L4329" s="1">
        <f>总规划!L496</f>
        <v>0</v>
      </c>
      <c r="M4329" s="1">
        <f>总规划!M496</f>
        <v>0</v>
      </c>
      <c r="N4329" s="1">
        <f>总规划!N496</f>
        <v>0</v>
      </c>
      <c r="O4329" s="1">
        <f>总规划!O496</f>
        <v>0</v>
      </c>
    </row>
    <row r="4330" spans="2:15">
      <c r="B4330" s="1">
        <f>总规划!B497</f>
        <v>0</v>
      </c>
      <c r="C4330" s="1">
        <f>总规划!C497</f>
        <v>0</v>
      </c>
      <c r="D4330" s="1">
        <f>总规划!D497</f>
        <v>0</v>
      </c>
      <c r="E4330" s="1">
        <f>总规划!E497</f>
        <v>0</v>
      </c>
      <c r="F4330" s="1">
        <f>总规划!F497</f>
        <v>0</v>
      </c>
      <c r="G4330" s="1">
        <f>总规划!G497</f>
        <v>0</v>
      </c>
      <c r="H4330" s="1">
        <f>总规划!H497</f>
        <v>0</v>
      </c>
      <c r="I4330" s="1">
        <f>总规划!I497</f>
        <v>0</v>
      </c>
      <c r="J4330" s="1">
        <f>总规划!J497</f>
        <v>0</v>
      </c>
      <c r="K4330" s="1">
        <f>总规划!K497</f>
        <v>0</v>
      </c>
      <c r="L4330" s="1">
        <f>总规划!L497</f>
        <v>0</v>
      </c>
      <c r="M4330" s="1">
        <f>总规划!M497</f>
        <v>0</v>
      </c>
      <c r="N4330" s="1">
        <f>总规划!N497</f>
        <v>0</v>
      </c>
      <c r="O4330" s="1">
        <f>总规划!O497</f>
        <v>0</v>
      </c>
    </row>
    <row r="4331" spans="2:15">
      <c r="B4331" s="1">
        <f>总规划!B498</f>
        <v>0</v>
      </c>
      <c r="C4331" s="1">
        <f>总规划!C498</f>
        <v>0</v>
      </c>
      <c r="D4331" s="1">
        <f>总规划!D498</f>
        <v>0</v>
      </c>
      <c r="E4331" s="1">
        <f>总规划!E498</f>
        <v>0</v>
      </c>
      <c r="F4331" s="1">
        <f>总规划!F498</f>
        <v>0</v>
      </c>
      <c r="G4331" s="1">
        <f>总规划!G498</f>
        <v>0</v>
      </c>
      <c r="H4331" s="1">
        <f>总规划!H498</f>
        <v>0</v>
      </c>
      <c r="I4331" s="1">
        <f>总规划!I498</f>
        <v>0</v>
      </c>
      <c r="J4331" s="1">
        <f>总规划!J498</f>
        <v>0</v>
      </c>
      <c r="K4331" s="1">
        <f>总规划!K498</f>
        <v>0</v>
      </c>
      <c r="L4331" s="1">
        <f>总规划!L498</f>
        <v>0</v>
      </c>
      <c r="M4331" s="1">
        <f>总规划!M498</f>
        <v>0</v>
      </c>
      <c r="N4331" s="1">
        <f>总规划!N498</f>
        <v>0</v>
      </c>
      <c r="O4331" s="1">
        <f>总规划!O498</f>
        <v>0</v>
      </c>
    </row>
    <row r="4332" spans="2:15">
      <c r="B4332" s="1">
        <f>总规划!B499</f>
        <v>0</v>
      </c>
      <c r="C4332" s="1">
        <f>总规划!C499</f>
        <v>0</v>
      </c>
      <c r="D4332" s="1">
        <f>总规划!D499</f>
        <v>0</v>
      </c>
      <c r="E4332" s="1">
        <f>总规划!E499</f>
        <v>0</v>
      </c>
      <c r="F4332" s="1">
        <f>总规划!F499</f>
        <v>0</v>
      </c>
      <c r="G4332" s="1">
        <f>总规划!G499</f>
        <v>0</v>
      </c>
      <c r="H4332" s="1">
        <f>总规划!H499</f>
        <v>0</v>
      </c>
      <c r="I4332" s="1">
        <f>总规划!I499</f>
        <v>0</v>
      </c>
      <c r="J4332" s="1">
        <f>总规划!J499</f>
        <v>0</v>
      </c>
      <c r="K4332" s="1">
        <f>总规划!K499</f>
        <v>0</v>
      </c>
      <c r="L4332" s="1">
        <f>总规划!L499</f>
        <v>0</v>
      </c>
      <c r="M4332" s="1">
        <f>总规划!M499</f>
        <v>0</v>
      </c>
      <c r="N4332" s="1">
        <f>总规划!N499</f>
        <v>0</v>
      </c>
      <c r="O4332" s="1">
        <f>总规划!O499</f>
        <v>0</v>
      </c>
    </row>
    <row r="4333" spans="2:15">
      <c r="B4333" s="1">
        <f>总规划!B500</f>
        <v>0</v>
      </c>
      <c r="C4333" s="1">
        <f>总规划!C500</f>
        <v>0</v>
      </c>
      <c r="D4333" s="1">
        <f>总规划!D500</f>
        <v>0</v>
      </c>
      <c r="E4333" s="1">
        <f>总规划!E500</f>
        <v>0</v>
      </c>
      <c r="F4333" s="1">
        <f>总规划!F500</f>
        <v>0</v>
      </c>
      <c r="G4333" s="1">
        <f>总规划!G500</f>
        <v>0</v>
      </c>
      <c r="H4333" s="1">
        <f>总规划!H500</f>
        <v>0</v>
      </c>
      <c r="I4333" s="1">
        <f>总规划!I500</f>
        <v>0</v>
      </c>
      <c r="J4333" s="1">
        <f>总规划!J500</f>
        <v>0</v>
      </c>
      <c r="K4333" s="1">
        <f>总规划!K500</f>
        <v>0</v>
      </c>
      <c r="L4333" s="1">
        <f>总规划!L500</f>
        <v>0</v>
      </c>
      <c r="M4333" s="1">
        <f>总规划!M500</f>
        <v>0</v>
      </c>
      <c r="N4333" s="1">
        <f>总规划!N500</f>
        <v>0</v>
      </c>
      <c r="O4333" s="1">
        <f>总规划!O500</f>
        <v>0</v>
      </c>
    </row>
    <row r="4334" spans="2:15">
      <c r="B4334" s="1">
        <f>总规划!B501</f>
        <v>0</v>
      </c>
      <c r="C4334" s="1">
        <f>总规划!C501</f>
        <v>0</v>
      </c>
      <c r="D4334" s="1">
        <f>总规划!D501</f>
        <v>0</v>
      </c>
      <c r="E4334" s="1">
        <f>总规划!E501</f>
        <v>0</v>
      </c>
      <c r="F4334" s="1">
        <f>总规划!F501</f>
        <v>0</v>
      </c>
      <c r="G4334" s="1">
        <f>总规划!G501</f>
        <v>0</v>
      </c>
      <c r="H4334" s="1">
        <f>总规划!H501</f>
        <v>0</v>
      </c>
      <c r="I4334" s="1">
        <f>总规划!I501</f>
        <v>0</v>
      </c>
      <c r="J4334" s="1">
        <f>总规划!J501</f>
        <v>0</v>
      </c>
      <c r="K4334" s="1">
        <f>总规划!K501</f>
        <v>0</v>
      </c>
      <c r="L4334" s="1">
        <f>总规划!L501</f>
        <v>0</v>
      </c>
      <c r="M4334" s="1">
        <f>总规划!M501</f>
        <v>0</v>
      </c>
      <c r="N4334" s="1">
        <f>总规划!N501</f>
        <v>0</v>
      </c>
      <c r="O4334" s="1">
        <f>总规划!O501</f>
        <v>0</v>
      </c>
    </row>
    <row r="4335" spans="2:15">
      <c r="B4335" s="1">
        <f>总规划!B502</f>
        <v>0</v>
      </c>
      <c r="C4335" s="1">
        <f>总规划!C502</f>
        <v>0</v>
      </c>
      <c r="D4335" s="1">
        <f>总规划!D502</f>
        <v>0</v>
      </c>
      <c r="E4335" s="1">
        <f>总规划!E502</f>
        <v>0</v>
      </c>
      <c r="F4335" s="1">
        <f>总规划!F502</f>
        <v>0</v>
      </c>
      <c r="G4335" s="1">
        <f>总规划!G502</f>
        <v>0</v>
      </c>
      <c r="H4335" s="1">
        <f>总规划!H502</f>
        <v>0</v>
      </c>
      <c r="I4335" s="1">
        <f>总规划!I502</f>
        <v>0</v>
      </c>
      <c r="J4335" s="1">
        <f>总规划!J502</f>
        <v>0</v>
      </c>
      <c r="K4335" s="1">
        <f>总规划!K502</f>
        <v>0</v>
      </c>
      <c r="L4335" s="1">
        <f>总规划!L502</f>
        <v>0</v>
      </c>
      <c r="M4335" s="1">
        <f>总规划!M502</f>
        <v>0</v>
      </c>
      <c r="N4335" s="1">
        <f>总规划!N502</f>
        <v>0</v>
      </c>
      <c r="O4335" s="1">
        <f>总规划!O502</f>
        <v>0</v>
      </c>
    </row>
    <row r="4336" spans="2:15">
      <c r="B4336" s="1">
        <f>总规划!B503</f>
        <v>0</v>
      </c>
      <c r="C4336" s="1">
        <f>总规划!C503</f>
        <v>0</v>
      </c>
      <c r="D4336" s="1">
        <f>总规划!D503</f>
        <v>0</v>
      </c>
      <c r="E4336" s="1">
        <f>总规划!E503</f>
        <v>0</v>
      </c>
      <c r="F4336" s="1">
        <f>总规划!F503</f>
        <v>0</v>
      </c>
      <c r="G4336" s="1">
        <f>总规划!G503</f>
        <v>0</v>
      </c>
      <c r="H4336" s="1">
        <f>总规划!H503</f>
        <v>0</v>
      </c>
      <c r="I4336" s="1">
        <f>总规划!I503</f>
        <v>0</v>
      </c>
      <c r="J4336" s="1">
        <f>总规划!J503</f>
        <v>0</v>
      </c>
      <c r="K4336" s="1">
        <f>总规划!K503</f>
        <v>0</v>
      </c>
      <c r="L4336" s="1">
        <f>总规划!L503</f>
        <v>0</v>
      </c>
      <c r="M4336" s="1">
        <f>总规划!M503</f>
        <v>0</v>
      </c>
      <c r="N4336" s="1">
        <f>总规划!N503</f>
        <v>0</v>
      </c>
      <c r="O4336" s="1">
        <f>总规划!O503</f>
        <v>0</v>
      </c>
    </row>
    <row r="4337" spans="2:15">
      <c r="B4337" s="1">
        <f>总规划!B504</f>
        <v>0</v>
      </c>
      <c r="C4337" s="1">
        <f>总规划!C504</f>
        <v>0</v>
      </c>
      <c r="D4337" s="1">
        <f>总规划!D504</f>
        <v>0</v>
      </c>
      <c r="E4337" s="1">
        <f>总规划!E504</f>
        <v>0</v>
      </c>
      <c r="F4337" s="1">
        <f>总规划!F504</f>
        <v>0</v>
      </c>
      <c r="G4337" s="1">
        <f>总规划!G504</f>
        <v>0</v>
      </c>
      <c r="H4337" s="1">
        <f>总规划!H504</f>
        <v>0</v>
      </c>
      <c r="I4337" s="1">
        <f>总规划!I504</f>
        <v>0</v>
      </c>
      <c r="J4337" s="1">
        <f>总规划!J504</f>
        <v>0</v>
      </c>
      <c r="K4337" s="1">
        <f>总规划!K504</f>
        <v>0</v>
      </c>
      <c r="L4337" s="1">
        <f>总规划!L504</f>
        <v>0</v>
      </c>
      <c r="M4337" s="1">
        <f>总规划!M504</f>
        <v>0</v>
      </c>
      <c r="N4337" s="1">
        <f>总规划!N504</f>
        <v>0</v>
      </c>
      <c r="O4337" s="1">
        <f>总规划!O504</f>
        <v>0</v>
      </c>
    </row>
    <row r="4338" spans="2:15">
      <c r="B4338" s="1">
        <f>总规划!B505</f>
        <v>0</v>
      </c>
      <c r="C4338" s="1">
        <f>总规划!C505</f>
        <v>0</v>
      </c>
      <c r="D4338" s="1">
        <f>总规划!D505</f>
        <v>0</v>
      </c>
      <c r="E4338" s="1">
        <f>总规划!E505</f>
        <v>0</v>
      </c>
      <c r="F4338" s="1">
        <f>总规划!F505</f>
        <v>0</v>
      </c>
      <c r="G4338" s="1">
        <f>总规划!G505</f>
        <v>0</v>
      </c>
      <c r="H4338" s="1">
        <f>总规划!H505</f>
        <v>0</v>
      </c>
      <c r="I4338" s="1">
        <f>总规划!I505</f>
        <v>0</v>
      </c>
      <c r="J4338" s="1">
        <f>总规划!J505</f>
        <v>0</v>
      </c>
      <c r="K4338" s="1">
        <f>总规划!K505</f>
        <v>0</v>
      </c>
      <c r="L4338" s="1">
        <f>总规划!L505</f>
        <v>0</v>
      </c>
      <c r="M4338" s="1">
        <f>总规划!M505</f>
        <v>0</v>
      </c>
      <c r="N4338" s="1">
        <f>总规划!N505</f>
        <v>0</v>
      </c>
      <c r="O4338" s="1">
        <f>总规划!O505</f>
        <v>0</v>
      </c>
    </row>
    <row r="4339" spans="2:15">
      <c r="B4339" s="1">
        <f>总规划!B506</f>
        <v>0</v>
      </c>
      <c r="C4339" s="1">
        <f>总规划!C506</f>
        <v>0</v>
      </c>
      <c r="D4339" s="1">
        <f>总规划!D506</f>
        <v>0</v>
      </c>
      <c r="E4339" s="1">
        <f>总规划!E506</f>
        <v>0</v>
      </c>
      <c r="F4339" s="1">
        <f>总规划!F506</f>
        <v>0</v>
      </c>
      <c r="G4339" s="1">
        <f>总规划!G506</f>
        <v>0</v>
      </c>
      <c r="H4339" s="1">
        <f>总规划!H506</f>
        <v>0</v>
      </c>
      <c r="I4339" s="1">
        <f>总规划!I506</f>
        <v>0</v>
      </c>
      <c r="J4339" s="1">
        <f>总规划!J506</f>
        <v>0</v>
      </c>
      <c r="K4339" s="1">
        <f>总规划!K506</f>
        <v>0</v>
      </c>
      <c r="L4339" s="1">
        <f>总规划!L506</f>
        <v>0</v>
      </c>
      <c r="M4339" s="1">
        <f>总规划!M506</f>
        <v>0</v>
      </c>
      <c r="N4339" s="1">
        <f>总规划!N506</f>
        <v>0</v>
      </c>
      <c r="O4339" s="1">
        <f>总规划!O506</f>
        <v>0</v>
      </c>
    </row>
    <row r="4340" spans="2:15">
      <c r="B4340" s="1">
        <f>总规划!B507</f>
        <v>0</v>
      </c>
      <c r="C4340" s="1">
        <f>总规划!C507</f>
        <v>0</v>
      </c>
      <c r="D4340" s="1">
        <f>总规划!D507</f>
        <v>0</v>
      </c>
      <c r="E4340" s="1">
        <f>总规划!E507</f>
        <v>0</v>
      </c>
      <c r="F4340" s="1">
        <f>总规划!F507</f>
        <v>0</v>
      </c>
      <c r="G4340" s="1">
        <f>总规划!G507</f>
        <v>0</v>
      </c>
      <c r="H4340" s="1">
        <f>总规划!H507</f>
        <v>0</v>
      </c>
      <c r="I4340" s="1">
        <f>总规划!I507</f>
        <v>0</v>
      </c>
      <c r="J4340" s="1">
        <f>总规划!J507</f>
        <v>0</v>
      </c>
      <c r="K4340" s="1">
        <f>总规划!K507</f>
        <v>0</v>
      </c>
      <c r="L4340" s="1">
        <f>总规划!L507</f>
        <v>0</v>
      </c>
      <c r="M4340" s="1">
        <f>总规划!M507</f>
        <v>0</v>
      </c>
      <c r="N4340" s="1">
        <f>总规划!N507</f>
        <v>0</v>
      </c>
      <c r="O4340" s="1">
        <f>总规划!O507</f>
        <v>0</v>
      </c>
    </row>
    <row r="4341" spans="2:15">
      <c r="B4341" s="1">
        <f>总规划!B508</f>
        <v>0</v>
      </c>
      <c r="C4341" s="1">
        <f>总规划!C508</f>
        <v>0</v>
      </c>
      <c r="D4341" s="1">
        <f>总规划!D508</f>
        <v>0</v>
      </c>
      <c r="E4341" s="1">
        <f>总规划!E508</f>
        <v>0</v>
      </c>
      <c r="F4341" s="1">
        <f>总规划!F508</f>
        <v>0</v>
      </c>
      <c r="G4341" s="1">
        <f>总规划!G508</f>
        <v>0</v>
      </c>
      <c r="H4341" s="1">
        <f>总规划!H508</f>
        <v>0</v>
      </c>
      <c r="I4341" s="1">
        <f>总规划!I508</f>
        <v>0</v>
      </c>
      <c r="J4341" s="1">
        <f>总规划!J508</f>
        <v>0</v>
      </c>
      <c r="K4341" s="1">
        <f>总规划!K508</f>
        <v>0</v>
      </c>
      <c r="L4341" s="1">
        <f>总规划!L508</f>
        <v>0</v>
      </c>
      <c r="M4341" s="1">
        <f>总规划!M508</f>
        <v>0</v>
      </c>
      <c r="N4341" s="1">
        <f>总规划!N508</f>
        <v>0</v>
      </c>
      <c r="O4341" s="1">
        <f>总规划!O508</f>
        <v>0</v>
      </c>
    </row>
    <row r="4342" spans="2:15">
      <c r="B4342" s="1">
        <f>总规划!B509</f>
        <v>0</v>
      </c>
      <c r="C4342" s="1">
        <f>总规划!C509</f>
        <v>0</v>
      </c>
      <c r="D4342" s="1">
        <f>总规划!D509</f>
        <v>0</v>
      </c>
      <c r="E4342" s="1">
        <f>总规划!E509</f>
        <v>0</v>
      </c>
      <c r="F4342" s="1">
        <f>总规划!F509</f>
        <v>0</v>
      </c>
      <c r="G4342" s="1">
        <f>总规划!G509</f>
        <v>0</v>
      </c>
      <c r="H4342" s="1">
        <f>总规划!H509</f>
        <v>0</v>
      </c>
      <c r="I4342" s="1">
        <f>总规划!I509</f>
        <v>0</v>
      </c>
      <c r="J4342" s="1">
        <f>总规划!J509</f>
        <v>0</v>
      </c>
      <c r="K4342" s="1">
        <f>总规划!K509</f>
        <v>0</v>
      </c>
      <c r="L4342" s="1">
        <f>总规划!L509</f>
        <v>0</v>
      </c>
      <c r="M4342" s="1">
        <f>总规划!M509</f>
        <v>0</v>
      </c>
      <c r="N4342" s="1">
        <f>总规划!N509</f>
        <v>0</v>
      </c>
      <c r="O4342" s="1">
        <f>总规划!O509</f>
        <v>0</v>
      </c>
    </row>
    <row r="4343" spans="2:15">
      <c r="B4343" s="1">
        <f>总规划!B510</f>
        <v>0</v>
      </c>
      <c r="C4343" s="1">
        <f>总规划!C510</f>
        <v>0</v>
      </c>
      <c r="D4343" s="1">
        <f>总规划!D510</f>
        <v>0</v>
      </c>
      <c r="E4343" s="1">
        <f>总规划!E510</f>
        <v>0</v>
      </c>
      <c r="F4343" s="1">
        <f>总规划!F510</f>
        <v>0</v>
      </c>
      <c r="G4343" s="1">
        <f>总规划!G510</f>
        <v>0</v>
      </c>
      <c r="H4343" s="1">
        <f>总规划!H510</f>
        <v>0</v>
      </c>
      <c r="I4343" s="1">
        <f>总规划!I510</f>
        <v>0</v>
      </c>
      <c r="J4343" s="1">
        <f>总规划!J510</f>
        <v>0</v>
      </c>
      <c r="K4343" s="1">
        <f>总规划!K510</f>
        <v>0</v>
      </c>
      <c r="L4343" s="1">
        <f>总规划!L510</f>
        <v>0</v>
      </c>
      <c r="M4343" s="1">
        <f>总规划!M510</f>
        <v>0</v>
      </c>
      <c r="N4343" s="1">
        <f>总规划!N510</f>
        <v>0</v>
      </c>
      <c r="O4343" s="1">
        <f>总规划!O510</f>
        <v>0</v>
      </c>
    </row>
    <row r="4344" spans="2:15">
      <c r="B4344" s="1">
        <f>总规划!B511</f>
        <v>0</v>
      </c>
      <c r="C4344" s="1">
        <f>总规划!C511</f>
        <v>0</v>
      </c>
      <c r="D4344" s="1">
        <f>总规划!D511</f>
        <v>0</v>
      </c>
      <c r="E4344" s="1">
        <f>总规划!E511</f>
        <v>0</v>
      </c>
      <c r="F4344" s="1">
        <f>总规划!F511</f>
        <v>0</v>
      </c>
      <c r="G4344" s="1">
        <f>总规划!G511</f>
        <v>0</v>
      </c>
      <c r="H4344" s="1">
        <f>总规划!H511</f>
        <v>0</v>
      </c>
      <c r="I4344" s="1">
        <f>总规划!I511</f>
        <v>0</v>
      </c>
      <c r="J4344" s="1">
        <f>总规划!J511</f>
        <v>0</v>
      </c>
      <c r="K4344" s="1">
        <f>总规划!K511</f>
        <v>0</v>
      </c>
      <c r="L4344" s="1">
        <f>总规划!L511</f>
        <v>0</v>
      </c>
      <c r="M4344" s="1">
        <f>总规划!M511</f>
        <v>0</v>
      </c>
      <c r="N4344" s="1">
        <f>总规划!N511</f>
        <v>0</v>
      </c>
      <c r="O4344" s="1">
        <f>总规划!O511</f>
        <v>0</v>
      </c>
    </row>
    <row r="4345" spans="2:15">
      <c r="B4345" s="1">
        <f>总规划!B512</f>
        <v>0</v>
      </c>
      <c r="C4345" s="1">
        <f>总规划!C512</f>
        <v>0</v>
      </c>
      <c r="D4345" s="1">
        <f>总规划!D512</f>
        <v>0</v>
      </c>
      <c r="E4345" s="1">
        <f>总规划!E512</f>
        <v>0</v>
      </c>
      <c r="F4345" s="1">
        <f>总规划!F512</f>
        <v>0</v>
      </c>
      <c r="G4345" s="1">
        <f>总规划!G512</f>
        <v>0</v>
      </c>
      <c r="H4345" s="1">
        <f>总规划!H512</f>
        <v>0</v>
      </c>
      <c r="I4345" s="1">
        <f>总规划!I512</f>
        <v>0</v>
      </c>
      <c r="J4345" s="1">
        <f>总规划!J512</f>
        <v>0</v>
      </c>
      <c r="K4345" s="1">
        <f>总规划!K512</f>
        <v>0</v>
      </c>
      <c r="L4345" s="1">
        <f>总规划!L512</f>
        <v>0</v>
      </c>
      <c r="M4345" s="1">
        <f>总规划!M512</f>
        <v>0</v>
      </c>
      <c r="N4345" s="1">
        <f>总规划!N512</f>
        <v>0</v>
      </c>
      <c r="O4345" s="1">
        <f>总规划!O512</f>
        <v>0</v>
      </c>
    </row>
    <row r="4346" spans="2:15">
      <c r="B4346" s="1">
        <f>总规划!B513</f>
        <v>0</v>
      </c>
      <c r="C4346" s="1">
        <f>总规划!C513</f>
        <v>0</v>
      </c>
      <c r="D4346" s="1">
        <f>总规划!D513</f>
        <v>0</v>
      </c>
      <c r="E4346" s="1">
        <f>总规划!E513</f>
        <v>0</v>
      </c>
      <c r="F4346" s="1">
        <f>总规划!F513</f>
        <v>0</v>
      </c>
      <c r="G4346" s="1">
        <f>总规划!G513</f>
        <v>0</v>
      </c>
      <c r="H4346" s="1">
        <f>总规划!H513</f>
        <v>0</v>
      </c>
      <c r="I4346" s="1">
        <f>总规划!I513</f>
        <v>0</v>
      </c>
      <c r="J4346" s="1">
        <f>总规划!J513</f>
        <v>0</v>
      </c>
      <c r="K4346" s="1">
        <f>总规划!K513</f>
        <v>0</v>
      </c>
      <c r="L4346" s="1">
        <f>总规划!L513</f>
        <v>0</v>
      </c>
      <c r="M4346" s="1">
        <f>总规划!M513</f>
        <v>0</v>
      </c>
      <c r="N4346" s="1">
        <f>总规划!N513</f>
        <v>0</v>
      </c>
      <c r="O4346" s="1">
        <f>总规划!O513</f>
        <v>0</v>
      </c>
    </row>
    <row r="4347" spans="2:15">
      <c r="B4347" s="1">
        <f>总规划!B514</f>
        <v>0</v>
      </c>
      <c r="C4347" s="1">
        <f>总规划!C514</f>
        <v>0</v>
      </c>
      <c r="D4347" s="1">
        <f>总规划!D514</f>
        <v>0</v>
      </c>
      <c r="E4347" s="1">
        <f>总规划!E514</f>
        <v>0</v>
      </c>
      <c r="F4347" s="1">
        <f>总规划!F514</f>
        <v>0</v>
      </c>
      <c r="G4347" s="1">
        <f>总规划!G514</f>
        <v>0</v>
      </c>
      <c r="H4347" s="1">
        <f>总规划!H514</f>
        <v>0</v>
      </c>
      <c r="I4347" s="1">
        <f>总规划!I514</f>
        <v>0</v>
      </c>
      <c r="J4347" s="1">
        <f>总规划!J514</f>
        <v>0</v>
      </c>
      <c r="K4347" s="1">
        <f>总规划!K514</f>
        <v>0</v>
      </c>
      <c r="L4347" s="1">
        <f>总规划!L514</f>
        <v>0</v>
      </c>
      <c r="M4347" s="1">
        <f>总规划!M514</f>
        <v>0</v>
      </c>
      <c r="N4347" s="1">
        <f>总规划!N514</f>
        <v>0</v>
      </c>
      <c r="O4347" s="1">
        <f>总规划!O514</f>
        <v>0</v>
      </c>
    </row>
    <row r="4348" spans="2:15">
      <c r="B4348" s="1">
        <f>总规划!B515</f>
        <v>0</v>
      </c>
      <c r="C4348" s="1">
        <f>总规划!C515</f>
        <v>0</v>
      </c>
      <c r="D4348" s="1">
        <f>总规划!D515</f>
        <v>0</v>
      </c>
      <c r="E4348" s="1">
        <f>总规划!E515</f>
        <v>0</v>
      </c>
      <c r="F4348" s="1">
        <f>总规划!F515</f>
        <v>0</v>
      </c>
      <c r="G4348" s="1">
        <f>总规划!G515</f>
        <v>0</v>
      </c>
      <c r="H4348" s="1">
        <f>总规划!H515</f>
        <v>0</v>
      </c>
      <c r="I4348" s="1">
        <f>总规划!I515</f>
        <v>0</v>
      </c>
      <c r="J4348" s="1">
        <f>总规划!J515</f>
        <v>0</v>
      </c>
      <c r="K4348" s="1">
        <f>总规划!K515</f>
        <v>0</v>
      </c>
      <c r="L4348" s="1">
        <f>总规划!L515</f>
        <v>0</v>
      </c>
      <c r="M4348" s="1">
        <f>总规划!M515</f>
        <v>0</v>
      </c>
      <c r="N4348" s="1">
        <f>总规划!N515</f>
        <v>0</v>
      </c>
      <c r="O4348" s="1">
        <f>总规划!O515</f>
        <v>0</v>
      </c>
    </row>
    <row r="4349" spans="2:15">
      <c r="B4349" s="1">
        <f>总规划!B516</f>
        <v>0</v>
      </c>
      <c r="C4349" s="1">
        <f>总规划!C516</f>
        <v>0</v>
      </c>
      <c r="D4349" s="1">
        <f>总规划!D516</f>
        <v>0</v>
      </c>
      <c r="E4349" s="1">
        <f>总规划!E516</f>
        <v>0</v>
      </c>
      <c r="F4349" s="1">
        <f>总规划!F516</f>
        <v>0</v>
      </c>
      <c r="G4349" s="1">
        <f>总规划!G516</f>
        <v>0</v>
      </c>
      <c r="H4349" s="1">
        <f>总规划!H516</f>
        <v>0</v>
      </c>
      <c r="I4349" s="1">
        <f>总规划!I516</f>
        <v>0</v>
      </c>
      <c r="J4349" s="1">
        <f>总规划!J516</f>
        <v>0</v>
      </c>
      <c r="K4349" s="1">
        <f>总规划!K516</f>
        <v>0</v>
      </c>
      <c r="L4349" s="1">
        <f>总规划!L516</f>
        <v>0</v>
      </c>
      <c r="M4349" s="1">
        <f>总规划!M516</f>
        <v>0</v>
      </c>
      <c r="N4349" s="1">
        <f>总规划!N516</f>
        <v>0</v>
      </c>
      <c r="O4349" s="1">
        <f>总规划!O516</f>
        <v>0</v>
      </c>
    </row>
    <row r="4350" spans="2:15">
      <c r="B4350" s="1">
        <f>总规划!B532</f>
        <v>0</v>
      </c>
      <c r="C4350" s="1">
        <f>总规划!C532</f>
        <v>0</v>
      </c>
      <c r="D4350" s="1">
        <f>总规划!D532</f>
        <v>0</v>
      </c>
      <c r="E4350" s="1">
        <f>总规划!E532</f>
        <v>0</v>
      </c>
      <c r="F4350" s="1">
        <f>总规划!F532</f>
        <v>0</v>
      </c>
      <c r="G4350" s="1">
        <f>总规划!G532</f>
        <v>0</v>
      </c>
      <c r="H4350" s="1">
        <f>总规划!H532</f>
        <v>0</v>
      </c>
      <c r="I4350" s="1">
        <f>总规划!I532</f>
        <v>0</v>
      </c>
      <c r="J4350" s="1">
        <f>总规划!J532</f>
        <v>0</v>
      </c>
      <c r="K4350" s="1">
        <f>总规划!K532</f>
        <v>0</v>
      </c>
      <c r="L4350" s="1">
        <f>总规划!L532</f>
        <v>0</v>
      </c>
      <c r="M4350" s="1">
        <f>总规划!M532</f>
        <v>0</v>
      </c>
      <c r="N4350" s="1">
        <f>总规划!N532</f>
        <v>0</v>
      </c>
      <c r="O4350" s="1">
        <f>总规划!O532</f>
        <v>0</v>
      </c>
    </row>
    <row r="4352" spans="2:12">
      <c r="B4352" s="27" t="s">
        <v>2166</v>
      </c>
      <c r="C4352" s="27"/>
      <c r="D4352" s="27"/>
      <c r="E4352" s="27"/>
      <c r="F4352" s="27"/>
      <c r="G4352" s="27"/>
      <c r="H4352" s="27"/>
      <c r="I4352" s="27"/>
      <c r="J4352" s="27"/>
      <c r="K4352" s="27"/>
      <c r="L4352" s="27"/>
    </row>
    <row r="4354" spans="2:20">
      <c r="B4354" s="4" t="s">
        <v>1527</v>
      </c>
      <c r="D4354" s="4" t="s">
        <v>607</v>
      </c>
      <c r="E4354" s="4"/>
      <c r="F4354" s="4"/>
      <c r="G4354" s="6" t="s">
        <v>1528</v>
      </c>
      <c r="H4354" s="4" t="s">
        <v>1529</v>
      </c>
      <c r="I4354" s="5" t="s">
        <v>1530</v>
      </c>
      <c r="J4354" s="92" t="s">
        <v>1493</v>
      </c>
      <c r="K4354" s="60" t="s">
        <v>1532</v>
      </c>
      <c r="L4354" s="30" t="s">
        <v>1514</v>
      </c>
      <c r="M4354" s="6" t="s">
        <v>1533</v>
      </c>
      <c r="N4354" s="1" t="s">
        <v>597</v>
      </c>
      <c r="O4354" s="1" t="s">
        <v>598</v>
      </c>
      <c r="P4354" s="1" t="s">
        <v>2167</v>
      </c>
      <c r="Q4354" s="4" t="s">
        <v>1378</v>
      </c>
      <c r="R4354" s="6" t="s">
        <v>1535</v>
      </c>
      <c r="S4354" s="1" t="s">
        <v>1536</v>
      </c>
      <c r="T4354" s="1" t="s">
        <v>2168</v>
      </c>
    </row>
    <row r="4355" spans="2:20">
      <c r="B4355" s="4" t="s">
        <v>2169</v>
      </c>
      <c r="D4355" s="4" t="s">
        <v>2170</v>
      </c>
      <c r="G4355" s="6">
        <v>1</v>
      </c>
      <c r="H4355" s="4" t="str">
        <f t="shared" ref="H4355:H4373" si="1290">IF(M4355&gt;-0.5,"purple","yellow")</f>
        <v>purple</v>
      </c>
      <c r="I4355" s="105">
        <f t="shared" ref="I4355:I4362" si="1291">N4355/Q4355</f>
        <v>1.04166666666667</v>
      </c>
      <c r="J4355" s="106">
        <v>1</v>
      </c>
      <c r="K4355" s="69" t="s">
        <v>476</v>
      </c>
      <c r="L4355" s="30"/>
      <c r="M4355" s="6"/>
      <c r="N4355" s="1">
        <v>83.3333333333333</v>
      </c>
      <c r="O4355" s="1">
        <v>83.3333333333333</v>
      </c>
      <c r="P4355" s="1">
        <f>O4355*(1+M4355)</f>
        <v>83.3333333333333</v>
      </c>
      <c r="Q4355" s="4">
        <f>_xlfn.FLOOR.MATH(P4355,5)</f>
        <v>80</v>
      </c>
      <c r="R4355" s="6"/>
      <c r="S4355" s="1">
        <f t="shared" ref="S4355:S4373" si="1292">R4355*G4355</f>
        <v>0</v>
      </c>
      <c r="T4355" s="1">
        <f t="shared" ref="T4355:T4357" si="1293">R4355*Q4355</f>
        <v>0</v>
      </c>
    </row>
    <row r="4356" spans="2:20">
      <c r="B4356" s="4" t="s">
        <v>2171</v>
      </c>
      <c r="D4356" s="4" t="s">
        <v>1622</v>
      </c>
      <c r="G4356" s="6">
        <v>1</v>
      </c>
      <c r="H4356" s="4" t="str">
        <f t="shared" si="1290"/>
        <v>purple</v>
      </c>
      <c r="I4356" s="105">
        <f t="shared" si="1291"/>
        <v>0.868055555555556</v>
      </c>
      <c r="J4356" s="106">
        <v>1</v>
      </c>
      <c r="K4356" s="69" t="s">
        <v>478</v>
      </c>
      <c r="L4356" s="30"/>
      <c r="M4356" s="6"/>
      <c r="N4356" s="1">
        <v>208.333333333333</v>
      </c>
      <c r="O4356" s="1">
        <v>240</v>
      </c>
      <c r="P4356" s="1">
        <f t="shared" ref="P4356:P4360" si="1294">O4356*(1+M4356)</f>
        <v>240</v>
      </c>
      <c r="Q4356" s="4">
        <f>_xlfn.FLOOR.MATH(P4356,5)</f>
        <v>240</v>
      </c>
      <c r="R4356" s="6"/>
      <c r="S4356" s="1">
        <f t="shared" si="1292"/>
        <v>0</v>
      </c>
      <c r="T4356" s="1">
        <f t="shared" si="1293"/>
        <v>0</v>
      </c>
    </row>
    <row r="4357" spans="2:20">
      <c r="B4357" s="4" t="s">
        <v>2172</v>
      </c>
      <c r="D4357" s="4" t="s">
        <v>1555</v>
      </c>
      <c r="G4357" s="6">
        <v>1</v>
      </c>
      <c r="H4357" s="4" t="str">
        <f t="shared" si="1290"/>
        <v>yellow</v>
      </c>
      <c r="I4357" s="105">
        <f t="shared" si="1291"/>
        <v>4.19166666666667</v>
      </c>
      <c r="J4357" s="106">
        <v>1</v>
      </c>
      <c r="K4357" s="69" t="s">
        <v>63</v>
      </c>
      <c r="L4357" s="30" t="s">
        <v>1515</v>
      </c>
      <c r="M4357" s="6">
        <v>-0.6</v>
      </c>
      <c r="N4357" s="1">
        <v>251.5</v>
      </c>
      <c r="O4357" s="1">
        <v>150</v>
      </c>
      <c r="P4357" s="1">
        <f t="shared" si="1294"/>
        <v>60</v>
      </c>
      <c r="Q4357" s="4">
        <f>_xlfn.FLOOR.MATH(P4357,5)</f>
        <v>60</v>
      </c>
      <c r="R4357" s="6">
        <v>10</v>
      </c>
      <c r="S4357" s="1">
        <f t="shared" si="1292"/>
        <v>10</v>
      </c>
      <c r="T4357" s="1">
        <f t="shared" si="1293"/>
        <v>600</v>
      </c>
    </row>
    <row r="4358" spans="2:20">
      <c r="B4358" s="4" t="s">
        <v>2173</v>
      </c>
      <c r="D4358" s="4" t="s">
        <v>2174</v>
      </c>
      <c r="G4358" s="6">
        <v>1</v>
      </c>
      <c r="H4358" s="4" t="str">
        <f t="shared" si="1290"/>
        <v>yellow</v>
      </c>
      <c r="I4358" s="105">
        <f t="shared" si="1291"/>
        <v>10.2564102564103</v>
      </c>
      <c r="J4358" s="106">
        <v>1</v>
      </c>
      <c r="K4358" s="69" t="s">
        <v>468</v>
      </c>
      <c r="L4358" s="30" t="s">
        <v>1515</v>
      </c>
      <c r="M4358" s="6">
        <v>-0.9</v>
      </c>
      <c r="N4358" s="1">
        <v>1333.33333333333</v>
      </c>
      <c r="O4358" s="1">
        <v>1333.33333333333</v>
      </c>
      <c r="P4358" s="1">
        <f t="shared" si="1294"/>
        <v>133.333333333333</v>
      </c>
      <c r="Q4358" s="4">
        <f>_xlfn.FLOOR.MATH(P4358,5)</f>
        <v>130</v>
      </c>
      <c r="R4358" s="6">
        <v>10</v>
      </c>
      <c r="S4358" s="1">
        <f t="shared" si="1292"/>
        <v>10</v>
      </c>
      <c r="T4358" s="1">
        <f t="shared" ref="T4358:T4360" si="1295">R4358*Q4358</f>
        <v>1300</v>
      </c>
    </row>
    <row r="4359" spans="2:20">
      <c r="B4359" s="4" t="s">
        <v>2175</v>
      </c>
      <c r="D4359" s="4" t="s">
        <v>2174</v>
      </c>
      <c r="G4359" s="6">
        <v>1</v>
      </c>
      <c r="H4359" s="4" t="str">
        <f t="shared" si="1290"/>
        <v>yellow</v>
      </c>
      <c r="I4359" s="105">
        <f t="shared" si="1291"/>
        <v>5.0314465408805</v>
      </c>
      <c r="J4359" s="106">
        <v>2</v>
      </c>
      <c r="K4359" s="69" t="s">
        <v>468</v>
      </c>
      <c r="L4359" s="30" t="s">
        <v>1516</v>
      </c>
      <c r="M4359" s="6">
        <v>-0.8</v>
      </c>
      <c r="N4359" s="1">
        <v>1333.33333333333</v>
      </c>
      <c r="O4359" s="1">
        <v>1333.33333333333</v>
      </c>
      <c r="P4359" s="1">
        <f t="shared" si="1294"/>
        <v>266.666666666667</v>
      </c>
      <c r="Q4359" s="4">
        <f>_xlfn.FLOOR.MATH(P4359,5)</f>
        <v>265</v>
      </c>
      <c r="R4359" s="6">
        <v>10</v>
      </c>
      <c r="S4359" s="1">
        <f t="shared" si="1292"/>
        <v>10</v>
      </c>
      <c r="T4359" s="1">
        <f t="shared" si="1295"/>
        <v>2650</v>
      </c>
    </row>
    <row r="4360" spans="2:20">
      <c r="B4360" s="4" t="s">
        <v>2176</v>
      </c>
      <c r="D4360" s="4" t="s">
        <v>2177</v>
      </c>
      <c r="G4360" s="6">
        <v>1</v>
      </c>
      <c r="H4360" s="4" t="str">
        <f t="shared" si="1290"/>
        <v>yellow</v>
      </c>
      <c r="I4360" s="105">
        <f t="shared" si="1291"/>
        <v>5.55555555555556</v>
      </c>
      <c r="J4360" s="106">
        <v>2</v>
      </c>
      <c r="K4360" s="69" t="s">
        <v>483</v>
      </c>
      <c r="L4360" s="30" t="s">
        <v>1515</v>
      </c>
      <c r="M4360" s="6">
        <v>-0.8</v>
      </c>
      <c r="N4360" s="1">
        <v>83.3333333333333</v>
      </c>
      <c r="O4360" s="1">
        <v>83.3333333333333</v>
      </c>
      <c r="P4360" s="1">
        <f t="shared" si="1294"/>
        <v>16.6666666666667</v>
      </c>
      <c r="Q4360" s="4">
        <f>_xlfn.FLOOR.MATH(P4360,5)</f>
        <v>15</v>
      </c>
      <c r="R4360" s="6">
        <v>15</v>
      </c>
      <c r="S4360" s="1">
        <f t="shared" si="1292"/>
        <v>15</v>
      </c>
      <c r="T4360" s="1">
        <f t="shared" si="1295"/>
        <v>225</v>
      </c>
    </row>
    <row r="4361" spans="2:20">
      <c r="B4361" s="4" t="s">
        <v>2178</v>
      </c>
      <c r="D4361" s="4" t="s">
        <v>2093</v>
      </c>
      <c r="G4361" s="6">
        <v>1</v>
      </c>
      <c r="H4361" s="4" t="str">
        <f t="shared" si="1290"/>
        <v>yellow</v>
      </c>
      <c r="I4361" s="105">
        <f t="shared" si="1291"/>
        <v>2.5</v>
      </c>
      <c r="J4361" s="106">
        <v>2</v>
      </c>
      <c r="K4361" s="69" t="s">
        <v>611</v>
      </c>
      <c r="L4361" s="30" t="s">
        <v>1516</v>
      </c>
      <c r="M4361" s="6">
        <v>-0.6</v>
      </c>
      <c r="N4361" s="1">
        <v>200</v>
      </c>
      <c r="O4361" s="1">
        <v>200</v>
      </c>
      <c r="P4361" s="1">
        <f t="shared" ref="P4361:P4373" si="1296">O4361*(1+M4361)</f>
        <v>80</v>
      </c>
      <c r="Q4361" s="4">
        <f>_xlfn.FLOOR.MATH(P4361,5)</f>
        <v>80</v>
      </c>
      <c r="R4361" s="6">
        <v>5</v>
      </c>
      <c r="S4361" s="1">
        <f t="shared" si="1292"/>
        <v>5</v>
      </c>
      <c r="T4361" s="1">
        <f t="shared" ref="T4361:T4373" si="1297">R4361*Q4361</f>
        <v>400</v>
      </c>
    </row>
    <row r="4362" spans="2:20">
      <c r="B4362" s="4" t="s">
        <v>2179</v>
      </c>
      <c r="D4362" s="4" t="s">
        <v>1584</v>
      </c>
      <c r="G4362" s="6">
        <v>1</v>
      </c>
      <c r="H4362" s="4" t="str">
        <f t="shared" si="1290"/>
        <v>yellow</v>
      </c>
      <c r="I4362" s="105">
        <f t="shared" si="1291"/>
        <v>2.5</v>
      </c>
      <c r="J4362" s="106">
        <v>2</v>
      </c>
      <c r="K4362" s="69" t="s">
        <v>484</v>
      </c>
      <c r="L4362" s="30"/>
      <c r="M4362" s="6">
        <v>-0.6</v>
      </c>
      <c r="N4362" s="1">
        <v>5900</v>
      </c>
      <c r="O4362" s="1">
        <v>5900</v>
      </c>
      <c r="P4362" s="1">
        <f t="shared" si="1296"/>
        <v>2360</v>
      </c>
      <c r="Q4362" s="4">
        <f>_xlfn.FLOOR.MATH(P4362,5)</f>
        <v>2360</v>
      </c>
      <c r="R4362" s="6">
        <v>1</v>
      </c>
      <c r="S4362" s="1">
        <f t="shared" si="1292"/>
        <v>1</v>
      </c>
      <c r="T4362" s="1">
        <f t="shared" si="1297"/>
        <v>2360</v>
      </c>
    </row>
    <row r="4363" spans="2:20">
      <c r="B4363" s="4" t="s">
        <v>2180</v>
      </c>
      <c r="D4363" s="4" t="s">
        <v>2181</v>
      </c>
      <c r="G4363" s="6">
        <v>1</v>
      </c>
      <c r="H4363" s="4" t="str">
        <f t="shared" si="1290"/>
        <v>yellow</v>
      </c>
      <c r="I4363" s="105">
        <f t="shared" ref="I4363:I4367" si="1298">N4363/Q4363</f>
        <v>2.5</v>
      </c>
      <c r="J4363" s="106">
        <v>3</v>
      </c>
      <c r="K4363" s="69" t="s">
        <v>2182</v>
      </c>
      <c r="L4363" s="30" t="s">
        <v>1516</v>
      </c>
      <c r="M4363" s="6">
        <v>-0.6</v>
      </c>
      <c r="N4363" s="1">
        <v>600</v>
      </c>
      <c r="O4363" s="1">
        <v>600</v>
      </c>
      <c r="P4363" s="1">
        <f t="shared" si="1296"/>
        <v>240</v>
      </c>
      <c r="Q4363" s="4">
        <f>_xlfn.FLOOR.MATH(P4363,5)</f>
        <v>240</v>
      </c>
      <c r="R4363" s="6">
        <v>3</v>
      </c>
      <c r="S4363" s="1">
        <f t="shared" si="1292"/>
        <v>3</v>
      </c>
      <c r="T4363" s="1">
        <f t="shared" si="1297"/>
        <v>720</v>
      </c>
    </row>
    <row r="4364" spans="2:20">
      <c r="B4364" s="4" t="s">
        <v>2183</v>
      </c>
      <c r="D4364" s="4" t="s">
        <v>1586</v>
      </c>
      <c r="G4364" s="6">
        <v>1</v>
      </c>
      <c r="H4364" s="4" t="str">
        <f t="shared" si="1290"/>
        <v>yellow</v>
      </c>
      <c r="I4364" s="105">
        <f t="shared" si="1298"/>
        <v>2.5</v>
      </c>
      <c r="J4364" s="106">
        <v>3</v>
      </c>
      <c r="K4364" s="69" t="s">
        <v>484</v>
      </c>
      <c r="L4364" s="30"/>
      <c r="M4364" s="6">
        <v>-0.6</v>
      </c>
      <c r="N4364" s="1">
        <v>5900</v>
      </c>
      <c r="O4364" s="1">
        <v>5900</v>
      </c>
      <c r="P4364" s="1">
        <f t="shared" si="1296"/>
        <v>2360</v>
      </c>
      <c r="Q4364" s="4">
        <f>_xlfn.FLOOR.MATH(P4364,5)</f>
        <v>2360</v>
      </c>
      <c r="R4364" s="6">
        <v>1</v>
      </c>
      <c r="S4364" s="1">
        <f t="shared" si="1292"/>
        <v>1</v>
      </c>
      <c r="T4364" s="1">
        <f t="shared" si="1297"/>
        <v>2360</v>
      </c>
    </row>
    <row r="4365" spans="2:20">
      <c r="B4365" s="4" t="s">
        <v>2184</v>
      </c>
      <c r="D4365" s="4" t="s">
        <v>1588</v>
      </c>
      <c r="G4365" s="6">
        <v>1</v>
      </c>
      <c r="H4365" s="4" t="str">
        <f t="shared" si="1290"/>
        <v>yellow</v>
      </c>
      <c r="I4365" s="105">
        <f t="shared" si="1298"/>
        <v>2.5</v>
      </c>
      <c r="J4365" s="106">
        <v>3</v>
      </c>
      <c r="K4365" s="69" t="s">
        <v>484</v>
      </c>
      <c r="L4365" s="30"/>
      <c r="M4365" s="6">
        <v>-0.6</v>
      </c>
      <c r="N4365" s="1">
        <v>5900</v>
      </c>
      <c r="O4365" s="1">
        <v>5900</v>
      </c>
      <c r="P4365" s="1">
        <f t="shared" si="1296"/>
        <v>2360</v>
      </c>
      <c r="Q4365" s="4">
        <f>_xlfn.FLOOR.MATH(P4365,5)</f>
        <v>2360</v>
      </c>
      <c r="R4365" s="6">
        <v>1</v>
      </c>
      <c r="S4365" s="1">
        <f t="shared" si="1292"/>
        <v>1</v>
      </c>
      <c r="T4365" s="1">
        <f t="shared" si="1297"/>
        <v>2360</v>
      </c>
    </row>
    <row r="4366" spans="2:20">
      <c r="B4366" s="4" t="s">
        <v>2185</v>
      </c>
      <c r="D4366" s="4" t="s">
        <v>1590</v>
      </c>
      <c r="G4366" s="6">
        <v>1</v>
      </c>
      <c r="H4366" s="4" t="str">
        <f t="shared" si="1290"/>
        <v>yellow</v>
      </c>
      <c r="I4366" s="105">
        <f t="shared" si="1298"/>
        <v>2.5</v>
      </c>
      <c r="J4366" s="106">
        <v>3</v>
      </c>
      <c r="K4366" s="69" t="s">
        <v>484</v>
      </c>
      <c r="L4366" s="30"/>
      <c r="M4366" s="6">
        <v>-0.6</v>
      </c>
      <c r="N4366" s="1">
        <v>5900</v>
      </c>
      <c r="O4366" s="1">
        <v>5900</v>
      </c>
      <c r="P4366" s="1">
        <f t="shared" si="1296"/>
        <v>2360</v>
      </c>
      <c r="Q4366" s="4">
        <f>_xlfn.FLOOR.MATH(P4366,5)</f>
        <v>2360</v>
      </c>
      <c r="R4366" s="6">
        <v>1</v>
      </c>
      <c r="S4366" s="1">
        <f t="shared" si="1292"/>
        <v>1</v>
      </c>
      <c r="T4366" s="1">
        <f t="shared" si="1297"/>
        <v>2360</v>
      </c>
    </row>
    <row r="4367" spans="2:20">
      <c r="B4367" s="4" t="s">
        <v>2186</v>
      </c>
      <c r="D4367" s="4" t="s">
        <v>1592</v>
      </c>
      <c r="G4367" s="6">
        <v>1</v>
      </c>
      <c r="H4367" s="4" t="str">
        <f t="shared" si="1290"/>
        <v>yellow</v>
      </c>
      <c r="I4367" s="105">
        <f t="shared" si="1298"/>
        <v>2.5</v>
      </c>
      <c r="J4367" s="106">
        <v>3</v>
      </c>
      <c r="K4367" s="69" t="s">
        <v>484</v>
      </c>
      <c r="L4367" s="30"/>
      <c r="M4367" s="6">
        <v>-0.6</v>
      </c>
      <c r="N4367" s="1">
        <v>5900</v>
      </c>
      <c r="O4367" s="1">
        <v>5900</v>
      </c>
      <c r="P4367" s="1">
        <f t="shared" si="1296"/>
        <v>2360</v>
      </c>
      <c r="Q4367" s="4">
        <f>_xlfn.FLOOR.MATH(P4367,5)</f>
        <v>2360</v>
      </c>
      <c r="R4367" s="6">
        <v>1</v>
      </c>
      <c r="S4367" s="1">
        <f t="shared" si="1292"/>
        <v>1</v>
      </c>
      <c r="T4367" s="1">
        <f t="shared" si="1297"/>
        <v>2360</v>
      </c>
    </row>
    <row r="4368" spans="2:20">
      <c r="B4368" s="4" t="s">
        <v>2187</v>
      </c>
      <c r="D4368" s="4" t="s">
        <v>2177</v>
      </c>
      <c r="G4368" s="6">
        <v>5</v>
      </c>
      <c r="H4368" s="4" t="str">
        <f t="shared" si="1290"/>
        <v>yellow</v>
      </c>
      <c r="I4368" s="105">
        <f t="shared" ref="I4368:I4373" si="1299">N4368/Q4368</f>
        <v>2.52525252525253</v>
      </c>
      <c r="J4368" s="106">
        <v>4</v>
      </c>
      <c r="K4368" s="69" t="s">
        <v>483</v>
      </c>
      <c r="L4368" s="30" t="s">
        <v>1516</v>
      </c>
      <c r="M4368" s="6">
        <v>-0.6</v>
      </c>
      <c r="N4368" s="1">
        <v>416.666666666667</v>
      </c>
      <c r="O4368" s="1">
        <v>416.666666666667</v>
      </c>
      <c r="P4368" s="1">
        <f t="shared" si="1296"/>
        <v>166.666666666667</v>
      </c>
      <c r="Q4368" s="4">
        <f>_xlfn.FLOOR.MATH(P4368,5)</f>
        <v>165</v>
      </c>
      <c r="R4368" s="6">
        <v>5</v>
      </c>
      <c r="S4368" s="1">
        <f t="shared" si="1292"/>
        <v>25</v>
      </c>
      <c r="T4368" s="1">
        <f t="shared" si="1297"/>
        <v>825</v>
      </c>
    </row>
    <row r="4369" spans="2:20">
      <c r="B4369" s="4" t="s">
        <v>2188</v>
      </c>
      <c r="D4369" s="4" t="s">
        <v>1594</v>
      </c>
      <c r="G4369" s="6">
        <v>1</v>
      </c>
      <c r="H4369" s="4" t="str">
        <f t="shared" si="1290"/>
        <v>yellow</v>
      </c>
      <c r="I4369" s="105">
        <f t="shared" si="1299"/>
        <v>2.5</v>
      </c>
      <c r="J4369" s="106">
        <v>4</v>
      </c>
      <c r="K4369" s="69" t="s">
        <v>484</v>
      </c>
      <c r="L4369" s="30"/>
      <c r="M4369" s="6">
        <v>-0.6</v>
      </c>
      <c r="N4369" s="1">
        <v>11800</v>
      </c>
      <c r="O4369" s="1">
        <v>11800</v>
      </c>
      <c r="P4369" s="1">
        <f t="shared" si="1296"/>
        <v>4720</v>
      </c>
      <c r="Q4369" s="4">
        <f>_xlfn.FLOOR.MATH(P4369,5)</f>
        <v>4720</v>
      </c>
      <c r="R4369" s="6">
        <v>1</v>
      </c>
      <c r="S4369" s="1">
        <f t="shared" si="1292"/>
        <v>1</v>
      </c>
      <c r="T4369" s="1">
        <f t="shared" si="1297"/>
        <v>4720</v>
      </c>
    </row>
    <row r="4370" spans="2:20">
      <c r="B4370" s="4" t="s">
        <v>2189</v>
      </c>
      <c r="D4370" s="4" t="s">
        <v>1596</v>
      </c>
      <c r="G4370" s="6">
        <v>1</v>
      </c>
      <c r="H4370" s="4" t="str">
        <f t="shared" si="1290"/>
        <v>yellow</v>
      </c>
      <c r="I4370" s="105">
        <f t="shared" si="1299"/>
        <v>2.5</v>
      </c>
      <c r="J4370" s="106">
        <v>4</v>
      </c>
      <c r="K4370" s="69" t="s">
        <v>484</v>
      </c>
      <c r="L4370" s="30"/>
      <c r="M4370" s="6">
        <v>-0.6</v>
      </c>
      <c r="N4370" s="1">
        <v>11800</v>
      </c>
      <c r="O4370" s="1">
        <v>11800</v>
      </c>
      <c r="P4370" s="1">
        <f t="shared" si="1296"/>
        <v>4720</v>
      </c>
      <c r="Q4370" s="4">
        <f>_xlfn.FLOOR.MATH(P4370,10)</f>
        <v>4720</v>
      </c>
      <c r="R4370" s="6">
        <v>1</v>
      </c>
      <c r="S4370" s="1">
        <f t="shared" si="1292"/>
        <v>1</v>
      </c>
      <c r="T4370" s="1">
        <f t="shared" si="1297"/>
        <v>4720</v>
      </c>
    </row>
    <row r="4371" spans="2:20">
      <c r="B4371" s="4" t="s">
        <v>2190</v>
      </c>
      <c r="D4371" s="4" t="s">
        <v>1598</v>
      </c>
      <c r="G4371" s="6">
        <v>1</v>
      </c>
      <c r="H4371" s="4" t="str">
        <f t="shared" si="1290"/>
        <v>yellow</v>
      </c>
      <c r="I4371" s="105">
        <f t="shared" si="1299"/>
        <v>2.5</v>
      </c>
      <c r="J4371" s="106">
        <v>4</v>
      </c>
      <c r="K4371" s="69" t="s">
        <v>484</v>
      </c>
      <c r="L4371" s="30"/>
      <c r="M4371" s="6">
        <v>-0.6</v>
      </c>
      <c r="N4371" s="1">
        <v>11800</v>
      </c>
      <c r="O4371" s="1">
        <v>11800</v>
      </c>
      <c r="P4371" s="1">
        <f t="shared" si="1296"/>
        <v>4720</v>
      </c>
      <c r="Q4371" s="4">
        <f>_xlfn.FLOOR.MATH(P4371,10)</f>
        <v>4720</v>
      </c>
      <c r="R4371" s="6">
        <v>1</v>
      </c>
      <c r="S4371" s="1">
        <f t="shared" si="1292"/>
        <v>1</v>
      </c>
      <c r="T4371" s="1">
        <f t="shared" si="1297"/>
        <v>4720</v>
      </c>
    </row>
    <row r="4372" spans="2:20">
      <c r="B4372" s="4" t="s">
        <v>2191</v>
      </c>
      <c r="D4372" s="4" t="s">
        <v>1600</v>
      </c>
      <c r="G4372" s="6">
        <v>1</v>
      </c>
      <c r="H4372" s="4" t="str">
        <f t="shared" si="1290"/>
        <v>yellow</v>
      </c>
      <c r="I4372" s="105">
        <f t="shared" si="1299"/>
        <v>2.5</v>
      </c>
      <c r="J4372" s="106">
        <v>4</v>
      </c>
      <c r="K4372" s="69" t="s">
        <v>484</v>
      </c>
      <c r="L4372" s="30"/>
      <c r="M4372" s="6">
        <v>-0.6</v>
      </c>
      <c r="N4372" s="1">
        <v>11800</v>
      </c>
      <c r="O4372" s="1">
        <v>11800</v>
      </c>
      <c r="P4372" s="1">
        <f t="shared" si="1296"/>
        <v>4720</v>
      </c>
      <c r="Q4372" s="4">
        <f>_xlfn.FLOOR.MATH(P4372,10)</f>
        <v>4720</v>
      </c>
      <c r="R4372" s="6">
        <v>1</v>
      </c>
      <c r="S4372" s="1">
        <f t="shared" si="1292"/>
        <v>1</v>
      </c>
      <c r="T4372" s="1">
        <f t="shared" si="1297"/>
        <v>4720</v>
      </c>
    </row>
    <row r="4373" spans="2:20">
      <c r="B4373" s="4" t="s">
        <v>2192</v>
      </c>
      <c r="D4373" s="4" t="s">
        <v>2193</v>
      </c>
      <c r="G4373" s="6">
        <v>1</v>
      </c>
      <c r="H4373" s="4" t="str">
        <f t="shared" si="1290"/>
        <v>purple</v>
      </c>
      <c r="I4373" s="105">
        <f t="shared" si="1299"/>
        <v>1.11111111111111</v>
      </c>
      <c r="J4373" s="106">
        <v>1</v>
      </c>
      <c r="K4373" s="69" t="s">
        <v>472</v>
      </c>
      <c r="L4373" s="30"/>
      <c r="M4373" s="6">
        <v>1</v>
      </c>
      <c r="N4373" s="1">
        <v>33.3333333333333</v>
      </c>
      <c r="O4373" s="1">
        <v>16.6666666666667</v>
      </c>
      <c r="P4373" s="1">
        <f t="shared" si="1296"/>
        <v>33.3333333333333</v>
      </c>
      <c r="Q4373" s="4">
        <f>_xlfn.FLOOR.MATH(P4373,5)</f>
        <v>30</v>
      </c>
      <c r="R4373" s="6"/>
      <c r="S4373" s="1">
        <f t="shared" si="1292"/>
        <v>0</v>
      </c>
      <c r="T4373" s="1">
        <f t="shared" si="1297"/>
        <v>0</v>
      </c>
    </row>
    <row r="4374" spans="2:20">
      <c r="B4374" s="4"/>
      <c r="D4374" s="4"/>
      <c r="G4374" s="4"/>
      <c r="H4374" s="4"/>
      <c r="I4374" s="105"/>
      <c r="J4374" s="105"/>
      <c r="L4374" s="4"/>
      <c r="O4374" s="4"/>
      <c r="S4374" s="1" t="s">
        <v>1601</v>
      </c>
      <c r="T4374" s="5">
        <f>SUMIFS($T$4099:$T$4116,$L$4099:$L$4116,"一档")</f>
        <v>2125</v>
      </c>
    </row>
    <row r="4375" spans="2:20">
      <c r="B4375" s="4"/>
      <c r="D4375" s="4"/>
      <c r="G4375" s="4"/>
      <c r="H4375" s="4"/>
      <c r="I4375" s="105"/>
      <c r="J4375" s="105"/>
      <c r="L4375" s="4"/>
      <c r="O4375" s="4"/>
      <c r="S4375" s="1" t="s">
        <v>1602</v>
      </c>
      <c r="T4375" s="5">
        <f>SUMIFS($T$4099:$T$4116,$L$4099:$L$4116,"二档")</f>
        <v>4595</v>
      </c>
    </row>
    <row r="4376" spans="2:20">
      <c r="B4376" s="4"/>
      <c r="D4376" s="4"/>
      <c r="G4376" s="4"/>
      <c r="H4376" s="4"/>
      <c r="I4376" s="105"/>
      <c r="J4376" s="105"/>
      <c r="L4376" s="4"/>
      <c r="O4376" s="4"/>
      <c r="S4376" s="1" t="s">
        <v>1603</v>
      </c>
      <c r="T4376" s="5">
        <f>SUM(T4374:T4375)</f>
        <v>6720</v>
      </c>
    </row>
    <row r="4377" spans="2:20">
      <c r="B4377" s="4"/>
      <c r="D4377" s="4"/>
      <c r="G4377" s="4"/>
      <c r="H4377" s="4"/>
      <c r="I4377" s="105"/>
      <c r="J4377" s="105"/>
      <c r="L4377" s="4"/>
      <c r="O4377" s="4"/>
      <c r="T4377" s="5"/>
    </row>
    <row r="4378" spans="2:12">
      <c r="B4378" s="27" t="s">
        <v>2194</v>
      </c>
      <c r="C4378" s="27"/>
      <c r="D4378" s="27"/>
      <c r="E4378" s="27"/>
      <c r="F4378" s="27"/>
      <c r="G4378" s="27"/>
      <c r="H4378" s="27"/>
      <c r="I4378" s="27"/>
      <c r="J4378" s="27"/>
      <c r="K4378" s="27"/>
      <c r="L4378" s="27"/>
    </row>
    <row r="4380" spans="2:4">
      <c r="B4380" s="1" t="s">
        <v>483</v>
      </c>
      <c r="D4380" s="5">
        <f>SUMIFS($S$4099:$S$4116,$K$4099:$K$4116,"配件材料")*100/$D$4029</f>
        <v>571.428571428571</v>
      </c>
    </row>
    <row r="4381" spans="2:4">
      <c r="B4381" s="1" t="s">
        <v>454</v>
      </c>
      <c r="D4381" s="5">
        <f>SUMIFS($S$4099:$S$4116,$K$4099:$K$4116,"抽卡券")*$E$4819/$D$4029</f>
        <v>1.14285714285714</v>
      </c>
    </row>
    <row r="4382" spans="2:4">
      <c r="B4382" s="1" t="s">
        <v>458</v>
      </c>
      <c r="D4382" s="5">
        <f>SUMIFS($S$4099:$S$4116,$K$4099:$K$4116,"抽卡券")*$E$4820/$D$4029</f>
        <v>26.1428571428571</v>
      </c>
    </row>
    <row r="4385" s="25" customFormat="1" spans="1:5">
      <c r="A4385" s="2" t="s">
        <v>2221</v>
      </c>
      <c r="B4385" s="2"/>
      <c r="C4385" s="41" t="s">
        <v>436</v>
      </c>
      <c r="E4385" s="41"/>
    </row>
    <row r="4387" spans="2:12">
      <c r="B4387" s="27" t="s">
        <v>1306</v>
      </c>
      <c r="C4387" s="27"/>
      <c r="D4387" s="27"/>
      <c r="E4387" s="27"/>
      <c r="F4387" s="27"/>
      <c r="G4387" s="27"/>
      <c r="H4387" s="27"/>
      <c r="I4387" s="27"/>
      <c r="J4387" s="27"/>
      <c r="K4387" s="27"/>
      <c r="L4387" s="27"/>
    </row>
    <row r="4396" s="25" customFormat="1" spans="1:5">
      <c r="A4396" s="2" t="s">
        <v>696</v>
      </c>
      <c r="B4396" s="2"/>
      <c r="C4396" s="41" t="s">
        <v>436</v>
      </c>
      <c r="E4396" s="41"/>
    </row>
    <row r="4398" spans="2:12">
      <c r="B4398" s="27" t="s">
        <v>1102</v>
      </c>
      <c r="C4398" s="27"/>
      <c r="D4398" s="27"/>
      <c r="E4398" s="27"/>
      <c r="F4398" s="27"/>
      <c r="G4398" s="27"/>
      <c r="H4398" s="27"/>
      <c r="I4398" s="27"/>
      <c r="J4398" s="27"/>
      <c r="K4398" s="27"/>
      <c r="L4398" s="27"/>
    </row>
    <row r="4400" spans="2:5">
      <c r="B4400" s="1" t="s">
        <v>2222</v>
      </c>
      <c r="E4400" s="30">
        <v>250</v>
      </c>
    </row>
    <row r="4401" spans="2:5">
      <c r="B4401" s="1" t="s">
        <v>2223</v>
      </c>
      <c r="E4401" s="30">
        <v>3</v>
      </c>
    </row>
    <row r="4402" spans="2:5">
      <c r="B4402" s="1" t="s">
        <v>2224</v>
      </c>
      <c r="E4402" s="43">
        <v>0.15</v>
      </c>
    </row>
    <row r="4404" spans="2:12">
      <c r="B4404" s="27" t="s">
        <v>2225</v>
      </c>
      <c r="C4404" s="27"/>
      <c r="D4404" s="27"/>
      <c r="E4404" s="27"/>
      <c r="F4404" s="27"/>
      <c r="G4404" s="27"/>
      <c r="H4404" s="27"/>
      <c r="I4404" s="27"/>
      <c r="J4404" s="27"/>
      <c r="K4404" s="27"/>
      <c r="L4404" s="27"/>
    </row>
    <row r="4406" spans="2:14">
      <c r="B4406" s="1" t="s">
        <v>186</v>
      </c>
      <c r="C4406" s="1" t="s">
        <v>805</v>
      </c>
      <c r="D4406" s="1" t="s">
        <v>806</v>
      </c>
      <c r="E4406" s="1" t="s">
        <v>2226</v>
      </c>
      <c r="F4406" s="1" t="s">
        <v>2227</v>
      </c>
      <c r="G4406" s="5" t="s">
        <v>2228</v>
      </c>
      <c r="H4406" s="5"/>
      <c r="I4406" s="5" t="s">
        <v>2229</v>
      </c>
      <c r="J4406" s="1" t="s">
        <v>2230</v>
      </c>
      <c r="K4406" s="1" t="s">
        <v>2231</v>
      </c>
      <c r="L4406" s="1" t="s">
        <v>2232</v>
      </c>
      <c r="M4406" s="1" t="s">
        <v>2233</v>
      </c>
      <c r="N4406" s="1" t="s">
        <v>2234</v>
      </c>
    </row>
    <row r="4407" spans="2:14">
      <c r="B4407" s="1">
        <v>1</v>
      </c>
      <c r="C4407" s="1">
        <f ca="1">IFERROR(OFFSET('102_建筑'!$L$6,MATCH(B4407-($E$4401+1),'102_建筑'!$A$6:$A$38,0)-1,0),0)</f>
        <v>0</v>
      </c>
      <c r="D4407" s="1">
        <f ca="1">OFFSET('102_建筑'!$L$6,MATCH(B4407-1,'102_建筑'!$A$6:$A$38,0)-1,0)*$E$4402</f>
        <v>0</v>
      </c>
      <c r="E4407" s="30">
        <f t="shared" ref="E4407:E4409" si="1300">7/16</f>
        <v>0.4375</v>
      </c>
      <c r="F4407" s="1">
        <f ca="1">_xlfn.FLOOR.MATH((C4407+D4407)*E4407,10)</f>
        <v>0</v>
      </c>
      <c r="G4407" s="5">
        <f ca="1">OFFSET('102_建筑'!$L$6,MATCH(B4407-1,'102_建筑'!$A$6:$A$38,0)-1,0)*E4407</f>
        <v>0</v>
      </c>
      <c r="H4407" s="5"/>
      <c r="I4407" s="72">
        <v>40</v>
      </c>
      <c r="J4407" s="1">
        <v>0</v>
      </c>
      <c r="K4407" s="1">
        <f>_xlfn.FLOOR.MATH((J4407*控制台!$E$4400))</f>
        <v>0</v>
      </c>
      <c r="L4407" s="1">
        <f ca="1" t="shared" ref="L4407:L4438" si="1301">K4407-M4407</f>
        <v>-12150</v>
      </c>
      <c r="M4407" s="1">
        <f ca="1">OFFSET('102_建筑'!$B$6,控制台!B4407,0)*控制台!$C$291/控制台!$H$291</f>
        <v>12150</v>
      </c>
      <c r="N4407" s="113">
        <v>40</v>
      </c>
    </row>
    <row r="4408" spans="2:14">
      <c r="B4408" s="1">
        <v>2</v>
      </c>
      <c r="C4408" s="1">
        <f ca="1">IFERROR(OFFSET('102_建筑'!$L$6,MATCH(B4408-($E$4401+1),'102_建筑'!$A$6:$A$38,0)-1,0),0)</f>
        <v>0</v>
      </c>
      <c r="D4408" s="1">
        <f ca="1">OFFSET('102_建筑'!$L$6,MATCH(B4408-1,'102_建筑'!$A$6:$A$38,0)-1,0)*$E$4402</f>
        <v>38.85</v>
      </c>
      <c r="E4408" s="30">
        <f t="shared" si="1300"/>
        <v>0.4375</v>
      </c>
      <c r="F4408" s="1">
        <f ca="1">_xlfn.FLOOR.MATH((C4408+D4408)*E4408,10)</f>
        <v>10</v>
      </c>
      <c r="G4408" s="5">
        <f ca="1">OFFSET('102_建筑'!$L$6,MATCH(B4408-1,'102_建筑'!$A$6:$A$38,0)-1,0)*E4408</f>
        <v>113.3125</v>
      </c>
      <c r="H4408" s="5"/>
      <c r="I4408" s="72">
        <v>120</v>
      </c>
      <c r="J4408" s="1">
        <f>SUM($I$4407:I4407)</f>
        <v>40</v>
      </c>
      <c r="K4408" s="1">
        <f>_xlfn.FLOOR.MATH((J4408*控制台!$E$4400))</f>
        <v>10000</v>
      </c>
      <c r="L4408" s="1">
        <f ca="1" t="shared" si="1301"/>
        <v>-14300</v>
      </c>
      <c r="M4408" s="1">
        <f ca="1">OFFSET('102_建筑'!$B$6,控制台!B4408,0)*控制台!$C$291/控制台!$H$291</f>
        <v>24300</v>
      </c>
      <c r="N4408" s="113">
        <v>160</v>
      </c>
    </row>
    <row r="4409" spans="2:14">
      <c r="B4409" s="1">
        <v>3</v>
      </c>
      <c r="C4409" s="1">
        <f ca="1">IFERROR(OFFSET('102_建筑'!$L$6,MATCH(B4409-($E$4401+1),'102_建筑'!$A$6:$A$38,0)-1,0),0)</f>
        <v>0</v>
      </c>
      <c r="D4409" s="1">
        <f ca="1">OFFSET('102_建筑'!$L$6,MATCH(B4409-1,'102_建筑'!$A$6:$A$38,0)-1,0)*$E$4402</f>
        <v>116.55</v>
      </c>
      <c r="E4409" s="30">
        <f t="shared" si="1300"/>
        <v>0.4375</v>
      </c>
      <c r="F4409" s="1">
        <f ca="1">_xlfn.FLOOR.MATH((C4409+D4409)*E4409,10)</f>
        <v>50</v>
      </c>
      <c r="G4409" s="5">
        <f ca="1">OFFSET('102_建筑'!$L$6,MATCH(B4409-1,'102_建筑'!$A$6:$A$38,0)-1,0)*E4409</f>
        <v>339.9375</v>
      </c>
      <c r="H4409" s="5"/>
      <c r="I4409" s="72">
        <v>200</v>
      </c>
      <c r="J4409" s="1">
        <f>SUM($I$4407:I4408)</f>
        <v>160</v>
      </c>
      <c r="K4409" s="1">
        <f>_xlfn.FLOOR.MATH((J4409*控制台!$E$4400))</f>
        <v>40000</v>
      </c>
      <c r="L4409" s="1">
        <f ca="1" t="shared" si="1301"/>
        <v>3550</v>
      </c>
      <c r="M4409" s="1">
        <f ca="1">OFFSET('102_建筑'!$B$6,控制台!B4409,0)*控制台!$C$291/控制台!$H$291</f>
        <v>36450</v>
      </c>
      <c r="N4409" s="113">
        <v>360</v>
      </c>
    </row>
    <row r="4410" spans="2:14">
      <c r="B4410" s="1">
        <v>4</v>
      </c>
      <c r="C4410" s="1">
        <f ca="1">IFERROR(OFFSET('102_建筑'!$L$6,MATCH(B4410-($E$4401+1),'102_建筑'!$A$6:$A$38,0)-1,0),0)</f>
        <v>0</v>
      </c>
      <c r="D4410" s="1">
        <f ca="1">OFFSET('102_建筑'!$L$6,MATCH(B4410-1,'102_建筑'!$A$6:$A$38,0)-1,0)*$E$4402</f>
        <v>233.1</v>
      </c>
      <c r="E4410" s="30">
        <f>8/16</f>
        <v>0.5</v>
      </c>
      <c r="F4410" s="1">
        <f ca="1">_xlfn.FLOOR.MATH((C4410+D4410)*E4410,10)</f>
        <v>110</v>
      </c>
      <c r="G4410" s="5">
        <f ca="1">OFFSET('102_建筑'!$L$6,MATCH(B4410-1,'102_建筑'!$A$6:$A$38,0)-1,0)*E4410</f>
        <v>777</v>
      </c>
      <c r="H4410" s="5"/>
      <c r="I4410" s="72">
        <v>560</v>
      </c>
      <c r="J4410" s="1">
        <f>SUM($I$4407:I4409)</f>
        <v>360</v>
      </c>
      <c r="K4410" s="1">
        <f>_xlfn.FLOOR.MATH((J4410*控制台!$E$4400))</f>
        <v>90000</v>
      </c>
      <c r="L4410" s="1">
        <f ca="1" t="shared" si="1301"/>
        <v>41400</v>
      </c>
      <c r="M4410" s="1">
        <f ca="1">OFFSET('102_建筑'!$B$6,控制台!B4410,0)*控制台!$C$291/控制台!$H$291</f>
        <v>48600</v>
      </c>
      <c r="N4410" s="113">
        <v>765</v>
      </c>
    </row>
    <row r="4411" spans="2:14">
      <c r="B4411" s="1">
        <v>5</v>
      </c>
      <c r="C4411" s="1">
        <f ca="1">IFERROR(OFFSET('102_建筑'!$L$6,MATCH(B4411-($E$4401+1),'102_建筑'!$A$6:$A$38,0)-1,0),0)</f>
        <v>259</v>
      </c>
      <c r="D4411" s="1">
        <f ca="1">OFFSET('102_建筑'!$L$6,MATCH(B4411-1,'102_建筑'!$A$6:$A$38,0)-1,0)*$E$4402</f>
        <v>388.5</v>
      </c>
      <c r="E4411" s="30">
        <f>9/16</f>
        <v>0.5625</v>
      </c>
      <c r="F4411" s="1">
        <f ca="1">_xlfn.FLOOR.MATH((C4411+D4411)*E4411,10)</f>
        <v>360</v>
      </c>
      <c r="G4411" s="5">
        <f ca="1">OFFSET('102_建筑'!$L$6,MATCH(B4411-1,'102_建筑'!$A$6:$A$38,0)-1,0)*E4411</f>
        <v>1456.875</v>
      </c>
      <c r="H4411" s="5"/>
      <c r="I4411" s="72">
        <v>600</v>
      </c>
      <c r="J4411" s="1">
        <f>SUM($I$4407:I4410)</f>
        <v>920</v>
      </c>
      <c r="K4411" s="1">
        <f>_xlfn.FLOOR.MATH((J4411*控制台!$E$4400))</f>
        <v>230000</v>
      </c>
      <c r="L4411" s="1">
        <f ca="1" t="shared" si="1301"/>
        <v>149000</v>
      </c>
      <c r="M4411" s="1">
        <f ca="1">OFFSET('102_建筑'!$B$6,控制台!B4411,0)*控制台!$C$291/控制台!$H$291</f>
        <v>81000</v>
      </c>
      <c r="N4411" s="113">
        <v>1085</v>
      </c>
    </row>
    <row r="4412" spans="2:14">
      <c r="B4412" s="1">
        <v>6</v>
      </c>
      <c r="C4412" s="1">
        <f ca="1">IFERROR(OFFSET('102_建筑'!$L$6,MATCH(B4412-($E$4401+1),'102_建筑'!$A$6:$A$38,0)-1,0),0)</f>
        <v>777</v>
      </c>
      <c r="D4412" s="1">
        <f ca="1">OFFSET('102_建筑'!$L$6,MATCH(B4412-1,'102_建筑'!$A$6:$A$38,0)-1,0)*$E$4402</f>
        <v>647.7</v>
      </c>
      <c r="E4412" s="30">
        <f>9/16</f>
        <v>0.5625</v>
      </c>
      <c r="F4412" s="1">
        <f ca="1">_xlfn.FLOOR.MATH((C4412+D4412)*E4412,10)</f>
        <v>800</v>
      </c>
      <c r="G4412" s="5">
        <f ca="1">OFFSET('102_建筑'!$L$6,MATCH(B4412-1,'102_建筑'!$A$6:$A$38,0)-1,0)*E4412</f>
        <v>2428.875</v>
      </c>
      <c r="H4412" s="5"/>
      <c r="I4412" s="72">
        <v>900</v>
      </c>
      <c r="J4412" s="1">
        <f>SUM($I$4407:I4411)</f>
        <v>1520</v>
      </c>
      <c r="K4412" s="1">
        <f>_xlfn.FLOOR.MATH((J4412*控制台!$E$4400))</f>
        <v>380000</v>
      </c>
      <c r="L4412" s="1">
        <f ca="1" t="shared" si="1301"/>
        <v>218000</v>
      </c>
      <c r="M4412" s="1">
        <f ca="1">OFFSET('102_建筑'!$B$6,控制台!B4412,0)*控制台!$C$291/控制台!$H$291</f>
        <v>162000</v>
      </c>
      <c r="N4412" s="113">
        <v>2230</v>
      </c>
    </row>
    <row r="4413" spans="2:14">
      <c r="B4413" s="1">
        <v>7</v>
      </c>
      <c r="C4413" s="1">
        <f ca="1">IFERROR(OFFSET('102_建筑'!$L$6,MATCH(B4413-($E$4401+1),'102_建筑'!$A$6:$A$38,0)-1,0),0)</f>
        <v>1554</v>
      </c>
      <c r="D4413" s="1">
        <f ca="1">OFFSET('102_建筑'!$L$6,MATCH(B4413-1,'102_建筑'!$A$6:$A$38,0)-1,0)*$E$4402</f>
        <v>1166.1</v>
      </c>
      <c r="E4413" s="30">
        <f t="shared" ref="E4413:E4420" si="1302">12/16</f>
        <v>0.75</v>
      </c>
      <c r="F4413" s="1">
        <f ca="1">_xlfn.FLOOR.MATH((C4413+D4413)*E4413,10)</f>
        <v>2040</v>
      </c>
      <c r="G4413" s="5">
        <f ca="1">OFFSET('102_建筑'!$L$6,MATCH(B4413-1,'102_建筑'!$A$6:$A$38,0)-1,0)*E4413</f>
        <v>5830.5</v>
      </c>
      <c r="H4413" s="5"/>
      <c r="I4413" s="72">
        <v>1510</v>
      </c>
      <c r="J4413" s="1">
        <f>SUM($I$4407:I4412)</f>
        <v>2420</v>
      </c>
      <c r="K4413" s="1">
        <f>_xlfn.FLOOR.MATH((J4413*控制台!$E$4400))</f>
        <v>605000</v>
      </c>
      <c r="L4413" s="1">
        <f ca="1" t="shared" si="1301"/>
        <v>362000</v>
      </c>
      <c r="M4413" s="1">
        <f ca="1">OFFSET('102_建筑'!$B$6,控制台!B4413,0)*控制台!$C$291/控制台!$H$291</f>
        <v>243000</v>
      </c>
      <c r="N4413" s="113">
        <v>2380</v>
      </c>
    </row>
    <row r="4414" spans="2:14">
      <c r="B4414" s="1">
        <v>8</v>
      </c>
      <c r="C4414" s="1">
        <f ca="1">IFERROR(OFFSET('102_建筑'!$L$6,MATCH(B4414-($E$4401+1),'102_建筑'!$A$6:$A$38,0)-1,0),0)</f>
        <v>2590</v>
      </c>
      <c r="D4414" s="1">
        <f ca="1">OFFSET('102_建筑'!$L$6,MATCH(B4414-1,'102_建筑'!$A$6:$A$38,0)-1,0)*$E$4402</f>
        <v>1943.7</v>
      </c>
      <c r="E4414" s="30">
        <f t="shared" si="1302"/>
        <v>0.75</v>
      </c>
      <c r="F4414" s="1">
        <f ca="1">_xlfn.FLOOR.MATH((C4414+D4414)*E4414,10)</f>
        <v>3400</v>
      </c>
      <c r="G4414" s="5">
        <f ca="1">OFFSET('102_建筑'!$L$6,MATCH(B4414-1,'102_建筑'!$A$6:$A$38,0)-1,0)*E4414</f>
        <v>9718.5</v>
      </c>
      <c r="H4414" s="5"/>
      <c r="I4414" s="5">
        <f ca="1" t="shared" ref="I4414:I4437" si="1303">F4415-F4414</f>
        <v>2070</v>
      </c>
      <c r="J4414" s="1">
        <f>SUM($I$4407:I4413)</f>
        <v>3930</v>
      </c>
      <c r="K4414" s="1">
        <f>_xlfn.FLOOR.MATH((J4414*控制台!$E$4400))</f>
        <v>982500</v>
      </c>
      <c r="L4414" s="1">
        <f ca="1" t="shared" si="1301"/>
        <v>658500</v>
      </c>
      <c r="M4414" s="1">
        <f ca="1">OFFSET('102_建筑'!$B$6,控制台!B4414,0)*控制台!$C$291/控制台!$H$291</f>
        <v>324000</v>
      </c>
      <c r="N4414" s="81">
        <f ca="1">_xlfn.FLOOR.MATH(L4414/$E$4400,10)</f>
        <v>2630</v>
      </c>
    </row>
    <row r="4415" spans="2:14">
      <c r="B4415" s="1">
        <v>9</v>
      </c>
      <c r="C4415" s="1">
        <f ca="1">IFERROR(OFFSET('102_建筑'!$L$6,MATCH(B4415-($E$4401+1),'102_建筑'!$A$6:$A$38,0)-1,0),0)</f>
        <v>4318</v>
      </c>
      <c r="D4415" s="1">
        <f ca="1">OFFSET('102_建筑'!$L$6,MATCH(B4415-1,'102_建筑'!$A$6:$A$38,0)-1,0)*$E$4402</f>
        <v>2980.5</v>
      </c>
      <c r="E4415" s="30">
        <f t="shared" si="1302"/>
        <v>0.75</v>
      </c>
      <c r="F4415" s="1">
        <f ca="1">_xlfn.FLOOR.MATH((C4415+D4415)*E4415,10)</f>
        <v>5470</v>
      </c>
      <c r="G4415" s="5">
        <f ca="1">OFFSET('102_建筑'!$L$6,MATCH(B4415-1,'102_建筑'!$A$6:$A$38,0)-1,0)*E4415</f>
        <v>14902.5</v>
      </c>
      <c r="H4415" s="5"/>
      <c r="I4415" s="5">
        <f ca="1" t="shared" si="1303"/>
        <v>3560</v>
      </c>
      <c r="J4415" s="1">
        <f ca="1">SUM($I$4407:I4414)</f>
        <v>6000</v>
      </c>
      <c r="K4415" s="1">
        <f ca="1">_xlfn.FLOOR.MATH((J4415*控制台!$E$4400))</f>
        <v>1500000</v>
      </c>
      <c r="L4415" s="1">
        <f ca="1" t="shared" si="1301"/>
        <v>1095000</v>
      </c>
      <c r="M4415" s="1">
        <f ca="1">OFFSET('102_建筑'!$B$6,控制台!B4415,0)*控制台!$C$291/控制台!$H$291</f>
        <v>405000</v>
      </c>
      <c r="N4415" s="81">
        <f ca="1">_xlfn.FLOOR.MATH(L4415/$E$4400,10)</f>
        <v>4380</v>
      </c>
    </row>
    <row r="4416" spans="2:14">
      <c r="B4416" s="1">
        <v>10</v>
      </c>
      <c r="C4416" s="1">
        <f ca="1">IFERROR(OFFSET('102_建筑'!$L$6,MATCH(B4416-($E$4401+1),'102_建筑'!$A$6:$A$38,0)-1,0),0)</f>
        <v>7774</v>
      </c>
      <c r="D4416" s="1">
        <f ca="1">OFFSET('102_建筑'!$L$6,MATCH(B4416-1,'102_建筑'!$A$6:$A$38,0)-1,0)*$E$4402</f>
        <v>4276.5</v>
      </c>
      <c r="E4416" s="30">
        <f t="shared" si="1302"/>
        <v>0.75</v>
      </c>
      <c r="F4416" s="1">
        <f ca="1">_xlfn.FLOOR.MATH((C4416+D4416)*E4416,10)</f>
        <v>9030</v>
      </c>
      <c r="G4416" s="5">
        <f ca="1">OFFSET('102_建筑'!$L$6,MATCH(B4416-1,'102_建筑'!$A$6:$A$38,0)-1,0)*E4416</f>
        <v>21382.5</v>
      </c>
      <c r="H4416" s="5"/>
      <c r="I4416" s="5">
        <f ca="1" t="shared" si="1303"/>
        <v>5250</v>
      </c>
      <c r="J4416" s="1">
        <f ca="1">SUM($I$4407:I4415)</f>
        <v>9560</v>
      </c>
      <c r="K4416" s="1">
        <f ca="1">_xlfn.FLOOR.MATH((J4416*控制台!$E$4400))</f>
        <v>2390000</v>
      </c>
      <c r="L4416" s="1">
        <f ca="1" t="shared" si="1301"/>
        <v>1823000</v>
      </c>
      <c r="M4416" s="1">
        <f ca="1">OFFSET('102_建筑'!$B$6,控制台!B4416,0)*控制台!$C$291/控制台!$H$291</f>
        <v>567000</v>
      </c>
      <c r="N4416" s="81">
        <f ca="1">_xlfn.FLOOR.MATH(L4416/$E$4400,10)</f>
        <v>7290</v>
      </c>
    </row>
    <row r="4417" spans="2:14">
      <c r="B4417" s="1">
        <v>11</v>
      </c>
      <c r="C4417" s="1">
        <f ca="1">IFERROR(OFFSET('102_建筑'!$L$6,MATCH(B4417-($E$4401+1),'102_建筑'!$A$6:$A$38,0)-1,0),0)</f>
        <v>12958</v>
      </c>
      <c r="D4417" s="1">
        <f ca="1">OFFSET('102_建筑'!$L$6,MATCH(B4417-1,'102_建筑'!$A$6:$A$38,0)-1,0)*$E$4402</f>
        <v>6090.9</v>
      </c>
      <c r="E4417" s="30">
        <f t="shared" si="1302"/>
        <v>0.75</v>
      </c>
      <c r="F4417" s="1">
        <f ca="1">_xlfn.FLOOR.MATH((C4417+D4417)*E4417,10)</f>
        <v>14280</v>
      </c>
      <c r="G4417" s="5">
        <f ca="1">OFFSET('102_建筑'!$L$6,MATCH(B4417-1,'102_建筑'!$A$6:$A$38,0)-1,0)*E4417</f>
        <v>30454.5</v>
      </c>
      <c r="H4417" s="5"/>
      <c r="I4417" s="5">
        <f ca="1" t="shared" si="1303"/>
        <v>6940</v>
      </c>
      <c r="J4417" s="1">
        <f ca="1">SUM($I$4407:I4416)</f>
        <v>14810</v>
      </c>
      <c r="K4417" s="1">
        <f ca="1">_xlfn.FLOOR.MATH((J4417*控制台!$E$4400))</f>
        <v>3702500</v>
      </c>
      <c r="L4417" s="1">
        <f ca="1" t="shared" si="1301"/>
        <v>2973500</v>
      </c>
      <c r="M4417" s="1">
        <f ca="1">OFFSET('102_建筑'!$B$6,控制台!B4417,0)*控制台!$C$291/控制台!$H$291</f>
        <v>729000</v>
      </c>
      <c r="N4417" s="81">
        <f ca="1">_xlfn.FLOOR.MATH(L4417/$E$4400,10)</f>
        <v>11890</v>
      </c>
    </row>
    <row r="4418" spans="2:14">
      <c r="B4418" s="1">
        <v>12</v>
      </c>
      <c r="C4418" s="1">
        <f ca="1">IFERROR(OFFSET('102_建筑'!$L$6,MATCH(B4418-($E$4401+1),'102_建筑'!$A$6:$A$38,0)-1,0),0)</f>
        <v>19870</v>
      </c>
      <c r="D4418" s="1">
        <f ca="1">OFFSET('102_建筑'!$L$6,MATCH(B4418-1,'102_建筑'!$A$6:$A$38,0)-1,0)*$E$4402</f>
        <v>8423.7</v>
      </c>
      <c r="E4418" s="30">
        <f t="shared" si="1302"/>
        <v>0.75</v>
      </c>
      <c r="F4418" s="1">
        <f ca="1">_xlfn.FLOOR.MATH((C4418+D4418)*E4418,10)</f>
        <v>21220</v>
      </c>
      <c r="G4418" s="5">
        <f ca="1">OFFSET('102_建筑'!$L$6,MATCH(B4418-1,'102_建筑'!$A$6:$A$38,0)-1,0)*E4418</f>
        <v>42118.5</v>
      </c>
      <c r="H4418" s="5"/>
      <c r="I4418" s="5">
        <f ca="1" t="shared" si="1303"/>
        <v>8420</v>
      </c>
      <c r="J4418" s="1">
        <f ca="1">SUM($I$4407:I4417)</f>
        <v>21750</v>
      </c>
      <c r="K4418" s="1">
        <f ca="1">_xlfn.FLOOR.MATH((J4418*控制台!$E$4400))</f>
        <v>5437500</v>
      </c>
      <c r="L4418" s="1">
        <f ca="1" t="shared" si="1301"/>
        <v>4627500</v>
      </c>
      <c r="M4418" s="1">
        <f ca="1">OFFSET('102_建筑'!$B$6,控制台!B4418,0)*控制台!$C$291/控制台!$H$291</f>
        <v>810000</v>
      </c>
      <c r="N4418" s="81">
        <f ca="1">_xlfn.FLOOR.MATH(L4418/$E$4400,10)</f>
        <v>18510</v>
      </c>
    </row>
    <row r="4419" spans="2:14">
      <c r="B4419" s="1">
        <v>13</v>
      </c>
      <c r="C4419" s="1">
        <f ca="1">IFERROR(OFFSET('102_建筑'!$L$6,MATCH(B4419-($E$4401+1),'102_建筑'!$A$6:$A$38,0)-1,0),0)</f>
        <v>28510</v>
      </c>
      <c r="D4419" s="1">
        <f ca="1">OFFSET('102_建筑'!$L$6,MATCH(B4419-1,'102_建筑'!$A$6:$A$38,0)-1,0)*$E$4402</f>
        <v>11015.7</v>
      </c>
      <c r="E4419" s="30">
        <f t="shared" si="1302"/>
        <v>0.75</v>
      </c>
      <c r="F4419" s="1">
        <f ca="1">_xlfn.FLOOR.MATH((C4419+D4419)*E4419,10)</f>
        <v>29640</v>
      </c>
      <c r="G4419" s="5">
        <f ca="1">OFFSET('102_建筑'!$L$6,MATCH(B4419-1,'102_建筑'!$A$6:$A$38,0)-1,0)*E4419</f>
        <v>55078.5</v>
      </c>
      <c r="H4419" s="5"/>
      <c r="I4419" s="5">
        <f ca="1" t="shared" si="1303"/>
        <v>11990</v>
      </c>
      <c r="J4419" s="1">
        <f ca="1">SUM($I$4407:I4418)</f>
        <v>30170</v>
      </c>
      <c r="K4419" s="1">
        <f ca="1">_xlfn.FLOOR.MATH((J4419*控制台!$E$4400))</f>
        <v>7542500</v>
      </c>
      <c r="L4419" s="1">
        <f ca="1" t="shared" si="1301"/>
        <v>6327500</v>
      </c>
      <c r="M4419" s="1">
        <f ca="1">OFFSET('102_建筑'!$B$6,控制台!B4419,0)*控制台!$C$291/控制台!$H$291</f>
        <v>1215000</v>
      </c>
      <c r="N4419" s="81">
        <f ca="1">_xlfn.FLOOR.MATH(L4419/$E$4400,10)</f>
        <v>25310</v>
      </c>
    </row>
    <row r="4420" spans="2:14">
      <c r="B4420" s="1">
        <v>14</v>
      </c>
      <c r="C4420" s="1">
        <f ca="1">IFERROR(OFFSET('102_建筑'!$L$6,MATCH(B4420-($E$4401+1),'102_建筑'!$A$6:$A$38,0)-1,0),0)</f>
        <v>40606</v>
      </c>
      <c r="D4420" s="1">
        <f ca="1">OFFSET('102_建筑'!$L$6,MATCH(B4420-1,'102_建筑'!$A$6:$A$38,0)-1,0)*$E$4402</f>
        <v>14903.7</v>
      </c>
      <c r="E4420" s="30">
        <f t="shared" si="1302"/>
        <v>0.75</v>
      </c>
      <c r="F4420" s="1">
        <f ca="1">_xlfn.FLOOR.MATH((C4420+D4420)*E4420,10)</f>
        <v>41630</v>
      </c>
      <c r="G4420" s="5">
        <f ca="1">OFFSET('102_建筑'!$L$6,MATCH(B4420-1,'102_建筑'!$A$6:$A$38,0)-1,0)*E4420</f>
        <v>74518.5</v>
      </c>
      <c r="H4420" s="5"/>
      <c r="I4420" s="5">
        <f ca="1" t="shared" si="1303"/>
        <v>27350</v>
      </c>
      <c r="J4420" s="1">
        <f ca="1">SUM($I$4407:I4419)</f>
        <v>42160</v>
      </c>
      <c r="K4420" s="1">
        <f ca="1">_xlfn.FLOOR.MATH((J4420*控制台!$E$4400))</f>
        <v>10540000</v>
      </c>
      <c r="L4420" s="1">
        <f ca="1" t="shared" si="1301"/>
        <v>8110000</v>
      </c>
      <c r="M4420" s="1">
        <f ca="1">OFFSET('102_建筑'!$B$6,控制台!B4420,0)*控制台!$C$291/控制台!$H$291</f>
        <v>2430000</v>
      </c>
      <c r="N4420" s="81">
        <f ca="1">_xlfn.FLOOR.MATH(L4420/$E$4400,10)</f>
        <v>32440</v>
      </c>
    </row>
    <row r="4421" spans="2:14">
      <c r="B4421" s="1">
        <v>15</v>
      </c>
      <c r="C4421" s="1">
        <f ca="1">IFERROR(OFFSET('102_建筑'!$L$6,MATCH(B4421-($E$4401+1),'102_建筑'!$A$6:$A$38,0)-1,0),0)</f>
        <v>56158</v>
      </c>
      <c r="D4421" s="1">
        <f ca="1">OFFSET('102_建筑'!$L$6,MATCH(B4421-1,'102_建筑'!$A$6:$A$38,0)-1,0)*$E$4402</f>
        <v>22679.7</v>
      </c>
      <c r="E4421" s="30">
        <f t="shared" ref="E4421:E4424" si="1304">14/16</f>
        <v>0.875</v>
      </c>
      <c r="F4421" s="1">
        <f ca="1">_xlfn.FLOOR.MATH((C4421+D4421)*E4421,10)</f>
        <v>68980</v>
      </c>
      <c r="G4421" s="5">
        <f ca="1">OFFSET('102_建筑'!$L$6,MATCH(B4421-1,'102_建筑'!$A$6:$A$38,0)-1,0)*E4421</f>
        <v>132298.25</v>
      </c>
      <c r="H4421" s="5"/>
      <c r="I4421" s="5">
        <f ca="1" t="shared" si="1303"/>
        <v>26460</v>
      </c>
      <c r="J4421" s="1">
        <f ca="1">SUM($I$4407:I4420)</f>
        <v>69510</v>
      </c>
      <c r="K4421" s="1">
        <f ca="1">_xlfn.FLOOR.MATH((J4421*控制台!$E$4400))</f>
        <v>17377500</v>
      </c>
      <c r="L4421" s="1">
        <f ca="1" t="shared" si="1301"/>
        <v>13327500</v>
      </c>
      <c r="M4421" s="1">
        <f ca="1">OFFSET('102_建筑'!$B$6,控制台!B4421,0)*控制台!$C$291/控制台!$H$291</f>
        <v>4050000</v>
      </c>
      <c r="N4421" s="81">
        <f ca="1">_xlfn.FLOOR.MATH(L4421/$E$4400,10)</f>
        <v>53310</v>
      </c>
    </row>
    <row r="4422" spans="2:14">
      <c r="B4422" s="1">
        <v>16</v>
      </c>
      <c r="C4422" s="1">
        <f ca="1">IFERROR(OFFSET('102_建筑'!$L$6,MATCH(B4422-($E$4401+1),'102_建筑'!$A$6:$A$38,0)-1,0),0)</f>
        <v>73438</v>
      </c>
      <c r="D4422" s="1">
        <f ca="1">OFFSET('102_建筑'!$L$6,MATCH(B4422-1,'102_建筑'!$A$6:$A$38,0)-1,0)*$E$4402</f>
        <v>35639.7</v>
      </c>
      <c r="E4422" s="30">
        <f t="shared" si="1304"/>
        <v>0.875</v>
      </c>
      <c r="F4422" s="1">
        <f ca="1">_xlfn.FLOOR.MATH((C4422+D4422)*E4422,10)</f>
        <v>95440</v>
      </c>
      <c r="G4422" s="5">
        <f ca="1">OFFSET('102_建筑'!$L$6,MATCH(B4422-1,'102_建筑'!$A$6:$A$38,0)-1,0)*E4422</f>
        <v>207898.25</v>
      </c>
      <c r="H4422" s="5"/>
      <c r="I4422" s="5">
        <f ca="1" t="shared" si="1303"/>
        <v>36290</v>
      </c>
      <c r="J4422" s="1">
        <f ca="1">SUM($I$4407:I4421)</f>
        <v>95970</v>
      </c>
      <c r="K4422" s="1">
        <f ca="1">_xlfn.FLOOR.MATH((J4422*控制台!$E$4400))</f>
        <v>23992500</v>
      </c>
      <c r="L4422" s="1">
        <f ca="1" t="shared" si="1301"/>
        <v>19132500</v>
      </c>
      <c r="M4422" s="1">
        <f ca="1">OFFSET('102_建筑'!$B$6,控制台!B4422,0)*控制台!$C$291/控制台!$H$291</f>
        <v>4860000</v>
      </c>
      <c r="N4422" s="81">
        <f ca="1">_xlfn.FLOOR.MATH(L4422/$E$4400,10)</f>
        <v>76530</v>
      </c>
    </row>
    <row r="4423" spans="2:14">
      <c r="B4423" s="1">
        <v>17</v>
      </c>
      <c r="C4423" s="1">
        <f ca="1">IFERROR(OFFSET('102_建筑'!$L$6,MATCH(B4423-($E$4401+1),'102_建筑'!$A$6:$A$38,0)-1,0),0)</f>
        <v>99358</v>
      </c>
      <c r="D4423" s="1">
        <f ca="1">OFFSET('102_建筑'!$L$6,MATCH(B4423-1,'102_建筑'!$A$6:$A$38,0)-1,0)*$E$4402</f>
        <v>51191.7</v>
      </c>
      <c r="E4423" s="30">
        <f t="shared" si="1304"/>
        <v>0.875</v>
      </c>
      <c r="F4423" s="1">
        <f ca="1">_xlfn.FLOOR.MATH((C4423+D4423)*E4423,10)</f>
        <v>131730</v>
      </c>
      <c r="G4423" s="5">
        <f ca="1">OFFSET('102_建筑'!$L$6,MATCH(B4423-1,'102_建筑'!$A$6:$A$38,0)-1,0)*E4423</f>
        <v>298618.25</v>
      </c>
      <c r="H4423" s="5"/>
      <c r="I4423" s="5">
        <f ca="1" t="shared" si="1303"/>
        <v>61230</v>
      </c>
      <c r="J4423" s="1">
        <f ca="1">SUM($I$4407:I4422)</f>
        <v>132260</v>
      </c>
      <c r="K4423" s="1">
        <f ca="1">_xlfn.FLOOR.MATH((J4423*控制台!$E$4400))</f>
        <v>33065000</v>
      </c>
      <c r="L4423" s="1">
        <f ca="1" t="shared" si="1301"/>
        <v>27395000</v>
      </c>
      <c r="M4423" s="1">
        <f ca="1">OFFSET('102_建筑'!$B$6,控制台!B4423,0)*控制台!$C$291/控制台!$H$291</f>
        <v>5670000</v>
      </c>
      <c r="N4423" s="81">
        <f ca="1">_xlfn.FLOOR.MATH(L4423/$E$4400,10)</f>
        <v>109580</v>
      </c>
    </row>
    <row r="4424" spans="2:14">
      <c r="B4424" s="1">
        <v>18</v>
      </c>
      <c r="C4424" s="1">
        <f ca="1">IFERROR(OFFSET('102_建筑'!$L$6,MATCH(B4424-($E$4401+1),'102_建筑'!$A$6:$A$38,0)-1,0),0)</f>
        <v>151198</v>
      </c>
      <c r="D4424" s="1">
        <f ca="1">OFFSET('102_建筑'!$L$6,MATCH(B4424-1,'102_建筑'!$A$6:$A$38,0)-1,0)*$E$4402</f>
        <v>69335.7</v>
      </c>
      <c r="E4424" s="30">
        <f t="shared" si="1304"/>
        <v>0.875</v>
      </c>
      <c r="F4424" s="1">
        <f ca="1">_xlfn.FLOOR.MATH((C4424+D4424)*E4424,10)</f>
        <v>192960</v>
      </c>
      <c r="G4424" s="5">
        <f ca="1">OFFSET('102_建筑'!$L$6,MATCH(B4424-1,'102_建筑'!$A$6:$A$38,0)-1,0)*E4424</f>
        <v>404458.25</v>
      </c>
      <c r="H4424" s="5"/>
      <c r="I4424" s="5">
        <f ca="1" t="shared" si="1303"/>
        <v>142480</v>
      </c>
      <c r="J4424" s="1">
        <f ca="1">SUM($I$4407:I4423)</f>
        <v>193490</v>
      </c>
      <c r="K4424" s="1">
        <f ca="1">_xlfn.FLOOR.MATH((J4424*控制台!$E$4400))</f>
        <v>48372500</v>
      </c>
      <c r="L4424" s="1">
        <f ca="1" t="shared" si="1301"/>
        <v>39462500</v>
      </c>
      <c r="M4424" s="1">
        <f ca="1">OFFSET('102_建筑'!$B$6,控制台!B4424,0)*控制台!$C$291/控制台!$H$291</f>
        <v>8910000</v>
      </c>
      <c r="N4424" s="81">
        <f ca="1">_xlfn.FLOOR.MATH(L4424/$E$4400,10)</f>
        <v>157850</v>
      </c>
    </row>
    <row r="4425" spans="2:14">
      <c r="B4425" s="1">
        <v>19</v>
      </c>
      <c r="C4425" s="1">
        <f ca="1">IFERROR(OFFSET('102_建筑'!$L$6,MATCH(B4425-($E$4401+1),'102_建筑'!$A$6:$A$38,0)-1,0),0)</f>
        <v>237598</v>
      </c>
      <c r="D4425" s="1">
        <f ca="1">OFFSET('102_建筑'!$L$6,MATCH(B4425-1,'102_建筑'!$A$6:$A$38,0)-1,0)*$E$4402</f>
        <v>97847.7</v>
      </c>
      <c r="E4425" s="30">
        <v>1</v>
      </c>
      <c r="F4425" s="1">
        <f ca="1">_xlfn.FLOOR.MATH((C4425+D4425)*E4425,10)</f>
        <v>335440</v>
      </c>
      <c r="G4425" s="5">
        <f ca="1">OFFSET('102_建筑'!$L$6,MATCH(B4425-1,'102_建筑'!$A$6:$A$38,0)-1,0)*E4425</f>
        <v>652318</v>
      </c>
      <c r="H4425" s="5"/>
      <c r="I4425" s="5">
        <f ca="1" t="shared" si="1303"/>
        <v>136080</v>
      </c>
      <c r="J4425" s="1">
        <f ca="1">SUM($I$4407:I4424)</f>
        <v>335970</v>
      </c>
      <c r="K4425" s="1">
        <f ca="1">_xlfn.FLOOR.MATH((J4425*控制台!$E$4400))</f>
        <v>83992500</v>
      </c>
      <c r="L4425" s="1">
        <f ca="1" t="shared" si="1301"/>
        <v>73867500</v>
      </c>
      <c r="M4425" s="1">
        <f ca="1">OFFSET('102_建筑'!$B$6,控制台!B4425,0)*控制台!$C$291/控制台!$H$291</f>
        <v>10125000</v>
      </c>
      <c r="N4425" s="81">
        <f ca="1">_xlfn.FLOOR.MATH(L4425/$E$4400,10)</f>
        <v>295470</v>
      </c>
    </row>
    <row r="4426" spans="2:14">
      <c r="B4426" s="1">
        <v>20</v>
      </c>
      <c r="C4426" s="1">
        <f ca="1">IFERROR(OFFSET('102_建筑'!$L$6,MATCH(B4426-($E$4401+1),'102_建筑'!$A$6:$A$38,0)-1,0),0)</f>
        <v>341278</v>
      </c>
      <c r="D4426" s="1">
        <f ca="1">OFFSET('102_建筑'!$L$6,MATCH(B4426-1,'102_建筑'!$A$6:$A$38,0)-1,0)*$E$4402</f>
        <v>130247.7</v>
      </c>
      <c r="E4426" s="30">
        <v>1</v>
      </c>
      <c r="F4426" s="1">
        <f ca="1">_xlfn.FLOOR.MATH((C4426+D4426)*E4426,10)</f>
        <v>471520</v>
      </c>
      <c r="G4426" s="5">
        <f ca="1">OFFSET('102_建筑'!$L$6,MATCH(B4426-1,'102_建筑'!$A$6:$A$38,0)-1,0)*E4426</f>
        <v>868318</v>
      </c>
      <c r="H4426" s="5"/>
      <c r="I4426" s="5">
        <f ca="1" t="shared" si="1303"/>
        <v>157250</v>
      </c>
      <c r="J4426" s="1">
        <f ca="1">SUM($I$4407:I4425)</f>
        <v>472050</v>
      </c>
      <c r="K4426" s="1">
        <f ca="1">_xlfn.FLOOR.MATH((J4426*控制台!$E$4400))</f>
        <v>118012500</v>
      </c>
      <c r="L4426" s="1">
        <f ca="1" t="shared" si="1301"/>
        <v>106672500</v>
      </c>
      <c r="M4426" s="1">
        <f ca="1">OFFSET('102_建筑'!$B$6,控制台!B4426,0)*控制台!$C$291/控制台!$H$291</f>
        <v>11340000</v>
      </c>
      <c r="N4426" s="81">
        <f ca="1">_xlfn.FLOOR.MATH(L4426/$E$4400,10)</f>
        <v>426690</v>
      </c>
    </row>
    <row r="4427" spans="2:14">
      <c r="B4427" s="1">
        <v>21</v>
      </c>
      <c r="C4427" s="1">
        <f ca="1">IFERROR(OFFSET('102_建筑'!$L$6,MATCH(B4427-($E$4401+1),'102_建筑'!$A$6:$A$38,0)-1,0),0)</f>
        <v>462238</v>
      </c>
      <c r="D4427" s="1">
        <f ca="1">OFFSET('102_建筑'!$L$6,MATCH(B4427-1,'102_建筑'!$A$6:$A$38,0)-1,0)*$E$4402</f>
        <v>166535.7</v>
      </c>
      <c r="E4427" s="30">
        <v>1</v>
      </c>
      <c r="F4427" s="1">
        <f ca="1">_xlfn.FLOOR.MATH((C4427+D4427)*E4427,10)</f>
        <v>628770</v>
      </c>
      <c r="G4427" s="5">
        <f ca="1">OFFSET('102_建筑'!$L$6,MATCH(B4427-1,'102_建筑'!$A$6:$A$38,0)-1,0)*E4427</f>
        <v>1110238</v>
      </c>
      <c r="H4427" s="5"/>
      <c r="I4427" s="5">
        <f ca="1" t="shared" si="1303"/>
        <v>230250</v>
      </c>
      <c r="J4427" s="1">
        <f ca="1">SUM($I$4407:I4426)</f>
        <v>629300</v>
      </c>
      <c r="K4427" s="1">
        <f ca="1">_xlfn.FLOOR.MATH((J4427*控制台!$E$4400))</f>
        <v>157325000</v>
      </c>
      <c r="L4427" s="1">
        <f ca="1" t="shared" si="1301"/>
        <v>144770000</v>
      </c>
      <c r="M4427" s="1">
        <f ca="1">OFFSET('102_建筑'!$B$6,控制台!B4427,0)*控制台!$C$291/控制台!$H$291</f>
        <v>12555000</v>
      </c>
      <c r="N4427" s="81">
        <f ca="1">_xlfn.FLOOR.MATH(L4427/$E$4400,10)</f>
        <v>579080</v>
      </c>
    </row>
    <row r="4428" spans="2:14">
      <c r="B4428" s="1">
        <v>22</v>
      </c>
      <c r="C4428" s="1">
        <f ca="1">IFERROR(OFFSET('102_建筑'!$L$6,MATCH(B4428-($E$4401+1),'102_建筑'!$A$6:$A$38,0)-1,0),0)</f>
        <v>652318</v>
      </c>
      <c r="D4428" s="1">
        <f ca="1">OFFSET('102_建筑'!$L$6,MATCH(B4428-1,'102_建筑'!$A$6:$A$38,0)-1,0)*$E$4402</f>
        <v>206711.7</v>
      </c>
      <c r="E4428" s="30">
        <v>1</v>
      </c>
      <c r="F4428" s="1">
        <f ca="1">_xlfn.FLOOR.MATH((C4428+D4428)*E4428,10)</f>
        <v>859020</v>
      </c>
      <c r="G4428" s="5">
        <f ca="1">OFFSET('102_建筑'!$L$6,MATCH(B4428-1,'102_建筑'!$A$6:$A$38,0)-1,0)*E4428</f>
        <v>1378078</v>
      </c>
      <c r="H4428" s="5"/>
      <c r="I4428" s="5">
        <f ca="1" t="shared" si="1303"/>
        <v>258770</v>
      </c>
      <c r="J4428" s="1">
        <f ca="1">SUM($I$4407:I4427)</f>
        <v>859550</v>
      </c>
      <c r="K4428" s="1">
        <f ca="1">_xlfn.FLOOR.MATH((J4428*控制台!$E$4400))</f>
        <v>214887500</v>
      </c>
      <c r="L4428" s="1">
        <f ca="1" t="shared" si="1301"/>
        <v>201522500</v>
      </c>
      <c r="M4428" s="1">
        <f ca="1">OFFSET('102_建筑'!$B$6,控制台!B4428,0)*控制台!$C$291/控制台!$H$291</f>
        <v>13365000</v>
      </c>
      <c r="N4428" s="81">
        <f ca="1">_xlfn.FLOOR.MATH(L4428/$E$4400,10)</f>
        <v>806090</v>
      </c>
    </row>
    <row r="4429" spans="2:14">
      <c r="B4429" s="1">
        <v>23</v>
      </c>
      <c r="C4429" s="1">
        <f ca="1">IFERROR(OFFSET('102_建筑'!$L$6,MATCH(B4429-($E$4401+1),'102_建筑'!$A$6:$A$38,0)-1,0),0)</f>
        <v>868318</v>
      </c>
      <c r="D4429" s="1">
        <f ca="1">OFFSET('102_建筑'!$L$6,MATCH(B4429-1,'102_建筑'!$A$6:$A$38,0)-1,0)*$E$4402</f>
        <v>249479.7</v>
      </c>
      <c r="E4429" s="30">
        <v>1</v>
      </c>
      <c r="F4429" s="1">
        <f ca="1">_xlfn.FLOOR.MATH((C4429+D4429)*E4429,10)</f>
        <v>1117790</v>
      </c>
      <c r="G4429" s="5">
        <f ca="1">OFFSET('102_建筑'!$L$6,MATCH(B4429-1,'102_建筑'!$A$6:$A$38,0)-1,0)*E4429</f>
        <v>1663198</v>
      </c>
      <c r="H4429" s="5"/>
      <c r="I4429" s="5">
        <f ca="1" t="shared" si="1303"/>
        <v>300240</v>
      </c>
      <c r="J4429" s="1">
        <f ca="1">SUM($I$4407:I4428)</f>
        <v>1118320</v>
      </c>
      <c r="K4429" s="1">
        <f ca="1">_xlfn.FLOOR.MATH((J4429*控制台!$E$4400))</f>
        <v>279580000</v>
      </c>
      <c r="L4429" s="1">
        <f ca="1" t="shared" si="1301"/>
        <v>261355000</v>
      </c>
      <c r="M4429" s="1">
        <f ca="1">OFFSET('102_建筑'!$B$6,控制台!B4429,0)*控制台!$C$291/控制台!$H$291</f>
        <v>18225000</v>
      </c>
      <c r="N4429" s="81">
        <f ca="1">_xlfn.FLOOR.MATH(L4429/$E$4400,10)</f>
        <v>1045420</v>
      </c>
    </row>
    <row r="4430" spans="2:14">
      <c r="B4430" s="1">
        <v>24</v>
      </c>
      <c r="C4430" s="1">
        <f ca="1">IFERROR(OFFSET('102_建筑'!$L$6,MATCH(B4430-($E$4401+1),'102_建筑'!$A$6:$A$38,0)-1,0),0)</f>
        <v>1110238</v>
      </c>
      <c r="D4430" s="1">
        <f ca="1">OFFSET('102_建筑'!$L$6,MATCH(B4430-1,'102_建筑'!$A$6:$A$38,0)-1,0)*$E$4402</f>
        <v>307799.7</v>
      </c>
      <c r="E4430" s="30">
        <v>1</v>
      </c>
      <c r="F4430" s="1">
        <f ca="1">_xlfn.FLOOR.MATH((C4430+D4430)*E4430,10)</f>
        <v>1418030</v>
      </c>
      <c r="G4430" s="5">
        <f ca="1">OFFSET('102_建筑'!$L$6,MATCH(B4430-1,'102_建筑'!$A$6:$A$38,0)-1,0)*E4430</f>
        <v>2051998</v>
      </c>
      <c r="H4430" s="5"/>
      <c r="I4430" s="5">
        <f ca="1" t="shared" si="1303"/>
        <v>410400</v>
      </c>
      <c r="J4430" s="1">
        <f ca="1">SUM($I$4407:I4429)</f>
        <v>1418560</v>
      </c>
      <c r="K4430" s="1">
        <f ca="1">_xlfn.FLOOR.MATH((J4430*控制台!$E$4400))</f>
        <v>354640000</v>
      </c>
      <c r="L4430" s="1">
        <f ca="1" t="shared" si="1301"/>
        <v>310090000</v>
      </c>
      <c r="M4430" s="1">
        <f ca="1">OFFSET('102_建筑'!$B$6,控制台!B4430,0)*控制台!$C$291/控制台!$H$291</f>
        <v>44550000</v>
      </c>
      <c r="N4430" s="81">
        <f ca="1">_xlfn.FLOOR.MATH(L4430/$E$4400,10)</f>
        <v>1240360</v>
      </c>
    </row>
    <row r="4431" spans="2:14">
      <c r="B4431" s="1">
        <v>25</v>
      </c>
      <c r="C4431" s="1">
        <f ca="1">IFERROR(OFFSET('102_建筑'!$L$6,MATCH(B4431-($E$4401+1),'102_建筑'!$A$6:$A$38,0)-1,0),0)</f>
        <v>1378078</v>
      </c>
      <c r="D4431" s="1">
        <f ca="1">OFFSET('102_建筑'!$L$6,MATCH(B4431-1,'102_建筑'!$A$6:$A$38,0)-1,0)*$E$4402</f>
        <v>450359.7</v>
      </c>
      <c r="E4431" s="30">
        <v>1</v>
      </c>
      <c r="F4431" s="1">
        <f ca="1">_xlfn.FLOOR.MATH((C4431+D4431)*E4431,10)</f>
        <v>1828430</v>
      </c>
      <c r="G4431" s="5">
        <f ca="1">OFFSET('102_建筑'!$L$6,MATCH(B4431-1,'102_建筑'!$A$6:$A$38,0)-1,0)*E4431</f>
        <v>3002398</v>
      </c>
      <c r="H4431" s="5"/>
      <c r="I4431" s="5">
        <f ca="1" t="shared" si="1303"/>
        <v>466560</v>
      </c>
      <c r="J4431" s="1">
        <f ca="1">SUM($I$4407:I4430)</f>
        <v>1828960</v>
      </c>
      <c r="K4431" s="1">
        <f ca="1">_xlfn.FLOOR.MATH((J4431*控制台!$E$4400))</f>
        <v>457240000</v>
      </c>
      <c r="L4431" s="1">
        <f ca="1" t="shared" si="1301"/>
        <v>400540000</v>
      </c>
      <c r="M4431" s="1">
        <f ca="1">OFFSET('102_建筑'!$B$6,控制台!B4431,0)*控制台!$C$291/控制台!$H$291</f>
        <v>56700000</v>
      </c>
      <c r="N4431" s="81">
        <f ca="1">_xlfn.FLOOR.MATH(L4431/$E$4400,10)</f>
        <v>1602160</v>
      </c>
    </row>
    <row r="4432" spans="2:14">
      <c r="B4432" s="1">
        <v>26</v>
      </c>
      <c r="C4432" s="1">
        <f ca="1">IFERROR(OFFSET('102_建筑'!$L$6,MATCH(B4432-($E$4401+1),'102_建筑'!$A$6:$A$38,0)-1,0),0)</f>
        <v>1663198</v>
      </c>
      <c r="D4432" s="1">
        <f ca="1">OFFSET('102_建筑'!$L$6,MATCH(B4432-1,'102_建筑'!$A$6:$A$38,0)-1,0)*$E$4402</f>
        <v>631799.7</v>
      </c>
      <c r="E4432" s="30">
        <v>1</v>
      </c>
      <c r="F4432" s="1">
        <f ca="1">_xlfn.FLOOR.MATH((C4432+D4432)*E4432,10)</f>
        <v>2294990</v>
      </c>
      <c r="G4432" s="5">
        <f ca="1">OFFSET('102_建筑'!$L$6,MATCH(B4432-1,'102_建筑'!$A$6:$A$38,0)-1,0)*E4432</f>
        <v>4211998</v>
      </c>
      <c r="H4432" s="5"/>
      <c r="I4432" s="5">
        <f ca="1" t="shared" si="1303"/>
        <v>596160</v>
      </c>
      <c r="J4432" s="1">
        <f ca="1">SUM($I$4407:I4431)</f>
        <v>2295520</v>
      </c>
      <c r="K4432" s="1">
        <f ca="1">_xlfn.FLOOR.MATH((J4432*控制台!$E$4400))</f>
        <v>573880000</v>
      </c>
      <c r="L4432" s="1">
        <f ca="1" t="shared" si="1301"/>
        <v>509080000</v>
      </c>
      <c r="M4432" s="1">
        <f ca="1">OFFSET('102_建筑'!$B$6,控制台!B4432,0)*控制台!$C$291/控制台!$H$291</f>
        <v>64800000</v>
      </c>
      <c r="N4432" s="81">
        <f ca="1">_xlfn.FLOOR.MATH(L4432/$E$4400,10)</f>
        <v>2036320</v>
      </c>
    </row>
    <row r="4433" spans="2:14">
      <c r="B4433" s="1">
        <v>27</v>
      </c>
      <c r="C4433" s="1">
        <f ca="1">IFERROR(OFFSET('102_建筑'!$L$6,MATCH(B4433-($E$4401+1),'102_建筑'!$A$6:$A$38,0)-1,0),0)</f>
        <v>2051998</v>
      </c>
      <c r="D4433" s="1">
        <f ca="1">OFFSET('102_建筑'!$L$6,MATCH(B4433-1,'102_建筑'!$A$6:$A$38,0)-1,0)*$E$4402</f>
        <v>839159.7</v>
      </c>
      <c r="E4433" s="30">
        <v>1</v>
      </c>
      <c r="F4433" s="1">
        <f ca="1">_xlfn.FLOOR.MATH((C4433+D4433)*E4433,10)</f>
        <v>2891150</v>
      </c>
      <c r="G4433" s="5">
        <f ca="1">OFFSET('102_建筑'!$L$6,MATCH(B4433-1,'102_建筑'!$A$6:$A$38,0)-1,0)*E4433</f>
        <v>5594398</v>
      </c>
      <c r="H4433" s="5"/>
      <c r="I4433" s="5">
        <f ca="1" t="shared" si="1303"/>
        <v>1468800</v>
      </c>
      <c r="J4433" s="1">
        <f ca="1">SUM($I$4407:I4432)</f>
        <v>2891680</v>
      </c>
      <c r="K4433" s="1">
        <f ca="1">_xlfn.FLOOR.MATH((J4433*控制台!$E$4400))</f>
        <v>722920000</v>
      </c>
      <c r="L4433" s="1">
        <f ca="1" t="shared" si="1301"/>
        <v>560920000</v>
      </c>
      <c r="M4433" s="1">
        <f ca="1">OFFSET('102_建筑'!$B$6,控制台!B4433,0)*控制台!$C$291/控制台!$H$291</f>
        <v>162000000</v>
      </c>
      <c r="N4433" s="81">
        <f ca="1">_xlfn.FLOOR.MATH(L4433/$E$4400,10)</f>
        <v>2243680</v>
      </c>
    </row>
    <row r="4434" spans="2:14">
      <c r="B4434" s="1">
        <v>28</v>
      </c>
      <c r="C4434" s="1">
        <f ca="1">IFERROR(OFFSET('102_建筑'!$L$6,MATCH(B4434-($E$4401+1),'102_建筑'!$A$6:$A$38,0)-1,0),0)</f>
        <v>3002398</v>
      </c>
      <c r="D4434" s="1">
        <f ca="1">OFFSET('102_建筑'!$L$6,MATCH(B4434-1,'102_建筑'!$A$6:$A$38,0)-1,0)*$E$4402</f>
        <v>1357559.7</v>
      </c>
      <c r="E4434" s="30">
        <v>1</v>
      </c>
      <c r="F4434" s="1">
        <f ca="1">_xlfn.FLOOR.MATH((C4434+D4434)*E4434,10)</f>
        <v>4359950</v>
      </c>
      <c r="G4434" s="5">
        <f ca="1">OFFSET('102_建筑'!$L$6,MATCH(B4434-1,'102_建筑'!$A$6:$A$38,0)-1,0)*E4434</f>
        <v>9050398</v>
      </c>
      <c r="H4434" s="5"/>
      <c r="I4434" s="5">
        <f ca="1" t="shared" si="1303"/>
        <v>1857600</v>
      </c>
      <c r="J4434" s="1">
        <f ca="1">SUM($I$4407:I4433)</f>
        <v>4360480</v>
      </c>
      <c r="K4434" s="1">
        <f ca="1">_xlfn.FLOOR.MATH((J4434*控制台!$E$4400))</f>
        <v>1090120000</v>
      </c>
      <c r="L4434" s="1">
        <f ca="1" t="shared" si="1301"/>
        <v>887620000</v>
      </c>
      <c r="M4434" s="1">
        <f ca="1">OFFSET('102_建筑'!$B$6,控制台!B4434,0)*控制台!$C$291/控制台!$H$291</f>
        <v>202500000</v>
      </c>
      <c r="N4434" s="81">
        <f ca="1">_xlfn.FLOOR.MATH(L4434/$E$4400,10)</f>
        <v>3550480</v>
      </c>
    </row>
    <row r="4435" spans="2:14">
      <c r="B4435" s="1">
        <v>29</v>
      </c>
      <c r="C4435" s="1">
        <f ca="1">IFERROR(OFFSET('102_建筑'!$L$6,MATCH(B4435-($E$4401+1),'102_建筑'!$A$6:$A$38,0)-1,0),0)</f>
        <v>4211998</v>
      </c>
      <c r="D4435" s="1">
        <f ca="1">OFFSET('102_建筑'!$L$6,MATCH(B4435-1,'102_建筑'!$A$6:$A$38,0)-1,0)*$E$4402</f>
        <v>2005559.7</v>
      </c>
      <c r="E4435" s="30">
        <v>1</v>
      </c>
      <c r="F4435" s="1">
        <f ca="1">_xlfn.FLOOR.MATH((C4435+D4435)*E4435,10)</f>
        <v>6217550</v>
      </c>
      <c r="G4435" s="5">
        <f ca="1">OFFSET('102_建筑'!$L$6,MATCH(B4435-1,'102_建筑'!$A$6:$A$38,0)-1,0)*E4435</f>
        <v>13370398</v>
      </c>
      <c r="H4435" s="5"/>
      <c r="I4435" s="5">
        <f ca="1" t="shared" si="1303"/>
        <v>2613600</v>
      </c>
      <c r="J4435" s="1">
        <f ca="1">SUM($I$4407:I4434)</f>
        <v>6218080</v>
      </c>
      <c r="K4435" s="1">
        <f ca="1">_xlfn.FLOOR.MATH((J4435*控制台!$E$4400))</f>
        <v>1554520000</v>
      </c>
      <c r="L4435" s="1">
        <f ca="1" t="shared" si="1301"/>
        <v>1169770000</v>
      </c>
      <c r="M4435" s="1">
        <f ca="1">OFFSET('102_建筑'!$B$6,控制台!B4435,0)*控制台!$C$291/控制台!$H$291</f>
        <v>384750000</v>
      </c>
      <c r="N4435" s="81">
        <f ca="1">_xlfn.FLOOR.MATH(L4435/$E$4400,10)</f>
        <v>4679080</v>
      </c>
    </row>
    <row r="4436" spans="2:14">
      <c r="B4436" s="1">
        <v>30</v>
      </c>
      <c r="C4436" s="1">
        <f ca="1">IFERROR(OFFSET('102_建筑'!$L$6,MATCH(B4436-($E$4401+1),'102_建筑'!$A$6:$A$38,0)-1,0),0)</f>
        <v>5594398</v>
      </c>
      <c r="D4436" s="1">
        <f ca="1">OFFSET('102_建筑'!$L$6,MATCH(B4436-1,'102_建筑'!$A$6:$A$38,0)-1,0)*$E$4402</f>
        <v>3236759.7</v>
      </c>
      <c r="E4436" s="30">
        <v>1</v>
      </c>
      <c r="F4436" s="1">
        <f ca="1">_xlfn.FLOOR.MATH((C4436+D4436)*E4436,10)</f>
        <v>8831150</v>
      </c>
      <c r="G4436" s="5">
        <f ca="1">OFFSET('102_建筑'!$L$6,MATCH(B4436-1,'102_建筑'!$A$6:$A$38,0)-1,0)*E4436</f>
        <v>21578398</v>
      </c>
      <c r="H4436" s="5"/>
      <c r="I4436" s="5">
        <f ca="1" t="shared" si="1303"/>
        <v>4700160</v>
      </c>
      <c r="J4436" s="1">
        <f ca="1">SUM($I$4407:I4435)</f>
        <v>8831680</v>
      </c>
      <c r="K4436" s="1">
        <f ca="1">_xlfn.FLOOR.MATH((J4436*控制台!$E$4400))</f>
        <v>2207920000</v>
      </c>
      <c r="L4436" s="1">
        <f ca="1" t="shared" si="1301"/>
        <v>1819120000</v>
      </c>
      <c r="M4436" s="1">
        <f ca="1">OFFSET('102_建筑'!$B$6,控制台!B4436,0)*控制台!$C$291/控制台!$H$291</f>
        <v>388800000</v>
      </c>
      <c r="N4436" s="81">
        <f ca="1">_xlfn.FLOOR.MATH(L4436/$E$4400,10)</f>
        <v>7276480</v>
      </c>
    </row>
    <row r="4437" spans="2:14">
      <c r="B4437" s="1">
        <v>31</v>
      </c>
      <c r="C4437" s="1">
        <f ca="1">IFERROR(OFFSET('102_建筑'!$L$6,MATCH(B4437-($E$4401+1),'102_建筑'!$A$6:$A$38,0)-1,0),0)</f>
        <v>9050398</v>
      </c>
      <c r="D4437" s="1">
        <f ca="1">OFFSET('102_建筑'!$L$6,MATCH(B4437-1,'102_建筑'!$A$6:$A$38,0)-1,0)*$E$4402</f>
        <v>4480919.7</v>
      </c>
      <c r="E4437" s="30">
        <v>1</v>
      </c>
      <c r="F4437" s="1">
        <f ca="1">_xlfn.FLOOR.MATH((C4437+D4437)*E4437,10)</f>
        <v>13531310</v>
      </c>
      <c r="G4437" s="5">
        <f ca="1">OFFSET('102_建筑'!$L$6,MATCH(B4437-1,'102_建筑'!$A$6:$A$38,0)-1,0)*E4437</f>
        <v>29872798</v>
      </c>
      <c r="H4437" s="5"/>
      <c r="I4437" s="5">
        <f ca="1" t="shared" si="1303"/>
        <v>5590080</v>
      </c>
      <c r="J4437" s="1">
        <f ca="1">SUM($I$4407:I4436)</f>
        <v>13531840</v>
      </c>
      <c r="K4437" s="1">
        <f ca="1">_xlfn.FLOOR.MATH((J4437*控制台!$E$4400))</f>
        <v>3382960000</v>
      </c>
      <c r="L4437" s="1">
        <f ca="1" t="shared" si="1301"/>
        <v>2986060000</v>
      </c>
      <c r="M4437" s="1">
        <f ca="1">OFFSET('102_建筑'!$B$6,控制台!B4437,0)*控制台!$C$291/控制台!$H$291</f>
        <v>396900000</v>
      </c>
      <c r="N4437" s="81">
        <f ca="1">_xlfn.FLOOR.MATH(L4437/$E$4400,10)</f>
        <v>11944240</v>
      </c>
    </row>
    <row r="4438" spans="2:14">
      <c r="B4438" s="1">
        <v>32</v>
      </c>
      <c r="C4438" s="1">
        <f ca="1">IFERROR(OFFSET('102_建筑'!$L$6,MATCH(B4438-($E$4401+1),'102_建筑'!$A$6:$A$38,0)-1,0),0)</f>
        <v>13370398</v>
      </c>
      <c r="D4438" s="1">
        <f ca="1">OFFSET('102_建筑'!$L$6,MATCH(B4438-1,'102_建筑'!$A$6:$A$38,0)-1,0)*$E$4402</f>
        <v>5750999.7</v>
      </c>
      <c r="E4438" s="30">
        <v>1</v>
      </c>
      <c r="F4438" s="1">
        <f ca="1">_xlfn.FLOOR.MATH((C4438+D4438)*E4438,10)</f>
        <v>19121390</v>
      </c>
      <c r="G4438" s="5">
        <f ca="1">OFFSET('102_建筑'!$L$6,MATCH(B4438-1,'102_建筑'!$A$6:$A$38,0)-1,0)*E4438</f>
        <v>38339998</v>
      </c>
      <c r="H4438" s="5"/>
      <c r="I4438" s="5">
        <v>999999999</v>
      </c>
      <c r="J4438" s="1">
        <f ca="1">SUM($I$4407:I4437)</f>
        <v>19121920</v>
      </c>
      <c r="K4438" s="1">
        <f ca="1">_xlfn.FLOOR.MATH((J4438*控制台!$E$4400))</f>
        <v>4780480000</v>
      </c>
      <c r="L4438" s="1">
        <f ca="1" t="shared" si="1301"/>
        <v>4375480000</v>
      </c>
      <c r="M4438" s="1">
        <f ca="1">OFFSET('102_建筑'!$B$6,控制台!B4438,0)*控制台!$C$291/控制台!$H$291</f>
        <v>405000000</v>
      </c>
      <c r="N4438" s="81">
        <v>999999999</v>
      </c>
    </row>
    <row r="4440" spans="2:12">
      <c r="B4440" s="27" t="s">
        <v>2235</v>
      </c>
      <c r="C4440" s="27"/>
      <c r="D4440" s="27"/>
      <c r="E4440" s="27"/>
      <c r="F4440" s="27"/>
      <c r="G4440" s="27"/>
      <c r="H4440" s="27"/>
      <c r="I4440" s="27"/>
      <c r="J4440" s="27"/>
      <c r="K4440" s="27"/>
      <c r="L4440" s="27"/>
    </row>
    <row r="4442" spans="3:20">
      <c r="C4442" s="30" t="s">
        <v>1785</v>
      </c>
      <c r="Q4442" s="30" t="s">
        <v>1767</v>
      </c>
      <c r="R4442" s="30" t="s">
        <v>1753</v>
      </c>
      <c r="S4442" s="30" t="s">
        <v>1760</v>
      </c>
      <c r="T4442" s="30" t="s">
        <v>2236</v>
      </c>
    </row>
    <row r="4443" spans="2:26">
      <c r="B4443" s="1" t="s">
        <v>2237</v>
      </c>
      <c r="C4443" s="1" t="s">
        <v>540</v>
      </c>
      <c r="D4443" s="1" t="s">
        <v>2238</v>
      </c>
      <c r="E4443" s="1" t="s">
        <v>822</v>
      </c>
      <c r="F4443" s="1" t="s">
        <v>823</v>
      </c>
      <c r="G4443" s="1" t="s">
        <v>826</v>
      </c>
      <c r="H4443" s="1" t="s">
        <v>827</v>
      </c>
      <c r="I4443" s="1" t="s">
        <v>830</v>
      </c>
      <c r="J4443" s="1" t="s">
        <v>831</v>
      </c>
      <c r="K4443" s="1" t="s">
        <v>834</v>
      </c>
      <c r="L4443" s="1" t="s">
        <v>835</v>
      </c>
      <c r="M4443" s="1" t="s">
        <v>2239</v>
      </c>
      <c r="N4443" s="1" t="s">
        <v>2240</v>
      </c>
      <c r="O4443" s="1" t="s">
        <v>838</v>
      </c>
      <c r="P4443" s="1" t="s">
        <v>839</v>
      </c>
      <c r="Q4443" s="1" t="s">
        <v>728</v>
      </c>
      <c r="R4443" s="1" t="s">
        <v>729</v>
      </c>
      <c r="S4443" s="1" t="s">
        <v>730</v>
      </c>
      <c r="T4443" s="1" t="s">
        <v>562</v>
      </c>
      <c r="U4443" s="4" t="s">
        <v>2059</v>
      </c>
      <c r="Z4443" s="4" t="s">
        <v>1740</v>
      </c>
    </row>
    <row r="4444" spans="2:28">
      <c r="B4444" s="1">
        <v>2</v>
      </c>
      <c r="C4444" s="30">
        <v>100</v>
      </c>
      <c r="D4444" s="30">
        <v>0</v>
      </c>
      <c r="E4444" s="30"/>
      <c r="F4444" s="30"/>
      <c r="G4444" s="1">
        <f ca="1" t="shared" ref="G4444:G4474" si="1305">IFERROR(OFFSET($C$295,0,MATCH(E4444,$C$293:$H$293,0)-1),0)</f>
        <v>0</v>
      </c>
      <c r="H4444" s="1">
        <f ca="1" t="shared" ref="H4444:H4474" si="1306">IFERROR(OFFSET($C$295,0,MATCH(F4444,$C$293:$H$293,0)-1),0)</f>
        <v>0</v>
      </c>
      <c r="I4444" s="68">
        <v>0</v>
      </c>
      <c r="J4444" s="68">
        <v>0</v>
      </c>
      <c r="K4444" s="1">
        <f ca="1" t="shared" ref="K4444:K4474" si="1307">IFERROR(OFFSET($C$294,0,MATCH(E4444,$C$293:$H$293,0)-1),0)</f>
        <v>0</v>
      </c>
      <c r="L4444" s="1">
        <f ca="1" t="shared" ref="L4444:L4474" si="1308">IFERROR(OFFSET($C$294,0,MATCH(F4444,$C$293:$H$293,0)-1),0)</f>
        <v>0</v>
      </c>
      <c r="M4444" s="30">
        <v>0</v>
      </c>
      <c r="N4444" s="30">
        <v>0</v>
      </c>
      <c r="O4444" s="1" t="str">
        <f ca="1" t="shared" ref="O4444:O4474" si="1309">IFERROR(OFFSET($C$296,0,MATCH(E4444,$C$293:$H$293,0)-1),"")</f>
        <v/>
      </c>
      <c r="P4444" s="1" t="str">
        <f ca="1" t="shared" ref="P4444:P4474" si="1310">IFERROR(OFFSET($C$296,0,MATCH(F4444,$C$293:$H$293,0)-1),"")</f>
        <v/>
      </c>
      <c r="Q4444" s="30">
        <v>5000</v>
      </c>
      <c r="R4444" s="30">
        <v>5000</v>
      </c>
      <c r="S4444" s="30">
        <v>5000</v>
      </c>
      <c r="T4444" s="117">
        <v>2</v>
      </c>
      <c r="U4444" s="6" t="s">
        <v>191</v>
      </c>
      <c r="V4444" s="112"/>
      <c r="W4444" s="112"/>
      <c r="X4444" s="112"/>
      <c r="Y4444" s="112"/>
      <c r="Z4444" s="6" t="s">
        <v>192</v>
      </c>
      <c r="AA4444" s="112"/>
      <c r="AB4444" s="112"/>
    </row>
    <row r="4445" spans="2:28">
      <c r="B4445" s="1">
        <v>3</v>
      </c>
      <c r="C4445" s="30">
        <v>150</v>
      </c>
      <c r="D4445" s="30">
        <v>0</v>
      </c>
      <c r="E4445" s="30"/>
      <c r="F4445" s="30"/>
      <c r="G4445" s="1">
        <f ca="1" t="shared" si="1305"/>
        <v>0</v>
      </c>
      <c r="H4445" s="1">
        <f ca="1" t="shared" si="1306"/>
        <v>0</v>
      </c>
      <c r="I4445" s="68">
        <v>0</v>
      </c>
      <c r="J4445" s="68">
        <v>0</v>
      </c>
      <c r="K4445" s="1">
        <f ca="1" t="shared" si="1307"/>
        <v>0</v>
      </c>
      <c r="L4445" s="1">
        <f ca="1" t="shared" si="1308"/>
        <v>0</v>
      </c>
      <c r="M4445" s="30">
        <v>0</v>
      </c>
      <c r="N4445" s="30">
        <v>0</v>
      </c>
      <c r="O4445" s="1" t="str">
        <f ca="1" t="shared" si="1309"/>
        <v/>
      </c>
      <c r="P4445" s="1" t="str">
        <f ca="1" t="shared" si="1310"/>
        <v/>
      </c>
      <c r="Q4445" s="30">
        <v>7500</v>
      </c>
      <c r="R4445" s="30">
        <v>7500</v>
      </c>
      <c r="S4445" s="30">
        <v>7500</v>
      </c>
      <c r="T4445" s="117">
        <v>2</v>
      </c>
      <c r="U4445" s="6" t="s">
        <v>191</v>
      </c>
      <c r="V4445" s="112"/>
      <c r="W4445" s="112"/>
      <c r="X4445" s="112"/>
      <c r="Y4445" s="112"/>
      <c r="Z4445" s="6" t="s">
        <v>195</v>
      </c>
      <c r="AA4445" s="112"/>
      <c r="AB4445" s="112"/>
    </row>
    <row r="4446" spans="2:28">
      <c r="B4446" s="1">
        <v>4</v>
      </c>
      <c r="C4446" s="30">
        <v>200</v>
      </c>
      <c r="D4446" s="30">
        <v>0</v>
      </c>
      <c r="E4446" s="30"/>
      <c r="F4446" s="30"/>
      <c r="G4446" s="1">
        <f ca="1" t="shared" si="1305"/>
        <v>0</v>
      </c>
      <c r="H4446" s="1">
        <f ca="1" t="shared" si="1306"/>
        <v>0</v>
      </c>
      <c r="I4446" s="68">
        <v>0</v>
      </c>
      <c r="J4446" s="68">
        <v>0</v>
      </c>
      <c r="K4446" s="1">
        <f ca="1" t="shared" si="1307"/>
        <v>0</v>
      </c>
      <c r="L4446" s="1">
        <f ca="1" t="shared" si="1308"/>
        <v>0</v>
      </c>
      <c r="M4446" s="30">
        <v>0</v>
      </c>
      <c r="N4446" s="30">
        <v>0</v>
      </c>
      <c r="O4446" s="1" t="str">
        <f ca="1" t="shared" si="1309"/>
        <v/>
      </c>
      <c r="P4446" s="1" t="str">
        <f ca="1" t="shared" si="1310"/>
        <v/>
      </c>
      <c r="Q4446" s="30">
        <v>10000</v>
      </c>
      <c r="R4446" s="30">
        <v>10000</v>
      </c>
      <c r="S4446" s="30">
        <v>10000</v>
      </c>
      <c r="T4446" s="117">
        <v>2</v>
      </c>
      <c r="U4446" s="6" t="s">
        <v>191</v>
      </c>
      <c r="V4446" s="112"/>
      <c r="W4446" s="112"/>
      <c r="X4446" s="112"/>
      <c r="Y4446" s="112"/>
      <c r="Z4446" s="6" t="s">
        <v>197</v>
      </c>
      <c r="AA4446" s="112"/>
      <c r="AB4446" s="112"/>
    </row>
    <row r="4447" spans="2:28">
      <c r="B4447" s="1">
        <v>5</v>
      </c>
      <c r="C4447" s="30">
        <v>250</v>
      </c>
      <c r="D4447" s="30">
        <v>0</v>
      </c>
      <c r="E4447" s="30"/>
      <c r="F4447" s="30"/>
      <c r="G4447" s="1">
        <f ca="1" t="shared" si="1305"/>
        <v>0</v>
      </c>
      <c r="H4447" s="1">
        <f ca="1" t="shared" si="1306"/>
        <v>0</v>
      </c>
      <c r="I4447" s="68">
        <v>0</v>
      </c>
      <c r="J4447" s="68">
        <v>0</v>
      </c>
      <c r="K4447" s="1">
        <f ca="1" t="shared" si="1307"/>
        <v>0</v>
      </c>
      <c r="L4447" s="1">
        <f ca="1" t="shared" si="1308"/>
        <v>0</v>
      </c>
      <c r="M4447" s="30">
        <v>0</v>
      </c>
      <c r="N4447" s="30">
        <v>0</v>
      </c>
      <c r="O4447" s="1" t="str">
        <f ca="1" t="shared" si="1309"/>
        <v/>
      </c>
      <c r="P4447" s="1" t="str">
        <f ca="1" t="shared" si="1310"/>
        <v/>
      </c>
      <c r="Q4447" s="30">
        <v>12500</v>
      </c>
      <c r="R4447" s="30">
        <v>12500</v>
      </c>
      <c r="S4447" s="30">
        <v>12500</v>
      </c>
      <c r="T4447" s="117">
        <v>2</v>
      </c>
      <c r="U4447" s="6" t="s">
        <v>191</v>
      </c>
      <c r="V4447" s="112"/>
      <c r="W4447" s="112"/>
      <c r="X4447" s="112"/>
      <c r="Y4447" s="112"/>
      <c r="Z4447" s="6" t="s">
        <v>199</v>
      </c>
      <c r="AA4447" s="112"/>
      <c r="AB4447" s="112"/>
    </row>
    <row r="4448" spans="2:28">
      <c r="B4448" s="1">
        <v>6</v>
      </c>
      <c r="C4448" s="30">
        <v>300</v>
      </c>
      <c r="D4448" s="30">
        <v>0</v>
      </c>
      <c r="E4448" s="30"/>
      <c r="F4448" s="30"/>
      <c r="G4448" s="1">
        <f ca="1" t="shared" si="1305"/>
        <v>0</v>
      </c>
      <c r="H4448" s="1">
        <f ca="1" t="shared" si="1306"/>
        <v>0</v>
      </c>
      <c r="I4448" s="68">
        <v>0</v>
      </c>
      <c r="J4448" s="68">
        <v>0</v>
      </c>
      <c r="K4448" s="1">
        <f ca="1" t="shared" si="1307"/>
        <v>0</v>
      </c>
      <c r="L4448" s="1">
        <f ca="1" t="shared" si="1308"/>
        <v>0</v>
      </c>
      <c r="M4448" s="30">
        <v>0</v>
      </c>
      <c r="N4448" s="30">
        <v>0</v>
      </c>
      <c r="O4448" s="1" t="str">
        <f ca="1" t="shared" si="1309"/>
        <v/>
      </c>
      <c r="P4448" s="1" t="str">
        <f ca="1" t="shared" si="1310"/>
        <v/>
      </c>
      <c r="Q4448" s="30">
        <v>15000</v>
      </c>
      <c r="R4448" s="30">
        <v>15000</v>
      </c>
      <c r="S4448" s="30">
        <v>15000</v>
      </c>
      <c r="T4448" s="117">
        <v>2</v>
      </c>
      <c r="U4448" s="6" t="s">
        <v>191</v>
      </c>
      <c r="V4448" s="112"/>
      <c r="W4448" s="112"/>
      <c r="X4448" s="112"/>
      <c r="Y4448" s="112"/>
      <c r="Z4448" s="6" t="s">
        <v>201</v>
      </c>
      <c r="AA4448" s="112"/>
      <c r="AB4448" s="112"/>
    </row>
    <row r="4449" spans="2:28">
      <c r="B4449" s="1">
        <v>7</v>
      </c>
      <c r="C4449" s="30">
        <v>350</v>
      </c>
      <c r="D4449" s="30">
        <v>0</v>
      </c>
      <c r="E4449" s="30"/>
      <c r="F4449" s="30"/>
      <c r="G4449" s="1">
        <f ca="1" t="shared" si="1305"/>
        <v>0</v>
      </c>
      <c r="H4449" s="1">
        <f ca="1" t="shared" si="1306"/>
        <v>0</v>
      </c>
      <c r="I4449" s="68">
        <v>0</v>
      </c>
      <c r="J4449" s="68">
        <v>0</v>
      </c>
      <c r="K4449" s="1">
        <f ca="1" t="shared" si="1307"/>
        <v>0</v>
      </c>
      <c r="L4449" s="1">
        <f ca="1" t="shared" si="1308"/>
        <v>0</v>
      </c>
      <c r="M4449" s="30">
        <v>0</v>
      </c>
      <c r="N4449" s="30">
        <v>0</v>
      </c>
      <c r="O4449" s="1" t="str">
        <f ca="1" t="shared" si="1309"/>
        <v/>
      </c>
      <c r="P4449" s="1" t="str">
        <f ca="1" t="shared" si="1310"/>
        <v/>
      </c>
      <c r="Q4449" s="30">
        <v>20000</v>
      </c>
      <c r="R4449" s="30">
        <v>20000</v>
      </c>
      <c r="S4449" s="30">
        <v>20000</v>
      </c>
      <c r="T4449" s="117">
        <v>2</v>
      </c>
      <c r="U4449" s="6" t="s">
        <v>191</v>
      </c>
      <c r="V4449" s="112"/>
      <c r="W4449" s="112"/>
      <c r="X4449" s="112"/>
      <c r="Y4449" s="112"/>
      <c r="Z4449" s="6" t="s">
        <v>203</v>
      </c>
      <c r="AA4449" s="112"/>
      <c r="AB4449" s="112"/>
    </row>
    <row r="4450" spans="2:28">
      <c r="B4450" s="1">
        <v>8</v>
      </c>
      <c r="C4450" s="30">
        <v>400</v>
      </c>
      <c r="D4450" s="30">
        <v>0</v>
      </c>
      <c r="E4450" s="30"/>
      <c r="F4450" s="30"/>
      <c r="G4450" s="1">
        <f ca="1" t="shared" si="1305"/>
        <v>0</v>
      </c>
      <c r="H4450" s="1">
        <f ca="1" t="shared" si="1306"/>
        <v>0</v>
      </c>
      <c r="I4450" s="68">
        <v>0</v>
      </c>
      <c r="J4450" s="68">
        <v>0</v>
      </c>
      <c r="K4450" s="1">
        <f ca="1" t="shared" si="1307"/>
        <v>0</v>
      </c>
      <c r="L4450" s="1">
        <f ca="1" t="shared" si="1308"/>
        <v>0</v>
      </c>
      <c r="M4450" s="30">
        <v>0</v>
      </c>
      <c r="N4450" s="30">
        <v>0</v>
      </c>
      <c r="O4450" s="1" t="str">
        <f ca="1" t="shared" si="1309"/>
        <v/>
      </c>
      <c r="P4450" s="1" t="str">
        <f ca="1" t="shared" si="1310"/>
        <v/>
      </c>
      <c r="Q4450" s="30">
        <v>25000</v>
      </c>
      <c r="R4450" s="30">
        <v>25000</v>
      </c>
      <c r="S4450" s="30">
        <v>25000</v>
      </c>
      <c r="T4450" s="117">
        <v>2</v>
      </c>
      <c r="U4450" s="6" t="s">
        <v>191</v>
      </c>
      <c r="V4450" s="112"/>
      <c r="W4450" s="112"/>
      <c r="X4450" s="112"/>
      <c r="Y4450" s="112"/>
      <c r="Z4450" s="6" t="s">
        <v>205</v>
      </c>
      <c r="AA4450" s="112"/>
      <c r="AB4450" s="112"/>
    </row>
    <row r="4451" spans="2:26">
      <c r="B4451" s="1">
        <v>9</v>
      </c>
      <c r="C4451" s="30">
        <v>450</v>
      </c>
      <c r="D4451" s="30">
        <v>60</v>
      </c>
      <c r="E4451" s="30" t="s">
        <v>373</v>
      </c>
      <c r="F4451" s="30"/>
      <c r="G4451" s="1">
        <f ca="1" t="shared" si="1305"/>
        <v>15</v>
      </c>
      <c r="H4451" s="1">
        <f ca="1" t="shared" si="1306"/>
        <v>0</v>
      </c>
      <c r="I4451" s="68">
        <f ca="1" t="shared" ref="I4451:I4474" si="1311">G4451/SUM($G4451:$H4451)</f>
        <v>1</v>
      </c>
      <c r="J4451" s="68">
        <f ca="1" t="shared" ref="J4451:J4474" si="1312">H4451/SUM($G4451:$H4451)</f>
        <v>0</v>
      </c>
      <c r="K4451" s="1">
        <f ca="1" t="shared" si="1307"/>
        <v>20</v>
      </c>
      <c r="L4451" s="1">
        <f ca="1" t="shared" si="1308"/>
        <v>0</v>
      </c>
      <c r="M4451" s="1">
        <f ca="1">IFERROR(_xlfn.FLOOR.MATH($D4451*I4451/K4451),0)</f>
        <v>3</v>
      </c>
      <c r="N4451" s="1">
        <f ca="1">IFERROR(_xlfn.FLOOR.MATH($D4451*J4451/L4451),0)</f>
        <v>0</v>
      </c>
      <c r="O4451" s="1" t="str">
        <f ca="1" t="shared" si="1309"/>
        <v>cement</v>
      </c>
      <c r="P4451" s="1" t="str">
        <f ca="1" t="shared" si="1310"/>
        <v/>
      </c>
      <c r="Q4451" s="30">
        <v>30000</v>
      </c>
      <c r="R4451" s="30">
        <v>30000</v>
      </c>
      <c r="S4451" s="30">
        <v>30000</v>
      </c>
      <c r="T4451" s="118">
        <v>3</v>
      </c>
      <c r="U4451" s="4" t="str">
        <f ca="1">CONCATENATE($C$4442,";",O4451,";",$Q$4442,";",$R$4442,";",$S$4442,";",$T$4442)</f>
        <v>l_coin;cement;gold;metal;oil;action_point_middle</v>
      </c>
      <c r="Z4451" s="4" t="str">
        <f ca="1">CONCATENATE(C4451,";",M4451,";",Q4451,";",R4451,";",S4451,";",T4451)</f>
        <v>450;3;30000;30000;30000;3</v>
      </c>
    </row>
    <row r="4452" spans="2:26">
      <c r="B4452" s="1">
        <v>10</v>
      </c>
      <c r="C4452" s="30">
        <v>500</v>
      </c>
      <c r="D4452" s="30">
        <v>90</v>
      </c>
      <c r="E4452" s="30" t="s">
        <v>373</v>
      </c>
      <c r="F4452" s="30"/>
      <c r="G4452" s="1">
        <f ca="1" t="shared" si="1305"/>
        <v>15</v>
      </c>
      <c r="H4452" s="1">
        <f ca="1" t="shared" si="1306"/>
        <v>0</v>
      </c>
      <c r="I4452" s="68">
        <f ca="1" t="shared" si="1311"/>
        <v>1</v>
      </c>
      <c r="J4452" s="68">
        <f ca="1" t="shared" si="1312"/>
        <v>0</v>
      </c>
      <c r="K4452" s="1">
        <f ca="1" t="shared" si="1307"/>
        <v>20</v>
      </c>
      <c r="L4452" s="1">
        <f ca="1" t="shared" si="1308"/>
        <v>0</v>
      </c>
      <c r="M4452" s="1">
        <f ca="1">IFERROR(_xlfn.FLOOR.MATH($D4452*I4452/K4452),0)</f>
        <v>4</v>
      </c>
      <c r="N4452" s="1">
        <f ca="1">IFERROR(_xlfn.FLOOR.MATH($D4452*J4452/L4452),0)</f>
        <v>0</v>
      </c>
      <c r="O4452" s="1" t="str">
        <f ca="1" t="shared" si="1309"/>
        <v>cement</v>
      </c>
      <c r="P4452" s="1" t="str">
        <f ca="1" t="shared" si="1310"/>
        <v/>
      </c>
      <c r="Q4452" s="30">
        <v>35000</v>
      </c>
      <c r="R4452" s="30">
        <v>35000</v>
      </c>
      <c r="S4452" s="30">
        <v>35000</v>
      </c>
      <c r="T4452" s="118">
        <v>3</v>
      </c>
      <c r="U4452" s="4" t="str">
        <f ca="1" t="shared" ref="U4452:U4474" si="1313">CONCATENATE($C$4442,";",O4452,";",$Q$4442,";",$R$4442,";",$S$4442,";",$T$4442)</f>
        <v>l_coin;cement;gold;metal;oil;action_point_middle</v>
      </c>
      <c r="Z4452" s="4" t="str">
        <f ca="1" t="shared" ref="Z4452:Z4474" si="1314">CONCATENATE(C4452,";",M4452,";",Q4452,";",R4452,";",S4452,";",T4452)</f>
        <v>500;4;35000;35000;35000;3</v>
      </c>
    </row>
    <row r="4453" spans="2:26">
      <c r="B4453" s="1">
        <v>11</v>
      </c>
      <c r="C4453" s="30">
        <v>550</v>
      </c>
      <c r="D4453" s="30">
        <v>100</v>
      </c>
      <c r="E4453" s="30" t="s">
        <v>373</v>
      </c>
      <c r="F4453" s="30"/>
      <c r="G4453" s="1">
        <f ca="1" t="shared" si="1305"/>
        <v>15</v>
      </c>
      <c r="H4453" s="1">
        <f ca="1" t="shared" si="1306"/>
        <v>0</v>
      </c>
      <c r="I4453" s="68">
        <f ca="1" t="shared" si="1311"/>
        <v>1</v>
      </c>
      <c r="J4453" s="68">
        <f ca="1" t="shared" si="1312"/>
        <v>0</v>
      </c>
      <c r="K4453" s="1">
        <f ca="1" t="shared" si="1307"/>
        <v>20</v>
      </c>
      <c r="L4453" s="1">
        <f ca="1" t="shared" si="1308"/>
        <v>0</v>
      </c>
      <c r="M4453" s="1">
        <f ca="1">IFERROR(_xlfn.FLOOR.MATH($D4453*I4453/K4453),0)</f>
        <v>5</v>
      </c>
      <c r="N4453" s="1">
        <f ca="1">IFERROR(_xlfn.FLOOR.MATH($D4453*J4453/L4453),0)</f>
        <v>0</v>
      </c>
      <c r="O4453" s="1" t="str">
        <f ca="1" t="shared" si="1309"/>
        <v>cement</v>
      </c>
      <c r="P4453" s="1" t="str">
        <f ca="1" t="shared" si="1310"/>
        <v/>
      </c>
      <c r="Q4453" s="30">
        <v>40000</v>
      </c>
      <c r="R4453" s="30">
        <v>40000</v>
      </c>
      <c r="S4453" s="30">
        <v>40000</v>
      </c>
      <c r="T4453" s="118">
        <v>3</v>
      </c>
      <c r="U4453" s="4" t="str">
        <f ca="1" t="shared" si="1313"/>
        <v>l_coin;cement;gold;metal;oil;action_point_middle</v>
      </c>
      <c r="Z4453" s="4" t="str">
        <f ca="1" t="shared" si="1314"/>
        <v>550;5;40000;40000;40000;3</v>
      </c>
    </row>
    <row r="4454" spans="2:26">
      <c r="B4454" s="1">
        <v>12</v>
      </c>
      <c r="C4454" s="30">
        <v>600</v>
      </c>
      <c r="D4454" s="30">
        <v>120</v>
      </c>
      <c r="E4454" s="30" t="s">
        <v>373</v>
      </c>
      <c r="F4454" s="30"/>
      <c r="G4454" s="1">
        <f ca="1" t="shared" si="1305"/>
        <v>15</v>
      </c>
      <c r="H4454" s="1">
        <f ca="1" t="shared" si="1306"/>
        <v>0</v>
      </c>
      <c r="I4454" s="68">
        <f ca="1" t="shared" si="1311"/>
        <v>1</v>
      </c>
      <c r="J4454" s="68">
        <f ca="1" t="shared" si="1312"/>
        <v>0</v>
      </c>
      <c r="K4454" s="1">
        <f ca="1" t="shared" si="1307"/>
        <v>20</v>
      </c>
      <c r="L4454" s="1">
        <f ca="1" t="shared" si="1308"/>
        <v>0</v>
      </c>
      <c r="M4454" s="1">
        <f ca="1">IFERROR(_xlfn.FLOOR.MATH($D4454*I4454/K4454),0)</f>
        <v>6</v>
      </c>
      <c r="N4454" s="1">
        <f ca="1">IFERROR(_xlfn.FLOOR.MATH($D4454*J4454/L4454),0)</f>
        <v>0</v>
      </c>
      <c r="O4454" s="1" t="str">
        <f ca="1" t="shared" si="1309"/>
        <v>cement</v>
      </c>
      <c r="P4454" s="1" t="str">
        <f ca="1" t="shared" si="1310"/>
        <v/>
      </c>
      <c r="Q4454" s="30">
        <v>50000</v>
      </c>
      <c r="R4454" s="30">
        <v>50000</v>
      </c>
      <c r="S4454" s="30">
        <v>50000</v>
      </c>
      <c r="T4454" s="118">
        <v>3</v>
      </c>
      <c r="U4454" s="4" t="str">
        <f ca="1" t="shared" si="1313"/>
        <v>l_coin;cement;gold;metal;oil;action_point_middle</v>
      </c>
      <c r="Z4454" s="4" t="str">
        <f ca="1" t="shared" si="1314"/>
        <v>600;6;50000;50000;50000;3</v>
      </c>
    </row>
    <row r="4455" spans="2:26">
      <c r="B4455" s="1">
        <v>13</v>
      </c>
      <c r="C4455" s="30">
        <v>650</v>
      </c>
      <c r="D4455" s="30">
        <v>140</v>
      </c>
      <c r="E4455" s="30" t="s">
        <v>373</v>
      </c>
      <c r="F4455" s="30"/>
      <c r="G4455" s="1">
        <f ca="1" t="shared" si="1305"/>
        <v>15</v>
      </c>
      <c r="H4455" s="1">
        <f ca="1" t="shared" si="1306"/>
        <v>0</v>
      </c>
      <c r="I4455" s="68">
        <f ca="1" t="shared" si="1311"/>
        <v>1</v>
      </c>
      <c r="J4455" s="68">
        <f ca="1" t="shared" si="1312"/>
        <v>0</v>
      </c>
      <c r="K4455" s="1">
        <f ca="1" t="shared" si="1307"/>
        <v>20</v>
      </c>
      <c r="L4455" s="1">
        <f ca="1" t="shared" si="1308"/>
        <v>0</v>
      </c>
      <c r="M4455" s="1">
        <f ca="1">IFERROR(_xlfn.FLOOR.MATH($D4455*I4455/K4455),0)</f>
        <v>7</v>
      </c>
      <c r="N4455" s="1">
        <f ca="1">IFERROR(_xlfn.FLOOR.MATH($D4455*J4455/L4455),0)</f>
        <v>0</v>
      </c>
      <c r="O4455" s="1" t="str">
        <f ca="1" t="shared" si="1309"/>
        <v>cement</v>
      </c>
      <c r="P4455" s="1" t="str">
        <f ca="1" t="shared" si="1310"/>
        <v/>
      </c>
      <c r="Q4455" s="30">
        <v>60000</v>
      </c>
      <c r="R4455" s="30">
        <v>60000</v>
      </c>
      <c r="S4455" s="30">
        <v>60000</v>
      </c>
      <c r="T4455" s="118">
        <v>3</v>
      </c>
      <c r="U4455" s="4" t="str">
        <f ca="1" t="shared" si="1313"/>
        <v>l_coin;cement;gold;metal;oil;action_point_middle</v>
      </c>
      <c r="Z4455" s="4" t="str">
        <f ca="1" t="shared" si="1314"/>
        <v>650;7;60000;60000;60000;3</v>
      </c>
    </row>
    <row r="4456" spans="2:26">
      <c r="B4456" s="1">
        <v>14</v>
      </c>
      <c r="C4456" s="30">
        <v>700</v>
      </c>
      <c r="D4456" s="30">
        <v>160</v>
      </c>
      <c r="E4456" s="30" t="s">
        <v>373</v>
      </c>
      <c r="F4456" s="30"/>
      <c r="G4456" s="1">
        <f ca="1" t="shared" si="1305"/>
        <v>15</v>
      </c>
      <c r="H4456" s="1">
        <f ca="1" t="shared" si="1306"/>
        <v>0</v>
      </c>
      <c r="I4456" s="68">
        <f ca="1" t="shared" si="1311"/>
        <v>1</v>
      </c>
      <c r="J4456" s="68">
        <f ca="1" t="shared" si="1312"/>
        <v>0</v>
      </c>
      <c r="K4456" s="1">
        <f ca="1" t="shared" si="1307"/>
        <v>20</v>
      </c>
      <c r="L4456" s="1">
        <f ca="1" t="shared" si="1308"/>
        <v>0</v>
      </c>
      <c r="M4456" s="1">
        <f ca="1">IFERROR(_xlfn.FLOOR.MATH($D4456*I4456/K4456),0)</f>
        <v>8</v>
      </c>
      <c r="N4456" s="1">
        <f ca="1">IFERROR(_xlfn.FLOOR.MATH($D4456*J4456/L4456),0)</f>
        <v>0</v>
      </c>
      <c r="O4456" s="1" t="str">
        <f ca="1" t="shared" si="1309"/>
        <v>cement</v>
      </c>
      <c r="P4456" s="1" t="str">
        <f ca="1" t="shared" si="1310"/>
        <v/>
      </c>
      <c r="Q4456" s="30">
        <v>70000</v>
      </c>
      <c r="R4456" s="30">
        <v>70000</v>
      </c>
      <c r="S4456" s="30">
        <v>70000</v>
      </c>
      <c r="T4456" s="118">
        <v>3</v>
      </c>
      <c r="U4456" s="4" t="str">
        <f ca="1" t="shared" si="1313"/>
        <v>l_coin;cement;gold;metal;oil;action_point_middle</v>
      </c>
      <c r="Z4456" s="4" t="str">
        <f ca="1" t="shared" si="1314"/>
        <v>700;8;70000;70000;70000;3</v>
      </c>
    </row>
    <row r="4457" spans="2:26">
      <c r="B4457" s="1">
        <v>15</v>
      </c>
      <c r="C4457" s="30">
        <v>750</v>
      </c>
      <c r="D4457" s="30">
        <v>180</v>
      </c>
      <c r="E4457" s="30" t="s">
        <v>374</v>
      </c>
      <c r="F4457" s="30"/>
      <c r="G4457" s="1">
        <f ca="1" t="shared" si="1305"/>
        <v>20</v>
      </c>
      <c r="H4457" s="1">
        <f ca="1" t="shared" si="1306"/>
        <v>0</v>
      </c>
      <c r="I4457" s="68">
        <f ca="1" t="shared" si="1311"/>
        <v>1</v>
      </c>
      <c r="J4457" s="68">
        <f ca="1" t="shared" si="1312"/>
        <v>0</v>
      </c>
      <c r="K4457" s="1">
        <f ca="1" t="shared" si="1307"/>
        <v>35</v>
      </c>
      <c r="L4457" s="1">
        <f ca="1" t="shared" si="1308"/>
        <v>0</v>
      </c>
      <c r="M4457" s="1">
        <f ca="1">IFERROR(_xlfn.FLOOR.MATH($D4457*I4457/K4457),0)</f>
        <v>5</v>
      </c>
      <c r="N4457" s="1">
        <f ca="1">IFERROR(_xlfn.FLOOR.MATH($D4457*J4457/L4457),0)</f>
        <v>0</v>
      </c>
      <c r="O4457" s="1" t="str">
        <f ca="1" t="shared" si="1309"/>
        <v>steel</v>
      </c>
      <c r="P4457" s="1" t="str">
        <f ca="1" t="shared" si="1310"/>
        <v/>
      </c>
      <c r="Q4457" s="30">
        <v>80000</v>
      </c>
      <c r="R4457" s="30">
        <v>80000</v>
      </c>
      <c r="S4457" s="30">
        <v>80000</v>
      </c>
      <c r="T4457" s="118">
        <v>3</v>
      </c>
      <c r="U4457" s="4" t="str">
        <f ca="1" t="shared" si="1313"/>
        <v>l_coin;steel;gold;metal;oil;action_point_middle</v>
      </c>
      <c r="Z4457" s="4" t="str">
        <f ca="1" t="shared" si="1314"/>
        <v>750;5;80000;80000;80000;3</v>
      </c>
    </row>
    <row r="4458" spans="2:26">
      <c r="B4458" s="1">
        <v>16</v>
      </c>
      <c r="C4458" s="30">
        <v>800</v>
      </c>
      <c r="D4458" s="30">
        <v>200</v>
      </c>
      <c r="E4458" s="30" t="s">
        <v>374</v>
      </c>
      <c r="F4458" s="30"/>
      <c r="G4458" s="1">
        <f ca="1" t="shared" si="1305"/>
        <v>20</v>
      </c>
      <c r="H4458" s="1">
        <f ca="1" t="shared" si="1306"/>
        <v>0</v>
      </c>
      <c r="I4458" s="68">
        <f ca="1" t="shared" si="1311"/>
        <v>1</v>
      </c>
      <c r="J4458" s="68">
        <f ca="1" t="shared" si="1312"/>
        <v>0</v>
      </c>
      <c r="K4458" s="1">
        <f ca="1" t="shared" si="1307"/>
        <v>35</v>
      </c>
      <c r="L4458" s="1">
        <f ca="1" t="shared" si="1308"/>
        <v>0</v>
      </c>
      <c r="M4458" s="1">
        <f ca="1">IFERROR(_xlfn.FLOOR.MATH($D4458*I4458/K4458),0)</f>
        <v>5</v>
      </c>
      <c r="N4458" s="1">
        <f ca="1">IFERROR(_xlfn.FLOOR.MATH($D4458*J4458/L4458),0)</f>
        <v>0</v>
      </c>
      <c r="O4458" s="1" t="str">
        <f ca="1" t="shared" si="1309"/>
        <v>steel</v>
      </c>
      <c r="P4458" s="1" t="str">
        <f ca="1" t="shared" si="1310"/>
        <v/>
      </c>
      <c r="Q4458" s="30">
        <v>90000</v>
      </c>
      <c r="R4458" s="30">
        <v>90000</v>
      </c>
      <c r="S4458" s="30">
        <v>90000</v>
      </c>
      <c r="T4458" s="30">
        <v>3</v>
      </c>
      <c r="U4458" s="4" t="str">
        <f ca="1" t="shared" si="1313"/>
        <v>l_coin;steel;gold;metal;oil;action_point_middle</v>
      </c>
      <c r="Z4458" s="4" t="str">
        <f ca="1" t="shared" si="1314"/>
        <v>800;5;90000;90000;90000;3</v>
      </c>
    </row>
    <row r="4459" spans="2:26">
      <c r="B4459" s="1">
        <v>17</v>
      </c>
      <c r="C4459" s="30">
        <v>850</v>
      </c>
      <c r="D4459" s="30">
        <v>220</v>
      </c>
      <c r="E4459" s="30" t="s">
        <v>374</v>
      </c>
      <c r="F4459" s="30"/>
      <c r="G4459" s="1">
        <f ca="1" t="shared" si="1305"/>
        <v>20</v>
      </c>
      <c r="H4459" s="1">
        <f ca="1" t="shared" si="1306"/>
        <v>0</v>
      </c>
      <c r="I4459" s="68">
        <f ca="1" t="shared" si="1311"/>
        <v>1</v>
      </c>
      <c r="J4459" s="68">
        <f ca="1" t="shared" si="1312"/>
        <v>0</v>
      </c>
      <c r="K4459" s="1">
        <f ca="1" t="shared" si="1307"/>
        <v>35</v>
      </c>
      <c r="L4459" s="1">
        <f ca="1" t="shared" si="1308"/>
        <v>0</v>
      </c>
      <c r="M4459" s="1">
        <f ca="1">IFERROR(_xlfn.FLOOR.MATH($D4459*I4459/K4459),0)</f>
        <v>6</v>
      </c>
      <c r="N4459" s="1">
        <f ca="1">IFERROR(_xlfn.FLOOR.MATH($D4459*J4459/L4459),0)</f>
        <v>0</v>
      </c>
      <c r="O4459" s="1" t="str">
        <f ca="1" t="shared" si="1309"/>
        <v>steel</v>
      </c>
      <c r="P4459" s="1" t="str">
        <f ca="1" t="shared" si="1310"/>
        <v/>
      </c>
      <c r="Q4459" s="30">
        <v>100000</v>
      </c>
      <c r="R4459" s="30">
        <v>100000</v>
      </c>
      <c r="S4459" s="30">
        <v>100000</v>
      </c>
      <c r="T4459" s="30">
        <v>3</v>
      </c>
      <c r="U4459" s="4" t="str">
        <f ca="1" t="shared" si="1313"/>
        <v>l_coin;steel;gold;metal;oil;action_point_middle</v>
      </c>
      <c r="Z4459" s="4" t="str">
        <f ca="1" t="shared" si="1314"/>
        <v>850;6;100000;100000;100000;3</v>
      </c>
    </row>
    <row r="4460" spans="2:26">
      <c r="B4460" s="1">
        <v>18</v>
      </c>
      <c r="C4460" s="30">
        <v>900</v>
      </c>
      <c r="D4460" s="30">
        <v>240</v>
      </c>
      <c r="E4460" s="30" t="s">
        <v>374</v>
      </c>
      <c r="F4460" s="30"/>
      <c r="G4460" s="1">
        <f ca="1" t="shared" si="1305"/>
        <v>20</v>
      </c>
      <c r="H4460" s="1">
        <f ca="1" t="shared" si="1306"/>
        <v>0</v>
      </c>
      <c r="I4460" s="68">
        <f ca="1" t="shared" si="1311"/>
        <v>1</v>
      </c>
      <c r="J4460" s="68">
        <f ca="1" t="shared" si="1312"/>
        <v>0</v>
      </c>
      <c r="K4460" s="1">
        <f ca="1" t="shared" si="1307"/>
        <v>35</v>
      </c>
      <c r="L4460" s="1">
        <f ca="1" t="shared" si="1308"/>
        <v>0</v>
      </c>
      <c r="M4460" s="1">
        <f ca="1">IFERROR(_xlfn.FLOOR.MATH($D4460*I4460/K4460),0)</f>
        <v>6</v>
      </c>
      <c r="N4460" s="1">
        <f ca="1">IFERROR(_xlfn.FLOOR.MATH($D4460*J4460/L4460),0)</f>
        <v>0</v>
      </c>
      <c r="O4460" s="1" t="str">
        <f ca="1" t="shared" si="1309"/>
        <v>steel</v>
      </c>
      <c r="P4460" s="1" t="str">
        <f ca="1" t="shared" si="1310"/>
        <v/>
      </c>
      <c r="Q4460" s="30">
        <v>110000</v>
      </c>
      <c r="R4460" s="30">
        <v>110000</v>
      </c>
      <c r="S4460" s="30">
        <v>110000</v>
      </c>
      <c r="T4460" s="30">
        <v>3</v>
      </c>
      <c r="U4460" s="4" t="str">
        <f ca="1" t="shared" si="1313"/>
        <v>l_coin;steel;gold;metal;oil;action_point_middle</v>
      </c>
      <c r="Z4460" s="4" t="str">
        <f ca="1" t="shared" si="1314"/>
        <v>900;6;110000;110000;110000;3</v>
      </c>
    </row>
    <row r="4461" spans="2:26">
      <c r="B4461" s="1">
        <v>19</v>
      </c>
      <c r="C4461" s="30">
        <v>950</v>
      </c>
      <c r="D4461" s="30">
        <v>260</v>
      </c>
      <c r="E4461" s="30" t="s">
        <v>374</v>
      </c>
      <c r="F4461" s="30"/>
      <c r="G4461" s="1">
        <f ca="1" t="shared" si="1305"/>
        <v>20</v>
      </c>
      <c r="H4461" s="1">
        <f ca="1" t="shared" si="1306"/>
        <v>0</v>
      </c>
      <c r="I4461" s="68">
        <f ca="1" t="shared" si="1311"/>
        <v>1</v>
      </c>
      <c r="J4461" s="68">
        <f ca="1" t="shared" si="1312"/>
        <v>0</v>
      </c>
      <c r="K4461" s="1">
        <f ca="1" t="shared" si="1307"/>
        <v>35</v>
      </c>
      <c r="L4461" s="1">
        <f ca="1" t="shared" si="1308"/>
        <v>0</v>
      </c>
      <c r="M4461" s="1">
        <f ca="1">IFERROR(_xlfn.FLOOR.MATH($D4461*I4461/K4461),0)</f>
        <v>7</v>
      </c>
      <c r="N4461" s="1">
        <f ca="1">IFERROR(_xlfn.FLOOR.MATH($D4461*J4461/L4461),0)</f>
        <v>0</v>
      </c>
      <c r="O4461" s="1" t="str">
        <f ca="1" t="shared" si="1309"/>
        <v>steel</v>
      </c>
      <c r="P4461" s="1" t="str">
        <f ca="1" t="shared" si="1310"/>
        <v/>
      </c>
      <c r="Q4461" s="30">
        <v>120000</v>
      </c>
      <c r="R4461" s="30">
        <v>120000</v>
      </c>
      <c r="S4461" s="30">
        <v>120000</v>
      </c>
      <c r="T4461" s="30">
        <v>3</v>
      </c>
      <c r="U4461" s="4" t="str">
        <f ca="1" t="shared" si="1313"/>
        <v>l_coin;steel;gold;metal;oil;action_point_middle</v>
      </c>
      <c r="Z4461" s="4" t="str">
        <f ca="1" t="shared" si="1314"/>
        <v>950;7;120000;120000;120000;3</v>
      </c>
    </row>
    <row r="4462" spans="2:26">
      <c r="B4462" s="1">
        <v>20</v>
      </c>
      <c r="C4462" s="30">
        <v>1000</v>
      </c>
      <c r="D4462" s="30">
        <v>280</v>
      </c>
      <c r="E4462" s="30" t="s">
        <v>374</v>
      </c>
      <c r="F4462" s="30"/>
      <c r="G4462" s="1">
        <f ca="1" t="shared" si="1305"/>
        <v>20</v>
      </c>
      <c r="H4462" s="1">
        <f ca="1" t="shared" si="1306"/>
        <v>0</v>
      </c>
      <c r="I4462" s="68">
        <f ca="1" t="shared" si="1311"/>
        <v>1</v>
      </c>
      <c r="J4462" s="68">
        <f ca="1" t="shared" si="1312"/>
        <v>0</v>
      </c>
      <c r="K4462" s="1">
        <f ca="1" t="shared" si="1307"/>
        <v>35</v>
      </c>
      <c r="L4462" s="1">
        <f ca="1" t="shared" si="1308"/>
        <v>0</v>
      </c>
      <c r="M4462" s="1">
        <f ca="1">IFERROR(_xlfn.FLOOR.MATH($D4462*I4462/K4462),0)</f>
        <v>8</v>
      </c>
      <c r="N4462" s="1">
        <f ca="1">IFERROR(_xlfn.FLOOR.MATH($D4462*J4462/L4462),0)</f>
        <v>0</v>
      </c>
      <c r="O4462" s="1" t="str">
        <f ca="1" t="shared" si="1309"/>
        <v>steel</v>
      </c>
      <c r="P4462" s="1" t="str">
        <f ca="1" t="shared" si="1310"/>
        <v/>
      </c>
      <c r="Q4462" s="30">
        <v>130000</v>
      </c>
      <c r="R4462" s="30">
        <v>130000</v>
      </c>
      <c r="S4462" s="30">
        <v>130000</v>
      </c>
      <c r="T4462" s="30">
        <v>3</v>
      </c>
      <c r="U4462" s="4" t="str">
        <f ca="1" t="shared" si="1313"/>
        <v>l_coin;steel;gold;metal;oil;action_point_middle</v>
      </c>
      <c r="Z4462" s="4" t="str">
        <f ca="1" t="shared" si="1314"/>
        <v>1000;8;130000;130000;130000;3</v>
      </c>
    </row>
    <row r="4463" spans="2:26">
      <c r="B4463" s="1">
        <v>21</v>
      </c>
      <c r="C4463" s="30">
        <v>1050</v>
      </c>
      <c r="D4463" s="30">
        <v>300</v>
      </c>
      <c r="E4463" s="30" t="s">
        <v>375</v>
      </c>
      <c r="F4463" s="30"/>
      <c r="G4463" s="1">
        <f ca="1" t="shared" si="1305"/>
        <v>25</v>
      </c>
      <c r="H4463" s="1">
        <f ca="1" t="shared" si="1306"/>
        <v>0</v>
      </c>
      <c r="I4463" s="68">
        <f ca="1" t="shared" si="1311"/>
        <v>1</v>
      </c>
      <c r="J4463" s="68">
        <f ca="1" t="shared" si="1312"/>
        <v>0</v>
      </c>
      <c r="K4463" s="1">
        <f ca="1" t="shared" si="1307"/>
        <v>50</v>
      </c>
      <c r="L4463" s="1">
        <f ca="1" t="shared" si="1308"/>
        <v>0</v>
      </c>
      <c r="M4463" s="1">
        <f ca="1">IFERROR(_xlfn.FLOOR.MATH($D4463*I4463/K4463),0)</f>
        <v>6</v>
      </c>
      <c r="N4463" s="1">
        <f ca="1">IFERROR(_xlfn.FLOOR.MATH($D4463*J4463/L4463),0)</f>
        <v>0</v>
      </c>
      <c r="O4463" s="1" t="str">
        <f ca="1" t="shared" si="1309"/>
        <v>pitch</v>
      </c>
      <c r="P4463" s="1" t="str">
        <f ca="1" t="shared" si="1310"/>
        <v/>
      </c>
      <c r="Q4463" s="30">
        <v>140000</v>
      </c>
      <c r="R4463" s="30">
        <v>140000</v>
      </c>
      <c r="S4463" s="30">
        <v>140000</v>
      </c>
      <c r="T4463" s="30">
        <v>3</v>
      </c>
      <c r="U4463" s="4" t="str">
        <f ca="1" t="shared" si="1313"/>
        <v>l_coin;pitch;gold;metal;oil;action_point_middle</v>
      </c>
      <c r="Z4463" s="4" t="str">
        <f ca="1" t="shared" si="1314"/>
        <v>1050;6;140000;140000;140000;3</v>
      </c>
    </row>
    <row r="4464" spans="2:26">
      <c r="B4464" s="1">
        <v>22</v>
      </c>
      <c r="C4464" s="30">
        <v>1100</v>
      </c>
      <c r="D4464" s="30">
        <v>320</v>
      </c>
      <c r="E4464" s="30" t="s">
        <v>375</v>
      </c>
      <c r="F4464" s="30"/>
      <c r="G4464" s="1">
        <f ca="1" t="shared" si="1305"/>
        <v>25</v>
      </c>
      <c r="H4464" s="1">
        <f ca="1" t="shared" si="1306"/>
        <v>0</v>
      </c>
      <c r="I4464" s="68">
        <f ca="1" t="shared" si="1311"/>
        <v>1</v>
      </c>
      <c r="J4464" s="68">
        <f ca="1" t="shared" si="1312"/>
        <v>0</v>
      </c>
      <c r="K4464" s="1">
        <f ca="1" t="shared" si="1307"/>
        <v>50</v>
      </c>
      <c r="L4464" s="1">
        <f ca="1" t="shared" si="1308"/>
        <v>0</v>
      </c>
      <c r="M4464" s="1">
        <f ca="1">IFERROR(_xlfn.FLOOR.MATH($D4464*I4464/K4464),0)</f>
        <v>6</v>
      </c>
      <c r="N4464" s="1">
        <f ca="1">IFERROR(_xlfn.FLOOR.MATH($D4464*J4464/L4464),0)</f>
        <v>0</v>
      </c>
      <c r="O4464" s="1" t="str">
        <f ca="1" t="shared" si="1309"/>
        <v>pitch</v>
      </c>
      <c r="P4464" s="1" t="str">
        <f ca="1" t="shared" si="1310"/>
        <v/>
      </c>
      <c r="Q4464" s="30">
        <v>150000</v>
      </c>
      <c r="R4464" s="30">
        <v>150000</v>
      </c>
      <c r="S4464" s="30">
        <v>150000</v>
      </c>
      <c r="T4464" s="30">
        <v>3</v>
      </c>
      <c r="U4464" s="4" t="str">
        <f ca="1" t="shared" si="1313"/>
        <v>l_coin;pitch;gold;metal;oil;action_point_middle</v>
      </c>
      <c r="Z4464" s="4" t="str">
        <f ca="1" t="shared" si="1314"/>
        <v>1100;6;150000;150000;150000;3</v>
      </c>
    </row>
    <row r="4465" spans="2:26">
      <c r="B4465" s="1">
        <v>23</v>
      </c>
      <c r="C4465" s="30">
        <v>1150</v>
      </c>
      <c r="D4465" s="30">
        <v>340</v>
      </c>
      <c r="E4465" s="30" t="s">
        <v>375</v>
      </c>
      <c r="F4465" s="30"/>
      <c r="G4465" s="1">
        <f ca="1" t="shared" si="1305"/>
        <v>25</v>
      </c>
      <c r="H4465" s="1">
        <f ca="1" t="shared" si="1306"/>
        <v>0</v>
      </c>
      <c r="I4465" s="68">
        <f ca="1" t="shared" si="1311"/>
        <v>1</v>
      </c>
      <c r="J4465" s="68">
        <f ca="1" t="shared" si="1312"/>
        <v>0</v>
      </c>
      <c r="K4465" s="1">
        <f ca="1" t="shared" si="1307"/>
        <v>50</v>
      </c>
      <c r="L4465" s="1">
        <f ca="1" t="shared" si="1308"/>
        <v>0</v>
      </c>
      <c r="M4465" s="1">
        <f ca="1">IFERROR(_xlfn.FLOOR.MATH($D4465*I4465/K4465),0)</f>
        <v>6</v>
      </c>
      <c r="N4465" s="1">
        <f ca="1">IFERROR(_xlfn.FLOOR.MATH($D4465*J4465/L4465),0)</f>
        <v>0</v>
      </c>
      <c r="O4465" s="1" t="str">
        <f ca="1" t="shared" si="1309"/>
        <v>pitch</v>
      </c>
      <c r="P4465" s="1" t="str">
        <f ca="1" t="shared" si="1310"/>
        <v/>
      </c>
      <c r="Q4465" s="30">
        <v>160000</v>
      </c>
      <c r="R4465" s="30">
        <v>160000</v>
      </c>
      <c r="S4465" s="30">
        <v>160000</v>
      </c>
      <c r="T4465" s="30">
        <v>3</v>
      </c>
      <c r="U4465" s="4" t="str">
        <f ca="1" t="shared" si="1313"/>
        <v>l_coin;pitch;gold;metal;oil;action_point_middle</v>
      </c>
      <c r="Z4465" s="4" t="str">
        <f ca="1" t="shared" si="1314"/>
        <v>1150;6;160000;160000;160000;3</v>
      </c>
    </row>
    <row r="4466" spans="2:26">
      <c r="B4466" s="1">
        <v>24</v>
      </c>
      <c r="C4466" s="30">
        <v>1200</v>
      </c>
      <c r="D4466" s="30">
        <v>360</v>
      </c>
      <c r="E4466" s="30" t="s">
        <v>375</v>
      </c>
      <c r="F4466" s="30"/>
      <c r="G4466" s="1">
        <f ca="1" t="shared" si="1305"/>
        <v>25</v>
      </c>
      <c r="H4466" s="1">
        <f ca="1" t="shared" si="1306"/>
        <v>0</v>
      </c>
      <c r="I4466" s="68">
        <f ca="1" t="shared" si="1311"/>
        <v>1</v>
      </c>
      <c r="J4466" s="68">
        <f ca="1" t="shared" si="1312"/>
        <v>0</v>
      </c>
      <c r="K4466" s="1">
        <f ca="1" t="shared" si="1307"/>
        <v>50</v>
      </c>
      <c r="L4466" s="1">
        <f ca="1" t="shared" si="1308"/>
        <v>0</v>
      </c>
      <c r="M4466" s="1">
        <f ca="1">IFERROR(_xlfn.FLOOR.MATH($D4466*I4466/K4466),0)</f>
        <v>7</v>
      </c>
      <c r="N4466" s="1">
        <f ca="1">IFERROR(_xlfn.FLOOR.MATH($D4466*J4466/L4466),0)</f>
        <v>0</v>
      </c>
      <c r="O4466" s="1" t="str">
        <f ca="1" t="shared" si="1309"/>
        <v>pitch</v>
      </c>
      <c r="P4466" s="1" t="str">
        <f ca="1" t="shared" si="1310"/>
        <v/>
      </c>
      <c r="Q4466" s="30">
        <v>170000</v>
      </c>
      <c r="R4466" s="30">
        <v>170000</v>
      </c>
      <c r="S4466" s="30">
        <v>170000</v>
      </c>
      <c r="T4466" s="30">
        <v>3</v>
      </c>
      <c r="U4466" s="4" t="str">
        <f ca="1" t="shared" si="1313"/>
        <v>l_coin;pitch;gold;metal;oil;action_point_middle</v>
      </c>
      <c r="Z4466" s="4" t="str">
        <f ca="1" t="shared" si="1314"/>
        <v>1200;7;170000;170000;170000;3</v>
      </c>
    </row>
    <row r="4467" spans="2:26">
      <c r="B4467" s="1">
        <v>25</v>
      </c>
      <c r="C4467" s="30">
        <v>1250</v>
      </c>
      <c r="D4467" s="30">
        <v>380</v>
      </c>
      <c r="E4467" s="30" t="s">
        <v>375</v>
      </c>
      <c r="F4467" s="30"/>
      <c r="G4467" s="1">
        <f ca="1" t="shared" si="1305"/>
        <v>25</v>
      </c>
      <c r="H4467" s="1">
        <f ca="1" t="shared" si="1306"/>
        <v>0</v>
      </c>
      <c r="I4467" s="68">
        <f ca="1" t="shared" si="1311"/>
        <v>1</v>
      </c>
      <c r="J4467" s="68">
        <f ca="1" t="shared" si="1312"/>
        <v>0</v>
      </c>
      <c r="K4467" s="1">
        <f ca="1" t="shared" si="1307"/>
        <v>50</v>
      </c>
      <c r="L4467" s="1">
        <f ca="1" t="shared" si="1308"/>
        <v>0</v>
      </c>
      <c r="M4467" s="1">
        <f ca="1">IFERROR(_xlfn.FLOOR.MATH($D4467*I4467/K4467),0)</f>
        <v>7</v>
      </c>
      <c r="N4467" s="1">
        <f ca="1">IFERROR(_xlfn.FLOOR.MATH($D4467*J4467/L4467),0)</f>
        <v>0</v>
      </c>
      <c r="O4467" s="1" t="str">
        <f ca="1" t="shared" si="1309"/>
        <v>pitch</v>
      </c>
      <c r="P4467" s="1" t="str">
        <f ca="1" t="shared" si="1310"/>
        <v/>
      </c>
      <c r="Q4467" s="30">
        <v>180000</v>
      </c>
      <c r="R4467" s="30">
        <v>180000</v>
      </c>
      <c r="S4467" s="30">
        <v>180000</v>
      </c>
      <c r="T4467" s="30">
        <v>3</v>
      </c>
      <c r="U4467" s="4" t="str">
        <f ca="1" t="shared" si="1313"/>
        <v>l_coin;pitch;gold;metal;oil;action_point_middle</v>
      </c>
      <c r="Z4467" s="4" t="str">
        <f ca="1" t="shared" si="1314"/>
        <v>1250;7;180000;180000;180000;3</v>
      </c>
    </row>
    <row r="4468" spans="2:26">
      <c r="B4468" s="1">
        <v>26</v>
      </c>
      <c r="C4468" s="30">
        <v>1300</v>
      </c>
      <c r="D4468" s="30">
        <v>400</v>
      </c>
      <c r="E4468" s="30" t="s">
        <v>375</v>
      </c>
      <c r="F4468" s="30"/>
      <c r="G4468" s="1">
        <f ca="1" t="shared" si="1305"/>
        <v>25</v>
      </c>
      <c r="H4468" s="1">
        <f ca="1" t="shared" si="1306"/>
        <v>0</v>
      </c>
      <c r="I4468" s="68">
        <f ca="1" t="shared" si="1311"/>
        <v>1</v>
      </c>
      <c r="J4468" s="68">
        <f ca="1" t="shared" si="1312"/>
        <v>0</v>
      </c>
      <c r="K4468" s="1">
        <f ca="1" t="shared" si="1307"/>
        <v>50</v>
      </c>
      <c r="L4468" s="1">
        <f ca="1" t="shared" si="1308"/>
        <v>0</v>
      </c>
      <c r="M4468" s="1">
        <f ca="1">IFERROR(_xlfn.FLOOR.MATH($D4468*I4468/K4468),0)</f>
        <v>8</v>
      </c>
      <c r="N4468" s="1">
        <f ca="1">IFERROR(_xlfn.FLOOR.MATH($D4468*J4468/L4468),0)</f>
        <v>0</v>
      </c>
      <c r="O4468" s="1" t="str">
        <f ca="1" t="shared" si="1309"/>
        <v>pitch</v>
      </c>
      <c r="P4468" s="1" t="str">
        <f ca="1" t="shared" si="1310"/>
        <v/>
      </c>
      <c r="Q4468" s="30">
        <v>190000</v>
      </c>
      <c r="R4468" s="30">
        <v>190000</v>
      </c>
      <c r="S4468" s="30">
        <v>190000</v>
      </c>
      <c r="T4468" s="30">
        <v>3</v>
      </c>
      <c r="U4468" s="4" t="str">
        <f ca="1" t="shared" si="1313"/>
        <v>l_coin;pitch;gold;metal;oil;action_point_middle</v>
      </c>
      <c r="Z4468" s="4" t="str">
        <f ca="1" t="shared" si="1314"/>
        <v>1300;8;190000;190000;190000;3</v>
      </c>
    </row>
    <row r="4469" spans="2:26">
      <c r="B4469" s="1">
        <v>27</v>
      </c>
      <c r="C4469" s="30">
        <v>1350</v>
      </c>
      <c r="D4469" s="30">
        <v>450</v>
      </c>
      <c r="E4469" s="30" t="s">
        <v>376</v>
      </c>
      <c r="F4469" s="30"/>
      <c r="G4469" s="1">
        <f ca="1" t="shared" si="1305"/>
        <v>50</v>
      </c>
      <c r="H4469" s="1">
        <f ca="1" t="shared" si="1306"/>
        <v>0</v>
      </c>
      <c r="I4469" s="68">
        <f ca="1" t="shared" si="1311"/>
        <v>1</v>
      </c>
      <c r="J4469" s="68">
        <f ca="1" t="shared" si="1312"/>
        <v>0</v>
      </c>
      <c r="K4469" s="1">
        <f ca="1" t="shared" si="1307"/>
        <v>110</v>
      </c>
      <c r="L4469" s="1">
        <f ca="1" t="shared" si="1308"/>
        <v>0</v>
      </c>
      <c r="M4469" s="1">
        <f ca="1">IFERROR(_xlfn.FLOOR.MATH($D4469*I4469/K4469),0)</f>
        <v>4</v>
      </c>
      <c r="N4469" s="1">
        <f ca="1">IFERROR(_xlfn.FLOOR.MATH($D4469*J4469/L4469),0)</f>
        <v>0</v>
      </c>
      <c r="O4469" s="1" t="str">
        <f ca="1" t="shared" si="1309"/>
        <v>concrete</v>
      </c>
      <c r="P4469" s="1" t="str">
        <f ca="1" t="shared" si="1310"/>
        <v/>
      </c>
      <c r="Q4469" s="30">
        <v>200000</v>
      </c>
      <c r="R4469" s="30">
        <v>200000</v>
      </c>
      <c r="S4469" s="30">
        <v>200000</v>
      </c>
      <c r="T4469" s="30">
        <v>3</v>
      </c>
      <c r="U4469" s="4" t="str">
        <f ca="1" t="shared" si="1313"/>
        <v>l_coin;concrete;gold;metal;oil;action_point_middle</v>
      </c>
      <c r="Z4469" s="4" t="str">
        <f ca="1" t="shared" si="1314"/>
        <v>1350;4;200000;200000;200000;3</v>
      </c>
    </row>
    <row r="4470" spans="2:26">
      <c r="B4470" s="1">
        <v>28</v>
      </c>
      <c r="C4470" s="30">
        <v>1400</v>
      </c>
      <c r="D4470" s="30">
        <v>500</v>
      </c>
      <c r="E4470" s="30" t="s">
        <v>376</v>
      </c>
      <c r="F4470" s="30"/>
      <c r="G4470" s="1">
        <f ca="1" t="shared" si="1305"/>
        <v>50</v>
      </c>
      <c r="H4470" s="1">
        <f ca="1" t="shared" si="1306"/>
        <v>0</v>
      </c>
      <c r="I4470" s="68">
        <f ca="1" t="shared" si="1311"/>
        <v>1</v>
      </c>
      <c r="J4470" s="68">
        <f ca="1" t="shared" si="1312"/>
        <v>0</v>
      </c>
      <c r="K4470" s="1">
        <f ca="1" t="shared" si="1307"/>
        <v>110</v>
      </c>
      <c r="L4470" s="1">
        <f ca="1" t="shared" si="1308"/>
        <v>0</v>
      </c>
      <c r="M4470" s="1">
        <f ca="1">IFERROR(_xlfn.FLOOR.MATH($D4470*I4470/K4470),0)</f>
        <v>4</v>
      </c>
      <c r="N4470" s="1">
        <f ca="1">IFERROR(_xlfn.FLOOR.MATH($D4470*J4470/L4470),0)</f>
        <v>0</v>
      </c>
      <c r="O4470" s="1" t="str">
        <f ca="1" t="shared" si="1309"/>
        <v>concrete</v>
      </c>
      <c r="P4470" s="1" t="str">
        <f ca="1" t="shared" si="1310"/>
        <v/>
      </c>
      <c r="Q4470" s="30">
        <v>210000</v>
      </c>
      <c r="R4470" s="30">
        <v>210000</v>
      </c>
      <c r="S4470" s="30">
        <v>210000</v>
      </c>
      <c r="T4470" s="30">
        <v>3</v>
      </c>
      <c r="U4470" s="4" t="str">
        <f ca="1" t="shared" si="1313"/>
        <v>l_coin;concrete;gold;metal;oil;action_point_middle</v>
      </c>
      <c r="Z4470" s="4" t="str">
        <f ca="1" t="shared" si="1314"/>
        <v>1400;4;210000;210000;210000;3</v>
      </c>
    </row>
    <row r="4471" spans="2:26">
      <c r="B4471" s="1">
        <v>29</v>
      </c>
      <c r="C4471" s="30">
        <v>1450</v>
      </c>
      <c r="D4471" s="30">
        <v>550</v>
      </c>
      <c r="E4471" s="30" t="s">
        <v>376</v>
      </c>
      <c r="F4471" s="30"/>
      <c r="G4471" s="1">
        <f ca="1" t="shared" si="1305"/>
        <v>50</v>
      </c>
      <c r="H4471" s="1">
        <f ca="1" t="shared" si="1306"/>
        <v>0</v>
      </c>
      <c r="I4471" s="68">
        <f ca="1" t="shared" si="1311"/>
        <v>1</v>
      </c>
      <c r="J4471" s="68">
        <f ca="1" t="shared" si="1312"/>
        <v>0</v>
      </c>
      <c r="K4471" s="1">
        <f ca="1" t="shared" si="1307"/>
        <v>110</v>
      </c>
      <c r="L4471" s="1">
        <f ca="1" t="shared" si="1308"/>
        <v>0</v>
      </c>
      <c r="M4471" s="1">
        <f ca="1">IFERROR(_xlfn.FLOOR.MATH($D4471*I4471/K4471),0)</f>
        <v>5</v>
      </c>
      <c r="N4471" s="1">
        <f ca="1">IFERROR(_xlfn.FLOOR.MATH($D4471*J4471/L4471),0)</f>
        <v>0</v>
      </c>
      <c r="O4471" s="1" t="str">
        <f ca="1" t="shared" si="1309"/>
        <v>concrete</v>
      </c>
      <c r="P4471" s="1" t="str">
        <f ca="1" t="shared" si="1310"/>
        <v/>
      </c>
      <c r="Q4471" s="30">
        <v>220000</v>
      </c>
      <c r="R4471" s="30">
        <v>220000</v>
      </c>
      <c r="S4471" s="30">
        <v>220000</v>
      </c>
      <c r="T4471" s="30">
        <v>3</v>
      </c>
      <c r="U4471" s="4" t="str">
        <f ca="1" t="shared" si="1313"/>
        <v>l_coin;concrete;gold;metal;oil;action_point_middle</v>
      </c>
      <c r="Z4471" s="4" t="str">
        <f ca="1" t="shared" si="1314"/>
        <v>1450;5;220000;220000;220000;3</v>
      </c>
    </row>
    <row r="4472" spans="2:26">
      <c r="B4472" s="1">
        <v>30</v>
      </c>
      <c r="C4472" s="30">
        <v>1500</v>
      </c>
      <c r="D4472" s="30">
        <v>600</v>
      </c>
      <c r="E4472" s="30" t="s">
        <v>376</v>
      </c>
      <c r="F4472" s="30"/>
      <c r="G4472" s="1">
        <f ca="1" t="shared" si="1305"/>
        <v>50</v>
      </c>
      <c r="H4472" s="1">
        <f ca="1" t="shared" si="1306"/>
        <v>0</v>
      </c>
      <c r="I4472" s="68">
        <f ca="1" t="shared" si="1311"/>
        <v>1</v>
      </c>
      <c r="J4472" s="68">
        <f ca="1" t="shared" si="1312"/>
        <v>0</v>
      </c>
      <c r="K4472" s="1">
        <f ca="1" t="shared" si="1307"/>
        <v>110</v>
      </c>
      <c r="L4472" s="1">
        <f ca="1" t="shared" si="1308"/>
        <v>0</v>
      </c>
      <c r="M4472" s="1">
        <f ca="1">IFERROR(_xlfn.FLOOR.MATH($D4472*I4472/K4472),0)</f>
        <v>5</v>
      </c>
      <c r="N4472" s="1">
        <f ca="1">IFERROR(_xlfn.FLOOR.MATH($D4472*J4472/L4472),0)</f>
        <v>0</v>
      </c>
      <c r="O4472" s="1" t="str">
        <f ca="1" t="shared" si="1309"/>
        <v>concrete</v>
      </c>
      <c r="P4472" s="1" t="str">
        <f ca="1" t="shared" si="1310"/>
        <v/>
      </c>
      <c r="Q4472" s="30">
        <v>230000</v>
      </c>
      <c r="R4472" s="30">
        <v>230000</v>
      </c>
      <c r="S4472" s="30">
        <v>230000</v>
      </c>
      <c r="T4472" s="30">
        <v>3</v>
      </c>
      <c r="U4472" s="4" t="str">
        <f ca="1" t="shared" si="1313"/>
        <v>l_coin;concrete;gold;metal;oil;action_point_middle</v>
      </c>
      <c r="Z4472" s="4" t="str">
        <f ca="1" t="shared" si="1314"/>
        <v>1500;5;230000;230000;230000;3</v>
      </c>
    </row>
    <row r="4473" spans="2:26">
      <c r="B4473" s="1">
        <v>31</v>
      </c>
      <c r="C4473" s="30">
        <v>1550</v>
      </c>
      <c r="D4473" s="30">
        <v>650</v>
      </c>
      <c r="E4473" s="30" t="s">
        <v>376</v>
      </c>
      <c r="F4473" s="30"/>
      <c r="G4473" s="1">
        <f ca="1" t="shared" si="1305"/>
        <v>50</v>
      </c>
      <c r="H4473" s="1">
        <f ca="1" t="shared" si="1306"/>
        <v>0</v>
      </c>
      <c r="I4473" s="68">
        <f ca="1" t="shared" si="1311"/>
        <v>1</v>
      </c>
      <c r="J4473" s="68">
        <f ca="1" t="shared" si="1312"/>
        <v>0</v>
      </c>
      <c r="K4473" s="1">
        <f ca="1" t="shared" si="1307"/>
        <v>110</v>
      </c>
      <c r="L4473" s="1">
        <f ca="1" t="shared" si="1308"/>
        <v>0</v>
      </c>
      <c r="M4473" s="1">
        <f ca="1">IFERROR(_xlfn.FLOOR.MATH($D4473*I4473/K4473),0)</f>
        <v>5</v>
      </c>
      <c r="N4473" s="1">
        <f ca="1">IFERROR(_xlfn.FLOOR.MATH($D4473*J4473/L4473),0)</f>
        <v>0</v>
      </c>
      <c r="O4473" s="1" t="str">
        <f ca="1" t="shared" si="1309"/>
        <v>concrete</v>
      </c>
      <c r="P4473" s="1" t="str">
        <f ca="1" t="shared" si="1310"/>
        <v/>
      </c>
      <c r="Q4473" s="30">
        <v>240000</v>
      </c>
      <c r="R4473" s="30">
        <v>240000</v>
      </c>
      <c r="S4473" s="30">
        <v>240000</v>
      </c>
      <c r="T4473" s="30">
        <v>3</v>
      </c>
      <c r="U4473" s="4" t="str">
        <f ca="1" t="shared" si="1313"/>
        <v>l_coin;concrete;gold;metal;oil;action_point_middle</v>
      </c>
      <c r="Z4473" s="4" t="str">
        <f ca="1" t="shared" si="1314"/>
        <v>1550;5;240000;240000;240000;3</v>
      </c>
    </row>
    <row r="4474" ht="13.85" spans="2:26">
      <c r="B4474" s="1">
        <v>32</v>
      </c>
      <c r="C4474" s="30">
        <v>1600</v>
      </c>
      <c r="D4474" s="30">
        <v>700</v>
      </c>
      <c r="E4474" s="30" t="s">
        <v>376</v>
      </c>
      <c r="F4474" s="30"/>
      <c r="G4474" s="1">
        <f ca="1" t="shared" si="1305"/>
        <v>50</v>
      </c>
      <c r="H4474" s="1">
        <f ca="1" t="shared" si="1306"/>
        <v>0</v>
      </c>
      <c r="I4474" s="68">
        <f ca="1" t="shared" si="1311"/>
        <v>1</v>
      </c>
      <c r="J4474" s="68">
        <f ca="1" t="shared" si="1312"/>
        <v>0</v>
      </c>
      <c r="K4474" s="1">
        <f ca="1" t="shared" si="1307"/>
        <v>110</v>
      </c>
      <c r="L4474" s="1">
        <f ca="1" t="shared" si="1308"/>
        <v>0</v>
      </c>
      <c r="M4474" s="1">
        <f ca="1">IFERROR(_xlfn.FLOOR.MATH($D4474*I4474/K4474),0)</f>
        <v>6</v>
      </c>
      <c r="N4474" s="1">
        <f ca="1">IFERROR(_xlfn.FLOOR.MATH($D4474*J4474/L4474),0)</f>
        <v>0</v>
      </c>
      <c r="O4474" s="1" t="str">
        <f ca="1" t="shared" si="1309"/>
        <v>concrete</v>
      </c>
      <c r="P4474" s="1" t="str">
        <f ca="1" t="shared" si="1310"/>
        <v/>
      </c>
      <c r="Q4474" s="30">
        <v>250000</v>
      </c>
      <c r="R4474" s="30">
        <v>250000</v>
      </c>
      <c r="S4474" s="30">
        <v>250000</v>
      </c>
      <c r="T4474" s="30">
        <v>3</v>
      </c>
      <c r="U4474" s="4" t="str">
        <f ca="1" t="shared" si="1313"/>
        <v>l_coin;concrete;gold;metal;oil;action_point_middle</v>
      </c>
      <c r="Z4474" s="4" t="str">
        <f ca="1" t="shared" si="1314"/>
        <v>1600;6;250000;250000;250000;3</v>
      </c>
    </row>
    <row r="4475" ht="13.85" spans="2:20">
      <c r="B4475" s="114" t="s">
        <v>534</v>
      </c>
      <c r="C4475" s="115">
        <f>SUM(C4444:C4474)</f>
        <v>26350</v>
      </c>
      <c r="D4475" s="115">
        <f>SUM(D4444:D4474)</f>
        <v>7600</v>
      </c>
      <c r="E4475" s="115"/>
      <c r="F4475" s="115"/>
      <c r="G4475" s="115"/>
      <c r="H4475" s="115"/>
      <c r="I4475" s="115"/>
      <c r="J4475" s="115"/>
      <c r="K4475" s="115"/>
      <c r="L4475" s="115"/>
      <c r="M4475" s="115"/>
      <c r="N4475" s="115"/>
      <c r="O4475" s="115"/>
      <c r="P4475" s="115"/>
      <c r="Q4475" s="115">
        <f t="shared" ref="Q4475:S4475" si="1315">SUM(Q4444:Q4474)</f>
        <v>3350000</v>
      </c>
      <c r="R4475" s="115">
        <f t="shared" si="1315"/>
        <v>3350000</v>
      </c>
      <c r="S4475" s="115">
        <f t="shared" si="1315"/>
        <v>3350000</v>
      </c>
      <c r="T4475" s="119">
        <f>SUM(T4444:T4474)*50</f>
        <v>4300</v>
      </c>
    </row>
    <row r="4476" spans="3:20">
      <c r="C4476" s="116">
        <f>C4475/总规划!D249</f>
        <v>21.9583333333333</v>
      </c>
      <c r="D4476" s="116">
        <f>D4475/60/24*总规划!$G$106</f>
        <v>8.24652777777778</v>
      </c>
      <c r="Q4476" s="116">
        <f>Q4475/1000000*总规划!$G$108</f>
        <v>8.375</v>
      </c>
      <c r="R4476" s="116">
        <f>R4475/1000000*总规划!$G$108</f>
        <v>8.375</v>
      </c>
      <c r="S4476" s="116">
        <f>S4475/1000000*总规划!$G$108</f>
        <v>8.375</v>
      </c>
      <c r="T4476" s="116">
        <f>T4475*总规划!$D$280</f>
        <v>53.75</v>
      </c>
    </row>
    <row r="4479" s="25" customFormat="1" spans="1:5">
      <c r="A4479" s="2" t="s">
        <v>564</v>
      </c>
      <c r="B4479" s="2"/>
      <c r="C4479" s="41" t="s">
        <v>436</v>
      </c>
      <c r="E4479" s="41"/>
    </row>
    <row r="4481" spans="2:12">
      <c r="B4481" s="27" t="s">
        <v>2241</v>
      </c>
      <c r="C4481" s="27"/>
      <c r="D4481" s="27"/>
      <c r="E4481" s="27"/>
      <c r="F4481" s="27"/>
      <c r="G4481" s="27"/>
      <c r="H4481" s="27"/>
      <c r="I4481" s="27"/>
      <c r="J4481" s="27"/>
      <c r="K4481" s="27"/>
      <c r="L4481" s="27"/>
    </row>
    <row r="4483" spans="2:7">
      <c r="B4483" s="1" t="s">
        <v>476</v>
      </c>
      <c r="E4483" s="30">
        <v>29.16</v>
      </c>
      <c r="F4483" s="1" t="str">
        <f>总规划!$D$202</f>
        <v>1M资源</v>
      </c>
      <c r="G4483" s="116">
        <f>E4483*总规划!$G$105</f>
        <v>12.15</v>
      </c>
    </row>
    <row r="4484" spans="2:7">
      <c r="B4484" s="1" t="s">
        <v>478</v>
      </c>
      <c r="E4484" s="30">
        <v>3.65</v>
      </c>
      <c r="F4484" s="1" t="str">
        <f>总规划!$E$202</f>
        <v>1天</v>
      </c>
      <c r="G4484" s="116">
        <f>E4484*总规划!$G$106</f>
        <v>5.703125</v>
      </c>
    </row>
    <row r="4486" spans="2:12">
      <c r="B4486" s="27" t="s">
        <v>2242</v>
      </c>
      <c r="C4486" s="27"/>
      <c r="D4486" s="27"/>
      <c r="E4486" s="27"/>
      <c r="F4486" s="27"/>
      <c r="G4486" s="27"/>
      <c r="H4486" s="27"/>
      <c r="I4486" s="27"/>
      <c r="J4486" s="27"/>
      <c r="K4486" s="27"/>
      <c r="L4486" s="27"/>
    </row>
    <row r="4488" spans="6:17">
      <c r="F4488" s="1" t="s">
        <v>518</v>
      </c>
      <c r="G4488" s="1" t="s">
        <v>519</v>
      </c>
      <c r="H4488" s="1" t="s">
        <v>520</v>
      </c>
      <c r="I4488" s="1" t="s">
        <v>521</v>
      </c>
      <c r="J4488" s="1" t="s">
        <v>522</v>
      </c>
      <c r="K4488" s="1" t="s">
        <v>523</v>
      </c>
      <c r="L4488" s="1" t="s">
        <v>524</v>
      </c>
      <c r="M4488" s="1" t="s">
        <v>525</v>
      </c>
      <c r="N4488" s="1" t="s">
        <v>526</v>
      </c>
      <c r="O4488" s="1" t="s">
        <v>527</v>
      </c>
      <c r="P4488" s="1" t="s">
        <v>528</v>
      </c>
      <c r="Q4488" s="1" t="s">
        <v>529</v>
      </c>
    </row>
    <row r="4489" ht="13.85" spans="2:17">
      <c r="B4489" s="120"/>
      <c r="C4489" s="120"/>
      <c r="D4489" s="120" t="s">
        <v>540</v>
      </c>
      <c r="E4489" s="120" t="s">
        <v>562</v>
      </c>
      <c r="F4489" s="120" t="s">
        <v>476</v>
      </c>
      <c r="G4489" s="120" t="s">
        <v>478</v>
      </c>
      <c r="H4489" s="120" t="s">
        <v>454</v>
      </c>
      <c r="I4489" s="120" t="s">
        <v>479</v>
      </c>
      <c r="J4489" s="120" t="s">
        <v>379</v>
      </c>
      <c r="K4489" s="120" t="s">
        <v>458</v>
      </c>
      <c r="L4489" s="120" t="s">
        <v>483</v>
      </c>
      <c r="M4489" s="120" t="s">
        <v>484</v>
      </c>
      <c r="N4489" s="120" t="s">
        <v>466</v>
      </c>
      <c r="O4489" s="120" t="s">
        <v>468</v>
      </c>
      <c r="P4489" s="120" t="s">
        <v>470</v>
      </c>
      <c r="Q4489" s="120" t="s">
        <v>472</v>
      </c>
    </row>
    <row r="4490" ht="13.85" spans="2:17">
      <c r="B4490" s="121" t="s">
        <v>534</v>
      </c>
      <c r="C4490" s="120"/>
      <c r="D4490" s="122">
        <v>23250</v>
      </c>
      <c r="E4490" s="122">
        <v>1050</v>
      </c>
      <c r="F4490" s="122">
        <v>0.015</v>
      </c>
      <c r="G4490" s="122">
        <v>20.0923611111111</v>
      </c>
      <c r="H4490" s="122">
        <v>79.8</v>
      </c>
      <c r="I4490" s="122">
        <v>0.0102</v>
      </c>
      <c r="J4490" s="122"/>
      <c r="K4490" s="122">
        <v>0.7503</v>
      </c>
      <c r="L4490" s="122">
        <v>3</v>
      </c>
      <c r="M4490" s="120"/>
      <c r="N4490" s="120"/>
      <c r="O4490" s="120"/>
      <c r="P4490" s="120"/>
      <c r="Q4490" s="124"/>
    </row>
    <row r="4491" spans="4:12">
      <c r="D4491" s="116">
        <f>D4490/总规划!$D$249</f>
        <v>19.375</v>
      </c>
      <c r="E4491" s="116">
        <f>E4490*$E$4735</f>
        <v>13.125</v>
      </c>
      <c r="F4491" s="116">
        <f>F4490*总规划!$G$105</f>
        <v>0.00625</v>
      </c>
      <c r="G4491" s="116">
        <f>G4490*总规划!$G$106</f>
        <v>31.3943142361111</v>
      </c>
      <c r="H4491" s="116">
        <f>H4490*总规划!$G$107</f>
        <v>39.9</v>
      </c>
      <c r="I4491" s="116">
        <f>I4490*总规划!$G$108</f>
        <v>0.0255</v>
      </c>
      <c r="J4491" s="116">
        <f>J4490*总规划!$G$109</f>
        <v>0</v>
      </c>
      <c r="K4491" s="116">
        <f>K4490*总规划!$G$110</f>
        <v>9.37875</v>
      </c>
      <c r="L4491" s="116">
        <f>L4490*总规划!$G$111</f>
        <v>6.25</v>
      </c>
    </row>
    <row r="4493" s="25" customFormat="1" spans="1:5">
      <c r="A4493" s="2" t="s">
        <v>380</v>
      </c>
      <c r="B4493" s="2"/>
      <c r="C4493" s="41" t="s">
        <v>436</v>
      </c>
      <c r="E4493" s="41"/>
    </row>
    <row r="4495" spans="2:12">
      <c r="B4495" s="27" t="s">
        <v>842</v>
      </c>
      <c r="C4495" s="27"/>
      <c r="D4495" s="27"/>
      <c r="E4495" s="27"/>
      <c r="F4495" s="27"/>
      <c r="G4495" s="27"/>
      <c r="H4495" s="27"/>
      <c r="I4495" s="27"/>
      <c r="J4495" s="27"/>
      <c r="K4495" s="27"/>
      <c r="L4495" s="27"/>
    </row>
    <row r="4497" spans="4:7">
      <c r="D4497" s="30" t="s">
        <v>1785</v>
      </c>
      <c r="E4497" s="30" t="s">
        <v>1539</v>
      </c>
      <c r="F4497" s="30" t="s">
        <v>1541</v>
      </c>
      <c r="G4497" s="30" t="s">
        <v>2236</v>
      </c>
    </row>
    <row r="4498" spans="2:27">
      <c r="B4498" s="1" t="s">
        <v>381</v>
      </c>
      <c r="C4498" s="1" t="s">
        <v>382</v>
      </c>
      <c r="D4498" s="1" t="s">
        <v>540</v>
      </c>
      <c r="E4498" s="1" t="s">
        <v>479</v>
      </c>
      <c r="F4498" s="1" t="s">
        <v>379</v>
      </c>
      <c r="G4498" s="1" t="s">
        <v>562</v>
      </c>
      <c r="H4498" s="1" t="s">
        <v>2238</v>
      </c>
      <c r="I4498" s="1" t="s">
        <v>822</v>
      </c>
      <c r="J4498" s="1" t="s">
        <v>823</v>
      </c>
      <c r="K4498" s="1" t="s">
        <v>826</v>
      </c>
      <c r="L4498" s="1" t="s">
        <v>827</v>
      </c>
      <c r="M4498" s="1" t="s">
        <v>830</v>
      </c>
      <c r="N4498" s="1" t="s">
        <v>831</v>
      </c>
      <c r="O4498" s="1" t="s">
        <v>834</v>
      </c>
      <c r="P4498" s="1" t="s">
        <v>835</v>
      </c>
      <c r="Q4498" s="1" t="s">
        <v>2239</v>
      </c>
      <c r="R4498" s="1" t="s">
        <v>2240</v>
      </c>
      <c r="S4498" s="1" t="s">
        <v>838</v>
      </c>
      <c r="T4498" s="1" t="s">
        <v>839</v>
      </c>
      <c r="U4498" s="4" t="s">
        <v>2059</v>
      </c>
      <c r="AA4498" s="4" t="s">
        <v>1740</v>
      </c>
    </row>
    <row r="4499" spans="2:27">
      <c r="B4499" s="1">
        <v>1</v>
      </c>
      <c r="C4499" s="1">
        <f t="shared" ref="C4499:C4530" si="1316">C2365</f>
        <v>0</v>
      </c>
      <c r="D4499" s="30">
        <v>0</v>
      </c>
      <c r="E4499" s="30">
        <v>0</v>
      </c>
      <c r="F4499" s="30">
        <v>0</v>
      </c>
      <c r="G4499" s="118">
        <v>0</v>
      </c>
      <c r="H4499" s="30">
        <v>0</v>
      </c>
      <c r="I4499" s="30" t="s">
        <v>371</v>
      </c>
      <c r="J4499" s="30"/>
      <c r="K4499" s="1">
        <f ca="1" t="shared" ref="K4499:K4530" si="1317">IFERROR(OFFSET($C$295,0,MATCH(I4499,$C$293:$H$293,0)-1),0)</f>
        <v>1</v>
      </c>
      <c r="L4499" s="1">
        <f ca="1" t="shared" ref="L4499:L4530" si="1318">IFERROR(OFFSET($C$295,0,MATCH(J4499,$C$293:$H$293,0)-1),0)</f>
        <v>0</v>
      </c>
      <c r="M4499" s="68">
        <f ca="1" t="shared" ref="M4499:M4530" si="1319">K4499/SUM($K4499:$L4499)</f>
        <v>1</v>
      </c>
      <c r="N4499" s="68">
        <f ca="1" t="shared" ref="N4499:N4530" si="1320">L4499/SUM($K4499:$L4499)</f>
        <v>0</v>
      </c>
      <c r="O4499" s="1">
        <f ca="1" t="shared" ref="O4499:O4530" si="1321">IFERROR(OFFSET($C$294,0,MATCH(I4499,$C$293:$H$293,0)-1),0)</f>
        <v>1</v>
      </c>
      <c r="P4499" s="1">
        <f ca="1" t="shared" ref="P4499:P4530" si="1322">IFERROR(OFFSET($C$294,0,MATCH(J4499,$C$293:$H$293,0)-1),0)</f>
        <v>0</v>
      </c>
      <c r="Q4499" s="30">
        <v>0</v>
      </c>
      <c r="R4499" s="30">
        <v>0</v>
      </c>
      <c r="S4499" s="1" t="str">
        <f ca="1" t="shared" ref="S4499:S4530" si="1323">IFERROR(OFFSET($C$296,0,MATCH(I4499,$C$293:$H$293,0)-1),"")</f>
        <v>board</v>
      </c>
      <c r="T4499" s="1" t="str">
        <f ca="1" t="shared" ref="T4499:T4530" si="1324">IFERROR(OFFSET($C$296,0,MATCH(J4499,$C$293:$H$293,0)-1),"")</f>
        <v/>
      </c>
      <c r="U4499" s="113"/>
      <c r="V4499" s="30"/>
      <c r="W4499" s="30"/>
      <c r="X4499" s="30"/>
      <c r="Y4499" s="30"/>
      <c r="Z4499" s="30"/>
      <c r="AA4499" s="30"/>
    </row>
    <row r="4500" spans="2:27">
      <c r="B4500" s="1">
        <v>2</v>
      </c>
      <c r="C4500" s="1">
        <f t="shared" si="1316"/>
        <v>0</v>
      </c>
      <c r="D4500" s="30">
        <v>0</v>
      </c>
      <c r="E4500" s="30">
        <v>0</v>
      </c>
      <c r="F4500" s="30">
        <v>0</v>
      </c>
      <c r="G4500" s="118">
        <v>0</v>
      </c>
      <c r="H4500" s="30">
        <v>0</v>
      </c>
      <c r="I4500" s="30" t="s">
        <v>371</v>
      </c>
      <c r="J4500" s="30"/>
      <c r="K4500" s="1">
        <f ca="1" t="shared" si="1317"/>
        <v>1</v>
      </c>
      <c r="L4500" s="1">
        <f ca="1" t="shared" si="1318"/>
        <v>0</v>
      </c>
      <c r="M4500" s="68">
        <f ca="1" t="shared" si="1319"/>
        <v>1</v>
      </c>
      <c r="N4500" s="68">
        <f ca="1" t="shared" si="1320"/>
        <v>0</v>
      </c>
      <c r="O4500" s="1">
        <f ca="1" t="shared" si="1321"/>
        <v>1</v>
      </c>
      <c r="P4500" s="1">
        <f ca="1" t="shared" si="1322"/>
        <v>0</v>
      </c>
      <c r="Q4500" s="30">
        <v>0</v>
      </c>
      <c r="R4500" s="30">
        <v>0</v>
      </c>
      <c r="S4500" s="1" t="str">
        <f ca="1" t="shared" si="1323"/>
        <v>board</v>
      </c>
      <c r="T4500" s="1" t="str">
        <f ca="1" t="shared" si="1324"/>
        <v/>
      </c>
      <c r="U4500" s="113"/>
      <c r="V4500" s="30"/>
      <c r="W4500" s="30"/>
      <c r="X4500" s="30"/>
      <c r="Y4500" s="30"/>
      <c r="Z4500" s="30"/>
      <c r="AA4500" s="113"/>
    </row>
    <row r="4501" spans="2:27">
      <c r="B4501" s="1">
        <v>3</v>
      </c>
      <c r="C4501" s="1">
        <f t="shared" si="1316"/>
        <v>0</v>
      </c>
      <c r="D4501" s="30">
        <v>0</v>
      </c>
      <c r="E4501" s="30">
        <v>0</v>
      </c>
      <c r="F4501" s="30">
        <v>0</v>
      </c>
      <c r="G4501" s="118">
        <v>0</v>
      </c>
      <c r="H4501" s="30">
        <v>0</v>
      </c>
      <c r="I4501" s="30" t="s">
        <v>371</v>
      </c>
      <c r="J4501" s="30" t="s">
        <v>372</v>
      </c>
      <c r="K4501" s="1">
        <f ca="1" t="shared" si="1317"/>
        <v>1</v>
      </c>
      <c r="L4501" s="1">
        <f ca="1" t="shared" si="1318"/>
        <v>3.5</v>
      </c>
      <c r="M4501" s="68">
        <f ca="1" t="shared" si="1319"/>
        <v>0.222222222222222</v>
      </c>
      <c r="N4501" s="68">
        <f ca="1" t="shared" si="1320"/>
        <v>0.777777777777778</v>
      </c>
      <c r="O4501" s="1">
        <f ca="1" t="shared" si="1321"/>
        <v>1</v>
      </c>
      <c r="P4501" s="1">
        <f ca="1" t="shared" si="1322"/>
        <v>4</v>
      </c>
      <c r="Q4501" s="30">
        <v>0</v>
      </c>
      <c r="R4501" s="30">
        <v>0</v>
      </c>
      <c r="S4501" s="1" t="str">
        <f ca="1" t="shared" si="1323"/>
        <v>board</v>
      </c>
      <c r="T4501" s="1" t="str">
        <f ca="1" t="shared" si="1324"/>
        <v>brick</v>
      </c>
      <c r="U4501" s="113"/>
      <c r="V4501" s="30"/>
      <c r="W4501" s="30"/>
      <c r="X4501" s="30"/>
      <c r="Y4501" s="30"/>
      <c r="Z4501" s="30"/>
      <c r="AA4501" s="113"/>
    </row>
    <row r="4502" spans="2:27">
      <c r="B4502" s="1">
        <v>4</v>
      </c>
      <c r="C4502" s="1">
        <f t="shared" si="1316"/>
        <v>0</v>
      </c>
      <c r="D4502" s="30">
        <v>200</v>
      </c>
      <c r="E4502" s="30">
        <v>0</v>
      </c>
      <c r="F4502" s="30">
        <v>0</v>
      </c>
      <c r="G4502" s="118">
        <v>1</v>
      </c>
      <c r="H4502" s="30">
        <v>0</v>
      </c>
      <c r="I4502" s="30" t="s">
        <v>371</v>
      </c>
      <c r="J4502" s="30" t="s">
        <v>372</v>
      </c>
      <c r="K4502" s="1">
        <f ca="1" t="shared" si="1317"/>
        <v>1</v>
      </c>
      <c r="L4502" s="1">
        <f ca="1" t="shared" si="1318"/>
        <v>3.5</v>
      </c>
      <c r="M4502" s="68">
        <f ca="1" t="shared" si="1319"/>
        <v>0.222222222222222</v>
      </c>
      <c r="N4502" s="68">
        <f ca="1" t="shared" si="1320"/>
        <v>0.777777777777778</v>
      </c>
      <c r="O4502" s="1">
        <f ca="1" t="shared" si="1321"/>
        <v>1</v>
      </c>
      <c r="P4502" s="1">
        <f ca="1" t="shared" si="1322"/>
        <v>4</v>
      </c>
      <c r="Q4502" s="30">
        <v>3</v>
      </c>
      <c r="R4502" s="30">
        <v>1</v>
      </c>
      <c r="S4502" s="1" t="str">
        <f ca="1" t="shared" si="1323"/>
        <v>board</v>
      </c>
      <c r="T4502" s="1" t="str">
        <f ca="1" t="shared" si="1324"/>
        <v>brick</v>
      </c>
      <c r="U4502" s="113" t="s">
        <v>272</v>
      </c>
      <c r="V4502" s="30"/>
      <c r="W4502" s="30"/>
      <c r="X4502" s="30"/>
      <c r="Y4502" s="30"/>
      <c r="Z4502" s="30"/>
      <c r="AA4502" s="113" t="s">
        <v>273</v>
      </c>
    </row>
    <row r="4503" spans="2:27">
      <c r="B4503" s="1">
        <v>5</v>
      </c>
      <c r="C4503" s="1">
        <f t="shared" si="1316"/>
        <v>0</v>
      </c>
      <c r="D4503" s="30">
        <v>250</v>
      </c>
      <c r="E4503" s="30">
        <v>0</v>
      </c>
      <c r="F4503" s="30">
        <v>0</v>
      </c>
      <c r="G4503" s="118">
        <v>1</v>
      </c>
      <c r="H4503" s="30">
        <v>0</v>
      </c>
      <c r="I4503" s="30" t="s">
        <v>371</v>
      </c>
      <c r="J4503" s="30" t="s">
        <v>372</v>
      </c>
      <c r="K4503" s="1">
        <f ca="1" t="shared" si="1317"/>
        <v>1</v>
      </c>
      <c r="L4503" s="1">
        <f ca="1" t="shared" si="1318"/>
        <v>3.5</v>
      </c>
      <c r="M4503" s="68">
        <f ca="1" t="shared" si="1319"/>
        <v>0.222222222222222</v>
      </c>
      <c r="N4503" s="68">
        <f ca="1" t="shared" si="1320"/>
        <v>0.777777777777778</v>
      </c>
      <c r="O4503" s="1">
        <f ca="1" t="shared" si="1321"/>
        <v>1</v>
      </c>
      <c r="P4503" s="1">
        <f ca="1" t="shared" si="1322"/>
        <v>4</v>
      </c>
      <c r="Q4503" s="30">
        <v>4</v>
      </c>
      <c r="R4503" s="30">
        <v>1</v>
      </c>
      <c r="S4503" s="1" t="str">
        <f ca="1" t="shared" si="1323"/>
        <v>board</v>
      </c>
      <c r="T4503" s="1" t="str">
        <f ca="1" t="shared" si="1324"/>
        <v>brick</v>
      </c>
      <c r="U4503" s="113" t="s">
        <v>272</v>
      </c>
      <c r="V4503" s="30"/>
      <c r="W4503" s="30"/>
      <c r="X4503" s="30"/>
      <c r="Y4503" s="30"/>
      <c r="Z4503" s="30"/>
      <c r="AA4503" s="113" t="s">
        <v>275</v>
      </c>
    </row>
    <row r="4504" spans="2:27">
      <c r="B4504" s="1">
        <v>6</v>
      </c>
      <c r="C4504" s="1">
        <f t="shared" si="1316"/>
        <v>0</v>
      </c>
      <c r="D4504" s="30">
        <v>300</v>
      </c>
      <c r="E4504" s="30">
        <v>0</v>
      </c>
      <c r="F4504" s="30">
        <v>0</v>
      </c>
      <c r="G4504" s="118">
        <v>1</v>
      </c>
      <c r="H4504" s="30">
        <v>0</v>
      </c>
      <c r="I4504" s="30" t="s">
        <v>371</v>
      </c>
      <c r="J4504" s="30" t="s">
        <v>372</v>
      </c>
      <c r="K4504" s="1">
        <f ca="1" t="shared" si="1317"/>
        <v>1</v>
      </c>
      <c r="L4504" s="1">
        <f ca="1" t="shared" si="1318"/>
        <v>3.5</v>
      </c>
      <c r="M4504" s="68">
        <f ca="1" t="shared" si="1319"/>
        <v>0.222222222222222</v>
      </c>
      <c r="N4504" s="68">
        <f ca="1" t="shared" si="1320"/>
        <v>0.777777777777778</v>
      </c>
      <c r="O4504" s="1">
        <f ca="1" t="shared" si="1321"/>
        <v>1</v>
      </c>
      <c r="P4504" s="1">
        <f ca="1" t="shared" si="1322"/>
        <v>4</v>
      </c>
      <c r="Q4504" s="1">
        <f ca="1">IFERROR(_xlfn.FLOOR.MATH($H4504*M4504/O4504),0)</f>
        <v>0</v>
      </c>
      <c r="R4504" s="1">
        <f ca="1">IFERROR(_xlfn.FLOOR.MATH($H4504*N4504/P4504),0)</f>
        <v>0</v>
      </c>
      <c r="S4504" s="1" t="str">
        <f ca="1" t="shared" si="1323"/>
        <v>board</v>
      </c>
      <c r="T4504" s="1" t="str">
        <f ca="1" t="shared" si="1324"/>
        <v>brick</v>
      </c>
      <c r="U4504" s="113" t="s">
        <v>272</v>
      </c>
      <c r="V4504" s="30"/>
      <c r="W4504" s="30"/>
      <c r="X4504" s="30"/>
      <c r="Y4504" s="30"/>
      <c r="Z4504" s="30"/>
      <c r="AA4504" s="113" t="s">
        <v>277</v>
      </c>
    </row>
    <row r="4505" spans="2:27">
      <c r="B4505" s="1">
        <v>7</v>
      </c>
      <c r="C4505" s="1">
        <f t="shared" si="1316"/>
        <v>0</v>
      </c>
      <c r="D4505" s="30">
        <v>350</v>
      </c>
      <c r="E4505" s="30">
        <v>0</v>
      </c>
      <c r="F4505" s="30">
        <v>0</v>
      </c>
      <c r="G4505" s="118">
        <v>1</v>
      </c>
      <c r="H4505" s="30">
        <v>0</v>
      </c>
      <c r="I4505" s="30" t="s">
        <v>371</v>
      </c>
      <c r="J4505" s="30" t="s">
        <v>372</v>
      </c>
      <c r="K4505" s="1">
        <f ca="1" t="shared" si="1317"/>
        <v>1</v>
      </c>
      <c r="L4505" s="1">
        <f ca="1" t="shared" si="1318"/>
        <v>3.5</v>
      </c>
      <c r="M4505" s="68">
        <f ca="1" t="shared" si="1319"/>
        <v>0.222222222222222</v>
      </c>
      <c r="N4505" s="68">
        <f ca="1" t="shared" si="1320"/>
        <v>0.777777777777778</v>
      </c>
      <c r="O4505" s="1">
        <f ca="1" t="shared" si="1321"/>
        <v>1</v>
      </c>
      <c r="P4505" s="1">
        <f ca="1" t="shared" si="1322"/>
        <v>4</v>
      </c>
      <c r="Q4505" s="1">
        <f ca="1">IFERROR(_xlfn.FLOOR.MATH($H4505*M4505/O4505),0)</f>
        <v>0</v>
      </c>
      <c r="R4505" s="1">
        <f ca="1">IFERROR(_xlfn.FLOOR.MATH($H4505*N4505/P4505),0)</f>
        <v>0</v>
      </c>
      <c r="S4505" s="1" t="str">
        <f ca="1" t="shared" si="1323"/>
        <v>board</v>
      </c>
      <c r="T4505" s="1" t="str">
        <f ca="1" t="shared" si="1324"/>
        <v>brick</v>
      </c>
      <c r="U4505" s="113" t="s">
        <v>272</v>
      </c>
      <c r="V4505" s="30"/>
      <c r="W4505" s="30"/>
      <c r="X4505" s="30"/>
      <c r="Y4505" s="30"/>
      <c r="Z4505" s="30"/>
      <c r="AA4505" s="113" t="s">
        <v>279</v>
      </c>
    </row>
    <row r="4506" spans="2:27">
      <c r="B4506" s="1">
        <v>8</v>
      </c>
      <c r="C4506" s="1">
        <f t="shared" si="1316"/>
        <v>0</v>
      </c>
      <c r="D4506" s="30">
        <v>400</v>
      </c>
      <c r="E4506" s="30">
        <v>0</v>
      </c>
      <c r="F4506" s="30">
        <v>0</v>
      </c>
      <c r="G4506" s="118">
        <v>2</v>
      </c>
      <c r="H4506" s="30">
        <v>60</v>
      </c>
      <c r="I4506" s="30" t="s">
        <v>371</v>
      </c>
      <c r="J4506" s="30" t="s">
        <v>372</v>
      </c>
      <c r="K4506" s="1">
        <f ca="1" t="shared" si="1317"/>
        <v>1</v>
      </c>
      <c r="L4506" s="1">
        <f ca="1" t="shared" si="1318"/>
        <v>3.5</v>
      </c>
      <c r="M4506" s="68">
        <f ca="1" t="shared" si="1319"/>
        <v>0.222222222222222</v>
      </c>
      <c r="N4506" s="68">
        <f ca="1" t="shared" si="1320"/>
        <v>0.777777777777778</v>
      </c>
      <c r="O4506" s="1">
        <f ca="1" t="shared" si="1321"/>
        <v>1</v>
      </c>
      <c r="P4506" s="1">
        <f ca="1" t="shared" si="1322"/>
        <v>4</v>
      </c>
      <c r="Q4506" s="1">
        <f ca="1">IFERROR(_xlfn.FLOOR.MATH($H4506*M4506/O4506),0)</f>
        <v>13</v>
      </c>
      <c r="R4506" s="1">
        <f ca="1">IFERROR(_xlfn.FLOOR.MATH($H4506*N4506/P4506),0)</f>
        <v>11</v>
      </c>
      <c r="S4506" s="1" t="str">
        <f ca="1" t="shared" si="1323"/>
        <v>board</v>
      </c>
      <c r="T4506" s="1" t="str">
        <f ca="1" t="shared" si="1324"/>
        <v>brick</v>
      </c>
      <c r="U4506" s="113" t="s">
        <v>281</v>
      </c>
      <c r="V4506" s="30"/>
      <c r="W4506" s="30"/>
      <c r="X4506" s="30"/>
      <c r="Y4506" s="30"/>
      <c r="Z4506" s="30"/>
      <c r="AA4506" s="113" t="s">
        <v>282</v>
      </c>
    </row>
    <row r="4507" spans="2:27">
      <c r="B4507" s="1">
        <v>9</v>
      </c>
      <c r="C4507" s="1">
        <f t="shared" si="1316"/>
        <v>0</v>
      </c>
      <c r="D4507" s="30">
        <v>450</v>
      </c>
      <c r="E4507" s="30">
        <v>40000</v>
      </c>
      <c r="F4507" s="30">
        <v>180</v>
      </c>
      <c r="G4507" s="118">
        <v>2</v>
      </c>
      <c r="H4507" s="30">
        <v>90</v>
      </c>
      <c r="I4507" s="30" t="s">
        <v>372</v>
      </c>
      <c r="J4507" s="30" t="s">
        <v>373</v>
      </c>
      <c r="K4507" s="1">
        <f ca="1" t="shared" si="1317"/>
        <v>3.5</v>
      </c>
      <c r="L4507" s="1">
        <f ca="1" t="shared" si="1318"/>
        <v>15</v>
      </c>
      <c r="M4507" s="68">
        <f ca="1" t="shared" si="1319"/>
        <v>0.189189189189189</v>
      </c>
      <c r="N4507" s="68">
        <f ca="1" t="shared" si="1320"/>
        <v>0.810810810810811</v>
      </c>
      <c r="O4507" s="1">
        <f ca="1" t="shared" si="1321"/>
        <v>4</v>
      </c>
      <c r="P4507" s="1">
        <f ca="1" t="shared" si="1322"/>
        <v>20</v>
      </c>
      <c r="Q4507" s="1">
        <f ca="1">IFERROR(_xlfn.FLOOR.MATH($H4507*M4507/O4507),0)</f>
        <v>4</v>
      </c>
      <c r="R4507" s="1">
        <f ca="1">IFERROR(_xlfn.FLOOR.MATH($H4507*N4507/P4507),0)</f>
        <v>3</v>
      </c>
      <c r="S4507" s="1" t="str">
        <f ca="1" t="shared" si="1323"/>
        <v>brick</v>
      </c>
      <c r="T4507" s="1" t="str">
        <f ca="1" t="shared" si="1324"/>
        <v>cement</v>
      </c>
      <c r="U4507" s="6" t="s">
        <v>285</v>
      </c>
      <c r="V4507" s="112"/>
      <c r="W4507" s="112"/>
      <c r="X4507" s="112"/>
      <c r="Y4507" s="112"/>
      <c r="Z4507" s="112"/>
      <c r="AA4507" s="6" t="s">
        <v>286</v>
      </c>
    </row>
    <row r="4508" spans="2:27">
      <c r="B4508" s="1">
        <v>10</v>
      </c>
      <c r="C4508" s="1">
        <f t="shared" si="1316"/>
        <v>0</v>
      </c>
      <c r="D4508" s="30">
        <v>500</v>
      </c>
      <c r="E4508" s="30">
        <v>50000</v>
      </c>
      <c r="F4508" s="30">
        <v>200</v>
      </c>
      <c r="G4508" s="118">
        <v>2</v>
      </c>
      <c r="H4508" s="30">
        <v>100</v>
      </c>
      <c r="I4508" s="30" t="s">
        <v>372</v>
      </c>
      <c r="J4508" s="30" t="s">
        <v>373</v>
      </c>
      <c r="K4508" s="1">
        <f ca="1" t="shared" si="1317"/>
        <v>3.5</v>
      </c>
      <c r="L4508" s="1">
        <f ca="1" t="shared" si="1318"/>
        <v>15</v>
      </c>
      <c r="M4508" s="68">
        <f ca="1" t="shared" si="1319"/>
        <v>0.189189189189189</v>
      </c>
      <c r="N4508" s="68">
        <f ca="1" t="shared" si="1320"/>
        <v>0.810810810810811</v>
      </c>
      <c r="O4508" s="1">
        <f ca="1" t="shared" si="1321"/>
        <v>4</v>
      </c>
      <c r="P4508" s="1">
        <f ca="1" t="shared" si="1322"/>
        <v>20</v>
      </c>
      <c r="Q4508" s="1">
        <f ca="1">IFERROR(_xlfn.FLOOR.MATH($H4508*M4508/O4508),0)</f>
        <v>4</v>
      </c>
      <c r="R4508" s="1">
        <f ca="1">IFERROR(_xlfn.FLOOR.MATH($H4508*N4508/P4508),0)</f>
        <v>4</v>
      </c>
      <c r="S4508" s="1" t="str">
        <f ca="1" t="shared" si="1323"/>
        <v>brick</v>
      </c>
      <c r="T4508" s="1" t="str">
        <f ca="1" t="shared" si="1324"/>
        <v>cement</v>
      </c>
      <c r="U4508" s="6" t="s">
        <v>285</v>
      </c>
      <c r="V4508" s="112"/>
      <c r="W4508" s="112"/>
      <c r="X4508" s="112"/>
      <c r="Y4508" s="112"/>
      <c r="Z4508" s="112"/>
      <c r="AA4508" s="6" t="s">
        <v>288</v>
      </c>
    </row>
    <row r="4509" spans="2:27">
      <c r="B4509" s="1">
        <v>11</v>
      </c>
      <c r="C4509" s="1">
        <f t="shared" si="1316"/>
        <v>1</v>
      </c>
      <c r="D4509" s="30">
        <v>500</v>
      </c>
      <c r="E4509" s="30">
        <v>60000</v>
      </c>
      <c r="F4509" s="30">
        <v>200</v>
      </c>
      <c r="G4509" s="123">
        <v>2</v>
      </c>
      <c r="H4509" s="30">
        <v>120</v>
      </c>
      <c r="I4509" s="30" t="s">
        <v>372</v>
      </c>
      <c r="J4509" s="30" t="s">
        <v>373</v>
      </c>
      <c r="K4509" s="1">
        <f ca="1" t="shared" si="1317"/>
        <v>3.5</v>
      </c>
      <c r="L4509" s="1">
        <f ca="1" t="shared" si="1318"/>
        <v>15</v>
      </c>
      <c r="M4509" s="68">
        <f ca="1" t="shared" si="1319"/>
        <v>0.189189189189189</v>
      </c>
      <c r="N4509" s="68">
        <f ca="1" t="shared" si="1320"/>
        <v>0.810810810810811</v>
      </c>
      <c r="O4509" s="1">
        <f ca="1" t="shared" si="1321"/>
        <v>4</v>
      </c>
      <c r="P4509" s="1">
        <f ca="1" t="shared" si="1322"/>
        <v>20</v>
      </c>
      <c r="Q4509" s="1">
        <f ca="1">IFERROR(_xlfn.FLOOR.MATH($H4509*M4509/O4509),0)</f>
        <v>5</v>
      </c>
      <c r="R4509" s="1">
        <f ca="1">IFERROR(_xlfn.FLOOR.MATH($H4509*N4509/P4509),0)</f>
        <v>4</v>
      </c>
      <c r="S4509" s="1" t="str">
        <f ca="1" t="shared" si="1323"/>
        <v>brick</v>
      </c>
      <c r="T4509" s="1" t="str">
        <f ca="1" t="shared" si="1324"/>
        <v>cement</v>
      </c>
      <c r="U4509" s="4" t="str">
        <f ca="1" t="shared" ref="U4509:U4548" si="1325">IF(T4509="",CONCATENATE($D$4497,";",$E$4497,";",$F$4497,";",S4509,";",$G$4497),CONCATENATE($D$4497,";",$E$4497,";",$F$4497,";",S4509,";",T4509,";",$G$4497))</f>
        <v>l_coin;common_equipment_exp;ammunition;brick;cement;action_point_middle</v>
      </c>
      <c r="AA4509" s="4" t="str">
        <f ca="1" t="shared" ref="AA4509:AA4548" si="1326">IF(R4509=0,CONCATENATE(D4509,";",E4509,";",F4509,";",Q4509,";",G4509),CONCATENATE(D4509,";",E4509,";",F4509,";",Q4509,";",R4509,";",G4509))</f>
        <v>500;60000;200;5;4;2</v>
      </c>
    </row>
    <row r="4510" spans="2:27">
      <c r="B4510" s="1">
        <v>12</v>
      </c>
      <c r="C4510" s="1">
        <f t="shared" si="1316"/>
        <v>2</v>
      </c>
      <c r="D4510" s="30">
        <v>500</v>
      </c>
      <c r="E4510" s="30">
        <v>70000</v>
      </c>
      <c r="F4510" s="30">
        <v>200</v>
      </c>
      <c r="G4510" s="123">
        <v>2</v>
      </c>
      <c r="H4510" s="30">
        <v>140</v>
      </c>
      <c r="I4510" s="30" t="s">
        <v>372</v>
      </c>
      <c r="J4510" s="30" t="s">
        <v>373</v>
      </c>
      <c r="K4510" s="1">
        <f ca="1" t="shared" si="1317"/>
        <v>3.5</v>
      </c>
      <c r="L4510" s="1">
        <f ca="1" t="shared" si="1318"/>
        <v>15</v>
      </c>
      <c r="M4510" s="68">
        <f ca="1" t="shared" si="1319"/>
        <v>0.189189189189189</v>
      </c>
      <c r="N4510" s="68">
        <f ca="1" t="shared" si="1320"/>
        <v>0.810810810810811</v>
      </c>
      <c r="O4510" s="1">
        <f ca="1" t="shared" si="1321"/>
        <v>4</v>
      </c>
      <c r="P4510" s="1">
        <f ca="1" t="shared" si="1322"/>
        <v>20</v>
      </c>
      <c r="Q4510" s="1">
        <f ca="1">IFERROR(_xlfn.FLOOR.MATH($H4510*M4510/O4510),0)</f>
        <v>6</v>
      </c>
      <c r="R4510" s="1">
        <f ca="1">IFERROR(_xlfn.FLOOR.MATH($H4510*N4510/P4510),0)</f>
        <v>5</v>
      </c>
      <c r="S4510" s="1" t="str">
        <f ca="1" t="shared" si="1323"/>
        <v>brick</v>
      </c>
      <c r="T4510" s="1" t="str">
        <f ca="1" t="shared" si="1324"/>
        <v>cement</v>
      </c>
      <c r="U4510" s="4" t="str">
        <f ca="1" t="shared" si="1325"/>
        <v>l_coin;common_equipment_exp;ammunition;brick;cement;action_point_middle</v>
      </c>
      <c r="AA4510" s="4" t="str">
        <f ca="1" t="shared" si="1326"/>
        <v>500;70000;200;6;5;2</v>
      </c>
    </row>
    <row r="4511" spans="2:27">
      <c r="B4511" s="1">
        <v>13</v>
      </c>
      <c r="C4511" s="1">
        <f t="shared" si="1316"/>
        <v>3</v>
      </c>
      <c r="D4511" s="30">
        <v>500</v>
      </c>
      <c r="E4511" s="30">
        <v>80000</v>
      </c>
      <c r="F4511" s="30">
        <v>200</v>
      </c>
      <c r="G4511" s="123">
        <v>2</v>
      </c>
      <c r="H4511" s="30">
        <v>160</v>
      </c>
      <c r="I4511" s="30" t="s">
        <v>372</v>
      </c>
      <c r="J4511" s="30" t="s">
        <v>373</v>
      </c>
      <c r="K4511" s="1">
        <f ca="1" t="shared" si="1317"/>
        <v>3.5</v>
      </c>
      <c r="L4511" s="1">
        <f ca="1" t="shared" si="1318"/>
        <v>15</v>
      </c>
      <c r="M4511" s="68">
        <f ca="1" t="shared" si="1319"/>
        <v>0.189189189189189</v>
      </c>
      <c r="N4511" s="68">
        <f ca="1" t="shared" si="1320"/>
        <v>0.810810810810811</v>
      </c>
      <c r="O4511" s="1">
        <f ca="1" t="shared" si="1321"/>
        <v>4</v>
      </c>
      <c r="P4511" s="1">
        <f ca="1" t="shared" si="1322"/>
        <v>20</v>
      </c>
      <c r="Q4511" s="1">
        <f ca="1">IFERROR(_xlfn.FLOOR.MATH($H4511*M4511/O4511),0)</f>
        <v>7</v>
      </c>
      <c r="R4511" s="1">
        <f ca="1">IFERROR(_xlfn.FLOOR.MATH($H4511*N4511/P4511),0)</f>
        <v>6</v>
      </c>
      <c r="S4511" s="1" t="str">
        <f ca="1" t="shared" si="1323"/>
        <v>brick</v>
      </c>
      <c r="T4511" s="1" t="str">
        <f ca="1" t="shared" si="1324"/>
        <v>cement</v>
      </c>
      <c r="U4511" s="4" t="str">
        <f ca="1" t="shared" si="1325"/>
        <v>l_coin;common_equipment_exp;ammunition;brick;cement;action_point_middle</v>
      </c>
      <c r="AA4511" s="4" t="str">
        <f ca="1" t="shared" si="1326"/>
        <v>500;80000;200;7;6;2</v>
      </c>
    </row>
    <row r="4512" spans="2:27">
      <c r="B4512" s="1">
        <v>14</v>
      </c>
      <c r="C4512" s="1">
        <f t="shared" si="1316"/>
        <v>4</v>
      </c>
      <c r="D4512" s="30">
        <v>500</v>
      </c>
      <c r="E4512" s="30">
        <v>90000</v>
      </c>
      <c r="F4512" s="30">
        <v>200</v>
      </c>
      <c r="G4512" s="123">
        <v>2</v>
      </c>
      <c r="H4512" s="30">
        <v>180</v>
      </c>
      <c r="I4512" s="30" t="s">
        <v>372</v>
      </c>
      <c r="J4512" s="30" t="s">
        <v>373</v>
      </c>
      <c r="K4512" s="1">
        <f ca="1" t="shared" si="1317"/>
        <v>3.5</v>
      </c>
      <c r="L4512" s="1">
        <f ca="1" t="shared" si="1318"/>
        <v>15</v>
      </c>
      <c r="M4512" s="68">
        <f ca="1" t="shared" si="1319"/>
        <v>0.189189189189189</v>
      </c>
      <c r="N4512" s="68">
        <f ca="1" t="shared" si="1320"/>
        <v>0.810810810810811</v>
      </c>
      <c r="O4512" s="1">
        <f ca="1" t="shared" si="1321"/>
        <v>4</v>
      </c>
      <c r="P4512" s="1">
        <f ca="1" t="shared" si="1322"/>
        <v>20</v>
      </c>
      <c r="Q4512" s="1">
        <f ca="1">IFERROR(_xlfn.FLOOR.MATH($H4512*M4512/O4512),0)</f>
        <v>8</v>
      </c>
      <c r="R4512" s="1">
        <f ca="1">IFERROR(_xlfn.FLOOR.MATH($H4512*N4512/P4512),0)</f>
        <v>7</v>
      </c>
      <c r="S4512" s="1" t="str">
        <f ca="1" t="shared" si="1323"/>
        <v>brick</v>
      </c>
      <c r="T4512" s="1" t="str">
        <f ca="1" t="shared" si="1324"/>
        <v>cement</v>
      </c>
      <c r="U4512" s="4" t="str">
        <f ca="1" t="shared" si="1325"/>
        <v>l_coin;common_equipment_exp;ammunition;brick;cement;action_point_middle</v>
      </c>
      <c r="AA4512" s="4" t="str">
        <f ca="1" t="shared" si="1326"/>
        <v>500;90000;200;8;7;2</v>
      </c>
    </row>
    <row r="4513" spans="2:27">
      <c r="B4513" s="1">
        <v>15</v>
      </c>
      <c r="C4513" s="1">
        <f t="shared" si="1316"/>
        <v>5</v>
      </c>
      <c r="D4513" s="30">
        <v>500</v>
      </c>
      <c r="E4513" s="30">
        <v>100000</v>
      </c>
      <c r="F4513" s="30">
        <v>200</v>
      </c>
      <c r="G4513" s="123">
        <v>2</v>
      </c>
      <c r="H4513" s="30">
        <v>200</v>
      </c>
      <c r="I4513" s="30" t="s">
        <v>373</v>
      </c>
      <c r="J4513" s="30" t="s">
        <v>374</v>
      </c>
      <c r="K4513" s="1">
        <f ca="1" t="shared" si="1317"/>
        <v>15</v>
      </c>
      <c r="L4513" s="1">
        <f ca="1" t="shared" si="1318"/>
        <v>20</v>
      </c>
      <c r="M4513" s="68">
        <f ca="1" t="shared" si="1319"/>
        <v>0.428571428571429</v>
      </c>
      <c r="N4513" s="68">
        <f ca="1" t="shared" si="1320"/>
        <v>0.571428571428571</v>
      </c>
      <c r="O4513" s="1">
        <f ca="1" t="shared" si="1321"/>
        <v>20</v>
      </c>
      <c r="P4513" s="1">
        <f ca="1" t="shared" si="1322"/>
        <v>35</v>
      </c>
      <c r="Q4513" s="1">
        <f ca="1">IFERROR(_xlfn.FLOOR.MATH($H4513*M4513/O4513),0)</f>
        <v>4</v>
      </c>
      <c r="R4513" s="1">
        <f ca="1">IFERROR(_xlfn.FLOOR.MATH($H4513*N4513/P4513),0)</f>
        <v>3</v>
      </c>
      <c r="S4513" s="1" t="str">
        <f ca="1" t="shared" si="1323"/>
        <v>cement</v>
      </c>
      <c r="T4513" s="1" t="str">
        <f ca="1" t="shared" si="1324"/>
        <v>steel</v>
      </c>
      <c r="U4513" s="4" t="str">
        <f ca="1" t="shared" si="1325"/>
        <v>l_coin;common_equipment_exp;ammunition;cement;steel;action_point_middle</v>
      </c>
      <c r="AA4513" s="4" t="str">
        <f ca="1" t="shared" si="1326"/>
        <v>500;100000;200;4;3;2</v>
      </c>
    </row>
    <row r="4514" spans="2:27">
      <c r="B4514" s="1">
        <v>16</v>
      </c>
      <c r="C4514" s="1">
        <f t="shared" si="1316"/>
        <v>6</v>
      </c>
      <c r="D4514" s="30">
        <v>500</v>
      </c>
      <c r="E4514" s="30">
        <v>110000</v>
      </c>
      <c r="F4514" s="30">
        <v>200</v>
      </c>
      <c r="G4514" s="123">
        <v>2</v>
      </c>
      <c r="H4514" s="30">
        <v>220</v>
      </c>
      <c r="I4514" s="30" t="s">
        <v>373</v>
      </c>
      <c r="J4514" s="30" t="s">
        <v>374</v>
      </c>
      <c r="K4514" s="1">
        <f ca="1" t="shared" si="1317"/>
        <v>15</v>
      </c>
      <c r="L4514" s="1">
        <f ca="1" t="shared" si="1318"/>
        <v>20</v>
      </c>
      <c r="M4514" s="68">
        <f ca="1" t="shared" si="1319"/>
        <v>0.428571428571429</v>
      </c>
      <c r="N4514" s="68">
        <f ca="1" t="shared" si="1320"/>
        <v>0.571428571428571</v>
      </c>
      <c r="O4514" s="1">
        <f ca="1" t="shared" si="1321"/>
        <v>20</v>
      </c>
      <c r="P4514" s="1">
        <f ca="1" t="shared" si="1322"/>
        <v>35</v>
      </c>
      <c r="Q4514" s="1">
        <f ca="1">IFERROR(_xlfn.FLOOR.MATH($H4514*M4514/O4514),0)</f>
        <v>4</v>
      </c>
      <c r="R4514" s="1">
        <f ca="1">IFERROR(_xlfn.FLOOR.MATH($H4514*N4514/P4514),0)</f>
        <v>3</v>
      </c>
      <c r="S4514" s="1" t="str">
        <f ca="1" t="shared" si="1323"/>
        <v>cement</v>
      </c>
      <c r="T4514" s="1" t="str">
        <f ca="1" t="shared" si="1324"/>
        <v>steel</v>
      </c>
      <c r="U4514" s="4" t="str">
        <f ca="1" t="shared" si="1325"/>
        <v>l_coin;common_equipment_exp;ammunition;cement;steel;action_point_middle</v>
      </c>
      <c r="AA4514" s="4" t="str">
        <f ca="1" t="shared" si="1326"/>
        <v>500;110000;200;4;3;2</v>
      </c>
    </row>
    <row r="4515" spans="2:27">
      <c r="B4515" s="1">
        <v>17</v>
      </c>
      <c r="C4515" s="1">
        <f t="shared" si="1316"/>
        <v>7</v>
      </c>
      <c r="D4515" s="30">
        <v>500</v>
      </c>
      <c r="E4515" s="30">
        <v>120000</v>
      </c>
      <c r="F4515" s="30">
        <v>200</v>
      </c>
      <c r="G4515" s="123">
        <v>2</v>
      </c>
      <c r="H4515" s="30">
        <v>240</v>
      </c>
      <c r="I4515" s="30" t="s">
        <v>373</v>
      </c>
      <c r="J4515" s="30" t="s">
        <v>374</v>
      </c>
      <c r="K4515" s="1">
        <f ca="1" t="shared" si="1317"/>
        <v>15</v>
      </c>
      <c r="L4515" s="1">
        <f ca="1" t="shared" si="1318"/>
        <v>20</v>
      </c>
      <c r="M4515" s="68">
        <f ca="1" t="shared" si="1319"/>
        <v>0.428571428571429</v>
      </c>
      <c r="N4515" s="68">
        <f ca="1" t="shared" si="1320"/>
        <v>0.571428571428571</v>
      </c>
      <c r="O4515" s="1">
        <f ca="1" t="shared" si="1321"/>
        <v>20</v>
      </c>
      <c r="P4515" s="1">
        <f ca="1" t="shared" si="1322"/>
        <v>35</v>
      </c>
      <c r="Q4515" s="1">
        <f ca="1">IFERROR(_xlfn.FLOOR.MATH($H4515*M4515/O4515),0)</f>
        <v>5</v>
      </c>
      <c r="R4515" s="1">
        <f ca="1">IFERROR(_xlfn.FLOOR.MATH($H4515*N4515/P4515),0)</f>
        <v>3</v>
      </c>
      <c r="S4515" s="1" t="str">
        <f ca="1" t="shared" si="1323"/>
        <v>cement</v>
      </c>
      <c r="T4515" s="1" t="str">
        <f ca="1" t="shared" si="1324"/>
        <v>steel</v>
      </c>
      <c r="U4515" s="4" t="str">
        <f ca="1" t="shared" si="1325"/>
        <v>l_coin;common_equipment_exp;ammunition;cement;steel;action_point_middle</v>
      </c>
      <c r="AA4515" s="4" t="str">
        <f ca="1" t="shared" si="1326"/>
        <v>500;120000;200;5;3;2</v>
      </c>
    </row>
    <row r="4516" spans="2:27">
      <c r="B4516" s="1">
        <v>18</v>
      </c>
      <c r="C4516" s="1">
        <f t="shared" si="1316"/>
        <v>8</v>
      </c>
      <c r="D4516" s="30">
        <v>500</v>
      </c>
      <c r="E4516" s="30">
        <v>130000</v>
      </c>
      <c r="F4516" s="30">
        <v>200</v>
      </c>
      <c r="G4516" s="30">
        <v>2</v>
      </c>
      <c r="H4516" s="30">
        <v>260</v>
      </c>
      <c r="I4516" s="30" t="s">
        <v>373</v>
      </c>
      <c r="J4516" s="30" t="s">
        <v>374</v>
      </c>
      <c r="K4516" s="1">
        <f ca="1" t="shared" si="1317"/>
        <v>15</v>
      </c>
      <c r="L4516" s="1">
        <f ca="1" t="shared" si="1318"/>
        <v>20</v>
      </c>
      <c r="M4516" s="68">
        <f ca="1" t="shared" si="1319"/>
        <v>0.428571428571429</v>
      </c>
      <c r="N4516" s="68">
        <f ca="1" t="shared" si="1320"/>
        <v>0.571428571428571</v>
      </c>
      <c r="O4516" s="1">
        <f ca="1" t="shared" si="1321"/>
        <v>20</v>
      </c>
      <c r="P4516" s="1">
        <f ca="1" t="shared" si="1322"/>
        <v>35</v>
      </c>
      <c r="Q4516" s="1">
        <f ca="1">IFERROR(_xlfn.FLOOR.MATH($H4516*M4516/O4516),0)</f>
        <v>5</v>
      </c>
      <c r="R4516" s="1">
        <f ca="1">IFERROR(_xlfn.FLOOR.MATH($H4516*N4516/P4516),0)</f>
        <v>4</v>
      </c>
      <c r="S4516" s="1" t="str">
        <f ca="1" t="shared" si="1323"/>
        <v>cement</v>
      </c>
      <c r="T4516" s="1" t="str">
        <f ca="1" t="shared" si="1324"/>
        <v>steel</v>
      </c>
      <c r="U4516" s="4" t="str">
        <f ca="1" t="shared" si="1325"/>
        <v>l_coin;common_equipment_exp;ammunition;cement;steel;action_point_middle</v>
      </c>
      <c r="AA4516" s="4" t="str">
        <f ca="1" t="shared" si="1326"/>
        <v>500;130000;200;5;4;2</v>
      </c>
    </row>
    <row r="4517" spans="2:27">
      <c r="B4517" s="1">
        <v>19</v>
      </c>
      <c r="C4517" s="1">
        <f t="shared" si="1316"/>
        <v>9</v>
      </c>
      <c r="D4517" s="30">
        <v>500</v>
      </c>
      <c r="E4517" s="30">
        <v>140000</v>
      </c>
      <c r="F4517" s="30">
        <v>200</v>
      </c>
      <c r="G4517" s="30">
        <v>2</v>
      </c>
      <c r="H4517" s="30">
        <v>280</v>
      </c>
      <c r="I4517" s="30" t="s">
        <v>373</v>
      </c>
      <c r="J4517" s="30" t="s">
        <v>374</v>
      </c>
      <c r="K4517" s="1">
        <f ca="1" t="shared" si="1317"/>
        <v>15</v>
      </c>
      <c r="L4517" s="1">
        <f ca="1" t="shared" si="1318"/>
        <v>20</v>
      </c>
      <c r="M4517" s="68">
        <f ca="1" t="shared" si="1319"/>
        <v>0.428571428571429</v>
      </c>
      <c r="N4517" s="68">
        <f ca="1" t="shared" si="1320"/>
        <v>0.571428571428571</v>
      </c>
      <c r="O4517" s="1">
        <f ca="1" t="shared" si="1321"/>
        <v>20</v>
      </c>
      <c r="P4517" s="1">
        <f ca="1" t="shared" si="1322"/>
        <v>35</v>
      </c>
      <c r="Q4517" s="1">
        <f ca="1">IFERROR(_xlfn.FLOOR.MATH($H4517*M4517/O4517),0)</f>
        <v>6</v>
      </c>
      <c r="R4517" s="1">
        <f ca="1">IFERROR(_xlfn.FLOOR.MATH($H4517*N4517/P4517),0)</f>
        <v>4</v>
      </c>
      <c r="S4517" s="1" t="str">
        <f ca="1" t="shared" si="1323"/>
        <v>cement</v>
      </c>
      <c r="T4517" s="1" t="str">
        <f ca="1" t="shared" si="1324"/>
        <v>steel</v>
      </c>
      <c r="U4517" s="4" t="str">
        <f ca="1" t="shared" si="1325"/>
        <v>l_coin;common_equipment_exp;ammunition;cement;steel;action_point_middle</v>
      </c>
      <c r="AA4517" s="4" t="str">
        <f ca="1" t="shared" si="1326"/>
        <v>500;140000;200;6;4;2</v>
      </c>
    </row>
    <row r="4518" spans="2:27">
      <c r="B4518" s="1">
        <v>20</v>
      </c>
      <c r="C4518" s="1">
        <f t="shared" si="1316"/>
        <v>10</v>
      </c>
      <c r="D4518" s="30">
        <v>500</v>
      </c>
      <c r="E4518" s="30">
        <v>150000</v>
      </c>
      <c r="F4518" s="30">
        <v>200</v>
      </c>
      <c r="G4518" s="30">
        <v>2</v>
      </c>
      <c r="H4518" s="30">
        <v>300</v>
      </c>
      <c r="I4518" s="30" t="s">
        <v>373</v>
      </c>
      <c r="J4518" s="30" t="s">
        <v>374</v>
      </c>
      <c r="K4518" s="1">
        <f ca="1" t="shared" si="1317"/>
        <v>15</v>
      </c>
      <c r="L4518" s="1">
        <f ca="1" t="shared" si="1318"/>
        <v>20</v>
      </c>
      <c r="M4518" s="68">
        <f ca="1" t="shared" si="1319"/>
        <v>0.428571428571429</v>
      </c>
      <c r="N4518" s="68">
        <f ca="1" t="shared" si="1320"/>
        <v>0.571428571428571</v>
      </c>
      <c r="O4518" s="1">
        <f ca="1" t="shared" si="1321"/>
        <v>20</v>
      </c>
      <c r="P4518" s="1">
        <f ca="1" t="shared" si="1322"/>
        <v>35</v>
      </c>
      <c r="Q4518" s="1">
        <f ca="1">IFERROR(_xlfn.FLOOR.MATH($H4518*M4518/O4518),0)</f>
        <v>6</v>
      </c>
      <c r="R4518" s="1">
        <f ca="1">IFERROR(_xlfn.FLOOR.MATH($H4518*N4518/P4518),0)</f>
        <v>4</v>
      </c>
      <c r="S4518" s="1" t="str">
        <f ca="1" t="shared" si="1323"/>
        <v>cement</v>
      </c>
      <c r="T4518" s="1" t="str">
        <f ca="1" t="shared" si="1324"/>
        <v>steel</v>
      </c>
      <c r="U4518" s="4" t="str">
        <f ca="1" t="shared" si="1325"/>
        <v>l_coin;common_equipment_exp;ammunition;cement;steel;action_point_middle</v>
      </c>
      <c r="AA4518" s="4" t="str">
        <f ca="1" t="shared" si="1326"/>
        <v>500;150000;200;6;4;2</v>
      </c>
    </row>
    <row r="4519" spans="2:27">
      <c r="B4519" s="1">
        <v>21</v>
      </c>
      <c r="C4519" s="1">
        <f t="shared" si="1316"/>
        <v>13</v>
      </c>
      <c r="D4519" s="30">
        <v>500</v>
      </c>
      <c r="E4519" s="30">
        <v>160000</v>
      </c>
      <c r="F4519" s="30">
        <v>200</v>
      </c>
      <c r="G4519" s="30">
        <v>2</v>
      </c>
      <c r="H4519" s="30">
        <v>320</v>
      </c>
      <c r="I4519" s="30" t="s">
        <v>374</v>
      </c>
      <c r="J4519" s="30" t="s">
        <v>375</v>
      </c>
      <c r="K4519" s="1">
        <f ca="1" t="shared" si="1317"/>
        <v>20</v>
      </c>
      <c r="L4519" s="1">
        <f ca="1" t="shared" si="1318"/>
        <v>25</v>
      </c>
      <c r="M4519" s="68">
        <f ca="1" t="shared" si="1319"/>
        <v>0.444444444444444</v>
      </c>
      <c r="N4519" s="68">
        <f ca="1" t="shared" si="1320"/>
        <v>0.555555555555556</v>
      </c>
      <c r="O4519" s="1">
        <f ca="1" t="shared" si="1321"/>
        <v>35</v>
      </c>
      <c r="P4519" s="1">
        <f ca="1" t="shared" si="1322"/>
        <v>50</v>
      </c>
      <c r="Q4519" s="1">
        <f ca="1">IFERROR(_xlfn.FLOOR.MATH($H4519*M4519/O4519),0)</f>
        <v>4</v>
      </c>
      <c r="R4519" s="1">
        <f ca="1">IFERROR(_xlfn.FLOOR.MATH($H4519*N4519/P4519),0)</f>
        <v>3</v>
      </c>
      <c r="S4519" s="1" t="str">
        <f ca="1" t="shared" si="1323"/>
        <v>steel</v>
      </c>
      <c r="T4519" s="1" t="str">
        <f ca="1" t="shared" si="1324"/>
        <v>pitch</v>
      </c>
      <c r="U4519" s="4" t="str">
        <f ca="1" t="shared" si="1325"/>
        <v>l_coin;common_equipment_exp;ammunition;steel;pitch;action_point_middle</v>
      </c>
      <c r="AA4519" s="4" t="str">
        <f ca="1" t="shared" si="1326"/>
        <v>500;160000;200;4;3;2</v>
      </c>
    </row>
    <row r="4520" spans="2:27">
      <c r="B4520" s="1">
        <v>22</v>
      </c>
      <c r="C4520" s="1">
        <f t="shared" si="1316"/>
        <v>16</v>
      </c>
      <c r="D4520" s="30">
        <v>500</v>
      </c>
      <c r="E4520" s="30">
        <v>170000</v>
      </c>
      <c r="F4520" s="30">
        <v>200</v>
      </c>
      <c r="G4520" s="30">
        <v>2</v>
      </c>
      <c r="H4520" s="30">
        <v>340</v>
      </c>
      <c r="I4520" s="30" t="s">
        <v>374</v>
      </c>
      <c r="J4520" s="30" t="s">
        <v>375</v>
      </c>
      <c r="K4520" s="1">
        <f ca="1" t="shared" si="1317"/>
        <v>20</v>
      </c>
      <c r="L4520" s="1">
        <f ca="1" t="shared" si="1318"/>
        <v>25</v>
      </c>
      <c r="M4520" s="68">
        <f ca="1" t="shared" si="1319"/>
        <v>0.444444444444444</v>
      </c>
      <c r="N4520" s="68">
        <f ca="1" t="shared" si="1320"/>
        <v>0.555555555555556</v>
      </c>
      <c r="O4520" s="1">
        <f ca="1" t="shared" si="1321"/>
        <v>35</v>
      </c>
      <c r="P4520" s="1">
        <f ca="1" t="shared" si="1322"/>
        <v>50</v>
      </c>
      <c r="Q4520" s="1">
        <f ca="1">IFERROR(_xlfn.FLOOR.MATH($H4520*M4520/O4520),0)</f>
        <v>4</v>
      </c>
      <c r="R4520" s="1">
        <f ca="1">IFERROR(_xlfn.FLOOR.MATH($H4520*N4520/P4520),0)</f>
        <v>3</v>
      </c>
      <c r="S4520" s="1" t="str">
        <f ca="1" t="shared" si="1323"/>
        <v>steel</v>
      </c>
      <c r="T4520" s="1" t="str">
        <f ca="1" t="shared" si="1324"/>
        <v>pitch</v>
      </c>
      <c r="U4520" s="4" t="str">
        <f ca="1" t="shared" si="1325"/>
        <v>l_coin;common_equipment_exp;ammunition;steel;pitch;action_point_middle</v>
      </c>
      <c r="AA4520" s="4" t="str">
        <f ca="1" t="shared" si="1326"/>
        <v>500;170000;200;4;3;2</v>
      </c>
    </row>
    <row r="4521" spans="2:27">
      <c r="B4521" s="1">
        <v>23</v>
      </c>
      <c r="C4521" s="1">
        <f t="shared" si="1316"/>
        <v>19</v>
      </c>
      <c r="D4521" s="30">
        <v>500</v>
      </c>
      <c r="E4521" s="30">
        <v>180000</v>
      </c>
      <c r="F4521" s="30">
        <v>200</v>
      </c>
      <c r="G4521" s="30">
        <v>2</v>
      </c>
      <c r="H4521" s="30">
        <v>360</v>
      </c>
      <c r="I4521" s="30" t="s">
        <v>374</v>
      </c>
      <c r="J4521" s="30" t="s">
        <v>375</v>
      </c>
      <c r="K4521" s="1">
        <f ca="1" t="shared" si="1317"/>
        <v>20</v>
      </c>
      <c r="L4521" s="1">
        <f ca="1" t="shared" si="1318"/>
        <v>25</v>
      </c>
      <c r="M4521" s="68">
        <f ca="1" t="shared" si="1319"/>
        <v>0.444444444444444</v>
      </c>
      <c r="N4521" s="68">
        <f ca="1" t="shared" si="1320"/>
        <v>0.555555555555556</v>
      </c>
      <c r="O4521" s="1">
        <f ca="1" t="shared" si="1321"/>
        <v>35</v>
      </c>
      <c r="P4521" s="1">
        <f ca="1" t="shared" si="1322"/>
        <v>50</v>
      </c>
      <c r="Q4521" s="1">
        <f ca="1">IFERROR(_xlfn.FLOOR.MATH($H4521*M4521/O4521),0)</f>
        <v>4</v>
      </c>
      <c r="R4521" s="1">
        <f ca="1">IFERROR(_xlfn.FLOOR.MATH($H4521*N4521/P4521),0)</f>
        <v>4</v>
      </c>
      <c r="S4521" s="1" t="str">
        <f ca="1" t="shared" si="1323"/>
        <v>steel</v>
      </c>
      <c r="T4521" s="1" t="str">
        <f ca="1" t="shared" si="1324"/>
        <v>pitch</v>
      </c>
      <c r="U4521" s="4" t="str">
        <f ca="1" t="shared" si="1325"/>
        <v>l_coin;common_equipment_exp;ammunition;steel;pitch;action_point_middle</v>
      </c>
      <c r="AA4521" s="4" t="str">
        <f ca="1" t="shared" si="1326"/>
        <v>500;180000;200;4;4;2</v>
      </c>
    </row>
    <row r="4522" spans="2:27">
      <c r="B4522" s="1">
        <v>24</v>
      </c>
      <c r="C4522" s="1">
        <f t="shared" si="1316"/>
        <v>22</v>
      </c>
      <c r="D4522" s="30">
        <v>500</v>
      </c>
      <c r="E4522" s="30">
        <v>190000</v>
      </c>
      <c r="F4522" s="30">
        <v>200</v>
      </c>
      <c r="G4522" s="30">
        <v>2</v>
      </c>
      <c r="H4522" s="30">
        <v>380</v>
      </c>
      <c r="I4522" s="30" t="s">
        <v>374</v>
      </c>
      <c r="J4522" s="30" t="s">
        <v>375</v>
      </c>
      <c r="K4522" s="1">
        <f ca="1" t="shared" si="1317"/>
        <v>20</v>
      </c>
      <c r="L4522" s="1">
        <f ca="1" t="shared" si="1318"/>
        <v>25</v>
      </c>
      <c r="M4522" s="68">
        <f ca="1" t="shared" si="1319"/>
        <v>0.444444444444444</v>
      </c>
      <c r="N4522" s="68">
        <f ca="1" t="shared" si="1320"/>
        <v>0.555555555555556</v>
      </c>
      <c r="O4522" s="1">
        <f ca="1" t="shared" si="1321"/>
        <v>35</v>
      </c>
      <c r="P4522" s="1">
        <f ca="1" t="shared" si="1322"/>
        <v>50</v>
      </c>
      <c r="Q4522" s="1">
        <f ca="1">IFERROR(_xlfn.FLOOR.MATH($H4522*M4522/O4522),0)</f>
        <v>4</v>
      </c>
      <c r="R4522" s="1">
        <f ca="1">IFERROR(_xlfn.FLOOR.MATH($H4522*N4522/P4522),0)</f>
        <v>4</v>
      </c>
      <c r="S4522" s="1" t="str">
        <f ca="1" t="shared" si="1323"/>
        <v>steel</v>
      </c>
      <c r="T4522" s="1" t="str">
        <f ca="1" t="shared" si="1324"/>
        <v>pitch</v>
      </c>
      <c r="U4522" s="4" t="str">
        <f ca="1" t="shared" si="1325"/>
        <v>l_coin;common_equipment_exp;ammunition;steel;pitch;action_point_middle</v>
      </c>
      <c r="AA4522" s="4" t="str">
        <f ca="1" t="shared" si="1326"/>
        <v>500;190000;200;4;4;2</v>
      </c>
    </row>
    <row r="4523" spans="2:27">
      <c r="B4523" s="1">
        <v>25</v>
      </c>
      <c r="C4523" s="1">
        <f t="shared" si="1316"/>
        <v>25</v>
      </c>
      <c r="D4523" s="30">
        <v>500</v>
      </c>
      <c r="E4523" s="30">
        <v>200000</v>
      </c>
      <c r="F4523" s="30">
        <v>200</v>
      </c>
      <c r="G4523" s="30">
        <v>2</v>
      </c>
      <c r="H4523" s="30">
        <v>400</v>
      </c>
      <c r="I4523" s="30" t="s">
        <v>374</v>
      </c>
      <c r="J4523" s="30" t="s">
        <v>375</v>
      </c>
      <c r="K4523" s="1">
        <f ca="1" t="shared" si="1317"/>
        <v>20</v>
      </c>
      <c r="L4523" s="1">
        <f ca="1" t="shared" si="1318"/>
        <v>25</v>
      </c>
      <c r="M4523" s="68">
        <f ca="1" t="shared" si="1319"/>
        <v>0.444444444444444</v>
      </c>
      <c r="N4523" s="68">
        <f ca="1" t="shared" si="1320"/>
        <v>0.555555555555556</v>
      </c>
      <c r="O4523" s="1">
        <f ca="1" t="shared" si="1321"/>
        <v>35</v>
      </c>
      <c r="P4523" s="1">
        <f ca="1" t="shared" si="1322"/>
        <v>50</v>
      </c>
      <c r="Q4523" s="1">
        <f ca="1">IFERROR(_xlfn.FLOOR.MATH($H4523*M4523/O4523),0)</f>
        <v>5</v>
      </c>
      <c r="R4523" s="1">
        <f ca="1">IFERROR(_xlfn.FLOOR.MATH($H4523*N4523/P4523),0)</f>
        <v>4</v>
      </c>
      <c r="S4523" s="1" t="str">
        <f ca="1" t="shared" si="1323"/>
        <v>steel</v>
      </c>
      <c r="T4523" s="1" t="str">
        <f ca="1" t="shared" si="1324"/>
        <v>pitch</v>
      </c>
      <c r="U4523" s="4" t="str">
        <f ca="1" t="shared" si="1325"/>
        <v>l_coin;common_equipment_exp;ammunition;steel;pitch;action_point_middle</v>
      </c>
      <c r="AA4523" s="4" t="str">
        <f ca="1" t="shared" si="1326"/>
        <v>500;200000;200;5;4;2</v>
      </c>
    </row>
    <row r="4524" spans="2:27">
      <c r="B4524" s="1">
        <v>26</v>
      </c>
      <c r="C4524" s="1">
        <f t="shared" si="1316"/>
        <v>35</v>
      </c>
      <c r="D4524" s="30">
        <v>500</v>
      </c>
      <c r="E4524" s="30">
        <v>300000</v>
      </c>
      <c r="F4524" s="30">
        <v>200</v>
      </c>
      <c r="G4524" s="30">
        <v>2</v>
      </c>
      <c r="H4524" s="30">
        <v>450</v>
      </c>
      <c r="I4524" s="30" t="s">
        <v>375</v>
      </c>
      <c r="J4524" s="30" t="s">
        <v>376</v>
      </c>
      <c r="K4524" s="1">
        <f ca="1" t="shared" si="1317"/>
        <v>25</v>
      </c>
      <c r="L4524" s="1">
        <f ca="1" t="shared" si="1318"/>
        <v>50</v>
      </c>
      <c r="M4524" s="68">
        <f ca="1" t="shared" si="1319"/>
        <v>0.333333333333333</v>
      </c>
      <c r="N4524" s="68">
        <f ca="1" t="shared" si="1320"/>
        <v>0.666666666666667</v>
      </c>
      <c r="O4524" s="1">
        <f ca="1" t="shared" si="1321"/>
        <v>50</v>
      </c>
      <c r="P4524" s="1">
        <f ca="1" t="shared" si="1322"/>
        <v>110</v>
      </c>
      <c r="Q4524" s="1">
        <f ca="1">IFERROR(_xlfn.FLOOR.MATH($H4524*M4524/O4524),0)</f>
        <v>3</v>
      </c>
      <c r="R4524" s="1">
        <f ca="1">IFERROR(_xlfn.FLOOR.MATH($H4524*N4524/P4524),0)</f>
        <v>2</v>
      </c>
      <c r="S4524" s="1" t="str">
        <f ca="1" t="shared" si="1323"/>
        <v>pitch</v>
      </c>
      <c r="T4524" s="1" t="str">
        <f ca="1" t="shared" si="1324"/>
        <v>concrete</v>
      </c>
      <c r="U4524" s="4" t="str">
        <f ca="1" t="shared" si="1325"/>
        <v>l_coin;common_equipment_exp;ammunition;pitch;concrete;action_point_middle</v>
      </c>
      <c r="AA4524" s="4" t="str">
        <f ca="1" t="shared" si="1326"/>
        <v>500;300000;200;3;2;2</v>
      </c>
    </row>
    <row r="4525" spans="2:27">
      <c r="B4525" s="1">
        <v>27</v>
      </c>
      <c r="C4525" s="1">
        <f t="shared" si="1316"/>
        <v>40</v>
      </c>
      <c r="D4525" s="30">
        <v>500</v>
      </c>
      <c r="E4525" s="30">
        <v>300000</v>
      </c>
      <c r="F4525" s="30">
        <v>200</v>
      </c>
      <c r="G4525" s="30">
        <v>2</v>
      </c>
      <c r="H4525" s="30">
        <v>500</v>
      </c>
      <c r="I4525" s="30" t="s">
        <v>375</v>
      </c>
      <c r="J4525" s="30" t="s">
        <v>376</v>
      </c>
      <c r="K4525" s="1">
        <f ca="1" t="shared" si="1317"/>
        <v>25</v>
      </c>
      <c r="L4525" s="1">
        <f ca="1" t="shared" si="1318"/>
        <v>50</v>
      </c>
      <c r="M4525" s="68">
        <f ca="1" t="shared" si="1319"/>
        <v>0.333333333333333</v>
      </c>
      <c r="N4525" s="68">
        <f ca="1" t="shared" si="1320"/>
        <v>0.666666666666667</v>
      </c>
      <c r="O4525" s="1">
        <f ca="1" t="shared" si="1321"/>
        <v>50</v>
      </c>
      <c r="P4525" s="1">
        <f ca="1" t="shared" si="1322"/>
        <v>110</v>
      </c>
      <c r="Q4525" s="1">
        <f ca="1">IFERROR(_xlfn.FLOOR.MATH($H4525*M4525/O4525),0)</f>
        <v>3</v>
      </c>
      <c r="R4525" s="1">
        <f ca="1">IFERROR(_xlfn.FLOOR.MATH($H4525*N4525/P4525),0)</f>
        <v>3</v>
      </c>
      <c r="S4525" s="1" t="str">
        <f ca="1" t="shared" si="1323"/>
        <v>pitch</v>
      </c>
      <c r="T4525" s="1" t="str">
        <f ca="1" t="shared" si="1324"/>
        <v>concrete</v>
      </c>
      <c r="U4525" s="4" t="str">
        <f ca="1" t="shared" si="1325"/>
        <v>l_coin;common_equipment_exp;ammunition;pitch;concrete;action_point_middle</v>
      </c>
      <c r="AA4525" s="4" t="str">
        <f ca="1" t="shared" si="1326"/>
        <v>500;300000;200;3;3;2</v>
      </c>
    </row>
    <row r="4526" spans="2:27">
      <c r="B4526" s="1">
        <v>28</v>
      </c>
      <c r="C4526" s="1">
        <f t="shared" si="1316"/>
        <v>45</v>
      </c>
      <c r="D4526" s="30">
        <v>500</v>
      </c>
      <c r="E4526" s="30">
        <v>300000</v>
      </c>
      <c r="F4526" s="30">
        <v>200</v>
      </c>
      <c r="G4526" s="30">
        <v>2</v>
      </c>
      <c r="H4526" s="30">
        <v>550</v>
      </c>
      <c r="I4526" s="30" t="s">
        <v>375</v>
      </c>
      <c r="J4526" s="30" t="s">
        <v>376</v>
      </c>
      <c r="K4526" s="1">
        <f ca="1" t="shared" si="1317"/>
        <v>25</v>
      </c>
      <c r="L4526" s="1">
        <f ca="1" t="shared" si="1318"/>
        <v>50</v>
      </c>
      <c r="M4526" s="68">
        <f ca="1" t="shared" si="1319"/>
        <v>0.333333333333333</v>
      </c>
      <c r="N4526" s="68">
        <f ca="1" t="shared" si="1320"/>
        <v>0.666666666666667</v>
      </c>
      <c r="O4526" s="1">
        <f ca="1" t="shared" si="1321"/>
        <v>50</v>
      </c>
      <c r="P4526" s="1">
        <f ca="1" t="shared" si="1322"/>
        <v>110</v>
      </c>
      <c r="Q4526" s="1">
        <f ca="1">IFERROR(_xlfn.FLOOR.MATH($H4526*M4526/O4526),0)</f>
        <v>3</v>
      </c>
      <c r="R4526" s="1">
        <f ca="1">IFERROR(_xlfn.FLOOR.MATH($H4526*N4526/P4526),0)</f>
        <v>3</v>
      </c>
      <c r="S4526" s="1" t="str">
        <f ca="1" t="shared" si="1323"/>
        <v>pitch</v>
      </c>
      <c r="T4526" s="1" t="str">
        <f ca="1" t="shared" si="1324"/>
        <v>concrete</v>
      </c>
      <c r="U4526" s="4" t="str">
        <f ca="1" t="shared" si="1325"/>
        <v>l_coin;common_equipment_exp;ammunition;pitch;concrete;action_point_middle</v>
      </c>
      <c r="AA4526" s="4" t="str">
        <f ca="1" t="shared" si="1326"/>
        <v>500;300000;200;3;3;2</v>
      </c>
    </row>
    <row r="4527" spans="2:27">
      <c r="B4527" s="1">
        <v>29</v>
      </c>
      <c r="C4527" s="1">
        <f t="shared" si="1316"/>
        <v>50</v>
      </c>
      <c r="D4527" s="30">
        <v>500</v>
      </c>
      <c r="E4527" s="30">
        <v>300000</v>
      </c>
      <c r="F4527" s="30">
        <v>200</v>
      </c>
      <c r="G4527" s="30">
        <v>2</v>
      </c>
      <c r="H4527" s="30">
        <v>600</v>
      </c>
      <c r="I4527" s="30" t="s">
        <v>375</v>
      </c>
      <c r="J4527" s="30" t="s">
        <v>376</v>
      </c>
      <c r="K4527" s="1">
        <f ca="1" t="shared" si="1317"/>
        <v>25</v>
      </c>
      <c r="L4527" s="1">
        <f ca="1" t="shared" si="1318"/>
        <v>50</v>
      </c>
      <c r="M4527" s="68">
        <f ca="1" t="shared" si="1319"/>
        <v>0.333333333333333</v>
      </c>
      <c r="N4527" s="68">
        <f ca="1" t="shared" si="1320"/>
        <v>0.666666666666667</v>
      </c>
      <c r="O4527" s="1">
        <f ca="1" t="shared" si="1321"/>
        <v>50</v>
      </c>
      <c r="P4527" s="1">
        <f ca="1" t="shared" si="1322"/>
        <v>110</v>
      </c>
      <c r="Q4527" s="1">
        <f ca="1">IFERROR(_xlfn.FLOOR.MATH($H4527*M4527/O4527),0)</f>
        <v>4</v>
      </c>
      <c r="R4527" s="1">
        <f ca="1">IFERROR(_xlfn.FLOOR.MATH($H4527*N4527/P4527),0)</f>
        <v>3</v>
      </c>
      <c r="S4527" s="1" t="str">
        <f ca="1" t="shared" si="1323"/>
        <v>pitch</v>
      </c>
      <c r="T4527" s="1" t="str">
        <f ca="1" t="shared" si="1324"/>
        <v>concrete</v>
      </c>
      <c r="U4527" s="4" t="str">
        <f ca="1" t="shared" si="1325"/>
        <v>l_coin;common_equipment_exp;ammunition;pitch;concrete;action_point_middle</v>
      </c>
      <c r="AA4527" s="4" t="str">
        <f ca="1" t="shared" si="1326"/>
        <v>500;300000;200;4;3;2</v>
      </c>
    </row>
    <row r="4528" spans="2:27">
      <c r="B4528" s="1">
        <v>30</v>
      </c>
      <c r="C4528" s="1">
        <f t="shared" si="1316"/>
        <v>55</v>
      </c>
      <c r="D4528" s="30">
        <v>500</v>
      </c>
      <c r="E4528" s="30">
        <v>300000</v>
      </c>
      <c r="F4528" s="30">
        <v>200</v>
      </c>
      <c r="G4528" s="30">
        <v>2</v>
      </c>
      <c r="H4528" s="30">
        <v>650</v>
      </c>
      <c r="I4528" s="30" t="s">
        <v>375</v>
      </c>
      <c r="J4528" s="30" t="s">
        <v>376</v>
      </c>
      <c r="K4528" s="1">
        <f ca="1" t="shared" si="1317"/>
        <v>25</v>
      </c>
      <c r="L4528" s="1">
        <f ca="1" t="shared" si="1318"/>
        <v>50</v>
      </c>
      <c r="M4528" s="68">
        <f ca="1" t="shared" si="1319"/>
        <v>0.333333333333333</v>
      </c>
      <c r="N4528" s="68">
        <f ca="1" t="shared" si="1320"/>
        <v>0.666666666666667</v>
      </c>
      <c r="O4528" s="1">
        <f ca="1" t="shared" si="1321"/>
        <v>50</v>
      </c>
      <c r="P4528" s="1">
        <f ca="1" t="shared" si="1322"/>
        <v>110</v>
      </c>
      <c r="Q4528" s="1">
        <f ca="1">IFERROR(_xlfn.FLOOR.MATH($H4528*M4528/O4528),0)</f>
        <v>4</v>
      </c>
      <c r="R4528" s="1">
        <f ca="1">IFERROR(_xlfn.FLOOR.MATH($H4528*N4528/P4528),0)</f>
        <v>3</v>
      </c>
      <c r="S4528" s="1" t="str">
        <f ca="1" t="shared" si="1323"/>
        <v>pitch</v>
      </c>
      <c r="T4528" s="1" t="str">
        <f ca="1" t="shared" si="1324"/>
        <v>concrete</v>
      </c>
      <c r="U4528" s="4" t="str">
        <f ca="1" t="shared" si="1325"/>
        <v>l_coin;common_equipment_exp;ammunition;pitch;concrete;action_point_middle</v>
      </c>
      <c r="AA4528" s="4" t="str">
        <f ca="1" t="shared" si="1326"/>
        <v>500;300000;200;4;3;2</v>
      </c>
    </row>
    <row r="4529" spans="2:27">
      <c r="B4529" s="1">
        <v>31</v>
      </c>
      <c r="C4529" s="1">
        <f t="shared" si="1316"/>
        <v>65</v>
      </c>
      <c r="D4529" s="30">
        <v>500</v>
      </c>
      <c r="E4529" s="30">
        <v>400000</v>
      </c>
      <c r="F4529" s="30">
        <v>200</v>
      </c>
      <c r="G4529" s="30">
        <v>2</v>
      </c>
      <c r="H4529" s="30">
        <v>700</v>
      </c>
      <c r="I4529" s="30" t="s">
        <v>375</v>
      </c>
      <c r="J4529" s="30" t="s">
        <v>376</v>
      </c>
      <c r="K4529" s="1">
        <f ca="1" t="shared" si="1317"/>
        <v>25</v>
      </c>
      <c r="L4529" s="1">
        <f ca="1" t="shared" si="1318"/>
        <v>50</v>
      </c>
      <c r="M4529" s="68">
        <f ca="1" t="shared" si="1319"/>
        <v>0.333333333333333</v>
      </c>
      <c r="N4529" s="68">
        <f ca="1" t="shared" si="1320"/>
        <v>0.666666666666667</v>
      </c>
      <c r="O4529" s="1">
        <f ca="1" t="shared" si="1321"/>
        <v>50</v>
      </c>
      <c r="P4529" s="1">
        <f ca="1" t="shared" si="1322"/>
        <v>110</v>
      </c>
      <c r="Q4529" s="1">
        <f ca="1">IFERROR(_xlfn.FLOOR.MATH($H4529*M4529/O4529),0)</f>
        <v>4</v>
      </c>
      <c r="R4529" s="1">
        <f ca="1">IFERROR(_xlfn.FLOOR.MATH($H4529*N4529/P4529),0)</f>
        <v>4</v>
      </c>
      <c r="S4529" s="1" t="str">
        <f ca="1" t="shared" si="1323"/>
        <v>pitch</v>
      </c>
      <c r="T4529" s="1" t="str">
        <f ca="1" t="shared" si="1324"/>
        <v>concrete</v>
      </c>
      <c r="U4529" s="4" t="str">
        <f ca="1" t="shared" si="1325"/>
        <v>l_coin;common_equipment_exp;ammunition;pitch;concrete;action_point_middle</v>
      </c>
      <c r="AA4529" s="4" t="str">
        <f ca="1" t="shared" si="1326"/>
        <v>500;400000;200;4;4;2</v>
      </c>
    </row>
    <row r="4530" spans="2:27">
      <c r="B4530" s="1">
        <v>32</v>
      </c>
      <c r="C4530" s="1">
        <f t="shared" si="1316"/>
        <v>70</v>
      </c>
      <c r="D4530" s="30">
        <v>500</v>
      </c>
      <c r="E4530" s="30">
        <v>400000</v>
      </c>
      <c r="F4530" s="30">
        <v>200</v>
      </c>
      <c r="G4530" s="30">
        <v>2</v>
      </c>
      <c r="H4530" s="30">
        <v>750</v>
      </c>
      <c r="I4530" s="30" t="s">
        <v>375</v>
      </c>
      <c r="J4530" s="30" t="s">
        <v>376</v>
      </c>
      <c r="K4530" s="1">
        <f ca="1" t="shared" si="1317"/>
        <v>25</v>
      </c>
      <c r="L4530" s="1">
        <f ca="1" t="shared" si="1318"/>
        <v>50</v>
      </c>
      <c r="M4530" s="68">
        <f ca="1" t="shared" si="1319"/>
        <v>0.333333333333333</v>
      </c>
      <c r="N4530" s="68">
        <f ca="1" t="shared" si="1320"/>
        <v>0.666666666666667</v>
      </c>
      <c r="O4530" s="1">
        <f ca="1" t="shared" si="1321"/>
        <v>50</v>
      </c>
      <c r="P4530" s="1">
        <f ca="1" t="shared" si="1322"/>
        <v>110</v>
      </c>
      <c r="Q4530" s="1">
        <f ca="1">IFERROR(_xlfn.FLOOR.MATH($H4530*M4530/O4530),0)</f>
        <v>5</v>
      </c>
      <c r="R4530" s="1">
        <f ca="1">IFERROR(_xlfn.FLOOR.MATH($H4530*N4530/P4530),0)</f>
        <v>4</v>
      </c>
      <c r="S4530" s="1" t="str">
        <f ca="1" t="shared" si="1323"/>
        <v>pitch</v>
      </c>
      <c r="T4530" s="1" t="str">
        <f ca="1" t="shared" si="1324"/>
        <v>concrete</v>
      </c>
      <c r="U4530" s="4" t="str">
        <f ca="1" t="shared" si="1325"/>
        <v>l_coin;common_equipment_exp;ammunition;pitch;concrete;action_point_middle</v>
      </c>
      <c r="AA4530" s="4" t="str">
        <f ca="1" t="shared" si="1326"/>
        <v>500;400000;200;5;4;2</v>
      </c>
    </row>
    <row r="4531" spans="2:27">
      <c r="B4531" s="1">
        <v>33</v>
      </c>
      <c r="C4531" s="1">
        <f t="shared" ref="C4531:C4548" si="1327">C2397</f>
        <v>75</v>
      </c>
      <c r="D4531" s="30">
        <v>500</v>
      </c>
      <c r="E4531" s="30">
        <v>400000</v>
      </c>
      <c r="F4531" s="30">
        <v>200</v>
      </c>
      <c r="G4531" s="30">
        <v>2</v>
      </c>
      <c r="H4531" s="30">
        <v>800</v>
      </c>
      <c r="I4531" s="30" t="s">
        <v>375</v>
      </c>
      <c r="J4531" s="30" t="s">
        <v>376</v>
      </c>
      <c r="K4531" s="1">
        <f ca="1" t="shared" ref="K4531:K4548" si="1328">IFERROR(OFFSET($C$295,0,MATCH(I4531,$C$293:$H$293,0)-1),0)</f>
        <v>25</v>
      </c>
      <c r="L4531" s="1">
        <f ca="1" t="shared" ref="L4531:L4548" si="1329">IFERROR(OFFSET($C$295,0,MATCH(J4531,$C$293:$H$293,0)-1),0)</f>
        <v>50</v>
      </c>
      <c r="M4531" s="68">
        <f ca="1" t="shared" ref="M4531:M4548" si="1330">K4531/SUM($K4531:$L4531)</f>
        <v>0.333333333333333</v>
      </c>
      <c r="N4531" s="68">
        <f ca="1" t="shared" ref="N4531:N4548" si="1331">L4531/SUM($K4531:$L4531)</f>
        <v>0.666666666666667</v>
      </c>
      <c r="O4531" s="1">
        <f ca="1" t="shared" ref="O4531:O4548" si="1332">IFERROR(OFFSET($C$294,0,MATCH(I4531,$C$293:$H$293,0)-1),0)</f>
        <v>50</v>
      </c>
      <c r="P4531" s="1">
        <f ca="1" t="shared" ref="P4531:P4548" si="1333">IFERROR(OFFSET($C$294,0,MATCH(J4531,$C$293:$H$293,0)-1),0)</f>
        <v>110</v>
      </c>
      <c r="Q4531" s="1">
        <f ca="1">IFERROR(_xlfn.FLOOR.MATH($H4531*M4531/O4531),0)</f>
        <v>5</v>
      </c>
      <c r="R4531" s="1">
        <f ca="1">IFERROR(_xlfn.FLOOR.MATH($H4531*N4531/P4531),0)</f>
        <v>4</v>
      </c>
      <c r="S4531" s="1" t="str">
        <f ca="1" t="shared" ref="S4531:S4548" si="1334">IFERROR(OFFSET($C$296,0,MATCH(I4531,$C$293:$H$293,0)-1),"")</f>
        <v>pitch</v>
      </c>
      <c r="T4531" s="1" t="str">
        <f ca="1" t="shared" ref="T4531:T4548" si="1335">IFERROR(OFFSET($C$296,0,MATCH(J4531,$C$293:$H$293,0)-1),"")</f>
        <v>concrete</v>
      </c>
      <c r="U4531" s="4" t="str">
        <f ca="1" t="shared" si="1325"/>
        <v>l_coin;common_equipment_exp;ammunition;pitch;concrete;action_point_middle</v>
      </c>
      <c r="AA4531" s="4" t="str">
        <f ca="1" t="shared" si="1326"/>
        <v>500;400000;200;5;4;2</v>
      </c>
    </row>
    <row r="4532" spans="2:27">
      <c r="B4532" s="1">
        <v>34</v>
      </c>
      <c r="C4532" s="1">
        <f t="shared" si="1327"/>
        <v>80</v>
      </c>
      <c r="D4532" s="30">
        <v>500</v>
      </c>
      <c r="E4532" s="30">
        <v>400000</v>
      </c>
      <c r="F4532" s="30">
        <v>200</v>
      </c>
      <c r="G4532" s="30">
        <v>2</v>
      </c>
      <c r="H4532" s="30">
        <v>850</v>
      </c>
      <c r="I4532" s="30" t="s">
        <v>375</v>
      </c>
      <c r="J4532" s="30" t="s">
        <v>376</v>
      </c>
      <c r="K4532" s="1">
        <f ca="1" t="shared" si="1328"/>
        <v>25</v>
      </c>
      <c r="L4532" s="1">
        <f ca="1" t="shared" si="1329"/>
        <v>50</v>
      </c>
      <c r="M4532" s="68">
        <f ca="1" t="shared" si="1330"/>
        <v>0.333333333333333</v>
      </c>
      <c r="N4532" s="68">
        <f ca="1" t="shared" si="1331"/>
        <v>0.666666666666667</v>
      </c>
      <c r="O4532" s="1">
        <f ca="1" t="shared" si="1332"/>
        <v>50</v>
      </c>
      <c r="P4532" s="1">
        <f ca="1" t="shared" si="1333"/>
        <v>110</v>
      </c>
      <c r="Q4532" s="1">
        <f ca="1">IFERROR(_xlfn.FLOOR.MATH($H4532*M4532/O4532),0)</f>
        <v>5</v>
      </c>
      <c r="R4532" s="1">
        <f ca="1">IFERROR(_xlfn.FLOOR.MATH($H4532*N4532/P4532),0)</f>
        <v>5</v>
      </c>
      <c r="S4532" s="1" t="str">
        <f ca="1" t="shared" si="1334"/>
        <v>pitch</v>
      </c>
      <c r="T4532" s="1" t="str">
        <f ca="1" t="shared" si="1335"/>
        <v>concrete</v>
      </c>
      <c r="U4532" s="4" t="str">
        <f ca="1" t="shared" si="1325"/>
        <v>l_coin;common_equipment_exp;ammunition;pitch;concrete;action_point_middle</v>
      </c>
      <c r="AA4532" s="4" t="str">
        <f ca="1" t="shared" si="1326"/>
        <v>500;400000;200;5;5;2</v>
      </c>
    </row>
    <row r="4533" spans="2:27">
      <c r="B4533" s="1">
        <v>35</v>
      </c>
      <c r="C4533" s="1">
        <f t="shared" si="1327"/>
        <v>85</v>
      </c>
      <c r="D4533" s="30">
        <v>500</v>
      </c>
      <c r="E4533" s="30">
        <v>400000</v>
      </c>
      <c r="F4533" s="30">
        <v>200</v>
      </c>
      <c r="G4533" s="30">
        <v>2</v>
      </c>
      <c r="H4533" s="30">
        <v>900</v>
      </c>
      <c r="I4533" s="30" t="s">
        <v>375</v>
      </c>
      <c r="J4533" s="30" t="s">
        <v>376</v>
      </c>
      <c r="K4533" s="1">
        <f ca="1" t="shared" si="1328"/>
        <v>25</v>
      </c>
      <c r="L4533" s="1">
        <f ca="1" t="shared" si="1329"/>
        <v>50</v>
      </c>
      <c r="M4533" s="68">
        <f ca="1" t="shared" si="1330"/>
        <v>0.333333333333333</v>
      </c>
      <c r="N4533" s="68">
        <f ca="1" t="shared" si="1331"/>
        <v>0.666666666666667</v>
      </c>
      <c r="O4533" s="1">
        <f ca="1" t="shared" si="1332"/>
        <v>50</v>
      </c>
      <c r="P4533" s="1">
        <f ca="1" t="shared" si="1333"/>
        <v>110</v>
      </c>
      <c r="Q4533" s="1">
        <f ca="1">IFERROR(_xlfn.FLOOR.MATH($H4533*M4533/O4533),0)</f>
        <v>6</v>
      </c>
      <c r="R4533" s="1">
        <f ca="1">IFERROR(_xlfn.FLOOR.MATH($H4533*N4533/P4533),0)</f>
        <v>5</v>
      </c>
      <c r="S4533" s="1" t="str">
        <f ca="1" t="shared" si="1334"/>
        <v>pitch</v>
      </c>
      <c r="T4533" s="1" t="str">
        <f ca="1" t="shared" si="1335"/>
        <v>concrete</v>
      </c>
      <c r="U4533" s="4" t="str">
        <f ca="1" t="shared" si="1325"/>
        <v>l_coin;common_equipment_exp;ammunition;pitch;concrete;action_point_middle</v>
      </c>
      <c r="AA4533" s="4" t="str">
        <f ca="1" t="shared" si="1326"/>
        <v>500;400000;200;6;5;2</v>
      </c>
    </row>
    <row r="4534" spans="2:27">
      <c r="B4534" s="1">
        <v>36</v>
      </c>
      <c r="C4534" s="1">
        <f t="shared" si="1327"/>
        <v>120</v>
      </c>
      <c r="D4534" s="30">
        <v>500</v>
      </c>
      <c r="E4534" s="30">
        <v>500000</v>
      </c>
      <c r="F4534" s="30">
        <v>200</v>
      </c>
      <c r="G4534" s="30">
        <v>2</v>
      </c>
      <c r="H4534" s="30">
        <v>950</v>
      </c>
      <c r="I4534" s="30" t="s">
        <v>375</v>
      </c>
      <c r="J4534" s="30" t="s">
        <v>376</v>
      </c>
      <c r="K4534" s="1">
        <f ca="1" t="shared" si="1328"/>
        <v>25</v>
      </c>
      <c r="L4534" s="1">
        <f ca="1" t="shared" si="1329"/>
        <v>50</v>
      </c>
      <c r="M4534" s="68">
        <f ca="1" t="shared" si="1330"/>
        <v>0.333333333333333</v>
      </c>
      <c r="N4534" s="68">
        <f ca="1" t="shared" si="1331"/>
        <v>0.666666666666667</v>
      </c>
      <c r="O4534" s="1">
        <f ca="1" t="shared" si="1332"/>
        <v>50</v>
      </c>
      <c r="P4534" s="1">
        <f ca="1" t="shared" si="1333"/>
        <v>110</v>
      </c>
      <c r="Q4534" s="1">
        <f ca="1">IFERROR(_xlfn.FLOOR.MATH($H4534*M4534/O4534),0)</f>
        <v>6</v>
      </c>
      <c r="R4534" s="1">
        <f ca="1">IFERROR(_xlfn.FLOOR.MATH($H4534*N4534/P4534),0)</f>
        <v>5</v>
      </c>
      <c r="S4534" s="1" t="str">
        <f ca="1" t="shared" si="1334"/>
        <v>pitch</v>
      </c>
      <c r="T4534" s="1" t="str">
        <f ca="1" t="shared" si="1335"/>
        <v>concrete</v>
      </c>
      <c r="U4534" s="4" t="str">
        <f ca="1" t="shared" si="1325"/>
        <v>l_coin;common_equipment_exp;ammunition;pitch;concrete;action_point_middle</v>
      </c>
      <c r="AA4534" s="4" t="str">
        <f ca="1" t="shared" si="1326"/>
        <v>500;500000;200;6;5;2</v>
      </c>
    </row>
    <row r="4535" spans="2:27">
      <c r="B4535" s="1">
        <v>37</v>
      </c>
      <c r="C4535" s="1">
        <f t="shared" si="1327"/>
        <v>123</v>
      </c>
      <c r="D4535" s="30">
        <v>500</v>
      </c>
      <c r="E4535" s="30">
        <v>500000</v>
      </c>
      <c r="F4535" s="30">
        <v>200</v>
      </c>
      <c r="G4535" s="30">
        <v>2</v>
      </c>
      <c r="H4535" s="30">
        <v>1000</v>
      </c>
      <c r="I4535" s="30" t="s">
        <v>375</v>
      </c>
      <c r="J4535" s="30" t="s">
        <v>376</v>
      </c>
      <c r="K4535" s="1">
        <f ca="1" t="shared" si="1328"/>
        <v>25</v>
      </c>
      <c r="L4535" s="1">
        <f ca="1" t="shared" si="1329"/>
        <v>50</v>
      </c>
      <c r="M4535" s="68">
        <f ca="1" t="shared" si="1330"/>
        <v>0.333333333333333</v>
      </c>
      <c r="N4535" s="68">
        <f ca="1" t="shared" si="1331"/>
        <v>0.666666666666667</v>
      </c>
      <c r="O4535" s="1">
        <f ca="1" t="shared" si="1332"/>
        <v>50</v>
      </c>
      <c r="P4535" s="1">
        <f ca="1" t="shared" si="1333"/>
        <v>110</v>
      </c>
      <c r="Q4535" s="1">
        <f ca="1">IFERROR(_xlfn.FLOOR.MATH($H4535*M4535/O4535),0)</f>
        <v>6</v>
      </c>
      <c r="R4535" s="1">
        <f ca="1">IFERROR(_xlfn.FLOOR.MATH($H4535*N4535/P4535),0)</f>
        <v>6</v>
      </c>
      <c r="S4535" s="1" t="str">
        <f ca="1" t="shared" si="1334"/>
        <v>pitch</v>
      </c>
      <c r="T4535" s="1" t="str">
        <f ca="1" t="shared" si="1335"/>
        <v>concrete</v>
      </c>
      <c r="U4535" s="4" t="str">
        <f ca="1" t="shared" si="1325"/>
        <v>l_coin;common_equipment_exp;ammunition;pitch;concrete;action_point_middle</v>
      </c>
      <c r="AA4535" s="4" t="str">
        <f ca="1" t="shared" si="1326"/>
        <v>500;500000;200;6;6;2</v>
      </c>
    </row>
    <row r="4536" spans="2:27">
      <c r="B4536" s="1">
        <v>38</v>
      </c>
      <c r="C4536" s="1">
        <f t="shared" si="1327"/>
        <v>126</v>
      </c>
      <c r="D4536" s="30">
        <v>500</v>
      </c>
      <c r="E4536" s="30">
        <v>500000</v>
      </c>
      <c r="F4536" s="30">
        <v>200</v>
      </c>
      <c r="G4536" s="30">
        <v>2</v>
      </c>
      <c r="H4536" s="30">
        <v>1050</v>
      </c>
      <c r="I4536" s="30" t="s">
        <v>375</v>
      </c>
      <c r="J4536" s="30" t="s">
        <v>376</v>
      </c>
      <c r="K4536" s="1">
        <f ca="1" t="shared" si="1328"/>
        <v>25</v>
      </c>
      <c r="L4536" s="1">
        <f ca="1" t="shared" si="1329"/>
        <v>50</v>
      </c>
      <c r="M4536" s="68">
        <f ca="1" t="shared" si="1330"/>
        <v>0.333333333333333</v>
      </c>
      <c r="N4536" s="68">
        <f ca="1" t="shared" si="1331"/>
        <v>0.666666666666667</v>
      </c>
      <c r="O4536" s="1">
        <f ca="1" t="shared" si="1332"/>
        <v>50</v>
      </c>
      <c r="P4536" s="1">
        <f ca="1" t="shared" si="1333"/>
        <v>110</v>
      </c>
      <c r="Q4536" s="1">
        <f ca="1">IFERROR(_xlfn.FLOOR.MATH($H4536*M4536/O4536),0)</f>
        <v>7</v>
      </c>
      <c r="R4536" s="1">
        <f ca="1">IFERROR(_xlfn.FLOOR.MATH($H4536*N4536/P4536),0)</f>
        <v>6</v>
      </c>
      <c r="S4536" s="1" t="str">
        <f ca="1" t="shared" si="1334"/>
        <v>pitch</v>
      </c>
      <c r="T4536" s="1" t="str">
        <f ca="1" t="shared" si="1335"/>
        <v>concrete</v>
      </c>
      <c r="U4536" s="4" t="str">
        <f ca="1" t="shared" si="1325"/>
        <v>l_coin;common_equipment_exp;ammunition;pitch;concrete;action_point_middle</v>
      </c>
      <c r="AA4536" s="4" t="str">
        <f ca="1" t="shared" si="1326"/>
        <v>500;500000;200;7;6;2</v>
      </c>
    </row>
    <row r="4537" spans="2:27">
      <c r="B4537" s="1">
        <v>39</v>
      </c>
      <c r="C4537" s="1">
        <f t="shared" si="1327"/>
        <v>129</v>
      </c>
      <c r="D4537" s="30">
        <v>500</v>
      </c>
      <c r="E4537" s="30">
        <v>500000</v>
      </c>
      <c r="F4537" s="30">
        <v>200</v>
      </c>
      <c r="G4537" s="30">
        <v>2</v>
      </c>
      <c r="H4537" s="30">
        <v>1100</v>
      </c>
      <c r="I4537" s="30" t="s">
        <v>375</v>
      </c>
      <c r="J4537" s="30" t="s">
        <v>376</v>
      </c>
      <c r="K4537" s="1">
        <f ca="1" t="shared" si="1328"/>
        <v>25</v>
      </c>
      <c r="L4537" s="1">
        <f ca="1" t="shared" si="1329"/>
        <v>50</v>
      </c>
      <c r="M4537" s="68">
        <f ca="1" t="shared" si="1330"/>
        <v>0.333333333333333</v>
      </c>
      <c r="N4537" s="68">
        <f ca="1" t="shared" si="1331"/>
        <v>0.666666666666667</v>
      </c>
      <c r="O4537" s="1">
        <f ca="1" t="shared" si="1332"/>
        <v>50</v>
      </c>
      <c r="P4537" s="1">
        <f ca="1" t="shared" si="1333"/>
        <v>110</v>
      </c>
      <c r="Q4537" s="1">
        <f ca="1">IFERROR(_xlfn.FLOOR.MATH($H4537*M4537/O4537),0)</f>
        <v>7</v>
      </c>
      <c r="R4537" s="1">
        <f ca="1">IFERROR(_xlfn.FLOOR.MATH($H4537*N4537/P4537),0)</f>
        <v>6</v>
      </c>
      <c r="S4537" s="1" t="str">
        <f ca="1" t="shared" si="1334"/>
        <v>pitch</v>
      </c>
      <c r="T4537" s="1" t="str">
        <f ca="1" t="shared" si="1335"/>
        <v>concrete</v>
      </c>
      <c r="U4537" s="4" t="str">
        <f ca="1" t="shared" si="1325"/>
        <v>l_coin;common_equipment_exp;ammunition;pitch;concrete;action_point_middle</v>
      </c>
      <c r="AA4537" s="4" t="str">
        <f ca="1" t="shared" si="1326"/>
        <v>500;500000;200;7;6;2</v>
      </c>
    </row>
    <row r="4538" spans="2:27">
      <c r="B4538" s="1">
        <v>40</v>
      </c>
      <c r="C4538" s="1">
        <f t="shared" si="1327"/>
        <v>133</v>
      </c>
      <c r="D4538" s="30">
        <v>500</v>
      </c>
      <c r="E4538" s="30">
        <v>500000</v>
      </c>
      <c r="F4538" s="30">
        <v>200</v>
      </c>
      <c r="G4538" s="30">
        <v>2</v>
      </c>
      <c r="H4538" s="30">
        <v>1150</v>
      </c>
      <c r="I4538" s="30" t="s">
        <v>375</v>
      </c>
      <c r="J4538" s="30" t="s">
        <v>376</v>
      </c>
      <c r="K4538" s="1">
        <f ca="1" t="shared" si="1328"/>
        <v>25</v>
      </c>
      <c r="L4538" s="1">
        <f ca="1" t="shared" si="1329"/>
        <v>50</v>
      </c>
      <c r="M4538" s="68">
        <f ca="1" t="shared" si="1330"/>
        <v>0.333333333333333</v>
      </c>
      <c r="N4538" s="68">
        <f ca="1" t="shared" si="1331"/>
        <v>0.666666666666667</v>
      </c>
      <c r="O4538" s="1">
        <f ca="1" t="shared" si="1332"/>
        <v>50</v>
      </c>
      <c r="P4538" s="1">
        <f ca="1" t="shared" si="1333"/>
        <v>110</v>
      </c>
      <c r="Q4538" s="1">
        <f ca="1">IFERROR(_xlfn.FLOOR.MATH($H4538*M4538/O4538),0)</f>
        <v>7</v>
      </c>
      <c r="R4538" s="1">
        <f ca="1">IFERROR(_xlfn.FLOOR.MATH($H4538*N4538/P4538),0)</f>
        <v>6</v>
      </c>
      <c r="S4538" s="1" t="str">
        <f ca="1" t="shared" si="1334"/>
        <v>pitch</v>
      </c>
      <c r="T4538" s="1" t="str">
        <f ca="1" t="shared" si="1335"/>
        <v>concrete</v>
      </c>
      <c r="U4538" s="4" t="str">
        <f ca="1" t="shared" si="1325"/>
        <v>l_coin;common_equipment_exp;ammunition;pitch;concrete;action_point_middle</v>
      </c>
      <c r="AA4538" s="4" t="str">
        <f ca="1" t="shared" si="1326"/>
        <v>500;500000;200;7;6;2</v>
      </c>
    </row>
    <row r="4539" spans="2:27">
      <c r="B4539" s="1">
        <v>41</v>
      </c>
      <c r="C4539" s="1">
        <f t="shared" si="1327"/>
        <v>135</v>
      </c>
      <c r="D4539" s="30">
        <v>500</v>
      </c>
      <c r="E4539" s="30">
        <v>500000</v>
      </c>
      <c r="F4539" s="30">
        <v>200</v>
      </c>
      <c r="G4539" s="30">
        <v>2</v>
      </c>
      <c r="H4539" s="30">
        <v>1200</v>
      </c>
      <c r="I4539" s="30" t="s">
        <v>375</v>
      </c>
      <c r="J4539" s="30" t="s">
        <v>376</v>
      </c>
      <c r="K4539" s="1">
        <f ca="1" t="shared" si="1328"/>
        <v>25</v>
      </c>
      <c r="L4539" s="1">
        <f ca="1" t="shared" si="1329"/>
        <v>50</v>
      </c>
      <c r="M4539" s="68">
        <f ca="1" t="shared" si="1330"/>
        <v>0.333333333333333</v>
      </c>
      <c r="N4539" s="68">
        <f ca="1" t="shared" si="1331"/>
        <v>0.666666666666667</v>
      </c>
      <c r="O4539" s="1">
        <f ca="1" t="shared" si="1332"/>
        <v>50</v>
      </c>
      <c r="P4539" s="1">
        <f ca="1" t="shared" si="1333"/>
        <v>110</v>
      </c>
      <c r="Q4539" s="1">
        <f ca="1">IFERROR(_xlfn.FLOOR.MATH($H4539*M4539/O4539),0)</f>
        <v>8</v>
      </c>
      <c r="R4539" s="1">
        <f ca="1">IFERROR(_xlfn.FLOOR.MATH($H4539*N4539/P4539),0)</f>
        <v>7</v>
      </c>
      <c r="S4539" s="1" t="str">
        <f ca="1" t="shared" si="1334"/>
        <v>pitch</v>
      </c>
      <c r="T4539" s="1" t="str">
        <f ca="1" t="shared" si="1335"/>
        <v>concrete</v>
      </c>
      <c r="U4539" s="4" t="str">
        <f ca="1" t="shared" si="1325"/>
        <v>l_coin;common_equipment_exp;ammunition;pitch;concrete;action_point_middle</v>
      </c>
      <c r="AA4539" s="4" t="str">
        <f ca="1" t="shared" si="1326"/>
        <v>500;500000;200;8;7;2</v>
      </c>
    </row>
    <row r="4540" spans="2:27">
      <c r="B4540" s="1">
        <v>42</v>
      </c>
      <c r="C4540" s="1">
        <f t="shared" si="1327"/>
        <v>137</v>
      </c>
      <c r="D4540" s="30">
        <v>500</v>
      </c>
      <c r="E4540" s="30">
        <v>500000</v>
      </c>
      <c r="F4540" s="30">
        <v>200</v>
      </c>
      <c r="G4540" s="30">
        <v>2</v>
      </c>
      <c r="H4540" s="30">
        <v>1250</v>
      </c>
      <c r="I4540" s="30" t="s">
        <v>375</v>
      </c>
      <c r="J4540" s="30" t="s">
        <v>376</v>
      </c>
      <c r="K4540" s="1">
        <f ca="1" t="shared" si="1328"/>
        <v>25</v>
      </c>
      <c r="L4540" s="1">
        <f ca="1" t="shared" si="1329"/>
        <v>50</v>
      </c>
      <c r="M4540" s="68">
        <f ca="1" t="shared" si="1330"/>
        <v>0.333333333333333</v>
      </c>
      <c r="N4540" s="68">
        <f ca="1" t="shared" si="1331"/>
        <v>0.666666666666667</v>
      </c>
      <c r="O4540" s="1">
        <f ca="1" t="shared" si="1332"/>
        <v>50</v>
      </c>
      <c r="P4540" s="1">
        <f ca="1" t="shared" si="1333"/>
        <v>110</v>
      </c>
      <c r="Q4540" s="1">
        <f ca="1">IFERROR(_xlfn.FLOOR.MATH($H4540*M4540/O4540),0)</f>
        <v>8</v>
      </c>
      <c r="R4540" s="1">
        <f ca="1">IFERROR(_xlfn.FLOOR.MATH($H4540*N4540/P4540),0)</f>
        <v>7</v>
      </c>
      <c r="S4540" s="1" t="str">
        <f ca="1" t="shared" si="1334"/>
        <v>pitch</v>
      </c>
      <c r="T4540" s="1" t="str">
        <f ca="1" t="shared" si="1335"/>
        <v>concrete</v>
      </c>
      <c r="U4540" s="4" t="str">
        <f ca="1" t="shared" si="1325"/>
        <v>l_coin;common_equipment_exp;ammunition;pitch;concrete;action_point_middle</v>
      </c>
      <c r="AA4540" s="4" t="str">
        <f ca="1" t="shared" si="1326"/>
        <v>500;500000;200;8;7;2</v>
      </c>
    </row>
    <row r="4541" spans="2:27">
      <c r="B4541" s="1">
        <v>43</v>
      </c>
      <c r="C4541" s="1">
        <f t="shared" si="1327"/>
        <v>139</v>
      </c>
      <c r="D4541" s="30">
        <v>500</v>
      </c>
      <c r="E4541" s="30">
        <v>500000</v>
      </c>
      <c r="F4541" s="30">
        <v>200</v>
      </c>
      <c r="G4541" s="30">
        <v>2</v>
      </c>
      <c r="H4541" s="30">
        <v>1300</v>
      </c>
      <c r="I4541" s="30" t="s">
        <v>375</v>
      </c>
      <c r="J4541" s="30" t="s">
        <v>376</v>
      </c>
      <c r="K4541" s="1">
        <f ca="1" t="shared" si="1328"/>
        <v>25</v>
      </c>
      <c r="L4541" s="1">
        <f ca="1" t="shared" si="1329"/>
        <v>50</v>
      </c>
      <c r="M4541" s="68">
        <f ca="1" t="shared" si="1330"/>
        <v>0.333333333333333</v>
      </c>
      <c r="N4541" s="68">
        <f ca="1" t="shared" si="1331"/>
        <v>0.666666666666667</v>
      </c>
      <c r="O4541" s="1">
        <f ca="1" t="shared" si="1332"/>
        <v>50</v>
      </c>
      <c r="P4541" s="1">
        <f ca="1" t="shared" si="1333"/>
        <v>110</v>
      </c>
      <c r="Q4541" s="1">
        <f ca="1">IFERROR(_xlfn.FLOOR.MATH($H4541*M4541/O4541),0)</f>
        <v>8</v>
      </c>
      <c r="R4541" s="1">
        <f ca="1">IFERROR(_xlfn.FLOOR.MATH($H4541*N4541/P4541),0)</f>
        <v>7</v>
      </c>
      <c r="S4541" s="1" t="str">
        <f ca="1" t="shared" si="1334"/>
        <v>pitch</v>
      </c>
      <c r="T4541" s="1" t="str">
        <f ca="1" t="shared" si="1335"/>
        <v>concrete</v>
      </c>
      <c r="U4541" s="4" t="str">
        <f ca="1" t="shared" si="1325"/>
        <v>l_coin;common_equipment_exp;ammunition;pitch;concrete;action_point_middle</v>
      </c>
      <c r="AA4541" s="4" t="str">
        <f ca="1" t="shared" si="1326"/>
        <v>500;500000;200;8;7;2</v>
      </c>
    </row>
    <row r="4542" spans="2:27">
      <c r="B4542" s="1">
        <v>44</v>
      </c>
      <c r="C4542" s="1">
        <f t="shared" si="1327"/>
        <v>141</v>
      </c>
      <c r="D4542" s="30">
        <v>500</v>
      </c>
      <c r="E4542" s="30">
        <v>500000</v>
      </c>
      <c r="F4542" s="30">
        <v>200</v>
      </c>
      <c r="G4542" s="30">
        <v>2</v>
      </c>
      <c r="H4542" s="30">
        <v>1350</v>
      </c>
      <c r="I4542" s="30" t="s">
        <v>375</v>
      </c>
      <c r="J4542" s="30" t="s">
        <v>376</v>
      </c>
      <c r="K4542" s="1">
        <f ca="1" t="shared" si="1328"/>
        <v>25</v>
      </c>
      <c r="L4542" s="1">
        <f ca="1" t="shared" si="1329"/>
        <v>50</v>
      </c>
      <c r="M4542" s="68">
        <f ca="1" t="shared" si="1330"/>
        <v>0.333333333333333</v>
      </c>
      <c r="N4542" s="68">
        <f ca="1" t="shared" si="1331"/>
        <v>0.666666666666667</v>
      </c>
      <c r="O4542" s="1">
        <f ca="1" t="shared" si="1332"/>
        <v>50</v>
      </c>
      <c r="P4542" s="1">
        <f ca="1" t="shared" si="1333"/>
        <v>110</v>
      </c>
      <c r="Q4542" s="1">
        <f ca="1">IFERROR(_xlfn.FLOOR.MATH($H4542*M4542/O4542),0)</f>
        <v>9</v>
      </c>
      <c r="R4542" s="1">
        <f ca="1">IFERROR(_xlfn.FLOOR.MATH($H4542*N4542/P4542),0)</f>
        <v>8</v>
      </c>
      <c r="S4542" s="1" t="str">
        <f ca="1" t="shared" si="1334"/>
        <v>pitch</v>
      </c>
      <c r="T4542" s="1" t="str">
        <f ca="1" t="shared" si="1335"/>
        <v>concrete</v>
      </c>
      <c r="U4542" s="4" t="str">
        <f ca="1" t="shared" si="1325"/>
        <v>l_coin;common_equipment_exp;ammunition;pitch;concrete;action_point_middle</v>
      </c>
      <c r="AA4542" s="4" t="str">
        <f ca="1" t="shared" si="1326"/>
        <v>500;500000;200;9;8;2</v>
      </c>
    </row>
    <row r="4543" spans="2:27">
      <c r="B4543" s="1">
        <v>45</v>
      </c>
      <c r="C4543" s="1">
        <f t="shared" si="1327"/>
        <v>143</v>
      </c>
      <c r="D4543" s="30">
        <v>500</v>
      </c>
      <c r="E4543" s="30">
        <v>500000</v>
      </c>
      <c r="F4543" s="30">
        <v>200</v>
      </c>
      <c r="G4543" s="30">
        <v>2</v>
      </c>
      <c r="H4543" s="30">
        <v>1400</v>
      </c>
      <c r="I4543" s="30" t="s">
        <v>375</v>
      </c>
      <c r="J4543" s="30" t="s">
        <v>376</v>
      </c>
      <c r="K4543" s="1">
        <f ca="1" t="shared" si="1328"/>
        <v>25</v>
      </c>
      <c r="L4543" s="1">
        <f ca="1" t="shared" si="1329"/>
        <v>50</v>
      </c>
      <c r="M4543" s="68">
        <f ca="1" t="shared" si="1330"/>
        <v>0.333333333333333</v>
      </c>
      <c r="N4543" s="68">
        <f ca="1" t="shared" si="1331"/>
        <v>0.666666666666667</v>
      </c>
      <c r="O4543" s="1">
        <f ca="1" t="shared" si="1332"/>
        <v>50</v>
      </c>
      <c r="P4543" s="1">
        <f ca="1" t="shared" si="1333"/>
        <v>110</v>
      </c>
      <c r="Q4543" s="1">
        <f ca="1">IFERROR(_xlfn.FLOOR.MATH($H4543*M4543/O4543),0)</f>
        <v>9</v>
      </c>
      <c r="R4543" s="1">
        <f ca="1">IFERROR(_xlfn.FLOOR.MATH($H4543*N4543/P4543),0)</f>
        <v>8</v>
      </c>
      <c r="S4543" s="1" t="str">
        <f ca="1" t="shared" si="1334"/>
        <v>pitch</v>
      </c>
      <c r="T4543" s="1" t="str">
        <f ca="1" t="shared" si="1335"/>
        <v>concrete</v>
      </c>
      <c r="U4543" s="4" t="str">
        <f ca="1" t="shared" si="1325"/>
        <v>l_coin;common_equipment_exp;ammunition;pitch;concrete;action_point_middle</v>
      </c>
      <c r="AA4543" s="4" t="str">
        <f ca="1" t="shared" si="1326"/>
        <v>500;500000;200;9;8;2</v>
      </c>
    </row>
    <row r="4544" spans="2:27">
      <c r="B4544" s="1">
        <v>46</v>
      </c>
      <c r="C4544" s="1">
        <f t="shared" si="1327"/>
        <v>147</v>
      </c>
      <c r="D4544" s="30">
        <v>500</v>
      </c>
      <c r="E4544" s="30">
        <v>500000</v>
      </c>
      <c r="F4544" s="30">
        <v>200</v>
      </c>
      <c r="G4544" s="30">
        <v>2</v>
      </c>
      <c r="H4544" s="30">
        <v>1450</v>
      </c>
      <c r="I4544" s="30" t="s">
        <v>375</v>
      </c>
      <c r="J4544" s="30" t="s">
        <v>376</v>
      </c>
      <c r="K4544" s="1">
        <f ca="1" t="shared" si="1328"/>
        <v>25</v>
      </c>
      <c r="L4544" s="1">
        <f ca="1" t="shared" si="1329"/>
        <v>50</v>
      </c>
      <c r="M4544" s="68">
        <f ca="1" t="shared" si="1330"/>
        <v>0.333333333333333</v>
      </c>
      <c r="N4544" s="68">
        <f ca="1" t="shared" si="1331"/>
        <v>0.666666666666667</v>
      </c>
      <c r="O4544" s="1">
        <f ca="1" t="shared" si="1332"/>
        <v>50</v>
      </c>
      <c r="P4544" s="1">
        <f ca="1" t="shared" si="1333"/>
        <v>110</v>
      </c>
      <c r="Q4544" s="1">
        <f ca="1">IFERROR(_xlfn.FLOOR.MATH($H4544*M4544/O4544),0)</f>
        <v>9</v>
      </c>
      <c r="R4544" s="1">
        <f ca="1">IFERROR(_xlfn.FLOOR.MATH($H4544*N4544/P4544),0)</f>
        <v>8</v>
      </c>
      <c r="S4544" s="1" t="str">
        <f ca="1" t="shared" si="1334"/>
        <v>pitch</v>
      </c>
      <c r="T4544" s="1" t="str">
        <f ca="1" t="shared" si="1335"/>
        <v>concrete</v>
      </c>
      <c r="U4544" s="4" t="str">
        <f ca="1" t="shared" si="1325"/>
        <v>l_coin;common_equipment_exp;ammunition;pitch;concrete;action_point_middle</v>
      </c>
      <c r="AA4544" s="4" t="str">
        <f ca="1" t="shared" si="1326"/>
        <v>500;500000;200;9;8;2</v>
      </c>
    </row>
    <row r="4545" spans="2:27">
      <c r="B4545" s="1">
        <v>47</v>
      </c>
      <c r="C4545" s="1">
        <f t="shared" si="1327"/>
        <v>151</v>
      </c>
      <c r="D4545" s="30">
        <v>500</v>
      </c>
      <c r="E4545" s="30">
        <v>500000</v>
      </c>
      <c r="F4545" s="30">
        <v>200</v>
      </c>
      <c r="G4545" s="30">
        <v>2</v>
      </c>
      <c r="H4545" s="30">
        <v>1500</v>
      </c>
      <c r="I4545" s="30" t="s">
        <v>375</v>
      </c>
      <c r="J4545" s="30" t="s">
        <v>376</v>
      </c>
      <c r="K4545" s="1">
        <f ca="1" t="shared" si="1328"/>
        <v>25</v>
      </c>
      <c r="L4545" s="1">
        <f ca="1" t="shared" si="1329"/>
        <v>50</v>
      </c>
      <c r="M4545" s="68">
        <f ca="1" t="shared" si="1330"/>
        <v>0.333333333333333</v>
      </c>
      <c r="N4545" s="68">
        <f ca="1" t="shared" si="1331"/>
        <v>0.666666666666667</v>
      </c>
      <c r="O4545" s="1">
        <f ca="1" t="shared" si="1332"/>
        <v>50</v>
      </c>
      <c r="P4545" s="1">
        <f ca="1" t="shared" si="1333"/>
        <v>110</v>
      </c>
      <c r="Q4545" s="1">
        <f ca="1">IFERROR(_xlfn.FLOOR.MATH($H4545*M4545/O4545),0)</f>
        <v>10</v>
      </c>
      <c r="R4545" s="1">
        <f ca="1">IFERROR(_xlfn.FLOOR.MATH($H4545*N4545/P4545),0)</f>
        <v>9</v>
      </c>
      <c r="S4545" s="1" t="str">
        <f ca="1" t="shared" si="1334"/>
        <v>pitch</v>
      </c>
      <c r="T4545" s="1" t="str">
        <f ca="1" t="shared" si="1335"/>
        <v>concrete</v>
      </c>
      <c r="U4545" s="4" t="str">
        <f ca="1" t="shared" si="1325"/>
        <v>l_coin;common_equipment_exp;ammunition;pitch;concrete;action_point_middle</v>
      </c>
      <c r="AA4545" s="4" t="str">
        <f ca="1" t="shared" si="1326"/>
        <v>500;500000;200;10;9;2</v>
      </c>
    </row>
    <row r="4546" spans="2:27">
      <c r="B4546" s="1">
        <v>48</v>
      </c>
      <c r="C4546" s="1">
        <f t="shared" si="1327"/>
        <v>155</v>
      </c>
      <c r="D4546" s="30">
        <v>500</v>
      </c>
      <c r="E4546" s="30">
        <v>500000</v>
      </c>
      <c r="F4546" s="30">
        <v>200</v>
      </c>
      <c r="G4546" s="30">
        <v>2</v>
      </c>
      <c r="H4546" s="30">
        <v>1550</v>
      </c>
      <c r="I4546" s="30" t="s">
        <v>375</v>
      </c>
      <c r="J4546" s="30" t="s">
        <v>376</v>
      </c>
      <c r="K4546" s="1">
        <f ca="1" t="shared" si="1328"/>
        <v>25</v>
      </c>
      <c r="L4546" s="1">
        <f ca="1" t="shared" si="1329"/>
        <v>50</v>
      </c>
      <c r="M4546" s="68">
        <f ca="1" t="shared" si="1330"/>
        <v>0.333333333333333</v>
      </c>
      <c r="N4546" s="68">
        <f ca="1" t="shared" si="1331"/>
        <v>0.666666666666667</v>
      </c>
      <c r="O4546" s="1">
        <f ca="1" t="shared" si="1332"/>
        <v>50</v>
      </c>
      <c r="P4546" s="1">
        <f ca="1" t="shared" si="1333"/>
        <v>110</v>
      </c>
      <c r="Q4546" s="1">
        <f ca="1">IFERROR(_xlfn.FLOOR.MATH($H4546*M4546/O4546),0)</f>
        <v>10</v>
      </c>
      <c r="R4546" s="1">
        <f ca="1">IFERROR(_xlfn.FLOOR.MATH($H4546*N4546/P4546),0)</f>
        <v>9</v>
      </c>
      <c r="S4546" s="1" t="str">
        <f ca="1" t="shared" si="1334"/>
        <v>pitch</v>
      </c>
      <c r="T4546" s="1" t="str">
        <f ca="1" t="shared" si="1335"/>
        <v>concrete</v>
      </c>
      <c r="U4546" s="4" t="str">
        <f ca="1" t="shared" si="1325"/>
        <v>l_coin;common_equipment_exp;ammunition;pitch;concrete;action_point_middle</v>
      </c>
      <c r="AA4546" s="4" t="str">
        <f ca="1" t="shared" si="1326"/>
        <v>500;500000;200;10;9;2</v>
      </c>
    </row>
    <row r="4547" spans="2:27">
      <c r="B4547" s="1">
        <v>49</v>
      </c>
      <c r="C4547" s="1">
        <f t="shared" si="1327"/>
        <v>159</v>
      </c>
      <c r="D4547" s="30">
        <v>500</v>
      </c>
      <c r="E4547" s="30">
        <v>500000</v>
      </c>
      <c r="F4547" s="30">
        <v>200</v>
      </c>
      <c r="G4547" s="30">
        <v>2</v>
      </c>
      <c r="H4547" s="30">
        <v>1600</v>
      </c>
      <c r="I4547" s="30" t="s">
        <v>375</v>
      </c>
      <c r="J4547" s="30" t="s">
        <v>376</v>
      </c>
      <c r="K4547" s="1">
        <f ca="1" t="shared" si="1328"/>
        <v>25</v>
      </c>
      <c r="L4547" s="1">
        <f ca="1" t="shared" si="1329"/>
        <v>50</v>
      </c>
      <c r="M4547" s="68">
        <f ca="1" t="shared" si="1330"/>
        <v>0.333333333333333</v>
      </c>
      <c r="N4547" s="68">
        <f ca="1" t="shared" si="1331"/>
        <v>0.666666666666667</v>
      </c>
      <c r="O4547" s="1">
        <f ca="1" t="shared" si="1332"/>
        <v>50</v>
      </c>
      <c r="P4547" s="1">
        <f ca="1" t="shared" si="1333"/>
        <v>110</v>
      </c>
      <c r="Q4547" s="1">
        <f ca="1">IFERROR(_xlfn.FLOOR.MATH($H4547*M4547/O4547),0)</f>
        <v>10</v>
      </c>
      <c r="R4547" s="1">
        <f ca="1">IFERROR(_xlfn.FLOOR.MATH($H4547*N4547/P4547),0)</f>
        <v>9</v>
      </c>
      <c r="S4547" s="1" t="str">
        <f ca="1" t="shared" si="1334"/>
        <v>pitch</v>
      </c>
      <c r="T4547" s="1" t="str">
        <f ca="1" t="shared" si="1335"/>
        <v>concrete</v>
      </c>
      <c r="U4547" s="4" t="str">
        <f ca="1" t="shared" si="1325"/>
        <v>l_coin;common_equipment_exp;ammunition;pitch;concrete;action_point_middle</v>
      </c>
      <c r="AA4547" s="4" t="str">
        <f ca="1" t="shared" si="1326"/>
        <v>500;500000;200;10;9;2</v>
      </c>
    </row>
    <row r="4548" ht="13.85" spans="2:27">
      <c r="B4548" s="1">
        <v>50</v>
      </c>
      <c r="C4548" s="1">
        <f t="shared" si="1327"/>
        <v>163</v>
      </c>
      <c r="D4548" s="30">
        <v>500</v>
      </c>
      <c r="E4548" s="30">
        <v>500000</v>
      </c>
      <c r="F4548" s="30">
        <v>200</v>
      </c>
      <c r="G4548" s="30">
        <v>2</v>
      </c>
      <c r="H4548" s="30">
        <v>1650</v>
      </c>
      <c r="I4548" s="30" t="s">
        <v>375</v>
      </c>
      <c r="J4548" s="30" t="s">
        <v>376</v>
      </c>
      <c r="K4548" s="1">
        <f ca="1" t="shared" si="1328"/>
        <v>25</v>
      </c>
      <c r="L4548" s="1">
        <f ca="1" t="shared" si="1329"/>
        <v>50</v>
      </c>
      <c r="M4548" s="68">
        <f ca="1" t="shared" si="1330"/>
        <v>0.333333333333333</v>
      </c>
      <c r="N4548" s="68">
        <f ca="1" t="shared" si="1331"/>
        <v>0.666666666666667</v>
      </c>
      <c r="O4548" s="1">
        <f ca="1" t="shared" si="1332"/>
        <v>50</v>
      </c>
      <c r="P4548" s="1">
        <f ca="1" t="shared" si="1333"/>
        <v>110</v>
      </c>
      <c r="Q4548" s="1">
        <f ca="1">IFERROR(_xlfn.FLOOR.MATH($H4548*M4548/O4548),0)</f>
        <v>11</v>
      </c>
      <c r="R4548" s="1">
        <f ca="1">IFERROR(_xlfn.FLOOR.MATH($H4548*N4548/P4548),0)</f>
        <v>10</v>
      </c>
      <c r="S4548" s="1" t="str">
        <f ca="1" t="shared" si="1334"/>
        <v>pitch</v>
      </c>
      <c r="T4548" s="1" t="str">
        <f ca="1" t="shared" si="1335"/>
        <v>concrete</v>
      </c>
      <c r="U4548" s="4" t="str">
        <f ca="1" t="shared" si="1325"/>
        <v>l_coin;common_equipment_exp;ammunition;pitch;concrete;action_point_middle</v>
      </c>
      <c r="AA4548" s="4" t="str">
        <f ca="1" t="shared" si="1326"/>
        <v>500;500000;200;11;10;2</v>
      </c>
    </row>
    <row r="4549" ht="13.85" spans="3:8">
      <c r="C4549" s="114" t="s">
        <v>534</v>
      </c>
      <c r="D4549" s="115">
        <f t="shared" ref="D4549:F4549" si="1336">SUM(D4499:D4548)</f>
        <v>22450</v>
      </c>
      <c r="E4549" s="115">
        <f t="shared" si="1336"/>
        <v>13040000</v>
      </c>
      <c r="F4549" s="115">
        <f t="shared" si="1336"/>
        <v>8380</v>
      </c>
      <c r="G4549" s="115">
        <f>SUM(G4509:G4515)*50+SUM(G4499:G4508)*20</f>
        <v>900</v>
      </c>
      <c r="H4549" s="119">
        <f>SUM(H4499:H4548)</f>
        <v>30400</v>
      </c>
    </row>
    <row r="4550" spans="4:8">
      <c r="D4550" s="116">
        <f>D4549/总规划!$D$249</f>
        <v>18.7083333333333</v>
      </c>
      <c r="E4550" s="116">
        <f>E4549/1000000*总规划!$G$108</f>
        <v>32.6</v>
      </c>
      <c r="F4550" s="116">
        <f>F4549/1000*总规划!$G$109</f>
        <v>31.425</v>
      </c>
      <c r="G4550" s="116">
        <f>G4549*总规划!$D$280</f>
        <v>11.25</v>
      </c>
      <c r="H4550" s="116">
        <f>H4549/60/24*总规划!$G$106</f>
        <v>32.9861111111111</v>
      </c>
    </row>
    <row r="4553" s="25" customFormat="1" spans="1:5">
      <c r="A4553" s="2" t="s">
        <v>565</v>
      </c>
      <c r="B4553" s="2"/>
      <c r="C4553" s="41" t="s">
        <v>436</v>
      </c>
      <c r="E4553" s="26"/>
    </row>
    <row r="4555" spans="2:12">
      <c r="B4555" s="27" t="s">
        <v>2243</v>
      </c>
      <c r="C4555" s="27"/>
      <c r="D4555" s="27"/>
      <c r="E4555" s="27"/>
      <c r="F4555" s="27"/>
      <c r="G4555" s="27"/>
      <c r="H4555" s="27"/>
      <c r="I4555" s="27"/>
      <c r="J4555" s="27"/>
      <c r="K4555" s="27"/>
      <c r="L4555" s="27"/>
    </row>
    <row r="4557" spans="6:17">
      <c r="F4557" s="1" t="s">
        <v>518</v>
      </c>
      <c r="G4557" s="1" t="s">
        <v>519</v>
      </c>
      <c r="H4557" s="1" t="s">
        <v>520</v>
      </c>
      <c r="I4557" s="1" t="s">
        <v>521</v>
      </c>
      <c r="J4557" s="1" t="s">
        <v>522</v>
      </c>
      <c r="K4557" s="1" t="s">
        <v>523</v>
      </c>
      <c r="L4557" s="1" t="s">
        <v>524</v>
      </c>
      <c r="M4557" s="1" t="s">
        <v>525</v>
      </c>
      <c r="N4557" s="1" t="s">
        <v>526</v>
      </c>
      <c r="O4557" s="1" t="s">
        <v>527</v>
      </c>
      <c r="P4557" s="1" t="s">
        <v>528</v>
      </c>
      <c r="Q4557" s="1" t="s">
        <v>529</v>
      </c>
    </row>
    <row r="4558" ht="13.85" spans="2:17">
      <c r="B4558" s="120"/>
      <c r="C4558" s="120"/>
      <c r="D4558" s="120" t="s">
        <v>540</v>
      </c>
      <c r="E4558" s="120" t="s">
        <v>562</v>
      </c>
      <c r="F4558" s="120" t="s">
        <v>476</v>
      </c>
      <c r="G4558" s="120" t="s">
        <v>478</v>
      </c>
      <c r="H4558" s="120" t="s">
        <v>454</v>
      </c>
      <c r="I4558" s="120" t="s">
        <v>479</v>
      </c>
      <c r="J4558" s="120" t="s">
        <v>379</v>
      </c>
      <c r="K4558" s="120" t="s">
        <v>458</v>
      </c>
      <c r="L4558" s="120" t="s">
        <v>483</v>
      </c>
      <c r="M4558" s="120" t="s">
        <v>484</v>
      </c>
      <c r="N4558" s="120" t="s">
        <v>466</v>
      </c>
      <c r="O4558" s="120" t="s">
        <v>468</v>
      </c>
      <c r="P4558" s="120" t="s">
        <v>470</v>
      </c>
      <c r="Q4558" s="120" t="s">
        <v>472</v>
      </c>
    </row>
    <row r="4559" ht="13.85" spans="2:17">
      <c r="B4559" s="121" t="s">
        <v>534</v>
      </c>
      <c r="C4559" s="120"/>
      <c r="D4559" s="122">
        <v>26140</v>
      </c>
      <c r="E4559" s="122">
        <v>2520</v>
      </c>
      <c r="F4559" s="122">
        <v>16.83</v>
      </c>
      <c r="G4559" s="122">
        <v>6.58333333333333</v>
      </c>
      <c r="H4559" s="122"/>
      <c r="I4559" s="122">
        <v>10.53</v>
      </c>
      <c r="J4559" s="122">
        <v>5.265</v>
      </c>
      <c r="K4559" s="120"/>
      <c r="L4559" s="120"/>
      <c r="M4559" s="120"/>
      <c r="N4559" s="120"/>
      <c r="O4559" s="120"/>
      <c r="P4559" s="120"/>
      <c r="Q4559" s="124"/>
    </row>
    <row r="4560" spans="4:11">
      <c r="D4560" s="116">
        <f>D4559/总规划!$D$249</f>
        <v>21.7833333333333</v>
      </c>
      <c r="E4560" s="116">
        <f>E4559*$E$4735</f>
        <v>31.5</v>
      </c>
      <c r="F4560" s="116">
        <f>F4559*总规划!$G$105</f>
        <v>7.0125</v>
      </c>
      <c r="G4560" s="116">
        <f>G4559*总规划!$G$106</f>
        <v>10.2864583333333</v>
      </c>
      <c r="H4560" s="116"/>
      <c r="I4560" s="116">
        <f>I4559*总规划!$G$108</f>
        <v>26.325</v>
      </c>
      <c r="J4560" s="116">
        <f>J4559*总规划!$G$109</f>
        <v>19.74375</v>
      </c>
      <c r="K4560" s="116"/>
    </row>
    <row r="4563" s="25" customFormat="1" spans="1:3">
      <c r="A4563" s="2" t="s">
        <v>566</v>
      </c>
      <c r="B4563" s="2"/>
      <c r="C4563" s="41" t="s">
        <v>436</v>
      </c>
    </row>
    <row r="4565" spans="2:12">
      <c r="B4565" s="27" t="s">
        <v>2243</v>
      </c>
      <c r="C4565" s="27"/>
      <c r="D4565" s="27"/>
      <c r="E4565" s="27"/>
      <c r="F4565" s="27"/>
      <c r="G4565" s="27"/>
      <c r="H4565" s="27"/>
      <c r="I4565" s="27"/>
      <c r="J4565" s="27"/>
      <c r="K4565" s="27"/>
      <c r="L4565" s="27"/>
    </row>
    <row r="4567" spans="6:17">
      <c r="F4567" s="1" t="s">
        <v>518</v>
      </c>
      <c r="G4567" s="1" t="s">
        <v>519</v>
      </c>
      <c r="H4567" s="1" t="s">
        <v>520</v>
      </c>
      <c r="I4567" s="1" t="s">
        <v>521</v>
      </c>
      <c r="J4567" s="1" t="s">
        <v>522</v>
      </c>
      <c r="K4567" s="1" t="s">
        <v>523</v>
      </c>
      <c r="L4567" s="1" t="s">
        <v>524</v>
      </c>
      <c r="M4567" s="1" t="s">
        <v>525</v>
      </c>
      <c r="N4567" s="1" t="s">
        <v>526</v>
      </c>
      <c r="O4567" s="1" t="s">
        <v>527</v>
      </c>
      <c r="P4567" s="1" t="s">
        <v>528</v>
      </c>
      <c r="Q4567" s="1" t="s">
        <v>529</v>
      </c>
    </row>
    <row r="4568" ht="13.85" spans="4:17">
      <c r="D4568" s="1" t="s">
        <v>540</v>
      </c>
      <c r="E4568" s="1" t="s">
        <v>562</v>
      </c>
      <c r="F4568" s="1" t="s">
        <v>476</v>
      </c>
      <c r="G4568" s="1" t="s">
        <v>478</v>
      </c>
      <c r="H4568" s="1" t="s">
        <v>454</v>
      </c>
      <c r="I4568" s="1" t="s">
        <v>479</v>
      </c>
      <c r="J4568" s="1" t="s">
        <v>379</v>
      </c>
      <c r="K4568" s="1" t="s">
        <v>458</v>
      </c>
      <c r="L4568" s="1" t="s">
        <v>483</v>
      </c>
      <c r="M4568" s="1" t="s">
        <v>484</v>
      </c>
      <c r="N4568" s="1" t="s">
        <v>466</v>
      </c>
      <c r="O4568" s="1" t="s">
        <v>468</v>
      </c>
      <c r="P4568" s="1" t="s">
        <v>470</v>
      </c>
      <c r="Q4568" s="1" t="s">
        <v>472</v>
      </c>
    </row>
    <row r="4569" ht="13.85" spans="2:17">
      <c r="B4569" s="114" t="s">
        <v>534</v>
      </c>
      <c r="C4569" s="115"/>
      <c r="D4569" s="125">
        <v>600</v>
      </c>
      <c r="E4569" s="125">
        <v>5280</v>
      </c>
      <c r="F4569" s="125">
        <v>63.28</v>
      </c>
      <c r="G4569" s="125">
        <v>14.7673611111111</v>
      </c>
      <c r="H4569" s="125">
        <v>24</v>
      </c>
      <c r="I4569" s="125">
        <v>5.04</v>
      </c>
      <c r="J4569" s="125">
        <v>5.1</v>
      </c>
      <c r="K4569" s="125">
        <v>1.04</v>
      </c>
      <c r="L4569" s="115"/>
      <c r="M4569" s="115"/>
      <c r="N4569" s="115"/>
      <c r="O4569" s="125">
        <v>720</v>
      </c>
      <c r="P4569" s="115"/>
      <c r="Q4569" s="119"/>
    </row>
    <row r="4570" spans="4:15">
      <c r="D4570" s="116">
        <f>D4569/总规划!$D$249</f>
        <v>0.5</v>
      </c>
      <c r="E4570" s="116">
        <f>E4569*$E$4735</f>
        <v>66</v>
      </c>
      <c r="F4570" s="116">
        <f>F4569*总规划!$G$105</f>
        <v>26.3666666666667</v>
      </c>
      <c r="G4570" s="116">
        <f>G4569*总规划!$G$106</f>
        <v>23.0740017361111</v>
      </c>
      <c r="H4570" s="116">
        <f>H4569*总规划!$G$107</f>
        <v>12</v>
      </c>
      <c r="I4570" s="116">
        <f>I4569*总规划!$G$108</f>
        <v>12.6</v>
      </c>
      <c r="J4570" s="116">
        <f>J4569*总规划!$G$109</f>
        <v>19.125</v>
      </c>
      <c r="K4570" s="116">
        <f>K4569*总规划!$G$110</f>
        <v>13</v>
      </c>
      <c r="O4570" s="116">
        <f>O4569*总规划!$G$114</f>
        <v>2400</v>
      </c>
    </row>
    <row r="4573" s="25" customFormat="1" spans="1:5">
      <c r="A4573" s="2" t="s">
        <v>567</v>
      </c>
      <c r="B4573" s="2"/>
      <c r="C4573" s="41" t="s">
        <v>436</v>
      </c>
      <c r="E4573" s="41"/>
    </row>
    <row r="4575" spans="2:12">
      <c r="B4575" s="27" t="s">
        <v>2146</v>
      </c>
      <c r="C4575" s="27"/>
      <c r="D4575" s="27"/>
      <c r="E4575" s="27"/>
      <c r="F4575" s="27"/>
      <c r="G4575" s="27"/>
      <c r="H4575" s="27"/>
      <c r="I4575" s="27"/>
      <c r="J4575" s="27"/>
      <c r="K4575" s="27"/>
      <c r="L4575" s="27"/>
    </row>
    <row r="4577" spans="3:4">
      <c r="C4577" s="1" t="s">
        <v>2244</v>
      </c>
      <c r="D4577" s="1" t="s">
        <v>2245</v>
      </c>
    </row>
    <row r="4578" spans="2:4">
      <c r="B4578" s="1" t="s">
        <v>2246</v>
      </c>
      <c r="C4578" s="30">
        <v>18</v>
      </c>
      <c r="D4578" s="30">
        <v>7.9</v>
      </c>
    </row>
    <row r="4579" spans="2:4">
      <c r="B4579" s="1" t="s">
        <v>2247</v>
      </c>
      <c r="C4579" s="30">
        <v>24</v>
      </c>
      <c r="D4579" s="30">
        <v>21.1</v>
      </c>
    </row>
    <row r="4580" ht="13.85" spans="2:4">
      <c r="B4580" s="1" t="s">
        <v>2248</v>
      </c>
      <c r="C4580" s="30">
        <v>46.5</v>
      </c>
      <c r="D4580" s="30">
        <v>30.5</v>
      </c>
    </row>
    <row r="4581" ht="13.85" spans="2:4">
      <c r="B4581" s="114" t="s">
        <v>534</v>
      </c>
      <c r="C4581" s="115">
        <f>SUM(C4578:C4580)</f>
        <v>88.5</v>
      </c>
      <c r="D4581" s="119">
        <f t="shared" ref="D4581" si="1337">SUM(D4578:D4580)</f>
        <v>59.5</v>
      </c>
    </row>
    <row r="4582" spans="3:4">
      <c r="C4582" s="116">
        <f>C4581*总规划!$G$105</f>
        <v>36.875</v>
      </c>
      <c r="D4582" s="116">
        <f>D4581*总规划!$G$106</f>
        <v>92.96875</v>
      </c>
    </row>
    <row r="4583" spans="3:4">
      <c r="C4583" s="116"/>
      <c r="D4583" s="116"/>
    </row>
    <row r="4585" s="25" customFormat="1" spans="1:5">
      <c r="A4585" s="2" t="s">
        <v>568</v>
      </c>
      <c r="B4585" s="2"/>
      <c r="C4585" s="41" t="s">
        <v>436</v>
      </c>
      <c r="E4585" s="41"/>
    </row>
    <row r="4587" spans="2:12">
      <c r="B4587" s="27" t="s">
        <v>2146</v>
      </c>
      <c r="C4587" s="27"/>
      <c r="D4587" s="27"/>
      <c r="E4587" s="27"/>
      <c r="F4587" s="27"/>
      <c r="G4587" s="27"/>
      <c r="H4587" s="27"/>
      <c r="I4587" s="27"/>
      <c r="J4587" s="27"/>
      <c r="K4587" s="27"/>
      <c r="L4587" s="27"/>
    </row>
    <row r="4589" spans="2:7">
      <c r="B4589" s="1" t="s">
        <v>1446</v>
      </c>
      <c r="E4589" s="30">
        <v>26000</v>
      </c>
      <c r="G4589" s="116">
        <f>E4589/总规划!$D$249</f>
        <v>21.6666666666667</v>
      </c>
    </row>
    <row r="4591" spans="2:12">
      <c r="B4591" s="27" t="s">
        <v>842</v>
      </c>
      <c r="C4591" s="27"/>
      <c r="D4591" s="27"/>
      <c r="E4591" s="27"/>
      <c r="F4591" s="27"/>
      <c r="G4591" s="27"/>
      <c r="H4591" s="27"/>
      <c r="I4591" s="27"/>
      <c r="J4591" s="27"/>
      <c r="K4591" s="27"/>
      <c r="L4591" s="27"/>
    </row>
    <row r="4593" spans="2:5">
      <c r="B4593" s="1" t="s">
        <v>2249</v>
      </c>
      <c r="C4593" s="4" t="s">
        <v>357</v>
      </c>
      <c r="D4593" s="4" t="s">
        <v>2250</v>
      </c>
      <c r="E4593" s="1" t="s">
        <v>534</v>
      </c>
    </row>
    <row r="4594" spans="2:5">
      <c r="B4594" s="1">
        <v>1001</v>
      </c>
      <c r="C4594" s="4">
        <v>250</v>
      </c>
      <c r="D4594" s="4">
        <v>20</v>
      </c>
      <c r="E4594" s="1">
        <f>C4594*D4594</f>
        <v>5000</v>
      </c>
    </row>
    <row r="4595" spans="2:5">
      <c r="B4595" s="1">
        <v>1002</v>
      </c>
      <c r="C4595" s="4">
        <v>125</v>
      </c>
      <c r="D4595" s="4">
        <v>40</v>
      </c>
      <c r="E4595" s="1">
        <f t="shared" ref="E4595:E4601" si="1338">C4595*D4595</f>
        <v>5000</v>
      </c>
    </row>
    <row r="4596" spans="2:5">
      <c r="B4596" s="1">
        <v>1003</v>
      </c>
      <c r="C4596" s="4">
        <v>60</v>
      </c>
      <c r="D4596" s="4">
        <v>80</v>
      </c>
      <c r="E4596" s="1">
        <f t="shared" si="1338"/>
        <v>4800</v>
      </c>
    </row>
    <row r="4597" spans="2:5">
      <c r="B4597" s="1">
        <v>1004</v>
      </c>
      <c r="C4597" s="4">
        <v>20</v>
      </c>
      <c r="D4597" s="4">
        <v>200</v>
      </c>
      <c r="E4597" s="1">
        <f t="shared" si="1338"/>
        <v>4000</v>
      </c>
    </row>
    <row r="4598" spans="2:5">
      <c r="B4598" s="1">
        <v>1005</v>
      </c>
      <c r="C4598" s="4">
        <v>40</v>
      </c>
      <c r="D4598" s="4">
        <v>20</v>
      </c>
      <c r="E4598" s="1">
        <f t="shared" si="1338"/>
        <v>800</v>
      </c>
    </row>
    <row r="4599" spans="2:5">
      <c r="B4599" s="1">
        <v>1006</v>
      </c>
      <c r="C4599" s="4">
        <v>50</v>
      </c>
      <c r="D4599" s="4">
        <v>40</v>
      </c>
      <c r="E4599" s="1">
        <f t="shared" si="1338"/>
        <v>2000</v>
      </c>
    </row>
    <row r="4600" spans="2:5">
      <c r="B4600" s="1">
        <v>1007</v>
      </c>
      <c r="C4600" s="4">
        <v>30</v>
      </c>
      <c r="D4600" s="4">
        <v>80</v>
      </c>
      <c r="E4600" s="1">
        <f t="shared" si="1338"/>
        <v>2400</v>
      </c>
    </row>
    <row r="4601" spans="2:5">
      <c r="B4601" s="1">
        <v>1008</v>
      </c>
      <c r="C4601" s="4">
        <v>10</v>
      </c>
      <c r="D4601" s="4">
        <v>200</v>
      </c>
      <c r="E4601" s="1">
        <f t="shared" si="1338"/>
        <v>2000</v>
      </c>
    </row>
    <row r="4602" spans="5:5">
      <c r="E4602" s="1">
        <f>SUM(E4594:E4601)</f>
        <v>26000</v>
      </c>
    </row>
    <row r="4605" s="25" customFormat="1" spans="1:5">
      <c r="A4605" s="2" t="s">
        <v>569</v>
      </c>
      <c r="B4605" s="2"/>
      <c r="C4605" s="41" t="s">
        <v>436</v>
      </c>
      <c r="E4605" s="26" t="s">
        <v>2251</v>
      </c>
    </row>
    <row r="4607" spans="2:12">
      <c r="B4607" s="27" t="s">
        <v>842</v>
      </c>
      <c r="C4607" s="27"/>
      <c r="D4607" s="27"/>
      <c r="E4607" s="27"/>
      <c r="F4607" s="27"/>
      <c r="G4607" s="27"/>
      <c r="H4607" s="27"/>
      <c r="I4607" s="27"/>
      <c r="J4607" s="27"/>
      <c r="K4607" s="27"/>
      <c r="L4607" s="27"/>
    </row>
    <row r="4609" spans="3:7">
      <c r="C4609" s="1" t="s">
        <v>2252</v>
      </c>
      <c r="D4609" s="1" t="s">
        <v>2253</v>
      </c>
      <c r="E4609" s="1" t="s">
        <v>2254</v>
      </c>
      <c r="F4609" s="1" t="s">
        <v>2255</v>
      </c>
      <c r="G4609" s="1" t="s">
        <v>2256</v>
      </c>
    </row>
    <row r="4610" spans="2:7">
      <c r="B4610" s="1" t="s">
        <v>1049</v>
      </c>
      <c r="C4610" s="30">
        <v>100000</v>
      </c>
      <c r="D4610" s="1">
        <f ca="1">SUM('308_挂机首通'!$G$6:$G$465)</f>
        <v>22900000</v>
      </c>
      <c r="E4610" s="116">
        <f ca="1">D4610/1000000*总规划!$G$108</f>
        <v>57.25</v>
      </c>
      <c r="F4610" s="1">
        <f ca="1">$R$936</f>
        <v>2254783000</v>
      </c>
      <c r="G4610" s="58">
        <f ca="1" t="shared" ref="G4610:G4612" si="1339">D4610/F4610</f>
        <v>0.0101561879790649</v>
      </c>
    </row>
    <row r="4611" spans="2:7">
      <c r="B4611" s="1" t="s">
        <v>379</v>
      </c>
      <c r="C4611" s="30">
        <v>100</v>
      </c>
      <c r="D4611" s="1">
        <f ca="1">SUM('308_挂机首通'!$K$6:$K$465)</f>
        <v>17735</v>
      </c>
      <c r="E4611" s="116">
        <f ca="1">D4611/1000*总规划!$G$109</f>
        <v>66.50625</v>
      </c>
      <c r="F4611" s="1">
        <f ca="1">$V$936</f>
        <v>1540840.62857143</v>
      </c>
      <c r="G4611" s="58">
        <f ca="1" t="shared" si="1339"/>
        <v>0.011509950913251</v>
      </c>
    </row>
    <row r="4612" spans="2:7">
      <c r="B4612" s="1" t="s">
        <v>458</v>
      </c>
      <c r="C4612" s="30">
        <v>20</v>
      </c>
      <c r="D4612" s="1">
        <f ca="1">SUM('308_挂机首通'!$O$6:$O$465)</f>
        <v>1770</v>
      </c>
      <c r="E4612" s="116">
        <f ca="1">D4612/1000*总规划!$G$110</f>
        <v>22.125</v>
      </c>
      <c r="F4612" s="1">
        <f ca="1">$O$1232</f>
        <v>387291.869728</v>
      </c>
      <c r="G4612" s="58">
        <f ca="1" t="shared" si="1339"/>
        <v>0.00457019663553251</v>
      </c>
    </row>
    <row r="4614" spans="2:12">
      <c r="B4614" s="27" t="s">
        <v>1315</v>
      </c>
      <c r="C4614" s="27"/>
      <c r="D4614" s="27"/>
      <c r="E4614" s="27"/>
      <c r="F4614" s="27"/>
      <c r="G4614" s="27"/>
      <c r="H4614" s="27"/>
      <c r="I4614" s="27"/>
      <c r="J4614" s="27"/>
      <c r="K4614" s="27"/>
      <c r="L4614" s="27"/>
    </row>
    <row r="4616" spans="2:8">
      <c r="B4616" s="1" t="s">
        <v>1477</v>
      </c>
      <c r="C4616" s="1" t="s">
        <v>1052</v>
      </c>
      <c r="D4616" s="1" t="s">
        <v>809</v>
      </c>
      <c r="E4616" s="1" t="s">
        <v>1053</v>
      </c>
      <c r="F4616" s="1" t="s">
        <v>809</v>
      </c>
      <c r="G4616" s="1" t="s">
        <v>1366</v>
      </c>
      <c r="H4616" s="1" t="s">
        <v>809</v>
      </c>
    </row>
    <row r="4617" spans="2:7">
      <c r="B4617" s="1">
        <v>0</v>
      </c>
      <c r="C4617" s="49">
        <v>0.1</v>
      </c>
      <c r="E4617" s="49">
        <v>0</v>
      </c>
      <c r="G4617" s="49">
        <v>0</v>
      </c>
    </row>
    <row r="4618" spans="2:8">
      <c r="B4618" s="1">
        <v>1</v>
      </c>
      <c r="C4618" s="49">
        <v>0.15</v>
      </c>
      <c r="D4618" s="48">
        <f t="shared" ref="D4618:D4629" si="1340">C4618/C4617</f>
        <v>1.5</v>
      </c>
      <c r="E4618" s="49">
        <v>0.1</v>
      </c>
      <c r="F4618" s="48"/>
      <c r="G4618" s="49">
        <v>0.5</v>
      </c>
      <c r="H4618" s="48"/>
    </row>
    <row r="4619" spans="2:8">
      <c r="B4619" s="1">
        <v>2</v>
      </c>
      <c r="C4619" s="49">
        <v>0.2</v>
      </c>
      <c r="D4619" s="48">
        <f t="shared" si="1340"/>
        <v>1.33333333333333</v>
      </c>
      <c r="E4619" s="49">
        <v>0.1</v>
      </c>
      <c r="F4619" s="48">
        <f t="shared" ref="F4619:F4629" si="1341">E4619/E4618</f>
        <v>1</v>
      </c>
      <c r="G4619" s="49">
        <v>0.5</v>
      </c>
      <c r="H4619" s="48">
        <f t="shared" ref="H4619:H4629" si="1342">G4619/G4618</f>
        <v>1</v>
      </c>
    </row>
    <row r="4620" spans="2:8">
      <c r="B4620" s="1">
        <v>3</v>
      </c>
      <c r="C4620" s="49">
        <v>0.25</v>
      </c>
      <c r="D4620" s="48">
        <f t="shared" si="1340"/>
        <v>1.25</v>
      </c>
      <c r="E4620" s="49">
        <v>0.2</v>
      </c>
      <c r="F4620" s="48">
        <f t="shared" si="1341"/>
        <v>2</v>
      </c>
      <c r="G4620" s="49">
        <v>0.6</v>
      </c>
      <c r="H4620" s="48">
        <f t="shared" si="1342"/>
        <v>1.2</v>
      </c>
    </row>
    <row r="4621" spans="2:8">
      <c r="B4621" s="1">
        <v>4</v>
      </c>
      <c r="C4621" s="49">
        <v>0.3</v>
      </c>
      <c r="D4621" s="48">
        <f t="shared" si="1340"/>
        <v>1.2</v>
      </c>
      <c r="E4621" s="49">
        <v>0.2</v>
      </c>
      <c r="F4621" s="48">
        <f t="shared" si="1341"/>
        <v>1</v>
      </c>
      <c r="G4621" s="49">
        <v>0.6</v>
      </c>
      <c r="H4621" s="48">
        <f t="shared" si="1342"/>
        <v>1</v>
      </c>
    </row>
    <row r="4622" spans="2:8">
      <c r="B4622" s="1">
        <v>5</v>
      </c>
      <c r="C4622" s="49">
        <v>0.35</v>
      </c>
      <c r="D4622" s="48">
        <f t="shared" si="1340"/>
        <v>1.16666666666667</v>
      </c>
      <c r="E4622" s="49">
        <v>0.4</v>
      </c>
      <c r="F4622" s="48">
        <f t="shared" si="1341"/>
        <v>2</v>
      </c>
      <c r="G4622" s="49">
        <v>0.7</v>
      </c>
      <c r="H4622" s="48">
        <f t="shared" si="1342"/>
        <v>1.16666666666667</v>
      </c>
    </row>
    <row r="4623" spans="2:8">
      <c r="B4623" s="1">
        <v>6</v>
      </c>
      <c r="C4623" s="49">
        <v>0.4</v>
      </c>
      <c r="D4623" s="48">
        <f t="shared" si="1340"/>
        <v>1.14285714285714</v>
      </c>
      <c r="E4623" s="49">
        <v>0.4</v>
      </c>
      <c r="F4623" s="48">
        <f t="shared" si="1341"/>
        <v>1</v>
      </c>
      <c r="G4623" s="49">
        <v>0.7</v>
      </c>
      <c r="H4623" s="48">
        <f t="shared" si="1342"/>
        <v>1</v>
      </c>
    </row>
    <row r="4624" spans="2:8">
      <c r="B4624" s="1">
        <v>7</v>
      </c>
      <c r="C4624" s="49">
        <v>0.5</v>
      </c>
      <c r="D4624" s="48">
        <f t="shared" si="1340"/>
        <v>1.25</v>
      </c>
      <c r="E4624" s="49">
        <v>0.6</v>
      </c>
      <c r="F4624" s="48">
        <f t="shared" si="1341"/>
        <v>1.5</v>
      </c>
      <c r="G4624" s="49">
        <v>0.8</v>
      </c>
      <c r="H4624" s="48">
        <f t="shared" si="1342"/>
        <v>1.14285714285714</v>
      </c>
    </row>
    <row r="4625" spans="2:8">
      <c r="B4625" s="1">
        <v>8</v>
      </c>
      <c r="C4625" s="49">
        <v>0.6</v>
      </c>
      <c r="D4625" s="48">
        <f t="shared" si="1340"/>
        <v>1.2</v>
      </c>
      <c r="E4625" s="49">
        <v>0.6</v>
      </c>
      <c r="F4625" s="48">
        <f t="shared" si="1341"/>
        <v>1</v>
      </c>
      <c r="G4625" s="49">
        <v>0.8</v>
      </c>
      <c r="H4625" s="48">
        <f t="shared" si="1342"/>
        <v>1</v>
      </c>
    </row>
    <row r="4626" spans="2:8">
      <c r="B4626" s="1">
        <v>9</v>
      </c>
      <c r="C4626" s="49">
        <v>0.7</v>
      </c>
      <c r="D4626" s="48">
        <f t="shared" si="1340"/>
        <v>1.16666666666667</v>
      </c>
      <c r="E4626" s="49">
        <v>0.8</v>
      </c>
      <c r="F4626" s="48">
        <f t="shared" si="1341"/>
        <v>1.33333333333333</v>
      </c>
      <c r="G4626" s="49">
        <v>0.9</v>
      </c>
      <c r="H4626" s="48">
        <f t="shared" si="1342"/>
        <v>1.125</v>
      </c>
    </row>
    <row r="4627" spans="2:8">
      <c r="B4627" s="1">
        <v>10</v>
      </c>
      <c r="C4627" s="49">
        <v>0.8</v>
      </c>
      <c r="D4627" s="48">
        <f t="shared" si="1340"/>
        <v>1.14285714285714</v>
      </c>
      <c r="E4627" s="49">
        <v>0.8</v>
      </c>
      <c r="F4627" s="48">
        <f t="shared" si="1341"/>
        <v>1</v>
      </c>
      <c r="G4627" s="49">
        <v>0.9</v>
      </c>
      <c r="H4627" s="48">
        <f t="shared" si="1342"/>
        <v>1</v>
      </c>
    </row>
    <row r="4628" spans="2:8">
      <c r="B4628" s="1">
        <v>11</v>
      </c>
      <c r="C4628" s="49">
        <v>0.9</v>
      </c>
      <c r="D4628" s="48">
        <f t="shared" si="1340"/>
        <v>1.125</v>
      </c>
      <c r="E4628" s="49">
        <v>1</v>
      </c>
      <c r="F4628" s="48">
        <f t="shared" si="1341"/>
        <v>1.25</v>
      </c>
      <c r="G4628" s="49">
        <v>1</v>
      </c>
      <c r="H4628" s="48">
        <f t="shared" si="1342"/>
        <v>1.11111111111111</v>
      </c>
    </row>
    <row r="4629" spans="2:8">
      <c r="B4629" s="1">
        <v>12</v>
      </c>
      <c r="C4629" s="49">
        <v>1</v>
      </c>
      <c r="D4629" s="48">
        <f t="shared" si="1340"/>
        <v>1.11111111111111</v>
      </c>
      <c r="E4629" s="49">
        <v>1</v>
      </c>
      <c r="F4629" s="48">
        <f t="shared" si="1341"/>
        <v>1</v>
      </c>
      <c r="G4629" s="49">
        <v>1</v>
      </c>
      <c r="H4629" s="48">
        <f t="shared" si="1342"/>
        <v>1</v>
      </c>
    </row>
    <row r="4632" s="25" customFormat="1" spans="1:5">
      <c r="A4632" s="2" t="s">
        <v>570</v>
      </c>
      <c r="B4632" s="2"/>
      <c r="C4632" s="41" t="s">
        <v>436</v>
      </c>
      <c r="E4632" s="41"/>
    </row>
    <row r="4634" spans="2:12">
      <c r="B4634" s="27" t="s">
        <v>2146</v>
      </c>
      <c r="C4634" s="27"/>
      <c r="D4634" s="27"/>
      <c r="E4634" s="27"/>
      <c r="F4634" s="27"/>
      <c r="G4634" s="27"/>
      <c r="H4634" s="27"/>
      <c r="I4634" s="27"/>
      <c r="J4634" s="27"/>
      <c r="K4634" s="27"/>
      <c r="L4634" s="27"/>
    </row>
    <row r="4636" spans="3:8">
      <c r="C4636" s="30" t="s">
        <v>1785</v>
      </c>
      <c r="D4636" s="30" t="s">
        <v>1866</v>
      </c>
      <c r="E4636" s="30" t="s">
        <v>1632</v>
      </c>
      <c r="F4636" s="30" t="s">
        <v>1634</v>
      </c>
      <c r="G4636" s="30" t="s">
        <v>1636</v>
      </c>
      <c r="H4636" s="30" t="s">
        <v>2093</v>
      </c>
    </row>
    <row r="4637" spans="3:8">
      <c r="C4637" s="1" t="s">
        <v>540</v>
      </c>
      <c r="D4637" s="1" t="s">
        <v>2257</v>
      </c>
      <c r="E4637" s="1" t="s">
        <v>2258</v>
      </c>
      <c r="F4637" s="1" t="s">
        <v>2259</v>
      </c>
      <c r="G4637" s="1" t="s">
        <v>2260</v>
      </c>
      <c r="H4637" s="1" t="s">
        <v>611</v>
      </c>
    </row>
    <row r="4638" spans="2:8">
      <c r="B4638" s="1" t="s">
        <v>2246</v>
      </c>
      <c r="C4638" s="30">
        <v>6500</v>
      </c>
      <c r="D4638" s="30">
        <v>63</v>
      </c>
      <c r="E4638" s="30">
        <v>15</v>
      </c>
      <c r="F4638" s="30">
        <v>15</v>
      </c>
      <c r="G4638" s="30">
        <v>15</v>
      </c>
      <c r="H4638" s="30">
        <v>5</v>
      </c>
    </row>
    <row r="4639" spans="2:8">
      <c r="B4639" s="1" t="s">
        <v>2247</v>
      </c>
      <c r="C4639" s="30">
        <v>11000</v>
      </c>
      <c r="D4639" s="30">
        <v>95</v>
      </c>
      <c r="E4639" s="30">
        <v>25</v>
      </c>
      <c r="F4639" s="30">
        <v>25</v>
      </c>
      <c r="G4639" s="30">
        <v>25</v>
      </c>
      <c r="H4639" s="30">
        <v>5</v>
      </c>
    </row>
    <row r="4640" ht="13.85" spans="2:8">
      <c r="B4640" s="1" t="s">
        <v>2248</v>
      </c>
      <c r="C4640" s="30">
        <v>17500</v>
      </c>
      <c r="D4640" s="30">
        <v>120</v>
      </c>
      <c r="E4640" s="30">
        <v>35</v>
      </c>
      <c r="F4640" s="30">
        <v>35</v>
      </c>
      <c r="G4640" s="30">
        <v>35</v>
      </c>
      <c r="H4640" s="30">
        <v>5</v>
      </c>
    </row>
    <row r="4641" ht="13.85" spans="2:7">
      <c r="B4641" s="114" t="s">
        <v>534</v>
      </c>
      <c r="C4641" s="115">
        <f>SUM(C4638:C4640)</f>
        <v>35000</v>
      </c>
      <c r="D4641" s="115">
        <f t="shared" ref="D4641" si="1343">SUM(D4638:D4640)</f>
        <v>278</v>
      </c>
      <c r="E4641" s="115">
        <f t="shared" ref="E4641:G4641" si="1344">SUM(E4638:E4640)*500000</f>
        <v>37500000</v>
      </c>
      <c r="F4641" s="115">
        <f t="shared" si="1344"/>
        <v>37500000</v>
      </c>
      <c r="G4641" s="119">
        <f t="shared" si="1344"/>
        <v>37500000</v>
      </c>
    </row>
    <row r="4642" spans="3:7">
      <c r="C4642" s="116">
        <f>C4641/总规划!$D$249</f>
        <v>29.1666666666667</v>
      </c>
      <c r="D4642" s="116">
        <f>D4641/24*总规划!$G$106</f>
        <v>18.0989583333333</v>
      </c>
      <c r="E4642" s="116">
        <f>E4641/1000000*总规划!$G$105</f>
        <v>15.625</v>
      </c>
      <c r="F4642" s="116">
        <f>F4641/1000000*总规划!$G$105</f>
        <v>15.625</v>
      </c>
      <c r="G4642" s="116">
        <f>G4641/1000000*总规划!$G$105</f>
        <v>15.625</v>
      </c>
    </row>
    <row r="4645" s="25" customFormat="1" spans="1:5">
      <c r="A4645" s="2" t="s">
        <v>571</v>
      </c>
      <c r="B4645" s="2"/>
      <c r="C4645" s="41" t="s">
        <v>436</v>
      </c>
      <c r="E4645" s="41"/>
    </row>
    <row r="4647" spans="2:12">
      <c r="B4647" s="27" t="s">
        <v>2146</v>
      </c>
      <c r="C4647" s="27"/>
      <c r="D4647" s="27"/>
      <c r="E4647" s="27"/>
      <c r="F4647" s="27"/>
      <c r="G4647" s="27"/>
      <c r="H4647" s="27"/>
      <c r="I4647" s="27"/>
      <c r="J4647" s="27"/>
      <c r="K4647" s="27"/>
      <c r="L4647" s="27"/>
    </row>
    <row r="4649" spans="3:7">
      <c r="C4649" s="30" t="s">
        <v>1785</v>
      </c>
      <c r="D4649" s="30" t="s">
        <v>1555</v>
      </c>
      <c r="E4649" s="30" t="s">
        <v>1866</v>
      </c>
      <c r="F4649" s="30" t="s">
        <v>2181</v>
      </c>
      <c r="G4649" s="30" t="s">
        <v>2093</v>
      </c>
    </row>
    <row r="4650" spans="3:7">
      <c r="C4650" s="1" t="s">
        <v>540</v>
      </c>
      <c r="D4650" s="1" t="s">
        <v>63</v>
      </c>
      <c r="E4650" s="1" t="s">
        <v>2257</v>
      </c>
      <c r="F4650" s="1" t="s">
        <v>612</v>
      </c>
      <c r="G4650" s="1" t="s">
        <v>611</v>
      </c>
    </row>
    <row r="4651" spans="2:7">
      <c r="B4651" s="1" t="s">
        <v>2246</v>
      </c>
      <c r="C4651" s="30">
        <v>11000</v>
      </c>
      <c r="D4651" s="30">
        <v>20</v>
      </c>
      <c r="E4651" s="30">
        <v>150</v>
      </c>
      <c r="F4651" s="30">
        <v>4</v>
      </c>
      <c r="G4651" s="30">
        <v>4</v>
      </c>
    </row>
    <row r="4652" spans="2:7">
      <c r="B4652" s="1" t="s">
        <v>2247</v>
      </c>
      <c r="C4652" s="30">
        <v>17500</v>
      </c>
      <c r="D4652" s="30">
        <v>25</v>
      </c>
      <c r="E4652" s="30">
        <v>180</v>
      </c>
      <c r="F4652" s="30">
        <v>6</v>
      </c>
      <c r="G4652" s="30">
        <v>6</v>
      </c>
    </row>
    <row r="4653" spans="2:7">
      <c r="B4653" s="1" t="s">
        <v>2248</v>
      </c>
      <c r="C4653" s="30">
        <v>25000</v>
      </c>
      <c r="D4653" s="30">
        <v>30</v>
      </c>
      <c r="E4653" s="30">
        <v>200</v>
      </c>
      <c r="F4653" s="30">
        <v>4</v>
      </c>
      <c r="G4653" s="30">
        <v>7</v>
      </c>
    </row>
    <row r="4654" spans="2:5">
      <c r="B4654" s="1" t="s">
        <v>534</v>
      </c>
      <c r="C4654" s="1">
        <f>SUM(C4651:C4653)</f>
        <v>53500</v>
      </c>
      <c r="D4654" s="1">
        <f t="shared" ref="D4654:E4654" si="1345">SUM(D4651:D4653)</f>
        <v>75</v>
      </c>
      <c r="E4654" s="1">
        <f t="shared" si="1345"/>
        <v>530</v>
      </c>
    </row>
    <row r="4655" spans="3:5">
      <c r="C4655" s="116">
        <f>C4654/总规划!$D$249</f>
        <v>44.5833333333333</v>
      </c>
      <c r="D4655" s="116">
        <f>D4654*$H$4821</f>
        <v>47.15625</v>
      </c>
      <c r="E4655" s="116">
        <f>E4654/24*总规划!$G$106</f>
        <v>34.5052083333333</v>
      </c>
    </row>
    <row r="4657" s="25" customFormat="1" spans="1:3">
      <c r="A4657" s="2" t="s">
        <v>572</v>
      </c>
      <c r="C4657" s="41" t="s">
        <v>436</v>
      </c>
    </row>
    <row r="4659" spans="2:12">
      <c r="B4659" s="27" t="s">
        <v>2146</v>
      </c>
      <c r="C4659" s="27"/>
      <c r="D4659" s="27"/>
      <c r="E4659" s="27"/>
      <c r="F4659" s="27"/>
      <c r="G4659" s="27"/>
      <c r="H4659" s="27"/>
      <c r="I4659" s="27"/>
      <c r="J4659" s="27"/>
      <c r="K4659" s="27"/>
      <c r="L4659" s="27"/>
    </row>
    <row r="4660" spans="2:6">
      <c r="B4660" s="29"/>
      <c r="F4660" s="29"/>
    </row>
    <row r="4661" spans="2:31">
      <c r="B4661" s="1" t="s">
        <v>62</v>
      </c>
      <c r="C4661" s="1" t="s">
        <v>1478</v>
      </c>
      <c r="D4661" s="1" t="s">
        <v>2261</v>
      </c>
      <c r="E4661" s="1" t="s">
        <v>2262</v>
      </c>
      <c r="F4661" s="1" t="s">
        <v>1514</v>
      </c>
      <c r="G4661" s="1" t="s">
        <v>540</v>
      </c>
      <c r="H4661" s="1" t="s">
        <v>63</v>
      </c>
      <c r="I4661" s="1" t="s">
        <v>2263</v>
      </c>
      <c r="J4661" s="1" t="s">
        <v>69</v>
      </c>
      <c r="M4661" s="1" t="s">
        <v>69</v>
      </c>
      <c r="O4661" s="1" t="s">
        <v>69</v>
      </c>
      <c r="R4661" s="1" t="s">
        <v>70</v>
      </c>
      <c r="V4661" s="1" t="s">
        <v>70</v>
      </c>
      <c r="X4661" s="1" t="s">
        <v>70</v>
      </c>
      <c r="AA4661" s="1" t="s">
        <v>71</v>
      </c>
      <c r="AC4661" s="1" t="s">
        <v>71</v>
      </c>
      <c r="AE4661" s="1" t="s">
        <v>71</v>
      </c>
    </row>
    <row r="4662" spans="2:32">
      <c r="B4662" s="1">
        <v>1</v>
      </c>
      <c r="C4662" s="1">
        <f ca="1">OFFSET($B$1814,MATCH(B4662,$D$1814:$D$1885,0)-1,0)</f>
        <v>1</v>
      </c>
      <c r="D4662" s="1" t="str">
        <f ca="1">OFFSET(养成规划!$Z$6,MATCH(C4662,养成规划!$S$6:$S$79,0)-1,0)</f>
        <v>无</v>
      </c>
      <c r="E4662" s="1" t="s">
        <v>2264</v>
      </c>
      <c r="F4662" s="1" t="s">
        <v>684</v>
      </c>
      <c r="G4662" s="6"/>
      <c r="H4662" s="6">
        <v>1</v>
      </c>
      <c r="I4662" s="6"/>
      <c r="J4662" s="6"/>
      <c r="K4662" s="6"/>
      <c r="L4662" s="6"/>
      <c r="M4662" s="6"/>
      <c r="N4662" s="6"/>
      <c r="O4662" s="6"/>
      <c r="P4662" s="6"/>
      <c r="Q4662" s="6"/>
      <c r="R4662" s="6"/>
      <c r="S4662" s="6"/>
      <c r="T4662" s="6"/>
      <c r="U4662" s="6"/>
      <c r="V4662" s="6"/>
      <c r="W4662" s="6"/>
      <c r="X4662" s="6"/>
      <c r="Y4662" s="6"/>
      <c r="Z4662" s="6"/>
      <c r="AA4662" s="6"/>
      <c r="AB4662" s="6"/>
      <c r="AC4662" s="6"/>
      <c r="AD4662" s="6"/>
      <c r="AE4662" s="6"/>
      <c r="AF4662" s="6"/>
    </row>
    <row r="4663" spans="2:52">
      <c r="B4663" s="1">
        <v>2</v>
      </c>
      <c r="C4663" s="1">
        <f ca="1" t="shared" ref="C4663:C4676" si="1346">OFFSET($B$1814,MATCH(B4663,$D$1814:$D$1885,0)-1,0)</f>
        <v>1.5</v>
      </c>
      <c r="D4663" s="1" t="str">
        <f ca="1">OFFSET(养成规划!$Z$6,MATCH(C4663,养成规划!$S$6:$S$79,0)-1,0)</f>
        <v>无</v>
      </c>
      <c r="E4663" s="1" t="s">
        <v>2265</v>
      </c>
      <c r="F4663" s="1" t="s">
        <v>2266</v>
      </c>
      <c r="G4663" s="6">
        <v>500</v>
      </c>
      <c r="H4663" s="6"/>
      <c r="I4663" s="6" t="s">
        <v>2267</v>
      </c>
      <c r="J4663" s="6" t="s">
        <v>2268</v>
      </c>
      <c r="K4663" s="6"/>
      <c r="L4663" s="6"/>
      <c r="M4663" s="6" t="s">
        <v>2269</v>
      </c>
      <c r="N4663" s="6"/>
      <c r="O4663" s="6" t="s">
        <v>2270</v>
      </c>
      <c r="P4663" s="6"/>
      <c r="Q4663" s="6"/>
      <c r="R4663" s="6" t="s">
        <v>2271</v>
      </c>
      <c r="S4663" s="6"/>
      <c r="T4663" s="6"/>
      <c r="U4663" s="6"/>
      <c r="V4663" s="6" t="s">
        <v>2272</v>
      </c>
      <c r="W4663" s="6"/>
      <c r="X4663" s="6" t="s">
        <v>2273</v>
      </c>
      <c r="Y4663" s="6"/>
      <c r="Z4663" s="6"/>
      <c r="AA4663" s="6" t="s">
        <v>2274</v>
      </c>
      <c r="AB4663" s="6"/>
      <c r="AC4663" s="6" t="s">
        <v>2275</v>
      </c>
      <c r="AD4663" s="6"/>
      <c r="AE4663" s="6" t="s">
        <v>2276</v>
      </c>
      <c r="AF4663" s="6"/>
      <c r="AZ4663" s="6"/>
    </row>
    <row r="4664" spans="2:52">
      <c r="B4664" s="1">
        <v>3</v>
      </c>
      <c r="C4664" s="1">
        <f ca="1" t="shared" si="1346"/>
        <v>5</v>
      </c>
      <c r="D4664" s="1" t="str">
        <f ca="1">OFFSET(养成规划!$Z$6,MATCH(C4664,养成规划!$S$6:$S$79,0)-1,0)</f>
        <v>无</v>
      </c>
      <c r="E4664" s="1" t="s">
        <v>2277</v>
      </c>
      <c r="F4664" s="1" t="s">
        <v>2278</v>
      </c>
      <c r="G4664" s="6">
        <v>550</v>
      </c>
      <c r="H4664" s="6"/>
      <c r="I4664" s="6"/>
      <c r="J4664" s="6"/>
      <c r="K4664" s="6"/>
      <c r="L4664" s="6"/>
      <c r="M4664" s="6"/>
      <c r="N4664" s="6"/>
      <c r="O4664" s="6"/>
      <c r="P4664" s="6"/>
      <c r="Q4664" s="6"/>
      <c r="R4664" s="6"/>
      <c r="S4664" s="6"/>
      <c r="T4664" s="6"/>
      <c r="U4664" s="6"/>
      <c r="V4664" s="6"/>
      <c r="W4664" s="6"/>
      <c r="X4664" s="6"/>
      <c r="Y4664" s="6"/>
      <c r="Z4664" s="6"/>
      <c r="AA4664" s="6"/>
      <c r="AB4664" s="6"/>
      <c r="AC4664" s="6"/>
      <c r="AD4664" s="6"/>
      <c r="AE4664" s="6"/>
      <c r="AF4664" s="6"/>
      <c r="AZ4664" s="6"/>
    </row>
    <row r="4665" spans="2:52">
      <c r="B4665" s="1">
        <v>4</v>
      </c>
      <c r="C4665" s="1">
        <f ca="1" t="shared" si="1346"/>
        <v>7</v>
      </c>
      <c r="D4665" s="1" t="str">
        <f ca="1">OFFSET(养成规划!$Z$6,MATCH(C4665,养成规划!$S$6:$S$79,0)-1,0)</f>
        <v>铜</v>
      </c>
      <c r="E4665" s="1" t="s">
        <v>2279</v>
      </c>
      <c r="F4665" s="5" t="s">
        <v>2266</v>
      </c>
      <c r="G4665" s="6">
        <v>800</v>
      </c>
      <c r="H4665" s="6">
        <v>4</v>
      </c>
      <c r="I4665" s="6" t="s">
        <v>2280</v>
      </c>
      <c r="J4665" s="6" t="s">
        <v>2281</v>
      </c>
      <c r="K4665" s="6"/>
      <c r="L4665" s="6"/>
      <c r="M4665" s="6" t="s">
        <v>2282</v>
      </c>
      <c r="N4665" s="6"/>
      <c r="O4665" s="6" t="s">
        <v>2283</v>
      </c>
      <c r="P4665" s="6"/>
      <c r="Q4665" s="6"/>
      <c r="R4665" s="6" t="s">
        <v>2284</v>
      </c>
      <c r="S4665" s="6"/>
      <c r="T4665" s="6"/>
      <c r="U4665" s="6"/>
      <c r="V4665" s="6" t="s">
        <v>2285</v>
      </c>
      <c r="W4665" s="6"/>
      <c r="X4665" s="6" t="s">
        <v>2286</v>
      </c>
      <c r="Y4665" s="6"/>
      <c r="Z4665" s="6"/>
      <c r="AA4665" s="6" t="s">
        <v>2287</v>
      </c>
      <c r="AB4665" s="6"/>
      <c r="AC4665" s="6" t="s">
        <v>2288</v>
      </c>
      <c r="AD4665" s="6"/>
      <c r="AE4665" s="6" t="s">
        <v>2289</v>
      </c>
      <c r="AF4665" s="6"/>
      <c r="AZ4665" s="6"/>
    </row>
    <row r="4666" spans="2:52">
      <c r="B4666" s="1">
        <v>5</v>
      </c>
      <c r="C4666" s="1">
        <f ca="1" t="shared" si="1346"/>
        <v>14</v>
      </c>
      <c r="D4666" s="1" t="str">
        <f ca="1">OFFSET(养成规划!$Z$6,MATCH(C4666,养成规划!$S$6:$S$79,0)-1,0)</f>
        <v>铜</v>
      </c>
      <c r="E4666" s="1" t="s">
        <v>2290</v>
      </c>
      <c r="F4666" s="1" t="s">
        <v>2278</v>
      </c>
      <c r="G4666" s="6">
        <v>850</v>
      </c>
      <c r="H4666" s="6"/>
      <c r="I4666" s="6"/>
      <c r="J4666" s="6"/>
      <c r="K4666" s="6"/>
      <c r="L4666" s="6"/>
      <c r="M4666" s="6"/>
      <c r="N4666" s="6"/>
      <c r="O4666" s="6"/>
      <c r="P4666" s="6"/>
      <c r="Q4666" s="6"/>
      <c r="R4666" s="6"/>
      <c r="S4666" s="6"/>
      <c r="T4666" s="6"/>
      <c r="U4666" s="6"/>
      <c r="V4666" s="6"/>
      <c r="W4666" s="6"/>
      <c r="X4666" s="6"/>
      <c r="Y4666" s="6"/>
      <c r="Z4666" s="6"/>
      <c r="AA4666" s="6"/>
      <c r="AB4666" s="6"/>
      <c r="AC4666" s="6"/>
      <c r="AD4666" s="6"/>
      <c r="AE4666" s="6"/>
      <c r="AF4666" s="6"/>
      <c r="AZ4666" s="6"/>
    </row>
    <row r="4667" spans="2:52">
      <c r="B4667" s="1">
        <v>6</v>
      </c>
      <c r="C4667" s="1">
        <f ca="1" t="shared" si="1346"/>
        <v>19</v>
      </c>
      <c r="D4667" s="1" t="str">
        <f ca="1">OFFSET(养成规划!$Z$6,MATCH(C4667,养成规划!$S$6:$S$79,0)-1,0)</f>
        <v>铜</v>
      </c>
      <c r="E4667" s="1" t="s">
        <v>2291</v>
      </c>
      <c r="F4667" s="1" t="s">
        <v>2278</v>
      </c>
      <c r="G4667" s="6">
        <v>900</v>
      </c>
      <c r="H4667" s="6"/>
      <c r="I4667" s="6"/>
      <c r="J4667" s="6"/>
      <c r="K4667" s="6"/>
      <c r="L4667" s="6"/>
      <c r="M4667" s="6"/>
      <c r="N4667" s="6"/>
      <c r="O4667" s="6"/>
      <c r="P4667" s="6"/>
      <c r="Q4667" s="6"/>
      <c r="R4667" s="6"/>
      <c r="S4667" s="6"/>
      <c r="T4667" s="6"/>
      <c r="U4667" s="6"/>
      <c r="V4667" s="6"/>
      <c r="W4667" s="6"/>
      <c r="X4667" s="6"/>
      <c r="Y4667" s="6"/>
      <c r="Z4667" s="6"/>
      <c r="AA4667" s="6"/>
      <c r="AB4667" s="6"/>
      <c r="AC4667" s="6"/>
      <c r="AD4667" s="6"/>
      <c r="AE4667" s="6"/>
      <c r="AF4667" s="6"/>
      <c r="AZ4667" s="6"/>
    </row>
    <row r="4668" spans="2:52">
      <c r="B4668" s="1">
        <v>7</v>
      </c>
      <c r="C4668" s="1">
        <f ca="1" t="shared" si="1346"/>
        <v>28</v>
      </c>
      <c r="D4668" s="1" t="str">
        <f ca="1">OFFSET(养成规划!$Z$6,MATCH(C4668,养成规划!$S$6:$S$79,0)-1,0)</f>
        <v>银</v>
      </c>
      <c r="E4668" s="1" t="s">
        <v>2292</v>
      </c>
      <c r="F4668" s="5" t="s">
        <v>2266</v>
      </c>
      <c r="G4668" s="6">
        <v>1200</v>
      </c>
      <c r="H4668" s="6">
        <v>7</v>
      </c>
      <c r="I4668" s="6" t="s">
        <v>2293</v>
      </c>
      <c r="J4668" s="6" t="s">
        <v>2294</v>
      </c>
      <c r="K4668" s="6"/>
      <c r="L4668" s="6"/>
      <c r="M4668" s="6" t="s">
        <v>2295</v>
      </c>
      <c r="N4668" s="6"/>
      <c r="O4668" s="6" t="s">
        <v>2296</v>
      </c>
      <c r="P4668" s="6"/>
      <c r="Q4668" s="6"/>
      <c r="R4668" s="6" t="s">
        <v>2297</v>
      </c>
      <c r="S4668" s="6"/>
      <c r="T4668" s="6"/>
      <c r="U4668" s="6"/>
      <c r="V4668" s="6" t="s">
        <v>2298</v>
      </c>
      <c r="W4668" s="6"/>
      <c r="X4668" s="6" t="s">
        <v>2299</v>
      </c>
      <c r="Y4668" s="6"/>
      <c r="Z4668" s="6"/>
      <c r="AA4668" s="6" t="s">
        <v>2300</v>
      </c>
      <c r="AB4668" s="6"/>
      <c r="AC4668" s="6" t="s">
        <v>2301</v>
      </c>
      <c r="AD4668" s="6"/>
      <c r="AE4668" s="6" t="s">
        <v>2302</v>
      </c>
      <c r="AF4668" s="6"/>
      <c r="AZ4668" s="6"/>
    </row>
    <row r="4669" spans="2:52">
      <c r="B4669" s="1">
        <v>8</v>
      </c>
      <c r="C4669" s="1">
        <f ca="1" t="shared" si="1346"/>
        <v>40</v>
      </c>
      <c r="D4669" s="1" t="str">
        <f ca="1">OFFSET(养成规划!$Z$6,MATCH(C4669,养成规划!$S$6:$S$79,0)-1,0)</f>
        <v>银</v>
      </c>
      <c r="E4669" s="1" t="s">
        <v>2303</v>
      </c>
      <c r="F4669" s="1" t="s">
        <v>2278</v>
      </c>
      <c r="G4669" s="6">
        <v>1250</v>
      </c>
      <c r="H4669" s="6"/>
      <c r="I4669" s="6"/>
      <c r="J4669" s="6"/>
      <c r="K4669" s="6"/>
      <c r="L4669" s="6"/>
      <c r="M4669" s="6"/>
      <c r="N4669" s="6"/>
      <c r="O4669" s="6"/>
      <c r="P4669" s="6"/>
      <c r="Q4669" s="6"/>
      <c r="R4669" s="6"/>
      <c r="S4669" s="6"/>
      <c r="T4669" s="6"/>
      <c r="U4669" s="6"/>
      <c r="V4669" s="6"/>
      <c r="W4669" s="6"/>
      <c r="X4669" s="6"/>
      <c r="Y4669" s="6"/>
      <c r="Z4669" s="6"/>
      <c r="AA4669" s="6"/>
      <c r="AB4669" s="6"/>
      <c r="AC4669" s="6"/>
      <c r="AD4669" s="6"/>
      <c r="AE4669" s="6"/>
      <c r="AF4669" s="6"/>
      <c r="AZ4669" s="6"/>
    </row>
    <row r="4670" spans="2:52">
      <c r="B4670" s="1">
        <v>9</v>
      </c>
      <c r="C4670" s="1">
        <f ca="1" t="shared" si="1346"/>
        <v>50</v>
      </c>
      <c r="D4670" s="1" t="str">
        <f ca="1">OFFSET(养成规划!$Z$6,MATCH(C4670,养成规划!$S$6:$S$79,0)-1,0)</f>
        <v>银+</v>
      </c>
      <c r="E4670" s="1" t="s">
        <v>2304</v>
      </c>
      <c r="F4670" s="1" t="s">
        <v>2278</v>
      </c>
      <c r="G4670" s="6">
        <v>1300</v>
      </c>
      <c r="H4670" s="6"/>
      <c r="I4670" s="6"/>
      <c r="J4670" s="6"/>
      <c r="K4670" s="6"/>
      <c r="L4670" s="6"/>
      <c r="M4670" s="6"/>
      <c r="N4670" s="6"/>
      <c r="O4670" s="6"/>
      <c r="P4670" s="6"/>
      <c r="Q4670" s="6"/>
      <c r="R4670" s="6"/>
      <c r="S4670" s="6"/>
      <c r="T4670" s="6"/>
      <c r="U4670" s="6"/>
      <c r="V4670" s="6"/>
      <c r="W4670" s="6"/>
      <c r="X4670" s="6"/>
      <c r="Y4670" s="6"/>
      <c r="Z4670" s="6"/>
      <c r="AA4670" s="6"/>
      <c r="AB4670" s="6"/>
      <c r="AC4670" s="6"/>
      <c r="AD4670" s="6"/>
      <c r="AE4670" s="6"/>
      <c r="AF4670" s="6"/>
      <c r="AZ4670" s="6"/>
    </row>
    <row r="4671" spans="2:52">
      <c r="B4671" s="1">
        <v>10</v>
      </c>
      <c r="C4671" s="1">
        <f ca="1" t="shared" si="1346"/>
        <v>65</v>
      </c>
      <c r="D4671" s="1" t="str">
        <f ca="1">OFFSET(养成规划!$Z$6,MATCH(C4671,养成规划!$S$6:$S$79,0)-1,0)</f>
        <v>银+</v>
      </c>
      <c r="E4671" s="1" t="s">
        <v>2305</v>
      </c>
      <c r="F4671" s="1" t="s">
        <v>2278</v>
      </c>
      <c r="G4671" s="6">
        <v>1350</v>
      </c>
      <c r="H4671" s="6"/>
      <c r="I4671" s="6"/>
      <c r="J4671" s="6"/>
      <c r="K4671" s="6"/>
      <c r="L4671" s="6"/>
      <c r="M4671" s="6"/>
      <c r="N4671" s="6"/>
      <c r="O4671" s="6"/>
      <c r="P4671" s="6"/>
      <c r="Q4671" s="6"/>
      <c r="R4671" s="6"/>
      <c r="S4671" s="6"/>
      <c r="T4671" s="6"/>
      <c r="U4671" s="6"/>
      <c r="V4671" s="6"/>
      <c r="W4671" s="6"/>
      <c r="X4671" s="6"/>
      <c r="Y4671" s="6"/>
      <c r="Z4671" s="6"/>
      <c r="AA4671" s="6"/>
      <c r="AB4671" s="6"/>
      <c r="AC4671" s="6"/>
      <c r="AD4671" s="6"/>
      <c r="AE4671" s="6"/>
      <c r="AF4671" s="6"/>
      <c r="AZ4671" s="6"/>
    </row>
    <row r="4672" spans="2:52">
      <c r="B4672" s="1">
        <v>11</v>
      </c>
      <c r="C4672" s="1">
        <f ca="1" t="shared" si="1346"/>
        <v>95</v>
      </c>
      <c r="D4672" s="1" t="str">
        <f ca="1">OFFSET(养成规划!$Z$6,MATCH(C4672,养成规划!$S$6:$S$79,0)-1,0)</f>
        <v>银+</v>
      </c>
      <c r="E4672" s="1" t="s">
        <v>2306</v>
      </c>
      <c r="F4672" s="5" t="s">
        <v>2266</v>
      </c>
      <c r="G4672" s="6">
        <v>1800</v>
      </c>
      <c r="H4672" s="6">
        <v>14</v>
      </c>
      <c r="I4672" s="6" t="s">
        <v>2307</v>
      </c>
      <c r="J4672" s="6" t="s">
        <v>2308</v>
      </c>
      <c r="K4672" s="6"/>
      <c r="L4672" s="6"/>
      <c r="M4672" s="6" t="s">
        <v>2309</v>
      </c>
      <c r="N4672" s="6"/>
      <c r="O4672" s="6" t="s">
        <v>2310</v>
      </c>
      <c r="P4672" s="6"/>
      <c r="Q4672" s="6"/>
      <c r="R4672" s="6" t="s">
        <v>2311</v>
      </c>
      <c r="S4672" s="6"/>
      <c r="T4672" s="6"/>
      <c r="U4672" s="6"/>
      <c r="V4672" s="6" t="s">
        <v>2312</v>
      </c>
      <c r="W4672" s="6"/>
      <c r="X4672" s="6" t="s">
        <v>2313</v>
      </c>
      <c r="Y4672" s="6"/>
      <c r="Z4672" s="6"/>
      <c r="AA4672" s="6" t="s">
        <v>2314</v>
      </c>
      <c r="AB4672" s="6"/>
      <c r="AC4672" s="6" t="s">
        <v>2315</v>
      </c>
      <c r="AD4672" s="6"/>
      <c r="AE4672" s="6" t="s">
        <v>2316</v>
      </c>
      <c r="AF4672" s="6"/>
      <c r="AZ4672" s="6"/>
    </row>
    <row r="4673" spans="2:52">
      <c r="B4673" s="1">
        <v>12</v>
      </c>
      <c r="C4673" s="1">
        <f ca="1" t="shared" si="1346"/>
        <v>120</v>
      </c>
      <c r="D4673" s="1" t="str">
        <f ca="1">OFFSET(养成规划!$Z$6,MATCH(C4673,养成规划!$S$6:$S$79,0)-1,0)</f>
        <v>金</v>
      </c>
      <c r="E4673" s="1" t="s">
        <v>2317</v>
      </c>
      <c r="F4673" s="1" t="s">
        <v>2278</v>
      </c>
      <c r="G4673" s="6">
        <v>1850</v>
      </c>
      <c r="H4673" s="6"/>
      <c r="I4673" s="6"/>
      <c r="J4673" s="6"/>
      <c r="K4673" s="6"/>
      <c r="L4673" s="6"/>
      <c r="M4673" s="6"/>
      <c r="N4673" s="6"/>
      <c r="O4673" s="6"/>
      <c r="P4673" s="6"/>
      <c r="Q4673" s="6"/>
      <c r="R4673" s="6"/>
      <c r="S4673" s="6"/>
      <c r="T4673" s="6"/>
      <c r="U4673" s="6"/>
      <c r="V4673" s="6"/>
      <c r="W4673" s="6"/>
      <c r="X4673" s="6"/>
      <c r="Y4673" s="6"/>
      <c r="Z4673" s="6"/>
      <c r="AA4673" s="6"/>
      <c r="AB4673" s="6"/>
      <c r="AC4673" s="6"/>
      <c r="AD4673" s="6"/>
      <c r="AE4673" s="6"/>
      <c r="AF4673" s="6"/>
      <c r="AZ4673" s="6"/>
    </row>
    <row r="4674" spans="2:52">
      <c r="B4674" s="1">
        <v>13</v>
      </c>
      <c r="C4674" s="1">
        <f ca="1" t="shared" si="1346"/>
        <v>150</v>
      </c>
      <c r="D4674" s="1" t="str">
        <f ca="1">OFFSET(养成规划!$Z$6,MATCH(C4674,养成规划!$S$6:$S$79,0)-1,0)</f>
        <v>金</v>
      </c>
      <c r="E4674" s="1" t="s">
        <v>2318</v>
      </c>
      <c r="F4674" s="1" t="s">
        <v>2278</v>
      </c>
      <c r="G4674" s="6">
        <v>1900</v>
      </c>
      <c r="H4674" s="6"/>
      <c r="I4674" s="6"/>
      <c r="J4674" s="6"/>
      <c r="K4674" s="6"/>
      <c r="L4674" s="6"/>
      <c r="M4674" s="6"/>
      <c r="N4674" s="6"/>
      <c r="O4674" s="6"/>
      <c r="P4674" s="6"/>
      <c r="Q4674" s="6"/>
      <c r="R4674" s="6"/>
      <c r="S4674" s="6"/>
      <c r="T4674" s="6"/>
      <c r="U4674" s="6"/>
      <c r="V4674" s="6"/>
      <c r="W4674" s="6"/>
      <c r="X4674" s="6"/>
      <c r="Y4674" s="6"/>
      <c r="Z4674" s="6"/>
      <c r="AA4674" s="6"/>
      <c r="AB4674" s="6"/>
      <c r="AC4674" s="6"/>
      <c r="AD4674" s="6"/>
      <c r="AE4674" s="6"/>
      <c r="AF4674" s="6"/>
      <c r="AZ4674" s="6"/>
    </row>
    <row r="4675" spans="2:52">
      <c r="B4675" s="1">
        <v>14</v>
      </c>
      <c r="C4675" s="1">
        <f ca="1" t="shared" si="1346"/>
        <v>180</v>
      </c>
      <c r="D4675" s="1" t="str">
        <f ca="1">OFFSET(养成规划!$Z$6,MATCH(C4675,养成规划!$S$6:$S$79,0)-1,0)</f>
        <v>金</v>
      </c>
      <c r="E4675" s="1" t="s">
        <v>2319</v>
      </c>
      <c r="F4675" s="1" t="s">
        <v>2278</v>
      </c>
      <c r="G4675" s="6">
        <v>1950</v>
      </c>
      <c r="H4675" s="6"/>
      <c r="I4675" s="6"/>
      <c r="J4675" s="6"/>
      <c r="K4675" s="6"/>
      <c r="L4675" s="6"/>
      <c r="M4675" s="6"/>
      <c r="N4675" s="6"/>
      <c r="O4675" s="6"/>
      <c r="P4675" s="6"/>
      <c r="Q4675" s="6"/>
      <c r="R4675" s="6"/>
      <c r="S4675" s="6"/>
      <c r="T4675" s="6"/>
      <c r="U4675" s="6"/>
      <c r="V4675" s="6"/>
      <c r="W4675" s="6"/>
      <c r="X4675" s="6"/>
      <c r="Y4675" s="6"/>
      <c r="Z4675" s="6"/>
      <c r="AA4675" s="6"/>
      <c r="AB4675" s="6"/>
      <c r="AC4675" s="6"/>
      <c r="AD4675" s="6"/>
      <c r="AE4675" s="6"/>
      <c r="AF4675" s="6"/>
      <c r="AZ4675" s="6"/>
    </row>
    <row r="4676" spans="2:52">
      <c r="B4676" s="1">
        <v>15</v>
      </c>
      <c r="C4676" s="1">
        <f ca="1" t="shared" si="1346"/>
        <v>240</v>
      </c>
      <c r="D4676" s="1" t="str">
        <f ca="1">OFFSET(养成规划!$Z$6,MATCH(C4676,养成规划!$S$6:$S$79,0)-1,0)</f>
        <v>金+</v>
      </c>
      <c r="E4676" s="1" t="s">
        <v>2320</v>
      </c>
      <c r="F4676" s="5" t="s">
        <v>2266</v>
      </c>
      <c r="G4676" s="6">
        <v>2000</v>
      </c>
      <c r="H4676" s="6">
        <v>20</v>
      </c>
      <c r="I4676" s="6" t="s">
        <v>2321</v>
      </c>
      <c r="J4676" s="6" t="s">
        <v>2322</v>
      </c>
      <c r="K4676" s="6"/>
      <c r="L4676" s="6"/>
      <c r="M4676" s="6" t="s">
        <v>2323</v>
      </c>
      <c r="N4676" s="6"/>
      <c r="O4676" s="6" t="s">
        <v>2324</v>
      </c>
      <c r="P4676" s="6"/>
      <c r="Q4676" s="6"/>
      <c r="R4676" s="6" t="s">
        <v>2325</v>
      </c>
      <c r="S4676" s="6"/>
      <c r="T4676" s="6"/>
      <c r="U4676" s="6"/>
      <c r="V4676" s="6" t="s">
        <v>2326</v>
      </c>
      <c r="W4676" s="6"/>
      <c r="X4676" s="6" t="s">
        <v>2327</v>
      </c>
      <c r="Y4676" s="6"/>
      <c r="Z4676" s="6"/>
      <c r="AA4676" s="6" t="s">
        <v>2328</v>
      </c>
      <c r="AB4676" s="6"/>
      <c r="AC4676" s="6" t="s">
        <v>2329</v>
      </c>
      <c r="AD4676" s="6"/>
      <c r="AE4676" s="6" t="s">
        <v>2330</v>
      </c>
      <c r="AF4676" s="6"/>
      <c r="AZ4676" s="6"/>
    </row>
    <row r="4681" s="25" customFormat="1" spans="1:5">
      <c r="A4681" s="2" t="s">
        <v>705</v>
      </c>
      <c r="B4681" s="2"/>
      <c r="C4681" s="41" t="s">
        <v>436</v>
      </c>
      <c r="E4681" s="41"/>
    </row>
    <row r="4683" spans="2:12">
      <c r="B4683" s="27" t="s">
        <v>2331</v>
      </c>
      <c r="C4683" s="27"/>
      <c r="D4683" s="27"/>
      <c r="E4683" s="27"/>
      <c r="F4683" s="27"/>
      <c r="G4683" s="27"/>
      <c r="H4683" s="27"/>
      <c r="I4683" s="27"/>
      <c r="J4683" s="27"/>
      <c r="K4683" s="27"/>
      <c r="L4683" s="27"/>
    </row>
    <row r="4685" spans="2:10">
      <c r="B4685" s="1" t="s">
        <v>353</v>
      </c>
      <c r="C4685" s="1" t="s">
        <v>2332</v>
      </c>
      <c r="D4685" s="1" t="s">
        <v>2333</v>
      </c>
      <c r="E4685" s="1" t="s">
        <v>356</v>
      </c>
      <c r="F4685" s="1" t="s">
        <v>357</v>
      </c>
      <c r="G4685" s="1" t="s">
        <v>63</v>
      </c>
      <c r="H4685" s="1" t="s">
        <v>358</v>
      </c>
      <c r="I4685" s="1" t="s">
        <v>2334</v>
      </c>
      <c r="J4685" s="1" t="s">
        <v>2335</v>
      </c>
    </row>
    <row r="4686" spans="2:10">
      <c r="B4686" s="1">
        <v>4</v>
      </c>
      <c r="C4686" s="1">
        <v>16</v>
      </c>
      <c r="D4686" s="113"/>
      <c r="E4686" s="113"/>
      <c r="F4686" s="113"/>
      <c r="G4686" s="113"/>
      <c r="H4686" s="113"/>
      <c r="I4686" s="24"/>
      <c r="J4686" s="24"/>
    </row>
    <row r="4687" spans="2:18">
      <c r="B4687" s="1">
        <v>4.1</v>
      </c>
      <c r="C4687" s="1">
        <v>16</v>
      </c>
      <c r="D4687" s="113">
        <f t="shared" ref="D4687:D4694" si="1347">O1795*$H$1791</f>
        <v>40000</v>
      </c>
      <c r="E4687" s="113"/>
      <c r="F4687" s="113"/>
      <c r="G4687" s="113">
        <v>2</v>
      </c>
      <c r="H4687" s="113"/>
      <c r="I4687" s="24">
        <f ca="1">IFERROR($D$4698/$D$4697*#REF!,0)+IFERROR(HLOOKUP(E4687,$E$4696:$F$4698,3,0)/HLOOKUP(E4687,$E$4696:$F$4698,2,0)*F4687,0)+SUM(G4687:H4687)*$H$4821</f>
        <v>1.2575</v>
      </c>
      <c r="J4687" s="24">
        <f ca="1" t="shared" ref="J4687:J4694" si="1348">I4687*C4687</f>
        <v>20.12</v>
      </c>
      <c r="R4687" s="129"/>
    </row>
    <row r="4688" spans="2:10">
      <c r="B4688" s="1">
        <v>5</v>
      </c>
      <c r="C4688" s="1">
        <v>18</v>
      </c>
      <c r="D4688" s="113">
        <f t="shared" si="1347"/>
        <v>80000</v>
      </c>
      <c r="E4688" s="113" t="s">
        <v>2336</v>
      </c>
      <c r="F4688" s="113">
        <v>1</v>
      </c>
      <c r="G4688" s="113">
        <v>2</v>
      </c>
      <c r="H4688" s="113"/>
      <c r="I4688" s="24">
        <f ca="1">IFERROR($D$4698/$D$4697*#REF!,0)+IFERROR(HLOOKUP(E4688,$E$4696:$F$4698,3,0)/HLOOKUP(E4688,$E$4696:$F$4698,2,0)*F4688,0)+SUM(G4688:H4688)*$H$4821</f>
        <v>2.17</v>
      </c>
      <c r="J4688" s="24">
        <f ca="1" t="shared" si="1348"/>
        <v>39.06</v>
      </c>
    </row>
    <row r="4689" spans="2:10">
      <c r="B4689" s="1">
        <v>5.1</v>
      </c>
      <c r="C4689" s="1">
        <v>18</v>
      </c>
      <c r="D4689" s="113">
        <f t="shared" si="1347"/>
        <v>120000</v>
      </c>
      <c r="E4689" s="113" t="s">
        <v>2336</v>
      </c>
      <c r="F4689" s="113">
        <v>1</v>
      </c>
      <c r="G4689" s="113">
        <v>3</v>
      </c>
      <c r="H4689" s="113"/>
      <c r="I4689" s="24">
        <f ca="1">IFERROR($D$4698/$D$4697*#REF!,0)+IFERROR(HLOOKUP(E4689,$E$4696:$F$4698,3,0)/HLOOKUP(E4689,$E$4696:$F$4698,2,0)*F4689,0)+SUM(G4689:H4689)*$H$4821</f>
        <v>2.79875</v>
      </c>
      <c r="J4689" s="24">
        <f ca="1" t="shared" si="1348"/>
        <v>50.3775</v>
      </c>
    </row>
    <row r="4690" spans="2:10">
      <c r="B4690" s="1">
        <v>6</v>
      </c>
      <c r="C4690" s="1">
        <v>18</v>
      </c>
      <c r="D4690" s="113">
        <f t="shared" si="1347"/>
        <v>200000</v>
      </c>
      <c r="E4690" s="113" t="s">
        <v>2336</v>
      </c>
      <c r="F4690" s="113">
        <v>1</v>
      </c>
      <c r="G4690" s="113"/>
      <c r="H4690" s="113">
        <v>3</v>
      </c>
      <c r="I4690" s="24">
        <f ca="1">IFERROR($D$4698/$D$4697*#REF!,0)+IFERROR(HLOOKUP(E4690,$E$4696:$F$4698,3,0)/HLOOKUP(E4690,$E$4696:$F$4698,2,0)*F4690,0)+SUM(G4690:H4690)*$H$4821</f>
        <v>2.79875</v>
      </c>
      <c r="J4690" s="24">
        <f ca="1" t="shared" si="1348"/>
        <v>50.3775</v>
      </c>
    </row>
    <row r="4691" spans="2:10">
      <c r="B4691" s="1">
        <v>6.1</v>
      </c>
      <c r="C4691" s="1">
        <v>18</v>
      </c>
      <c r="D4691" s="113">
        <f t="shared" si="1347"/>
        <v>320000</v>
      </c>
      <c r="E4691" s="113" t="s">
        <v>2336</v>
      </c>
      <c r="F4691" s="113">
        <v>1</v>
      </c>
      <c r="G4691" s="113"/>
      <c r="H4691" s="113">
        <v>3</v>
      </c>
      <c r="I4691" s="24">
        <f ca="1">IFERROR($D$4698/$D$4697*#REF!,0)+IFERROR(HLOOKUP(E4691,$E$4696:$F$4698,3,0)/HLOOKUP(E4691,$E$4696:$F$4698,2,0)*F4691,0)+SUM(G4691:H4691)*$H$4821</f>
        <v>2.79875</v>
      </c>
      <c r="J4691" s="24">
        <f ca="1" t="shared" si="1348"/>
        <v>50.3775</v>
      </c>
    </row>
    <row r="4692" spans="2:10">
      <c r="B4692" s="1">
        <v>7</v>
      </c>
      <c r="C4692" s="1">
        <v>18</v>
      </c>
      <c r="D4692" s="113">
        <f t="shared" si="1347"/>
        <v>600000</v>
      </c>
      <c r="E4692" s="113" t="s">
        <v>2337</v>
      </c>
      <c r="F4692" s="113">
        <v>1</v>
      </c>
      <c r="G4692" s="113"/>
      <c r="H4692" s="113">
        <v>4</v>
      </c>
      <c r="I4692" s="24">
        <f ca="1">IFERROR($D$4698/$D$4697*#REF!,0)+IFERROR(HLOOKUP(E4692,$E$4696:$F$4698,3,0)/HLOOKUP(E4692,$E$4696:$F$4698,2,0)*F4692,0)+SUM(G4692:H4692)*$H$4821</f>
        <v>17.265</v>
      </c>
      <c r="J4692" s="24">
        <f ca="1" t="shared" si="1348"/>
        <v>310.77</v>
      </c>
    </row>
    <row r="4693" spans="2:10">
      <c r="B4693" s="1">
        <v>7.1</v>
      </c>
      <c r="C4693" s="1">
        <v>18</v>
      </c>
      <c r="D4693" s="113">
        <f t="shared" si="1347"/>
        <v>1200000</v>
      </c>
      <c r="E4693" s="113" t="s">
        <v>2337</v>
      </c>
      <c r="F4693" s="113">
        <v>1</v>
      </c>
      <c r="G4693" s="113"/>
      <c r="H4693" s="113">
        <v>5</v>
      </c>
      <c r="I4693" s="24">
        <f ca="1">IFERROR($D$4698/$D$4697*#REF!,0)+IFERROR(HLOOKUP(E4693,$E$4696:$F$4698,3,0)/HLOOKUP(E4693,$E$4696:$F$4698,2,0)*F4693,0)+SUM(G4693:H4693)*$H$4821</f>
        <v>17.89375</v>
      </c>
      <c r="J4693" s="24">
        <f ca="1" t="shared" si="1348"/>
        <v>322.0875</v>
      </c>
    </row>
    <row r="4694" spans="2:10">
      <c r="B4694" s="1">
        <v>7.2</v>
      </c>
      <c r="C4694" s="1">
        <v>18</v>
      </c>
      <c r="D4694" s="113">
        <f t="shared" si="1347"/>
        <v>4000000</v>
      </c>
      <c r="E4694" s="113" t="s">
        <v>2337</v>
      </c>
      <c r="F4694" s="113">
        <v>1</v>
      </c>
      <c r="G4694" s="113"/>
      <c r="H4694" s="113">
        <v>6</v>
      </c>
      <c r="I4694" s="24">
        <f ca="1">IFERROR($D$4698/$D$4697*#REF!,0)+IFERROR(HLOOKUP(E4694,$E$4696:$F$4698,3,0)/HLOOKUP(E4694,$E$4696:$F$4698,2,0)*F4694,0)+SUM(G4694:H4694)*$H$4821</f>
        <v>18.5225</v>
      </c>
      <c r="J4694" s="24">
        <f ca="1" t="shared" si="1348"/>
        <v>333.405</v>
      </c>
    </row>
    <row r="4696" ht="13.85" spans="5:8">
      <c r="E4696" s="1" t="s">
        <v>2336</v>
      </c>
      <c r="F4696" s="1" t="s">
        <v>2337</v>
      </c>
      <c r="G4696" s="1" t="s">
        <v>63</v>
      </c>
      <c r="H4696" s="1" t="s">
        <v>358</v>
      </c>
    </row>
    <row r="4697" ht="13.85" spans="2:8">
      <c r="B4697" s="126" t="s">
        <v>534</v>
      </c>
      <c r="C4697" s="127"/>
      <c r="D4697" s="127"/>
      <c r="E4697" s="127">
        <f>SUMPRODUCT($C$4686:$C$4694*($E$4686:$E$4694="银随机宝箱"),$F$4686:$F$4694)</f>
        <v>72</v>
      </c>
      <c r="F4697" s="127">
        <f>SUMPRODUCT($C$4686:$C$4694*($E$4686:$E$4694="金随机宝箱"),$F$4686:$F$4694)</f>
        <v>54</v>
      </c>
      <c r="G4697" s="127">
        <f>SUMPRODUCT($C$4686:$C$4694,$G$4686:$G$4694)</f>
        <v>122</v>
      </c>
      <c r="H4697" s="128">
        <f>SUMPRODUCT($C$4686:$C$4694,$H$4686:$H$4694)</f>
        <v>378</v>
      </c>
    </row>
    <row r="4698" spans="4:12">
      <c r="D4698" s="116"/>
      <c r="E4698" s="116">
        <f ca="1">E4697*$E$1549</f>
        <v>65.7</v>
      </c>
      <c r="F4698" s="116">
        <f ca="1">F4697*$K$1549</f>
        <v>796.5</v>
      </c>
      <c r="G4698" s="116">
        <f>G4697*$H$4821</f>
        <v>76.7075</v>
      </c>
      <c r="H4698" s="116">
        <f>H4697*$H$4821</f>
        <v>237.6675</v>
      </c>
      <c r="I4698" s="116">
        <f ca="1">SUM(D4698:H4698)</f>
        <v>1176.575</v>
      </c>
      <c r="J4698" s="116"/>
      <c r="K4698" s="116"/>
      <c r="L4698" s="116"/>
    </row>
    <row r="4700" s="25" customFormat="1" spans="1:3">
      <c r="A4700" s="2" t="s">
        <v>2338</v>
      </c>
      <c r="C4700" s="41" t="s">
        <v>436</v>
      </c>
    </row>
    <row r="4702" spans="2:12">
      <c r="B4702" s="27" t="s">
        <v>842</v>
      </c>
      <c r="C4702" s="27"/>
      <c r="D4702" s="27"/>
      <c r="E4702" s="27"/>
      <c r="F4702" s="27"/>
      <c r="G4702" s="27"/>
      <c r="H4702" s="27"/>
      <c r="I4702" s="27"/>
      <c r="J4702" s="27"/>
      <c r="K4702" s="27"/>
      <c r="L4702" s="27"/>
    </row>
    <row r="4711" s="25" customFormat="1" spans="1:3">
      <c r="A4711" s="2" t="s">
        <v>562</v>
      </c>
      <c r="B4711" s="2"/>
      <c r="C4711" s="41" t="s">
        <v>436</v>
      </c>
    </row>
    <row r="4713" spans="2:12">
      <c r="B4713" s="27" t="s">
        <v>1102</v>
      </c>
      <c r="C4713" s="27"/>
      <c r="D4713" s="27"/>
      <c r="E4713" s="27"/>
      <c r="F4713" s="27"/>
      <c r="G4713" s="27"/>
      <c r="H4713" s="27"/>
      <c r="I4713" s="27"/>
      <c r="J4713" s="27"/>
      <c r="K4713" s="27"/>
      <c r="L4713" s="27"/>
    </row>
    <row r="4715" spans="2:5">
      <c r="B4715" s="1" t="s">
        <v>2339</v>
      </c>
      <c r="E4715" s="6">
        <v>150</v>
      </c>
    </row>
    <row r="4716" spans="2:5">
      <c r="B4716" s="1" t="s">
        <v>2340</v>
      </c>
      <c r="E4716" s="6">
        <v>720</v>
      </c>
    </row>
    <row r="4718" spans="2:5">
      <c r="B4718" s="1" t="s">
        <v>2341</v>
      </c>
      <c r="E4718" s="1">
        <f>E4715*E4716/3600</f>
        <v>30</v>
      </c>
    </row>
    <row r="4719" spans="2:5">
      <c r="B4719" s="1" t="s">
        <v>2342</v>
      </c>
      <c r="E4719" s="1">
        <f>24*3600/E4716</f>
        <v>120</v>
      </c>
    </row>
    <row r="4721" spans="2:5">
      <c r="B4721" s="1" t="s">
        <v>2343</v>
      </c>
      <c r="E4721" s="30">
        <v>300</v>
      </c>
    </row>
    <row r="4723" spans="2:12">
      <c r="B4723" s="27" t="s">
        <v>842</v>
      </c>
      <c r="C4723" s="27"/>
      <c r="D4723" s="27"/>
      <c r="E4723" s="27"/>
      <c r="F4723" s="27"/>
      <c r="G4723" s="27"/>
      <c r="H4723" s="27"/>
      <c r="I4723" s="27"/>
      <c r="J4723" s="27"/>
      <c r="K4723" s="27"/>
      <c r="L4723" s="27"/>
    </row>
    <row r="4725" spans="2:5">
      <c r="B4725" s="1" t="s">
        <v>2344</v>
      </c>
      <c r="E4725" s="30">
        <v>100</v>
      </c>
    </row>
    <row r="4726" spans="2:5">
      <c r="B4726" s="1" t="s">
        <v>2345</v>
      </c>
      <c r="E4726" s="30">
        <v>20</v>
      </c>
    </row>
    <row r="4727" spans="2:5">
      <c r="B4727" s="1" t="s">
        <v>2346</v>
      </c>
      <c r="E4727" s="30">
        <v>0</v>
      </c>
    </row>
    <row r="4728" spans="2:5">
      <c r="B4728" s="1" t="s">
        <v>2347</v>
      </c>
      <c r="E4728" s="30">
        <f>INT(AG3811*20/7)</f>
        <v>57</v>
      </c>
    </row>
    <row r="4729" spans="2:5">
      <c r="B4729" s="1" t="s">
        <v>2348</v>
      </c>
      <c r="E4729" s="30"/>
    </row>
    <row r="4731" spans="2:5">
      <c r="B4731" s="1" t="s">
        <v>2349</v>
      </c>
      <c r="E4731" s="5">
        <f>E4719+SUM($E$4725:$E$4729)</f>
        <v>297</v>
      </c>
    </row>
    <row r="4733" spans="2:12">
      <c r="B4733" s="27" t="s">
        <v>765</v>
      </c>
      <c r="C4733" s="27"/>
      <c r="D4733" s="27"/>
      <c r="E4733" s="27"/>
      <c r="F4733" s="27"/>
      <c r="G4733" s="27"/>
      <c r="H4733" s="27"/>
      <c r="I4733" s="27"/>
      <c r="J4733" s="27"/>
      <c r="K4733" s="27"/>
      <c r="L4733" s="27"/>
    </row>
    <row r="4735" spans="2:8">
      <c r="B4735" s="1" t="s">
        <v>2350</v>
      </c>
      <c r="E4735" s="24">
        <f>$E$2358/60/24*总规划!$G$106</f>
        <v>0.0125</v>
      </c>
      <c r="H4735" s="24"/>
    </row>
    <row r="4736" spans="2:5">
      <c r="B4736" s="1" t="s">
        <v>2351</v>
      </c>
      <c r="E4736" s="24">
        <f>E4735*20</f>
        <v>0.25</v>
      </c>
    </row>
    <row r="4738" spans="2:12">
      <c r="B4738" s="27" t="s">
        <v>2352</v>
      </c>
      <c r="C4738" s="27"/>
      <c r="D4738" s="27"/>
      <c r="E4738" s="27"/>
      <c r="F4738" s="27"/>
      <c r="G4738" s="27"/>
      <c r="H4738" s="27"/>
      <c r="I4738" s="27"/>
      <c r="J4738" s="27"/>
      <c r="K4738" s="27"/>
      <c r="L4738" s="27"/>
    </row>
    <row r="4740" spans="2:5">
      <c r="B4740" s="1" t="s">
        <v>382</v>
      </c>
      <c r="C4740" s="1" t="s">
        <v>2353</v>
      </c>
      <c r="D4740" s="1" t="s">
        <v>2354</v>
      </c>
      <c r="E4740" s="1" t="s">
        <v>2355</v>
      </c>
    </row>
    <row r="4741" spans="2:5">
      <c r="B4741" s="7">
        <v>0</v>
      </c>
      <c r="C4741" s="13">
        <f ca="1" t="shared" ref="C4741:C4772" si="1349">K2031</f>
        <v>0</v>
      </c>
      <c r="D4741" s="13">
        <f ca="1" t="shared" ref="D4741:D4772" si="1350">SUM(C4741)</f>
        <v>0</v>
      </c>
      <c r="E4741" s="1">
        <f ca="1" t="shared" ref="E4741:E4772" si="1351">D4741*$E$4719</f>
        <v>0</v>
      </c>
    </row>
    <row r="4742" spans="2:5">
      <c r="B4742" s="7">
        <v>0.1</v>
      </c>
      <c r="C4742" s="13">
        <f ca="1" t="shared" si="1349"/>
        <v>0</v>
      </c>
      <c r="D4742" s="13">
        <f ca="1" t="shared" si="1350"/>
        <v>0</v>
      </c>
      <c r="E4742" s="1">
        <f ca="1" t="shared" si="1351"/>
        <v>0</v>
      </c>
    </row>
    <row r="4743" spans="2:5">
      <c r="B4743" s="7">
        <v>0.2</v>
      </c>
      <c r="C4743" s="13">
        <f ca="1" t="shared" si="1349"/>
        <v>0</v>
      </c>
      <c r="D4743" s="13">
        <f ca="1" t="shared" si="1350"/>
        <v>0</v>
      </c>
      <c r="E4743" s="1">
        <f ca="1" t="shared" si="1351"/>
        <v>0</v>
      </c>
    </row>
    <row r="4744" spans="2:5">
      <c r="B4744" s="7">
        <v>0.3</v>
      </c>
      <c r="C4744" s="13">
        <f ca="1" t="shared" si="1349"/>
        <v>0</v>
      </c>
      <c r="D4744" s="13">
        <f ca="1" t="shared" si="1350"/>
        <v>0</v>
      </c>
      <c r="E4744" s="1">
        <f ca="1" t="shared" si="1351"/>
        <v>0</v>
      </c>
    </row>
    <row r="4745" spans="2:5">
      <c r="B4745" s="7">
        <v>0.4</v>
      </c>
      <c r="C4745" s="13">
        <f ca="1" t="shared" si="1349"/>
        <v>0</v>
      </c>
      <c r="D4745" s="13">
        <f ca="1" t="shared" si="1350"/>
        <v>0</v>
      </c>
      <c r="E4745" s="1">
        <f ca="1" t="shared" si="1351"/>
        <v>0</v>
      </c>
    </row>
    <row r="4746" spans="2:5">
      <c r="B4746" s="7">
        <v>0.5</v>
      </c>
      <c r="C4746" s="13">
        <f ca="1" t="shared" si="1349"/>
        <v>0</v>
      </c>
      <c r="D4746" s="13">
        <f ca="1" t="shared" si="1350"/>
        <v>0</v>
      </c>
      <c r="E4746" s="1">
        <f ca="1" t="shared" si="1351"/>
        <v>0</v>
      </c>
    </row>
    <row r="4747" spans="2:5">
      <c r="B4747" s="7">
        <v>0.6</v>
      </c>
      <c r="C4747" s="13">
        <f ca="1" t="shared" si="1349"/>
        <v>0</v>
      </c>
      <c r="D4747" s="13">
        <f ca="1" t="shared" si="1350"/>
        <v>0</v>
      </c>
      <c r="E4747" s="1">
        <f ca="1" t="shared" si="1351"/>
        <v>0</v>
      </c>
    </row>
    <row r="4748" spans="2:5">
      <c r="B4748" s="7">
        <v>0.7</v>
      </c>
      <c r="C4748" s="13">
        <f ca="1" t="shared" si="1349"/>
        <v>0</v>
      </c>
      <c r="D4748" s="13">
        <f ca="1" t="shared" si="1350"/>
        <v>0</v>
      </c>
      <c r="E4748" s="1">
        <f ca="1" t="shared" si="1351"/>
        <v>0</v>
      </c>
    </row>
    <row r="4749" spans="2:5">
      <c r="B4749" s="7">
        <v>0.8</v>
      </c>
      <c r="C4749" s="13">
        <f ca="1" t="shared" si="1349"/>
        <v>0</v>
      </c>
      <c r="D4749" s="13">
        <f ca="1" t="shared" si="1350"/>
        <v>0</v>
      </c>
      <c r="E4749" s="1">
        <f ca="1" t="shared" si="1351"/>
        <v>0</v>
      </c>
    </row>
    <row r="4750" spans="2:5">
      <c r="B4750" s="7">
        <v>0.9</v>
      </c>
      <c r="C4750" s="13">
        <f ca="1" t="shared" si="1349"/>
        <v>0</v>
      </c>
      <c r="D4750" s="13">
        <f ca="1" t="shared" si="1350"/>
        <v>0</v>
      </c>
      <c r="E4750" s="1">
        <f ca="1" t="shared" si="1351"/>
        <v>0</v>
      </c>
    </row>
    <row r="4751" spans="2:5">
      <c r="B4751" s="7">
        <v>1</v>
      </c>
      <c r="C4751" s="13">
        <f ca="1" t="shared" si="1349"/>
        <v>0</v>
      </c>
      <c r="D4751" s="13">
        <f ca="1" t="shared" si="1350"/>
        <v>0</v>
      </c>
      <c r="E4751" s="1">
        <f ca="1" t="shared" si="1351"/>
        <v>0</v>
      </c>
    </row>
    <row r="4752" spans="2:5">
      <c r="B4752" s="9">
        <v>1.5</v>
      </c>
      <c r="C4752" s="13">
        <f ca="1" t="shared" si="1349"/>
        <v>0</v>
      </c>
      <c r="D4752" s="13">
        <f ca="1" t="shared" si="1350"/>
        <v>0</v>
      </c>
      <c r="E4752" s="1">
        <f ca="1" t="shared" si="1351"/>
        <v>0</v>
      </c>
    </row>
    <row r="4753" spans="2:5">
      <c r="B4753" s="9">
        <v>2</v>
      </c>
      <c r="C4753" s="13">
        <f ca="1" t="shared" si="1349"/>
        <v>0.05</v>
      </c>
      <c r="D4753" s="13">
        <f ca="1" t="shared" si="1350"/>
        <v>0.05</v>
      </c>
      <c r="E4753" s="1">
        <f ca="1" t="shared" si="1351"/>
        <v>6</v>
      </c>
    </row>
    <row r="4754" spans="2:5">
      <c r="B4754" s="9">
        <v>2.5</v>
      </c>
      <c r="C4754" s="13">
        <f ca="1" t="shared" si="1349"/>
        <v>0.05</v>
      </c>
      <c r="D4754" s="13">
        <f ca="1" t="shared" si="1350"/>
        <v>0.05</v>
      </c>
      <c r="E4754" s="1">
        <f ca="1" t="shared" si="1351"/>
        <v>6</v>
      </c>
    </row>
    <row r="4755" spans="2:5">
      <c r="B4755" s="9">
        <v>3</v>
      </c>
      <c r="C4755" s="13">
        <f ca="1" t="shared" si="1349"/>
        <v>0.05</v>
      </c>
      <c r="D4755" s="13">
        <f ca="1" t="shared" si="1350"/>
        <v>0.05</v>
      </c>
      <c r="E4755" s="1">
        <f ca="1" t="shared" si="1351"/>
        <v>6</v>
      </c>
    </row>
    <row r="4756" spans="2:5">
      <c r="B4756" s="9">
        <v>3.5</v>
      </c>
      <c r="C4756" s="13">
        <f ca="1" t="shared" si="1349"/>
        <v>0.05</v>
      </c>
      <c r="D4756" s="13">
        <f ca="1" t="shared" si="1350"/>
        <v>0.05</v>
      </c>
      <c r="E4756" s="1">
        <f ca="1" t="shared" si="1351"/>
        <v>6</v>
      </c>
    </row>
    <row r="4757" spans="2:5">
      <c r="B4757" s="9">
        <v>4</v>
      </c>
      <c r="C4757" s="13">
        <f ca="1" t="shared" si="1349"/>
        <v>0.05</v>
      </c>
      <c r="D4757" s="13">
        <f ca="1" t="shared" si="1350"/>
        <v>0.05</v>
      </c>
      <c r="E4757" s="1">
        <f ca="1" t="shared" si="1351"/>
        <v>6</v>
      </c>
    </row>
    <row r="4758" spans="2:5">
      <c r="B4758" s="9">
        <v>4.5</v>
      </c>
      <c r="C4758" s="13">
        <f ca="1" t="shared" si="1349"/>
        <v>0.05</v>
      </c>
      <c r="D4758" s="13">
        <f ca="1" t="shared" si="1350"/>
        <v>0.05</v>
      </c>
      <c r="E4758" s="1">
        <f ca="1" t="shared" si="1351"/>
        <v>6</v>
      </c>
    </row>
    <row r="4759" spans="2:5">
      <c r="B4759" s="9">
        <v>5</v>
      </c>
      <c r="C4759" s="13">
        <f ca="1" t="shared" si="1349"/>
        <v>0.05</v>
      </c>
      <c r="D4759" s="13">
        <f ca="1" t="shared" si="1350"/>
        <v>0.05</v>
      </c>
      <c r="E4759" s="1">
        <f ca="1" t="shared" si="1351"/>
        <v>6</v>
      </c>
    </row>
    <row r="4760" spans="2:5">
      <c r="B4760" s="9">
        <v>5.5</v>
      </c>
      <c r="C4760" s="13">
        <f ca="1" t="shared" si="1349"/>
        <v>0.05</v>
      </c>
      <c r="D4760" s="13">
        <f ca="1" t="shared" si="1350"/>
        <v>0.05</v>
      </c>
      <c r="E4760" s="1">
        <f ca="1" t="shared" si="1351"/>
        <v>6</v>
      </c>
    </row>
    <row r="4761" spans="2:5">
      <c r="B4761" s="9">
        <v>6</v>
      </c>
      <c r="C4761" s="13">
        <f ca="1" t="shared" si="1349"/>
        <v>0.05</v>
      </c>
      <c r="D4761" s="13">
        <f ca="1" t="shared" si="1350"/>
        <v>0.05</v>
      </c>
      <c r="E4761" s="1">
        <f ca="1" t="shared" si="1351"/>
        <v>6</v>
      </c>
    </row>
    <row r="4762" spans="2:5">
      <c r="B4762" s="9">
        <v>6.5</v>
      </c>
      <c r="C4762" s="13">
        <f ca="1" t="shared" si="1349"/>
        <v>0.05</v>
      </c>
      <c r="D4762" s="13">
        <f ca="1" t="shared" si="1350"/>
        <v>0.05</v>
      </c>
      <c r="E4762" s="1">
        <f ca="1" t="shared" si="1351"/>
        <v>6</v>
      </c>
    </row>
    <row r="4763" spans="2:5">
      <c r="B4763" s="9">
        <v>7</v>
      </c>
      <c r="C4763" s="13">
        <f ca="1" t="shared" si="1349"/>
        <v>0.05</v>
      </c>
      <c r="D4763" s="13">
        <f ca="1" t="shared" si="1350"/>
        <v>0.05</v>
      </c>
      <c r="E4763" s="1">
        <f ca="1" t="shared" si="1351"/>
        <v>6</v>
      </c>
    </row>
    <row r="4764" spans="2:5">
      <c r="B4764" s="10">
        <v>8</v>
      </c>
      <c r="C4764" s="13">
        <f ca="1" t="shared" si="1349"/>
        <v>0.05</v>
      </c>
      <c r="D4764" s="13">
        <f ca="1" t="shared" si="1350"/>
        <v>0.05</v>
      </c>
      <c r="E4764" s="1">
        <f ca="1" t="shared" si="1351"/>
        <v>6</v>
      </c>
    </row>
    <row r="4765" spans="2:5">
      <c r="B4765" s="10">
        <v>9</v>
      </c>
      <c r="C4765" s="13">
        <f ca="1" t="shared" si="1349"/>
        <v>0.1</v>
      </c>
      <c r="D4765" s="13">
        <f ca="1" t="shared" si="1350"/>
        <v>0.1</v>
      </c>
      <c r="E4765" s="1">
        <f ca="1" t="shared" si="1351"/>
        <v>12</v>
      </c>
    </row>
    <row r="4766" spans="2:5">
      <c r="B4766" s="10">
        <v>10</v>
      </c>
      <c r="C4766" s="13">
        <f ca="1" t="shared" si="1349"/>
        <v>0.1</v>
      </c>
      <c r="D4766" s="13">
        <f ca="1" t="shared" si="1350"/>
        <v>0.1</v>
      </c>
      <c r="E4766" s="1">
        <f ca="1" t="shared" si="1351"/>
        <v>12</v>
      </c>
    </row>
    <row r="4767" spans="2:5">
      <c r="B4767" s="10">
        <v>11</v>
      </c>
      <c r="C4767" s="13">
        <f ca="1" t="shared" si="1349"/>
        <v>0.1</v>
      </c>
      <c r="D4767" s="13">
        <f ca="1" t="shared" si="1350"/>
        <v>0.1</v>
      </c>
      <c r="E4767" s="1">
        <f ca="1" t="shared" si="1351"/>
        <v>12</v>
      </c>
    </row>
    <row r="4768" spans="2:5">
      <c r="B4768" s="10">
        <v>12</v>
      </c>
      <c r="C4768" s="13">
        <f ca="1" t="shared" si="1349"/>
        <v>0.1</v>
      </c>
      <c r="D4768" s="13">
        <f ca="1" t="shared" si="1350"/>
        <v>0.1</v>
      </c>
      <c r="E4768" s="1">
        <f ca="1" t="shared" si="1351"/>
        <v>12</v>
      </c>
    </row>
    <row r="4769" spans="2:5">
      <c r="B4769" s="10">
        <v>13</v>
      </c>
      <c r="C4769" s="13">
        <f ca="1" t="shared" si="1349"/>
        <v>0.1</v>
      </c>
      <c r="D4769" s="13">
        <f ca="1" t="shared" si="1350"/>
        <v>0.1</v>
      </c>
      <c r="E4769" s="1">
        <f ca="1" t="shared" si="1351"/>
        <v>12</v>
      </c>
    </row>
    <row r="4770" spans="2:5">
      <c r="B4770" s="10">
        <v>14</v>
      </c>
      <c r="C4770" s="13">
        <f ca="1" t="shared" si="1349"/>
        <v>0.1</v>
      </c>
      <c r="D4770" s="13">
        <f ca="1" t="shared" si="1350"/>
        <v>0.1</v>
      </c>
      <c r="E4770" s="1">
        <f ca="1" t="shared" si="1351"/>
        <v>12</v>
      </c>
    </row>
    <row r="4771" spans="2:5">
      <c r="B4771" s="10">
        <v>15</v>
      </c>
      <c r="C4771" s="13">
        <f ca="1" t="shared" si="1349"/>
        <v>0.1</v>
      </c>
      <c r="D4771" s="13">
        <f ca="1" t="shared" si="1350"/>
        <v>0.1</v>
      </c>
      <c r="E4771" s="1">
        <f ca="1" t="shared" si="1351"/>
        <v>12</v>
      </c>
    </row>
    <row r="4772" spans="2:5">
      <c r="B4772" s="10">
        <v>16</v>
      </c>
      <c r="C4772" s="13">
        <f ca="1" t="shared" si="1349"/>
        <v>0.1</v>
      </c>
      <c r="D4772" s="13">
        <f ca="1" t="shared" si="1350"/>
        <v>0.1</v>
      </c>
      <c r="E4772" s="1">
        <f ca="1" t="shared" si="1351"/>
        <v>12</v>
      </c>
    </row>
    <row r="4773" spans="2:5">
      <c r="B4773" s="10">
        <v>17</v>
      </c>
      <c r="C4773" s="13">
        <f ca="1" t="shared" ref="C4773:C4804" si="1352">K2063</f>
        <v>0.1</v>
      </c>
      <c r="D4773" s="13">
        <f ca="1" t="shared" ref="D4773:D4804" si="1353">SUM(C4773)</f>
        <v>0.1</v>
      </c>
      <c r="E4773" s="1">
        <f ca="1" t="shared" ref="E4773:E4804" si="1354">D4773*$E$4719</f>
        <v>12</v>
      </c>
    </row>
    <row r="4774" spans="2:5">
      <c r="B4774" s="10">
        <v>18</v>
      </c>
      <c r="C4774" s="13">
        <f ca="1" t="shared" si="1352"/>
        <v>0.1</v>
      </c>
      <c r="D4774" s="13">
        <f ca="1" t="shared" si="1353"/>
        <v>0.1</v>
      </c>
      <c r="E4774" s="1">
        <f ca="1" t="shared" si="1354"/>
        <v>12</v>
      </c>
    </row>
    <row r="4775" spans="2:5">
      <c r="B4775" s="10">
        <v>19</v>
      </c>
      <c r="C4775" s="13">
        <f ca="1" t="shared" si="1352"/>
        <v>0.1</v>
      </c>
      <c r="D4775" s="13">
        <f ca="1" t="shared" si="1353"/>
        <v>0.1</v>
      </c>
      <c r="E4775" s="1">
        <f ca="1" t="shared" si="1354"/>
        <v>12</v>
      </c>
    </row>
    <row r="4776" spans="2:5">
      <c r="B4776" s="10">
        <v>20</v>
      </c>
      <c r="C4776" s="13">
        <f ca="1" t="shared" si="1352"/>
        <v>0.1</v>
      </c>
      <c r="D4776" s="13">
        <f ca="1" t="shared" si="1353"/>
        <v>0.1</v>
      </c>
      <c r="E4776" s="1">
        <f ca="1" t="shared" si="1354"/>
        <v>12</v>
      </c>
    </row>
    <row r="4777" spans="2:5">
      <c r="B4777" s="10">
        <v>21</v>
      </c>
      <c r="C4777" s="13">
        <f ca="1" t="shared" si="1352"/>
        <v>0.1</v>
      </c>
      <c r="D4777" s="13">
        <f ca="1" t="shared" si="1353"/>
        <v>0.1</v>
      </c>
      <c r="E4777" s="1">
        <f ca="1" t="shared" si="1354"/>
        <v>12</v>
      </c>
    </row>
    <row r="4778" spans="2:5">
      <c r="B4778" s="10">
        <v>22</v>
      </c>
      <c r="C4778" s="13">
        <f ca="1" t="shared" si="1352"/>
        <v>0.1</v>
      </c>
      <c r="D4778" s="13">
        <f ca="1" t="shared" si="1353"/>
        <v>0.1</v>
      </c>
      <c r="E4778" s="1">
        <f ca="1" t="shared" si="1354"/>
        <v>12</v>
      </c>
    </row>
    <row r="4779" spans="2:5">
      <c r="B4779" s="10">
        <v>23</v>
      </c>
      <c r="C4779" s="13">
        <f ca="1" t="shared" si="1352"/>
        <v>0.1</v>
      </c>
      <c r="D4779" s="13">
        <f ca="1" t="shared" si="1353"/>
        <v>0.1</v>
      </c>
      <c r="E4779" s="1">
        <f ca="1" t="shared" si="1354"/>
        <v>12</v>
      </c>
    </row>
    <row r="4780" spans="2:5">
      <c r="B4780" s="10">
        <v>24</v>
      </c>
      <c r="C4780" s="13">
        <f ca="1" t="shared" si="1352"/>
        <v>0.1</v>
      </c>
      <c r="D4780" s="13">
        <f ca="1" t="shared" si="1353"/>
        <v>0.1</v>
      </c>
      <c r="E4780" s="1">
        <f ca="1" t="shared" si="1354"/>
        <v>12</v>
      </c>
    </row>
    <row r="4781" spans="2:5">
      <c r="B4781" s="10">
        <v>25</v>
      </c>
      <c r="C4781" s="13">
        <f ca="1" t="shared" si="1352"/>
        <v>0.1</v>
      </c>
      <c r="D4781" s="13">
        <f ca="1" t="shared" si="1353"/>
        <v>0.1</v>
      </c>
      <c r="E4781" s="1">
        <f ca="1" t="shared" si="1354"/>
        <v>12</v>
      </c>
    </row>
    <row r="4782" spans="2:5">
      <c r="B4782" s="10">
        <v>26</v>
      </c>
      <c r="C4782" s="13">
        <f ca="1" t="shared" si="1352"/>
        <v>0.1</v>
      </c>
      <c r="D4782" s="13">
        <f ca="1" t="shared" si="1353"/>
        <v>0.1</v>
      </c>
      <c r="E4782" s="1">
        <f ca="1" t="shared" si="1354"/>
        <v>12</v>
      </c>
    </row>
    <row r="4783" spans="2:5">
      <c r="B4783" s="10">
        <v>27</v>
      </c>
      <c r="C4783" s="13">
        <f ca="1" t="shared" si="1352"/>
        <v>0.1</v>
      </c>
      <c r="D4783" s="13">
        <f ca="1" t="shared" si="1353"/>
        <v>0.1</v>
      </c>
      <c r="E4783" s="1">
        <f ca="1" t="shared" si="1354"/>
        <v>12</v>
      </c>
    </row>
    <row r="4784" spans="2:5">
      <c r="B4784" s="10">
        <v>28</v>
      </c>
      <c r="C4784" s="13">
        <f ca="1" t="shared" si="1352"/>
        <v>0.1</v>
      </c>
      <c r="D4784" s="13">
        <f ca="1" t="shared" si="1353"/>
        <v>0.1</v>
      </c>
      <c r="E4784" s="1">
        <f ca="1" t="shared" si="1354"/>
        <v>12</v>
      </c>
    </row>
    <row r="4785" spans="2:5">
      <c r="B4785" s="10">
        <v>29</v>
      </c>
      <c r="C4785" s="13">
        <f ca="1" t="shared" si="1352"/>
        <v>0.1</v>
      </c>
      <c r="D4785" s="13">
        <f ca="1" t="shared" si="1353"/>
        <v>0.1</v>
      </c>
      <c r="E4785" s="1">
        <f ca="1" t="shared" si="1354"/>
        <v>12</v>
      </c>
    </row>
    <row r="4786" spans="2:5">
      <c r="B4786" s="10">
        <v>30</v>
      </c>
      <c r="C4786" s="13">
        <f ca="1" t="shared" si="1352"/>
        <v>0.1</v>
      </c>
      <c r="D4786" s="13">
        <f ca="1" t="shared" si="1353"/>
        <v>0.1</v>
      </c>
      <c r="E4786" s="1">
        <f ca="1" t="shared" si="1354"/>
        <v>12</v>
      </c>
    </row>
    <row r="4787" spans="2:5">
      <c r="B4787" s="11">
        <v>35</v>
      </c>
      <c r="C4787" s="13">
        <f ca="1" t="shared" si="1352"/>
        <v>0.1</v>
      </c>
      <c r="D4787" s="13">
        <f ca="1" t="shared" si="1353"/>
        <v>0.1</v>
      </c>
      <c r="E4787" s="1">
        <f ca="1" t="shared" si="1354"/>
        <v>12</v>
      </c>
    </row>
    <row r="4788" spans="2:5">
      <c r="B4788" s="11">
        <v>40</v>
      </c>
      <c r="C4788" s="13">
        <f ca="1" t="shared" si="1352"/>
        <v>0.1</v>
      </c>
      <c r="D4788" s="13">
        <f ca="1" t="shared" si="1353"/>
        <v>0.1</v>
      </c>
      <c r="E4788" s="1">
        <f ca="1" t="shared" si="1354"/>
        <v>12</v>
      </c>
    </row>
    <row r="4789" spans="2:5">
      <c r="B4789" s="11">
        <v>45</v>
      </c>
      <c r="C4789" s="13">
        <f ca="1" t="shared" si="1352"/>
        <v>0.1</v>
      </c>
      <c r="D4789" s="13">
        <f ca="1" t="shared" si="1353"/>
        <v>0.1</v>
      </c>
      <c r="E4789" s="1">
        <f ca="1" t="shared" si="1354"/>
        <v>12</v>
      </c>
    </row>
    <row r="4790" spans="2:5">
      <c r="B4790" s="11">
        <v>50</v>
      </c>
      <c r="C4790" s="13">
        <f ca="1" t="shared" si="1352"/>
        <v>0.1</v>
      </c>
      <c r="D4790" s="13">
        <f ca="1" t="shared" si="1353"/>
        <v>0.1</v>
      </c>
      <c r="E4790" s="1">
        <f ca="1" t="shared" si="1354"/>
        <v>12</v>
      </c>
    </row>
    <row r="4791" spans="2:5">
      <c r="B4791" s="11">
        <v>55</v>
      </c>
      <c r="C4791" s="13">
        <f ca="1" t="shared" si="1352"/>
        <v>0.1</v>
      </c>
      <c r="D4791" s="13">
        <f ca="1" t="shared" si="1353"/>
        <v>0.1</v>
      </c>
      <c r="E4791" s="1">
        <f ca="1" t="shared" si="1354"/>
        <v>12</v>
      </c>
    </row>
    <row r="4792" spans="2:5">
      <c r="B4792" s="11">
        <v>60</v>
      </c>
      <c r="C4792" s="13">
        <f ca="1" t="shared" si="1352"/>
        <v>0.15</v>
      </c>
      <c r="D4792" s="13">
        <f ca="1" t="shared" si="1353"/>
        <v>0.15</v>
      </c>
      <c r="E4792" s="1">
        <f ca="1" t="shared" si="1354"/>
        <v>18</v>
      </c>
    </row>
    <row r="4793" spans="2:5">
      <c r="B4793" s="11">
        <v>65</v>
      </c>
      <c r="C4793" s="13">
        <f ca="1" t="shared" si="1352"/>
        <v>0.15</v>
      </c>
      <c r="D4793" s="13">
        <f ca="1" t="shared" si="1353"/>
        <v>0.15</v>
      </c>
      <c r="E4793" s="1">
        <f ca="1" t="shared" si="1354"/>
        <v>18</v>
      </c>
    </row>
    <row r="4794" spans="2:5">
      <c r="B4794" s="11">
        <v>70</v>
      </c>
      <c r="C4794" s="13">
        <f ca="1" t="shared" si="1352"/>
        <v>0.15</v>
      </c>
      <c r="D4794" s="13">
        <f ca="1" t="shared" si="1353"/>
        <v>0.15</v>
      </c>
      <c r="E4794" s="1">
        <f ca="1" t="shared" si="1354"/>
        <v>18</v>
      </c>
    </row>
    <row r="4795" spans="2:5">
      <c r="B4795" s="11">
        <v>75</v>
      </c>
      <c r="C4795" s="13">
        <f ca="1" t="shared" si="1352"/>
        <v>0.15</v>
      </c>
      <c r="D4795" s="13">
        <f ca="1" t="shared" si="1353"/>
        <v>0.15</v>
      </c>
      <c r="E4795" s="1">
        <f ca="1" t="shared" si="1354"/>
        <v>18</v>
      </c>
    </row>
    <row r="4796" spans="2:5">
      <c r="B4796" s="11">
        <v>80</v>
      </c>
      <c r="C4796" s="13">
        <f ca="1" t="shared" si="1352"/>
        <v>0.15</v>
      </c>
      <c r="D4796" s="13">
        <f ca="1" t="shared" si="1353"/>
        <v>0.15</v>
      </c>
      <c r="E4796" s="1">
        <f ca="1" t="shared" si="1354"/>
        <v>18</v>
      </c>
    </row>
    <row r="4797" spans="2:5">
      <c r="B4797" s="11">
        <v>85</v>
      </c>
      <c r="C4797" s="13">
        <f ca="1" t="shared" si="1352"/>
        <v>0.15</v>
      </c>
      <c r="D4797" s="13">
        <f ca="1" t="shared" si="1353"/>
        <v>0.15</v>
      </c>
      <c r="E4797" s="1">
        <f ca="1" t="shared" si="1354"/>
        <v>18</v>
      </c>
    </row>
    <row r="4798" spans="2:5">
      <c r="B4798" s="11">
        <v>90</v>
      </c>
      <c r="C4798" s="13">
        <f ca="1" t="shared" si="1352"/>
        <v>0.15</v>
      </c>
      <c r="D4798" s="13">
        <f ca="1" t="shared" si="1353"/>
        <v>0.15</v>
      </c>
      <c r="E4798" s="1">
        <f ca="1" t="shared" si="1354"/>
        <v>18</v>
      </c>
    </row>
    <row r="4799" spans="2:5">
      <c r="B4799" s="11">
        <v>95</v>
      </c>
      <c r="C4799" s="13">
        <f ca="1" t="shared" si="1352"/>
        <v>0.15</v>
      </c>
      <c r="D4799" s="13">
        <f ca="1" t="shared" si="1353"/>
        <v>0.15</v>
      </c>
      <c r="E4799" s="1">
        <f ca="1" t="shared" si="1354"/>
        <v>18</v>
      </c>
    </row>
    <row r="4800" spans="2:5">
      <c r="B4800" s="11">
        <v>100</v>
      </c>
      <c r="C4800" s="13">
        <f ca="1" t="shared" si="1352"/>
        <v>0.15</v>
      </c>
      <c r="D4800" s="13">
        <f ca="1" t="shared" si="1353"/>
        <v>0.15</v>
      </c>
      <c r="E4800" s="1">
        <f ca="1" t="shared" si="1354"/>
        <v>18</v>
      </c>
    </row>
    <row r="4801" spans="2:5">
      <c r="B4801" s="11">
        <v>105</v>
      </c>
      <c r="C4801" s="13">
        <f ca="1" t="shared" si="1352"/>
        <v>0.15</v>
      </c>
      <c r="D4801" s="13">
        <f ca="1" t="shared" si="1353"/>
        <v>0.15</v>
      </c>
      <c r="E4801" s="1">
        <f ca="1" t="shared" si="1354"/>
        <v>18</v>
      </c>
    </row>
    <row r="4802" spans="2:5">
      <c r="B4802" s="11">
        <v>110</v>
      </c>
      <c r="C4802" s="13">
        <f ca="1" t="shared" si="1352"/>
        <v>0.15</v>
      </c>
      <c r="D4802" s="13">
        <f ca="1" t="shared" si="1353"/>
        <v>0.15</v>
      </c>
      <c r="E4802" s="1">
        <f ca="1" t="shared" si="1354"/>
        <v>18</v>
      </c>
    </row>
    <row r="4803" spans="2:5">
      <c r="B4803" s="11">
        <v>115</v>
      </c>
      <c r="C4803" s="13">
        <f ca="1" t="shared" si="1352"/>
        <v>0.15</v>
      </c>
      <c r="D4803" s="13">
        <f ca="1" t="shared" si="1353"/>
        <v>0.15</v>
      </c>
      <c r="E4803" s="1">
        <f ca="1" t="shared" si="1354"/>
        <v>18</v>
      </c>
    </row>
    <row r="4804" spans="2:5">
      <c r="B4804" s="11">
        <v>120</v>
      </c>
      <c r="C4804" s="13">
        <f ca="1" t="shared" si="1352"/>
        <v>0.15</v>
      </c>
      <c r="D4804" s="13">
        <f ca="1" t="shared" si="1353"/>
        <v>0.15</v>
      </c>
      <c r="E4804" s="1">
        <f ca="1" t="shared" si="1354"/>
        <v>18</v>
      </c>
    </row>
    <row r="4805" spans="2:5">
      <c r="B4805" s="12">
        <v>150</v>
      </c>
      <c r="C4805" s="13">
        <f ca="1" t="shared" ref="C4805:C4812" si="1355">K2095</f>
        <v>0.15</v>
      </c>
      <c r="D4805" s="13">
        <f ca="1" t="shared" ref="D4805:D4812" si="1356">SUM(C4805)</f>
        <v>0.15</v>
      </c>
      <c r="E4805" s="1">
        <f ca="1" t="shared" ref="E4805:E4812" si="1357">D4805*$E$4719</f>
        <v>18</v>
      </c>
    </row>
    <row r="4806" spans="2:5">
      <c r="B4806" s="12">
        <v>180</v>
      </c>
      <c r="C4806" s="13">
        <f ca="1" t="shared" si="1355"/>
        <v>0.15</v>
      </c>
      <c r="D4806" s="13">
        <f ca="1" t="shared" si="1356"/>
        <v>0.15</v>
      </c>
      <c r="E4806" s="1">
        <f ca="1" t="shared" si="1357"/>
        <v>18</v>
      </c>
    </row>
    <row r="4807" spans="2:5">
      <c r="B4807" s="12">
        <v>210</v>
      </c>
      <c r="C4807" s="13">
        <f ca="1" t="shared" si="1355"/>
        <v>0.15</v>
      </c>
      <c r="D4807" s="13">
        <f ca="1" t="shared" si="1356"/>
        <v>0.15</v>
      </c>
      <c r="E4807" s="1">
        <f ca="1" t="shared" si="1357"/>
        <v>18</v>
      </c>
    </row>
    <row r="4808" spans="2:5">
      <c r="B4808" s="12">
        <v>240</v>
      </c>
      <c r="C4808" s="13">
        <f ca="1" t="shared" si="1355"/>
        <v>0.2</v>
      </c>
      <c r="D4808" s="13">
        <f ca="1" t="shared" si="1356"/>
        <v>0.2</v>
      </c>
      <c r="E4808" s="1">
        <f ca="1" t="shared" si="1357"/>
        <v>24</v>
      </c>
    </row>
    <row r="4809" spans="2:5">
      <c r="B4809" s="12">
        <v>270</v>
      </c>
      <c r="C4809" s="13">
        <f ca="1" t="shared" si="1355"/>
        <v>0.2</v>
      </c>
      <c r="D4809" s="13">
        <f ca="1" t="shared" si="1356"/>
        <v>0.2</v>
      </c>
      <c r="E4809" s="1">
        <f ca="1" t="shared" si="1357"/>
        <v>24</v>
      </c>
    </row>
    <row r="4810" spans="2:5">
      <c r="B4810" s="12">
        <v>300</v>
      </c>
      <c r="C4810" s="13">
        <f ca="1" t="shared" si="1355"/>
        <v>0.2</v>
      </c>
      <c r="D4810" s="13">
        <f ca="1" t="shared" si="1356"/>
        <v>0.2</v>
      </c>
      <c r="E4810" s="1">
        <f ca="1" t="shared" si="1357"/>
        <v>24</v>
      </c>
    </row>
    <row r="4811" spans="2:5">
      <c r="B4811" s="12">
        <v>330</v>
      </c>
      <c r="C4811" s="13">
        <f ca="1" t="shared" si="1355"/>
        <v>0.2</v>
      </c>
      <c r="D4811" s="13">
        <f ca="1" t="shared" si="1356"/>
        <v>0.2</v>
      </c>
      <c r="E4811" s="1">
        <f ca="1" t="shared" si="1357"/>
        <v>24</v>
      </c>
    </row>
    <row r="4812" spans="2:5">
      <c r="B4812" s="12">
        <v>360</v>
      </c>
      <c r="C4812" s="13">
        <f ca="1" t="shared" si="1355"/>
        <v>0.2</v>
      </c>
      <c r="D4812" s="13">
        <f ca="1" t="shared" si="1356"/>
        <v>0.2</v>
      </c>
      <c r="E4812" s="1">
        <f ca="1" t="shared" si="1357"/>
        <v>24</v>
      </c>
    </row>
    <row r="4815" s="25" customFormat="1" spans="1:5">
      <c r="A4815" s="2" t="s">
        <v>63</v>
      </c>
      <c r="B4815" s="2"/>
      <c r="C4815" s="41" t="s">
        <v>436</v>
      </c>
      <c r="E4815" s="41"/>
    </row>
    <row r="4817" spans="2:12">
      <c r="B4817" s="27" t="s">
        <v>1102</v>
      </c>
      <c r="C4817" s="27"/>
      <c r="D4817" s="27"/>
      <c r="E4817" s="27"/>
      <c r="F4817" s="27"/>
      <c r="G4817" s="27"/>
      <c r="H4817" s="27"/>
      <c r="I4817" s="27"/>
      <c r="J4817" s="27"/>
      <c r="K4817" s="27"/>
      <c r="L4817" s="27"/>
    </row>
    <row r="4819" spans="2:8">
      <c r="B4819" s="1" t="s">
        <v>2049</v>
      </c>
      <c r="E4819" s="8">
        <f>$C$4830+$C$4831*$L$786+$L$786/100</f>
        <v>0.8</v>
      </c>
      <c r="F4819" s="1" t="str">
        <f>总规划!$C$107</f>
        <v>1四星卡</v>
      </c>
      <c r="H4819" s="24">
        <f>E4819*总规划!$G$107</f>
        <v>0.4</v>
      </c>
    </row>
    <row r="4820" spans="2:8">
      <c r="B4820" s="1" t="s">
        <v>2050</v>
      </c>
      <c r="E4820" s="1">
        <f>C4829*E693</f>
        <v>18.3</v>
      </c>
      <c r="F4820" s="1" t="s">
        <v>1355</v>
      </c>
      <c r="H4820" s="24">
        <f>E4820/1000*总规划!$G$110</f>
        <v>0.22875</v>
      </c>
    </row>
    <row r="4821" spans="2:8">
      <c r="B4821" s="1" t="s">
        <v>2356</v>
      </c>
      <c r="E4821" s="8">
        <f>H4821*总规划!$D$249</f>
        <v>754.5</v>
      </c>
      <c r="F4821" s="1" t="s">
        <v>540</v>
      </c>
      <c r="H4821" s="24">
        <f>H4819+H4820</f>
        <v>0.62875</v>
      </c>
    </row>
    <row r="4822" spans="5:8">
      <c r="E4822" s="8"/>
      <c r="H4822" s="24"/>
    </row>
    <row r="4823" spans="2:8">
      <c r="B4823" s="1" t="s">
        <v>2357</v>
      </c>
      <c r="E4823" s="8">
        <f>L785</f>
        <v>3</v>
      </c>
      <c r="H4823" s="24"/>
    </row>
    <row r="4824" spans="2:8">
      <c r="B4824" s="1" t="s">
        <v>2358</v>
      </c>
      <c r="E4824" s="8">
        <f>L786</f>
        <v>9</v>
      </c>
      <c r="H4824" s="24"/>
    </row>
    <row r="4826" spans="2:12">
      <c r="B4826" s="27" t="s">
        <v>842</v>
      </c>
      <c r="C4826" s="27"/>
      <c r="D4826" s="27"/>
      <c r="E4826" s="27"/>
      <c r="F4826" s="27"/>
      <c r="G4826" s="27"/>
      <c r="H4826" s="27"/>
      <c r="I4826" s="27"/>
      <c r="J4826" s="27"/>
      <c r="K4826" s="27"/>
      <c r="L4826" s="27"/>
    </row>
    <row r="4828" spans="3:12">
      <c r="C4828" s="1" t="s">
        <v>1154</v>
      </c>
      <c r="D4828" s="1" t="s">
        <v>795</v>
      </c>
      <c r="E4828" s="1" t="s">
        <v>2359</v>
      </c>
      <c r="G4828" s="1" t="s">
        <v>2360</v>
      </c>
      <c r="H4828" s="1" t="s">
        <v>2361</v>
      </c>
      <c r="I4828" s="1" t="s">
        <v>2362</v>
      </c>
      <c r="J4828" s="1" t="s">
        <v>2363</v>
      </c>
      <c r="K4828" s="1" t="s">
        <v>2364</v>
      </c>
      <c r="L4828" s="1" t="s">
        <v>2365</v>
      </c>
    </row>
    <row r="4829" spans="2:12">
      <c r="B4829" s="1" t="s">
        <v>2366</v>
      </c>
      <c r="C4829" s="56">
        <v>0.61</v>
      </c>
      <c r="D4829" s="1">
        <v>9</v>
      </c>
      <c r="E4829" s="4">
        <f t="shared" ref="E4829:E4831" si="1358">C4829/D4829*(PRODUCT($D$4829:$D$4831))*100</f>
        <v>17568</v>
      </c>
      <c r="G4829" s="1">
        <v>3</v>
      </c>
      <c r="H4829" s="4">
        <f>C4829/G4829*(PRODUCT($G$4829:$G$4831))*100</f>
        <v>2196</v>
      </c>
      <c r="I4829" s="1">
        <v>3</v>
      </c>
      <c r="J4829" s="4">
        <f>C4829/I4829*(PRODUCT($I$4829:$I$4831))*100</f>
        <v>1830</v>
      </c>
      <c r="K4829" s="1">
        <v>3</v>
      </c>
      <c r="L4829" s="4">
        <f>C4829/K4829*(PRODUCT($K$4829:$K$4831))*100</f>
        <v>1830</v>
      </c>
    </row>
    <row r="4830" spans="2:12">
      <c r="B4830" s="1" t="s">
        <v>2367</v>
      </c>
      <c r="C4830" s="56">
        <v>0.35</v>
      </c>
      <c r="D4830" s="1">
        <v>16</v>
      </c>
      <c r="E4830" s="4">
        <f t="shared" si="1358"/>
        <v>5670</v>
      </c>
      <c r="G4830" s="1">
        <v>6</v>
      </c>
      <c r="H4830" s="4">
        <f t="shared" ref="H4830:H4831" si="1359">C4830/G4830*(PRODUCT($G$4829:$G$4831))*100</f>
        <v>630</v>
      </c>
      <c r="I4830" s="1">
        <v>5</v>
      </c>
      <c r="J4830" s="4">
        <f t="shared" ref="J4830:J4831" si="1360">C4830/I4830*(PRODUCT($I$4829:$I$4831))*100</f>
        <v>630</v>
      </c>
      <c r="K4830" s="1">
        <v>5</v>
      </c>
      <c r="L4830" s="4">
        <f t="shared" ref="L4830:L4831" si="1361">C4830/K4830*(PRODUCT($K$4829:$K$4831))*100</f>
        <v>630</v>
      </c>
    </row>
    <row r="4831" spans="2:12">
      <c r="B4831" s="1" t="s">
        <v>2368</v>
      </c>
      <c r="C4831" s="56">
        <v>0.04</v>
      </c>
      <c r="D4831" s="1">
        <v>18</v>
      </c>
      <c r="E4831" s="4">
        <f t="shared" si="1358"/>
        <v>576</v>
      </c>
      <c r="G4831" s="1">
        <v>6</v>
      </c>
      <c r="H4831" s="4">
        <f t="shared" si="1359"/>
        <v>72</v>
      </c>
      <c r="I4831" s="1">
        <v>6</v>
      </c>
      <c r="J4831" s="4">
        <f t="shared" si="1360"/>
        <v>60</v>
      </c>
      <c r="K4831" s="1">
        <v>6</v>
      </c>
      <c r="L4831" s="4">
        <f t="shared" si="1361"/>
        <v>60</v>
      </c>
    </row>
    <row r="4832" spans="3:3">
      <c r="C4832" s="42">
        <f>SUM(C4829:C4831)</f>
        <v>1</v>
      </c>
    </row>
    <row r="4833" spans="3:3">
      <c r="C4833" s="42"/>
    </row>
    <row r="4834" spans="2:12">
      <c r="B4834" s="27" t="s">
        <v>2369</v>
      </c>
      <c r="C4834" s="27"/>
      <c r="D4834" s="27"/>
      <c r="E4834" s="27"/>
      <c r="F4834" s="27"/>
      <c r="G4834" s="27"/>
      <c r="H4834" s="27"/>
      <c r="I4834" s="27"/>
      <c r="J4834" s="27"/>
      <c r="K4834" s="27"/>
      <c r="L4834" s="27"/>
    </row>
    <row r="4835" spans="3:3">
      <c r="C4835" s="42"/>
    </row>
    <row r="4836" spans="3:4">
      <c r="C4836" s="42" t="s">
        <v>63</v>
      </c>
      <c r="D4836" s="1" t="s">
        <v>2370</v>
      </c>
    </row>
    <row r="4837" spans="2:4">
      <c r="B4837" s="1" t="s">
        <v>2371</v>
      </c>
      <c r="C4837" s="57">
        <f>1/(($C$4831/$D$4831+$C$4830/$D$4830/3)/($C$4831+$C$4830/$E$4824))</f>
        <v>8.29197080291971</v>
      </c>
      <c r="D4837" s="1">
        <f>1/(($C$4831/$G$4831+$C$4830/$G$4830/$E$4823)/($C$4831+$C$4830/$E$4824))</f>
        <v>3.02127659574468</v>
      </c>
    </row>
    <row r="4838" spans="2:4">
      <c r="B4838" s="1" t="s">
        <v>2372</v>
      </c>
      <c r="C4838" s="1">
        <f>1/($C$4831/$D$4831/($C$4831+$C$4830/$E$4824))</f>
        <v>35.5</v>
      </c>
      <c r="D4838" s="1">
        <f>1/($C$4831/$G$4831/($C$4831+$C$4830/$E$4824))</f>
        <v>11.8333333333333</v>
      </c>
    </row>
    <row r="4839" spans="3:3">
      <c r="C4839" s="42"/>
    </row>
    <row r="4841" s="25" customFormat="1" spans="1:3">
      <c r="A4841" s="2" t="s">
        <v>2373</v>
      </c>
      <c r="C4841" s="41" t="s">
        <v>436</v>
      </c>
    </row>
    <row r="4843" spans="2:12">
      <c r="B4843" s="27" t="s">
        <v>1102</v>
      </c>
      <c r="C4843" s="27"/>
      <c r="D4843" s="27"/>
      <c r="E4843" s="27"/>
      <c r="F4843" s="27"/>
      <c r="G4843" s="27"/>
      <c r="H4843" s="27"/>
      <c r="I4843" s="27"/>
      <c r="J4843" s="27"/>
      <c r="K4843" s="27"/>
      <c r="L4843" s="27"/>
    </row>
    <row r="4852" s="25" customFormat="1" spans="1:3">
      <c r="A4852" s="2" t="s">
        <v>697</v>
      </c>
      <c r="B4852" s="2"/>
      <c r="C4852" s="41" t="s">
        <v>436</v>
      </c>
    </row>
    <row r="4854" spans="2:12">
      <c r="B4854" s="27" t="s">
        <v>2374</v>
      </c>
      <c r="C4854" s="27"/>
      <c r="D4854" s="27"/>
      <c r="E4854" s="27"/>
      <c r="F4854" s="27"/>
      <c r="G4854" s="27"/>
      <c r="H4854" s="27"/>
      <c r="I4854" s="27"/>
      <c r="J4854" s="27"/>
      <c r="K4854" s="27"/>
      <c r="L4854" s="27"/>
    </row>
    <row r="4856" spans="2:6">
      <c r="B4856" s="1" t="s">
        <v>2375</v>
      </c>
      <c r="F4856" s="130">
        <v>0.025</v>
      </c>
    </row>
    <row r="4858" spans="2:12">
      <c r="B4858" s="27" t="s">
        <v>1102</v>
      </c>
      <c r="C4858" s="27"/>
      <c r="D4858" s="27"/>
      <c r="E4858" s="27"/>
      <c r="F4858" s="27"/>
      <c r="G4858" s="27"/>
      <c r="H4858" s="27"/>
      <c r="I4858" s="27"/>
      <c r="J4858" s="27"/>
      <c r="K4858" s="27"/>
      <c r="L4858" s="27"/>
    </row>
    <row r="4860" spans="2:6">
      <c r="B4860" s="1" t="s">
        <v>2376</v>
      </c>
      <c r="F4860" s="6">
        <v>450</v>
      </c>
    </row>
    <row r="4861" spans="2:6">
      <c r="B4861" s="1" t="s">
        <v>2377</v>
      </c>
      <c r="F4861" s="6">
        <v>25</v>
      </c>
    </row>
    <row r="4863" spans="2:12">
      <c r="B4863" s="27" t="s">
        <v>2378</v>
      </c>
      <c r="C4863" s="27"/>
      <c r="D4863" s="27"/>
      <c r="E4863" s="27"/>
      <c r="F4863" s="27"/>
      <c r="G4863" s="27"/>
      <c r="H4863" s="27"/>
      <c r="I4863" s="27"/>
      <c r="J4863" s="27"/>
      <c r="K4863" s="27"/>
      <c r="L4863" s="27"/>
    </row>
    <row r="4865" spans="2:8">
      <c r="B4865" s="1" t="s">
        <v>677</v>
      </c>
      <c r="C4865" s="1" t="s">
        <v>2379</v>
      </c>
      <c r="D4865" s="1" t="s">
        <v>1478</v>
      </c>
      <c r="F4865" s="1" t="s">
        <v>2380</v>
      </c>
      <c r="G4865" s="1" t="s">
        <v>2379</v>
      </c>
      <c r="H4865" s="1" t="s">
        <v>1478</v>
      </c>
    </row>
    <row r="4866" spans="2:8">
      <c r="B4866" s="1">
        <v>0</v>
      </c>
      <c r="C4866" s="6">
        <v>0</v>
      </c>
      <c r="D4866" s="1">
        <f ca="1">OFFSET(养成规划!$B$6,MATCH(B4866,养成规划!$D$6:$D$77,0)-1,0)</f>
        <v>0</v>
      </c>
      <c r="F4866" s="1">
        <v>0</v>
      </c>
      <c r="G4866" s="6">
        <v>0</v>
      </c>
      <c r="H4866" s="30">
        <f ca="1">OFFSET(养成规划!$B$6,MATCH(F4866,养成规划!$D$6:$D$77,0)-1,0)</f>
        <v>0</v>
      </c>
    </row>
    <row r="4867" spans="2:8">
      <c r="B4867" s="1">
        <v>1</v>
      </c>
      <c r="C4867" s="6">
        <v>10</v>
      </c>
      <c r="D4867" s="1">
        <f ca="1">OFFSET(养成规划!$B$6,MATCH(B4867,养成规划!$D$6:$D$77,0)-1,0)</f>
        <v>0.1</v>
      </c>
      <c r="F4867" s="1">
        <v>1</v>
      </c>
      <c r="G4867" s="6">
        <v>10</v>
      </c>
      <c r="H4867" s="30">
        <v>0</v>
      </c>
    </row>
    <row r="4868" spans="2:8">
      <c r="B4868" s="1">
        <v>2</v>
      </c>
      <c r="C4868" s="6">
        <v>30</v>
      </c>
      <c r="D4868" s="1">
        <f ca="1">OFFSET(养成规划!$B$6,MATCH(B4868,养成规划!$D$6:$D$77,0)-1,0)</f>
        <v>1.5</v>
      </c>
      <c r="F4868" s="1">
        <v>2</v>
      </c>
      <c r="G4868" s="6">
        <v>20</v>
      </c>
      <c r="H4868" s="30">
        <v>0.5</v>
      </c>
    </row>
    <row r="4869" spans="2:8">
      <c r="B4869" s="1">
        <v>3</v>
      </c>
      <c r="C4869" s="6">
        <v>80</v>
      </c>
      <c r="D4869" s="1">
        <f ca="1">OFFSET(养成规划!$B$6,MATCH(B4869,养成规划!$D$6:$D$77,0)-1,0)</f>
        <v>7</v>
      </c>
      <c r="F4869" s="1">
        <v>3</v>
      </c>
      <c r="G4869" s="6">
        <v>30</v>
      </c>
      <c r="H4869" s="30">
        <v>1</v>
      </c>
    </row>
    <row r="4870" spans="2:8">
      <c r="B4870" s="1">
        <v>4</v>
      </c>
      <c r="C4870" s="6">
        <v>150</v>
      </c>
      <c r="D4870" s="1">
        <f ca="1">OFFSET(养成规划!$B$6,MATCH(B4870,养成规划!$D$6:$D$77,0)-1,0)</f>
        <v>23</v>
      </c>
      <c r="F4870" s="1">
        <v>4</v>
      </c>
      <c r="G4870" s="6">
        <v>40</v>
      </c>
      <c r="H4870" s="30">
        <v>3</v>
      </c>
    </row>
    <row r="4871" spans="2:8">
      <c r="B4871" s="1">
        <v>5</v>
      </c>
      <c r="C4871" s="6">
        <v>250</v>
      </c>
      <c r="D4871" s="1">
        <f ca="1">OFFSET(养成规划!$B$6,MATCH(B4871,养成规划!$D$6:$D$77,0)-1,0)</f>
        <v>75</v>
      </c>
      <c r="F4871" s="1">
        <v>5</v>
      </c>
      <c r="G4871" s="6">
        <v>80</v>
      </c>
      <c r="H4871" s="30">
        <v>7</v>
      </c>
    </row>
    <row r="4872" spans="2:8">
      <c r="B4872" s="1">
        <v>6</v>
      </c>
      <c r="C4872" s="6">
        <v>400</v>
      </c>
      <c r="D4872" s="1">
        <f ca="1">OFFSET(养成规划!$B$6,MATCH(B4872,养成规划!$D$6:$D$77,0)-1,0)</f>
        <v>360</v>
      </c>
      <c r="F4872" s="1">
        <v>6</v>
      </c>
      <c r="G4872" s="6">
        <v>120</v>
      </c>
      <c r="H4872" s="30">
        <v>30</v>
      </c>
    </row>
    <row r="4873" spans="3:8">
      <c r="C4873" s="4"/>
      <c r="F4873" s="1">
        <v>7</v>
      </c>
      <c r="G4873" s="6">
        <v>160</v>
      </c>
      <c r="H4873" s="30">
        <v>60</v>
      </c>
    </row>
    <row r="4874" spans="3:8">
      <c r="C4874" s="4"/>
      <c r="F4874" s="1">
        <v>8</v>
      </c>
      <c r="G4874" s="6">
        <v>200</v>
      </c>
      <c r="H4874" s="30">
        <v>120</v>
      </c>
    </row>
    <row r="4875" spans="3:8">
      <c r="C4875" s="4"/>
      <c r="F4875" s="1">
        <v>9</v>
      </c>
      <c r="G4875" s="6">
        <v>300</v>
      </c>
      <c r="H4875" s="30">
        <v>180</v>
      </c>
    </row>
    <row r="4876" spans="3:8">
      <c r="C4876" s="4"/>
      <c r="F4876" s="1">
        <v>10</v>
      </c>
      <c r="G4876" s="6">
        <v>500</v>
      </c>
      <c r="H4876" s="30">
        <v>360</v>
      </c>
    </row>
    <row r="4877" spans="2:8">
      <c r="B4877" s="13"/>
      <c r="F4877" s="13"/>
      <c r="H4877" s="13"/>
    </row>
    <row r="4878" spans="2:12">
      <c r="B4878" s="27" t="s">
        <v>2381</v>
      </c>
      <c r="C4878" s="27"/>
      <c r="D4878" s="27"/>
      <c r="E4878" s="27"/>
      <c r="F4878" s="27"/>
      <c r="G4878" s="27"/>
      <c r="H4878" s="27"/>
      <c r="I4878" s="27"/>
      <c r="J4878" s="27"/>
      <c r="K4878" s="27"/>
      <c r="L4878" s="27"/>
    </row>
    <row r="4880" spans="2:19">
      <c r="B4880" s="1" t="s">
        <v>382</v>
      </c>
      <c r="C4880" s="1" t="s">
        <v>2382</v>
      </c>
      <c r="D4880" s="1" t="s">
        <v>812</v>
      </c>
      <c r="E4880" s="1" t="s">
        <v>2383</v>
      </c>
      <c r="F4880" s="1" t="s">
        <v>2384</v>
      </c>
      <c r="G4880" s="5" t="s">
        <v>2385</v>
      </c>
      <c r="H4880" s="1" t="s">
        <v>2386</v>
      </c>
      <c r="I4880" s="1" t="s">
        <v>2387</v>
      </c>
      <c r="J4880" s="1" t="s">
        <v>2388</v>
      </c>
      <c r="K4880" s="5" t="s">
        <v>2389</v>
      </c>
      <c r="M4880" s="1" t="s">
        <v>2390</v>
      </c>
      <c r="N4880" s="1" t="s">
        <v>2391</v>
      </c>
      <c r="O4880" s="1" t="s">
        <v>2392</v>
      </c>
      <c r="P4880" s="1" t="s">
        <v>2393</v>
      </c>
      <c r="Q4880" s="1" t="s">
        <v>677</v>
      </c>
      <c r="R4880" s="1" t="s">
        <v>2394</v>
      </c>
      <c r="S4880" s="1" t="s">
        <v>2395</v>
      </c>
    </row>
    <row r="4881" spans="2:19">
      <c r="B4881" s="7">
        <v>0</v>
      </c>
      <c r="C4881" s="1">
        <f ca="1">控制台!C705</f>
        <v>1</v>
      </c>
      <c r="D4881" s="1">
        <f ca="1" t="shared" ref="D4881:D4912" si="1362">L374</f>
        <v>0</v>
      </c>
      <c r="E4881" s="1">
        <f ca="1" t="shared" ref="E4881:E4912" si="1363">M374*C4881</f>
        <v>0</v>
      </c>
      <c r="F4881" s="1">
        <f ca="1" t="shared" ref="F4881:F4912" si="1364">T476</f>
        <v>0</v>
      </c>
      <c r="G4881" s="5">
        <f ca="1" t="shared" ref="G4881:G4912" si="1365">SUM(E4881:F4881)</f>
        <v>0</v>
      </c>
      <c r="H4881" s="13">
        <v>1</v>
      </c>
      <c r="I4881" s="13">
        <f ca="1" t="shared" ref="I4881:I4912" si="1366">N374*C4881</f>
        <v>0</v>
      </c>
      <c r="J4881" s="13">
        <f ca="1" t="shared" ref="J4881:J4912" si="1367">U476</f>
        <v>0</v>
      </c>
      <c r="K4881" s="47">
        <f ca="1" t="shared" ref="K4881:K4912" si="1368">SUM(H4881:J4881)</f>
        <v>1</v>
      </c>
      <c r="M4881" s="1">
        <f ca="1" t="shared" ref="M4881:M4912" si="1369">C4881*D4881</f>
        <v>0</v>
      </c>
      <c r="N4881" s="1">
        <f ca="1" t="shared" ref="N4881:N4912" si="1370">3600*24/($F$4860/K4881)</f>
        <v>192</v>
      </c>
      <c r="O4881" s="1">
        <f ca="1" t="shared" ref="O4881:O4912" si="1371">IFERROR(N4881/M4881,0)</f>
        <v>0</v>
      </c>
      <c r="P4881" s="1">
        <f ca="1" t="shared" ref="P4881:P4912" si="1372">G4881*($F$4860/K4881)/3600/24</f>
        <v>0</v>
      </c>
      <c r="Q4881" s="1">
        <f ca="1">养成规划!U6</f>
        <v>0</v>
      </c>
      <c r="R4881" s="1">
        <f ca="1" t="shared" ref="R4881:R4912" si="1373">OFFSET($C$4866,MATCH(Q4881,$B$4866:$B$4872,0)-1,0)*$F$4861</f>
        <v>0</v>
      </c>
      <c r="S4881" s="1">
        <f ca="1" t="shared" ref="S4881:S4912" si="1374">R4881*G4881</f>
        <v>0</v>
      </c>
    </row>
    <row r="4882" spans="2:19">
      <c r="B4882" s="7">
        <v>0.1</v>
      </c>
      <c r="C4882" s="1">
        <f ca="1">控制台!C706</f>
        <v>2</v>
      </c>
      <c r="D4882" s="1">
        <f ca="1" t="shared" si="1362"/>
        <v>9</v>
      </c>
      <c r="E4882" s="1">
        <f ca="1" t="shared" si="1363"/>
        <v>100</v>
      </c>
      <c r="F4882" s="1">
        <f ca="1" t="shared" si="1364"/>
        <v>100</v>
      </c>
      <c r="G4882" s="5">
        <f ca="1" t="shared" si="1365"/>
        <v>200</v>
      </c>
      <c r="H4882" s="13">
        <v>1</v>
      </c>
      <c r="I4882" s="13">
        <f ca="1" t="shared" si="1366"/>
        <v>0</v>
      </c>
      <c r="J4882" s="13">
        <f ca="1" t="shared" si="1367"/>
        <v>0</v>
      </c>
      <c r="K4882" s="47">
        <f ca="1" t="shared" si="1368"/>
        <v>1</v>
      </c>
      <c r="M4882" s="1">
        <f ca="1" t="shared" si="1369"/>
        <v>18</v>
      </c>
      <c r="N4882" s="1">
        <f ca="1" t="shared" si="1370"/>
        <v>192</v>
      </c>
      <c r="O4882" s="1">
        <f ca="1" t="shared" si="1371"/>
        <v>10.6666666666667</v>
      </c>
      <c r="P4882" s="1">
        <f ca="1" t="shared" si="1372"/>
        <v>1.04166666666667</v>
      </c>
      <c r="Q4882" s="1">
        <f ca="1">养成规划!U7</f>
        <v>1</v>
      </c>
      <c r="R4882" s="1">
        <f ca="1" t="shared" si="1373"/>
        <v>250</v>
      </c>
      <c r="S4882" s="1">
        <f ca="1" t="shared" si="1374"/>
        <v>50000</v>
      </c>
    </row>
    <row r="4883" spans="2:19">
      <c r="B4883" s="7">
        <v>0.2</v>
      </c>
      <c r="C4883" s="1">
        <f ca="1">控制台!C707</f>
        <v>2</v>
      </c>
      <c r="D4883" s="1">
        <f ca="1" t="shared" si="1362"/>
        <v>12</v>
      </c>
      <c r="E4883" s="1">
        <f ca="1" t="shared" si="1363"/>
        <v>100</v>
      </c>
      <c r="F4883" s="1">
        <f ca="1" t="shared" si="1364"/>
        <v>100</v>
      </c>
      <c r="G4883" s="5">
        <f ca="1" t="shared" si="1365"/>
        <v>200</v>
      </c>
      <c r="H4883" s="13">
        <v>1</v>
      </c>
      <c r="I4883" s="13">
        <f ca="1" t="shared" si="1366"/>
        <v>0</v>
      </c>
      <c r="J4883" s="13">
        <f ca="1" t="shared" si="1367"/>
        <v>0</v>
      </c>
      <c r="K4883" s="47">
        <f ca="1" t="shared" si="1368"/>
        <v>1</v>
      </c>
      <c r="M4883" s="1">
        <f ca="1" t="shared" si="1369"/>
        <v>24</v>
      </c>
      <c r="N4883" s="1">
        <f ca="1" t="shared" si="1370"/>
        <v>192</v>
      </c>
      <c r="O4883" s="1">
        <f ca="1" t="shared" si="1371"/>
        <v>8</v>
      </c>
      <c r="P4883" s="1">
        <f ca="1" t="shared" si="1372"/>
        <v>1.04166666666667</v>
      </c>
      <c r="Q4883" s="1">
        <f ca="1">养成规划!U8</f>
        <v>1</v>
      </c>
      <c r="R4883" s="1">
        <f ca="1" t="shared" si="1373"/>
        <v>250</v>
      </c>
      <c r="S4883" s="1">
        <f ca="1" t="shared" si="1374"/>
        <v>50000</v>
      </c>
    </row>
    <row r="4884" spans="2:19">
      <c r="B4884" s="7">
        <v>0.3</v>
      </c>
      <c r="C4884" s="1">
        <f ca="1">控制台!C708</f>
        <v>2</v>
      </c>
      <c r="D4884" s="1">
        <f ca="1" t="shared" si="1362"/>
        <v>15</v>
      </c>
      <c r="E4884" s="1">
        <f ca="1" t="shared" si="1363"/>
        <v>100</v>
      </c>
      <c r="F4884" s="1">
        <f ca="1" t="shared" si="1364"/>
        <v>100</v>
      </c>
      <c r="G4884" s="5">
        <f ca="1" t="shared" si="1365"/>
        <v>200</v>
      </c>
      <c r="H4884" s="13">
        <v>1</v>
      </c>
      <c r="I4884" s="13">
        <f ca="1" t="shared" si="1366"/>
        <v>2</v>
      </c>
      <c r="J4884" s="13">
        <f ca="1" t="shared" si="1367"/>
        <v>0</v>
      </c>
      <c r="K4884" s="47">
        <f ca="1" t="shared" si="1368"/>
        <v>3</v>
      </c>
      <c r="M4884" s="1">
        <f ca="1" t="shared" si="1369"/>
        <v>30</v>
      </c>
      <c r="N4884" s="1">
        <f ca="1" t="shared" si="1370"/>
        <v>576</v>
      </c>
      <c r="O4884" s="1">
        <f ca="1" t="shared" si="1371"/>
        <v>19.2</v>
      </c>
      <c r="P4884" s="1">
        <f ca="1" t="shared" si="1372"/>
        <v>0.347222222222222</v>
      </c>
      <c r="Q4884" s="1">
        <f ca="1">养成规划!U9</f>
        <v>1</v>
      </c>
      <c r="R4884" s="1">
        <f ca="1" t="shared" si="1373"/>
        <v>250</v>
      </c>
      <c r="S4884" s="1">
        <f ca="1" t="shared" si="1374"/>
        <v>50000</v>
      </c>
    </row>
    <row r="4885" spans="2:19">
      <c r="B4885" s="7">
        <v>0.4</v>
      </c>
      <c r="C4885" s="1">
        <f ca="1">控制台!C709</f>
        <v>3</v>
      </c>
      <c r="D4885" s="1">
        <f ca="1" t="shared" si="1362"/>
        <v>18</v>
      </c>
      <c r="E4885" s="1">
        <f ca="1" t="shared" si="1363"/>
        <v>150</v>
      </c>
      <c r="F4885" s="1">
        <f ca="1" t="shared" si="1364"/>
        <v>100</v>
      </c>
      <c r="G4885" s="5">
        <f ca="1" t="shared" si="1365"/>
        <v>250</v>
      </c>
      <c r="H4885" s="13">
        <v>1</v>
      </c>
      <c r="I4885" s="13">
        <f ca="1" t="shared" si="1366"/>
        <v>3</v>
      </c>
      <c r="J4885" s="13">
        <f ca="1" t="shared" si="1367"/>
        <v>0</v>
      </c>
      <c r="K4885" s="47">
        <f ca="1" t="shared" si="1368"/>
        <v>4</v>
      </c>
      <c r="M4885" s="1">
        <f ca="1" t="shared" si="1369"/>
        <v>54</v>
      </c>
      <c r="N4885" s="1">
        <f ca="1" t="shared" si="1370"/>
        <v>768</v>
      </c>
      <c r="O4885" s="1">
        <f ca="1" t="shared" si="1371"/>
        <v>14.2222222222222</v>
      </c>
      <c r="P4885" s="1">
        <f ca="1" t="shared" si="1372"/>
        <v>0.325520833333333</v>
      </c>
      <c r="Q4885" s="1">
        <f ca="1">养成规划!U10</f>
        <v>1</v>
      </c>
      <c r="R4885" s="1">
        <f ca="1" t="shared" si="1373"/>
        <v>250</v>
      </c>
      <c r="S4885" s="1">
        <f ca="1" t="shared" si="1374"/>
        <v>62500</v>
      </c>
    </row>
    <row r="4886" spans="2:19">
      <c r="B4886" s="7">
        <v>0.5</v>
      </c>
      <c r="C4886" s="1">
        <f ca="1">控制台!C710</f>
        <v>3</v>
      </c>
      <c r="D4886" s="1">
        <f ca="1" t="shared" si="1362"/>
        <v>21</v>
      </c>
      <c r="E4886" s="1">
        <f ca="1" t="shared" si="1363"/>
        <v>210</v>
      </c>
      <c r="F4886" s="1">
        <f ca="1" t="shared" si="1364"/>
        <v>100</v>
      </c>
      <c r="G4886" s="5">
        <f ca="1" t="shared" si="1365"/>
        <v>310</v>
      </c>
      <c r="H4886" s="13">
        <v>1</v>
      </c>
      <c r="I4886" s="13">
        <f ca="1" t="shared" si="1366"/>
        <v>3</v>
      </c>
      <c r="J4886" s="13">
        <f ca="1" t="shared" si="1367"/>
        <v>0</v>
      </c>
      <c r="K4886" s="47">
        <f ca="1" t="shared" si="1368"/>
        <v>4</v>
      </c>
      <c r="M4886" s="1">
        <f ca="1" t="shared" si="1369"/>
        <v>63</v>
      </c>
      <c r="N4886" s="1">
        <f ca="1" t="shared" si="1370"/>
        <v>768</v>
      </c>
      <c r="O4886" s="1">
        <f ca="1" t="shared" si="1371"/>
        <v>12.1904761904762</v>
      </c>
      <c r="P4886" s="1">
        <f ca="1" t="shared" si="1372"/>
        <v>0.403645833333333</v>
      </c>
      <c r="Q4886" s="1">
        <f ca="1">养成规划!U11</f>
        <v>1</v>
      </c>
      <c r="R4886" s="1">
        <f ca="1" t="shared" si="1373"/>
        <v>250</v>
      </c>
      <c r="S4886" s="1">
        <f ca="1" t="shared" si="1374"/>
        <v>77500</v>
      </c>
    </row>
    <row r="4887" spans="2:19">
      <c r="B4887" s="7">
        <v>0.6</v>
      </c>
      <c r="C4887" s="1">
        <f ca="1">控制台!C711</f>
        <v>3</v>
      </c>
      <c r="D4887" s="1">
        <f ca="1" t="shared" si="1362"/>
        <v>24</v>
      </c>
      <c r="E4887" s="1">
        <f ca="1" t="shared" si="1363"/>
        <v>210</v>
      </c>
      <c r="F4887" s="1">
        <f ca="1" t="shared" si="1364"/>
        <v>100</v>
      </c>
      <c r="G4887" s="5">
        <f ca="1" t="shared" si="1365"/>
        <v>310</v>
      </c>
      <c r="H4887" s="13">
        <v>1</v>
      </c>
      <c r="I4887" s="13">
        <f ca="1" t="shared" si="1366"/>
        <v>3</v>
      </c>
      <c r="J4887" s="13">
        <f ca="1" t="shared" si="1367"/>
        <v>0</v>
      </c>
      <c r="K4887" s="47">
        <f ca="1" t="shared" si="1368"/>
        <v>4</v>
      </c>
      <c r="M4887" s="1">
        <f ca="1" t="shared" si="1369"/>
        <v>72</v>
      </c>
      <c r="N4887" s="1">
        <f ca="1" t="shared" si="1370"/>
        <v>768</v>
      </c>
      <c r="O4887" s="1">
        <f ca="1" t="shared" si="1371"/>
        <v>10.6666666666667</v>
      </c>
      <c r="P4887" s="1">
        <f ca="1" t="shared" si="1372"/>
        <v>0.403645833333333</v>
      </c>
      <c r="Q4887" s="1">
        <f ca="1">养成规划!U12</f>
        <v>1</v>
      </c>
      <c r="R4887" s="1">
        <f ca="1" t="shared" si="1373"/>
        <v>250</v>
      </c>
      <c r="S4887" s="1">
        <f ca="1" t="shared" si="1374"/>
        <v>77500</v>
      </c>
    </row>
    <row r="4888" spans="2:19">
      <c r="B4888" s="7">
        <v>0.7</v>
      </c>
      <c r="C4888" s="1">
        <f ca="1">控制台!C712</f>
        <v>3</v>
      </c>
      <c r="D4888" s="1">
        <f ca="1" t="shared" si="1362"/>
        <v>24</v>
      </c>
      <c r="E4888" s="1">
        <f ca="1" t="shared" si="1363"/>
        <v>210</v>
      </c>
      <c r="F4888" s="1">
        <f ca="1" t="shared" si="1364"/>
        <v>100</v>
      </c>
      <c r="G4888" s="5">
        <f ca="1" t="shared" si="1365"/>
        <v>310</v>
      </c>
      <c r="H4888" s="13">
        <v>1</v>
      </c>
      <c r="I4888" s="13">
        <f ca="1" t="shared" si="1366"/>
        <v>3</v>
      </c>
      <c r="J4888" s="13">
        <f ca="1" t="shared" si="1367"/>
        <v>0</v>
      </c>
      <c r="K4888" s="47">
        <f ca="1" t="shared" si="1368"/>
        <v>4</v>
      </c>
      <c r="M4888" s="1">
        <f ca="1" t="shared" si="1369"/>
        <v>72</v>
      </c>
      <c r="N4888" s="1">
        <f ca="1" t="shared" si="1370"/>
        <v>768</v>
      </c>
      <c r="O4888" s="1">
        <f ca="1" t="shared" si="1371"/>
        <v>10.6666666666667</v>
      </c>
      <c r="P4888" s="1">
        <f ca="1" t="shared" si="1372"/>
        <v>0.403645833333333</v>
      </c>
      <c r="Q4888" s="1">
        <f ca="1">养成规划!U13</f>
        <v>1</v>
      </c>
      <c r="R4888" s="1">
        <f ca="1" t="shared" si="1373"/>
        <v>250</v>
      </c>
      <c r="S4888" s="1">
        <f ca="1" t="shared" si="1374"/>
        <v>77500</v>
      </c>
    </row>
    <row r="4889" spans="2:19">
      <c r="B4889" s="7">
        <v>0.8</v>
      </c>
      <c r="C4889" s="1">
        <f ca="1">控制台!C713</f>
        <v>3</v>
      </c>
      <c r="D4889" s="1">
        <f ca="1" t="shared" si="1362"/>
        <v>27</v>
      </c>
      <c r="E4889" s="1">
        <f ca="1" t="shared" si="1363"/>
        <v>210</v>
      </c>
      <c r="F4889" s="1">
        <f ca="1" t="shared" si="1364"/>
        <v>100</v>
      </c>
      <c r="G4889" s="5">
        <f ca="1" t="shared" si="1365"/>
        <v>310</v>
      </c>
      <c r="H4889" s="13">
        <v>1</v>
      </c>
      <c r="I4889" s="13">
        <f ca="1" t="shared" si="1366"/>
        <v>3.06</v>
      </c>
      <c r="J4889" s="13">
        <f ca="1" t="shared" si="1367"/>
        <v>0</v>
      </c>
      <c r="K4889" s="47">
        <f ca="1" t="shared" si="1368"/>
        <v>4.06</v>
      </c>
      <c r="M4889" s="1">
        <f ca="1" t="shared" si="1369"/>
        <v>81</v>
      </c>
      <c r="N4889" s="1">
        <f ca="1" t="shared" si="1370"/>
        <v>779.52</v>
      </c>
      <c r="O4889" s="1">
        <f ca="1" t="shared" si="1371"/>
        <v>9.6237037037037</v>
      </c>
      <c r="P4889" s="1">
        <f ca="1" t="shared" si="1372"/>
        <v>0.397680623973727</v>
      </c>
      <c r="Q4889" s="1">
        <f ca="1">养成规划!U14</f>
        <v>1</v>
      </c>
      <c r="R4889" s="1">
        <f ca="1" t="shared" si="1373"/>
        <v>250</v>
      </c>
      <c r="S4889" s="1">
        <f ca="1" t="shared" si="1374"/>
        <v>77500</v>
      </c>
    </row>
    <row r="4890" spans="2:19">
      <c r="B4890" s="7">
        <v>0.9</v>
      </c>
      <c r="C4890" s="1">
        <f ca="1">控制台!C714</f>
        <v>3</v>
      </c>
      <c r="D4890" s="1">
        <f ca="1" t="shared" si="1362"/>
        <v>27</v>
      </c>
      <c r="E4890" s="1">
        <f ca="1" t="shared" si="1363"/>
        <v>210</v>
      </c>
      <c r="F4890" s="1">
        <f ca="1" t="shared" si="1364"/>
        <v>100</v>
      </c>
      <c r="G4890" s="5">
        <f ca="1" t="shared" si="1365"/>
        <v>310</v>
      </c>
      <c r="H4890" s="13">
        <v>1</v>
      </c>
      <c r="I4890" s="13">
        <f ca="1" t="shared" si="1366"/>
        <v>3.06</v>
      </c>
      <c r="J4890" s="13">
        <f ca="1" t="shared" si="1367"/>
        <v>0</v>
      </c>
      <c r="K4890" s="47">
        <f ca="1" t="shared" si="1368"/>
        <v>4.06</v>
      </c>
      <c r="M4890" s="1">
        <f ca="1" t="shared" si="1369"/>
        <v>81</v>
      </c>
      <c r="N4890" s="1">
        <f ca="1" t="shared" si="1370"/>
        <v>779.52</v>
      </c>
      <c r="O4890" s="1">
        <f ca="1" t="shared" si="1371"/>
        <v>9.6237037037037</v>
      </c>
      <c r="P4890" s="1">
        <f ca="1" t="shared" si="1372"/>
        <v>0.397680623973727</v>
      </c>
      <c r="Q4890" s="1">
        <f ca="1">养成规划!U15</f>
        <v>1</v>
      </c>
      <c r="R4890" s="1">
        <f ca="1" t="shared" si="1373"/>
        <v>250</v>
      </c>
      <c r="S4890" s="1">
        <f ca="1" t="shared" si="1374"/>
        <v>77500</v>
      </c>
    </row>
    <row r="4891" spans="2:19">
      <c r="B4891" s="7">
        <v>1</v>
      </c>
      <c r="C4891" s="1">
        <f ca="1">控制台!C715</f>
        <v>4</v>
      </c>
      <c r="D4891" s="1">
        <f ca="1" t="shared" si="1362"/>
        <v>30</v>
      </c>
      <c r="E4891" s="1">
        <f ca="1" t="shared" si="1363"/>
        <v>280</v>
      </c>
      <c r="F4891" s="1">
        <f ca="1" t="shared" si="1364"/>
        <v>100</v>
      </c>
      <c r="G4891" s="5">
        <f ca="1" t="shared" si="1365"/>
        <v>380</v>
      </c>
      <c r="H4891" s="13">
        <v>1</v>
      </c>
      <c r="I4891" s="13">
        <f ca="1" t="shared" si="1366"/>
        <v>4.08</v>
      </c>
      <c r="J4891" s="13">
        <f ca="1" t="shared" si="1367"/>
        <v>0</v>
      </c>
      <c r="K4891" s="47">
        <f ca="1" t="shared" si="1368"/>
        <v>5.08</v>
      </c>
      <c r="M4891" s="1">
        <f ca="1" t="shared" si="1369"/>
        <v>120</v>
      </c>
      <c r="N4891" s="1">
        <f ca="1" t="shared" si="1370"/>
        <v>975.36</v>
      </c>
      <c r="O4891" s="1">
        <f ca="1" t="shared" si="1371"/>
        <v>8.128</v>
      </c>
      <c r="P4891" s="1">
        <f ca="1" t="shared" si="1372"/>
        <v>0.389599737532808</v>
      </c>
      <c r="Q4891" s="1">
        <f ca="1">养成规划!U16</f>
        <v>1</v>
      </c>
      <c r="R4891" s="1">
        <f ca="1" t="shared" si="1373"/>
        <v>250</v>
      </c>
      <c r="S4891" s="1">
        <f ca="1" t="shared" si="1374"/>
        <v>95000</v>
      </c>
    </row>
    <row r="4892" spans="2:19">
      <c r="B4892" s="9">
        <v>1.5</v>
      </c>
      <c r="C4892" s="1">
        <f ca="1">控制台!C716</f>
        <v>4</v>
      </c>
      <c r="D4892" s="1">
        <f ca="1" t="shared" si="1362"/>
        <v>33</v>
      </c>
      <c r="E4892" s="1">
        <f ca="1" t="shared" si="1363"/>
        <v>360</v>
      </c>
      <c r="F4892" s="1">
        <f ca="1" t="shared" si="1364"/>
        <v>100</v>
      </c>
      <c r="G4892" s="5">
        <f ca="1" t="shared" si="1365"/>
        <v>460</v>
      </c>
      <c r="H4892" s="13">
        <v>1</v>
      </c>
      <c r="I4892" s="13">
        <f ca="1" t="shared" si="1366"/>
        <v>4.08</v>
      </c>
      <c r="J4892" s="13">
        <f ca="1" t="shared" si="1367"/>
        <v>0</v>
      </c>
      <c r="K4892" s="47">
        <f ca="1" t="shared" si="1368"/>
        <v>5.08</v>
      </c>
      <c r="M4892" s="1">
        <f ca="1" t="shared" si="1369"/>
        <v>132</v>
      </c>
      <c r="N4892" s="1">
        <f ca="1" t="shared" si="1370"/>
        <v>975.36</v>
      </c>
      <c r="O4892" s="1">
        <f ca="1" t="shared" si="1371"/>
        <v>7.38909090909091</v>
      </c>
      <c r="P4892" s="1">
        <f ca="1" t="shared" si="1372"/>
        <v>0.471620734908136</v>
      </c>
      <c r="Q4892" s="1">
        <f ca="1">养成规划!U17</f>
        <v>2</v>
      </c>
      <c r="R4892" s="1">
        <f ca="1" t="shared" si="1373"/>
        <v>750</v>
      </c>
      <c r="S4892" s="1">
        <f ca="1" t="shared" si="1374"/>
        <v>345000</v>
      </c>
    </row>
    <row r="4893" spans="2:19">
      <c r="B4893" s="9">
        <v>2</v>
      </c>
      <c r="C4893" s="1">
        <f ca="1">控制台!C717</f>
        <v>4</v>
      </c>
      <c r="D4893" s="1">
        <f ca="1" t="shared" si="1362"/>
        <v>36</v>
      </c>
      <c r="E4893" s="1">
        <f ca="1" t="shared" si="1363"/>
        <v>360</v>
      </c>
      <c r="F4893" s="1">
        <f ca="1" t="shared" si="1364"/>
        <v>100</v>
      </c>
      <c r="G4893" s="5">
        <f ca="1" t="shared" si="1365"/>
        <v>460</v>
      </c>
      <c r="H4893" s="13">
        <v>1</v>
      </c>
      <c r="I4893" s="13">
        <f ca="1" t="shared" si="1366"/>
        <v>4.08</v>
      </c>
      <c r="J4893" s="13">
        <f ca="1" t="shared" si="1367"/>
        <v>0</v>
      </c>
      <c r="K4893" s="47">
        <f ca="1" t="shared" si="1368"/>
        <v>5.08</v>
      </c>
      <c r="M4893" s="1">
        <f ca="1" t="shared" si="1369"/>
        <v>144</v>
      </c>
      <c r="N4893" s="1">
        <f ca="1" t="shared" si="1370"/>
        <v>975.36</v>
      </c>
      <c r="O4893" s="1">
        <f ca="1" t="shared" si="1371"/>
        <v>6.77333333333333</v>
      </c>
      <c r="P4893" s="1">
        <f ca="1" t="shared" si="1372"/>
        <v>0.471620734908136</v>
      </c>
      <c r="Q4893" s="1">
        <f ca="1">养成规划!U18</f>
        <v>2</v>
      </c>
      <c r="R4893" s="1">
        <f ca="1" t="shared" si="1373"/>
        <v>750</v>
      </c>
      <c r="S4893" s="1">
        <f ca="1" t="shared" si="1374"/>
        <v>345000</v>
      </c>
    </row>
    <row r="4894" spans="2:19">
      <c r="B4894" s="9">
        <v>2.5</v>
      </c>
      <c r="C4894" s="1">
        <f ca="1">控制台!C718</f>
        <v>4</v>
      </c>
      <c r="D4894" s="1">
        <f ca="1" t="shared" si="1362"/>
        <v>39</v>
      </c>
      <c r="E4894" s="1">
        <f ca="1" t="shared" si="1363"/>
        <v>360</v>
      </c>
      <c r="F4894" s="1">
        <f ca="1" t="shared" si="1364"/>
        <v>100</v>
      </c>
      <c r="G4894" s="5">
        <f ca="1" t="shared" si="1365"/>
        <v>460</v>
      </c>
      <c r="H4894" s="13">
        <v>1</v>
      </c>
      <c r="I4894" s="13">
        <f ca="1" t="shared" si="1366"/>
        <v>4.16</v>
      </c>
      <c r="J4894" s="13">
        <f ca="1" t="shared" si="1367"/>
        <v>0</v>
      </c>
      <c r="K4894" s="47">
        <f ca="1" t="shared" si="1368"/>
        <v>5.16</v>
      </c>
      <c r="M4894" s="1">
        <f ca="1" t="shared" si="1369"/>
        <v>156</v>
      </c>
      <c r="N4894" s="1">
        <f ca="1" t="shared" si="1370"/>
        <v>990.72</v>
      </c>
      <c r="O4894" s="1">
        <f ca="1" t="shared" si="1371"/>
        <v>6.35076923076923</v>
      </c>
      <c r="P4894" s="1">
        <f ca="1" t="shared" si="1372"/>
        <v>0.464308785529716</v>
      </c>
      <c r="Q4894" s="1">
        <f ca="1">养成规划!U19</f>
        <v>2</v>
      </c>
      <c r="R4894" s="1">
        <f ca="1" t="shared" si="1373"/>
        <v>750</v>
      </c>
      <c r="S4894" s="1">
        <f ca="1" t="shared" si="1374"/>
        <v>345000</v>
      </c>
    </row>
    <row r="4895" spans="2:19">
      <c r="B4895" s="9">
        <v>3</v>
      </c>
      <c r="C4895" s="1">
        <f ca="1">控制台!C719</f>
        <v>4</v>
      </c>
      <c r="D4895" s="1">
        <f ca="1" t="shared" si="1362"/>
        <v>42</v>
      </c>
      <c r="E4895" s="1">
        <f ca="1" t="shared" si="1363"/>
        <v>360</v>
      </c>
      <c r="F4895" s="1">
        <f ca="1" t="shared" si="1364"/>
        <v>100</v>
      </c>
      <c r="G4895" s="5">
        <f ca="1" t="shared" si="1365"/>
        <v>460</v>
      </c>
      <c r="H4895" s="13">
        <v>1</v>
      </c>
      <c r="I4895" s="13">
        <f ca="1" t="shared" si="1366"/>
        <v>4.16</v>
      </c>
      <c r="J4895" s="13">
        <f ca="1" t="shared" si="1367"/>
        <v>0</v>
      </c>
      <c r="K4895" s="47">
        <f ca="1" t="shared" si="1368"/>
        <v>5.16</v>
      </c>
      <c r="M4895" s="1">
        <f ca="1" t="shared" si="1369"/>
        <v>168</v>
      </c>
      <c r="N4895" s="1">
        <f ca="1" t="shared" si="1370"/>
        <v>990.72</v>
      </c>
      <c r="O4895" s="1">
        <f ca="1" t="shared" si="1371"/>
        <v>5.89714285714286</v>
      </c>
      <c r="P4895" s="1">
        <f ca="1" t="shared" si="1372"/>
        <v>0.464308785529716</v>
      </c>
      <c r="Q4895" s="1">
        <f ca="1">养成规划!U20</f>
        <v>2</v>
      </c>
      <c r="R4895" s="1">
        <f ca="1" t="shared" si="1373"/>
        <v>750</v>
      </c>
      <c r="S4895" s="1">
        <f ca="1" t="shared" si="1374"/>
        <v>345000</v>
      </c>
    </row>
    <row r="4896" spans="2:19">
      <c r="B4896" s="9">
        <v>3.5</v>
      </c>
      <c r="C4896" s="1">
        <f ca="1">控制台!C720</f>
        <v>4</v>
      </c>
      <c r="D4896" s="1">
        <f ca="1" t="shared" si="1362"/>
        <v>42</v>
      </c>
      <c r="E4896" s="1">
        <f ca="1" t="shared" si="1363"/>
        <v>360</v>
      </c>
      <c r="F4896" s="1">
        <f ca="1" t="shared" si="1364"/>
        <v>100</v>
      </c>
      <c r="G4896" s="5">
        <f ca="1" t="shared" si="1365"/>
        <v>460</v>
      </c>
      <c r="H4896" s="13">
        <v>1</v>
      </c>
      <c r="I4896" s="13">
        <f ca="1" t="shared" si="1366"/>
        <v>4.16</v>
      </c>
      <c r="J4896" s="13">
        <f ca="1" t="shared" si="1367"/>
        <v>0</v>
      </c>
      <c r="K4896" s="47">
        <f ca="1" t="shared" si="1368"/>
        <v>5.16</v>
      </c>
      <c r="M4896" s="1">
        <f ca="1" t="shared" si="1369"/>
        <v>168</v>
      </c>
      <c r="N4896" s="1">
        <f ca="1" t="shared" si="1370"/>
        <v>990.72</v>
      </c>
      <c r="O4896" s="1">
        <f ca="1" t="shared" si="1371"/>
        <v>5.89714285714286</v>
      </c>
      <c r="P4896" s="1">
        <f ca="1" t="shared" si="1372"/>
        <v>0.464308785529716</v>
      </c>
      <c r="Q4896" s="1">
        <f ca="1">养成规划!U21</f>
        <v>2</v>
      </c>
      <c r="R4896" s="1">
        <f ca="1" t="shared" si="1373"/>
        <v>750</v>
      </c>
      <c r="S4896" s="1">
        <f ca="1" t="shared" si="1374"/>
        <v>345000</v>
      </c>
    </row>
    <row r="4897" spans="2:19">
      <c r="B4897" s="9">
        <v>4</v>
      </c>
      <c r="C4897" s="1">
        <f ca="1">控制台!C721</f>
        <v>4</v>
      </c>
      <c r="D4897" s="1">
        <f ca="1" t="shared" si="1362"/>
        <v>45</v>
      </c>
      <c r="E4897" s="1">
        <f ca="1" t="shared" si="1363"/>
        <v>360</v>
      </c>
      <c r="F4897" s="1">
        <f ca="1" t="shared" si="1364"/>
        <v>100</v>
      </c>
      <c r="G4897" s="5">
        <f ca="1" t="shared" si="1365"/>
        <v>460</v>
      </c>
      <c r="H4897" s="13">
        <v>1</v>
      </c>
      <c r="I4897" s="13">
        <f ca="1" t="shared" si="1366"/>
        <v>4.16</v>
      </c>
      <c r="J4897" s="13">
        <f ca="1" t="shared" si="1367"/>
        <v>0</v>
      </c>
      <c r="K4897" s="47">
        <f ca="1" t="shared" si="1368"/>
        <v>5.16</v>
      </c>
      <c r="M4897" s="1">
        <f ca="1" t="shared" si="1369"/>
        <v>180</v>
      </c>
      <c r="N4897" s="1">
        <f ca="1" t="shared" si="1370"/>
        <v>990.72</v>
      </c>
      <c r="O4897" s="1">
        <f ca="1" t="shared" si="1371"/>
        <v>5.504</v>
      </c>
      <c r="P4897" s="1">
        <f ca="1" t="shared" si="1372"/>
        <v>0.464308785529716</v>
      </c>
      <c r="Q4897" s="1">
        <f ca="1">养成规划!U22</f>
        <v>2</v>
      </c>
      <c r="R4897" s="1">
        <f ca="1" t="shared" si="1373"/>
        <v>750</v>
      </c>
      <c r="S4897" s="1">
        <f ca="1" t="shared" si="1374"/>
        <v>345000</v>
      </c>
    </row>
    <row r="4898" spans="2:19">
      <c r="B4898" s="9">
        <v>4.5</v>
      </c>
      <c r="C4898" s="1">
        <f ca="1">控制台!C722</f>
        <v>4</v>
      </c>
      <c r="D4898" s="1">
        <f ca="1" t="shared" si="1362"/>
        <v>45</v>
      </c>
      <c r="E4898" s="1">
        <f ca="1" t="shared" si="1363"/>
        <v>360</v>
      </c>
      <c r="F4898" s="1">
        <f ca="1" t="shared" si="1364"/>
        <v>100</v>
      </c>
      <c r="G4898" s="5">
        <f ca="1" t="shared" si="1365"/>
        <v>460</v>
      </c>
      <c r="H4898" s="13">
        <v>1</v>
      </c>
      <c r="I4898" s="13">
        <f ca="1" t="shared" si="1366"/>
        <v>4.16</v>
      </c>
      <c r="J4898" s="13">
        <f ca="1" t="shared" si="1367"/>
        <v>0</v>
      </c>
      <c r="K4898" s="47">
        <f ca="1" t="shared" si="1368"/>
        <v>5.16</v>
      </c>
      <c r="M4898" s="1">
        <f ca="1" t="shared" si="1369"/>
        <v>180</v>
      </c>
      <c r="N4898" s="1">
        <f ca="1" t="shared" si="1370"/>
        <v>990.72</v>
      </c>
      <c r="O4898" s="1">
        <f ca="1" t="shared" si="1371"/>
        <v>5.504</v>
      </c>
      <c r="P4898" s="1">
        <f ca="1" t="shared" si="1372"/>
        <v>0.464308785529716</v>
      </c>
      <c r="Q4898" s="1">
        <f ca="1">养成规划!U23</f>
        <v>2</v>
      </c>
      <c r="R4898" s="1">
        <f ca="1" t="shared" si="1373"/>
        <v>750</v>
      </c>
      <c r="S4898" s="1">
        <f ca="1" t="shared" si="1374"/>
        <v>345000</v>
      </c>
    </row>
    <row r="4899" spans="2:19">
      <c r="B4899" s="9">
        <v>5</v>
      </c>
      <c r="C4899" s="1">
        <f ca="1">控制台!C723</f>
        <v>4</v>
      </c>
      <c r="D4899" s="1">
        <f ca="1" t="shared" si="1362"/>
        <v>48</v>
      </c>
      <c r="E4899" s="1">
        <f ca="1" t="shared" si="1363"/>
        <v>480</v>
      </c>
      <c r="F4899" s="1">
        <f ca="1" t="shared" si="1364"/>
        <v>100</v>
      </c>
      <c r="G4899" s="5">
        <f ca="1" t="shared" si="1365"/>
        <v>580</v>
      </c>
      <c r="H4899" s="13">
        <v>1</v>
      </c>
      <c r="I4899" s="13">
        <f ca="1" t="shared" si="1366"/>
        <v>4.16</v>
      </c>
      <c r="J4899" s="13">
        <f ca="1" t="shared" si="1367"/>
        <v>0</v>
      </c>
      <c r="K4899" s="47">
        <f ca="1" t="shared" si="1368"/>
        <v>5.16</v>
      </c>
      <c r="M4899" s="1">
        <f ca="1" t="shared" si="1369"/>
        <v>192</v>
      </c>
      <c r="N4899" s="1">
        <f ca="1" t="shared" si="1370"/>
        <v>990.72</v>
      </c>
      <c r="O4899" s="1">
        <f ca="1" t="shared" si="1371"/>
        <v>5.16</v>
      </c>
      <c r="P4899" s="1">
        <f ca="1" t="shared" si="1372"/>
        <v>0.585432816537468</v>
      </c>
      <c r="Q4899" s="1">
        <f ca="1">养成规划!U24</f>
        <v>2</v>
      </c>
      <c r="R4899" s="1">
        <f ca="1" t="shared" si="1373"/>
        <v>750</v>
      </c>
      <c r="S4899" s="1">
        <f ca="1" t="shared" si="1374"/>
        <v>435000</v>
      </c>
    </row>
    <row r="4900" spans="2:19">
      <c r="B4900" s="9">
        <v>5.5</v>
      </c>
      <c r="C4900" s="1">
        <f ca="1">控制台!C724</f>
        <v>4</v>
      </c>
      <c r="D4900" s="1">
        <f ca="1" t="shared" si="1362"/>
        <v>48</v>
      </c>
      <c r="E4900" s="1">
        <f ca="1" t="shared" si="1363"/>
        <v>480</v>
      </c>
      <c r="F4900" s="1">
        <f ca="1" t="shared" si="1364"/>
        <v>100</v>
      </c>
      <c r="G4900" s="5">
        <f ca="1" t="shared" si="1365"/>
        <v>580</v>
      </c>
      <c r="H4900" s="13">
        <v>1</v>
      </c>
      <c r="I4900" s="13">
        <f ca="1" t="shared" si="1366"/>
        <v>4.16</v>
      </c>
      <c r="J4900" s="13">
        <f ca="1" t="shared" si="1367"/>
        <v>0.15</v>
      </c>
      <c r="K4900" s="47">
        <f ca="1" t="shared" si="1368"/>
        <v>5.31</v>
      </c>
      <c r="M4900" s="1">
        <f ca="1" t="shared" si="1369"/>
        <v>192</v>
      </c>
      <c r="N4900" s="1">
        <f ca="1" t="shared" si="1370"/>
        <v>1019.52</v>
      </c>
      <c r="O4900" s="1">
        <f ca="1" t="shared" si="1371"/>
        <v>5.31</v>
      </c>
      <c r="P4900" s="1">
        <f ca="1" t="shared" si="1372"/>
        <v>0.568895166352793</v>
      </c>
      <c r="Q4900" s="1">
        <f ca="1">养成规划!U25</f>
        <v>2</v>
      </c>
      <c r="R4900" s="1">
        <f ca="1" t="shared" si="1373"/>
        <v>750</v>
      </c>
      <c r="S4900" s="1">
        <f ca="1" t="shared" si="1374"/>
        <v>435000</v>
      </c>
    </row>
    <row r="4901" spans="2:19">
      <c r="B4901" s="9">
        <v>6</v>
      </c>
      <c r="C4901" s="1">
        <f ca="1">控制台!C725</f>
        <v>4</v>
      </c>
      <c r="D4901" s="1">
        <f ca="1" t="shared" si="1362"/>
        <v>48</v>
      </c>
      <c r="E4901" s="1">
        <f ca="1" t="shared" si="1363"/>
        <v>480</v>
      </c>
      <c r="F4901" s="1">
        <f ca="1" t="shared" si="1364"/>
        <v>100</v>
      </c>
      <c r="G4901" s="5">
        <f ca="1" t="shared" si="1365"/>
        <v>580</v>
      </c>
      <c r="H4901" s="13">
        <v>1</v>
      </c>
      <c r="I4901" s="13">
        <f ca="1" t="shared" si="1366"/>
        <v>4.16</v>
      </c>
      <c r="J4901" s="13">
        <f ca="1" t="shared" si="1367"/>
        <v>0.15</v>
      </c>
      <c r="K4901" s="47">
        <f ca="1" t="shared" si="1368"/>
        <v>5.31</v>
      </c>
      <c r="M4901" s="1">
        <f ca="1" t="shared" si="1369"/>
        <v>192</v>
      </c>
      <c r="N4901" s="1">
        <f ca="1" t="shared" si="1370"/>
        <v>1019.52</v>
      </c>
      <c r="O4901" s="1">
        <f ca="1" t="shared" si="1371"/>
        <v>5.31</v>
      </c>
      <c r="P4901" s="1">
        <f ca="1" t="shared" si="1372"/>
        <v>0.568895166352793</v>
      </c>
      <c r="Q4901" s="1">
        <f ca="1">养成规划!U26</f>
        <v>2</v>
      </c>
      <c r="R4901" s="1">
        <f ca="1" t="shared" si="1373"/>
        <v>750</v>
      </c>
      <c r="S4901" s="1">
        <f ca="1" t="shared" si="1374"/>
        <v>435000</v>
      </c>
    </row>
    <row r="4902" spans="2:19">
      <c r="B4902" s="9">
        <v>6.5</v>
      </c>
      <c r="C4902" s="1">
        <f ca="1">控制台!C726</f>
        <v>4</v>
      </c>
      <c r="D4902" s="1">
        <f ca="1" t="shared" si="1362"/>
        <v>48</v>
      </c>
      <c r="E4902" s="1">
        <f ca="1" t="shared" si="1363"/>
        <v>480</v>
      </c>
      <c r="F4902" s="1">
        <f ca="1" t="shared" si="1364"/>
        <v>100</v>
      </c>
      <c r="G4902" s="5">
        <f ca="1" t="shared" si="1365"/>
        <v>580</v>
      </c>
      <c r="H4902" s="13">
        <v>1</v>
      </c>
      <c r="I4902" s="13">
        <f ca="1" t="shared" si="1366"/>
        <v>4.16</v>
      </c>
      <c r="J4902" s="13">
        <f ca="1" t="shared" si="1367"/>
        <v>0.15</v>
      </c>
      <c r="K4902" s="47">
        <f ca="1" t="shared" si="1368"/>
        <v>5.31</v>
      </c>
      <c r="M4902" s="1">
        <f ca="1" t="shared" si="1369"/>
        <v>192</v>
      </c>
      <c r="N4902" s="1">
        <f ca="1" t="shared" si="1370"/>
        <v>1019.52</v>
      </c>
      <c r="O4902" s="1">
        <f ca="1" t="shared" si="1371"/>
        <v>5.31</v>
      </c>
      <c r="P4902" s="1">
        <f ca="1" t="shared" si="1372"/>
        <v>0.568895166352793</v>
      </c>
      <c r="Q4902" s="1">
        <f ca="1">养成规划!U27</f>
        <v>2</v>
      </c>
      <c r="R4902" s="1">
        <f ca="1" t="shared" si="1373"/>
        <v>750</v>
      </c>
      <c r="S4902" s="1">
        <f ca="1" t="shared" si="1374"/>
        <v>435000</v>
      </c>
    </row>
    <row r="4903" spans="2:19">
      <c r="B4903" s="9">
        <v>7</v>
      </c>
      <c r="C4903" s="1">
        <f ca="1">控制台!C727</f>
        <v>5</v>
      </c>
      <c r="D4903" s="1">
        <f ca="1" t="shared" si="1362"/>
        <v>51</v>
      </c>
      <c r="E4903" s="1">
        <f ca="1" t="shared" si="1363"/>
        <v>600</v>
      </c>
      <c r="F4903" s="1">
        <f ca="1" t="shared" si="1364"/>
        <v>100</v>
      </c>
      <c r="G4903" s="5">
        <f ca="1" t="shared" si="1365"/>
        <v>700</v>
      </c>
      <c r="H4903" s="13">
        <v>1</v>
      </c>
      <c r="I4903" s="13">
        <f ca="1" t="shared" si="1366"/>
        <v>5.2</v>
      </c>
      <c r="J4903" s="13">
        <f ca="1" t="shared" si="1367"/>
        <v>0.15</v>
      </c>
      <c r="K4903" s="47">
        <f ca="1" t="shared" si="1368"/>
        <v>6.35</v>
      </c>
      <c r="M4903" s="1">
        <f ca="1" t="shared" si="1369"/>
        <v>255</v>
      </c>
      <c r="N4903" s="1">
        <f ca="1" t="shared" si="1370"/>
        <v>1219.2</v>
      </c>
      <c r="O4903" s="1">
        <f ca="1" t="shared" si="1371"/>
        <v>4.78117647058824</v>
      </c>
      <c r="P4903" s="1">
        <f ca="1" t="shared" si="1372"/>
        <v>0.574146981627296</v>
      </c>
      <c r="Q4903" s="1">
        <f ca="1">养成规划!U28</f>
        <v>3</v>
      </c>
      <c r="R4903" s="1">
        <f ca="1" t="shared" si="1373"/>
        <v>2000</v>
      </c>
      <c r="S4903" s="1">
        <f ca="1" t="shared" si="1374"/>
        <v>1400000</v>
      </c>
    </row>
    <row r="4904" spans="2:19">
      <c r="B4904" s="10">
        <v>8</v>
      </c>
      <c r="C4904" s="1">
        <f ca="1">控制台!C728</f>
        <v>5</v>
      </c>
      <c r="D4904" s="1">
        <f ca="1" t="shared" si="1362"/>
        <v>51</v>
      </c>
      <c r="E4904" s="1">
        <f ca="1" t="shared" si="1363"/>
        <v>600</v>
      </c>
      <c r="F4904" s="1">
        <f ca="1" t="shared" si="1364"/>
        <v>100</v>
      </c>
      <c r="G4904" s="5">
        <f ca="1" t="shared" si="1365"/>
        <v>700</v>
      </c>
      <c r="H4904" s="13">
        <v>1</v>
      </c>
      <c r="I4904" s="13">
        <f ca="1" t="shared" si="1366"/>
        <v>5.2</v>
      </c>
      <c r="J4904" s="13">
        <f ca="1" t="shared" si="1367"/>
        <v>0.15</v>
      </c>
      <c r="K4904" s="47">
        <f ca="1" t="shared" si="1368"/>
        <v>6.35</v>
      </c>
      <c r="M4904" s="1">
        <f ca="1" t="shared" si="1369"/>
        <v>255</v>
      </c>
      <c r="N4904" s="1">
        <f ca="1" t="shared" si="1370"/>
        <v>1219.2</v>
      </c>
      <c r="O4904" s="1">
        <f ca="1" t="shared" si="1371"/>
        <v>4.78117647058824</v>
      </c>
      <c r="P4904" s="1">
        <f ca="1" t="shared" si="1372"/>
        <v>0.574146981627296</v>
      </c>
      <c r="Q4904" s="1">
        <f ca="1">养成规划!U29</f>
        <v>3</v>
      </c>
      <c r="R4904" s="1">
        <f ca="1" t="shared" si="1373"/>
        <v>2000</v>
      </c>
      <c r="S4904" s="1">
        <f ca="1" t="shared" si="1374"/>
        <v>1400000</v>
      </c>
    </row>
    <row r="4905" spans="2:19">
      <c r="B4905" s="10">
        <v>9</v>
      </c>
      <c r="C4905" s="1">
        <f ca="1">控制台!C729</f>
        <v>5</v>
      </c>
      <c r="D4905" s="1">
        <f ca="1" t="shared" si="1362"/>
        <v>54</v>
      </c>
      <c r="E4905" s="1">
        <f ca="1" t="shared" si="1363"/>
        <v>600</v>
      </c>
      <c r="F4905" s="1">
        <f ca="1" t="shared" si="1364"/>
        <v>100</v>
      </c>
      <c r="G4905" s="5">
        <f ca="1" t="shared" si="1365"/>
        <v>700</v>
      </c>
      <c r="H4905" s="13">
        <v>1</v>
      </c>
      <c r="I4905" s="13">
        <f ca="1" t="shared" si="1366"/>
        <v>5.3</v>
      </c>
      <c r="J4905" s="13">
        <f ca="1" t="shared" si="1367"/>
        <v>0.15</v>
      </c>
      <c r="K4905" s="47">
        <f ca="1" t="shared" si="1368"/>
        <v>6.45</v>
      </c>
      <c r="M4905" s="1">
        <f ca="1" t="shared" si="1369"/>
        <v>270</v>
      </c>
      <c r="N4905" s="1">
        <f ca="1" t="shared" si="1370"/>
        <v>1238.4</v>
      </c>
      <c r="O4905" s="1">
        <f ca="1" t="shared" si="1371"/>
        <v>4.58666666666667</v>
      </c>
      <c r="P4905" s="1">
        <f ca="1" t="shared" si="1372"/>
        <v>0.565245478036176</v>
      </c>
      <c r="Q4905" s="1">
        <f ca="1">养成规划!U30</f>
        <v>3</v>
      </c>
      <c r="R4905" s="1">
        <f ca="1" t="shared" si="1373"/>
        <v>2000</v>
      </c>
      <c r="S4905" s="1">
        <f ca="1" t="shared" si="1374"/>
        <v>1400000</v>
      </c>
    </row>
    <row r="4906" spans="2:19">
      <c r="B4906" s="10">
        <v>10</v>
      </c>
      <c r="C4906" s="1">
        <f ca="1">控制台!C730</f>
        <v>5</v>
      </c>
      <c r="D4906" s="1">
        <f ca="1" t="shared" si="1362"/>
        <v>54</v>
      </c>
      <c r="E4906" s="1">
        <f ca="1" t="shared" si="1363"/>
        <v>600</v>
      </c>
      <c r="F4906" s="1">
        <f ca="1" t="shared" si="1364"/>
        <v>100</v>
      </c>
      <c r="G4906" s="5">
        <f ca="1" t="shared" si="1365"/>
        <v>700</v>
      </c>
      <c r="H4906" s="13">
        <v>1</v>
      </c>
      <c r="I4906" s="13">
        <f ca="1" t="shared" si="1366"/>
        <v>5.3</v>
      </c>
      <c r="J4906" s="13">
        <f ca="1" t="shared" si="1367"/>
        <v>0.15</v>
      </c>
      <c r="K4906" s="47">
        <f ca="1" t="shared" si="1368"/>
        <v>6.45</v>
      </c>
      <c r="M4906" s="1">
        <f ca="1" t="shared" si="1369"/>
        <v>270</v>
      </c>
      <c r="N4906" s="1">
        <f ca="1" t="shared" si="1370"/>
        <v>1238.4</v>
      </c>
      <c r="O4906" s="1">
        <f ca="1" t="shared" si="1371"/>
        <v>4.58666666666667</v>
      </c>
      <c r="P4906" s="1">
        <f ca="1" t="shared" si="1372"/>
        <v>0.565245478036176</v>
      </c>
      <c r="Q4906" s="1">
        <f ca="1">养成规划!U31</f>
        <v>3</v>
      </c>
      <c r="R4906" s="1">
        <f ca="1" t="shared" si="1373"/>
        <v>2000</v>
      </c>
      <c r="S4906" s="1">
        <f ca="1" t="shared" si="1374"/>
        <v>1400000</v>
      </c>
    </row>
    <row r="4907" spans="2:19">
      <c r="B4907" s="10">
        <v>11</v>
      </c>
      <c r="C4907" s="1">
        <f ca="1">控制台!C731</f>
        <v>5</v>
      </c>
      <c r="D4907" s="1">
        <f ca="1" t="shared" si="1362"/>
        <v>57</v>
      </c>
      <c r="E4907" s="1">
        <f ca="1" t="shared" si="1363"/>
        <v>600</v>
      </c>
      <c r="F4907" s="1">
        <f ca="1" t="shared" si="1364"/>
        <v>100</v>
      </c>
      <c r="G4907" s="5">
        <f ca="1" t="shared" si="1365"/>
        <v>700</v>
      </c>
      <c r="H4907" s="13">
        <v>1</v>
      </c>
      <c r="I4907" s="13">
        <f ca="1" t="shared" si="1366"/>
        <v>5.3</v>
      </c>
      <c r="J4907" s="13">
        <f ca="1" t="shared" si="1367"/>
        <v>0.15</v>
      </c>
      <c r="K4907" s="47">
        <f ca="1" t="shared" si="1368"/>
        <v>6.45</v>
      </c>
      <c r="M4907" s="1">
        <f ca="1" t="shared" si="1369"/>
        <v>285</v>
      </c>
      <c r="N4907" s="1">
        <f ca="1" t="shared" si="1370"/>
        <v>1238.4</v>
      </c>
      <c r="O4907" s="1">
        <f ca="1" t="shared" si="1371"/>
        <v>4.34526315789474</v>
      </c>
      <c r="P4907" s="1">
        <f ca="1" t="shared" si="1372"/>
        <v>0.565245478036176</v>
      </c>
      <c r="Q4907" s="1">
        <f ca="1">养成规划!U32</f>
        <v>3</v>
      </c>
      <c r="R4907" s="1">
        <f ca="1" t="shared" si="1373"/>
        <v>2000</v>
      </c>
      <c r="S4907" s="1">
        <f ca="1" t="shared" si="1374"/>
        <v>1400000</v>
      </c>
    </row>
    <row r="4908" spans="2:19">
      <c r="B4908" s="10">
        <v>12</v>
      </c>
      <c r="C4908" s="1">
        <f ca="1">控制台!C732</f>
        <v>5</v>
      </c>
      <c r="D4908" s="1">
        <f ca="1" t="shared" si="1362"/>
        <v>57</v>
      </c>
      <c r="E4908" s="1">
        <f ca="1" t="shared" si="1363"/>
        <v>600</v>
      </c>
      <c r="F4908" s="1">
        <f ca="1" t="shared" si="1364"/>
        <v>100</v>
      </c>
      <c r="G4908" s="5">
        <f ca="1" t="shared" si="1365"/>
        <v>700</v>
      </c>
      <c r="H4908" s="13">
        <v>1</v>
      </c>
      <c r="I4908" s="13">
        <f ca="1" t="shared" si="1366"/>
        <v>5.3</v>
      </c>
      <c r="J4908" s="13">
        <f ca="1" t="shared" si="1367"/>
        <v>0.15</v>
      </c>
      <c r="K4908" s="47">
        <f ca="1" t="shared" si="1368"/>
        <v>6.45</v>
      </c>
      <c r="M4908" s="1">
        <f ca="1" t="shared" si="1369"/>
        <v>285</v>
      </c>
      <c r="N4908" s="1">
        <f ca="1" t="shared" si="1370"/>
        <v>1238.4</v>
      </c>
      <c r="O4908" s="1">
        <f ca="1" t="shared" si="1371"/>
        <v>4.34526315789474</v>
      </c>
      <c r="P4908" s="1">
        <f ca="1" t="shared" si="1372"/>
        <v>0.565245478036176</v>
      </c>
      <c r="Q4908" s="1">
        <f ca="1">养成规划!U33</f>
        <v>3</v>
      </c>
      <c r="R4908" s="1">
        <f ca="1" t="shared" si="1373"/>
        <v>2000</v>
      </c>
      <c r="S4908" s="1">
        <f ca="1" t="shared" si="1374"/>
        <v>1400000</v>
      </c>
    </row>
    <row r="4909" spans="2:19">
      <c r="B4909" s="10">
        <v>13</v>
      </c>
      <c r="C4909" s="1">
        <f ca="1">控制台!C733</f>
        <v>5</v>
      </c>
      <c r="D4909" s="1">
        <f ca="1" t="shared" si="1362"/>
        <v>57</v>
      </c>
      <c r="E4909" s="1">
        <f ca="1" t="shared" si="1363"/>
        <v>600</v>
      </c>
      <c r="F4909" s="1">
        <f ca="1" t="shared" si="1364"/>
        <v>100</v>
      </c>
      <c r="G4909" s="5">
        <f ca="1" t="shared" si="1365"/>
        <v>700</v>
      </c>
      <c r="H4909" s="13">
        <v>1</v>
      </c>
      <c r="I4909" s="13">
        <f ca="1" t="shared" si="1366"/>
        <v>5.3</v>
      </c>
      <c r="J4909" s="13">
        <f ca="1" t="shared" si="1367"/>
        <v>0.15</v>
      </c>
      <c r="K4909" s="47">
        <f ca="1" t="shared" si="1368"/>
        <v>6.45</v>
      </c>
      <c r="M4909" s="1">
        <f ca="1" t="shared" si="1369"/>
        <v>285</v>
      </c>
      <c r="N4909" s="1">
        <f ca="1" t="shared" si="1370"/>
        <v>1238.4</v>
      </c>
      <c r="O4909" s="1">
        <f ca="1" t="shared" si="1371"/>
        <v>4.34526315789474</v>
      </c>
      <c r="P4909" s="1">
        <f ca="1" t="shared" si="1372"/>
        <v>0.565245478036176</v>
      </c>
      <c r="Q4909" s="1">
        <f ca="1">养成规划!U34</f>
        <v>3</v>
      </c>
      <c r="R4909" s="1">
        <f ca="1" t="shared" si="1373"/>
        <v>2000</v>
      </c>
      <c r="S4909" s="1">
        <f ca="1" t="shared" si="1374"/>
        <v>1400000</v>
      </c>
    </row>
    <row r="4910" spans="2:19">
      <c r="B4910" s="10">
        <v>14</v>
      </c>
      <c r="C4910" s="1">
        <f ca="1">控制台!C734</f>
        <v>5</v>
      </c>
      <c r="D4910" s="1">
        <f ca="1" t="shared" si="1362"/>
        <v>60</v>
      </c>
      <c r="E4910" s="1">
        <f ca="1" t="shared" si="1363"/>
        <v>750</v>
      </c>
      <c r="F4910" s="1">
        <f ca="1" t="shared" si="1364"/>
        <v>100</v>
      </c>
      <c r="G4910" s="5">
        <f ca="1" t="shared" si="1365"/>
        <v>850</v>
      </c>
      <c r="H4910" s="13">
        <v>1</v>
      </c>
      <c r="I4910" s="13">
        <f ca="1" t="shared" si="1366"/>
        <v>5.3</v>
      </c>
      <c r="J4910" s="13">
        <f ca="1" t="shared" si="1367"/>
        <v>0.15</v>
      </c>
      <c r="K4910" s="47">
        <f ca="1" t="shared" si="1368"/>
        <v>6.45</v>
      </c>
      <c r="M4910" s="1">
        <f ca="1" t="shared" si="1369"/>
        <v>300</v>
      </c>
      <c r="N4910" s="1">
        <f ca="1" t="shared" si="1370"/>
        <v>1238.4</v>
      </c>
      <c r="O4910" s="1">
        <f ca="1" t="shared" si="1371"/>
        <v>4.128</v>
      </c>
      <c r="P4910" s="1">
        <f ca="1" t="shared" si="1372"/>
        <v>0.686369509043927</v>
      </c>
      <c r="Q4910" s="1">
        <f ca="1">养成规划!U35</f>
        <v>3</v>
      </c>
      <c r="R4910" s="1">
        <f ca="1" t="shared" si="1373"/>
        <v>2000</v>
      </c>
      <c r="S4910" s="1">
        <f ca="1" t="shared" si="1374"/>
        <v>1700000</v>
      </c>
    </row>
    <row r="4911" spans="2:19">
      <c r="B4911" s="10">
        <v>15</v>
      </c>
      <c r="C4911" s="1">
        <f ca="1">控制台!C735</f>
        <v>5</v>
      </c>
      <c r="D4911" s="1">
        <f ca="1" t="shared" si="1362"/>
        <v>60</v>
      </c>
      <c r="E4911" s="1">
        <f ca="1" t="shared" si="1363"/>
        <v>750</v>
      </c>
      <c r="F4911" s="1">
        <f ca="1" t="shared" si="1364"/>
        <v>100</v>
      </c>
      <c r="G4911" s="5">
        <f ca="1" t="shared" si="1365"/>
        <v>850</v>
      </c>
      <c r="H4911" s="13">
        <v>1</v>
      </c>
      <c r="I4911" s="13">
        <f ca="1" t="shared" si="1366"/>
        <v>5.3</v>
      </c>
      <c r="J4911" s="13">
        <f ca="1" t="shared" si="1367"/>
        <v>0.15</v>
      </c>
      <c r="K4911" s="47">
        <f ca="1" t="shared" si="1368"/>
        <v>6.45</v>
      </c>
      <c r="M4911" s="1">
        <f ca="1" t="shared" si="1369"/>
        <v>300</v>
      </c>
      <c r="N4911" s="1">
        <f ca="1" t="shared" si="1370"/>
        <v>1238.4</v>
      </c>
      <c r="O4911" s="1">
        <f ca="1" t="shared" si="1371"/>
        <v>4.128</v>
      </c>
      <c r="P4911" s="1">
        <f ca="1" t="shared" si="1372"/>
        <v>0.686369509043927</v>
      </c>
      <c r="Q4911" s="1">
        <f ca="1">养成规划!U36</f>
        <v>3</v>
      </c>
      <c r="R4911" s="1">
        <f ca="1" t="shared" si="1373"/>
        <v>2000</v>
      </c>
      <c r="S4911" s="1">
        <f ca="1" t="shared" si="1374"/>
        <v>1700000</v>
      </c>
    </row>
    <row r="4912" spans="2:19">
      <c r="B4912" s="10">
        <v>16</v>
      </c>
      <c r="C4912" s="1">
        <f ca="1">控制台!C736</f>
        <v>5</v>
      </c>
      <c r="D4912" s="1">
        <f ca="1" t="shared" si="1362"/>
        <v>60</v>
      </c>
      <c r="E4912" s="1">
        <f ca="1" t="shared" si="1363"/>
        <v>750</v>
      </c>
      <c r="F4912" s="1">
        <f ca="1" t="shared" si="1364"/>
        <v>100</v>
      </c>
      <c r="G4912" s="5">
        <f ca="1" t="shared" si="1365"/>
        <v>850</v>
      </c>
      <c r="H4912" s="13">
        <v>1</v>
      </c>
      <c r="I4912" s="13">
        <f ca="1" t="shared" si="1366"/>
        <v>5.3</v>
      </c>
      <c r="J4912" s="13">
        <f ca="1" t="shared" si="1367"/>
        <v>0.15</v>
      </c>
      <c r="K4912" s="47">
        <f ca="1" t="shared" si="1368"/>
        <v>6.45</v>
      </c>
      <c r="M4912" s="1">
        <f ca="1" t="shared" si="1369"/>
        <v>300</v>
      </c>
      <c r="N4912" s="1">
        <f ca="1" t="shared" si="1370"/>
        <v>1238.4</v>
      </c>
      <c r="O4912" s="1">
        <f ca="1" t="shared" si="1371"/>
        <v>4.128</v>
      </c>
      <c r="P4912" s="1">
        <f ca="1" t="shared" si="1372"/>
        <v>0.686369509043927</v>
      </c>
      <c r="Q4912" s="1">
        <f ca="1">养成规划!U37</f>
        <v>3</v>
      </c>
      <c r="R4912" s="1">
        <f ca="1" t="shared" si="1373"/>
        <v>2000</v>
      </c>
      <c r="S4912" s="1">
        <f ca="1" t="shared" si="1374"/>
        <v>1700000</v>
      </c>
    </row>
    <row r="4913" spans="2:19">
      <c r="B4913" s="10">
        <v>17</v>
      </c>
      <c r="C4913" s="1">
        <f ca="1">控制台!C737</f>
        <v>5</v>
      </c>
      <c r="D4913" s="1">
        <f ca="1" t="shared" ref="D4913:D4944" si="1375">L406</f>
        <v>63</v>
      </c>
      <c r="E4913" s="1">
        <f ca="1" t="shared" ref="E4913:E4944" si="1376">M406*C4913</f>
        <v>750</v>
      </c>
      <c r="F4913" s="1">
        <f ca="1" t="shared" ref="F4913:F4944" si="1377">T508</f>
        <v>250</v>
      </c>
      <c r="G4913" s="5">
        <f ca="1" t="shared" ref="G4913:G4944" si="1378">SUM(E4913:F4913)</f>
        <v>1000</v>
      </c>
      <c r="H4913" s="13">
        <v>1</v>
      </c>
      <c r="I4913" s="13">
        <f ca="1" t="shared" ref="I4913:I4944" si="1379">N406*C4913</f>
        <v>5.3</v>
      </c>
      <c r="J4913" s="13">
        <f ca="1" t="shared" ref="J4913:J4944" si="1380">U508</f>
        <v>0.15</v>
      </c>
      <c r="K4913" s="47">
        <f ca="1" t="shared" ref="K4913:K4944" si="1381">SUM(H4913:J4913)</f>
        <v>6.45</v>
      </c>
      <c r="M4913" s="1">
        <f ca="1" t="shared" ref="M4913:M4944" si="1382">C4913*D4913</f>
        <v>315</v>
      </c>
      <c r="N4913" s="1">
        <f ca="1" t="shared" ref="N4913:N4944" si="1383">3600*24/($F$4860/K4913)</f>
        <v>1238.4</v>
      </c>
      <c r="O4913" s="1">
        <f ca="1" t="shared" ref="O4913:O4944" si="1384">IFERROR(N4913/M4913,0)</f>
        <v>3.93142857142857</v>
      </c>
      <c r="P4913" s="1">
        <f ca="1" t="shared" ref="P4913:P4944" si="1385">G4913*($F$4860/K4913)/3600/24</f>
        <v>0.807493540051679</v>
      </c>
      <c r="Q4913" s="1">
        <f ca="1">养成规划!U38</f>
        <v>3</v>
      </c>
      <c r="R4913" s="1">
        <f ca="1" t="shared" ref="R4913:R4944" si="1386">OFFSET($C$4866,MATCH(Q4913,$B$4866:$B$4872,0)-1,0)*$F$4861</f>
        <v>2000</v>
      </c>
      <c r="S4913" s="1">
        <f ca="1" t="shared" ref="S4913:S4944" si="1387">R4913*G4913</f>
        <v>2000000</v>
      </c>
    </row>
    <row r="4914" spans="2:19">
      <c r="B4914" s="10">
        <v>18</v>
      </c>
      <c r="C4914" s="1">
        <f ca="1">控制台!C738</f>
        <v>5</v>
      </c>
      <c r="D4914" s="1">
        <f ca="1" t="shared" si="1375"/>
        <v>63</v>
      </c>
      <c r="E4914" s="1">
        <f ca="1" t="shared" si="1376"/>
        <v>750</v>
      </c>
      <c r="F4914" s="1">
        <f ca="1" t="shared" si="1377"/>
        <v>250</v>
      </c>
      <c r="G4914" s="5">
        <f ca="1" t="shared" si="1378"/>
        <v>1000</v>
      </c>
      <c r="H4914" s="13">
        <v>1</v>
      </c>
      <c r="I4914" s="13">
        <f ca="1" t="shared" si="1379"/>
        <v>5.3</v>
      </c>
      <c r="J4914" s="13">
        <f ca="1" t="shared" si="1380"/>
        <v>0.15</v>
      </c>
      <c r="K4914" s="47">
        <f ca="1" t="shared" si="1381"/>
        <v>6.45</v>
      </c>
      <c r="M4914" s="1">
        <f ca="1" t="shared" si="1382"/>
        <v>315</v>
      </c>
      <c r="N4914" s="1">
        <f ca="1" t="shared" si="1383"/>
        <v>1238.4</v>
      </c>
      <c r="O4914" s="1">
        <f ca="1" t="shared" si="1384"/>
        <v>3.93142857142857</v>
      </c>
      <c r="P4914" s="1">
        <f ca="1" t="shared" si="1385"/>
        <v>0.807493540051679</v>
      </c>
      <c r="Q4914" s="1">
        <f ca="1">养成规划!U39</f>
        <v>3</v>
      </c>
      <c r="R4914" s="1">
        <f ca="1" t="shared" si="1386"/>
        <v>2000</v>
      </c>
      <c r="S4914" s="1">
        <f ca="1" t="shared" si="1387"/>
        <v>2000000</v>
      </c>
    </row>
    <row r="4915" spans="2:19">
      <c r="B4915" s="10">
        <v>19</v>
      </c>
      <c r="C4915" s="1">
        <f ca="1">控制台!C739</f>
        <v>5</v>
      </c>
      <c r="D4915" s="1">
        <f ca="1" t="shared" si="1375"/>
        <v>63</v>
      </c>
      <c r="E4915" s="1">
        <f ca="1" t="shared" si="1376"/>
        <v>750</v>
      </c>
      <c r="F4915" s="1">
        <f ca="1" t="shared" si="1377"/>
        <v>250</v>
      </c>
      <c r="G4915" s="5">
        <f ca="1" t="shared" si="1378"/>
        <v>1000</v>
      </c>
      <c r="H4915" s="13">
        <v>1</v>
      </c>
      <c r="I4915" s="13">
        <f ca="1" t="shared" si="1379"/>
        <v>5.3</v>
      </c>
      <c r="J4915" s="13">
        <f ca="1" t="shared" si="1380"/>
        <v>0.15</v>
      </c>
      <c r="K4915" s="47">
        <f ca="1" t="shared" si="1381"/>
        <v>6.45</v>
      </c>
      <c r="M4915" s="1">
        <f ca="1" t="shared" si="1382"/>
        <v>315</v>
      </c>
      <c r="N4915" s="1">
        <f ca="1" t="shared" si="1383"/>
        <v>1238.4</v>
      </c>
      <c r="O4915" s="1">
        <f ca="1" t="shared" si="1384"/>
        <v>3.93142857142857</v>
      </c>
      <c r="P4915" s="1">
        <f ca="1" t="shared" si="1385"/>
        <v>0.807493540051679</v>
      </c>
      <c r="Q4915" s="1">
        <f ca="1">养成规划!U40</f>
        <v>3</v>
      </c>
      <c r="R4915" s="1">
        <f ca="1" t="shared" si="1386"/>
        <v>2000</v>
      </c>
      <c r="S4915" s="1">
        <f ca="1" t="shared" si="1387"/>
        <v>2000000</v>
      </c>
    </row>
    <row r="4916" spans="2:19">
      <c r="B4916" s="10">
        <v>20</v>
      </c>
      <c r="C4916" s="1">
        <f ca="1">控制台!C740</f>
        <v>5</v>
      </c>
      <c r="D4916" s="1">
        <f ca="1" t="shared" si="1375"/>
        <v>66</v>
      </c>
      <c r="E4916" s="1">
        <f ca="1" t="shared" si="1376"/>
        <v>750</v>
      </c>
      <c r="F4916" s="1">
        <f ca="1" t="shared" si="1377"/>
        <v>250</v>
      </c>
      <c r="G4916" s="5">
        <f ca="1" t="shared" si="1378"/>
        <v>1000</v>
      </c>
      <c r="H4916" s="13">
        <v>1</v>
      </c>
      <c r="I4916" s="13">
        <f ca="1" t="shared" si="1379"/>
        <v>5.3</v>
      </c>
      <c r="J4916" s="13">
        <f ca="1" t="shared" si="1380"/>
        <v>0.15</v>
      </c>
      <c r="K4916" s="47">
        <f ca="1" t="shared" si="1381"/>
        <v>6.45</v>
      </c>
      <c r="M4916" s="1">
        <f ca="1" t="shared" si="1382"/>
        <v>330</v>
      </c>
      <c r="N4916" s="1">
        <f ca="1" t="shared" si="1383"/>
        <v>1238.4</v>
      </c>
      <c r="O4916" s="1">
        <f ca="1" t="shared" si="1384"/>
        <v>3.75272727272727</v>
      </c>
      <c r="P4916" s="1">
        <f ca="1" t="shared" si="1385"/>
        <v>0.807493540051679</v>
      </c>
      <c r="Q4916" s="1">
        <f ca="1">养成规划!U41</f>
        <v>3</v>
      </c>
      <c r="R4916" s="1">
        <f ca="1" t="shared" si="1386"/>
        <v>2000</v>
      </c>
      <c r="S4916" s="1">
        <f ca="1" t="shared" si="1387"/>
        <v>2000000</v>
      </c>
    </row>
    <row r="4917" spans="2:19">
      <c r="B4917" s="10">
        <v>21</v>
      </c>
      <c r="C4917" s="1">
        <f ca="1">控制台!C741</f>
        <v>5</v>
      </c>
      <c r="D4917" s="1">
        <f ca="1" t="shared" si="1375"/>
        <v>66</v>
      </c>
      <c r="E4917" s="1">
        <f ca="1" t="shared" si="1376"/>
        <v>750</v>
      </c>
      <c r="F4917" s="1">
        <f ca="1" t="shared" si="1377"/>
        <v>250</v>
      </c>
      <c r="G4917" s="5">
        <f ca="1" t="shared" si="1378"/>
        <v>1000</v>
      </c>
      <c r="H4917" s="13">
        <v>1</v>
      </c>
      <c r="I4917" s="13">
        <f ca="1" t="shared" si="1379"/>
        <v>5.3</v>
      </c>
      <c r="J4917" s="13">
        <f ca="1" t="shared" si="1380"/>
        <v>0.15</v>
      </c>
      <c r="K4917" s="47">
        <f ca="1" t="shared" si="1381"/>
        <v>6.45</v>
      </c>
      <c r="M4917" s="1">
        <f ca="1" t="shared" si="1382"/>
        <v>330</v>
      </c>
      <c r="N4917" s="1">
        <f ca="1" t="shared" si="1383"/>
        <v>1238.4</v>
      </c>
      <c r="O4917" s="1">
        <f ca="1" t="shared" si="1384"/>
        <v>3.75272727272727</v>
      </c>
      <c r="P4917" s="1">
        <f ca="1" t="shared" si="1385"/>
        <v>0.807493540051679</v>
      </c>
      <c r="Q4917" s="1">
        <f ca="1">养成规划!U42</f>
        <v>3</v>
      </c>
      <c r="R4917" s="1">
        <f ca="1" t="shared" si="1386"/>
        <v>2000</v>
      </c>
      <c r="S4917" s="1">
        <f ca="1" t="shared" si="1387"/>
        <v>2000000</v>
      </c>
    </row>
    <row r="4918" spans="2:19">
      <c r="B4918" s="10">
        <v>22</v>
      </c>
      <c r="C4918" s="1">
        <f ca="1">控制台!C742</f>
        <v>5</v>
      </c>
      <c r="D4918" s="1">
        <f ca="1" t="shared" si="1375"/>
        <v>66</v>
      </c>
      <c r="E4918" s="1">
        <f ca="1" t="shared" si="1376"/>
        <v>750</v>
      </c>
      <c r="F4918" s="1">
        <f ca="1" t="shared" si="1377"/>
        <v>250</v>
      </c>
      <c r="G4918" s="5">
        <f ca="1" t="shared" si="1378"/>
        <v>1000</v>
      </c>
      <c r="H4918" s="13">
        <v>1</v>
      </c>
      <c r="I4918" s="13">
        <f ca="1" t="shared" si="1379"/>
        <v>5.3</v>
      </c>
      <c r="J4918" s="13">
        <f ca="1" t="shared" si="1380"/>
        <v>0.15</v>
      </c>
      <c r="K4918" s="47">
        <f ca="1" t="shared" si="1381"/>
        <v>6.45</v>
      </c>
      <c r="M4918" s="1">
        <f ca="1" t="shared" si="1382"/>
        <v>330</v>
      </c>
      <c r="N4918" s="1">
        <f ca="1" t="shared" si="1383"/>
        <v>1238.4</v>
      </c>
      <c r="O4918" s="1">
        <f ca="1" t="shared" si="1384"/>
        <v>3.75272727272727</v>
      </c>
      <c r="P4918" s="1">
        <f ca="1" t="shared" si="1385"/>
        <v>0.807493540051679</v>
      </c>
      <c r="Q4918" s="1">
        <f ca="1">养成规划!U43</f>
        <v>3</v>
      </c>
      <c r="R4918" s="1">
        <f ca="1" t="shared" si="1386"/>
        <v>2000</v>
      </c>
      <c r="S4918" s="1">
        <f ca="1" t="shared" si="1387"/>
        <v>2000000</v>
      </c>
    </row>
    <row r="4919" spans="2:19">
      <c r="B4919" s="10">
        <v>23</v>
      </c>
      <c r="C4919" s="1">
        <f ca="1">控制台!C743</f>
        <v>5</v>
      </c>
      <c r="D4919" s="1">
        <f ca="1" t="shared" si="1375"/>
        <v>69</v>
      </c>
      <c r="E4919" s="1">
        <f ca="1" t="shared" si="1376"/>
        <v>750</v>
      </c>
      <c r="F4919" s="1">
        <f ca="1" t="shared" si="1377"/>
        <v>250</v>
      </c>
      <c r="G4919" s="5">
        <f ca="1" t="shared" si="1378"/>
        <v>1000</v>
      </c>
      <c r="H4919" s="13">
        <v>1</v>
      </c>
      <c r="I4919" s="13">
        <f ca="1" t="shared" si="1379"/>
        <v>5.4</v>
      </c>
      <c r="J4919" s="13">
        <f ca="1" t="shared" si="1380"/>
        <v>0.15</v>
      </c>
      <c r="K4919" s="47">
        <f ca="1" t="shared" si="1381"/>
        <v>6.55</v>
      </c>
      <c r="M4919" s="1">
        <f ca="1" t="shared" si="1382"/>
        <v>345</v>
      </c>
      <c r="N4919" s="1">
        <f ca="1" t="shared" si="1383"/>
        <v>1257.6</v>
      </c>
      <c r="O4919" s="1">
        <f ca="1" t="shared" si="1384"/>
        <v>3.64521739130435</v>
      </c>
      <c r="P4919" s="1">
        <f ca="1" t="shared" si="1385"/>
        <v>0.795165394402036</v>
      </c>
      <c r="Q4919" s="1">
        <f ca="1">养成规划!U44</f>
        <v>4</v>
      </c>
      <c r="R4919" s="1">
        <f ca="1" t="shared" si="1386"/>
        <v>3750</v>
      </c>
      <c r="S4919" s="1">
        <f ca="1" t="shared" si="1387"/>
        <v>3750000</v>
      </c>
    </row>
    <row r="4920" spans="2:19">
      <c r="B4920" s="10">
        <v>24</v>
      </c>
      <c r="C4920" s="1">
        <f ca="1">控制台!C744</f>
        <v>5</v>
      </c>
      <c r="D4920" s="1">
        <f ca="1" t="shared" si="1375"/>
        <v>69</v>
      </c>
      <c r="E4920" s="1">
        <f ca="1" t="shared" si="1376"/>
        <v>750</v>
      </c>
      <c r="F4920" s="1">
        <f ca="1" t="shared" si="1377"/>
        <v>250</v>
      </c>
      <c r="G4920" s="5">
        <f ca="1" t="shared" si="1378"/>
        <v>1000</v>
      </c>
      <c r="H4920" s="13">
        <v>1</v>
      </c>
      <c r="I4920" s="13">
        <f ca="1" t="shared" si="1379"/>
        <v>5.4</v>
      </c>
      <c r="J4920" s="13">
        <f ca="1" t="shared" si="1380"/>
        <v>0.15</v>
      </c>
      <c r="K4920" s="47">
        <f ca="1" t="shared" si="1381"/>
        <v>6.55</v>
      </c>
      <c r="M4920" s="1">
        <f ca="1" t="shared" si="1382"/>
        <v>345</v>
      </c>
      <c r="N4920" s="1">
        <f ca="1" t="shared" si="1383"/>
        <v>1257.6</v>
      </c>
      <c r="O4920" s="1">
        <f ca="1" t="shared" si="1384"/>
        <v>3.64521739130435</v>
      </c>
      <c r="P4920" s="1">
        <f ca="1" t="shared" si="1385"/>
        <v>0.795165394402036</v>
      </c>
      <c r="Q4920" s="1">
        <f ca="1">养成规划!U45</f>
        <v>4</v>
      </c>
      <c r="R4920" s="1">
        <f ca="1" t="shared" si="1386"/>
        <v>3750</v>
      </c>
      <c r="S4920" s="1">
        <f ca="1" t="shared" si="1387"/>
        <v>3750000</v>
      </c>
    </row>
    <row r="4921" spans="2:19">
      <c r="B4921" s="10">
        <v>25</v>
      </c>
      <c r="C4921" s="1">
        <f ca="1">控制台!C745</f>
        <v>5</v>
      </c>
      <c r="D4921" s="1">
        <f ca="1" t="shared" si="1375"/>
        <v>69</v>
      </c>
      <c r="E4921" s="1">
        <f ca="1" t="shared" si="1376"/>
        <v>750</v>
      </c>
      <c r="F4921" s="1">
        <f ca="1" t="shared" si="1377"/>
        <v>250</v>
      </c>
      <c r="G4921" s="5">
        <f ca="1" t="shared" si="1378"/>
        <v>1000</v>
      </c>
      <c r="H4921" s="13">
        <v>1</v>
      </c>
      <c r="I4921" s="13">
        <f ca="1" t="shared" si="1379"/>
        <v>5.4</v>
      </c>
      <c r="J4921" s="13">
        <f ca="1" t="shared" si="1380"/>
        <v>0.15</v>
      </c>
      <c r="K4921" s="47">
        <f ca="1" t="shared" si="1381"/>
        <v>6.55</v>
      </c>
      <c r="M4921" s="1">
        <f ca="1" t="shared" si="1382"/>
        <v>345</v>
      </c>
      <c r="N4921" s="1">
        <f ca="1" t="shared" si="1383"/>
        <v>1257.6</v>
      </c>
      <c r="O4921" s="1">
        <f ca="1" t="shared" si="1384"/>
        <v>3.64521739130435</v>
      </c>
      <c r="P4921" s="1">
        <f ca="1" t="shared" si="1385"/>
        <v>0.795165394402036</v>
      </c>
      <c r="Q4921" s="1">
        <f ca="1">养成规划!U46</f>
        <v>4</v>
      </c>
      <c r="R4921" s="1">
        <f ca="1" t="shared" si="1386"/>
        <v>3750</v>
      </c>
      <c r="S4921" s="1">
        <f ca="1" t="shared" si="1387"/>
        <v>3750000</v>
      </c>
    </row>
    <row r="4922" spans="2:19">
      <c r="B4922" s="10">
        <v>26</v>
      </c>
      <c r="C4922" s="1">
        <f ca="1">控制台!C746</f>
        <v>5</v>
      </c>
      <c r="D4922" s="1">
        <f ca="1" t="shared" si="1375"/>
        <v>72</v>
      </c>
      <c r="E4922" s="1">
        <f ca="1" t="shared" si="1376"/>
        <v>750</v>
      </c>
      <c r="F4922" s="1">
        <f ca="1" t="shared" si="1377"/>
        <v>250</v>
      </c>
      <c r="G4922" s="5">
        <f ca="1" t="shared" si="1378"/>
        <v>1000</v>
      </c>
      <c r="H4922" s="13">
        <v>1</v>
      </c>
      <c r="I4922" s="13">
        <f ca="1" t="shared" si="1379"/>
        <v>5.4</v>
      </c>
      <c r="J4922" s="13">
        <f ca="1" t="shared" si="1380"/>
        <v>0.15</v>
      </c>
      <c r="K4922" s="47">
        <f ca="1" t="shared" si="1381"/>
        <v>6.55</v>
      </c>
      <c r="M4922" s="1">
        <f ca="1" t="shared" si="1382"/>
        <v>360</v>
      </c>
      <c r="N4922" s="1">
        <f ca="1" t="shared" si="1383"/>
        <v>1257.6</v>
      </c>
      <c r="O4922" s="1">
        <f ca="1" t="shared" si="1384"/>
        <v>3.49333333333333</v>
      </c>
      <c r="P4922" s="1">
        <f ca="1" t="shared" si="1385"/>
        <v>0.795165394402036</v>
      </c>
      <c r="Q4922" s="1">
        <f ca="1">养成规划!U47</f>
        <v>4</v>
      </c>
      <c r="R4922" s="1">
        <f ca="1" t="shared" si="1386"/>
        <v>3750</v>
      </c>
      <c r="S4922" s="1">
        <f ca="1" t="shared" si="1387"/>
        <v>3750000</v>
      </c>
    </row>
    <row r="4923" spans="2:19">
      <c r="B4923" s="10">
        <v>27</v>
      </c>
      <c r="C4923" s="1">
        <f ca="1">控制台!C747</f>
        <v>5</v>
      </c>
      <c r="D4923" s="1">
        <f ca="1" t="shared" si="1375"/>
        <v>72</v>
      </c>
      <c r="E4923" s="1">
        <f ca="1" t="shared" si="1376"/>
        <v>750</v>
      </c>
      <c r="F4923" s="1">
        <f ca="1" t="shared" si="1377"/>
        <v>250</v>
      </c>
      <c r="G4923" s="5">
        <f ca="1" t="shared" si="1378"/>
        <v>1000</v>
      </c>
      <c r="H4923" s="13">
        <v>1</v>
      </c>
      <c r="I4923" s="13">
        <f ca="1" t="shared" si="1379"/>
        <v>5.4</v>
      </c>
      <c r="J4923" s="13">
        <f ca="1" t="shared" si="1380"/>
        <v>0.15</v>
      </c>
      <c r="K4923" s="47">
        <f ca="1" t="shared" si="1381"/>
        <v>6.55</v>
      </c>
      <c r="M4923" s="1">
        <f ca="1" t="shared" si="1382"/>
        <v>360</v>
      </c>
      <c r="N4923" s="1">
        <f ca="1" t="shared" si="1383"/>
        <v>1257.6</v>
      </c>
      <c r="O4923" s="1">
        <f ca="1" t="shared" si="1384"/>
        <v>3.49333333333333</v>
      </c>
      <c r="P4923" s="1">
        <f ca="1" t="shared" si="1385"/>
        <v>0.795165394402036</v>
      </c>
      <c r="Q4923" s="1">
        <f ca="1">养成规划!U48</f>
        <v>4</v>
      </c>
      <c r="R4923" s="1">
        <f ca="1" t="shared" si="1386"/>
        <v>3750</v>
      </c>
      <c r="S4923" s="1">
        <f ca="1" t="shared" si="1387"/>
        <v>3750000</v>
      </c>
    </row>
    <row r="4924" spans="2:19">
      <c r="B4924" s="10">
        <v>28</v>
      </c>
      <c r="C4924" s="1">
        <f ca="1">控制台!C748</f>
        <v>5</v>
      </c>
      <c r="D4924" s="1">
        <f ca="1" t="shared" si="1375"/>
        <v>72</v>
      </c>
      <c r="E4924" s="1">
        <f ca="1" t="shared" si="1376"/>
        <v>750</v>
      </c>
      <c r="F4924" s="1">
        <f ca="1" t="shared" si="1377"/>
        <v>250</v>
      </c>
      <c r="G4924" s="5">
        <f ca="1" t="shared" si="1378"/>
        <v>1000</v>
      </c>
      <c r="H4924" s="13">
        <v>1</v>
      </c>
      <c r="I4924" s="13">
        <f ca="1" t="shared" si="1379"/>
        <v>5.4</v>
      </c>
      <c r="J4924" s="13">
        <f ca="1" t="shared" si="1380"/>
        <v>0.15</v>
      </c>
      <c r="K4924" s="47">
        <f ca="1" t="shared" si="1381"/>
        <v>6.55</v>
      </c>
      <c r="M4924" s="1">
        <f ca="1" t="shared" si="1382"/>
        <v>360</v>
      </c>
      <c r="N4924" s="1">
        <f ca="1" t="shared" si="1383"/>
        <v>1257.6</v>
      </c>
      <c r="O4924" s="1">
        <f ca="1" t="shared" si="1384"/>
        <v>3.49333333333333</v>
      </c>
      <c r="P4924" s="1">
        <f ca="1" t="shared" si="1385"/>
        <v>0.795165394402036</v>
      </c>
      <c r="Q4924" s="1">
        <f ca="1">养成规划!U49</f>
        <v>4</v>
      </c>
      <c r="R4924" s="1">
        <f ca="1" t="shared" si="1386"/>
        <v>3750</v>
      </c>
      <c r="S4924" s="1">
        <f ca="1" t="shared" si="1387"/>
        <v>3750000</v>
      </c>
    </row>
    <row r="4925" spans="2:19">
      <c r="B4925" s="10">
        <v>29</v>
      </c>
      <c r="C4925" s="1">
        <f ca="1">控制台!C749</f>
        <v>5</v>
      </c>
      <c r="D4925" s="1">
        <f ca="1" t="shared" si="1375"/>
        <v>72</v>
      </c>
      <c r="E4925" s="1">
        <f ca="1" t="shared" si="1376"/>
        <v>750</v>
      </c>
      <c r="F4925" s="1">
        <f ca="1" t="shared" si="1377"/>
        <v>250</v>
      </c>
      <c r="G4925" s="5">
        <f ca="1" t="shared" si="1378"/>
        <v>1000</v>
      </c>
      <c r="H4925" s="13">
        <v>1</v>
      </c>
      <c r="I4925" s="13">
        <f ca="1" t="shared" si="1379"/>
        <v>5.4</v>
      </c>
      <c r="J4925" s="13">
        <f ca="1" t="shared" si="1380"/>
        <v>0.15</v>
      </c>
      <c r="K4925" s="47">
        <f ca="1" t="shared" si="1381"/>
        <v>6.55</v>
      </c>
      <c r="M4925" s="1">
        <f ca="1" t="shared" si="1382"/>
        <v>360</v>
      </c>
      <c r="N4925" s="1">
        <f ca="1" t="shared" si="1383"/>
        <v>1257.6</v>
      </c>
      <c r="O4925" s="1">
        <f ca="1" t="shared" si="1384"/>
        <v>3.49333333333333</v>
      </c>
      <c r="P4925" s="1">
        <f ca="1" t="shared" si="1385"/>
        <v>0.795165394402036</v>
      </c>
      <c r="Q4925" s="1">
        <f ca="1">养成规划!U50</f>
        <v>4</v>
      </c>
      <c r="R4925" s="1">
        <f ca="1" t="shared" si="1386"/>
        <v>3750</v>
      </c>
      <c r="S4925" s="1">
        <f ca="1" t="shared" si="1387"/>
        <v>3750000</v>
      </c>
    </row>
    <row r="4926" spans="2:19">
      <c r="B4926" s="10">
        <v>30</v>
      </c>
      <c r="C4926" s="1">
        <f ca="1">控制台!C750</f>
        <v>5</v>
      </c>
      <c r="D4926" s="1">
        <f ca="1" t="shared" si="1375"/>
        <v>75</v>
      </c>
      <c r="E4926" s="1">
        <f ca="1" t="shared" si="1376"/>
        <v>900</v>
      </c>
      <c r="F4926" s="1">
        <f ca="1" t="shared" si="1377"/>
        <v>250</v>
      </c>
      <c r="G4926" s="5">
        <f ca="1" t="shared" si="1378"/>
        <v>1150</v>
      </c>
      <c r="H4926" s="13">
        <v>1</v>
      </c>
      <c r="I4926" s="13">
        <f ca="1" t="shared" si="1379"/>
        <v>5.4</v>
      </c>
      <c r="J4926" s="13">
        <f ca="1" t="shared" si="1380"/>
        <v>0.15</v>
      </c>
      <c r="K4926" s="47">
        <f ca="1" t="shared" si="1381"/>
        <v>6.55</v>
      </c>
      <c r="M4926" s="1">
        <f ca="1" t="shared" si="1382"/>
        <v>375</v>
      </c>
      <c r="N4926" s="1">
        <f ca="1" t="shared" si="1383"/>
        <v>1257.6</v>
      </c>
      <c r="O4926" s="1">
        <f ca="1" t="shared" si="1384"/>
        <v>3.3536</v>
      </c>
      <c r="P4926" s="1">
        <f ca="1" t="shared" si="1385"/>
        <v>0.914440203562341</v>
      </c>
      <c r="Q4926" s="1">
        <f ca="1">养成规划!U51</f>
        <v>4</v>
      </c>
      <c r="R4926" s="1">
        <f ca="1" t="shared" si="1386"/>
        <v>3750</v>
      </c>
      <c r="S4926" s="1">
        <f ca="1" t="shared" si="1387"/>
        <v>4312500</v>
      </c>
    </row>
    <row r="4927" spans="2:19">
      <c r="B4927" s="11">
        <v>35</v>
      </c>
      <c r="C4927" s="1">
        <f ca="1">控制台!C751</f>
        <v>5</v>
      </c>
      <c r="D4927" s="1">
        <f ca="1" t="shared" si="1375"/>
        <v>75</v>
      </c>
      <c r="E4927" s="1">
        <f ca="1" t="shared" si="1376"/>
        <v>900</v>
      </c>
      <c r="F4927" s="1">
        <f ca="1" t="shared" si="1377"/>
        <v>250</v>
      </c>
      <c r="G4927" s="5">
        <f ca="1" t="shared" si="1378"/>
        <v>1150</v>
      </c>
      <c r="H4927" s="13">
        <v>1</v>
      </c>
      <c r="I4927" s="13">
        <f ca="1" t="shared" si="1379"/>
        <v>5.4</v>
      </c>
      <c r="J4927" s="13">
        <f ca="1" t="shared" si="1380"/>
        <v>0.15</v>
      </c>
      <c r="K4927" s="47">
        <f ca="1" t="shared" si="1381"/>
        <v>6.55</v>
      </c>
      <c r="M4927" s="1">
        <f ca="1" t="shared" si="1382"/>
        <v>375</v>
      </c>
      <c r="N4927" s="1">
        <f ca="1" t="shared" si="1383"/>
        <v>1257.6</v>
      </c>
      <c r="O4927" s="1">
        <f ca="1" t="shared" si="1384"/>
        <v>3.3536</v>
      </c>
      <c r="P4927" s="1">
        <f ca="1" t="shared" si="1385"/>
        <v>0.914440203562341</v>
      </c>
      <c r="Q4927" s="1">
        <f ca="1">养成规划!U52</f>
        <v>4</v>
      </c>
      <c r="R4927" s="1">
        <f ca="1" t="shared" si="1386"/>
        <v>3750</v>
      </c>
      <c r="S4927" s="1">
        <f ca="1" t="shared" si="1387"/>
        <v>4312500</v>
      </c>
    </row>
    <row r="4928" spans="2:19">
      <c r="B4928" s="11">
        <v>40</v>
      </c>
      <c r="C4928" s="1">
        <f ca="1">控制台!C752</f>
        <v>5</v>
      </c>
      <c r="D4928" s="1">
        <f ca="1" t="shared" si="1375"/>
        <v>78</v>
      </c>
      <c r="E4928" s="1">
        <f ca="1" t="shared" si="1376"/>
        <v>900</v>
      </c>
      <c r="F4928" s="1">
        <f ca="1" t="shared" si="1377"/>
        <v>250</v>
      </c>
      <c r="G4928" s="5">
        <f ca="1" t="shared" si="1378"/>
        <v>1150</v>
      </c>
      <c r="H4928" s="13">
        <v>1</v>
      </c>
      <c r="I4928" s="13">
        <f ca="1" t="shared" si="1379"/>
        <v>5.4</v>
      </c>
      <c r="J4928" s="13">
        <f ca="1" t="shared" si="1380"/>
        <v>0.65</v>
      </c>
      <c r="K4928" s="47">
        <f ca="1" t="shared" si="1381"/>
        <v>7.05</v>
      </c>
      <c r="M4928" s="1">
        <f ca="1" t="shared" si="1382"/>
        <v>390</v>
      </c>
      <c r="N4928" s="1">
        <f ca="1" t="shared" si="1383"/>
        <v>1353.6</v>
      </c>
      <c r="O4928" s="1">
        <f ca="1" t="shared" si="1384"/>
        <v>3.47076923076923</v>
      </c>
      <c r="P4928" s="1">
        <f ca="1" t="shared" si="1385"/>
        <v>0.849586288416076</v>
      </c>
      <c r="Q4928" s="1">
        <f ca="1">养成规划!U53</f>
        <v>4</v>
      </c>
      <c r="R4928" s="1">
        <f ca="1" t="shared" si="1386"/>
        <v>3750</v>
      </c>
      <c r="S4928" s="1">
        <f ca="1" t="shared" si="1387"/>
        <v>4312500</v>
      </c>
    </row>
    <row r="4929" spans="2:19">
      <c r="B4929" s="11">
        <v>45</v>
      </c>
      <c r="C4929" s="1">
        <f ca="1">控制台!C753</f>
        <v>5</v>
      </c>
      <c r="D4929" s="1">
        <f ca="1" t="shared" si="1375"/>
        <v>78</v>
      </c>
      <c r="E4929" s="1">
        <f ca="1" t="shared" si="1376"/>
        <v>900</v>
      </c>
      <c r="F4929" s="1">
        <f ca="1" t="shared" si="1377"/>
        <v>250</v>
      </c>
      <c r="G4929" s="5">
        <f ca="1" t="shared" si="1378"/>
        <v>1150</v>
      </c>
      <c r="H4929" s="13">
        <v>1</v>
      </c>
      <c r="I4929" s="13">
        <f ca="1" t="shared" si="1379"/>
        <v>5.4</v>
      </c>
      <c r="J4929" s="13">
        <f ca="1" t="shared" si="1380"/>
        <v>0.65</v>
      </c>
      <c r="K4929" s="47">
        <f ca="1" t="shared" si="1381"/>
        <v>7.05</v>
      </c>
      <c r="M4929" s="1">
        <f ca="1" t="shared" si="1382"/>
        <v>390</v>
      </c>
      <c r="N4929" s="1">
        <f ca="1" t="shared" si="1383"/>
        <v>1353.6</v>
      </c>
      <c r="O4929" s="1">
        <f ca="1" t="shared" si="1384"/>
        <v>3.47076923076923</v>
      </c>
      <c r="P4929" s="1">
        <f ca="1" t="shared" si="1385"/>
        <v>0.849586288416076</v>
      </c>
      <c r="Q4929" s="1">
        <f ca="1">养成规划!U54</f>
        <v>4</v>
      </c>
      <c r="R4929" s="1">
        <f ca="1" t="shared" si="1386"/>
        <v>3750</v>
      </c>
      <c r="S4929" s="1">
        <f ca="1" t="shared" si="1387"/>
        <v>4312500</v>
      </c>
    </row>
    <row r="4930" spans="2:19">
      <c r="B4930" s="11">
        <v>50</v>
      </c>
      <c r="C4930" s="1">
        <f ca="1">控制台!C754</f>
        <v>5</v>
      </c>
      <c r="D4930" s="1">
        <f ca="1" t="shared" si="1375"/>
        <v>81</v>
      </c>
      <c r="E4930" s="1">
        <f ca="1" t="shared" si="1376"/>
        <v>900</v>
      </c>
      <c r="F4930" s="1">
        <f ca="1" t="shared" si="1377"/>
        <v>250</v>
      </c>
      <c r="G4930" s="5">
        <f ca="1" t="shared" si="1378"/>
        <v>1150</v>
      </c>
      <c r="H4930" s="13">
        <v>1</v>
      </c>
      <c r="I4930" s="13">
        <f ca="1" t="shared" si="1379"/>
        <v>5.5</v>
      </c>
      <c r="J4930" s="13">
        <f ca="1" t="shared" si="1380"/>
        <v>0.65</v>
      </c>
      <c r="K4930" s="47">
        <f ca="1" t="shared" si="1381"/>
        <v>7.15</v>
      </c>
      <c r="M4930" s="1">
        <f ca="1" t="shared" si="1382"/>
        <v>405</v>
      </c>
      <c r="N4930" s="1">
        <f ca="1" t="shared" si="1383"/>
        <v>1372.8</v>
      </c>
      <c r="O4930" s="1">
        <f ca="1" t="shared" si="1384"/>
        <v>3.38962962962963</v>
      </c>
      <c r="P4930" s="1">
        <f ca="1" t="shared" si="1385"/>
        <v>0.837703962703963</v>
      </c>
      <c r="Q4930" s="1">
        <f ca="1">养成规划!U55</f>
        <v>4</v>
      </c>
      <c r="R4930" s="1">
        <f ca="1" t="shared" si="1386"/>
        <v>3750</v>
      </c>
      <c r="S4930" s="1">
        <f ca="1" t="shared" si="1387"/>
        <v>4312500</v>
      </c>
    </row>
    <row r="4931" spans="2:19">
      <c r="B4931" s="11">
        <v>55</v>
      </c>
      <c r="C4931" s="1">
        <f ca="1">控制台!C755</f>
        <v>5</v>
      </c>
      <c r="D4931" s="1">
        <f ca="1" t="shared" si="1375"/>
        <v>81</v>
      </c>
      <c r="E4931" s="1">
        <f ca="1" t="shared" si="1376"/>
        <v>900</v>
      </c>
      <c r="F4931" s="1">
        <f ca="1" t="shared" si="1377"/>
        <v>250</v>
      </c>
      <c r="G4931" s="5">
        <f ca="1" t="shared" si="1378"/>
        <v>1150</v>
      </c>
      <c r="H4931" s="13">
        <v>1</v>
      </c>
      <c r="I4931" s="13">
        <f ca="1" t="shared" si="1379"/>
        <v>5.5</v>
      </c>
      <c r="J4931" s="13">
        <f ca="1" t="shared" si="1380"/>
        <v>0.65</v>
      </c>
      <c r="K4931" s="47">
        <f ca="1" t="shared" si="1381"/>
        <v>7.15</v>
      </c>
      <c r="M4931" s="1">
        <f ca="1" t="shared" si="1382"/>
        <v>405</v>
      </c>
      <c r="N4931" s="1">
        <f ca="1" t="shared" si="1383"/>
        <v>1372.8</v>
      </c>
      <c r="O4931" s="1">
        <f ca="1" t="shared" si="1384"/>
        <v>3.38962962962963</v>
      </c>
      <c r="P4931" s="1">
        <f ca="1" t="shared" si="1385"/>
        <v>0.837703962703963</v>
      </c>
      <c r="Q4931" s="1">
        <f ca="1">养成规划!U56</f>
        <v>4</v>
      </c>
      <c r="R4931" s="1">
        <f ca="1" t="shared" si="1386"/>
        <v>3750</v>
      </c>
      <c r="S4931" s="1">
        <f ca="1" t="shared" si="1387"/>
        <v>4312500</v>
      </c>
    </row>
    <row r="4932" spans="2:19">
      <c r="B4932" s="11">
        <v>60</v>
      </c>
      <c r="C4932" s="1">
        <f ca="1">控制台!C756</f>
        <v>5</v>
      </c>
      <c r="D4932" s="1">
        <f ca="1" t="shared" si="1375"/>
        <v>84</v>
      </c>
      <c r="E4932" s="1">
        <f ca="1" t="shared" si="1376"/>
        <v>900</v>
      </c>
      <c r="F4932" s="1">
        <f ca="1" t="shared" si="1377"/>
        <v>250</v>
      </c>
      <c r="G4932" s="5">
        <f ca="1" t="shared" si="1378"/>
        <v>1150</v>
      </c>
      <c r="H4932" s="13">
        <v>1</v>
      </c>
      <c r="I4932" s="13">
        <f ca="1" t="shared" si="1379"/>
        <v>5.5</v>
      </c>
      <c r="J4932" s="13">
        <f ca="1" t="shared" si="1380"/>
        <v>0.65</v>
      </c>
      <c r="K4932" s="47">
        <f ca="1" t="shared" si="1381"/>
        <v>7.15</v>
      </c>
      <c r="M4932" s="1">
        <f ca="1" t="shared" si="1382"/>
        <v>420</v>
      </c>
      <c r="N4932" s="1">
        <f ca="1" t="shared" si="1383"/>
        <v>1372.8</v>
      </c>
      <c r="O4932" s="1">
        <f ca="1" t="shared" si="1384"/>
        <v>3.26857142857143</v>
      </c>
      <c r="P4932" s="1">
        <f ca="1" t="shared" si="1385"/>
        <v>0.837703962703963</v>
      </c>
      <c r="Q4932" s="1">
        <f ca="1">养成规划!U57</f>
        <v>4</v>
      </c>
      <c r="R4932" s="1">
        <f ca="1" t="shared" si="1386"/>
        <v>3750</v>
      </c>
      <c r="S4932" s="1">
        <f ca="1" t="shared" si="1387"/>
        <v>4312500</v>
      </c>
    </row>
    <row r="4933" spans="2:19">
      <c r="B4933" s="11">
        <v>65</v>
      </c>
      <c r="C4933" s="1">
        <f ca="1">控制台!C757</f>
        <v>5</v>
      </c>
      <c r="D4933" s="1">
        <f ca="1" t="shared" si="1375"/>
        <v>84</v>
      </c>
      <c r="E4933" s="1">
        <f ca="1" t="shared" si="1376"/>
        <v>900</v>
      </c>
      <c r="F4933" s="1">
        <f ca="1" t="shared" si="1377"/>
        <v>250</v>
      </c>
      <c r="G4933" s="5">
        <f ca="1" t="shared" si="1378"/>
        <v>1150</v>
      </c>
      <c r="H4933" s="13">
        <v>1</v>
      </c>
      <c r="I4933" s="13">
        <f ca="1" t="shared" si="1379"/>
        <v>5.5</v>
      </c>
      <c r="J4933" s="13">
        <f ca="1" t="shared" si="1380"/>
        <v>0.65</v>
      </c>
      <c r="K4933" s="47">
        <f ca="1" t="shared" si="1381"/>
        <v>7.15</v>
      </c>
      <c r="M4933" s="1">
        <f ca="1" t="shared" si="1382"/>
        <v>420</v>
      </c>
      <c r="N4933" s="1">
        <f ca="1" t="shared" si="1383"/>
        <v>1372.8</v>
      </c>
      <c r="O4933" s="1">
        <f ca="1" t="shared" si="1384"/>
        <v>3.26857142857143</v>
      </c>
      <c r="P4933" s="1">
        <f ca="1" t="shared" si="1385"/>
        <v>0.837703962703963</v>
      </c>
      <c r="Q4933" s="1">
        <f ca="1">养成规划!U58</f>
        <v>4</v>
      </c>
      <c r="R4933" s="1">
        <f ca="1" t="shared" si="1386"/>
        <v>3750</v>
      </c>
      <c r="S4933" s="1">
        <f ca="1" t="shared" si="1387"/>
        <v>4312500</v>
      </c>
    </row>
    <row r="4934" spans="2:19">
      <c r="B4934" s="11">
        <v>70</v>
      </c>
      <c r="C4934" s="1">
        <f ca="1">控制台!C758</f>
        <v>5</v>
      </c>
      <c r="D4934" s="1">
        <f ca="1" t="shared" si="1375"/>
        <v>84</v>
      </c>
      <c r="E4934" s="1">
        <f ca="1" t="shared" si="1376"/>
        <v>900</v>
      </c>
      <c r="F4934" s="1">
        <f ca="1" t="shared" si="1377"/>
        <v>250</v>
      </c>
      <c r="G4934" s="5">
        <f ca="1" t="shared" si="1378"/>
        <v>1150</v>
      </c>
      <c r="H4934" s="13">
        <v>1</v>
      </c>
      <c r="I4934" s="13">
        <f ca="1" t="shared" si="1379"/>
        <v>5.5</v>
      </c>
      <c r="J4934" s="13">
        <f ca="1" t="shared" si="1380"/>
        <v>0.65</v>
      </c>
      <c r="K4934" s="47">
        <f ca="1" t="shared" si="1381"/>
        <v>7.15</v>
      </c>
      <c r="M4934" s="1">
        <f ca="1" t="shared" si="1382"/>
        <v>420</v>
      </c>
      <c r="N4934" s="1">
        <f ca="1" t="shared" si="1383"/>
        <v>1372.8</v>
      </c>
      <c r="O4934" s="1">
        <f ca="1" t="shared" si="1384"/>
        <v>3.26857142857143</v>
      </c>
      <c r="P4934" s="1">
        <f ca="1" t="shared" si="1385"/>
        <v>0.837703962703963</v>
      </c>
      <c r="Q4934" s="1">
        <f ca="1">养成规划!U59</f>
        <v>4</v>
      </c>
      <c r="R4934" s="1">
        <f ca="1" t="shared" si="1386"/>
        <v>3750</v>
      </c>
      <c r="S4934" s="1">
        <f ca="1" t="shared" si="1387"/>
        <v>4312500</v>
      </c>
    </row>
    <row r="4935" spans="2:19">
      <c r="B4935" s="11">
        <v>75</v>
      </c>
      <c r="C4935" s="1">
        <f ca="1">控制台!C759</f>
        <v>5</v>
      </c>
      <c r="D4935" s="1">
        <f ca="1" t="shared" si="1375"/>
        <v>84</v>
      </c>
      <c r="E4935" s="1">
        <f ca="1" t="shared" si="1376"/>
        <v>900</v>
      </c>
      <c r="F4935" s="1">
        <f ca="1" t="shared" si="1377"/>
        <v>250</v>
      </c>
      <c r="G4935" s="5">
        <f ca="1" t="shared" si="1378"/>
        <v>1150</v>
      </c>
      <c r="H4935" s="13">
        <v>1</v>
      </c>
      <c r="I4935" s="13">
        <f ca="1" t="shared" si="1379"/>
        <v>5.5</v>
      </c>
      <c r="J4935" s="13">
        <f ca="1" t="shared" si="1380"/>
        <v>0.65</v>
      </c>
      <c r="K4935" s="47">
        <f ca="1" t="shared" si="1381"/>
        <v>7.15</v>
      </c>
      <c r="M4935" s="1">
        <f ca="1" t="shared" si="1382"/>
        <v>420</v>
      </c>
      <c r="N4935" s="1">
        <f ca="1" t="shared" si="1383"/>
        <v>1372.8</v>
      </c>
      <c r="O4935" s="1">
        <f ca="1" t="shared" si="1384"/>
        <v>3.26857142857143</v>
      </c>
      <c r="P4935" s="1">
        <f ca="1" t="shared" si="1385"/>
        <v>0.837703962703963</v>
      </c>
      <c r="Q4935" s="1">
        <f ca="1">养成规划!U60</f>
        <v>5</v>
      </c>
      <c r="R4935" s="1">
        <f ca="1" t="shared" si="1386"/>
        <v>6250</v>
      </c>
      <c r="S4935" s="1">
        <f ca="1" t="shared" si="1387"/>
        <v>7187500</v>
      </c>
    </row>
    <row r="4936" spans="2:19">
      <c r="B4936" s="11">
        <v>80</v>
      </c>
      <c r="C4936" s="1">
        <f ca="1">控制台!C760</f>
        <v>5</v>
      </c>
      <c r="D4936" s="1">
        <f ca="1" t="shared" si="1375"/>
        <v>84</v>
      </c>
      <c r="E4936" s="1">
        <f ca="1" t="shared" si="1376"/>
        <v>900</v>
      </c>
      <c r="F4936" s="1">
        <f ca="1" t="shared" si="1377"/>
        <v>250</v>
      </c>
      <c r="G4936" s="5">
        <f ca="1" t="shared" si="1378"/>
        <v>1150</v>
      </c>
      <c r="H4936" s="13">
        <v>1</v>
      </c>
      <c r="I4936" s="13">
        <f ca="1" t="shared" si="1379"/>
        <v>5.5</v>
      </c>
      <c r="J4936" s="13">
        <f ca="1" t="shared" si="1380"/>
        <v>0.65</v>
      </c>
      <c r="K4936" s="47">
        <f ca="1" t="shared" si="1381"/>
        <v>7.15</v>
      </c>
      <c r="M4936" s="1">
        <f ca="1" t="shared" si="1382"/>
        <v>420</v>
      </c>
      <c r="N4936" s="1">
        <f ca="1" t="shared" si="1383"/>
        <v>1372.8</v>
      </c>
      <c r="O4936" s="1">
        <f ca="1" t="shared" si="1384"/>
        <v>3.26857142857143</v>
      </c>
      <c r="P4936" s="1">
        <f ca="1" t="shared" si="1385"/>
        <v>0.837703962703963</v>
      </c>
      <c r="Q4936" s="1">
        <f ca="1">养成规划!U61</f>
        <v>5</v>
      </c>
      <c r="R4936" s="1">
        <f ca="1" t="shared" si="1386"/>
        <v>6250</v>
      </c>
      <c r="S4936" s="1">
        <f ca="1" t="shared" si="1387"/>
        <v>7187500</v>
      </c>
    </row>
    <row r="4937" spans="2:19">
      <c r="B4937" s="11">
        <v>85</v>
      </c>
      <c r="C4937" s="1">
        <f ca="1">控制台!C761</f>
        <v>5</v>
      </c>
      <c r="D4937" s="1">
        <f ca="1" t="shared" si="1375"/>
        <v>84</v>
      </c>
      <c r="E4937" s="1">
        <f ca="1" t="shared" si="1376"/>
        <v>900</v>
      </c>
      <c r="F4937" s="1">
        <f ca="1" t="shared" si="1377"/>
        <v>250</v>
      </c>
      <c r="G4937" s="5">
        <f ca="1" t="shared" si="1378"/>
        <v>1150</v>
      </c>
      <c r="H4937" s="13">
        <v>1</v>
      </c>
      <c r="I4937" s="13">
        <f ca="1" t="shared" si="1379"/>
        <v>5.5</v>
      </c>
      <c r="J4937" s="13">
        <f ca="1" t="shared" si="1380"/>
        <v>0.65</v>
      </c>
      <c r="K4937" s="47">
        <f ca="1" t="shared" si="1381"/>
        <v>7.15</v>
      </c>
      <c r="M4937" s="1">
        <f ca="1" t="shared" si="1382"/>
        <v>420</v>
      </c>
      <c r="N4937" s="1">
        <f ca="1" t="shared" si="1383"/>
        <v>1372.8</v>
      </c>
      <c r="O4937" s="1">
        <f ca="1" t="shared" si="1384"/>
        <v>3.26857142857143</v>
      </c>
      <c r="P4937" s="1">
        <f ca="1" t="shared" si="1385"/>
        <v>0.837703962703963</v>
      </c>
      <c r="Q4937" s="1">
        <f ca="1">养成规划!U62</f>
        <v>5</v>
      </c>
      <c r="R4937" s="1">
        <f ca="1" t="shared" si="1386"/>
        <v>6250</v>
      </c>
      <c r="S4937" s="1">
        <f ca="1" t="shared" si="1387"/>
        <v>7187500</v>
      </c>
    </row>
    <row r="4938" spans="2:19">
      <c r="B4938" s="11">
        <v>90</v>
      </c>
      <c r="C4938" s="1">
        <f ca="1">控制台!C762</f>
        <v>5</v>
      </c>
      <c r="D4938" s="1">
        <f ca="1" t="shared" si="1375"/>
        <v>87</v>
      </c>
      <c r="E4938" s="1">
        <f ca="1" t="shared" si="1376"/>
        <v>900</v>
      </c>
      <c r="F4938" s="1">
        <f ca="1" t="shared" si="1377"/>
        <v>250</v>
      </c>
      <c r="G4938" s="5">
        <f ca="1" t="shared" si="1378"/>
        <v>1150</v>
      </c>
      <c r="H4938" s="13">
        <v>1</v>
      </c>
      <c r="I4938" s="13">
        <f ca="1" t="shared" si="1379"/>
        <v>5.5</v>
      </c>
      <c r="J4938" s="13">
        <f ca="1" t="shared" si="1380"/>
        <v>0.65</v>
      </c>
      <c r="K4938" s="47">
        <f ca="1" t="shared" si="1381"/>
        <v>7.15</v>
      </c>
      <c r="M4938" s="1">
        <f ca="1" t="shared" si="1382"/>
        <v>435</v>
      </c>
      <c r="N4938" s="1">
        <f ca="1" t="shared" si="1383"/>
        <v>1372.8</v>
      </c>
      <c r="O4938" s="1">
        <f ca="1" t="shared" si="1384"/>
        <v>3.15586206896552</v>
      </c>
      <c r="P4938" s="1">
        <f ca="1" t="shared" si="1385"/>
        <v>0.837703962703963</v>
      </c>
      <c r="Q4938" s="1">
        <f ca="1">养成规划!U63</f>
        <v>5</v>
      </c>
      <c r="R4938" s="1">
        <f ca="1" t="shared" si="1386"/>
        <v>6250</v>
      </c>
      <c r="S4938" s="1">
        <f ca="1" t="shared" si="1387"/>
        <v>7187500</v>
      </c>
    </row>
    <row r="4939" spans="2:19">
      <c r="B4939" s="11">
        <v>95</v>
      </c>
      <c r="C4939" s="1">
        <f ca="1">控制台!C763</f>
        <v>5</v>
      </c>
      <c r="D4939" s="1">
        <f ca="1" t="shared" si="1375"/>
        <v>87</v>
      </c>
      <c r="E4939" s="1">
        <f ca="1" t="shared" si="1376"/>
        <v>900</v>
      </c>
      <c r="F4939" s="1">
        <f ca="1" t="shared" si="1377"/>
        <v>250</v>
      </c>
      <c r="G4939" s="5">
        <f ca="1" t="shared" si="1378"/>
        <v>1150</v>
      </c>
      <c r="H4939" s="13">
        <v>1</v>
      </c>
      <c r="I4939" s="13">
        <f ca="1" t="shared" si="1379"/>
        <v>5.5</v>
      </c>
      <c r="J4939" s="13">
        <f ca="1" t="shared" si="1380"/>
        <v>0.65</v>
      </c>
      <c r="K4939" s="47">
        <f ca="1" t="shared" si="1381"/>
        <v>7.15</v>
      </c>
      <c r="M4939" s="1">
        <f ca="1" t="shared" si="1382"/>
        <v>435</v>
      </c>
      <c r="N4939" s="1">
        <f ca="1" t="shared" si="1383"/>
        <v>1372.8</v>
      </c>
      <c r="O4939" s="1">
        <f ca="1" t="shared" si="1384"/>
        <v>3.15586206896552</v>
      </c>
      <c r="P4939" s="1">
        <f ca="1" t="shared" si="1385"/>
        <v>0.837703962703963</v>
      </c>
      <c r="Q4939" s="1">
        <f ca="1">养成规划!U64</f>
        <v>5</v>
      </c>
      <c r="R4939" s="1">
        <f ca="1" t="shared" si="1386"/>
        <v>6250</v>
      </c>
      <c r="S4939" s="1">
        <f ca="1" t="shared" si="1387"/>
        <v>7187500</v>
      </c>
    </row>
    <row r="4940" spans="2:19">
      <c r="B4940" s="11">
        <v>100</v>
      </c>
      <c r="C4940" s="1">
        <f ca="1">控制台!C764</f>
        <v>5</v>
      </c>
      <c r="D4940" s="1">
        <f ca="1" t="shared" si="1375"/>
        <v>87</v>
      </c>
      <c r="E4940" s="1">
        <f ca="1" t="shared" si="1376"/>
        <v>900</v>
      </c>
      <c r="F4940" s="1">
        <f ca="1" t="shared" si="1377"/>
        <v>250</v>
      </c>
      <c r="G4940" s="5">
        <f ca="1" t="shared" si="1378"/>
        <v>1150</v>
      </c>
      <c r="H4940" s="13">
        <v>1</v>
      </c>
      <c r="I4940" s="13">
        <f ca="1" t="shared" si="1379"/>
        <v>5.5</v>
      </c>
      <c r="J4940" s="13">
        <f ca="1" t="shared" si="1380"/>
        <v>0.65</v>
      </c>
      <c r="K4940" s="47">
        <f ca="1" t="shared" si="1381"/>
        <v>7.15</v>
      </c>
      <c r="M4940" s="1">
        <f ca="1" t="shared" si="1382"/>
        <v>435</v>
      </c>
      <c r="N4940" s="1">
        <f ca="1" t="shared" si="1383"/>
        <v>1372.8</v>
      </c>
      <c r="O4940" s="1">
        <f ca="1" t="shared" si="1384"/>
        <v>3.15586206896552</v>
      </c>
      <c r="P4940" s="1">
        <f ca="1" t="shared" si="1385"/>
        <v>0.837703962703963</v>
      </c>
      <c r="Q4940" s="1">
        <f ca="1">养成规划!U65</f>
        <v>5</v>
      </c>
      <c r="R4940" s="1">
        <f ca="1" t="shared" si="1386"/>
        <v>6250</v>
      </c>
      <c r="S4940" s="1">
        <f ca="1" t="shared" si="1387"/>
        <v>7187500</v>
      </c>
    </row>
    <row r="4941" spans="2:19">
      <c r="B4941" s="11">
        <v>105</v>
      </c>
      <c r="C4941" s="1">
        <f ca="1">控制台!C765</f>
        <v>5</v>
      </c>
      <c r="D4941" s="1">
        <f ca="1" t="shared" si="1375"/>
        <v>87</v>
      </c>
      <c r="E4941" s="1">
        <f ca="1" t="shared" si="1376"/>
        <v>900</v>
      </c>
      <c r="F4941" s="1">
        <f ca="1" t="shared" si="1377"/>
        <v>250</v>
      </c>
      <c r="G4941" s="5">
        <f ca="1" t="shared" si="1378"/>
        <v>1150</v>
      </c>
      <c r="H4941" s="13">
        <v>1</v>
      </c>
      <c r="I4941" s="13">
        <f ca="1" t="shared" si="1379"/>
        <v>5.5</v>
      </c>
      <c r="J4941" s="13">
        <f ca="1" t="shared" si="1380"/>
        <v>0.65</v>
      </c>
      <c r="K4941" s="47">
        <f ca="1" t="shared" si="1381"/>
        <v>7.15</v>
      </c>
      <c r="M4941" s="1">
        <f ca="1" t="shared" si="1382"/>
        <v>435</v>
      </c>
      <c r="N4941" s="1">
        <f ca="1" t="shared" si="1383"/>
        <v>1372.8</v>
      </c>
      <c r="O4941" s="1">
        <f ca="1" t="shared" si="1384"/>
        <v>3.15586206896552</v>
      </c>
      <c r="P4941" s="1">
        <f ca="1" t="shared" si="1385"/>
        <v>0.837703962703963</v>
      </c>
      <c r="Q4941" s="1">
        <f ca="1">养成规划!U66</f>
        <v>5</v>
      </c>
      <c r="R4941" s="1">
        <f ca="1" t="shared" si="1386"/>
        <v>6250</v>
      </c>
      <c r="S4941" s="1">
        <f ca="1" t="shared" si="1387"/>
        <v>7187500</v>
      </c>
    </row>
    <row r="4942" spans="2:19">
      <c r="B4942" s="11">
        <v>110</v>
      </c>
      <c r="C4942" s="1">
        <f ca="1">控制台!C766</f>
        <v>5</v>
      </c>
      <c r="D4942" s="1">
        <f ca="1" t="shared" si="1375"/>
        <v>87</v>
      </c>
      <c r="E4942" s="1">
        <f ca="1" t="shared" si="1376"/>
        <v>900</v>
      </c>
      <c r="F4942" s="1">
        <f ca="1" t="shared" si="1377"/>
        <v>250</v>
      </c>
      <c r="G4942" s="5">
        <f ca="1" t="shared" si="1378"/>
        <v>1150</v>
      </c>
      <c r="H4942" s="13">
        <v>1</v>
      </c>
      <c r="I4942" s="13">
        <f ca="1" t="shared" si="1379"/>
        <v>5.5</v>
      </c>
      <c r="J4942" s="13">
        <f ca="1" t="shared" si="1380"/>
        <v>0.65</v>
      </c>
      <c r="K4942" s="47">
        <f ca="1" t="shared" si="1381"/>
        <v>7.15</v>
      </c>
      <c r="M4942" s="1">
        <f ca="1" t="shared" si="1382"/>
        <v>435</v>
      </c>
      <c r="N4942" s="1">
        <f ca="1" t="shared" si="1383"/>
        <v>1372.8</v>
      </c>
      <c r="O4942" s="1">
        <f ca="1" t="shared" si="1384"/>
        <v>3.15586206896552</v>
      </c>
      <c r="P4942" s="1">
        <f ca="1" t="shared" si="1385"/>
        <v>0.837703962703963</v>
      </c>
      <c r="Q4942" s="1">
        <f ca="1">养成规划!U67</f>
        <v>5</v>
      </c>
      <c r="R4942" s="1">
        <f ca="1" t="shared" si="1386"/>
        <v>6250</v>
      </c>
      <c r="S4942" s="1">
        <f ca="1" t="shared" si="1387"/>
        <v>7187500</v>
      </c>
    </row>
    <row r="4943" spans="2:19">
      <c r="B4943" s="11">
        <v>115</v>
      </c>
      <c r="C4943" s="1">
        <f ca="1">控制台!C767</f>
        <v>5</v>
      </c>
      <c r="D4943" s="1">
        <f ca="1" t="shared" si="1375"/>
        <v>87</v>
      </c>
      <c r="E4943" s="1">
        <f ca="1" t="shared" si="1376"/>
        <v>900</v>
      </c>
      <c r="F4943" s="1">
        <f ca="1" t="shared" si="1377"/>
        <v>250</v>
      </c>
      <c r="G4943" s="5">
        <f ca="1" t="shared" si="1378"/>
        <v>1150</v>
      </c>
      <c r="H4943" s="13">
        <v>1</v>
      </c>
      <c r="I4943" s="13">
        <f ca="1" t="shared" si="1379"/>
        <v>5.5</v>
      </c>
      <c r="J4943" s="13">
        <f ca="1" t="shared" si="1380"/>
        <v>0.65</v>
      </c>
      <c r="K4943" s="47">
        <f ca="1" t="shared" si="1381"/>
        <v>7.15</v>
      </c>
      <c r="M4943" s="1">
        <f ca="1" t="shared" si="1382"/>
        <v>435</v>
      </c>
      <c r="N4943" s="1">
        <f ca="1" t="shared" si="1383"/>
        <v>1372.8</v>
      </c>
      <c r="O4943" s="1">
        <f ca="1" t="shared" si="1384"/>
        <v>3.15586206896552</v>
      </c>
      <c r="P4943" s="1">
        <f ca="1" t="shared" si="1385"/>
        <v>0.837703962703963</v>
      </c>
      <c r="Q4943" s="1">
        <f ca="1">养成规划!U68</f>
        <v>5</v>
      </c>
      <c r="R4943" s="1">
        <f ca="1" t="shared" si="1386"/>
        <v>6250</v>
      </c>
      <c r="S4943" s="1">
        <f ca="1" t="shared" si="1387"/>
        <v>7187500</v>
      </c>
    </row>
    <row r="4944" spans="2:19">
      <c r="B4944" s="11">
        <v>120</v>
      </c>
      <c r="C4944" s="1">
        <f ca="1">控制台!C768</f>
        <v>5</v>
      </c>
      <c r="D4944" s="1">
        <f ca="1" t="shared" si="1375"/>
        <v>90</v>
      </c>
      <c r="E4944" s="1">
        <f ca="1" t="shared" si="1376"/>
        <v>1050</v>
      </c>
      <c r="F4944" s="1">
        <f ca="1" t="shared" si="1377"/>
        <v>250</v>
      </c>
      <c r="G4944" s="5">
        <f ca="1" t="shared" si="1378"/>
        <v>1300</v>
      </c>
      <c r="H4944" s="13">
        <v>1</v>
      </c>
      <c r="I4944" s="13">
        <f ca="1" t="shared" si="1379"/>
        <v>5.5</v>
      </c>
      <c r="J4944" s="13">
        <f ca="1" t="shared" si="1380"/>
        <v>0.65</v>
      </c>
      <c r="K4944" s="47">
        <f ca="1" t="shared" si="1381"/>
        <v>7.15</v>
      </c>
      <c r="M4944" s="1">
        <f ca="1" t="shared" si="1382"/>
        <v>450</v>
      </c>
      <c r="N4944" s="1">
        <f ca="1" t="shared" si="1383"/>
        <v>1372.8</v>
      </c>
      <c r="O4944" s="1">
        <f ca="1" t="shared" si="1384"/>
        <v>3.05066666666667</v>
      </c>
      <c r="P4944" s="1">
        <f ca="1" t="shared" si="1385"/>
        <v>0.946969696969697</v>
      </c>
      <c r="Q4944" s="1">
        <f ca="1">养成规划!U69</f>
        <v>5</v>
      </c>
      <c r="R4944" s="1">
        <f ca="1" t="shared" si="1386"/>
        <v>6250</v>
      </c>
      <c r="S4944" s="1">
        <f ca="1" t="shared" si="1387"/>
        <v>8125000</v>
      </c>
    </row>
    <row r="4945" spans="2:19">
      <c r="B4945" s="12">
        <v>150</v>
      </c>
      <c r="C4945" s="1">
        <f ca="1">控制台!C769</f>
        <v>5</v>
      </c>
      <c r="D4945" s="1">
        <f ca="1" t="shared" ref="D4945:D4952" si="1388">L438</f>
        <v>90</v>
      </c>
      <c r="E4945" s="1">
        <f ca="1" t="shared" ref="E4945:E4952" si="1389">M438*C4945</f>
        <v>1050</v>
      </c>
      <c r="F4945" s="1">
        <f ca="1" t="shared" ref="F4945:F4952" si="1390">T540</f>
        <v>250</v>
      </c>
      <c r="G4945" s="5">
        <f ca="1" t="shared" ref="G4945:G4952" si="1391">SUM(E4945:F4945)</f>
        <v>1300</v>
      </c>
      <c r="H4945" s="13">
        <v>1</v>
      </c>
      <c r="I4945" s="13">
        <f ca="1" t="shared" ref="I4945:I4952" si="1392">N438*C4945</f>
        <v>5.5</v>
      </c>
      <c r="J4945" s="13">
        <f ca="1" t="shared" ref="J4945:J4952" si="1393">U540</f>
        <v>0.65</v>
      </c>
      <c r="K4945" s="47">
        <f ca="1" t="shared" ref="K4945:K4952" si="1394">SUM(H4945:J4945)</f>
        <v>7.15</v>
      </c>
      <c r="M4945" s="1">
        <f ca="1" t="shared" ref="M4945:M4952" si="1395">C4945*D4945</f>
        <v>450</v>
      </c>
      <c r="N4945" s="1">
        <f ca="1" t="shared" ref="N4945:N4952" si="1396">3600*24/($F$4860/K4945)</f>
        <v>1372.8</v>
      </c>
      <c r="O4945" s="1">
        <f ca="1" t="shared" ref="O4945:O4952" si="1397">IFERROR(N4945/M4945,0)</f>
        <v>3.05066666666667</v>
      </c>
      <c r="P4945" s="1">
        <f ca="1" t="shared" ref="P4945:P4952" si="1398">G4945*($F$4860/K4945)/3600/24</f>
        <v>0.946969696969697</v>
      </c>
      <c r="Q4945" s="1">
        <f ca="1">养成规划!U70</f>
        <v>5</v>
      </c>
      <c r="R4945" s="1">
        <f ca="1" t="shared" ref="R4945:R4952" si="1399">OFFSET($C$4866,MATCH(Q4945,$B$4866:$B$4872,0)-1,0)*$F$4861</f>
        <v>6250</v>
      </c>
      <c r="S4945" s="1">
        <f ca="1" t="shared" ref="S4945:S4952" si="1400">R4945*G4945</f>
        <v>8125000</v>
      </c>
    </row>
    <row r="4946" spans="2:19">
      <c r="B4946" s="12">
        <v>180</v>
      </c>
      <c r="C4946" s="1">
        <f ca="1">控制台!C770</f>
        <v>5</v>
      </c>
      <c r="D4946" s="1">
        <f ca="1" t="shared" si="1388"/>
        <v>93</v>
      </c>
      <c r="E4946" s="1">
        <f ca="1" t="shared" si="1389"/>
        <v>1050</v>
      </c>
      <c r="F4946" s="1">
        <f ca="1" t="shared" si="1390"/>
        <v>250</v>
      </c>
      <c r="G4946" s="5">
        <f ca="1" t="shared" si="1391"/>
        <v>1300</v>
      </c>
      <c r="H4946" s="13">
        <v>1</v>
      </c>
      <c r="I4946" s="13">
        <f ca="1" t="shared" si="1392"/>
        <v>5.5</v>
      </c>
      <c r="J4946" s="13">
        <f ca="1" t="shared" si="1393"/>
        <v>0.65</v>
      </c>
      <c r="K4946" s="47">
        <f ca="1" t="shared" si="1394"/>
        <v>7.15</v>
      </c>
      <c r="M4946" s="1">
        <f ca="1" t="shared" si="1395"/>
        <v>465</v>
      </c>
      <c r="N4946" s="1">
        <f ca="1" t="shared" si="1396"/>
        <v>1372.8</v>
      </c>
      <c r="O4946" s="1">
        <f ca="1" t="shared" si="1397"/>
        <v>2.95225806451613</v>
      </c>
      <c r="P4946" s="1">
        <f ca="1" t="shared" si="1398"/>
        <v>0.946969696969697</v>
      </c>
      <c r="Q4946" s="1">
        <f ca="1">养成规划!U71</f>
        <v>5</v>
      </c>
      <c r="R4946" s="1">
        <f ca="1" t="shared" si="1399"/>
        <v>6250</v>
      </c>
      <c r="S4946" s="1">
        <f ca="1" t="shared" si="1400"/>
        <v>8125000</v>
      </c>
    </row>
    <row r="4947" spans="2:19">
      <c r="B4947" s="12">
        <v>210</v>
      </c>
      <c r="C4947" s="1">
        <f ca="1">控制台!C771</f>
        <v>5</v>
      </c>
      <c r="D4947" s="1">
        <f ca="1" t="shared" si="1388"/>
        <v>93</v>
      </c>
      <c r="E4947" s="1">
        <f ca="1" t="shared" si="1389"/>
        <v>1050</v>
      </c>
      <c r="F4947" s="1">
        <f ca="1" t="shared" si="1390"/>
        <v>250</v>
      </c>
      <c r="G4947" s="5">
        <f ca="1" t="shared" si="1391"/>
        <v>1300</v>
      </c>
      <c r="H4947" s="13">
        <v>1</v>
      </c>
      <c r="I4947" s="13">
        <f ca="1" t="shared" si="1392"/>
        <v>5.5</v>
      </c>
      <c r="J4947" s="13">
        <f ca="1" t="shared" si="1393"/>
        <v>0.65</v>
      </c>
      <c r="K4947" s="47">
        <f ca="1" t="shared" si="1394"/>
        <v>7.15</v>
      </c>
      <c r="M4947" s="1">
        <f ca="1" t="shared" si="1395"/>
        <v>465</v>
      </c>
      <c r="N4947" s="1">
        <f ca="1" t="shared" si="1396"/>
        <v>1372.8</v>
      </c>
      <c r="O4947" s="1">
        <f ca="1" t="shared" si="1397"/>
        <v>2.95225806451613</v>
      </c>
      <c r="P4947" s="1">
        <f ca="1" t="shared" si="1398"/>
        <v>0.946969696969697</v>
      </c>
      <c r="Q4947" s="1">
        <f ca="1">养成规划!U72</f>
        <v>5</v>
      </c>
      <c r="R4947" s="1">
        <f ca="1" t="shared" si="1399"/>
        <v>6250</v>
      </c>
      <c r="S4947" s="1">
        <f ca="1" t="shared" si="1400"/>
        <v>8125000</v>
      </c>
    </row>
    <row r="4948" spans="2:19">
      <c r="B4948" s="12">
        <v>240</v>
      </c>
      <c r="C4948" s="1">
        <f ca="1">控制台!C772</f>
        <v>5</v>
      </c>
      <c r="D4948" s="1">
        <f ca="1" t="shared" si="1388"/>
        <v>96</v>
      </c>
      <c r="E4948" s="1">
        <f ca="1" t="shared" si="1389"/>
        <v>1050</v>
      </c>
      <c r="F4948" s="1">
        <f ca="1" t="shared" si="1390"/>
        <v>500</v>
      </c>
      <c r="G4948" s="5">
        <f ca="1" t="shared" si="1391"/>
        <v>1550</v>
      </c>
      <c r="H4948" s="13">
        <v>1</v>
      </c>
      <c r="I4948" s="13">
        <f ca="1" t="shared" si="1392"/>
        <v>5.6</v>
      </c>
      <c r="J4948" s="13">
        <f ca="1" t="shared" si="1393"/>
        <v>0.65</v>
      </c>
      <c r="K4948" s="47">
        <f ca="1" t="shared" si="1394"/>
        <v>7.25</v>
      </c>
      <c r="M4948" s="1">
        <f ca="1" t="shared" si="1395"/>
        <v>480</v>
      </c>
      <c r="N4948" s="1">
        <f ca="1" t="shared" si="1396"/>
        <v>1392</v>
      </c>
      <c r="O4948" s="1">
        <f ca="1" t="shared" si="1397"/>
        <v>2.9</v>
      </c>
      <c r="P4948" s="1">
        <f ca="1" t="shared" si="1398"/>
        <v>1.11350574712644</v>
      </c>
      <c r="Q4948" s="1">
        <f ca="1">养成规划!U73</f>
        <v>5</v>
      </c>
      <c r="R4948" s="1">
        <f ca="1" t="shared" si="1399"/>
        <v>6250</v>
      </c>
      <c r="S4948" s="1">
        <f ca="1" t="shared" si="1400"/>
        <v>9687500</v>
      </c>
    </row>
    <row r="4949" spans="2:19">
      <c r="B4949" s="12">
        <v>270</v>
      </c>
      <c r="C4949" s="1">
        <f ca="1">控制台!C773</f>
        <v>5</v>
      </c>
      <c r="D4949" s="1">
        <f ca="1" t="shared" si="1388"/>
        <v>96</v>
      </c>
      <c r="E4949" s="1">
        <f ca="1" t="shared" si="1389"/>
        <v>1050</v>
      </c>
      <c r="F4949" s="1">
        <f ca="1" t="shared" si="1390"/>
        <v>500</v>
      </c>
      <c r="G4949" s="5">
        <f ca="1" t="shared" si="1391"/>
        <v>1550</v>
      </c>
      <c r="H4949" s="13">
        <v>1</v>
      </c>
      <c r="I4949" s="13">
        <f ca="1" t="shared" si="1392"/>
        <v>5.6</v>
      </c>
      <c r="J4949" s="13">
        <f ca="1" t="shared" si="1393"/>
        <v>0.65</v>
      </c>
      <c r="K4949" s="47">
        <f ca="1" t="shared" si="1394"/>
        <v>7.25</v>
      </c>
      <c r="M4949" s="1">
        <f ca="1" t="shared" si="1395"/>
        <v>480</v>
      </c>
      <c r="N4949" s="1">
        <f ca="1" t="shared" si="1396"/>
        <v>1392</v>
      </c>
      <c r="O4949" s="1">
        <f ca="1" t="shared" si="1397"/>
        <v>2.9</v>
      </c>
      <c r="P4949" s="1">
        <f ca="1" t="shared" si="1398"/>
        <v>1.11350574712644</v>
      </c>
      <c r="Q4949" s="1">
        <f ca="1">养成规划!U74</f>
        <v>5</v>
      </c>
      <c r="R4949" s="1">
        <f ca="1" t="shared" si="1399"/>
        <v>6250</v>
      </c>
      <c r="S4949" s="1">
        <f ca="1" t="shared" si="1400"/>
        <v>9687500</v>
      </c>
    </row>
    <row r="4950" spans="2:19">
      <c r="B4950" s="12">
        <v>300</v>
      </c>
      <c r="C4950" s="1">
        <f ca="1">控制台!C774</f>
        <v>5</v>
      </c>
      <c r="D4950" s="1">
        <f ca="1" t="shared" si="1388"/>
        <v>99</v>
      </c>
      <c r="E4950" s="1">
        <f ca="1" t="shared" si="1389"/>
        <v>1050</v>
      </c>
      <c r="F4950" s="1">
        <f ca="1" t="shared" si="1390"/>
        <v>500</v>
      </c>
      <c r="G4950" s="5">
        <f ca="1" t="shared" si="1391"/>
        <v>1550</v>
      </c>
      <c r="H4950" s="13">
        <v>1</v>
      </c>
      <c r="I4950" s="13">
        <f ca="1" t="shared" si="1392"/>
        <v>5.6</v>
      </c>
      <c r="J4950" s="13">
        <f ca="1" t="shared" si="1393"/>
        <v>0.65</v>
      </c>
      <c r="K4950" s="47">
        <f ca="1" t="shared" si="1394"/>
        <v>7.25</v>
      </c>
      <c r="M4950" s="1">
        <f ca="1" t="shared" si="1395"/>
        <v>495</v>
      </c>
      <c r="N4950" s="1">
        <f ca="1" t="shared" si="1396"/>
        <v>1392</v>
      </c>
      <c r="O4950" s="1">
        <f ca="1" t="shared" si="1397"/>
        <v>2.81212121212121</v>
      </c>
      <c r="P4950" s="1">
        <f ca="1" t="shared" si="1398"/>
        <v>1.11350574712644</v>
      </c>
      <c r="Q4950" s="1">
        <f ca="1">养成规划!U75</f>
        <v>5</v>
      </c>
      <c r="R4950" s="1">
        <f ca="1" t="shared" si="1399"/>
        <v>6250</v>
      </c>
      <c r="S4950" s="1">
        <f ca="1" t="shared" si="1400"/>
        <v>9687500</v>
      </c>
    </row>
    <row r="4951" spans="2:19">
      <c r="B4951" s="12">
        <v>330</v>
      </c>
      <c r="C4951" s="1">
        <f ca="1">控制台!C775</f>
        <v>5</v>
      </c>
      <c r="D4951" s="1">
        <f ca="1" t="shared" si="1388"/>
        <v>99</v>
      </c>
      <c r="E4951" s="1">
        <f ca="1" t="shared" si="1389"/>
        <v>1050</v>
      </c>
      <c r="F4951" s="1">
        <f ca="1" t="shared" si="1390"/>
        <v>500</v>
      </c>
      <c r="G4951" s="5">
        <f ca="1" t="shared" si="1391"/>
        <v>1550</v>
      </c>
      <c r="H4951" s="13">
        <v>1</v>
      </c>
      <c r="I4951" s="13">
        <f ca="1" t="shared" si="1392"/>
        <v>5.6</v>
      </c>
      <c r="J4951" s="13">
        <f ca="1" t="shared" si="1393"/>
        <v>0.65</v>
      </c>
      <c r="K4951" s="47">
        <f ca="1" t="shared" si="1394"/>
        <v>7.25</v>
      </c>
      <c r="M4951" s="1">
        <f ca="1" t="shared" si="1395"/>
        <v>495</v>
      </c>
      <c r="N4951" s="1">
        <f ca="1" t="shared" si="1396"/>
        <v>1392</v>
      </c>
      <c r="O4951" s="1">
        <f ca="1" t="shared" si="1397"/>
        <v>2.81212121212121</v>
      </c>
      <c r="P4951" s="1">
        <f ca="1" t="shared" si="1398"/>
        <v>1.11350574712644</v>
      </c>
      <c r="Q4951" s="1">
        <f ca="1">养成规划!U76</f>
        <v>5</v>
      </c>
      <c r="R4951" s="1">
        <f ca="1" t="shared" si="1399"/>
        <v>6250</v>
      </c>
      <c r="S4951" s="1">
        <f ca="1" t="shared" si="1400"/>
        <v>9687500</v>
      </c>
    </row>
    <row r="4952" spans="2:19">
      <c r="B4952" s="12">
        <v>360</v>
      </c>
      <c r="C4952" s="1">
        <f ca="1">控制台!C776</f>
        <v>5</v>
      </c>
      <c r="D4952" s="1">
        <f ca="1" t="shared" si="1388"/>
        <v>102</v>
      </c>
      <c r="E4952" s="1">
        <f ca="1" t="shared" si="1389"/>
        <v>1200</v>
      </c>
      <c r="F4952" s="1">
        <f ca="1" t="shared" si="1390"/>
        <v>500</v>
      </c>
      <c r="G4952" s="5">
        <f ca="1" t="shared" si="1391"/>
        <v>1700</v>
      </c>
      <c r="H4952" s="13">
        <v>1</v>
      </c>
      <c r="I4952" s="13">
        <f ca="1" t="shared" si="1392"/>
        <v>5.6</v>
      </c>
      <c r="J4952" s="13">
        <f ca="1" t="shared" si="1393"/>
        <v>0.65</v>
      </c>
      <c r="K4952" s="47">
        <f ca="1" t="shared" si="1394"/>
        <v>7.25</v>
      </c>
      <c r="M4952" s="1">
        <f ca="1" t="shared" si="1395"/>
        <v>510</v>
      </c>
      <c r="N4952" s="1">
        <f ca="1" t="shared" si="1396"/>
        <v>1392</v>
      </c>
      <c r="O4952" s="1">
        <f ca="1" t="shared" si="1397"/>
        <v>2.72941176470588</v>
      </c>
      <c r="P4952" s="1">
        <f ca="1" t="shared" si="1398"/>
        <v>1.22126436781609</v>
      </c>
      <c r="Q4952" s="1">
        <f ca="1">养成规划!U77</f>
        <v>6</v>
      </c>
      <c r="R4952" s="1">
        <f ca="1" t="shared" si="1399"/>
        <v>10000</v>
      </c>
      <c r="S4952" s="1">
        <f ca="1" t="shared" si="1400"/>
        <v>17000000</v>
      </c>
    </row>
    <row r="4955" s="25" customFormat="1" spans="1:5">
      <c r="A4955" s="2" t="s">
        <v>698</v>
      </c>
      <c r="B4955" s="2"/>
      <c r="C4955" s="41" t="s">
        <v>436</v>
      </c>
      <c r="E4955" s="41" t="s">
        <v>2396</v>
      </c>
    </row>
    <row r="4957" spans="2:12">
      <c r="B4957" s="27" t="s">
        <v>1102</v>
      </c>
      <c r="C4957" s="27"/>
      <c r="D4957" s="27"/>
      <c r="E4957" s="27"/>
      <c r="F4957" s="27"/>
      <c r="G4957" s="27"/>
      <c r="H4957" s="27"/>
      <c r="I4957" s="27"/>
      <c r="J4957" s="27"/>
      <c r="K4957" s="27"/>
      <c r="L4957" s="27"/>
    </row>
    <row r="4959" spans="2:5">
      <c r="B4959" s="1" t="s">
        <v>2397</v>
      </c>
      <c r="E4959" s="30">
        <v>3600</v>
      </c>
    </row>
    <row r="4960" spans="2:5">
      <c r="B4960" s="1" t="s">
        <v>2398</v>
      </c>
      <c r="E4960" s="6">
        <v>5000000</v>
      </c>
    </row>
    <row r="4961" spans="2:5">
      <c r="B4961" s="1" t="s">
        <v>2399</v>
      </c>
      <c r="E4961" s="6">
        <v>200000</v>
      </c>
    </row>
    <row r="4962" spans="2:5">
      <c r="B4962" s="1" t="s">
        <v>2400</v>
      </c>
      <c r="E4962" s="6">
        <v>10000</v>
      </c>
    </row>
    <row r="4963" spans="2:5">
      <c r="B4963" s="1" t="s">
        <v>2401</v>
      </c>
      <c r="E4963" s="30">
        <v>1800</v>
      </c>
    </row>
    <row r="4965" spans="2:12">
      <c r="B4965" s="27" t="s">
        <v>842</v>
      </c>
      <c r="C4965" s="27"/>
      <c r="D4965" s="27"/>
      <c r="E4965" s="27"/>
      <c r="F4965" s="27"/>
      <c r="G4965" s="27"/>
      <c r="H4965" s="27"/>
      <c r="I4965" s="27"/>
      <c r="J4965" s="27"/>
      <c r="K4965" s="27"/>
      <c r="L4965" s="27"/>
    </row>
    <row r="4967" spans="2:3">
      <c r="B4967" s="1" t="s">
        <v>2402</v>
      </c>
      <c r="C4967" s="1" t="s">
        <v>2403</v>
      </c>
    </row>
    <row r="4968" spans="2:3">
      <c r="B4968" s="30">
        <v>1</v>
      </c>
      <c r="C4968" s="30">
        <v>1</v>
      </c>
    </row>
    <row r="4969" spans="2:3">
      <c r="B4969" s="30">
        <v>21</v>
      </c>
      <c r="C4969" s="30">
        <v>1.5</v>
      </c>
    </row>
    <row r="4970" spans="2:3">
      <c r="B4970" s="30">
        <v>51</v>
      </c>
      <c r="C4970" s="30">
        <v>2</v>
      </c>
    </row>
    <row r="4971" spans="2:3">
      <c r="B4971" s="30">
        <v>101</v>
      </c>
      <c r="C4971" s="30">
        <v>3</v>
      </c>
    </row>
    <row r="4972" spans="2:3">
      <c r="B4972" s="30">
        <v>151</v>
      </c>
      <c r="C4972" s="30">
        <v>4</v>
      </c>
    </row>
    <row r="4973" spans="2:3">
      <c r="B4973" s="30">
        <v>201</v>
      </c>
      <c r="C4973" s="30">
        <v>4</v>
      </c>
    </row>
    <row r="4974" spans="2:3">
      <c r="B4974" s="30">
        <v>251</v>
      </c>
      <c r="C4974" s="30">
        <v>4</v>
      </c>
    </row>
    <row r="4975" spans="2:3">
      <c r="B4975" s="30">
        <v>301</v>
      </c>
      <c r="C4975" s="30">
        <v>6</v>
      </c>
    </row>
    <row r="4976" spans="2:3">
      <c r="B4976" s="30">
        <v>401</v>
      </c>
      <c r="C4976" s="30">
        <v>8</v>
      </c>
    </row>
    <row r="4979" s="25" customFormat="1" spans="1:5">
      <c r="A4979" s="2" t="s">
        <v>700</v>
      </c>
      <c r="B4979" s="2"/>
      <c r="C4979" s="41" t="s">
        <v>436</v>
      </c>
      <c r="E4979" s="26" t="s">
        <v>2404</v>
      </c>
    </row>
    <row r="4981" spans="2:12">
      <c r="B4981" s="27" t="s">
        <v>1102</v>
      </c>
      <c r="C4981" s="27"/>
      <c r="D4981" s="27"/>
      <c r="E4981" s="27"/>
      <c r="F4981" s="27"/>
      <c r="G4981" s="27"/>
      <c r="H4981" s="27"/>
      <c r="I4981" s="27"/>
      <c r="J4981" s="27"/>
      <c r="K4981" s="27"/>
      <c r="L4981" s="27"/>
    </row>
    <row r="4983" spans="2:5">
      <c r="B4983" s="1" t="s">
        <v>2405</v>
      </c>
      <c r="E4983" s="6">
        <v>1800</v>
      </c>
    </row>
    <row r="4984" spans="2:5">
      <c r="B4984" s="1" t="s">
        <v>2406</v>
      </c>
      <c r="E4984" s="1">
        <f>24*3600/E4983</f>
        <v>48</v>
      </c>
    </row>
    <row r="4985" spans="2:5">
      <c r="B4985" s="1" t="s">
        <v>2407</v>
      </c>
      <c r="E4985" s="6">
        <v>100</v>
      </c>
    </row>
    <row r="4986" spans="2:5">
      <c r="B4986" s="1" t="s">
        <v>2408</v>
      </c>
      <c r="E4986" s="1">
        <f>E4985*E4996*E4984</f>
        <v>11100</v>
      </c>
    </row>
    <row r="4988" spans="2:12">
      <c r="B4988" s="27" t="s">
        <v>2409</v>
      </c>
      <c r="C4988" s="27"/>
      <c r="D4988" s="27"/>
      <c r="E4988" s="27"/>
      <c r="F4988" s="27"/>
      <c r="G4988" s="27"/>
      <c r="H4988" s="27"/>
      <c r="I4988" s="27"/>
      <c r="J4988" s="27"/>
      <c r="K4988" s="27"/>
      <c r="L4988" s="27"/>
    </row>
    <row r="4990" spans="2:10">
      <c r="B4990" s="1" t="s">
        <v>2410</v>
      </c>
      <c r="C4990" s="1" t="s">
        <v>2411</v>
      </c>
      <c r="D4990" s="1" t="s">
        <v>2412</v>
      </c>
      <c r="E4990" s="1" t="s">
        <v>2413</v>
      </c>
      <c r="G4990" s="1" t="s">
        <v>2414</v>
      </c>
      <c r="H4990" s="1" t="s">
        <v>2415</v>
      </c>
      <c r="I4990" s="1" t="s">
        <v>2416</v>
      </c>
      <c r="J4990" s="1" t="s">
        <v>2417</v>
      </c>
    </row>
    <row r="4991" spans="2:10">
      <c r="B4991" s="6">
        <v>1</v>
      </c>
      <c r="C4991" s="6">
        <v>80</v>
      </c>
      <c r="D4991" s="68">
        <f>C4991/$C$4996</f>
        <v>0.5</v>
      </c>
      <c r="E4991" s="1">
        <f>B4991*D4991</f>
        <v>0.5</v>
      </c>
      <c r="G4991" s="6">
        <v>1</v>
      </c>
      <c r="H4991" s="6">
        <v>250</v>
      </c>
      <c r="I4991" s="68">
        <f>H4991/$H$4996</f>
        <v>0.625</v>
      </c>
      <c r="J4991" s="1">
        <f t="shared" ref="J4991:J4995" si="1401">G4991*I4991</f>
        <v>0.625</v>
      </c>
    </row>
    <row r="4992" spans="2:10">
      <c r="B4992" s="6">
        <v>2</v>
      </c>
      <c r="C4992" s="6">
        <v>40</v>
      </c>
      <c r="D4992" s="68">
        <f t="shared" ref="D4992:D4995" si="1402">C4992/$C$4996</f>
        <v>0.25</v>
      </c>
      <c r="E4992" s="1">
        <f t="shared" ref="E4992:E4995" si="1403">B4992*D4992</f>
        <v>0.5</v>
      </c>
      <c r="G4992" s="6">
        <v>2</v>
      </c>
      <c r="H4992" s="6">
        <v>100</v>
      </c>
      <c r="I4992" s="68">
        <f t="shared" ref="I4992:I4995" si="1404">H4992/$H$4996</f>
        <v>0.25</v>
      </c>
      <c r="J4992" s="1">
        <f t="shared" si="1401"/>
        <v>0.5</v>
      </c>
    </row>
    <row r="4993" spans="2:10">
      <c r="B4993" s="6">
        <v>3</v>
      </c>
      <c r="C4993" s="6">
        <v>20</v>
      </c>
      <c r="D4993" s="68">
        <f t="shared" si="1402"/>
        <v>0.125</v>
      </c>
      <c r="E4993" s="1">
        <f t="shared" si="1403"/>
        <v>0.375</v>
      </c>
      <c r="G4993" s="6">
        <v>3</v>
      </c>
      <c r="H4993" s="6">
        <v>30</v>
      </c>
      <c r="I4993" s="68">
        <f t="shared" si="1404"/>
        <v>0.075</v>
      </c>
      <c r="J4993" s="1">
        <f t="shared" si="1401"/>
        <v>0.225</v>
      </c>
    </row>
    <row r="4994" spans="2:10">
      <c r="B4994" s="6">
        <v>5</v>
      </c>
      <c r="C4994" s="6">
        <v>10</v>
      </c>
      <c r="D4994" s="68">
        <f t="shared" si="1402"/>
        <v>0.0625</v>
      </c>
      <c r="E4994" s="1">
        <f t="shared" si="1403"/>
        <v>0.3125</v>
      </c>
      <c r="G4994" s="6">
        <v>5</v>
      </c>
      <c r="H4994" s="6">
        <v>10</v>
      </c>
      <c r="I4994" s="68">
        <f t="shared" si="1404"/>
        <v>0.025</v>
      </c>
      <c r="J4994" s="1">
        <f t="shared" si="1401"/>
        <v>0.125</v>
      </c>
    </row>
    <row r="4995" spans="2:10">
      <c r="B4995" s="6">
        <v>10</v>
      </c>
      <c r="C4995" s="6">
        <v>10</v>
      </c>
      <c r="D4995" s="68">
        <f t="shared" si="1402"/>
        <v>0.0625</v>
      </c>
      <c r="E4995" s="1">
        <f t="shared" si="1403"/>
        <v>0.625</v>
      </c>
      <c r="G4995" s="6">
        <v>10</v>
      </c>
      <c r="H4995" s="6">
        <v>10</v>
      </c>
      <c r="I4995" s="68">
        <f t="shared" si="1404"/>
        <v>0.025</v>
      </c>
      <c r="J4995" s="1">
        <f t="shared" si="1401"/>
        <v>0.25</v>
      </c>
    </row>
    <row r="4996" spans="3:10">
      <c r="C4996" s="1">
        <f t="shared" ref="C4996:H4996" si="1405">SUM(C4991:C4995)</f>
        <v>160</v>
      </c>
      <c r="E4996" s="5">
        <f t="shared" si="1405"/>
        <v>2.3125</v>
      </c>
      <c r="H4996" s="1">
        <f t="shared" si="1405"/>
        <v>400</v>
      </c>
      <c r="J4996" s="5">
        <f>SUM(J4991:J4995)</f>
        <v>1.725</v>
      </c>
    </row>
    <row r="4998" spans="2:12">
      <c r="B4998" s="27" t="s">
        <v>2418</v>
      </c>
      <c r="C4998" s="27"/>
      <c r="D4998" s="27"/>
      <c r="E4998" s="27"/>
      <c r="F4998" s="27"/>
      <c r="G4998" s="27"/>
      <c r="H4998" s="27"/>
      <c r="I4998" s="27"/>
      <c r="J4998" s="27"/>
      <c r="K4998" s="27"/>
      <c r="L4998" s="27"/>
    </row>
    <row r="5000" spans="2:16">
      <c r="B5000" s="1" t="s">
        <v>879</v>
      </c>
      <c r="C5000" s="1" t="s">
        <v>452</v>
      </c>
      <c r="D5000" s="1" t="s">
        <v>2419</v>
      </c>
      <c r="E5000" s="1" t="s">
        <v>880</v>
      </c>
      <c r="F5000" s="1" t="s">
        <v>881</v>
      </c>
      <c r="G5000" s="1" t="s">
        <v>882</v>
      </c>
      <c r="I5000" s="1" t="s">
        <v>2420</v>
      </c>
      <c r="J5000" s="1" t="s">
        <v>2421</v>
      </c>
      <c r="K5000" s="1" t="s">
        <v>2422</v>
      </c>
      <c r="L5000" s="1" t="s">
        <v>2423</v>
      </c>
      <c r="M5000" s="1" t="s">
        <v>2424</v>
      </c>
      <c r="N5000" s="1" t="s">
        <v>2425</v>
      </c>
      <c r="O5000" s="1" t="s">
        <v>2426</v>
      </c>
      <c r="P5000" s="1" t="s">
        <v>2427</v>
      </c>
    </row>
    <row r="5001" spans="2:16">
      <c r="B5001" s="1">
        <f>200000+D5001*10000+E5001*100+F5001</f>
        <v>210101</v>
      </c>
      <c r="C5001" s="1" t="s">
        <v>2428</v>
      </c>
      <c r="D5001" s="1">
        <v>1</v>
      </c>
      <c r="E5001" s="1">
        <v>1</v>
      </c>
      <c r="F5001" s="1">
        <v>1</v>
      </c>
      <c r="G5001" s="1">
        <v>5</v>
      </c>
      <c r="I5001" s="30">
        <v>1000</v>
      </c>
      <c r="J5001" s="30">
        <v>100000</v>
      </c>
      <c r="K5001" s="30">
        <v>100000</v>
      </c>
      <c r="L5001" s="1">
        <f>J5001*G5001+K5001*(G5001-1)*G5001/2</f>
        <v>1500000</v>
      </c>
      <c r="M5001" s="30">
        <v>100000</v>
      </c>
      <c r="N5001" s="30">
        <v>100000</v>
      </c>
      <c r="O5001" s="1">
        <f>M5001*G5001+N5001*(G5001-1)*G5001/2</f>
        <v>1500000</v>
      </c>
      <c r="P5001" s="30">
        <v>7200</v>
      </c>
    </row>
    <row r="5002" spans="2:16">
      <c r="B5002" s="1">
        <f t="shared" ref="B5002:B5051" si="1406">200000+D5002*10000+E5002*100+F5002</f>
        <v>210102</v>
      </c>
      <c r="C5002" s="1" t="s">
        <v>2429</v>
      </c>
      <c r="D5002" s="1">
        <v>1</v>
      </c>
      <c r="E5002" s="1">
        <v>1</v>
      </c>
      <c r="F5002" s="1">
        <v>2</v>
      </c>
      <c r="G5002" s="1">
        <v>5</v>
      </c>
      <c r="I5002" s="30">
        <v>1000</v>
      </c>
      <c r="J5002" s="30">
        <v>100000</v>
      </c>
      <c r="K5002" s="30">
        <v>100000</v>
      </c>
      <c r="L5002" s="1">
        <f t="shared" ref="L5002:L5051" si="1407">J5002*G5002+K5002*(G5002-1)*G5002/2</f>
        <v>1500000</v>
      </c>
      <c r="M5002" s="30">
        <v>100000</v>
      </c>
      <c r="N5002" s="30">
        <v>100000</v>
      </c>
      <c r="O5002" s="1">
        <f t="shared" ref="O5002:O5051" si="1408">M5002*G5002+N5002*(G5002-1)*G5002/2</f>
        <v>1500000</v>
      </c>
      <c r="P5002" s="30">
        <v>7200</v>
      </c>
    </row>
    <row r="5003" spans="2:16">
      <c r="B5003" s="1">
        <f t="shared" si="1406"/>
        <v>210201</v>
      </c>
      <c r="C5003" s="1" t="s">
        <v>886</v>
      </c>
      <c r="D5003" s="1">
        <v>1</v>
      </c>
      <c r="E5003" s="1">
        <v>2</v>
      </c>
      <c r="F5003" s="1">
        <v>1</v>
      </c>
      <c r="G5003" s="1">
        <v>5</v>
      </c>
      <c r="I5003" s="30">
        <v>1000</v>
      </c>
      <c r="J5003" s="30">
        <v>200000</v>
      </c>
      <c r="K5003" s="30">
        <v>200000</v>
      </c>
      <c r="L5003" s="1">
        <f t="shared" si="1407"/>
        <v>3000000</v>
      </c>
      <c r="M5003" s="30">
        <v>200000</v>
      </c>
      <c r="N5003" s="30">
        <v>200000</v>
      </c>
      <c r="O5003" s="1">
        <f t="shared" si="1408"/>
        <v>3000000</v>
      </c>
      <c r="P5003" s="30">
        <v>7200</v>
      </c>
    </row>
    <row r="5004" spans="2:16">
      <c r="B5004" s="1">
        <f t="shared" si="1406"/>
        <v>210202</v>
      </c>
      <c r="C5004" s="1" t="s">
        <v>2430</v>
      </c>
      <c r="D5004" s="1">
        <v>1</v>
      </c>
      <c r="E5004" s="1">
        <v>2</v>
      </c>
      <c r="F5004" s="1">
        <v>2</v>
      </c>
      <c r="G5004" s="1">
        <v>5</v>
      </c>
      <c r="I5004" s="30">
        <v>1000</v>
      </c>
      <c r="J5004" s="30">
        <v>200000</v>
      </c>
      <c r="K5004" s="30">
        <v>200000</v>
      </c>
      <c r="L5004" s="1">
        <f t="shared" si="1407"/>
        <v>3000000</v>
      </c>
      <c r="M5004" s="30">
        <v>200000</v>
      </c>
      <c r="N5004" s="30">
        <v>200000</v>
      </c>
      <c r="O5004" s="1">
        <f t="shared" si="1408"/>
        <v>3000000</v>
      </c>
      <c r="P5004" s="30">
        <v>7200</v>
      </c>
    </row>
    <row r="5005" spans="2:16">
      <c r="B5005" s="1">
        <f t="shared" si="1406"/>
        <v>210203</v>
      </c>
      <c r="C5005" s="1" t="s">
        <v>2431</v>
      </c>
      <c r="D5005" s="1">
        <v>1</v>
      </c>
      <c r="E5005" s="1">
        <v>2</v>
      </c>
      <c r="F5005" s="1">
        <v>3</v>
      </c>
      <c r="G5005" s="1">
        <v>5</v>
      </c>
      <c r="I5005" s="30">
        <v>1000</v>
      </c>
      <c r="J5005" s="30">
        <v>200000</v>
      </c>
      <c r="K5005" s="30">
        <v>200000</v>
      </c>
      <c r="L5005" s="1">
        <f t="shared" si="1407"/>
        <v>3000000</v>
      </c>
      <c r="M5005" s="30">
        <v>200000</v>
      </c>
      <c r="N5005" s="30">
        <v>200000</v>
      </c>
      <c r="O5005" s="1">
        <f t="shared" si="1408"/>
        <v>3000000</v>
      </c>
      <c r="P5005" s="30">
        <v>7200</v>
      </c>
    </row>
    <row r="5006" spans="2:16">
      <c r="B5006" s="1">
        <f t="shared" si="1406"/>
        <v>210301</v>
      </c>
      <c r="C5006" s="1" t="s">
        <v>2432</v>
      </c>
      <c r="D5006" s="1">
        <v>1</v>
      </c>
      <c r="E5006" s="1">
        <v>3</v>
      </c>
      <c r="F5006" s="1">
        <v>1</v>
      </c>
      <c r="G5006" s="1">
        <v>5</v>
      </c>
      <c r="I5006" s="30">
        <v>2000</v>
      </c>
      <c r="J5006" s="30">
        <v>300000</v>
      </c>
      <c r="K5006" s="30">
        <v>300000</v>
      </c>
      <c r="L5006" s="1">
        <f t="shared" si="1407"/>
        <v>4500000</v>
      </c>
      <c r="M5006" s="30">
        <v>400000</v>
      </c>
      <c r="N5006" s="30">
        <v>400000</v>
      </c>
      <c r="O5006" s="1">
        <f t="shared" si="1408"/>
        <v>6000000</v>
      </c>
      <c r="P5006" s="30">
        <v>14400</v>
      </c>
    </row>
    <row r="5007" spans="2:16">
      <c r="B5007" s="1">
        <f t="shared" si="1406"/>
        <v>210401</v>
      </c>
      <c r="C5007" s="1" t="s">
        <v>2433</v>
      </c>
      <c r="D5007" s="1">
        <v>1</v>
      </c>
      <c r="E5007" s="1">
        <v>4</v>
      </c>
      <c r="F5007" s="1">
        <v>1</v>
      </c>
      <c r="G5007" s="1">
        <v>5</v>
      </c>
      <c r="I5007" s="30">
        <v>2000</v>
      </c>
      <c r="J5007" s="30">
        <v>200000</v>
      </c>
      <c r="K5007" s="30">
        <v>200000</v>
      </c>
      <c r="L5007" s="1">
        <f t="shared" si="1407"/>
        <v>3000000</v>
      </c>
      <c r="M5007" s="30">
        <v>800000</v>
      </c>
      <c r="N5007" s="30">
        <v>800000</v>
      </c>
      <c r="O5007" s="1">
        <f t="shared" si="1408"/>
        <v>12000000</v>
      </c>
      <c r="P5007" s="30">
        <v>14400</v>
      </c>
    </row>
    <row r="5008" spans="2:16">
      <c r="B5008" s="1">
        <f t="shared" si="1406"/>
        <v>210402</v>
      </c>
      <c r="C5008" s="1" t="s">
        <v>2434</v>
      </c>
      <c r="D5008" s="1">
        <v>1</v>
      </c>
      <c r="E5008" s="1">
        <v>4</v>
      </c>
      <c r="F5008" s="1">
        <v>2</v>
      </c>
      <c r="G5008" s="1">
        <v>5</v>
      </c>
      <c r="I5008" s="30">
        <v>2000</v>
      </c>
      <c r="J5008" s="30">
        <v>200000</v>
      </c>
      <c r="K5008" s="30">
        <v>200000</v>
      </c>
      <c r="L5008" s="1">
        <f t="shared" si="1407"/>
        <v>3000000</v>
      </c>
      <c r="M5008" s="30">
        <v>800000</v>
      </c>
      <c r="N5008" s="30">
        <v>800000</v>
      </c>
      <c r="O5008" s="1">
        <f t="shared" si="1408"/>
        <v>12000000</v>
      </c>
      <c r="P5008" s="30">
        <v>14400</v>
      </c>
    </row>
    <row r="5009" spans="2:16">
      <c r="B5009" s="1">
        <f t="shared" si="1406"/>
        <v>210403</v>
      </c>
      <c r="C5009" s="1" t="s">
        <v>2435</v>
      </c>
      <c r="D5009" s="1">
        <v>1</v>
      </c>
      <c r="E5009" s="1">
        <v>4</v>
      </c>
      <c r="F5009" s="1">
        <v>3</v>
      </c>
      <c r="G5009" s="1">
        <v>5</v>
      </c>
      <c r="I5009" s="30">
        <v>2000</v>
      </c>
      <c r="J5009" s="30">
        <v>200000</v>
      </c>
      <c r="K5009" s="30">
        <v>200000</v>
      </c>
      <c r="L5009" s="1">
        <f t="shared" si="1407"/>
        <v>3000000</v>
      </c>
      <c r="M5009" s="30">
        <v>800000</v>
      </c>
      <c r="N5009" s="30">
        <v>800000</v>
      </c>
      <c r="O5009" s="1">
        <f t="shared" si="1408"/>
        <v>12000000</v>
      </c>
      <c r="P5009" s="30">
        <v>14400</v>
      </c>
    </row>
    <row r="5010" spans="2:16">
      <c r="B5010" s="1">
        <f t="shared" si="1406"/>
        <v>210501</v>
      </c>
      <c r="C5010" s="1" t="s">
        <v>2436</v>
      </c>
      <c r="D5010" s="1">
        <v>1</v>
      </c>
      <c r="E5010" s="1">
        <v>5</v>
      </c>
      <c r="F5010" s="1">
        <v>1</v>
      </c>
      <c r="G5010" s="1">
        <v>10</v>
      </c>
      <c r="I5010" s="30">
        <v>3000</v>
      </c>
      <c r="J5010" s="30">
        <v>150000</v>
      </c>
      <c r="K5010" s="30">
        <v>50000</v>
      </c>
      <c r="L5010" s="1">
        <f t="shared" si="1407"/>
        <v>3750000</v>
      </c>
      <c r="M5010" s="30">
        <v>800000</v>
      </c>
      <c r="N5010" s="30">
        <v>800000</v>
      </c>
      <c r="O5010" s="1">
        <f t="shared" si="1408"/>
        <v>44000000</v>
      </c>
      <c r="P5010" s="30">
        <v>14400</v>
      </c>
    </row>
    <row r="5011" spans="2:16">
      <c r="B5011" s="1">
        <f t="shared" ref="B5011" si="1409">200000+D5011*10000+E5011*100+F5011</f>
        <v>210502</v>
      </c>
      <c r="C5011" s="1" t="s">
        <v>2437</v>
      </c>
      <c r="D5011" s="1">
        <v>1</v>
      </c>
      <c r="E5011" s="1">
        <v>5</v>
      </c>
      <c r="F5011" s="1">
        <v>2</v>
      </c>
      <c r="G5011" s="1">
        <v>1</v>
      </c>
      <c r="I5011" s="30">
        <v>3000</v>
      </c>
      <c r="J5011" s="30">
        <v>600000</v>
      </c>
      <c r="K5011" s="30"/>
      <c r="L5011" s="1">
        <f t="shared" ref="L5011" si="1410">J5011*G5011+K5011*(G5011-1)*G5011/2</f>
        <v>600000</v>
      </c>
      <c r="M5011" s="30">
        <v>8000000</v>
      </c>
      <c r="N5011" s="30"/>
      <c r="O5011" s="1">
        <f t="shared" ref="O5011" si="1411">M5011*G5011+N5011*(G5011-1)*G5011/2</f>
        <v>8000000</v>
      </c>
      <c r="P5011" s="30">
        <v>14400</v>
      </c>
    </row>
    <row r="5012" spans="2:16">
      <c r="B5012" s="1">
        <f t="shared" si="1406"/>
        <v>210601</v>
      </c>
      <c r="C5012" s="1" t="s">
        <v>2438</v>
      </c>
      <c r="D5012" s="1">
        <v>1</v>
      </c>
      <c r="E5012" s="1">
        <v>6</v>
      </c>
      <c r="F5012" s="1">
        <v>1</v>
      </c>
      <c r="G5012" s="1">
        <v>10</v>
      </c>
      <c r="I5012" s="30">
        <v>4000</v>
      </c>
      <c r="J5012" s="30">
        <v>200000</v>
      </c>
      <c r="K5012" s="30">
        <v>50000</v>
      </c>
      <c r="L5012" s="1">
        <f t="shared" si="1407"/>
        <v>4250000</v>
      </c>
      <c r="M5012" s="30">
        <v>1600000</v>
      </c>
      <c r="N5012" s="30">
        <v>1600000</v>
      </c>
      <c r="O5012" s="1">
        <f t="shared" si="1408"/>
        <v>88000000</v>
      </c>
      <c r="P5012" s="30">
        <v>14400</v>
      </c>
    </row>
    <row r="5013" spans="2:16">
      <c r="B5013" s="1">
        <f t="shared" si="1406"/>
        <v>210602</v>
      </c>
      <c r="C5013" s="1" t="s">
        <v>2439</v>
      </c>
      <c r="D5013" s="1">
        <v>1</v>
      </c>
      <c r="E5013" s="1">
        <v>6</v>
      </c>
      <c r="F5013" s="1">
        <v>2</v>
      </c>
      <c r="G5013" s="1">
        <v>10</v>
      </c>
      <c r="I5013" s="30">
        <v>4000</v>
      </c>
      <c r="J5013" s="30">
        <v>200000</v>
      </c>
      <c r="K5013" s="30">
        <v>50000</v>
      </c>
      <c r="L5013" s="1">
        <f t="shared" si="1407"/>
        <v>4250000</v>
      </c>
      <c r="M5013" s="30">
        <v>1600000</v>
      </c>
      <c r="N5013" s="30">
        <v>1600000</v>
      </c>
      <c r="O5013" s="1">
        <f t="shared" si="1408"/>
        <v>88000000</v>
      </c>
      <c r="P5013" s="30">
        <v>14400</v>
      </c>
    </row>
    <row r="5014" spans="2:16">
      <c r="B5014" s="1">
        <f t="shared" si="1406"/>
        <v>210603</v>
      </c>
      <c r="C5014" s="1" t="s">
        <v>2440</v>
      </c>
      <c r="D5014" s="1">
        <v>1</v>
      </c>
      <c r="E5014" s="1">
        <v>6</v>
      </c>
      <c r="F5014" s="1">
        <v>3</v>
      </c>
      <c r="G5014" s="1">
        <v>10</v>
      </c>
      <c r="I5014" s="30">
        <v>4000</v>
      </c>
      <c r="J5014" s="30">
        <v>200000</v>
      </c>
      <c r="K5014" s="30">
        <v>50000</v>
      </c>
      <c r="L5014" s="1">
        <f t="shared" si="1407"/>
        <v>4250000</v>
      </c>
      <c r="M5014" s="30">
        <v>1600000</v>
      </c>
      <c r="N5014" s="30">
        <v>1600000</v>
      </c>
      <c r="O5014" s="1">
        <f t="shared" si="1408"/>
        <v>88000000</v>
      </c>
      <c r="P5014" s="30">
        <v>14400</v>
      </c>
    </row>
    <row r="5015" spans="2:16">
      <c r="B5015" s="1">
        <f t="shared" si="1406"/>
        <v>210701</v>
      </c>
      <c r="C5015" s="1" t="s">
        <v>2441</v>
      </c>
      <c r="D5015" s="1">
        <v>1</v>
      </c>
      <c r="E5015" s="1">
        <v>7</v>
      </c>
      <c r="F5015" s="1">
        <v>1</v>
      </c>
      <c r="G5015" s="1">
        <v>10</v>
      </c>
      <c r="I5015" s="30">
        <v>4000</v>
      </c>
      <c r="J5015" s="30">
        <v>250000</v>
      </c>
      <c r="K5015" s="30">
        <v>50000</v>
      </c>
      <c r="L5015" s="1">
        <f t="shared" si="1407"/>
        <v>4750000</v>
      </c>
      <c r="M5015" s="30">
        <v>2000000</v>
      </c>
      <c r="N5015" s="30">
        <v>2000000</v>
      </c>
      <c r="O5015" s="1">
        <f t="shared" si="1408"/>
        <v>110000000</v>
      </c>
      <c r="P5015" s="30">
        <v>14400</v>
      </c>
    </row>
    <row r="5016" spans="2:16">
      <c r="B5016" s="1">
        <f t="shared" ref="B5016" si="1412">200000+D5016*10000+E5016*100+F5016</f>
        <v>210702</v>
      </c>
      <c r="C5016" s="1" t="s">
        <v>2442</v>
      </c>
      <c r="D5016" s="1">
        <v>1</v>
      </c>
      <c r="E5016" s="1">
        <v>7</v>
      </c>
      <c r="F5016" s="1">
        <v>2</v>
      </c>
      <c r="G5016" s="1">
        <v>1</v>
      </c>
      <c r="I5016" s="30">
        <v>4000</v>
      </c>
      <c r="J5016" s="30">
        <v>700000</v>
      </c>
      <c r="K5016" s="30"/>
      <c r="L5016" s="1">
        <f t="shared" ref="L5016" si="1413">J5016*G5016+K5016*(G5016-1)*G5016/2</f>
        <v>700000</v>
      </c>
      <c r="M5016" s="30">
        <v>10000000</v>
      </c>
      <c r="N5016" s="30"/>
      <c r="O5016" s="1">
        <f t="shared" ref="O5016" si="1414">M5016*G5016+N5016*(G5016-1)*G5016/2</f>
        <v>10000000</v>
      </c>
      <c r="P5016" s="30">
        <v>14400</v>
      </c>
    </row>
    <row r="5017" spans="2:16">
      <c r="B5017" s="1">
        <f t="shared" si="1406"/>
        <v>210801</v>
      </c>
      <c r="C5017" s="1" t="s">
        <v>2443</v>
      </c>
      <c r="D5017" s="1">
        <v>1</v>
      </c>
      <c r="E5017" s="1">
        <v>8</v>
      </c>
      <c r="F5017" s="1">
        <v>1</v>
      </c>
      <c r="G5017" s="1">
        <v>10</v>
      </c>
      <c r="I5017" s="30">
        <v>5000</v>
      </c>
      <c r="J5017" s="30">
        <v>300000</v>
      </c>
      <c r="K5017" s="30">
        <v>50000</v>
      </c>
      <c r="L5017" s="1">
        <f t="shared" si="1407"/>
        <v>5250000</v>
      </c>
      <c r="M5017" s="30">
        <v>2000000</v>
      </c>
      <c r="N5017" s="30">
        <v>2000000</v>
      </c>
      <c r="O5017" s="1">
        <f t="shared" si="1408"/>
        <v>110000000</v>
      </c>
      <c r="P5017" s="30">
        <v>14400</v>
      </c>
    </row>
    <row r="5018" spans="2:16">
      <c r="B5018" s="1">
        <f t="shared" si="1406"/>
        <v>210802</v>
      </c>
      <c r="C5018" s="1" t="s">
        <v>2444</v>
      </c>
      <c r="D5018" s="1">
        <v>1</v>
      </c>
      <c r="E5018" s="1">
        <v>8</v>
      </c>
      <c r="F5018" s="1">
        <v>2</v>
      </c>
      <c r="G5018" s="1">
        <v>10</v>
      </c>
      <c r="I5018" s="30">
        <v>5000</v>
      </c>
      <c r="J5018" s="30">
        <v>300000</v>
      </c>
      <c r="K5018" s="30">
        <v>50000</v>
      </c>
      <c r="L5018" s="1">
        <f t="shared" si="1407"/>
        <v>5250000</v>
      </c>
      <c r="M5018" s="30">
        <v>2000000</v>
      </c>
      <c r="N5018" s="30">
        <v>2000000</v>
      </c>
      <c r="O5018" s="1">
        <f t="shared" si="1408"/>
        <v>110000000</v>
      </c>
      <c r="P5018" s="30">
        <v>14400</v>
      </c>
    </row>
    <row r="5019" spans="2:16">
      <c r="B5019" s="1">
        <f t="shared" si="1406"/>
        <v>210803</v>
      </c>
      <c r="C5019" s="1" t="s">
        <v>2445</v>
      </c>
      <c r="D5019" s="1">
        <v>1</v>
      </c>
      <c r="E5019" s="1">
        <v>8</v>
      </c>
      <c r="F5019" s="1">
        <v>3</v>
      </c>
      <c r="G5019" s="1">
        <v>10</v>
      </c>
      <c r="I5019" s="30">
        <v>5000</v>
      </c>
      <c r="J5019" s="30">
        <v>300000</v>
      </c>
      <c r="K5019" s="30">
        <v>50000</v>
      </c>
      <c r="L5019" s="1">
        <f t="shared" si="1407"/>
        <v>5250000</v>
      </c>
      <c r="M5019" s="30">
        <v>2000000</v>
      </c>
      <c r="N5019" s="30">
        <v>2000000</v>
      </c>
      <c r="O5019" s="1">
        <f t="shared" si="1408"/>
        <v>110000000</v>
      </c>
      <c r="P5019" s="30">
        <v>14400</v>
      </c>
    </row>
    <row r="5020" spans="2:16">
      <c r="B5020" s="1">
        <f t="shared" si="1406"/>
        <v>210901</v>
      </c>
      <c r="C5020" s="1" t="s">
        <v>2432</v>
      </c>
      <c r="D5020" s="1">
        <v>1</v>
      </c>
      <c r="E5020" s="1">
        <v>9</v>
      </c>
      <c r="F5020" s="1">
        <v>1</v>
      </c>
      <c r="G5020" s="1">
        <v>10</v>
      </c>
      <c r="I5020" s="30">
        <v>5000</v>
      </c>
      <c r="J5020" s="30">
        <v>600000</v>
      </c>
      <c r="K5020" s="30">
        <v>100000</v>
      </c>
      <c r="L5020" s="1">
        <f t="shared" si="1407"/>
        <v>10500000</v>
      </c>
      <c r="M5020" s="30">
        <v>2500000</v>
      </c>
      <c r="N5020" s="30">
        <v>2500000</v>
      </c>
      <c r="O5020" s="1">
        <f t="shared" si="1408"/>
        <v>137500000</v>
      </c>
      <c r="P5020" s="30">
        <v>14400</v>
      </c>
    </row>
    <row r="5021" spans="2:16">
      <c r="B5021" s="1">
        <f t="shared" ref="B5021" si="1415">200000+D5021*10000+E5021*100+F5021</f>
        <v>211001</v>
      </c>
      <c r="C5021" s="1" t="s">
        <v>2446</v>
      </c>
      <c r="D5021" s="1">
        <v>1</v>
      </c>
      <c r="E5021" s="1">
        <v>10</v>
      </c>
      <c r="F5021" s="1">
        <v>1</v>
      </c>
      <c r="G5021" s="1">
        <v>1</v>
      </c>
      <c r="I5021" s="30">
        <v>5000</v>
      </c>
      <c r="J5021" s="30">
        <v>1500000</v>
      </c>
      <c r="K5021" s="30"/>
      <c r="L5021" s="1">
        <f t="shared" ref="L5021" si="1416">J5021*G5021+K5021*(G5021-1)*G5021/2</f>
        <v>1500000</v>
      </c>
      <c r="M5021" s="30">
        <v>25000000</v>
      </c>
      <c r="N5021" s="30"/>
      <c r="O5021" s="1">
        <f t="shared" ref="O5021" si="1417">M5021*G5021+N5021*(G5021-1)*G5021/2</f>
        <v>25000000</v>
      </c>
      <c r="P5021" s="30">
        <v>14400</v>
      </c>
    </row>
    <row r="5022" spans="2:16">
      <c r="B5022" s="1">
        <f t="shared" si="1406"/>
        <v>220101</v>
      </c>
      <c r="C5022" s="1" t="s">
        <v>2447</v>
      </c>
      <c r="D5022" s="1">
        <v>2</v>
      </c>
      <c r="E5022" s="1">
        <v>1</v>
      </c>
      <c r="F5022" s="1">
        <v>1</v>
      </c>
      <c r="G5022" s="1">
        <v>5</v>
      </c>
      <c r="I5022" s="30">
        <v>1000</v>
      </c>
      <c r="J5022" s="30">
        <v>100000</v>
      </c>
      <c r="K5022" s="30">
        <v>100000</v>
      </c>
      <c r="L5022" s="1">
        <f t="shared" si="1407"/>
        <v>1500000</v>
      </c>
      <c r="M5022" s="30">
        <v>100000</v>
      </c>
      <c r="N5022" s="30">
        <v>100000</v>
      </c>
      <c r="O5022" s="1">
        <f t="shared" si="1408"/>
        <v>1500000</v>
      </c>
      <c r="P5022" s="30">
        <v>7200</v>
      </c>
    </row>
    <row r="5023" spans="2:16">
      <c r="B5023" s="1">
        <f t="shared" si="1406"/>
        <v>220102</v>
      </c>
      <c r="C5023" s="1" t="s">
        <v>2448</v>
      </c>
      <c r="D5023" s="1">
        <v>2</v>
      </c>
      <c r="E5023" s="1">
        <v>1</v>
      </c>
      <c r="F5023" s="1">
        <v>2</v>
      </c>
      <c r="G5023" s="1">
        <v>5</v>
      </c>
      <c r="I5023" s="30">
        <v>1000</v>
      </c>
      <c r="J5023" s="30">
        <v>100000</v>
      </c>
      <c r="K5023" s="30">
        <v>100000</v>
      </c>
      <c r="L5023" s="1">
        <f t="shared" si="1407"/>
        <v>1500000</v>
      </c>
      <c r="M5023" s="30">
        <v>100000</v>
      </c>
      <c r="N5023" s="30">
        <v>100000</v>
      </c>
      <c r="O5023" s="1">
        <f t="shared" si="1408"/>
        <v>1500000</v>
      </c>
      <c r="P5023" s="30">
        <v>7200</v>
      </c>
    </row>
    <row r="5024" spans="2:16">
      <c r="B5024" s="1">
        <f t="shared" si="1406"/>
        <v>220201</v>
      </c>
      <c r="C5024" s="1" t="s">
        <v>2449</v>
      </c>
      <c r="D5024" s="1">
        <v>2</v>
      </c>
      <c r="E5024" s="1">
        <v>2</v>
      </c>
      <c r="F5024" s="1">
        <v>1</v>
      </c>
      <c r="G5024" s="1">
        <v>5</v>
      </c>
      <c r="I5024" s="30">
        <v>1000</v>
      </c>
      <c r="J5024" s="30">
        <v>200000</v>
      </c>
      <c r="K5024" s="30">
        <v>200000</v>
      </c>
      <c r="L5024" s="1">
        <f t="shared" si="1407"/>
        <v>3000000</v>
      </c>
      <c r="M5024" s="30">
        <v>200000</v>
      </c>
      <c r="N5024" s="30">
        <v>200000</v>
      </c>
      <c r="O5024" s="1">
        <f t="shared" si="1408"/>
        <v>3000000</v>
      </c>
      <c r="P5024" s="30">
        <v>7200</v>
      </c>
    </row>
    <row r="5025" spans="2:16">
      <c r="B5025" s="1">
        <f t="shared" si="1406"/>
        <v>220202</v>
      </c>
      <c r="C5025" s="1" t="s">
        <v>2450</v>
      </c>
      <c r="D5025" s="1">
        <v>2</v>
      </c>
      <c r="E5025" s="1">
        <v>2</v>
      </c>
      <c r="F5025" s="1">
        <v>2</v>
      </c>
      <c r="G5025" s="1">
        <v>5</v>
      </c>
      <c r="I5025" s="30">
        <v>1000</v>
      </c>
      <c r="J5025" s="30">
        <v>200000</v>
      </c>
      <c r="K5025" s="30">
        <v>200000</v>
      </c>
      <c r="L5025" s="1">
        <f t="shared" si="1407"/>
        <v>3000000</v>
      </c>
      <c r="M5025" s="30">
        <v>200000</v>
      </c>
      <c r="N5025" s="30">
        <v>200000</v>
      </c>
      <c r="O5025" s="1">
        <f t="shared" si="1408"/>
        <v>3000000</v>
      </c>
      <c r="P5025" s="30">
        <v>7200</v>
      </c>
    </row>
    <row r="5026" spans="2:16">
      <c r="B5026" s="1">
        <f t="shared" si="1406"/>
        <v>220203</v>
      </c>
      <c r="C5026" s="1" t="s">
        <v>2451</v>
      </c>
      <c r="D5026" s="1">
        <v>2</v>
      </c>
      <c r="E5026" s="1">
        <v>2</v>
      </c>
      <c r="F5026" s="1">
        <v>3</v>
      </c>
      <c r="G5026" s="1">
        <v>5</v>
      </c>
      <c r="I5026" s="30">
        <v>1000</v>
      </c>
      <c r="J5026" s="30">
        <v>200000</v>
      </c>
      <c r="K5026" s="30">
        <v>200000</v>
      </c>
      <c r="L5026" s="1">
        <f t="shared" si="1407"/>
        <v>3000000</v>
      </c>
      <c r="M5026" s="30">
        <v>200000</v>
      </c>
      <c r="N5026" s="30">
        <v>200000</v>
      </c>
      <c r="O5026" s="1">
        <f t="shared" si="1408"/>
        <v>3000000</v>
      </c>
      <c r="P5026" s="30">
        <v>7200</v>
      </c>
    </row>
    <row r="5027" spans="2:16">
      <c r="B5027" s="1">
        <f t="shared" si="1406"/>
        <v>220301</v>
      </c>
      <c r="C5027" s="1" t="s">
        <v>2432</v>
      </c>
      <c r="D5027" s="1">
        <v>2</v>
      </c>
      <c r="E5027" s="1">
        <v>3</v>
      </c>
      <c r="F5027" s="1">
        <v>1</v>
      </c>
      <c r="G5027" s="1">
        <v>5</v>
      </c>
      <c r="I5027" s="30">
        <v>2000</v>
      </c>
      <c r="J5027" s="30">
        <v>300000</v>
      </c>
      <c r="K5027" s="30">
        <v>300000</v>
      </c>
      <c r="L5027" s="1">
        <f t="shared" si="1407"/>
        <v>4500000</v>
      </c>
      <c r="M5027" s="30">
        <v>400000</v>
      </c>
      <c r="N5027" s="30">
        <v>400000</v>
      </c>
      <c r="O5027" s="1">
        <f t="shared" si="1408"/>
        <v>6000000</v>
      </c>
      <c r="P5027" s="30">
        <v>14400</v>
      </c>
    </row>
    <row r="5028" spans="2:16">
      <c r="B5028" s="1">
        <f t="shared" si="1406"/>
        <v>220401</v>
      </c>
      <c r="C5028" s="1" t="s">
        <v>2452</v>
      </c>
      <c r="D5028" s="1">
        <v>2</v>
      </c>
      <c r="E5028" s="1">
        <v>4</v>
      </c>
      <c r="F5028" s="1">
        <v>1</v>
      </c>
      <c r="G5028" s="1">
        <v>10</v>
      </c>
      <c r="I5028" s="30">
        <v>2000</v>
      </c>
      <c r="J5028" s="30">
        <v>200000</v>
      </c>
      <c r="K5028" s="30">
        <v>50000</v>
      </c>
      <c r="L5028" s="1">
        <f t="shared" si="1407"/>
        <v>4250000</v>
      </c>
      <c r="M5028" s="30">
        <v>800000</v>
      </c>
      <c r="N5028" s="30">
        <v>800000</v>
      </c>
      <c r="O5028" s="1">
        <f t="shared" si="1408"/>
        <v>44000000</v>
      </c>
      <c r="P5028" s="30">
        <v>14400</v>
      </c>
    </row>
    <row r="5029" spans="2:16">
      <c r="B5029" s="1">
        <f t="shared" si="1406"/>
        <v>220402</v>
      </c>
      <c r="C5029" s="1" t="s">
        <v>2453</v>
      </c>
      <c r="D5029" s="1">
        <v>2</v>
      </c>
      <c r="E5029" s="1">
        <v>4</v>
      </c>
      <c r="F5029" s="1">
        <v>2</v>
      </c>
      <c r="G5029" s="1">
        <v>10</v>
      </c>
      <c r="I5029" s="30">
        <v>2000</v>
      </c>
      <c r="J5029" s="30">
        <v>200000</v>
      </c>
      <c r="K5029" s="30">
        <v>50000</v>
      </c>
      <c r="L5029" s="1">
        <f t="shared" si="1407"/>
        <v>4250000</v>
      </c>
      <c r="M5029" s="30">
        <v>800000</v>
      </c>
      <c r="N5029" s="30">
        <v>800000</v>
      </c>
      <c r="O5029" s="1">
        <f t="shared" si="1408"/>
        <v>44000000</v>
      </c>
      <c r="P5029" s="30">
        <v>14400</v>
      </c>
    </row>
    <row r="5030" spans="2:16">
      <c r="B5030" s="1">
        <f t="shared" si="1406"/>
        <v>220501</v>
      </c>
      <c r="C5030" s="1" t="s">
        <v>2454</v>
      </c>
      <c r="D5030" s="1">
        <v>2</v>
      </c>
      <c r="E5030" s="1">
        <v>5</v>
      </c>
      <c r="F5030" s="1">
        <v>1</v>
      </c>
      <c r="G5030" s="1">
        <v>10</v>
      </c>
      <c r="I5030" s="30">
        <v>3000</v>
      </c>
      <c r="J5030" s="30">
        <v>250000</v>
      </c>
      <c r="K5030" s="30">
        <v>50000</v>
      </c>
      <c r="L5030" s="1">
        <f t="shared" si="1407"/>
        <v>4750000</v>
      </c>
      <c r="M5030" s="30">
        <v>1200000</v>
      </c>
      <c r="N5030" s="30">
        <v>1200000</v>
      </c>
      <c r="O5030" s="1">
        <f t="shared" si="1408"/>
        <v>66000000</v>
      </c>
      <c r="P5030" s="30">
        <v>14400</v>
      </c>
    </row>
    <row r="5031" spans="2:16">
      <c r="B5031" s="1">
        <f t="shared" si="1406"/>
        <v>220502</v>
      </c>
      <c r="C5031" s="1" t="s">
        <v>2455</v>
      </c>
      <c r="D5031" s="1">
        <v>2</v>
      </c>
      <c r="E5031" s="1">
        <v>5</v>
      </c>
      <c r="F5031" s="1">
        <v>2</v>
      </c>
      <c r="G5031" s="1">
        <v>10</v>
      </c>
      <c r="I5031" s="30">
        <v>3000</v>
      </c>
      <c r="J5031" s="30">
        <v>250000</v>
      </c>
      <c r="K5031" s="30">
        <v>50000</v>
      </c>
      <c r="L5031" s="1">
        <f t="shared" si="1407"/>
        <v>4750000</v>
      </c>
      <c r="M5031" s="30">
        <v>1200000</v>
      </c>
      <c r="N5031" s="30">
        <v>1200000</v>
      </c>
      <c r="O5031" s="1">
        <f t="shared" si="1408"/>
        <v>66000000</v>
      </c>
      <c r="P5031" s="30">
        <v>14400</v>
      </c>
    </row>
    <row r="5032" spans="2:16">
      <c r="B5032" s="1">
        <f t="shared" si="1406"/>
        <v>220503</v>
      </c>
      <c r="C5032" s="1" t="s">
        <v>2456</v>
      </c>
      <c r="D5032" s="1">
        <v>2</v>
      </c>
      <c r="E5032" s="1">
        <v>5</v>
      </c>
      <c r="F5032" s="1">
        <v>3</v>
      </c>
      <c r="G5032" s="1">
        <v>10</v>
      </c>
      <c r="I5032" s="30">
        <v>3000</v>
      </c>
      <c r="J5032" s="30">
        <v>250000</v>
      </c>
      <c r="K5032" s="30">
        <v>50000</v>
      </c>
      <c r="L5032" s="1">
        <f t="shared" si="1407"/>
        <v>4750000</v>
      </c>
      <c r="M5032" s="30">
        <v>1200000</v>
      </c>
      <c r="N5032" s="30">
        <v>1200000</v>
      </c>
      <c r="O5032" s="1">
        <f t="shared" si="1408"/>
        <v>66000000</v>
      </c>
      <c r="P5032" s="30">
        <v>14400</v>
      </c>
    </row>
    <row r="5033" spans="2:16">
      <c r="B5033" s="1">
        <f t="shared" si="1406"/>
        <v>220601</v>
      </c>
      <c r="C5033" s="1" t="s">
        <v>2457</v>
      </c>
      <c r="D5033" s="1">
        <v>2</v>
      </c>
      <c r="E5033" s="1">
        <v>6</v>
      </c>
      <c r="F5033" s="1">
        <v>1</v>
      </c>
      <c r="G5033" s="1">
        <v>10</v>
      </c>
      <c r="I5033" s="30">
        <v>4000</v>
      </c>
      <c r="J5033" s="30">
        <v>300000</v>
      </c>
      <c r="K5033" s="30">
        <v>50000</v>
      </c>
      <c r="L5033" s="1">
        <f t="shared" si="1407"/>
        <v>5250000</v>
      </c>
      <c r="M5033" s="30">
        <v>2000000</v>
      </c>
      <c r="N5033" s="30">
        <v>2000000</v>
      </c>
      <c r="O5033" s="1">
        <f t="shared" si="1408"/>
        <v>110000000</v>
      </c>
      <c r="P5033" s="30">
        <v>14400</v>
      </c>
    </row>
    <row r="5034" spans="2:16">
      <c r="B5034" s="1">
        <f t="shared" si="1406"/>
        <v>220602</v>
      </c>
      <c r="C5034" s="1" t="s">
        <v>2458</v>
      </c>
      <c r="D5034" s="1">
        <v>2</v>
      </c>
      <c r="E5034" s="1">
        <v>6</v>
      </c>
      <c r="F5034" s="1">
        <v>2</v>
      </c>
      <c r="G5034" s="1">
        <v>10</v>
      </c>
      <c r="I5034" s="30">
        <v>4000</v>
      </c>
      <c r="J5034" s="30">
        <v>300000</v>
      </c>
      <c r="K5034" s="30">
        <v>50000</v>
      </c>
      <c r="L5034" s="1">
        <f t="shared" si="1407"/>
        <v>5250000</v>
      </c>
      <c r="M5034" s="30">
        <v>2000000</v>
      </c>
      <c r="N5034" s="30">
        <v>2000000</v>
      </c>
      <c r="O5034" s="1">
        <f t="shared" si="1408"/>
        <v>110000000</v>
      </c>
      <c r="P5034" s="30">
        <v>14400</v>
      </c>
    </row>
    <row r="5035" spans="2:16">
      <c r="B5035" s="1">
        <f t="shared" si="1406"/>
        <v>220701</v>
      </c>
      <c r="C5035" s="1" t="s">
        <v>2432</v>
      </c>
      <c r="D5035" s="1">
        <v>2</v>
      </c>
      <c r="E5035" s="1">
        <v>7</v>
      </c>
      <c r="F5035" s="1">
        <v>1</v>
      </c>
      <c r="G5035" s="1">
        <v>10</v>
      </c>
      <c r="I5035" s="30">
        <v>5000</v>
      </c>
      <c r="J5035" s="30">
        <v>600000</v>
      </c>
      <c r="K5035" s="30">
        <v>100000</v>
      </c>
      <c r="L5035" s="1">
        <f t="shared" si="1407"/>
        <v>10500000</v>
      </c>
      <c r="M5035" s="30">
        <v>2500000</v>
      </c>
      <c r="N5035" s="30">
        <v>2500000</v>
      </c>
      <c r="O5035" s="1">
        <f t="shared" si="1408"/>
        <v>137500000</v>
      </c>
      <c r="P5035" s="30">
        <v>14400</v>
      </c>
    </row>
    <row r="5036" spans="2:16">
      <c r="B5036" s="1">
        <f t="shared" si="1406"/>
        <v>230101</v>
      </c>
      <c r="C5036" s="1" t="s">
        <v>2459</v>
      </c>
      <c r="D5036" s="1">
        <v>3</v>
      </c>
      <c r="E5036" s="1">
        <v>1</v>
      </c>
      <c r="F5036" s="1">
        <v>1</v>
      </c>
      <c r="G5036" s="1">
        <v>5</v>
      </c>
      <c r="I5036" s="30">
        <v>1000</v>
      </c>
      <c r="J5036" s="30">
        <v>100000</v>
      </c>
      <c r="K5036" s="30">
        <v>200000</v>
      </c>
      <c r="L5036" s="1">
        <f t="shared" si="1407"/>
        <v>2500000</v>
      </c>
      <c r="M5036" s="30">
        <v>200000</v>
      </c>
      <c r="N5036" s="30">
        <v>200000</v>
      </c>
      <c r="O5036" s="1">
        <f t="shared" si="1408"/>
        <v>3000000</v>
      </c>
      <c r="P5036" s="30">
        <v>7200</v>
      </c>
    </row>
    <row r="5037" spans="2:16">
      <c r="B5037" s="1">
        <f t="shared" si="1406"/>
        <v>230102</v>
      </c>
      <c r="C5037" s="1" t="s">
        <v>2460</v>
      </c>
      <c r="D5037" s="1">
        <v>3</v>
      </c>
      <c r="E5037" s="1">
        <v>1</v>
      </c>
      <c r="F5037" s="1">
        <v>2</v>
      </c>
      <c r="G5037" s="1">
        <v>5</v>
      </c>
      <c r="I5037" s="30">
        <v>1000</v>
      </c>
      <c r="J5037" s="30">
        <v>100000</v>
      </c>
      <c r="K5037" s="30">
        <v>200000</v>
      </c>
      <c r="L5037" s="1">
        <f t="shared" si="1407"/>
        <v>2500000</v>
      </c>
      <c r="M5037" s="30">
        <v>200000</v>
      </c>
      <c r="N5037" s="30">
        <v>200000</v>
      </c>
      <c r="O5037" s="1">
        <f t="shared" si="1408"/>
        <v>3000000</v>
      </c>
      <c r="P5037" s="30">
        <v>7200</v>
      </c>
    </row>
    <row r="5038" spans="2:16">
      <c r="B5038" s="1">
        <f t="shared" si="1406"/>
        <v>230103</v>
      </c>
      <c r="C5038" s="1" t="s">
        <v>2461</v>
      </c>
      <c r="D5038" s="1">
        <v>3</v>
      </c>
      <c r="E5038" s="1">
        <v>1</v>
      </c>
      <c r="F5038" s="1">
        <v>3</v>
      </c>
      <c r="G5038" s="1">
        <v>5</v>
      </c>
      <c r="I5038" s="30">
        <v>1000</v>
      </c>
      <c r="J5038" s="30">
        <v>100000</v>
      </c>
      <c r="K5038" s="30">
        <v>200000</v>
      </c>
      <c r="L5038" s="1">
        <f t="shared" si="1407"/>
        <v>2500000</v>
      </c>
      <c r="M5038" s="30">
        <v>200000</v>
      </c>
      <c r="N5038" s="30">
        <v>200000</v>
      </c>
      <c r="O5038" s="1">
        <f t="shared" si="1408"/>
        <v>3000000</v>
      </c>
      <c r="P5038" s="30">
        <v>7200</v>
      </c>
    </row>
    <row r="5039" spans="2:16">
      <c r="B5039" s="1">
        <f t="shared" si="1406"/>
        <v>230201</v>
      </c>
      <c r="C5039" s="1" t="s">
        <v>2462</v>
      </c>
      <c r="D5039" s="1">
        <v>3</v>
      </c>
      <c r="E5039" s="1">
        <v>2</v>
      </c>
      <c r="F5039" s="1">
        <v>1</v>
      </c>
      <c r="G5039" s="1">
        <v>5</v>
      </c>
      <c r="I5039" s="30">
        <v>1000</v>
      </c>
      <c r="J5039" s="30">
        <v>100000</v>
      </c>
      <c r="K5039" s="30">
        <v>100000</v>
      </c>
      <c r="L5039" s="1">
        <f t="shared" si="1407"/>
        <v>1500000</v>
      </c>
      <c r="M5039" s="30">
        <v>200000</v>
      </c>
      <c r="N5039" s="30">
        <v>200000</v>
      </c>
      <c r="O5039" s="1">
        <f t="shared" si="1408"/>
        <v>3000000</v>
      </c>
      <c r="P5039" s="30">
        <v>7200</v>
      </c>
    </row>
    <row r="5040" spans="2:16">
      <c r="B5040" s="1">
        <f t="shared" si="1406"/>
        <v>230301</v>
      </c>
      <c r="C5040" s="1" t="s">
        <v>2463</v>
      </c>
      <c r="D5040" s="1">
        <v>3</v>
      </c>
      <c r="E5040" s="1">
        <v>3</v>
      </c>
      <c r="F5040" s="1">
        <v>1</v>
      </c>
      <c r="G5040" s="1">
        <v>5</v>
      </c>
      <c r="I5040" s="30">
        <v>2000</v>
      </c>
      <c r="J5040" s="30">
        <v>200000</v>
      </c>
      <c r="K5040" s="30">
        <v>200000</v>
      </c>
      <c r="L5040" s="1">
        <f t="shared" si="1407"/>
        <v>3000000</v>
      </c>
      <c r="M5040" s="30">
        <v>400000</v>
      </c>
      <c r="N5040" s="30">
        <v>400000</v>
      </c>
      <c r="O5040" s="1">
        <f t="shared" si="1408"/>
        <v>6000000</v>
      </c>
      <c r="P5040" s="30">
        <v>14400</v>
      </c>
    </row>
    <row r="5041" spans="2:16">
      <c r="B5041" s="1">
        <f t="shared" si="1406"/>
        <v>230302</v>
      </c>
      <c r="C5041" s="1" t="s">
        <v>2464</v>
      </c>
      <c r="D5041" s="1">
        <v>3</v>
      </c>
      <c r="E5041" s="1">
        <v>3</v>
      </c>
      <c r="F5041" s="1">
        <v>2</v>
      </c>
      <c r="G5041" s="1">
        <v>5</v>
      </c>
      <c r="I5041" s="30">
        <v>2000</v>
      </c>
      <c r="J5041" s="30">
        <v>200000</v>
      </c>
      <c r="K5041" s="30">
        <v>200000</v>
      </c>
      <c r="L5041" s="1">
        <f t="shared" si="1407"/>
        <v>3000000</v>
      </c>
      <c r="M5041" s="30">
        <v>400000</v>
      </c>
      <c r="N5041" s="30">
        <v>400000</v>
      </c>
      <c r="O5041" s="1">
        <f t="shared" si="1408"/>
        <v>6000000</v>
      </c>
      <c r="P5041" s="30">
        <v>14400</v>
      </c>
    </row>
    <row r="5042" spans="2:16">
      <c r="B5042" s="1">
        <f t="shared" si="1406"/>
        <v>230303</v>
      </c>
      <c r="C5042" s="1" t="s">
        <v>2465</v>
      </c>
      <c r="D5042" s="1">
        <v>3</v>
      </c>
      <c r="E5042" s="1">
        <v>3</v>
      </c>
      <c r="F5042" s="1">
        <v>3</v>
      </c>
      <c r="G5042" s="1">
        <v>5</v>
      </c>
      <c r="I5042" s="30">
        <v>2000</v>
      </c>
      <c r="J5042" s="30">
        <v>200000</v>
      </c>
      <c r="K5042" s="30">
        <v>200000</v>
      </c>
      <c r="L5042" s="1">
        <f t="shared" si="1407"/>
        <v>3000000</v>
      </c>
      <c r="M5042" s="30">
        <v>400000</v>
      </c>
      <c r="N5042" s="30">
        <v>400000</v>
      </c>
      <c r="O5042" s="1">
        <f t="shared" si="1408"/>
        <v>6000000</v>
      </c>
      <c r="P5042" s="30">
        <v>14400</v>
      </c>
    </row>
    <row r="5043" spans="2:16">
      <c r="B5043" s="1">
        <f t="shared" si="1406"/>
        <v>230401</v>
      </c>
      <c r="C5043" s="1" t="s">
        <v>2432</v>
      </c>
      <c r="D5043" s="1">
        <v>3</v>
      </c>
      <c r="E5043" s="1">
        <v>4</v>
      </c>
      <c r="F5043" s="1">
        <v>1</v>
      </c>
      <c r="G5043" s="1">
        <v>5</v>
      </c>
      <c r="I5043" s="30">
        <v>2000</v>
      </c>
      <c r="J5043" s="30">
        <v>300000</v>
      </c>
      <c r="K5043" s="30">
        <v>300000</v>
      </c>
      <c r="L5043" s="1">
        <f t="shared" si="1407"/>
        <v>4500000</v>
      </c>
      <c r="M5043" s="30">
        <v>800000</v>
      </c>
      <c r="N5043" s="30">
        <v>800000</v>
      </c>
      <c r="O5043" s="1">
        <f t="shared" si="1408"/>
        <v>12000000</v>
      </c>
      <c r="P5043" s="30">
        <v>14400</v>
      </c>
    </row>
    <row r="5044" spans="2:16">
      <c r="B5044" s="1">
        <f t="shared" si="1406"/>
        <v>230501</v>
      </c>
      <c r="C5044" s="1" t="s">
        <v>2466</v>
      </c>
      <c r="D5044" s="1">
        <v>3</v>
      </c>
      <c r="E5044" s="1">
        <v>5</v>
      </c>
      <c r="F5044" s="1">
        <v>1</v>
      </c>
      <c r="G5044" s="1">
        <v>10</v>
      </c>
      <c r="I5044" s="30">
        <v>3000</v>
      </c>
      <c r="J5044" s="30">
        <v>200000</v>
      </c>
      <c r="K5044" s="30">
        <v>50000</v>
      </c>
      <c r="L5044" s="1">
        <f t="shared" si="1407"/>
        <v>4250000</v>
      </c>
      <c r="M5044" s="30">
        <v>800000</v>
      </c>
      <c r="N5044" s="30">
        <v>800000</v>
      </c>
      <c r="O5044" s="1">
        <f t="shared" si="1408"/>
        <v>44000000</v>
      </c>
      <c r="P5044" s="30">
        <v>14400</v>
      </c>
    </row>
    <row r="5045" spans="2:16">
      <c r="B5045" s="1">
        <f t="shared" si="1406"/>
        <v>230502</v>
      </c>
      <c r="C5045" s="1" t="s">
        <v>2467</v>
      </c>
      <c r="D5045" s="1">
        <v>3</v>
      </c>
      <c r="E5045" s="1">
        <v>5</v>
      </c>
      <c r="F5045" s="1">
        <v>2</v>
      </c>
      <c r="G5045" s="1">
        <v>10</v>
      </c>
      <c r="I5045" s="30">
        <v>3000</v>
      </c>
      <c r="J5045" s="30">
        <v>200000</v>
      </c>
      <c r="K5045" s="30">
        <v>50000</v>
      </c>
      <c r="L5045" s="1">
        <f t="shared" si="1407"/>
        <v>4250000</v>
      </c>
      <c r="M5045" s="30">
        <v>800000</v>
      </c>
      <c r="N5045" s="30">
        <v>800000</v>
      </c>
      <c r="O5045" s="1">
        <f t="shared" si="1408"/>
        <v>44000000</v>
      </c>
      <c r="P5045" s="30">
        <v>14400</v>
      </c>
    </row>
    <row r="5046" spans="2:16">
      <c r="B5046" s="1">
        <f t="shared" si="1406"/>
        <v>230503</v>
      </c>
      <c r="C5046" s="1" t="s">
        <v>2468</v>
      </c>
      <c r="D5046" s="1">
        <v>3</v>
      </c>
      <c r="E5046" s="1">
        <v>5</v>
      </c>
      <c r="F5046" s="1">
        <v>3</v>
      </c>
      <c r="G5046" s="1">
        <v>10</v>
      </c>
      <c r="I5046" s="30">
        <v>3000</v>
      </c>
      <c r="J5046" s="30">
        <v>200000</v>
      </c>
      <c r="K5046" s="30">
        <v>50000</v>
      </c>
      <c r="L5046" s="1">
        <f t="shared" si="1407"/>
        <v>4250000</v>
      </c>
      <c r="M5046" s="30">
        <v>800000</v>
      </c>
      <c r="N5046" s="30">
        <v>800000</v>
      </c>
      <c r="O5046" s="1">
        <f t="shared" si="1408"/>
        <v>44000000</v>
      </c>
      <c r="P5046" s="30">
        <v>14400</v>
      </c>
    </row>
    <row r="5047" spans="2:16">
      <c r="B5047" s="1">
        <f t="shared" si="1406"/>
        <v>230601</v>
      </c>
      <c r="C5047" s="1" t="s">
        <v>2469</v>
      </c>
      <c r="D5047" s="1">
        <v>3</v>
      </c>
      <c r="E5047" s="1">
        <v>6</v>
      </c>
      <c r="F5047" s="1">
        <v>1</v>
      </c>
      <c r="G5047" s="1">
        <v>10</v>
      </c>
      <c r="I5047" s="30">
        <v>4000</v>
      </c>
      <c r="J5047" s="30">
        <v>250000</v>
      </c>
      <c r="K5047" s="30">
        <v>50000</v>
      </c>
      <c r="L5047" s="1">
        <f t="shared" si="1407"/>
        <v>4750000</v>
      </c>
      <c r="M5047" s="30">
        <v>1200000</v>
      </c>
      <c r="N5047" s="30">
        <v>1200000</v>
      </c>
      <c r="O5047" s="1">
        <f t="shared" si="1408"/>
        <v>66000000</v>
      </c>
      <c r="P5047" s="30">
        <v>14400</v>
      </c>
    </row>
    <row r="5048" spans="2:16">
      <c r="B5048" s="1">
        <f t="shared" si="1406"/>
        <v>230701</v>
      </c>
      <c r="C5048" s="1" t="s">
        <v>2470</v>
      </c>
      <c r="D5048" s="1">
        <v>3</v>
      </c>
      <c r="E5048" s="1">
        <v>7</v>
      </c>
      <c r="F5048" s="1">
        <v>1</v>
      </c>
      <c r="G5048" s="1">
        <v>10</v>
      </c>
      <c r="I5048" s="30">
        <v>5000</v>
      </c>
      <c r="J5048" s="30">
        <v>300000</v>
      </c>
      <c r="K5048" s="30">
        <v>50000</v>
      </c>
      <c r="L5048" s="1">
        <f t="shared" si="1407"/>
        <v>5250000</v>
      </c>
      <c r="M5048" s="30">
        <v>2000000</v>
      </c>
      <c r="N5048" s="30">
        <v>2000000</v>
      </c>
      <c r="O5048" s="1">
        <f t="shared" si="1408"/>
        <v>110000000</v>
      </c>
      <c r="P5048" s="30">
        <v>14400</v>
      </c>
    </row>
    <row r="5049" spans="2:16">
      <c r="B5049" s="1">
        <f t="shared" si="1406"/>
        <v>230702</v>
      </c>
      <c r="C5049" s="1" t="s">
        <v>2471</v>
      </c>
      <c r="D5049" s="1">
        <v>3</v>
      </c>
      <c r="E5049" s="1">
        <v>7</v>
      </c>
      <c r="F5049" s="1">
        <v>2</v>
      </c>
      <c r="G5049" s="1">
        <v>10</v>
      </c>
      <c r="I5049" s="30">
        <v>5000</v>
      </c>
      <c r="J5049" s="30">
        <v>300000</v>
      </c>
      <c r="K5049" s="30">
        <v>50000</v>
      </c>
      <c r="L5049" s="1">
        <f t="shared" si="1407"/>
        <v>5250000</v>
      </c>
      <c r="M5049" s="30">
        <v>2000000</v>
      </c>
      <c r="N5049" s="30">
        <v>2000000</v>
      </c>
      <c r="O5049" s="1">
        <f t="shared" si="1408"/>
        <v>110000000</v>
      </c>
      <c r="P5049" s="30">
        <v>14400</v>
      </c>
    </row>
    <row r="5050" spans="2:16">
      <c r="B5050" s="1">
        <f t="shared" si="1406"/>
        <v>230703</v>
      </c>
      <c r="C5050" s="1" t="s">
        <v>2472</v>
      </c>
      <c r="D5050" s="1">
        <v>3</v>
      </c>
      <c r="E5050" s="1">
        <v>7</v>
      </c>
      <c r="F5050" s="1">
        <v>3</v>
      </c>
      <c r="G5050" s="1">
        <v>10</v>
      </c>
      <c r="I5050" s="30">
        <v>5000</v>
      </c>
      <c r="J5050" s="30">
        <v>300000</v>
      </c>
      <c r="K5050" s="30">
        <v>50000</v>
      </c>
      <c r="L5050" s="1">
        <f t="shared" si="1407"/>
        <v>5250000</v>
      </c>
      <c r="M5050" s="30">
        <v>2000000</v>
      </c>
      <c r="N5050" s="30">
        <v>2000000</v>
      </c>
      <c r="O5050" s="1">
        <f t="shared" si="1408"/>
        <v>110000000</v>
      </c>
      <c r="P5050" s="30">
        <v>14400</v>
      </c>
    </row>
    <row r="5051" spans="2:16">
      <c r="B5051" s="1">
        <f t="shared" si="1406"/>
        <v>230801</v>
      </c>
      <c r="C5051" s="1" t="s">
        <v>2432</v>
      </c>
      <c r="D5051" s="1">
        <v>3</v>
      </c>
      <c r="E5051" s="1">
        <v>8</v>
      </c>
      <c r="F5051" s="1">
        <v>1</v>
      </c>
      <c r="G5051" s="1">
        <v>10</v>
      </c>
      <c r="I5051" s="30">
        <v>5000</v>
      </c>
      <c r="J5051" s="30">
        <v>600000</v>
      </c>
      <c r="K5051" s="30">
        <v>100000</v>
      </c>
      <c r="L5051" s="1">
        <f t="shared" si="1407"/>
        <v>10500000</v>
      </c>
      <c r="M5051" s="30">
        <v>2500000</v>
      </c>
      <c r="N5051" s="30">
        <v>2500000</v>
      </c>
      <c r="O5051" s="1">
        <f t="shared" si="1408"/>
        <v>137500000</v>
      </c>
      <c r="P5051" s="30">
        <v>14400</v>
      </c>
    </row>
    <row r="5052" spans="12:15">
      <c r="L5052" s="5">
        <f>SUM(L5001:L5051)</f>
        <v>202300000</v>
      </c>
      <c r="O5052" s="5">
        <f>SUM(O5001:O5051)</f>
        <v>2351500000</v>
      </c>
    </row>
    <row r="5054" spans="2:12">
      <c r="B5054" s="27" t="s">
        <v>2473</v>
      </c>
      <c r="C5054" s="27"/>
      <c r="D5054" s="27"/>
      <c r="E5054" s="27"/>
      <c r="F5054" s="27"/>
      <c r="G5054" s="27"/>
      <c r="H5054" s="27"/>
      <c r="I5054" s="27"/>
      <c r="J5054" s="27"/>
      <c r="K5054" s="27"/>
      <c r="L5054" s="27"/>
    </row>
    <row r="5056" spans="2:22">
      <c r="B5056" s="1" t="s">
        <v>382</v>
      </c>
      <c r="C5056" s="1" t="s">
        <v>2474</v>
      </c>
      <c r="D5056" s="1" t="s">
        <v>2475</v>
      </c>
      <c r="E5056" s="1" t="s">
        <v>816</v>
      </c>
      <c r="F5056" s="1" t="s">
        <v>871</v>
      </c>
      <c r="G5056" s="1" t="s">
        <v>870</v>
      </c>
      <c r="H5056" s="1" t="s">
        <v>2476</v>
      </c>
      <c r="I5056" s="1" t="s">
        <v>872</v>
      </c>
      <c r="J5056" s="1" t="s">
        <v>873</v>
      </c>
      <c r="L5056" s="1" t="s">
        <v>2474</v>
      </c>
      <c r="M5056" s="1" t="s">
        <v>2477</v>
      </c>
      <c r="N5056" s="1" t="s">
        <v>805</v>
      </c>
      <c r="O5056" s="1" t="s">
        <v>2478</v>
      </c>
      <c r="P5056" s="5" t="s">
        <v>2479</v>
      </c>
      <c r="Q5056" s="1" t="s">
        <v>816</v>
      </c>
      <c r="R5056" s="1" t="s">
        <v>871</v>
      </c>
      <c r="S5056" s="1" t="s">
        <v>870</v>
      </c>
      <c r="T5056" s="1" t="s">
        <v>2476</v>
      </c>
      <c r="U5056" s="1" t="s">
        <v>872</v>
      </c>
      <c r="V5056" s="1" t="s">
        <v>873</v>
      </c>
    </row>
    <row r="5057" spans="2:22">
      <c r="B5057" s="7">
        <v>0</v>
      </c>
      <c r="C5057" s="30">
        <v>40</v>
      </c>
      <c r="D5057" s="30">
        <v>1</v>
      </c>
      <c r="E5057" s="43">
        <v>0</v>
      </c>
      <c r="F5057" s="43">
        <v>0</v>
      </c>
      <c r="G5057" s="43">
        <v>0</v>
      </c>
      <c r="H5057" s="43">
        <v>0</v>
      </c>
      <c r="I5057" s="43">
        <v>0</v>
      </c>
      <c r="J5057" s="43">
        <v>0</v>
      </c>
      <c r="L5057" s="1">
        <f t="shared" ref="L5057:L5088" si="1418">IF(C5057="",L5056,C5057)</f>
        <v>40</v>
      </c>
      <c r="M5057" s="1">
        <f t="shared" ref="M5057:M5088" si="1419">IF(D5057="",M5056,D5057)</f>
        <v>1</v>
      </c>
      <c r="N5057" s="1">
        <f>B5057</f>
        <v>0</v>
      </c>
      <c r="O5057" s="1">
        <f>N5057*M5057*3600*24</f>
        <v>0</v>
      </c>
      <c r="P5057" s="5">
        <f>O5057</f>
        <v>0</v>
      </c>
      <c r="Q5057" s="14">
        <f>IF(E5057="",Q5056,E5057)</f>
        <v>0</v>
      </c>
      <c r="R5057" s="14">
        <f t="shared" ref="R5057:U5072" si="1420">IF(F5057="",R5056,F5057)</f>
        <v>0</v>
      </c>
      <c r="S5057" s="14">
        <f t="shared" si="1420"/>
        <v>0</v>
      </c>
      <c r="T5057" s="14">
        <f t="shared" si="1420"/>
        <v>0</v>
      </c>
      <c r="U5057" s="14">
        <f t="shared" si="1420"/>
        <v>0</v>
      </c>
      <c r="V5057" s="14">
        <f t="shared" ref="V5057:V5088" si="1421">IF(J5057="",V5056,J5057)</f>
        <v>0</v>
      </c>
    </row>
    <row r="5058" spans="2:22">
      <c r="B5058" s="7">
        <v>0.1</v>
      </c>
      <c r="C5058" s="30"/>
      <c r="D5058" s="30"/>
      <c r="E5058" s="30"/>
      <c r="F5058" s="30"/>
      <c r="G5058" s="30"/>
      <c r="H5058" s="30"/>
      <c r="I5058" s="30"/>
      <c r="J5058" s="30"/>
      <c r="L5058" s="1">
        <f t="shared" si="1418"/>
        <v>40</v>
      </c>
      <c r="M5058" s="1">
        <f t="shared" si="1419"/>
        <v>1</v>
      </c>
      <c r="N5058" s="1">
        <f t="shared" ref="N5058:N5089" si="1422">B5058-B5057</f>
        <v>0.1</v>
      </c>
      <c r="O5058" s="1">
        <f t="shared" ref="O5058:O5121" si="1423">N5058*M5058*3600*24</f>
        <v>8640</v>
      </c>
      <c r="P5058" s="5">
        <f>P5057+O5058</f>
        <v>8640</v>
      </c>
      <c r="Q5058" s="14">
        <f t="shared" ref="Q5058:Q5121" si="1424">IF(E5058="",Q5057,E5058)</f>
        <v>0</v>
      </c>
      <c r="R5058" s="14">
        <f t="shared" si="1420"/>
        <v>0</v>
      </c>
      <c r="S5058" s="14">
        <f t="shared" si="1420"/>
        <v>0</v>
      </c>
      <c r="T5058" s="14">
        <f t="shared" si="1420"/>
        <v>0</v>
      </c>
      <c r="U5058" s="14">
        <f t="shared" si="1420"/>
        <v>0</v>
      </c>
      <c r="V5058" s="14">
        <f t="shared" si="1421"/>
        <v>0</v>
      </c>
    </row>
    <row r="5059" spans="2:22">
      <c r="B5059" s="7">
        <v>0.2</v>
      </c>
      <c r="C5059" s="30"/>
      <c r="D5059" s="30"/>
      <c r="E5059" s="30"/>
      <c r="F5059" s="30"/>
      <c r="G5059" s="30"/>
      <c r="H5059" s="30"/>
      <c r="I5059" s="30"/>
      <c r="J5059" s="30"/>
      <c r="L5059" s="1">
        <f t="shared" si="1418"/>
        <v>40</v>
      </c>
      <c r="M5059" s="1">
        <f t="shared" si="1419"/>
        <v>1</v>
      </c>
      <c r="N5059" s="1">
        <f t="shared" si="1422"/>
        <v>0.1</v>
      </c>
      <c r="O5059" s="1">
        <f t="shared" si="1423"/>
        <v>8640</v>
      </c>
      <c r="P5059" s="5">
        <f t="shared" ref="P5059:P5122" si="1425">P5058+O5059</f>
        <v>17280</v>
      </c>
      <c r="Q5059" s="14">
        <f t="shared" si="1424"/>
        <v>0</v>
      </c>
      <c r="R5059" s="14">
        <f t="shared" si="1420"/>
        <v>0</v>
      </c>
      <c r="S5059" s="14">
        <f t="shared" si="1420"/>
        <v>0</v>
      </c>
      <c r="T5059" s="14">
        <f t="shared" si="1420"/>
        <v>0</v>
      </c>
      <c r="U5059" s="14">
        <f t="shared" si="1420"/>
        <v>0</v>
      </c>
      <c r="V5059" s="14">
        <f t="shared" si="1421"/>
        <v>0</v>
      </c>
    </row>
    <row r="5060" spans="2:22">
      <c r="B5060" s="7">
        <v>0.3</v>
      </c>
      <c r="C5060" s="30"/>
      <c r="D5060" s="30"/>
      <c r="E5060" s="30"/>
      <c r="F5060" s="30"/>
      <c r="G5060" s="30"/>
      <c r="H5060" s="30"/>
      <c r="I5060" s="30"/>
      <c r="J5060" s="30"/>
      <c r="L5060" s="1">
        <f t="shared" si="1418"/>
        <v>40</v>
      </c>
      <c r="M5060" s="1">
        <f t="shared" si="1419"/>
        <v>1</v>
      </c>
      <c r="N5060" s="1">
        <f t="shared" si="1422"/>
        <v>0.1</v>
      </c>
      <c r="O5060" s="1">
        <f t="shared" si="1423"/>
        <v>8640</v>
      </c>
      <c r="P5060" s="5">
        <f t="shared" si="1425"/>
        <v>25920</v>
      </c>
      <c r="Q5060" s="14">
        <f t="shared" si="1424"/>
        <v>0</v>
      </c>
      <c r="R5060" s="14">
        <f t="shared" si="1420"/>
        <v>0</v>
      </c>
      <c r="S5060" s="14">
        <f t="shared" si="1420"/>
        <v>0</v>
      </c>
      <c r="T5060" s="14">
        <f t="shared" si="1420"/>
        <v>0</v>
      </c>
      <c r="U5060" s="14">
        <f t="shared" si="1420"/>
        <v>0</v>
      </c>
      <c r="V5060" s="14">
        <f t="shared" si="1421"/>
        <v>0</v>
      </c>
    </row>
    <row r="5061" spans="2:22">
      <c r="B5061" s="7">
        <v>0.4</v>
      </c>
      <c r="C5061" s="30"/>
      <c r="D5061" s="30"/>
      <c r="E5061" s="30"/>
      <c r="F5061" s="30"/>
      <c r="G5061" s="30"/>
      <c r="H5061" s="30"/>
      <c r="I5061" s="30"/>
      <c r="J5061" s="30"/>
      <c r="L5061" s="1">
        <f t="shared" si="1418"/>
        <v>40</v>
      </c>
      <c r="M5061" s="1">
        <f t="shared" si="1419"/>
        <v>1</v>
      </c>
      <c r="N5061" s="1">
        <f t="shared" si="1422"/>
        <v>0.1</v>
      </c>
      <c r="O5061" s="1">
        <f t="shared" si="1423"/>
        <v>8640</v>
      </c>
      <c r="P5061" s="5">
        <f t="shared" si="1425"/>
        <v>34560</v>
      </c>
      <c r="Q5061" s="14">
        <f t="shared" si="1424"/>
        <v>0</v>
      </c>
      <c r="R5061" s="14">
        <f t="shared" si="1420"/>
        <v>0</v>
      </c>
      <c r="S5061" s="14">
        <f t="shared" si="1420"/>
        <v>0</v>
      </c>
      <c r="T5061" s="14">
        <f t="shared" si="1420"/>
        <v>0</v>
      </c>
      <c r="U5061" s="14">
        <f t="shared" si="1420"/>
        <v>0</v>
      </c>
      <c r="V5061" s="14">
        <f t="shared" si="1421"/>
        <v>0</v>
      </c>
    </row>
    <row r="5062" spans="2:22">
      <c r="B5062" s="7">
        <v>0.5</v>
      </c>
      <c r="C5062" s="30"/>
      <c r="D5062" s="30"/>
      <c r="E5062" s="30"/>
      <c r="F5062" s="30"/>
      <c r="G5062" s="30"/>
      <c r="H5062" s="30"/>
      <c r="I5062" s="30"/>
      <c r="J5062" s="30"/>
      <c r="L5062" s="1">
        <f t="shared" si="1418"/>
        <v>40</v>
      </c>
      <c r="M5062" s="1">
        <f t="shared" si="1419"/>
        <v>1</v>
      </c>
      <c r="N5062" s="1">
        <f t="shared" si="1422"/>
        <v>0.1</v>
      </c>
      <c r="O5062" s="1">
        <f t="shared" si="1423"/>
        <v>8640</v>
      </c>
      <c r="P5062" s="5">
        <f t="shared" si="1425"/>
        <v>43200</v>
      </c>
      <c r="Q5062" s="14">
        <f t="shared" si="1424"/>
        <v>0</v>
      </c>
      <c r="R5062" s="14">
        <f t="shared" si="1420"/>
        <v>0</v>
      </c>
      <c r="S5062" s="14">
        <f t="shared" si="1420"/>
        <v>0</v>
      </c>
      <c r="T5062" s="14">
        <f t="shared" si="1420"/>
        <v>0</v>
      </c>
      <c r="U5062" s="14">
        <f t="shared" si="1420"/>
        <v>0</v>
      </c>
      <c r="V5062" s="14">
        <f t="shared" si="1421"/>
        <v>0</v>
      </c>
    </row>
    <row r="5063" spans="2:22">
      <c r="B5063" s="7">
        <v>0.6</v>
      </c>
      <c r="C5063" s="30"/>
      <c r="D5063" s="30"/>
      <c r="E5063" s="30"/>
      <c r="F5063" s="30"/>
      <c r="G5063" s="30"/>
      <c r="H5063" s="30"/>
      <c r="I5063" s="30"/>
      <c r="J5063" s="30"/>
      <c r="L5063" s="1">
        <f t="shared" si="1418"/>
        <v>40</v>
      </c>
      <c r="M5063" s="1">
        <f t="shared" si="1419"/>
        <v>1</v>
      </c>
      <c r="N5063" s="1">
        <f t="shared" si="1422"/>
        <v>0.1</v>
      </c>
      <c r="O5063" s="1">
        <f t="shared" si="1423"/>
        <v>8640</v>
      </c>
      <c r="P5063" s="5">
        <f t="shared" si="1425"/>
        <v>51840</v>
      </c>
      <c r="Q5063" s="14">
        <f t="shared" si="1424"/>
        <v>0</v>
      </c>
      <c r="R5063" s="14">
        <f t="shared" si="1420"/>
        <v>0</v>
      </c>
      <c r="S5063" s="14">
        <f t="shared" si="1420"/>
        <v>0</v>
      </c>
      <c r="T5063" s="14">
        <f t="shared" si="1420"/>
        <v>0</v>
      </c>
      <c r="U5063" s="14">
        <f t="shared" si="1420"/>
        <v>0</v>
      </c>
      <c r="V5063" s="14">
        <f t="shared" si="1421"/>
        <v>0</v>
      </c>
    </row>
    <row r="5064" spans="2:22">
      <c r="B5064" s="7">
        <v>0.7</v>
      </c>
      <c r="C5064" s="30"/>
      <c r="D5064" s="30"/>
      <c r="E5064" s="30"/>
      <c r="F5064" s="30"/>
      <c r="G5064" s="30"/>
      <c r="H5064" s="30"/>
      <c r="I5064" s="30"/>
      <c r="J5064" s="30"/>
      <c r="L5064" s="1">
        <f t="shared" si="1418"/>
        <v>40</v>
      </c>
      <c r="M5064" s="1">
        <f t="shared" si="1419"/>
        <v>1</v>
      </c>
      <c r="N5064" s="1">
        <f t="shared" si="1422"/>
        <v>0.1</v>
      </c>
      <c r="O5064" s="1">
        <f t="shared" si="1423"/>
        <v>8640</v>
      </c>
      <c r="P5064" s="5">
        <f t="shared" si="1425"/>
        <v>60480</v>
      </c>
      <c r="Q5064" s="14">
        <f t="shared" si="1424"/>
        <v>0</v>
      </c>
      <c r="R5064" s="14">
        <f t="shared" si="1420"/>
        <v>0</v>
      </c>
      <c r="S5064" s="14">
        <f t="shared" si="1420"/>
        <v>0</v>
      </c>
      <c r="T5064" s="14">
        <f t="shared" si="1420"/>
        <v>0</v>
      </c>
      <c r="U5064" s="14">
        <f t="shared" si="1420"/>
        <v>0</v>
      </c>
      <c r="V5064" s="14">
        <f t="shared" si="1421"/>
        <v>0</v>
      </c>
    </row>
    <row r="5065" spans="2:22">
      <c r="B5065" s="7">
        <v>0.8</v>
      </c>
      <c r="C5065" s="30"/>
      <c r="D5065" s="30"/>
      <c r="E5065" s="30"/>
      <c r="F5065" s="30"/>
      <c r="G5065" s="30"/>
      <c r="H5065" s="30"/>
      <c r="I5065" s="30"/>
      <c r="J5065" s="30"/>
      <c r="L5065" s="1">
        <f t="shared" si="1418"/>
        <v>40</v>
      </c>
      <c r="M5065" s="1">
        <f t="shared" si="1419"/>
        <v>1</v>
      </c>
      <c r="N5065" s="1">
        <f t="shared" si="1422"/>
        <v>0.1</v>
      </c>
      <c r="O5065" s="1">
        <f t="shared" si="1423"/>
        <v>8640.00000000001</v>
      </c>
      <c r="P5065" s="5">
        <f t="shared" si="1425"/>
        <v>69120</v>
      </c>
      <c r="Q5065" s="14">
        <f t="shared" si="1424"/>
        <v>0</v>
      </c>
      <c r="R5065" s="14">
        <f t="shared" si="1420"/>
        <v>0</v>
      </c>
      <c r="S5065" s="14">
        <f t="shared" si="1420"/>
        <v>0</v>
      </c>
      <c r="T5065" s="14">
        <f t="shared" si="1420"/>
        <v>0</v>
      </c>
      <c r="U5065" s="14">
        <f t="shared" si="1420"/>
        <v>0</v>
      </c>
      <c r="V5065" s="14">
        <f t="shared" si="1421"/>
        <v>0</v>
      </c>
    </row>
    <row r="5066" spans="2:22">
      <c r="B5066" s="7">
        <v>0.9</v>
      </c>
      <c r="C5066" s="30"/>
      <c r="D5066" s="30"/>
      <c r="E5066" s="30"/>
      <c r="F5066" s="30"/>
      <c r="G5066" s="30"/>
      <c r="H5066" s="30"/>
      <c r="I5066" s="30"/>
      <c r="J5066" s="30"/>
      <c r="L5066" s="1">
        <f t="shared" si="1418"/>
        <v>40</v>
      </c>
      <c r="M5066" s="1">
        <f t="shared" si="1419"/>
        <v>1</v>
      </c>
      <c r="N5066" s="1">
        <f t="shared" si="1422"/>
        <v>0.1</v>
      </c>
      <c r="O5066" s="1">
        <f t="shared" si="1423"/>
        <v>8640</v>
      </c>
      <c r="P5066" s="5">
        <f t="shared" si="1425"/>
        <v>77760</v>
      </c>
      <c r="Q5066" s="14">
        <f t="shared" si="1424"/>
        <v>0</v>
      </c>
      <c r="R5066" s="14">
        <f t="shared" si="1420"/>
        <v>0</v>
      </c>
      <c r="S5066" s="14">
        <f t="shared" si="1420"/>
        <v>0</v>
      </c>
      <c r="T5066" s="14">
        <f t="shared" si="1420"/>
        <v>0</v>
      </c>
      <c r="U5066" s="14">
        <f t="shared" si="1420"/>
        <v>0</v>
      </c>
      <c r="V5066" s="14">
        <f t="shared" si="1421"/>
        <v>0</v>
      </c>
    </row>
    <row r="5067" spans="2:22">
      <c r="B5067" s="7">
        <v>1</v>
      </c>
      <c r="C5067" s="30"/>
      <c r="D5067" s="30"/>
      <c r="E5067" s="30"/>
      <c r="F5067" s="30"/>
      <c r="G5067" s="30"/>
      <c r="H5067" s="30"/>
      <c r="I5067" s="30"/>
      <c r="J5067" s="30"/>
      <c r="L5067" s="1">
        <f t="shared" si="1418"/>
        <v>40</v>
      </c>
      <c r="M5067" s="1">
        <f t="shared" si="1419"/>
        <v>1</v>
      </c>
      <c r="N5067" s="1">
        <f t="shared" si="1422"/>
        <v>0.1</v>
      </c>
      <c r="O5067" s="1">
        <f t="shared" si="1423"/>
        <v>8640</v>
      </c>
      <c r="P5067" s="5">
        <f t="shared" si="1425"/>
        <v>86400</v>
      </c>
      <c r="Q5067" s="14">
        <f t="shared" si="1424"/>
        <v>0</v>
      </c>
      <c r="R5067" s="14">
        <f t="shared" si="1420"/>
        <v>0</v>
      </c>
      <c r="S5067" s="14">
        <f t="shared" si="1420"/>
        <v>0</v>
      </c>
      <c r="T5067" s="14">
        <f t="shared" si="1420"/>
        <v>0</v>
      </c>
      <c r="U5067" s="14">
        <f t="shared" si="1420"/>
        <v>0</v>
      </c>
      <c r="V5067" s="14">
        <f t="shared" si="1421"/>
        <v>0</v>
      </c>
    </row>
    <row r="5068" spans="2:22">
      <c r="B5068" s="9">
        <v>1.5</v>
      </c>
      <c r="C5068" s="30"/>
      <c r="D5068" s="30"/>
      <c r="E5068" s="30"/>
      <c r="F5068" s="30"/>
      <c r="G5068" s="30"/>
      <c r="H5068" s="30"/>
      <c r="I5068" s="30"/>
      <c r="J5068" s="30"/>
      <c r="L5068" s="1">
        <f t="shared" si="1418"/>
        <v>40</v>
      </c>
      <c r="M5068" s="1">
        <f t="shared" si="1419"/>
        <v>1</v>
      </c>
      <c r="N5068" s="1">
        <f t="shared" si="1422"/>
        <v>0.5</v>
      </c>
      <c r="O5068" s="1">
        <f t="shared" si="1423"/>
        <v>43200</v>
      </c>
      <c r="P5068" s="5">
        <f t="shared" si="1425"/>
        <v>129600</v>
      </c>
      <c r="Q5068" s="14">
        <f t="shared" si="1424"/>
        <v>0</v>
      </c>
      <c r="R5068" s="14">
        <f t="shared" si="1420"/>
        <v>0</v>
      </c>
      <c r="S5068" s="14">
        <f t="shared" si="1420"/>
        <v>0</v>
      </c>
      <c r="T5068" s="14">
        <f t="shared" si="1420"/>
        <v>0</v>
      </c>
      <c r="U5068" s="14">
        <f t="shared" si="1420"/>
        <v>0</v>
      </c>
      <c r="V5068" s="14">
        <f t="shared" si="1421"/>
        <v>0</v>
      </c>
    </row>
    <row r="5069" spans="2:22">
      <c r="B5069" s="9">
        <v>2</v>
      </c>
      <c r="C5069" s="30"/>
      <c r="D5069" s="30"/>
      <c r="E5069" s="30"/>
      <c r="F5069" s="30"/>
      <c r="G5069" s="30"/>
      <c r="H5069" s="30"/>
      <c r="I5069" s="30"/>
      <c r="J5069" s="30"/>
      <c r="L5069" s="1">
        <f t="shared" si="1418"/>
        <v>40</v>
      </c>
      <c r="M5069" s="1">
        <f t="shared" si="1419"/>
        <v>1</v>
      </c>
      <c r="N5069" s="1">
        <f t="shared" si="1422"/>
        <v>0.5</v>
      </c>
      <c r="O5069" s="1">
        <f t="shared" si="1423"/>
        <v>43200</v>
      </c>
      <c r="P5069" s="5">
        <f t="shared" si="1425"/>
        <v>172800</v>
      </c>
      <c r="Q5069" s="14">
        <f t="shared" si="1424"/>
        <v>0</v>
      </c>
      <c r="R5069" s="14">
        <f t="shared" si="1420"/>
        <v>0</v>
      </c>
      <c r="S5069" s="14">
        <f t="shared" si="1420"/>
        <v>0</v>
      </c>
      <c r="T5069" s="14">
        <f t="shared" si="1420"/>
        <v>0</v>
      </c>
      <c r="U5069" s="14">
        <f t="shared" si="1420"/>
        <v>0</v>
      </c>
      <c r="V5069" s="14">
        <f t="shared" si="1421"/>
        <v>0</v>
      </c>
    </row>
    <row r="5070" spans="2:22">
      <c r="B5070" s="9">
        <v>2.5</v>
      </c>
      <c r="C5070" s="30"/>
      <c r="D5070" s="30"/>
      <c r="E5070" s="30"/>
      <c r="F5070" s="30"/>
      <c r="G5070" s="30"/>
      <c r="H5070" s="30"/>
      <c r="I5070" s="30"/>
      <c r="J5070" s="30"/>
      <c r="L5070" s="1">
        <f t="shared" si="1418"/>
        <v>40</v>
      </c>
      <c r="M5070" s="1">
        <f t="shared" si="1419"/>
        <v>1</v>
      </c>
      <c r="N5070" s="1">
        <f t="shared" si="1422"/>
        <v>0.5</v>
      </c>
      <c r="O5070" s="1">
        <f t="shared" si="1423"/>
        <v>43200</v>
      </c>
      <c r="P5070" s="5">
        <f t="shared" si="1425"/>
        <v>216000</v>
      </c>
      <c r="Q5070" s="14">
        <f t="shared" si="1424"/>
        <v>0</v>
      </c>
      <c r="R5070" s="14">
        <f t="shared" si="1420"/>
        <v>0</v>
      </c>
      <c r="S5070" s="14">
        <f t="shared" si="1420"/>
        <v>0</v>
      </c>
      <c r="T5070" s="14">
        <f t="shared" si="1420"/>
        <v>0</v>
      </c>
      <c r="U5070" s="14">
        <f t="shared" si="1420"/>
        <v>0</v>
      </c>
      <c r="V5070" s="14">
        <f t="shared" si="1421"/>
        <v>0</v>
      </c>
    </row>
    <row r="5071" spans="2:22">
      <c r="B5071" s="9">
        <v>3</v>
      </c>
      <c r="C5071" s="30">
        <v>50</v>
      </c>
      <c r="D5071" s="30">
        <v>10</v>
      </c>
      <c r="E5071" s="30"/>
      <c r="F5071" s="30"/>
      <c r="G5071" s="30"/>
      <c r="H5071" s="30"/>
      <c r="I5071" s="30"/>
      <c r="J5071" s="30"/>
      <c r="L5071" s="1">
        <f t="shared" si="1418"/>
        <v>50</v>
      </c>
      <c r="M5071" s="1">
        <f t="shared" si="1419"/>
        <v>10</v>
      </c>
      <c r="N5071" s="1">
        <f t="shared" si="1422"/>
        <v>0.5</v>
      </c>
      <c r="O5071" s="1">
        <f t="shared" si="1423"/>
        <v>432000</v>
      </c>
      <c r="P5071" s="5">
        <f t="shared" si="1425"/>
        <v>648000</v>
      </c>
      <c r="Q5071" s="14">
        <f t="shared" si="1424"/>
        <v>0</v>
      </c>
      <c r="R5071" s="14">
        <f t="shared" si="1420"/>
        <v>0</v>
      </c>
      <c r="S5071" s="14">
        <f t="shared" si="1420"/>
        <v>0</v>
      </c>
      <c r="T5071" s="14">
        <f t="shared" si="1420"/>
        <v>0</v>
      </c>
      <c r="U5071" s="14">
        <f t="shared" si="1420"/>
        <v>0</v>
      </c>
      <c r="V5071" s="14">
        <f t="shared" si="1421"/>
        <v>0</v>
      </c>
    </row>
    <row r="5072" spans="2:22">
      <c r="B5072" s="9">
        <v>3.5</v>
      </c>
      <c r="C5072" s="30"/>
      <c r="D5072" s="30"/>
      <c r="E5072" s="30"/>
      <c r="F5072" s="30"/>
      <c r="G5072" s="30"/>
      <c r="H5072" s="30"/>
      <c r="I5072" s="30"/>
      <c r="J5072" s="30"/>
      <c r="L5072" s="1">
        <f t="shared" si="1418"/>
        <v>50</v>
      </c>
      <c r="M5072" s="1">
        <f t="shared" si="1419"/>
        <v>10</v>
      </c>
      <c r="N5072" s="1">
        <f t="shared" si="1422"/>
        <v>0.5</v>
      </c>
      <c r="O5072" s="1">
        <f t="shared" si="1423"/>
        <v>432000</v>
      </c>
      <c r="P5072" s="5">
        <f t="shared" si="1425"/>
        <v>1080000</v>
      </c>
      <c r="Q5072" s="14">
        <f t="shared" si="1424"/>
        <v>0</v>
      </c>
      <c r="R5072" s="14">
        <f t="shared" si="1420"/>
        <v>0</v>
      </c>
      <c r="S5072" s="14">
        <f t="shared" si="1420"/>
        <v>0</v>
      </c>
      <c r="T5072" s="14">
        <f t="shared" si="1420"/>
        <v>0</v>
      </c>
      <c r="U5072" s="14">
        <f t="shared" si="1420"/>
        <v>0</v>
      </c>
      <c r="V5072" s="14">
        <f t="shared" si="1421"/>
        <v>0</v>
      </c>
    </row>
    <row r="5073" spans="2:22">
      <c r="B5073" s="9">
        <v>4</v>
      </c>
      <c r="C5073" s="30"/>
      <c r="D5073" s="30"/>
      <c r="E5073" s="30"/>
      <c r="F5073" s="30"/>
      <c r="G5073" s="30"/>
      <c r="H5073" s="30"/>
      <c r="I5073" s="30"/>
      <c r="J5073" s="30"/>
      <c r="L5073" s="1">
        <f t="shared" si="1418"/>
        <v>50</v>
      </c>
      <c r="M5073" s="1">
        <f t="shared" si="1419"/>
        <v>10</v>
      </c>
      <c r="N5073" s="1">
        <f t="shared" si="1422"/>
        <v>0.5</v>
      </c>
      <c r="O5073" s="1">
        <f t="shared" si="1423"/>
        <v>432000</v>
      </c>
      <c r="P5073" s="5">
        <f t="shared" si="1425"/>
        <v>1512000</v>
      </c>
      <c r="Q5073" s="14">
        <f t="shared" si="1424"/>
        <v>0</v>
      </c>
      <c r="R5073" s="14">
        <f t="shared" ref="R5073:R5128" si="1426">IF(F5073="",R5072,F5073)</f>
        <v>0</v>
      </c>
      <c r="S5073" s="14">
        <f t="shared" ref="S5073:S5128" si="1427">IF(G5073="",S5072,G5073)</f>
        <v>0</v>
      </c>
      <c r="T5073" s="14">
        <f t="shared" ref="T5073:T5128" si="1428">IF(H5073="",T5072,H5073)</f>
        <v>0</v>
      </c>
      <c r="U5073" s="14">
        <f t="shared" ref="U5073:U5128" si="1429">IF(I5073="",U5072,I5073)</f>
        <v>0</v>
      </c>
      <c r="V5073" s="14">
        <f t="shared" si="1421"/>
        <v>0</v>
      </c>
    </row>
    <row r="5074" spans="2:22">
      <c r="B5074" s="9">
        <v>4.5</v>
      </c>
      <c r="C5074" s="30"/>
      <c r="D5074" s="30"/>
      <c r="E5074" s="30"/>
      <c r="F5074" s="30"/>
      <c r="G5074" s="30"/>
      <c r="H5074" s="30"/>
      <c r="I5074" s="30"/>
      <c r="J5074" s="30"/>
      <c r="L5074" s="1">
        <f t="shared" si="1418"/>
        <v>50</v>
      </c>
      <c r="M5074" s="1">
        <f t="shared" si="1419"/>
        <v>10</v>
      </c>
      <c r="N5074" s="1">
        <f t="shared" si="1422"/>
        <v>0.5</v>
      </c>
      <c r="O5074" s="1">
        <f t="shared" si="1423"/>
        <v>432000</v>
      </c>
      <c r="P5074" s="5">
        <f t="shared" si="1425"/>
        <v>1944000</v>
      </c>
      <c r="Q5074" s="14">
        <f t="shared" si="1424"/>
        <v>0</v>
      </c>
      <c r="R5074" s="14">
        <f t="shared" si="1426"/>
        <v>0</v>
      </c>
      <c r="S5074" s="14">
        <f t="shared" si="1427"/>
        <v>0</v>
      </c>
      <c r="T5074" s="14">
        <f t="shared" si="1428"/>
        <v>0</v>
      </c>
      <c r="U5074" s="14">
        <f t="shared" si="1429"/>
        <v>0</v>
      </c>
      <c r="V5074" s="14">
        <f t="shared" si="1421"/>
        <v>0</v>
      </c>
    </row>
    <row r="5075" spans="2:22">
      <c r="B5075" s="9">
        <v>5</v>
      </c>
      <c r="C5075" s="30"/>
      <c r="D5075" s="30"/>
      <c r="E5075" s="30"/>
      <c r="F5075" s="30"/>
      <c r="G5075" s="30"/>
      <c r="H5075" s="30"/>
      <c r="I5075" s="30"/>
      <c r="J5075" s="30"/>
      <c r="L5075" s="1">
        <f t="shared" si="1418"/>
        <v>50</v>
      </c>
      <c r="M5075" s="1">
        <f t="shared" si="1419"/>
        <v>10</v>
      </c>
      <c r="N5075" s="1">
        <f t="shared" si="1422"/>
        <v>0.5</v>
      </c>
      <c r="O5075" s="1">
        <f t="shared" si="1423"/>
        <v>432000</v>
      </c>
      <c r="P5075" s="5">
        <f t="shared" si="1425"/>
        <v>2376000</v>
      </c>
      <c r="Q5075" s="14">
        <f t="shared" si="1424"/>
        <v>0</v>
      </c>
      <c r="R5075" s="14">
        <f t="shared" si="1426"/>
        <v>0</v>
      </c>
      <c r="S5075" s="14">
        <f t="shared" si="1427"/>
        <v>0</v>
      </c>
      <c r="T5075" s="14">
        <f t="shared" si="1428"/>
        <v>0</v>
      </c>
      <c r="U5075" s="14">
        <f t="shared" si="1429"/>
        <v>0</v>
      </c>
      <c r="V5075" s="14">
        <f t="shared" si="1421"/>
        <v>0</v>
      </c>
    </row>
    <row r="5076" spans="2:22">
      <c r="B5076" s="9">
        <v>5.5</v>
      </c>
      <c r="C5076" s="30"/>
      <c r="D5076" s="30"/>
      <c r="E5076" s="30"/>
      <c r="F5076" s="30"/>
      <c r="G5076" s="30"/>
      <c r="H5076" s="30"/>
      <c r="I5076" s="30"/>
      <c r="J5076" s="30"/>
      <c r="L5076" s="1">
        <f t="shared" si="1418"/>
        <v>50</v>
      </c>
      <c r="M5076" s="1">
        <f t="shared" si="1419"/>
        <v>10</v>
      </c>
      <c r="N5076" s="1">
        <f t="shared" si="1422"/>
        <v>0.5</v>
      </c>
      <c r="O5076" s="1">
        <f t="shared" si="1423"/>
        <v>432000</v>
      </c>
      <c r="P5076" s="5">
        <f t="shared" si="1425"/>
        <v>2808000</v>
      </c>
      <c r="Q5076" s="14">
        <f t="shared" si="1424"/>
        <v>0</v>
      </c>
      <c r="R5076" s="14">
        <f t="shared" si="1426"/>
        <v>0</v>
      </c>
      <c r="S5076" s="14">
        <f t="shared" si="1427"/>
        <v>0</v>
      </c>
      <c r="T5076" s="14">
        <f t="shared" si="1428"/>
        <v>0</v>
      </c>
      <c r="U5076" s="14">
        <f t="shared" si="1429"/>
        <v>0</v>
      </c>
      <c r="V5076" s="14">
        <f t="shared" si="1421"/>
        <v>0</v>
      </c>
    </row>
    <row r="5077" spans="2:22">
      <c r="B5077" s="9">
        <v>6</v>
      </c>
      <c r="C5077" s="30"/>
      <c r="D5077" s="30"/>
      <c r="E5077" s="30"/>
      <c r="F5077" s="30"/>
      <c r="G5077" s="30"/>
      <c r="H5077" s="30"/>
      <c r="I5077" s="30"/>
      <c r="J5077" s="30"/>
      <c r="L5077" s="1">
        <f t="shared" si="1418"/>
        <v>50</v>
      </c>
      <c r="M5077" s="1">
        <f t="shared" si="1419"/>
        <v>10</v>
      </c>
      <c r="N5077" s="1">
        <f t="shared" si="1422"/>
        <v>0.5</v>
      </c>
      <c r="O5077" s="1">
        <f t="shared" si="1423"/>
        <v>432000</v>
      </c>
      <c r="P5077" s="5">
        <f t="shared" si="1425"/>
        <v>3240000</v>
      </c>
      <c r="Q5077" s="14">
        <f t="shared" si="1424"/>
        <v>0</v>
      </c>
      <c r="R5077" s="14">
        <f t="shared" si="1426"/>
        <v>0</v>
      </c>
      <c r="S5077" s="14">
        <f t="shared" si="1427"/>
        <v>0</v>
      </c>
      <c r="T5077" s="14">
        <f t="shared" si="1428"/>
        <v>0</v>
      </c>
      <c r="U5077" s="14">
        <f t="shared" si="1429"/>
        <v>0</v>
      </c>
      <c r="V5077" s="14">
        <f t="shared" si="1421"/>
        <v>0</v>
      </c>
    </row>
    <row r="5078" spans="2:22">
      <c r="B5078" s="9">
        <v>6.5</v>
      </c>
      <c r="C5078" s="30"/>
      <c r="D5078" s="30"/>
      <c r="E5078" s="30"/>
      <c r="F5078" s="30"/>
      <c r="G5078" s="30"/>
      <c r="H5078" s="30"/>
      <c r="I5078" s="30"/>
      <c r="J5078" s="30"/>
      <c r="L5078" s="1">
        <f t="shared" si="1418"/>
        <v>50</v>
      </c>
      <c r="M5078" s="1">
        <f t="shared" si="1419"/>
        <v>10</v>
      </c>
      <c r="N5078" s="1">
        <f t="shared" si="1422"/>
        <v>0.5</v>
      </c>
      <c r="O5078" s="1">
        <f t="shared" si="1423"/>
        <v>432000</v>
      </c>
      <c r="P5078" s="5">
        <f t="shared" si="1425"/>
        <v>3672000</v>
      </c>
      <c r="Q5078" s="14">
        <f t="shared" si="1424"/>
        <v>0</v>
      </c>
      <c r="R5078" s="14">
        <f t="shared" si="1426"/>
        <v>0</v>
      </c>
      <c r="S5078" s="14">
        <f t="shared" si="1427"/>
        <v>0</v>
      </c>
      <c r="T5078" s="14">
        <f t="shared" si="1428"/>
        <v>0</v>
      </c>
      <c r="U5078" s="14">
        <f t="shared" si="1429"/>
        <v>0</v>
      </c>
      <c r="V5078" s="14">
        <f t="shared" si="1421"/>
        <v>0</v>
      </c>
    </row>
    <row r="5079" spans="2:22">
      <c r="B5079" s="9">
        <v>7</v>
      </c>
      <c r="C5079" s="30">
        <v>60</v>
      </c>
      <c r="D5079" s="30">
        <v>40</v>
      </c>
      <c r="E5079" s="30"/>
      <c r="F5079" s="30"/>
      <c r="G5079" s="30"/>
      <c r="H5079" s="30"/>
      <c r="I5079" s="30"/>
      <c r="J5079" s="30"/>
      <c r="L5079" s="1">
        <f t="shared" si="1418"/>
        <v>60</v>
      </c>
      <c r="M5079" s="1">
        <f t="shared" si="1419"/>
        <v>40</v>
      </c>
      <c r="N5079" s="1">
        <f t="shared" si="1422"/>
        <v>0.5</v>
      </c>
      <c r="O5079" s="1">
        <f t="shared" si="1423"/>
        <v>1728000</v>
      </c>
      <c r="P5079" s="5">
        <f t="shared" si="1425"/>
        <v>5400000</v>
      </c>
      <c r="Q5079" s="14">
        <f t="shared" si="1424"/>
        <v>0</v>
      </c>
      <c r="R5079" s="14">
        <f t="shared" si="1426"/>
        <v>0</v>
      </c>
      <c r="S5079" s="14">
        <f t="shared" si="1427"/>
        <v>0</v>
      </c>
      <c r="T5079" s="14">
        <f t="shared" si="1428"/>
        <v>0</v>
      </c>
      <c r="U5079" s="14">
        <f t="shared" si="1429"/>
        <v>0</v>
      </c>
      <c r="V5079" s="14">
        <f t="shared" si="1421"/>
        <v>0</v>
      </c>
    </row>
    <row r="5080" spans="2:22">
      <c r="B5080" s="10">
        <v>8</v>
      </c>
      <c r="C5080" s="30"/>
      <c r="D5080" s="30"/>
      <c r="E5080" s="30"/>
      <c r="F5080" s="30"/>
      <c r="G5080" s="30"/>
      <c r="H5080" s="30"/>
      <c r="I5080" s="30"/>
      <c r="J5080" s="30"/>
      <c r="L5080" s="1">
        <f t="shared" si="1418"/>
        <v>60</v>
      </c>
      <c r="M5080" s="1">
        <f t="shared" si="1419"/>
        <v>40</v>
      </c>
      <c r="N5080" s="1">
        <f t="shared" si="1422"/>
        <v>1</v>
      </c>
      <c r="O5080" s="1">
        <f t="shared" si="1423"/>
        <v>3456000</v>
      </c>
      <c r="P5080" s="5">
        <f t="shared" si="1425"/>
        <v>8856000</v>
      </c>
      <c r="Q5080" s="14">
        <f t="shared" si="1424"/>
        <v>0</v>
      </c>
      <c r="R5080" s="14">
        <f t="shared" si="1426"/>
        <v>0</v>
      </c>
      <c r="S5080" s="14">
        <f t="shared" si="1427"/>
        <v>0</v>
      </c>
      <c r="T5080" s="14">
        <f t="shared" si="1428"/>
        <v>0</v>
      </c>
      <c r="U5080" s="14">
        <f t="shared" si="1429"/>
        <v>0</v>
      </c>
      <c r="V5080" s="14">
        <f t="shared" si="1421"/>
        <v>0</v>
      </c>
    </row>
    <row r="5081" spans="2:22">
      <c r="B5081" s="10">
        <v>9</v>
      </c>
      <c r="C5081" s="30"/>
      <c r="D5081" s="30"/>
      <c r="E5081" s="30"/>
      <c r="F5081" s="30"/>
      <c r="G5081" s="30"/>
      <c r="H5081" s="30"/>
      <c r="I5081" s="30"/>
      <c r="J5081" s="30"/>
      <c r="L5081" s="1">
        <f t="shared" si="1418"/>
        <v>60</v>
      </c>
      <c r="M5081" s="1">
        <f t="shared" si="1419"/>
        <v>40</v>
      </c>
      <c r="N5081" s="1">
        <f t="shared" si="1422"/>
        <v>1</v>
      </c>
      <c r="O5081" s="1">
        <f t="shared" si="1423"/>
        <v>3456000</v>
      </c>
      <c r="P5081" s="5">
        <f t="shared" si="1425"/>
        <v>12312000</v>
      </c>
      <c r="Q5081" s="14">
        <f t="shared" si="1424"/>
        <v>0</v>
      </c>
      <c r="R5081" s="14">
        <f t="shared" si="1426"/>
        <v>0</v>
      </c>
      <c r="S5081" s="14">
        <f t="shared" si="1427"/>
        <v>0</v>
      </c>
      <c r="T5081" s="14">
        <f t="shared" si="1428"/>
        <v>0</v>
      </c>
      <c r="U5081" s="14">
        <f t="shared" si="1429"/>
        <v>0</v>
      </c>
      <c r="V5081" s="14">
        <f t="shared" si="1421"/>
        <v>0</v>
      </c>
    </row>
    <row r="5082" spans="2:22">
      <c r="B5082" s="10">
        <v>10</v>
      </c>
      <c r="C5082" s="30"/>
      <c r="D5082" s="30"/>
      <c r="E5082" s="30"/>
      <c r="F5082" s="30"/>
      <c r="G5082" s="30"/>
      <c r="H5082" s="30"/>
      <c r="I5082" s="30"/>
      <c r="J5082" s="30"/>
      <c r="L5082" s="1">
        <f t="shared" si="1418"/>
        <v>60</v>
      </c>
      <c r="M5082" s="1">
        <f t="shared" si="1419"/>
        <v>40</v>
      </c>
      <c r="N5082" s="1">
        <f t="shared" si="1422"/>
        <v>1</v>
      </c>
      <c r="O5082" s="1">
        <f t="shared" si="1423"/>
        <v>3456000</v>
      </c>
      <c r="P5082" s="5">
        <f t="shared" si="1425"/>
        <v>15768000</v>
      </c>
      <c r="Q5082" s="14">
        <f t="shared" si="1424"/>
        <v>0</v>
      </c>
      <c r="R5082" s="14">
        <f t="shared" si="1426"/>
        <v>0</v>
      </c>
      <c r="S5082" s="14">
        <f t="shared" si="1427"/>
        <v>0</v>
      </c>
      <c r="T5082" s="14">
        <f t="shared" si="1428"/>
        <v>0</v>
      </c>
      <c r="U5082" s="14">
        <f t="shared" si="1429"/>
        <v>0</v>
      </c>
      <c r="V5082" s="14">
        <f t="shared" si="1421"/>
        <v>0</v>
      </c>
    </row>
    <row r="5083" spans="2:22">
      <c r="B5083" s="10">
        <v>11</v>
      </c>
      <c r="C5083" s="30"/>
      <c r="D5083" s="30"/>
      <c r="E5083" s="30"/>
      <c r="F5083" s="30"/>
      <c r="G5083" s="30"/>
      <c r="H5083" s="30"/>
      <c r="I5083" s="30"/>
      <c r="J5083" s="30"/>
      <c r="L5083" s="1">
        <f t="shared" si="1418"/>
        <v>60</v>
      </c>
      <c r="M5083" s="1">
        <f t="shared" si="1419"/>
        <v>40</v>
      </c>
      <c r="N5083" s="1">
        <f t="shared" si="1422"/>
        <v>1</v>
      </c>
      <c r="O5083" s="1">
        <f t="shared" si="1423"/>
        <v>3456000</v>
      </c>
      <c r="P5083" s="5">
        <f t="shared" si="1425"/>
        <v>19224000</v>
      </c>
      <c r="Q5083" s="14">
        <f t="shared" si="1424"/>
        <v>0</v>
      </c>
      <c r="R5083" s="14">
        <f t="shared" si="1426"/>
        <v>0</v>
      </c>
      <c r="S5083" s="14">
        <f t="shared" si="1427"/>
        <v>0</v>
      </c>
      <c r="T5083" s="14">
        <f t="shared" si="1428"/>
        <v>0</v>
      </c>
      <c r="U5083" s="14">
        <f t="shared" si="1429"/>
        <v>0</v>
      </c>
      <c r="V5083" s="14">
        <f t="shared" si="1421"/>
        <v>0</v>
      </c>
    </row>
    <row r="5084" spans="2:22">
      <c r="B5084" s="10">
        <v>12</v>
      </c>
      <c r="C5084" s="30"/>
      <c r="D5084" s="30"/>
      <c r="E5084" s="30"/>
      <c r="F5084" s="30"/>
      <c r="G5084" s="30"/>
      <c r="H5084" s="30"/>
      <c r="I5084" s="30"/>
      <c r="J5084" s="30"/>
      <c r="L5084" s="1">
        <f t="shared" si="1418"/>
        <v>60</v>
      </c>
      <c r="M5084" s="1">
        <f t="shared" si="1419"/>
        <v>40</v>
      </c>
      <c r="N5084" s="1">
        <f t="shared" si="1422"/>
        <v>1</v>
      </c>
      <c r="O5084" s="1">
        <f t="shared" si="1423"/>
        <v>3456000</v>
      </c>
      <c r="P5084" s="5">
        <f t="shared" si="1425"/>
        <v>22680000</v>
      </c>
      <c r="Q5084" s="14">
        <f t="shared" si="1424"/>
        <v>0</v>
      </c>
      <c r="R5084" s="14">
        <f t="shared" si="1426"/>
        <v>0</v>
      </c>
      <c r="S5084" s="14">
        <f t="shared" si="1427"/>
        <v>0</v>
      </c>
      <c r="T5084" s="14">
        <f t="shared" si="1428"/>
        <v>0</v>
      </c>
      <c r="U5084" s="14">
        <f t="shared" si="1429"/>
        <v>0</v>
      </c>
      <c r="V5084" s="14">
        <f t="shared" si="1421"/>
        <v>0</v>
      </c>
    </row>
    <row r="5085" spans="2:22">
      <c r="B5085" s="10">
        <v>13</v>
      </c>
      <c r="C5085" s="30"/>
      <c r="D5085" s="30"/>
      <c r="E5085" s="30"/>
      <c r="F5085" s="30"/>
      <c r="G5085" s="30"/>
      <c r="H5085" s="30"/>
      <c r="I5085" s="30"/>
      <c r="J5085" s="30"/>
      <c r="L5085" s="1">
        <f t="shared" si="1418"/>
        <v>60</v>
      </c>
      <c r="M5085" s="1">
        <f t="shared" si="1419"/>
        <v>40</v>
      </c>
      <c r="N5085" s="1">
        <f t="shared" si="1422"/>
        <v>1</v>
      </c>
      <c r="O5085" s="1">
        <f t="shared" si="1423"/>
        <v>3456000</v>
      </c>
      <c r="P5085" s="5">
        <f t="shared" si="1425"/>
        <v>26136000</v>
      </c>
      <c r="Q5085" s="14">
        <f t="shared" si="1424"/>
        <v>0</v>
      </c>
      <c r="R5085" s="14">
        <f t="shared" si="1426"/>
        <v>0</v>
      </c>
      <c r="S5085" s="14">
        <f t="shared" si="1427"/>
        <v>0</v>
      </c>
      <c r="T5085" s="14">
        <f t="shared" si="1428"/>
        <v>0</v>
      </c>
      <c r="U5085" s="14">
        <f t="shared" si="1429"/>
        <v>0</v>
      </c>
      <c r="V5085" s="14">
        <f t="shared" si="1421"/>
        <v>0</v>
      </c>
    </row>
    <row r="5086" spans="2:22">
      <c r="B5086" s="10">
        <v>14</v>
      </c>
      <c r="C5086" s="30"/>
      <c r="D5086" s="30"/>
      <c r="E5086" s="30"/>
      <c r="F5086" s="30"/>
      <c r="G5086" s="30"/>
      <c r="H5086" s="30"/>
      <c r="I5086" s="30"/>
      <c r="J5086" s="30"/>
      <c r="L5086" s="1">
        <f t="shared" si="1418"/>
        <v>60</v>
      </c>
      <c r="M5086" s="1">
        <f t="shared" si="1419"/>
        <v>40</v>
      </c>
      <c r="N5086" s="1">
        <f t="shared" si="1422"/>
        <v>1</v>
      </c>
      <c r="O5086" s="1">
        <f t="shared" si="1423"/>
        <v>3456000</v>
      </c>
      <c r="P5086" s="5">
        <f t="shared" si="1425"/>
        <v>29592000</v>
      </c>
      <c r="Q5086" s="14">
        <f t="shared" si="1424"/>
        <v>0</v>
      </c>
      <c r="R5086" s="14">
        <f t="shared" si="1426"/>
        <v>0</v>
      </c>
      <c r="S5086" s="14">
        <f t="shared" si="1427"/>
        <v>0</v>
      </c>
      <c r="T5086" s="14">
        <f t="shared" si="1428"/>
        <v>0</v>
      </c>
      <c r="U5086" s="14">
        <f t="shared" si="1429"/>
        <v>0</v>
      </c>
      <c r="V5086" s="14">
        <f t="shared" si="1421"/>
        <v>0</v>
      </c>
    </row>
    <row r="5087" spans="2:22">
      <c r="B5087" s="10">
        <v>15</v>
      </c>
      <c r="C5087" s="30"/>
      <c r="D5087" s="30"/>
      <c r="E5087" s="30"/>
      <c r="F5087" s="30"/>
      <c r="G5087" s="30"/>
      <c r="H5087" s="30"/>
      <c r="I5087" s="30"/>
      <c r="J5087" s="30"/>
      <c r="L5087" s="1">
        <f t="shared" si="1418"/>
        <v>60</v>
      </c>
      <c r="M5087" s="1">
        <f t="shared" si="1419"/>
        <v>40</v>
      </c>
      <c r="N5087" s="1">
        <f t="shared" si="1422"/>
        <v>1</v>
      </c>
      <c r="O5087" s="1">
        <f t="shared" si="1423"/>
        <v>3456000</v>
      </c>
      <c r="P5087" s="5">
        <f t="shared" si="1425"/>
        <v>33048000</v>
      </c>
      <c r="Q5087" s="14">
        <f t="shared" si="1424"/>
        <v>0</v>
      </c>
      <c r="R5087" s="14">
        <f t="shared" si="1426"/>
        <v>0</v>
      </c>
      <c r="S5087" s="14">
        <f t="shared" si="1427"/>
        <v>0</v>
      </c>
      <c r="T5087" s="14">
        <f t="shared" si="1428"/>
        <v>0</v>
      </c>
      <c r="U5087" s="14">
        <f t="shared" si="1429"/>
        <v>0</v>
      </c>
      <c r="V5087" s="14">
        <f t="shared" si="1421"/>
        <v>0</v>
      </c>
    </row>
    <row r="5088" spans="2:22">
      <c r="B5088" s="10">
        <v>16</v>
      </c>
      <c r="C5088" s="30"/>
      <c r="D5088" s="30"/>
      <c r="E5088" s="30"/>
      <c r="F5088" s="30"/>
      <c r="G5088" s="30"/>
      <c r="H5088" s="30"/>
      <c r="I5088" s="30"/>
      <c r="J5088" s="30"/>
      <c r="L5088" s="1">
        <f t="shared" si="1418"/>
        <v>60</v>
      </c>
      <c r="M5088" s="1">
        <f t="shared" si="1419"/>
        <v>40</v>
      </c>
      <c r="N5088" s="1">
        <f t="shared" si="1422"/>
        <v>1</v>
      </c>
      <c r="O5088" s="1">
        <f t="shared" si="1423"/>
        <v>3456000</v>
      </c>
      <c r="P5088" s="5">
        <f t="shared" si="1425"/>
        <v>36504000</v>
      </c>
      <c r="Q5088" s="14">
        <f t="shared" si="1424"/>
        <v>0</v>
      </c>
      <c r="R5088" s="14">
        <f t="shared" si="1426"/>
        <v>0</v>
      </c>
      <c r="S5088" s="14">
        <f t="shared" si="1427"/>
        <v>0</v>
      </c>
      <c r="T5088" s="14">
        <f t="shared" si="1428"/>
        <v>0</v>
      </c>
      <c r="U5088" s="14">
        <f t="shared" si="1429"/>
        <v>0</v>
      </c>
      <c r="V5088" s="14">
        <f t="shared" si="1421"/>
        <v>0</v>
      </c>
    </row>
    <row r="5089" spans="2:22">
      <c r="B5089" s="10">
        <v>17</v>
      </c>
      <c r="C5089" s="30"/>
      <c r="D5089" s="30"/>
      <c r="E5089" s="30"/>
      <c r="F5089" s="30"/>
      <c r="G5089" s="30"/>
      <c r="H5089" s="30"/>
      <c r="I5089" s="30"/>
      <c r="J5089" s="30"/>
      <c r="L5089" s="1">
        <f t="shared" ref="L5089:L5120" si="1430">IF(C5089="",L5088,C5089)</f>
        <v>60</v>
      </c>
      <c r="M5089" s="1">
        <f t="shared" ref="M5089:M5120" si="1431">IF(D5089="",M5088,D5089)</f>
        <v>40</v>
      </c>
      <c r="N5089" s="1">
        <f t="shared" si="1422"/>
        <v>1</v>
      </c>
      <c r="O5089" s="1">
        <f t="shared" si="1423"/>
        <v>3456000</v>
      </c>
      <c r="P5089" s="5">
        <f t="shared" si="1425"/>
        <v>39960000</v>
      </c>
      <c r="Q5089" s="14">
        <f t="shared" si="1424"/>
        <v>0</v>
      </c>
      <c r="R5089" s="14">
        <f t="shared" si="1426"/>
        <v>0</v>
      </c>
      <c r="S5089" s="14">
        <f t="shared" si="1427"/>
        <v>0</v>
      </c>
      <c r="T5089" s="14">
        <f t="shared" si="1428"/>
        <v>0</v>
      </c>
      <c r="U5089" s="14">
        <f t="shared" si="1429"/>
        <v>0</v>
      </c>
      <c r="V5089" s="14">
        <f t="shared" ref="V5089:V5120" si="1432">IF(J5089="",V5088,J5089)</f>
        <v>0</v>
      </c>
    </row>
    <row r="5090" spans="2:22">
      <c r="B5090" s="10">
        <v>18</v>
      </c>
      <c r="C5090" s="30"/>
      <c r="D5090" s="30"/>
      <c r="E5090" s="30"/>
      <c r="F5090" s="30"/>
      <c r="G5090" s="30"/>
      <c r="H5090" s="30"/>
      <c r="I5090" s="30"/>
      <c r="J5090" s="30"/>
      <c r="L5090" s="1">
        <f t="shared" si="1430"/>
        <v>60</v>
      </c>
      <c r="M5090" s="1">
        <f t="shared" si="1431"/>
        <v>40</v>
      </c>
      <c r="N5090" s="1">
        <f t="shared" ref="N5090:N5121" si="1433">B5090-B5089</f>
        <v>1</v>
      </c>
      <c r="O5090" s="1">
        <f t="shared" si="1423"/>
        <v>3456000</v>
      </c>
      <c r="P5090" s="5">
        <f t="shared" si="1425"/>
        <v>43416000</v>
      </c>
      <c r="Q5090" s="14">
        <f t="shared" si="1424"/>
        <v>0</v>
      </c>
      <c r="R5090" s="14">
        <f t="shared" si="1426"/>
        <v>0</v>
      </c>
      <c r="S5090" s="14">
        <f t="shared" si="1427"/>
        <v>0</v>
      </c>
      <c r="T5090" s="14">
        <f t="shared" si="1428"/>
        <v>0</v>
      </c>
      <c r="U5090" s="14">
        <f t="shared" si="1429"/>
        <v>0</v>
      </c>
      <c r="V5090" s="14">
        <f t="shared" si="1432"/>
        <v>0</v>
      </c>
    </row>
    <row r="5091" spans="2:22">
      <c r="B5091" s="10">
        <v>19</v>
      </c>
      <c r="C5091" s="30"/>
      <c r="D5091" s="30"/>
      <c r="E5091" s="30"/>
      <c r="F5091" s="30"/>
      <c r="G5091" s="30"/>
      <c r="H5091" s="30"/>
      <c r="I5091" s="30"/>
      <c r="J5091" s="30"/>
      <c r="L5091" s="1">
        <f t="shared" si="1430"/>
        <v>60</v>
      </c>
      <c r="M5091" s="1">
        <f t="shared" si="1431"/>
        <v>40</v>
      </c>
      <c r="N5091" s="1">
        <f t="shared" si="1433"/>
        <v>1</v>
      </c>
      <c r="O5091" s="1">
        <f t="shared" si="1423"/>
        <v>3456000</v>
      </c>
      <c r="P5091" s="5">
        <f t="shared" si="1425"/>
        <v>46872000</v>
      </c>
      <c r="Q5091" s="14">
        <f t="shared" si="1424"/>
        <v>0</v>
      </c>
      <c r="R5091" s="14">
        <f t="shared" si="1426"/>
        <v>0</v>
      </c>
      <c r="S5091" s="14">
        <f t="shared" si="1427"/>
        <v>0</v>
      </c>
      <c r="T5091" s="14">
        <f t="shared" si="1428"/>
        <v>0</v>
      </c>
      <c r="U5091" s="14">
        <f t="shared" si="1429"/>
        <v>0</v>
      </c>
      <c r="V5091" s="14">
        <f t="shared" si="1432"/>
        <v>0</v>
      </c>
    </row>
    <row r="5092" spans="2:22">
      <c r="B5092" s="10">
        <v>20</v>
      </c>
      <c r="C5092" s="30"/>
      <c r="D5092" s="30"/>
      <c r="E5092" s="43">
        <v>0.1</v>
      </c>
      <c r="F5092" s="43">
        <v>0.1</v>
      </c>
      <c r="G5092" s="30"/>
      <c r="H5092" s="30"/>
      <c r="I5092" s="30"/>
      <c r="J5092" s="30"/>
      <c r="L5092" s="1">
        <f t="shared" si="1430"/>
        <v>60</v>
      </c>
      <c r="M5092" s="1">
        <f t="shared" si="1431"/>
        <v>40</v>
      </c>
      <c r="N5092" s="1">
        <f t="shared" si="1433"/>
        <v>1</v>
      </c>
      <c r="O5092" s="1">
        <f t="shared" si="1423"/>
        <v>3456000</v>
      </c>
      <c r="P5092" s="5">
        <f t="shared" si="1425"/>
        <v>50328000</v>
      </c>
      <c r="Q5092" s="14">
        <f t="shared" si="1424"/>
        <v>0.1</v>
      </c>
      <c r="R5092" s="14">
        <f t="shared" si="1426"/>
        <v>0.1</v>
      </c>
      <c r="S5092" s="14">
        <f t="shared" si="1427"/>
        <v>0</v>
      </c>
      <c r="T5092" s="14">
        <f t="shared" si="1428"/>
        <v>0</v>
      </c>
      <c r="U5092" s="14">
        <f t="shared" si="1429"/>
        <v>0</v>
      </c>
      <c r="V5092" s="14">
        <f t="shared" si="1432"/>
        <v>0</v>
      </c>
    </row>
    <row r="5093" spans="2:22">
      <c r="B5093" s="10">
        <v>21</v>
      </c>
      <c r="C5093" s="30"/>
      <c r="D5093" s="30"/>
      <c r="E5093" s="30"/>
      <c r="F5093" s="30"/>
      <c r="G5093" s="30"/>
      <c r="H5093" s="30"/>
      <c r="I5093" s="30"/>
      <c r="J5093" s="30"/>
      <c r="L5093" s="1">
        <f t="shared" si="1430"/>
        <v>60</v>
      </c>
      <c r="M5093" s="1">
        <f t="shared" si="1431"/>
        <v>40</v>
      </c>
      <c r="N5093" s="1">
        <f t="shared" si="1433"/>
        <v>1</v>
      </c>
      <c r="O5093" s="1">
        <f t="shared" si="1423"/>
        <v>3456000</v>
      </c>
      <c r="P5093" s="5">
        <f t="shared" si="1425"/>
        <v>53784000</v>
      </c>
      <c r="Q5093" s="14">
        <f t="shared" si="1424"/>
        <v>0.1</v>
      </c>
      <c r="R5093" s="14">
        <f t="shared" si="1426"/>
        <v>0.1</v>
      </c>
      <c r="S5093" s="14">
        <f t="shared" si="1427"/>
        <v>0</v>
      </c>
      <c r="T5093" s="14">
        <f t="shared" si="1428"/>
        <v>0</v>
      </c>
      <c r="U5093" s="14">
        <f t="shared" si="1429"/>
        <v>0</v>
      </c>
      <c r="V5093" s="14">
        <f t="shared" si="1432"/>
        <v>0</v>
      </c>
    </row>
    <row r="5094" spans="2:22">
      <c r="B5094" s="10">
        <v>22</v>
      </c>
      <c r="C5094" s="30"/>
      <c r="D5094" s="30"/>
      <c r="E5094" s="30"/>
      <c r="F5094" s="30"/>
      <c r="G5094" s="30"/>
      <c r="H5094" s="30"/>
      <c r="I5094" s="30"/>
      <c r="J5094" s="30"/>
      <c r="L5094" s="1">
        <f t="shared" si="1430"/>
        <v>60</v>
      </c>
      <c r="M5094" s="1">
        <f t="shared" si="1431"/>
        <v>40</v>
      </c>
      <c r="N5094" s="1">
        <f t="shared" si="1433"/>
        <v>1</v>
      </c>
      <c r="O5094" s="1">
        <f t="shared" si="1423"/>
        <v>3456000</v>
      </c>
      <c r="P5094" s="5">
        <f t="shared" si="1425"/>
        <v>57240000</v>
      </c>
      <c r="Q5094" s="14">
        <f t="shared" si="1424"/>
        <v>0.1</v>
      </c>
      <c r="R5094" s="14">
        <f t="shared" si="1426"/>
        <v>0.1</v>
      </c>
      <c r="S5094" s="14">
        <f t="shared" si="1427"/>
        <v>0</v>
      </c>
      <c r="T5094" s="14">
        <f t="shared" si="1428"/>
        <v>0</v>
      </c>
      <c r="U5094" s="14">
        <f t="shared" si="1429"/>
        <v>0</v>
      </c>
      <c r="V5094" s="14">
        <f t="shared" si="1432"/>
        <v>0</v>
      </c>
    </row>
    <row r="5095" spans="2:22">
      <c r="B5095" s="10">
        <v>23</v>
      </c>
      <c r="C5095" s="30"/>
      <c r="D5095" s="30"/>
      <c r="E5095" s="30"/>
      <c r="F5095" s="30"/>
      <c r="G5095" s="30"/>
      <c r="H5095" s="30"/>
      <c r="I5095" s="30"/>
      <c r="J5095" s="30"/>
      <c r="L5095" s="1">
        <f t="shared" si="1430"/>
        <v>60</v>
      </c>
      <c r="M5095" s="1">
        <f t="shared" si="1431"/>
        <v>40</v>
      </c>
      <c r="N5095" s="1">
        <f t="shared" si="1433"/>
        <v>1</v>
      </c>
      <c r="O5095" s="1">
        <f t="shared" si="1423"/>
        <v>3456000</v>
      </c>
      <c r="P5095" s="5">
        <f t="shared" si="1425"/>
        <v>60696000</v>
      </c>
      <c r="Q5095" s="14">
        <f t="shared" si="1424"/>
        <v>0.1</v>
      </c>
      <c r="R5095" s="14">
        <f t="shared" si="1426"/>
        <v>0.1</v>
      </c>
      <c r="S5095" s="14">
        <f t="shared" si="1427"/>
        <v>0</v>
      </c>
      <c r="T5095" s="14">
        <f t="shared" si="1428"/>
        <v>0</v>
      </c>
      <c r="U5095" s="14">
        <f t="shared" si="1429"/>
        <v>0</v>
      </c>
      <c r="V5095" s="14">
        <f t="shared" si="1432"/>
        <v>0</v>
      </c>
    </row>
    <row r="5096" spans="2:22">
      <c r="B5096" s="10">
        <v>24</v>
      </c>
      <c r="C5096" s="30"/>
      <c r="D5096" s="30"/>
      <c r="E5096" s="30"/>
      <c r="F5096" s="30"/>
      <c r="G5096" s="30"/>
      <c r="H5096" s="30"/>
      <c r="I5096" s="30"/>
      <c r="J5096" s="30"/>
      <c r="L5096" s="1">
        <f t="shared" si="1430"/>
        <v>60</v>
      </c>
      <c r="M5096" s="1">
        <f t="shared" si="1431"/>
        <v>40</v>
      </c>
      <c r="N5096" s="1">
        <f t="shared" si="1433"/>
        <v>1</v>
      </c>
      <c r="O5096" s="1">
        <f t="shared" si="1423"/>
        <v>3456000</v>
      </c>
      <c r="P5096" s="5">
        <f t="shared" si="1425"/>
        <v>64152000</v>
      </c>
      <c r="Q5096" s="14">
        <f t="shared" si="1424"/>
        <v>0.1</v>
      </c>
      <c r="R5096" s="14">
        <f t="shared" si="1426"/>
        <v>0.1</v>
      </c>
      <c r="S5096" s="14">
        <f t="shared" si="1427"/>
        <v>0</v>
      </c>
      <c r="T5096" s="14">
        <f t="shared" si="1428"/>
        <v>0</v>
      </c>
      <c r="U5096" s="14">
        <f t="shared" si="1429"/>
        <v>0</v>
      </c>
      <c r="V5096" s="14">
        <f t="shared" si="1432"/>
        <v>0</v>
      </c>
    </row>
    <row r="5097" spans="2:22">
      <c r="B5097" s="10">
        <v>25</v>
      </c>
      <c r="C5097" s="30"/>
      <c r="D5097" s="30"/>
      <c r="E5097" s="30"/>
      <c r="F5097" s="30"/>
      <c r="G5097" s="43"/>
      <c r="H5097" s="43">
        <v>0.1</v>
      </c>
      <c r="I5097" s="43"/>
      <c r="J5097" s="30"/>
      <c r="L5097" s="1">
        <f t="shared" si="1430"/>
        <v>60</v>
      </c>
      <c r="M5097" s="1">
        <f t="shared" si="1431"/>
        <v>40</v>
      </c>
      <c r="N5097" s="1">
        <f t="shared" si="1433"/>
        <v>1</v>
      </c>
      <c r="O5097" s="1">
        <f t="shared" si="1423"/>
        <v>3456000</v>
      </c>
      <c r="P5097" s="5">
        <f t="shared" si="1425"/>
        <v>67608000</v>
      </c>
      <c r="Q5097" s="14">
        <f t="shared" si="1424"/>
        <v>0.1</v>
      </c>
      <c r="R5097" s="14">
        <f t="shared" si="1426"/>
        <v>0.1</v>
      </c>
      <c r="S5097" s="14">
        <f t="shared" si="1427"/>
        <v>0</v>
      </c>
      <c r="T5097" s="14">
        <f t="shared" si="1428"/>
        <v>0.1</v>
      </c>
      <c r="U5097" s="14">
        <f t="shared" si="1429"/>
        <v>0</v>
      </c>
      <c r="V5097" s="14">
        <f t="shared" si="1432"/>
        <v>0</v>
      </c>
    </row>
    <row r="5098" spans="2:22">
      <c r="B5098" s="10">
        <v>26</v>
      </c>
      <c r="C5098" s="30"/>
      <c r="D5098" s="30"/>
      <c r="E5098" s="30"/>
      <c r="F5098" s="30"/>
      <c r="G5098" s="30"/>
      <c r="H5098" s="30"/>
      <c r="I5098" s="30"/>
      <c r="J5098" s="30"/>
      <c r="L5098" s="1">
        <f t="shared" si="1430"/>
        <v>60</v>
      </c>
      <c r="M5098" s="1">
        <f t="shared" si="1431"/>
        <v>40</v>
      </c>
      <c r="N5098" s="1">
        <f t="shared" si="1433"/>
        <v>1</v>
      </c>
      <c r="O5098" s="1">
        <f t="shared" si="1423"/>
        <v>3456000</v>
      </c>
      <c r="P5098" s="5">
        <f t="shared" si="1425"/>
        <v>71064000</v>
      </c>
      <c r="Q5098" s="14">
        <f t="shared" si="1424"/>
        <v>0.1</v>
      </c>
      <c r="R5098" s="14">
        <f t="shared" si="1426"/>
        <v>0.1</v>
      </c>
      <c r="S5098" s="14">
        <f t="shared" si="1427"/>
        <v>0</v>
      </c>
      <c r="T5098" s="14">
        <f t="shared" si="1428"/>
        <v>0.1</v>
      </c>
      <c r="U5098" s="14">
        <f t="shared" si="1429"/>
        <v>0</v>
      </c>
      <c r="V5098" s="14">
        <f t="shared" si="1432"/>
        <v>0</v>
      </c>
    </row>
    <row r="5099" spans="2:22">
      <c r="B5099" s="10">
        <v>27</v>
      </c>
      <c r="C5099" s="30"/>
      <c r="D5099" s="30"/>
      <c r="E5099" s="30"/>
      <c r="F5099" s="30"/>
      <c r="G5099" s="30"/>
      <c r="H5099" s="30"/>
      <c r="I5099" s="30"/>
      <c r="J5099" s="30"/>
      <c r="L5099" s="1">
        <f t="shared" si="1430"/>
        <v>60</v>
      </c>
      <c r="M5099" s="1">
        <f t="shared" si="1431"/>
        <v>40</v>
      </c>
      <c r="N5099" s="1">
        <f t="shared" si="1433"/>
        <v>1</v>
      </c>
      <c r="O5099" s="1">
        <f t="shared" si="1423"/>
        <v>3456000</v>
      </c>
      <c r="P5099" s="5">
        <f t="shared" si="1425"/>
        <v>74520000</v>
      </c>
      <c r="Q5099" s="14">
        <f t="shared" si="1424"/>
        <v>0.1</v>
      </c>
      <c r="R5099" s="14">
        <f t="shared" si="1426"/>
        <v>0.1</v>
      </c>
      <c r="S5099" s="14">
        <f t="shared" si="1427"/>
        <v>0</v>
      </c>
      <c r="T5099" s="14">
        <f t="shared" si="1428"/>
        <v>0.1</v>
      </c>
      <c r="U5099" s="14">
        <f t="shared" si="1429"/>
        <v>0</v>
      </c>
      <c r="V5099" s="14">
        <f t="shared" si="1432"/>
        <v>0</v>
      </c>
    </row>
    <row r="5100" spans="2:22">
      <c r="B5100" s="10">
        <v>28</v>
      </c>
      <c r="C5100" s="30"/>
      <c r="D5100" s="30"/>
      <c r="E5100" s="30"/>
      <c r="F5100" s="30"/>
      <c r="G5100" s="30"/>
      <c r="H5100" s="30"/>
      <c r="I5100" s="30"/>
      <c r="J5100" s="30"/>
      <c r="L5100" s="1">
        <f t="shared" si="1430"/>
        <v>60</v>
      </c>
      <c r="M5100" s="1">
        <f t="shared" si="1431"/>
        <v>40</v>
      </c>
      <c r="N5100" s="1">
        <f t="shared" si="1433"/>
        <v>1</v>
      </c>
      <c r="O5100" s="1">
        <f t="shared" si="1423"/>
        <v>3456000</v>
      </c>
      <c r="P5100" s="5">
        <f t="shared" si="1425"/>
        <v>77976000</v>
      </c>
      <c r="Q5100" s="14">
        <f t="shared" si="1424"/>
        <v>0.1</v>
      </c>
      <c r="R5100" s="14">
        <f t="shared" si="1426"/>
        <v>0.1</v>
      </c>
      <c r="S5100" s="14">
        <f t="shared" si="1427"/>
        <v>0</v>
      </c>
      <c r="T5100" s="14">
        <f t="shared" si="1428"/>
        <v>0.1</v>
      </c>
      <c r="U5100" s="14">
        <f t="shared" si="1429"/>
        <v>0</v>
      </c>
      <c r="V5100" s="14">
        <f t="shared" si="1432"/>
        <v>0</v>
      </c>
    </row>
    <row r="5101" spans="2:22">
      <c r="B5101" s="10">
        <v>29</v>
      </c>
      <c r="C5101" s="30"/>
      <c r="D5101" s="30"/>
      <c r="E5101" s="30"/>
      <c r="F5101" s="30"/>
      <c r="G5101" s="30"/>
      <c r="H5101" s="30"/>
      <c r="I5101" s="30"/>
      <c r="J5101" s="30"/>
      <c r="L5101" s="1">
        <f t="shared" si="1430"/>
        <v>60</v>
      </c>
      <c r="M5101" s="1">
        <f t="shared" si="1431"/>
        <v>40</v>
      </c>
      <c r="N5101" s="1">
        <f t="shared" si="1433"/>
        <v>1</v>
      </c>
      <c r="O5101" s="1">
        <f t="shared" si="1423"/>
        <v>3456000</v>
      </c>
      <c r="P5101" s="5">
        <f t="shared" si="1425"/>
        <v>81432000</v>
      </c>
      <c r="Q5101" s="14">
        <f t="shared" si="1424"/>
        <v>0.1</v>
      </c>
      <c r="R5101" s="14">
        <f t="shared" si="1426"/>
        <v>0.1</v>
      </c>
      <c r="S5101" s="14">
        <f t="shared" si="1427"/>
        <v>0</v>
      </c>
      <c r="T5101" s="14">
        <f t="shared" si="1428"/>
        <v>0.1</v>
      </c>
      <c r="U5101" s="14">
        <f t="shared" si="1429"/>
        <v>0</v>
      </c>
      <c r="V5101" s="14">
        <f t="shared" si="1432"/>
        <v>0</v>
      </c>
    </row>
    <row r="5102" spans="2:22">
      <c r="B5102" s="10">
        <v>30</v>
      </c>
      <c r="C5102" s="30">
        <v>80</v>
      </c>
      <c r="D5102" s="30">
        <v>100</v>
      </c>
      <c r="E5102" s="43"/>
      <c r="F5102" s="43"/>
      <c r="G5102" s="30"/>
      <c r="H5102" s="30"/>
      <c r="I5102" s="43">
        <v>0.05</v>
      </c>
      <c r="J5102" s="43"/>
      <c r="L5102" s="1">
        <f t="shared" si="1430"/>
        <v>80</v>
      </c>
      <c r="M5102" s="1">
        <f t="shared" si="1431"/>
        <v>100</v>
      </c>
      <c r="N5102" s="1">
        <f t="shared" si="1433"/>
        <v>1</v>
      </c>
      <c r="O5102" s="1">
        <f t="shared" si="1423"/>
        <v>8640000</v>
      </c>
      <c r="P5102" s="5">
        <f t="shared" si="1425"/>
        <v>90072000</v>
      </c>
      <c r="Q5102" s="14">
        <f t="shared" si="1424"/>
        <v>0.1</v>
      </c>
      <c r="R5102" s="14">
        <f t="shared" si="1426"/>
        <v>0.1</v>
      </c>
      <c r="S5102" s="14">
        <f t="shared" si="1427"/>
        <v>0</v>
      </c>
      <c r="T5102" s="14">
        <f t="shared" si="1428"/>
        <v>0.1</v>
      </c>
      <c r="U5102" s="14">
        <f t="shared" si="1429"/>
        <v>0.05</v>
      </c>
      <c r="V5102" s="14">
        <f t="shared" si="1432"/>
        <v>0</v>
      </c>
    </row>
    <row r="5103" spans="2:22">
      <c r="B5103" s="11">
        <v>35</v>
      </c>
      <c r="C5103" s="30"/>
      <c r="D5103" s="30"/>
      <c r="E5103" s="30"/>
      <c r="F5103" s="30"/>
      <c r="G5103" s="30"/>
      <c r="H5103" s="30"/>
      <c r="I5103" s="30"/>
      <c r="J5103" s="30"/>
      <c r="L5103" s="1">
        <f t="shared" si="1430"/>
        <v>80</v>
      </c>
      <c r="M5103" s="1">
        <f t="shared" si="1431"/>
        <v>100</v>
      </c>
      <c r="N5103" s="1">
        <f t="shared" si="1433"/>
        <v>5</v>
      </c>
      <c r="O5103" s="1">
        <f t="shared" si="1423"/>
        <v>43200000</v>
      </c>
      <c r="P5103" s="5">
        <f t="shared" si="1425"/>
        <v>133272000</v>
      </c>
      <c r="Q5103" s="14">
        <f t="shared" si="1424"/>
        <v>0.1</v>
      </c>
      <c r="R5103" s="14">
        <f t="shared" si="1426"/>
        <v>0.1</v>
      </c>
      <c r="S5103" s="14">
        <f t="shared" si="1427"/>
        <v>0</v>
      </c>
      <c r="T5103" s="14">
        <f t="shared" si="1428"/>
        <v>0.1</v>
      </c>
      <c r="U5103" s="14">
        <f t="shared" si="1429"/>
        <v>0.05</v>
      </c>
      <c r="V5103" s="14">
        <f t="shared" si="1432"/>
        <v>0</v>
      </c>
    </row>
    <row r="5104" spans="2:22">
      <c r="B5104" s="11">
        <v>40</v>
      </c>
      <c r="C5104" s="30"/>
      <c r="D5104" s="30"/>
      <c r="E5104" s="30"/>
      <c r="F5104" s="30"/>
      <c r="G5104" s="30"/>
      <c r="H5104" s="30"/>
      <c r="I5104" s="30"/>
      <c r="J5104" s="30"/>
      <c r="L5104" s="1">
        <f t="shared" si="1430"/>
        <v>80</v>
      </c>
      <c r="M5104" s="1">
        <f t="shared" si="1431"/>
        <v>100</v>
      </c>
      <c r="N5104" s="1">
        <f t="shared" si="1433"/>
        <v>5</v>
      </c>
      <c r="O5104" s="1">
        <f t="shared" si="1423"/>
        <v>43200000</v>
      </c>
      <c r="P5104" s="5">
        <f t="shared" si="1425"/>
        <v>176472000</v>
      </c>
      <c r="Q5104" s="14">
        <f t="shared" si="1424"/>
        <v>0.1</v>
      </c>
      <c r="R5104" s="14">
        <f t="shared" si="1426"/>
        <v>0.1</v>
      </c>
      <c r="S5104" s="14">
        <f t="shared" si="1427"/>
        <v>0</v>
      </c>
      <c r="T5104" s="14">
        <f t="shared" si="1428"/>
        <v>0.1</v>
      </c>
      <c r="U5104" s="14">
        <f t="shared" si="1429"/>
        <v>0.05</v>
      </c>
      <c r="V5104" s="14">
        <f t="shared" si="1432"/>
        <v>0</v>
      </c>
    </row>
    <row r="5105" spans="2:22">
      <c r="B5105" s="11">
        <v>45</v>
      </c>
      <c r="C5105" s="30"/>
      <c r="D5105" s="30"/>
      <c r="E5105" s="30"/>
      <c r="F5105" s="30"/>
      <c r="G5105" s="43"/>
      <c r="H5105" s="30"/>
      <c r="I5105" s="30"/>
      <c r="J5105" s="43">
        <v>0.05</v>
      </c>
      <c r="L5105" s="1">
        <f t="shared" si="1430"/>
        <v>80</v>
      </c>
      <c r="M5105" s="1">
        <f t="shared" si="1431"/>
        <v>100</v>
      </c>
      <c r="N5105" s="1">
        <f t="shared" si="1433"/>
        <v>5</v>
      </c>
      <c r="O5105" s="1">
        <f t="shared" si="1423"/>
        <v>43200000</v>
      </c>
      <c r="P5105" s="5">
        <f t="shared" si="1425"/>
        <v>219672000</v>
      </c>
      <c r="Q5105" s="14">
        <f t="shared" si="1424"/>
        <v>0.1</v>
      </c>
      <c r="R5105" s="14">
        <f t="shared" si="1426"/>
        <v>0.1</v>
      </c>
      <c r="S5105" s="14">
        <f t="shared" si="1427"/>
        <v>0</v>
      </c>
      <c r="T5105" s="14">
        <f t="shared" si="1428"/>
        <v>0.1</v>
      </c>
      <c r="U5105" s="14">
        <f t="shared" si="1429"/>
        <v>0.05</v>
      </c>
      <c r="V5105" s="14">
        <f t="shared" si="1432"/>
        <v>0.05</v>
      </c>
    </row>
    <row r="5106" spans="2:22">
      <c r="B5106" s="11">
        <v>50</v>
      </c>
      <c r="C5106" s="30"/>
      <c r="D5106" s="30"/>
      <c r="E5106" s="30"/>
      <c r="F5106" s="30"/>
      <c r="G5106" s="30"/>
      <c r="H5106" s="30"/>
      <c r="I5106" s="30"/>
      <c r="J5106" s="30"/>
      <c r="L5106" s="1">
        <f t="shared" si="1430"/>
        <v>80</v>
      </c>
      <c r="M5106" s="1">
        <f t="shared" si="1431"/>
        <v>100</v>
      </c>
      <c r="N5106" s="1">
        <f t="shared" si="1433"/>
        <v>5</v>
      </c>
      <c r="O5106" s="1">
        <f t="shared" si="1423"/>
        <v>43200000</v>
      </c>
      <c r="P5106" s="5">
        <f t="shared" si="1425"/>
        <v>262872000</v>
      </c>
      <c r="Q5106" s="14">
        <f t="shared" si="1424"/>
        <v>0.1</v>
      </c>
      <c r="R5106" s="14">
        <f t="shared" si="1426"/>
        <v>0.1</v>
      </c>
      <c r="S5106" s="14">
        <f t="shared" si="1427"/>
        <v>0</v>
      </c>
      <c r="T5106" s="14">
        <f t="shared" si="1428"/>
        <v>0.1</v>
      </c>
      <c r="U5106" s="14">
        <f t="shared" si="1429"/>
        <v>0.05</v>
      </c>
      <c r="V5106" s="14">
        <f t="shared" si="1432"/>
        <v>0.05</v>
      </c>
    </row>
    <row r="5107" spans="2:22">
      <c r="B5107" s="11">
        <v>55</v>
      </c>
      <c r="C5107" s="30"/>
      <c r="D5107" s="30"/>
      <c r="E5107" s="30"/>
      <c r="F5107" s="30"/>
      <c r="G5107" s="30"/>
      <c r="H5107" s="30"/>
      <c r="I5107" s="30"/>
      <c r="J5107" s="30"/>
      <c r="L5107" s="1">
        <f t="shared" si="1430"/>
        <v>80</v>
      </c>
      <c r="M5107" s="1">
        <f t="shared" si="1431"/>
        <v>100</v>
      </c>
      <c r="N5107" s="1">
        <f t="shared" si="1433"/>
        <v>5</v>
      </c>
      <c r="O5107" s="1">
        <f t="shared" si="1423"/>
        <v>43200000</v>
      </c>
      <c r="P5107" s="5">
        <f t="shared" si="1425"/>
        <v>306072000</v>
      </c>
      <c r="Q5107" s="14">
        <f t="shared" si="1424"/>
        <v>0.1</v>
      </c>
      <c r="R5107" s="14">
        <f t="shared" si="1426"/>
        <v>0.1</v>
      </c>
      <c r="S5107" s="14">
        <f t="shared" si="1427"/>
        <v>0</v>
      </c>
      <c r="T5107" s="14">
        <f t="shared" si="1428"/>
        <v>0.1</v>
      </c>
      <c r="U5107" s="14">
        <f t="shared" si="1429"/>
        <v>0.05</v>
      </c>
      <c r="V5107" s="14">
        <f t="shared" si="1432"/>
        <v>0.05</v>
      </c>
    </row>
    <row r="5108" spans="2:22">
      <c r="B5108" s="11">
        <v>60</v>
      </c>
      <c r="C5108" s="30">
        <v>120</v>
      </c>
      <c r="D5108" s="30">
        <v>150</v>
      </c>
      <c r="E5108" s="43"/>
      <c r="F5108" s="43"/>
      <c r="G5108" s="43">
        <v>0.15</v>
      </c>
      <c r="H5108" s="43"/>
      <c r="I5108" s="43"/>
      <c r="J5108" s="30"/>
      <c r="L5108" s="1">
        <f t="shared" si="1430"/>
        <v>120</v>
      </c>
      <c r="M5108" s="1">
        <f t="shared" si="1431"/>
        <v>150</v>
      </c>
      <c r="N5108" s="1">
        <f t="shared" si="1433"/>
        <v>5</v>
      </c>
      <c r="O5108" s="1">
        <f t="shared" si="1423"/>
        <v>64800000</v>
      </c>
      <c r="P5108" s="5">
        <f t="shared" si="1425"/>
        <v>370872000</v>
      </c>
      <c r="Q5108" s="14">
        <f t="shared" si="1424"/>
        <v>0.1</v>
      </c>
      <c r="R5108" s="14">
        <f t="shared" si="1426"/>
        <v>0.1</v>
      </c>
      <c r="S5108" s="14">
        <f t="shared" si="1427"/>
        <v>0.15</v>
      </c>
      <c r="T5108" s="14">
        <f t="shared" si="1428"/>
        <v>0.1</v>
      </c>
      <c r="U5108" s="14">
        <f t="shared" si="1429"/>
        <v>0.05</v>
      </c>
      <c r="V5108" s="14">
        <f t="shared" si="1432"/>
        <v>0.05</v>
      </c>
    </row>
    <row r="5109" spans="2:22">
      <c r="B5109" s="11">
        <v>65</v>
      </c>
      <c r="C5109" s="30"/>
      <c r="D5109" s="30"/>
      <c r="E5109" s="30"/>
      <c r="F5109" s="30"/>
      <c r="G5109" s="30"/>
      <c r="H5109" s="30"/>
      <c r="I5109" s="30"/>
      <c r="J5109" s="30"/>
      <c r="L5109" s="1">
        <f t="shared" si="1430"/>
        <v>120</v>
      </c>
      <c r="M5109" s="1">
        <f t="shared" si="1431"/>
        <v>150</v>
      </c>
      <c r="N5109" s="1">
        <f t="shared" si="1433"/>
        <v>5</v>
      </c>
      <c r="O5109" s="1">
        <f t="shared" si="1423"/>
        <v>64800000</v>
      </c>
      <c r="P5109" s="5">
        <f t="shared" si="1425"/>
        <v>435672000</v>
      </c>
      <c r="Q5109" s="14">
        <f t="shared" si="1424"/>
        <v>0.1</v>
      </c>
      <c r="R5109" s="14">
        <f t="shared" si="1426"/>
        <v>0.1</v>
      </c>
      <c r="S5109" s="14">
        <f t="shared" si="1427"/>
        <v>0.15</v>
      </c>
      <c r="T5109" s="14">
        <f t="shared" si="1428"/>
        <v>0.1</v>
      </c>
      <c r="U5109" s="14">
        <f t="shared" si="1429"/>
        <v>0.05</v>
      </c>
      <c r="V5109" s="14">
        <f t="shared" si="1432"/>
        <v>0.05</v>
      </c>
    </row>
    <row r="5110" spans="2:22">
      <c r="B5110" s="11">
        <v>70</v>
      </c>
      <c r="C5110" s="30"/>
      <c r="D5110" s="30"/>
      <c r="E5110" s="30"/>
      <c r="F5110" s="30"/>
      <c r="G5110" s="30"/>
      <c r="H5110" s="30"/>
      <c r="I5110" s="30"/>
      <c r="J5110" s="30"/>
      <c r="L5110" s="1">
        <f t="shared" si="1430"/>
        <v>120</v>
      </c>
      <c r="M5110" s="1">
        <f t="shared" si="1431"/>
        <v>150</v>
      </c>
      <c r="N5110" s="1">
        <f t="shared" si="1433"/>
        <v>5</v>
      </c>
      <c r="O5110" s="1">
        <f t="shared" si="1423"/>
        <v>64800000</v>
      </c>
      <c r="P5110" s="5">
        <f t="shared" si="1425"/>
        <v>500472000</v>
      </c>
      <c r="Q5110" s="14">
        <f t="shared" si="1424"/>
        <v>0.1</v>
      </c>
      <c r="R5110" s="14">
        <f t="shared" si="1426"/>
        <v>0.1</v>
      </c>
      <c r="S5110" s="14">
        <f t="shared" si="1427"/>
        <v>0.15</v>
      </c>
      <c r="T5110" s="14">
        <f t="shared" si="1428"/>
        <v>0.1</v>
      </c>
      <c r="U5110" s="14">
        <f t="shared" si="1429"/>
        <v>0.05</v>
      </c>
      <c r="V5110" s="14">
        <f t="shared" si="1432"/>
        <v>0.05</v>
      </c>
    </row>
    <row r="5111" spans="2:22">
      <c r="B5111" s="11">
        <v>75</v>
      </c>
      <c r="C5111" s="30"/>
      <c r="D5111" s="30"/>
      <c r="E5111" s="43"/>
      <c r="F5111" s="43"/>
      <c r="G5111" s="30"/>
      <c r="H5111" s="30"/>
      <c r="I5111" s="30"/>
      <c r="J5111" s="30"/>
      <c r="L5111" s="1">
        <f t="shared" si="1430"/>
        <v>120</v>
      </c>
      <c r="M5111" s="1">
        <f t="shared" si="1431"/>
        <v>150</v>
      </c>
      <c r="N5111" s="1">
        <f t="shared" si="1433"/>
        <v>5</v>
      </c>
      <c r="O5111" s="1">
        <f t="shared" si="1423"/>
        <v>64800000</v>
      </c>
      <c r="P5111" s="5">
        <f t="shared" si="1425"/>
        <v>565272000</v>
      </c>
      <c r="Q5111" s="14">
        <f t="shared" si="1424"/>
        <v>0.1</v>
      </c>
      <c r="R5111" s="14">
        <f t="shared" si="1426"/>
        <v>0.1</v>
      </c>
      <c r="S5111" s="14">
        <f t="shared" si="1427"/>
        <v>0.15</v>
      </c>
      <c r="T5111" s="14">
        <f t="shared" si="1428"/>
        <v>0.1</v>
      </c>
      <c r="U5111" s="14">
        <f t="shared" si="1429"/>
        <v>0.05</v>
      </c>
      <c r="V5111" s="14">
        <f t="shared" si="1432"/>
        <v>0.05</v>
      </c>
    </row>
    <row r="5112" spans="2:22">
      <c r="B5112" s="11">
        <v>80</v>
      </c>
      <c r="C5112" s="30"/>
      <c r="D5112" s="30"/>
      <c r="E5112" s="30"/>
      <c r="F5112" s="30"/>
      <c r="G5112" s="30"/>
      <c r="H5112" s="30"/>
      <c r="I5112" s="30"/>
      <c r="J5112" s="30"/>
      <c r="L5112" s="1">
        <f t="shared" si="1430"/>
        <v>120</v>
      </c>
      <c r="M5112" s="1">
        <f t="shared" si="1431"/>
        <v>150</v>
      </c>
      <c r="N5112" s="1">
        <f t="shared" si="1433"/>
        <v>5</v>
      </c>
      <c r="O5112" s="1">
        <f t="shared" si="1423"/>
        <v>64800000</v>
      </c>
      <c r="P5112" s="5">
        <f t="shared" si="1425"/>
        <v>630072000</v>
      </c>
      <c r="Q5112" s="14">
        <f t="shared" si="1424"/>
        <v>0.1</v>
      </c>
      <c r="R5112" s="14">
        <f t="shared" si="1426"/>
        <v>0.1</v>
      </c>
      <c r="S5112" s="14">
        <f t="shared" si="1427"/>
        <v>0.15</v>
      </c>
      <c r="T5112" s="14">
        <f t="shared" si="1428"/>
        <v>0.1</v>
      </c>
      <c r="U5112" s="14">
        <f t="shared" si="1429"/>
        <v>0.05</v>
      </c>
      <c r="V5112" s="14">
        <f t="shared" si="1432"/>
        <v>0.05</v>
      </c>
    </row>
    <row r="5113" spans="2:22">
      <c r="B5113" s="11">
        <v>85</v>
      </c>
      <c r="C5113" s="30"/>
      <c r="D5113" s="30"/>
      <c r="E5113" s="30"/>
      <c r="F5113" s="30"/>
      <c r="G5113" s="30"/>
      <c r="H5113" s="30"/>
      <c r="I5113" s="30"/>
      <c r="J5113" s="30"/>
      <c r="L5113" s="1">
        <f t="shared" si="1430"/>
        <v>120</v>
      </c>
      <c r="M5113" s="1">
        <f t="shared" si="1431"/>
        <v>150</v>
      </c>
      <c r="N5113" s="1">
        <f t="shared" si="1433"/>
        <v>5</v>
      </c>
      <c r="O5113" s="1">
        <f t="shared" si="1423"/>
        <v>64800000</v>
      </c>
      <c r="P5113" s="5">
        <f t="shared" si="1425"/>
        <v>694872000</v>
      </c>
      <c r="Q5113" s="14">
        <f t="shared" si="1424"/>
        <v>0.1</v>
      </c>
      <c r="R5113" s="14">
        <f t="shared" si="1426"/>
        <v>0.1</v>
      </c>
      <c r="S5113" s="14">
        <f t="shared" si="1427"/>
        <v>0.15</v>
      </c>
      <c r="T5113" s="14">
        <f t="shared" si="1428"/>
        <v>0.1</v>
      </c>
      <c r="U5113" s="14">
        <f t="shared" si="1429"/>
        <v>0.05</v>
      </c>
      <c r="V5113" s="14">
        <f t="shared" si="1432"/>
        <v>0.05</v>
      </c>
    </row>
    <row r="5114" spans="2:22">
      <c r="B5114" s="11">
        <v>90</v>
      </c>
      <c r="C5114" s="30">
        <v>150</v>
      </c>
      <c r="D5114" s="30">
        <v>200</v>
      </c>
      <c r="E5114" s="43">
        <v>0.25</v>
      </c>
      <c r="F5114" s="43">
        <v>0.25</v>
      </c>
      <c r="G5114" s="43"/>
      <c r="H5114" s="30"/>
      <c r="I5114" s="30"/>
      <c r="J5114" s="30"/>
      <c r="L5114" s="1">
        <f t="shared" si="1430"/>
        <v>150</v>
      </c>
      <c r="M5114" s="1">
        <f t="shared" si="1431"/>
        <v>200</v>
      </c>
      <c r="N5114" s="1">
        <f t="shared" si="1433"/>
        <v>5</v>
      </c>
      <c r="O5114" s="1">
        <f t="shared" si="1423"/>
        <v>86400000</v>
      </c>
      <c r="P5114" s="5">
        <f t="shared" si="1425"/>
        <v>781272000</v>
      </c>
      <c r="Q5114" s="14">
        <f t="shared" si="1424"/>
        <v>0.25</v>
      </c>
      <c r="R5114" s="14">
        <f t="shared" si="1426"/>
        <v>0.25</v>
      </c>
      <c r="S5114" s="14">
        <f t="shared" si="1427"/>
        <v>0.15</v>
      </c>
      <c r="T5114" s="14">
        <f t="shared" si="1428"/>
        <v>0.1</v>
      </c>
      <c r="U5114" s="14">
        <f t="shared" si="1429"/>
        <v>0.05</v>
      </c>
      <c r="V5114" s="14">
        <f t="shared" si="1432"/>
        <v>0.05</v>
      </c>
    </row>
    <row r="5115" spans="2:22">
      <c r="B5115" s="11">
        <v>95</v>
      </c>
      <c r="C5115" s="30"/>
      <c r="D5115" s="30"/>
      <c r="E5115" s="30"/>
      <c r="F5115" s="30"/>
      <c r="G5115" s="30"/>
      <c r="H5115" s="30"/>
      <c r="I5115" s="30"/>
      <c r="J5115" s="30"/>
      <c r="L5115" s="1">
        <f t="shared" si="1430"/>
        <v>150</v>
      </c>
      <c r="M5115" s="1">
        <f t="shared" si="1431"/>
        <v>200</v>
      </c>
      <c r="N5115" s="1">
        <f t="shared" si="1433"/>
        <v>5</v>
      </c>
      <c r="O5115" s="1">
        <f t="shared" si="1423"/>
        <v>86400000</v>
      </c>
      <c r="P5115" s="5">
        <f t="shared" si="1425"/>
        <v>867672000</v>
      </c>
      <c r="Q5115" s="14">
        <f t="shared" si="1424"/>
        <v>0.25</v>
      </c>
      <c r="R5115" s="14">
        <f t="shared" si="1426"/>
        <v>0.25</v>
      </c>
      <c r="S5115" s="14">
        <f t="shared" si="1427"/>
        <v>0.15</v>
      </c>
      <c r="T5115" s="14">
        <f t="shared" si="1428"/>
        <v>0.1</v>
      </c>
      <c r="U5115" s="14">
        <f t="shared" si="1429"/>
        <v>0.05</v>
      </c>
      <c r="V5115" s="14">
        <f t="shared" si="1432"/>
        <v>0.05</v>
      </c>
    </row>
    <row r="5116" spans="2:22">
      <c r="B5116" s="11">
        <v>100</v>
      </c>
      <c r="C5116" s="30"/>
      <c r="D5116" s="30"/>
      <c r="E5116" s="30"/>
      <c r="F5116" s="30"/>
      <c r="G5116" s="30"/>
      <c r="H5116" s="30"/>
      <c r="I5116" s="30"/>
      <c r="J5116" s="30"/>
      <c r="L5116" s="1">
        <f t="shared" si="1430"/>
        <v>150</v>
      </c>
      <c r="M5116" s="1">
        <f t="shared" si="1431"/>
        <v>200</v>
      </c>
      <c r="N5116" s="1">
        <f t="shared" si="1433"/>
        <v>5</v>
      </c>
      <c r="O5116" s="1">
        <f t="shared" si="1423"/>
        <v>86400000</v>
      </c>
      <c r="P5116" s="5">
        <f t="shared" si="1425"/>
        <v>954072000</v>
      </c>
      <c r="Q5116" s="14">
        <f t="shared" si="1424"/>
        <v>0.25</v>
      </c>
      <c r="R5116" s="14">
        <f t="shared" si="1426"/>
        <v>0.25</v>
      </c>
      <c r="S5116" s="14">
        <f t="shared" si="1427"/>
        <v>0.15</v>
      </c>
      <c r="T5116" s="14">
        <f t="shared" si="1428"/>
        <v>0.1</v>
      </c>
      <c r="U5116" s="14">
        <f t="shared" si="1429"/>
        <v>0.05</v>
      </c>
      <c r="V5116" s="14">
        <f t="shared" si="1432"/>
        <v>0.05</v>
      </c>
    </row>
    <row r="5117" spans="2:22">
      <c r="B5117" s="11">
        <v>105</v>
      </c>
      <c r="C5117" s="30"/>
      <c r="D5117" s="30"/>
      <c r="E5117" s="30"/>
      <c r="F5117" s="30"/>
      <c r="G5117" s="43"/>
      <c r="H5117" s="43">
        <v>0.25</v>
      </c>
      <c r="I5117" s="30"/>
      <c r="J5117" s="30"/>
      <c r="L5117" s="1">
        <f t="shared" si="1430"/>
        <v>150</v>
      </c>
      <c r="M5117" s="1">
        <f t="shared" si="1431"/>
        <v>200</v>
      </c>
      <c r="N5117" s="1">
        <f t="shared" si="1433"/>
        <v>5</v>
      </c>
      <c r="O5117" s="1">
        <f t="shared" si="1423"/>
        <v>86400000</v>
      </c>
      <c r="P5117" s="5">
        <f t="shared" si="1425"/>
        <v>1040472000</v>
      </c>
      <c r="Q5117" s="14">
        <f t="shared" si="1424"/>
        <v>0.25</v>
      </c>
      <c r="R5117" s="14">
        <f t="shared" si="1426"/>
        <v>0.25</v>
      </c>
      <c r="S5117" s="14">
        <f t="shared" si="1427"/>
        <v>0.15</v>
      </c>
      <c r="T5117" s="14">
        <f t="shared" si="1428"/>
        <v>0.25</v>
      </c>
      <c r="U5117" s="14">
        <f t="shared" si="1429"/>
        <v>0.05</v>
      </c>
      <c r="V5117" s="14">
        <f t="shared" si="1432"/>
        <v>0.05</v>
      </c>
    </row>
    <row r="5118" spans="2:22">
      <c r="B5118" s="11">
        <v>110</v>
      </c>
      <c r="C5118" s="30"/>
      <c r="D5118" s="30"/>
      <c r="E5118" s="30"/>
      <c r="F5118" s="30"/>
      <c r="G5118" s="30"/>
      <c r="H5118" s="30"/>
      <c r="I5118" s="30"/>
      <c r="J5118" s="30"/>
      <c r="L5118" s="1">
        <f t="shared" si="1430"/>
        <v>150</v>
      </c>
      <c r="M5118" s="1">
        <f t="shared" si="1431"/>
        <v>200</v>
      </c>
      <c r="N5118" s="1">
        <f t="shared" si="1433"/>
        <v>5</v>
      </c>
      <c r="O5118" s="1">
        <f t="shared" si="1423"/>
        <v>86400000</v>
      </c>
      <c r="P5118" s="5">
        <f t="shared" si="1425"/>
        <v>1126872000</v>
      </c>
      <c r="Q5118" s="14">
        <f t="shared" si="1424"/>
        <v>0.25</v>
      </c>
      <c r="R5118" s="14">
        <f t="shared" si="1426"/>
        <v>0.25</v>
      </c>
      <c r="S5118" s="14">
        <f t="shared" si="1427"/>
        <v>0.15</v>
      </c>
      <c r="T5118" s="14">
        <f t="shared" si="1428"/>
        <v>0.25</v>
      </c>
      <c r="U5118" s="14">
        <f t="shared" si="1429"/>
        <v>0.05</v>
      </c>
      <c r="V5118" s="14">
        <f t="shared" si="1432"/>
        <v>0.05</v>
      </c>
    </row>
    <row r="5119" spans="2:22">
      <c r="B5119" s="11">
        <v>115</v>
      </c>
      <c r="C5119" s="30"/>
      <c r="D5119" s="30"/>
      <c r="E5119" s="30"/>
      <c r="F5119" s="30"/>
      <c r="G5119" s="30"/>
      <c r="H5119" s="30"/>
      <c r="I5119" s="30"/>
      <c r="J5119" s="30"/>
      <c r="L5119" s="1">
        <f t="shared" si="1430"/>
        <v>150</v>
      </c>
      <c r="M5119" s="1">
        <f t="shared" si="1431"/>
        <v>200</v>
      </c>
      <c r="N5119" s="1">
        <f t="shared" si="1433"/>
        <v>5</v>
      </c>
      <c r="O5119" s="1">
        <f t="shared" si="1423"/>
        <v>86400000</v>
      </c>
      <c r="P5119" s="5">
        <f t="shared" si="1425"/>
        <v>1213272000</v>
      </c>
      <c r="Q5119" s="14">
        <f t="shared" si="1424"/>
        <v>0.25</v>
      </c>
      <c r="R5119" s="14">
        <f t="shared" si="1426"/>
        <v>0.25</v>
      </c>
      <c r="S5119" s="14">
        <f t="shared" si="1427"/>
        <v>0.15</v>
      </c>
      <c r="T5119" s="14">
        <f t="shared" si="1428"/>
        <v>0.25</v>
      </c>
      <c r="U5119" s="14">
        <f t="shared" si="1429"/>
        <v>0.05</v>
      </c>
      <c r="V5119" s="14">
        <f t="shared" si="1432"/>
        <v>0.05</v>
      </c>
    </row>
    <row r="5120" spans="2:22">
      <c r="B5120" s="11">
        <v>120</v>
      </c>
      <c r="C5120" s="30"/>
      <c r="D5120" s="30"/>
      <c r="E5120" s="30"/>
      <c r="F5120" s="30"/>
      <c r="G5120" s="30"/>
      <c r="H5120" s="43"/>
      <c r="I5120" s="43">
        <v>0.15</v>
      </c>
      <c r="J5120" s="30"/>
      <c r="L5120" s="1">
        <f t="shared" si="1430"/>
        <v>150</v>
      </c>
      <c r="M5120" s="1">
        <f t="shared" si="1431"/>
        <v>200</v>
      </c>
      <c r="N5120" s="1">
        <f t="shared" si="1433"/>
        <v>5</v>
      </c>
      <c r="O5120" s="1">
        <f t="shared" si="1423"/>
        <v>86400000</v>
      </c>
      <c r="P5120" s="5">
        <f t="shared" si="1425"/>
        <v>1299672000</v>
      </c>
      <c r="Q5120" s="14">
        <f t="shared" si="1424"/>
        <v>0.25</v>
      </c>
      <c r="R5120" s="14">
        <f t="shared" si="1426"/>
        <v>0.25</v>
      </c>
      <c r="S5120" s="14">
        <f t="shared" si="1427"/>
        <v>0.15</v>
      </c>
      <c r="T5120" s="14">
        <f t="shared" si="1428"/>
        <v>0.25</v>
      </c>
      <c r="U5120" s="14">
        <f t="shared" si="1429"/>
        <v>0.15</v>
      </c>
      <c r="V5120" s="14">
        <f t="shared" si="1432"/>
        <v>0.05</v>
      </c>
    </row>
    <row r="5121" spans="2:22">
      <c r="B5121" s="12">
        <v>150</v>
      </c>
      <c r="C5121" s="30">
        <v>200</v>
      </c>
      <c r="D5121" s="30">
        <v>300</v>
      </c>
      <c r="E5121" s="30"/>
      <c r="F5121" s="30"/>
      <c r="G5121" s="43">
        <v>0.35</v>
      </c>
      <c r="H5121" s="43"/>
      <c r="I5121" s="30"/>
      <c r="J5121" s="30"/>
      <c r="L5121" s="1">
        <f t="shared" ref="L5121:L5128" si="1434">IF(C5121="",L5120,C5121)</f>
        <v>200</v>
      </c>
      <c r="M5121" s="1">
        <f t="shared" ref="M5121:M5128" si="1435">IF(D5121="",M5120,D5121)</f>
        <v>300</v>
      </c>
      <c r="N5121" s="1">
        <f t="shared" si="1433"/>
        <v>30</v>
      </c>
      <c r="O5121" s="1">
        <f t="shared" si="1423"/>
        <v>777600000</v>
      </c>
      <c r="P5121" s="5">
        <f t="shared" si="1425"/>
        <v>2077272000</v>
      </c>
      <c r="Q5121" s="14">
        <f t="shared" si="1424"/>
        <v>0.25</v>
      </c>
      <c r="R5121" s="14">
        <f t="shared" si="1426"/>
        <v>0.25</v>
      </c>
      <c r="S5121" s="14">
        <f t="shared" si="1427"/>
        <v>0.35</v>
      </c>
      <c r="T5121" s="14">
        <f t="shared" si="1428"/>
        <v>0.25</v>
      </c>
      <c r="U5121" s="14">
        <f t="shared" si="1429"/>
        <v>0.15</v>
      </c>
      <c r="V5121" s="14">
        <f t="shared" ref="V5121:V5128" si="1436">IF(J5121="",V5120,J5121)</f>
        <v>0.05</v>
      </c>
    </row>
    <row r="5122" spans="2:22">
      <c r="B5122" s="12">
        <v>180</v>
      </c>
      <c r="C5122" s="30"/>
      <c r="D5122" s="30"/>
      <c r="E5122" s="30"/>
      <c r="F5122" s="30"/>
      <c r="G5122" s="30"/>
      <c r="H5122" s="30"/>
      <c r="I5122" s="30"/>
      <c r="J5122" s="43">
        <v>0.15</v>
      </c>
      <c r="L5122" s="1">
        <f t="shared" si="1434"/>
        <v>200</v>
      </c>
      <c r="M5122" s="1">
        <f t="shared" si="1435"/>
        <v>300</v>
      </c>
      <c r="N5122" s="1">
        <f t="shared" ref="N5122:N5128" si="1437">B5122-B5121</f>
        <v>30</v>
      </c>
      <c r="O5122" s="1">
        <f t="shared" ref="O5122:O5128" si="1438">N5122*M5122*3600*24</f>
        <v>777600000</v>
      </c>
      <c r="P5122" s="5">
        <f t="shared" si="1425"/>
        <v>2854872000</v>
      </c>
      <c r="Q5122" s="14">
        <f t="shared" ref="Q5122:Q5128" si="1439">IF(E5122="",Q5121,E5122)</f>
        <v>0.25</v>
      </c>
      <c r="R5122" s="14">
        <f t="shared" si="1426"/>
        <v>0.25</v>
      </c>
      <c r="S5122" s="14">
        <f t="shared" si="1427"/>
        <v>0.35</v>
      </c>
      <c r="T5122" s="14">
        <f t="shared" si="1428"/>
        <v>0.25</v>
      </c>
      <c r="U5122" s="14">
        <f t="shared" si="1429"/>
        <v>0.15</v>
      </c>
      <c r="V5122" s="14">
        <f t="shared" si="1436"/>
        <v>0.15</v>
      </c>
    </row>
    <row r="5123" spans="2:22">
      <c r="B5123" s="12">
        <v>210</v>
      </c>
      <c r="C5123" s="30"/>
      <c r="D5123" s="30"/>
      <c r="E5123" s="30"/>
      <c r="F5123" s="30"/>
      <c r="G5123" s="30"/>
      <c r="H5123" s="30"/>
      <c r="I5123" s="30"/>
      <c r="J5123" s="30"/>
      <c r="L5123" s="1">
        <f t="shared" si="1434"/>
        <v>200</v>
      </c>
      <c r="M5123" s="1">
        <f t="shared" si="1435"/>
        <v>300</v>
      </c>
      <c r="N5123" s="1">
        <f t="shared" si="1437"/>
        <v>30</v>
      </c>
      <c r="O5123" s="1">
        <f t="shared" si="1438"/>
        <v>777600000</v>
      </c>
      <c r="P5123" s="5">
        <f t="shared" ref="P5123:P5128" si="1440">P5122+O5123</f>
        <v>3632472000</v>
      </c>
      <c r="Q5123" s="14">
        <f t="shared" si="1439"/>
        <v>0.25</v>
      </c>
      <c r="R5123" s="14">
        <f t="shared" si="1426"/>
        <v>0.25</v>
      </c>
      <c r="S5123" s="14">
        <f t="shared" si="1427"/>
        <v>0.35</v>
      </c>
      <c r="T5123" s="14">
        <f t="shared" si="1428"/>
        <v>0.25</v>
      </c>
      <c r="U5123" s="14">
        <f t="shared" si="1429"/>
        <v>0.15</v>
      </c>
      <c r="V5123" s="14">
        <f t="shared" si="1436"/>
        <v>0.15</v>
      </c>
    </row>
    <row r="5124" spans="2:22">
      <c r="B5124" s="12">
        <v>240</v>
      </c>
      <c r="C5124" s="30">
        <v>250</v>
      </c>
      <c r="D5124" s="30">
        <v>400</v>
      </c>
      <c r="E5124" s="30"/>
      <c r="F5124" s="30"/>
      <c r="G5124" s="30"/>
      <c r="H5124" s="43"/>
      <c r="I5124" s="30"/>
      <c r="J5124" s="30"/>
      <c r="L5124" s="1">
        <f t="shared" si="1434"/>
        <v>250</v>
      </c>
      <c r="M5124" s="1">
        <f t="shared" si="1435"/>
        <v>400</v>
      </c>
      <c r="N5124" s="1">
        <f t="shared" si="1437"/>
        <v>30</v>
      </c>
      <c r="O5124" s="1">
        <f t="shared" si="1438"/>
        <v>1036800000</v>
      </c>
      <c r="P5124" s="5">
        <f t="shared" si="1440"/>
        <v>4669272000</v>
      </c>
      <c r="Q5124" s="14">
        <f t="shared" si="1439"/>
        <v>0.25</v>
      </c>
      <c r="R5124" s="14">
        <f t="shared" si="1426"/>
        <v>0.25</v>
      </c>
      <c r="S5124" s="14">
        <f t="shared" si="1427"/>
        <v>0.35</v>
      </c>
      <c r="T5124" s="14">
        <f t="shared" si="1428"/>
        <v>0.25</v>
      </c>
      <c r="U5124" s="14">
        <f t="shared" si="1429"/>
        <v>0.15</v>
      </c>
      <c r="V5124" s="14">
        <f t="shared" si="1436"/>
        <v>0.15</v>
      </c>
    </row>
    <row r="5125" spans="2:22">
      <c r="B5125" s="12">
        <v>270</v>
      </c>
      <c r="C5125" s="30"/>
      <c r="D5125" s="30"/>
      <c r="E5125" s="30"/>
      <c r="F5125" s="30"/>
      <c r="G5125" s="30"/>
      <c r="H5125" s="30"/>
      <c r="I5125" s="30"/>
      <c r="J5125" s="30"/>
      <c r="L5125" s="1">
        <f t="shared" si="1434"/>
        <v>250</v>
      </c>
      <c r="M5125" s="1">
        <f t="shared" si="1435"/>
        <v>400</v>
      </c>
      <c r="N5125" s="1">
        <f t="shared" si="1437"/>
        <v>30</v>
      </c>
      <c r="O5125" s="1">
        <f t="shared" si="1438"/>
        <v>1036800000</v>
      </c>
      <c r="P5125" s="5">
        <f t="shared" si="1440"/>
        <v>5706072000</v>
      </c>
      <c r="Q5125" s="14">
        <f t="shared" si="1439"/>
        <v>0.25</v>
      </c>
      <c r="R5125" s="14">
        <f t="shared" si="1426"/>
        <v>0.25</v>
      </c>
      <c r="S5125" s="14">
        <f t="shared" si="1427"/>
        <v>0.35</v>
      </c>
      <c r="T5125" s="14">
        <f t="shared" si="1428"/>
        <v>0.25</v>
      </c>
      <c r="U5125" s="14">
        <f t="shared" si="1429"/>
        <v>0.15</v>
      </c>
      <c r="V5125" s="14">
        <f t="shared" si="1436"/>
        <v>0.15</v>
      </c>
    </row>
    <row r="5126" spans="2:22">
      <c r="B5126" s="12">
        <v>300</v>
      </c>
      <c r="C5126" s="30"/>
      <c r="D5126" s="30"/>
      <c r="E5126" s="30"/>
      <c r="F5126" s="30"/>
      <c r="G5126" s="30"/>
      <c r="H5126" s="30"/>
      <c r="I5126" s="30"/>
      <c r="J5126" s="30"/>
      <c r="L5126" s="1">
        <f t="shared" si="1434"/>
        <v>250</v>
      </c>
      <c r="M5126" s="1">
        <f t="shared" si="1435"/>
        <v>400</v>
      </c>
      <c r="N5126" s="1">
        <f t="shared" si="1437"/>
        <v>30</v>
      </c>
      <c r="O5126" s="1">
        <f t="shared" si="1438"/>
        <v>1036800000</v>
      </c>
      <c r="P5126" s="5">
        <f t="shared" si="1440"/>
        <v>6742872000</v>
      </c>
      <c r="Q5126" s="14">
        <f t="shared" si="1439"/>
        <v>0.25</v>
      </c>
      <c r="R5126" s="14">
        <f t="shared" si="1426"/>
        <v>0.25</v>
      </c>
      <c r="S5126" s="14">
        <f t="shared" si="1427"/>
        <v>0.35</v>
      </c>
      <c r="T5126" s="14">
        <f t="shared" si="1428"/>
        <v>0.25</v>
      </c>
      <c r="U5126" s="14">
        <f t="shared" si="1429"/>
        <v>0.15</v>
      </c>
      <c r="V5126" s="14">
        <f t="shared" si="1436"/>
        <v>0.15</v>
      </c>
    </row>
    <row r="5127" spans="2:22">
      <c r="B5127" s="12">
        <v>330</v>
      </c>
      <c r="C5127" s="30"/>
      <c r="D5127" s="30"/>
      <c r="E5127" s="30"/>
      <c r="F5127" s="30"/>
      <c r="G5127" s="30"/>
      <c r="H5127" s="30"/>
      <c r="I5127" s="30"/>
      <c r="J5127" s="30"/>
      <c r="L5127" s="1">
        <f t="shared" si="1434"/>
        <v>250</v>
      </c>
      <c r="M5127" s="1">
        <f t="shared" si="1435"/>
        <v>400</v>
      </c>
      <c r="N5127" s="1">
        <f t="shared" si="1437"/>
        <v>30</v>
      </c>
      <c r="O5127" s="1">
        <f t="shared" si="1438"/>
        <v>1036800000</v>
      </c>
      <c r="P5127" s="5">
        <f t="shared" si="1440"/>
        <v>7779672000</v>
      </c>
      <c r="Q5127" s="14">
        <f t="shared" si="1439"/>
        <v>0.25</v>
      </c>
      <c r="R5127" s="14">
        <f t="shared" si="1426"/>
        <v>0.25</v>
      </c>
      <c r="S5127" s="14">
        <f t="shared" si="1427"/>
        <v>0.35</v>
      </c>
      <c r="T5127" s="14">
        <f t="shared" si="1428"/>
        <v>0.25</v>
      </c>
      <c r="U5127" s="14">
        <f t="shared" si="1429"/>
        <v>0.15</v>
      </c>
      <c r="V5127" s="14">
        <f t="shared" si="1436"/>
        <v>0.15</v>
      </c>
    </row>
    <row r="5128" spans="2:22">
      <c r="B5128" s="12">
        <v>360</v>
      </c>
      <c r="C5128" s="30">
        <v>250</v>
      </c>
      <c r="D5128" s="30">
        <v>500</v>
      </c>
      <c r="E5128" s="30"/>
      <c r="F5128" s="30"/>
      <c r="G5128" s="30"/>
      <c r="H5128" s="30"/>
      <c r="I5128" s="30"/>
      <c r="J5128" s="30"/>
      <c r="L5128" s="1">
        <f t="shared" si="1434"/>
        <v>250</v>
      </c>
      <c r="M5128" s="1">
        <f t="shared" si="1435"/>
        <v>500</v>
      </c>
      <c r="N5128" s="1">
        <f t="shared" si="1437"/>
        <v>30</v>
      </c>
      <c r="O5128" s="1">
        <f t="shared" si="1438"/>
        <v>1296000000</v>
      </c>
      <c r="P5128" s="5">
        <f t="shared" si="1440"/>
        <v>9075672000</v>
      </c>
      <c r="Q5128" s="14">
        <f t="shared" si="1439"/>
        <v>0.25</v>
      </c>
      <c r="R5128" s="14">
        <f t="shared" si="1426"/>
        <v>0.25</v>
      </c>
      <c r="S5128" s="14">
        <f t="shared" si="1427"/>
        <v>0.35</v>
      </c>
      <c r="T5128" s="14">
        <f t="shared" si="1428"/>
        <v>0.25</v>
      </c>
      <c r="U5128" s="14">
        <f t="shared" si="1429"/>
        <v>0.15</v>
      </c>
      <c r="V5128" s="14">
        <f t="shared" si="1436"/>
        <v>0.15</v>
      </c>
    </row>
    <row r="5131" s="25" customFormat="1" spans="1:3">
      <c r="A5131" s="2" t="s">
        <v>701</v>
      </c>
      <c r="B5131" s="2"/>
      <c r="C5131" s="41" t="s">
        <v>436</v>
      </c>
    </row>
    <row r="5133" spans="2:12">
      <c r="B5133" s="27" t="s">
        <v>2480</v>
      </c>
      <c r="C5133" s="27"/>
      <c r="D5133" s="27"/>
      <c r="E5133" s="27"/>
      <c r="F5133" s="27"/>
      <c r="G5133" s="27"/>
      <c r="H5133" s="27"/>
      <c r="I5133" s="27"/>
      <c r="J5133" s="27"/>
      <c r="K5133" s="27"/>
      <c r="L5133" s="27"/>
    </row>
    <row r="5135" spans="3:5">
      <c r="C5135" s="1" t="s">
        <v>516</v>
      </c>
      <c r="D5135" s="1" t="s">
        <v>29</v>
      </c>
      <c r="E5135" s="1" t="s">
        <v>31</v>
      </c>
    </row>
    <row r="5136" spans="2:5">
      <c r="B5136" s="1" t="s">
        <v>611</v>
      </c>
      <c r="C5136" s="131">
        <f>D5136/总规划!$D$249</f>
        <v>0.5</v>
      </c>
      <c r="D5136" s="30">
        <v>600</v>
      </c>
      <c r="E5136" s="4">
        <f>D5136/总规划!$D$255</f>
        <v>1200</v>
      </c>
    </row>
    <row r="5137" spans="2:5">
      <c r="B5137" s="1" t="s">
        <v>612</v>
      </c>
      <c r="C5137" s="131">
        <f>D5137/总规划!$D$249</f>
        <v>1.5</v>
      </c>
      <c r="D5137" s="30">
        <v>1800</v>
      </c>
      <c r="E5137" s="4">
        <f>D5137/总规划!$D$255</f>
        <v>3600</v>
      </c>
    </row>
    <row r="5138" spans="2:5">
      <c r="B5138" s="1" t="s">
        <v>2481</v>
      </c>
      <c r="C5138" s="131">
        <f>D5138/总规划!$D$249</f>
        <v>0.416666666666667</v>
      </c>
      <c r="D5138" s="30">
        <v>500</v>
      </c>
      <c r="E5138" s="30">
        <v>500</v>
      </c>
    </row>
    <row r="5141" s="25" customFormat="1" spans="1:3">
      <c r="A5141" s="2" t="s">
        <v>702</v>
      </c>
      <c r="B5141" s="2"/>
      <c r="C5141" s="41" t="s">
        <v>436</v>
      </c>
    </row>
    <row r="5143" spans="2:12">
      <c r="B5143" s="27" t="s">
        <v>2482</v>
      </c>
      <c r="C5143" s="27"/>
      <c r="D5143" s="27"/>
      <c r="E5143" s="27"/>
      <c r="F5143" s="27"/>
      <c r="G5143" s="27"/>
      <c r="H5143" s="27"/>
      <c r="I5143" s="27"/>
      <c r="J5143" s="27"/>
      <c r="K5143" s="27"/>
      <c r="L5143" s="27"/>
    </row>
    <row r="5145" spans="2:5">
      <c r="B5145" s="1" t="s">
        <v>1736</v>
      </c>
      <c r="C5145" s="1" t="s">
        <v>450</v>
      </c>
      <c r="D5145" s="30">
        <v>150</v>
      </c>
      <c r="E5145" s="1" t="s">
        <v>702</v>
      </c>
    </row>
    <row r="5147" spans="2:12">
      <c r="B5147" s="27" t="s">
        <v>2483</v>
      </c>
      <c r="C5147" s="27"/>
      <c r="D5147" s="27"/>
      <c r="E5147" s="27"/>
      <c r="F5147" s="27"/>
      <c r="G5147" s="27"/>
      <c r="H5147" s="27"/>
      <c r="I5147" s="27"/>
      <c r="J5147" s="27"/>
      <c r="K5147" s="27"/>
      <c r="L5147" s="27"/>
    </row>
    <row r="5149" spans="2:12">
      <c r="B5149" s="4" t="s">
        <v>1527</v>
      </c>
      <c r="E5149" s="4" t="s">
        <v>607</v>
      </c>
      <c r="F5149" s="4"/>
      <c r="G5149" s="4"/>
      <c r="H5149" s="4" t="s">
        <v>1528</v>
      </c>
      <c r="I5149" s="1" t="s">
        <v>2484</v>
      </c>
      <c r="J5149" s="1" t="s">
        <v>1530</v>
      </c>
      <c r="K5149" s="4" t="s">
        <v>1741</v>
      </c>
      <c r="L5149" s="4" t="s">
        <v>1745</v>
      </c>
    </row>
    <row r="5150" spans="2:12">
      <c r="B5150" s="4" t="s">
        <v>2485</v>
      </c>
      <c r="E5150" s="4" t="s">
        <v>1752</v>
      </c>
      <c r="F5150" s="4"/>
      <c r="G5150" s="4"/>
      <c r="H5150" s="4">
        <v>1</v>
      </c>
      <c r="I5150" s="1">
        <f t="shared" ref="I5150:I5152" si="1441">$F$5200/1000000*10000</f>
        <v>10</v>
      </c>
      <c r="J5150" s="30">
        <v>50</v>
      </c>
      <c r="K5150" s="4" t="s">
        <v>2486</v>
      </c>
      <c r="L5150" s="4">
        <f>I5150*J5150</f>
        <v>500</v>
      </c>
    </row>
    <row r="5151" spans="2:12">
      <c r="B5151" s="4" t="s">
        <v>2487</v>
      </c>
      <c r="E5151" s="4" t="s">
        <v>1759</v>
      </c>
      <c r="F5151" s="4"/>
      <c r="G5151" s="4"/>
      <c r="H5151" s="4">
        <v>1</v>
      </c>
      <c r="I5151" s="1">
        <f t="shared" si="1441"/>
        <v>10</v>
      </c>
      <c r="J5151" s="30">
        <v>50</v>
      </c>
      <c r="K5151" s="4" t="s">
        <v>2486</v>
      </c>
      <c r="L5151" s="4">
        <f t="shared" ref="L5151:L5170" si="1442">I5151*J5151</f>
        <v>500</v>
      </c>
    </row>
    <row r="5152" spans="2:12">
      <c r="B5152" s="4" t="s">
        <v>2488</v>
      </c>
      <c r="E5152" s="4" t="s">
        <v>1766</v>
      </c>
      <c r="F5152" s="4"/>
      <c r="G5152" s="4"/>
      <c r="H5152" s="4">
        <v>1</v>
      </c>
      <c r="I5152" s="1">
        <f t="shared" si="1441"/>
        <v>10</v>
      </c>
      <c r="J5152" s="30">
        <v>50</v>
      </c>
      <c r="K5152" s="4" t="s">
        <v>2486</v>
      </c>
      <c r="L5152" s="4">
        <f t="shared" si="1442"/>
        <v>500</v>
      </c>
    </row>
    <row r="5153" s="15" customFormat="1" spans="2:12">
      <c r="B5153" s="16" t="s">
        <v>2489</v>
      </c>
      <c r="E5153" s="16" t="s">
        <v>2490</v>
      </c>
      <c r="F5153" s="16"/>
      <c r="G5153" s="16"/>
      <c r="H5153" s="16">
        <v>1</v>
      </c>
      <c r="I5153" s="15">
        <f>$F$5201/1440*1</f>
        <v>3</v>
      </c>
      <c r="J5153" s="30">
        <v>50</v>
      </c>
      <c r="K5153" s="16" t="s">
        <v>2486</v>
      </c>
      <c r="L5153" s="16">
        <f t="shared" si="1442"/>
        <v>150</v>
      </c>
    </row>
    <row r="5154" s="15" customFormat="1" spans="2:12">
      <c r="B5154" s="16" t="s">
        <v>2491</v>
      </c>
      <c r="E5154" s="16" t="s">
        <v>1864</v>
      </c>
      <c r="F5154" s="16"/>
      <c r="G5154" s="16"/>
      <c r="H5154" s="16">
        <v>1</v>
      </c>
      <c r="I5154" s="15">
        <f>$F$5201/1440*15</f>
        <v>45</v>
      </c>
      <c r="J5154" s="30">
        <v>50</v>
      </c>
      <c r="K5154" s="16" t="s">
        <v>2486</v>
      </c>
      <c r="L5154" s="16">
        <f t="shared" si="1442"/>
        <v>2250</v>
      </c>
    </row>
    <row r="5155" s="15" customFormat="1" spans="2:12">
      <c r="B5155" s="16" t="s">
        <v>2492</v>
      </c>
      <c r="E5155" s="16" t="s">
        <v>1866</v>
      </c>
      <c r="F5155" s="16"/>
      <c r="G5155" s="16"/>
      <c r="H5155" s="16">
        <v>1</v>
      </c>
      <c r="I5155" s="15">
        <f>$F$5201/1440*60</f>
        <v>180</v>
      </c>
      <c r="J5155" s="30">
        <v>50</v>
      </c>
      <c r="K5155" s="16" t="s">
        <v>2486</v>
      </c>
      <c r="L5155" s="16">
        <f t="shared" si="1442"/>
        <v>9000</v>
      </c>
    </row>
    <row r="5156" s="15" customFormat="1" spans="2:12">
      <c r="B5156" s="16" t="s">
        <v>2493</v>
      </c>
      <c r="E5156" s="16" t="s">
        <v>2494</v>
      </c>
      <c r="F5156" s="16"/>
      <c r="G5156" s="16"/>
      <c r="H5156" s="16">
        <v>1</v>
      </c>
      <c r="I5156" s="15">
        <f>$F$5201/1440*180</f>
        <v>540</v>
      </c>
      <c r="J5156" s="30">
        <v>50</v>
      </c>
      <c r="K5156" s="16" t="s">
        <v>2486</v>
      </c>
      <c r="L5156" s="16">
        <f t="shared" si="1442"/>
        <v>27000</v>
      </c>
    </row>
    <row r="5157" spans="2:12">
      <c r="B5157" s="4" t="s">
        <v>2495</v>
      </c>
      <c r="E5157" s="4" t="s">
        <v>143</v>
      </c>
      <c r="F5157" s="4"/>
      <c r="G5157" s="4"/>
      <c r="H5157" s="4">
        <v>1</v>
      </c>
      <c r="I5157" s="1">
        <f>$F$5225</f>
        <v>3</v>
      </c>
      <c r="J5157" s="30">
        <v>50</v>
      </c>
      <c r="K5157" s="4" t="s">
        <v>2486</v>
      </c>
      <c r="L5157" s="4">
        <f t="shared" si="1442"/>
        <v>150</v>
      </c>
    </row>
    <row r="5158" spans="2:12">
      <c r="B5158" s="4" t="s">
        <v>2496</v>
      </c>
      <c r="E5158" s="4" t="s">
        <v>147</v>
      </c>
      <c r="F5158" s="4"/>
      <c r="G5158" s="4"/>
      <c r="H5158" s="4">
        <v>1</v>
      </c>
      <c r="I5158" s="1">
        <f>$F$5226</f>
        <v>12</v>
      </c>
      <c r="J5158" s="30">
        <v>50</v>
      </c>
      <c r="K5158" s="4" t="s">
        <v>2486</v>
      </c>
      <c r="L5158" s="4">
        <f t="shared" si="1442"/>
        <v>600</v>
      </c>
    </row>
    <row r="5159" spans="2:12">
      <c r="B5159" s="4" t="s">
        <v>2497</v>
      </c>
      <c r="E5159" s="4" t="s">
        <v>154</v>
      </c>
      <c r="F5159" s="4"/>
      <c r="G5159" s="4"/>
      <c r="H5159" s="4">
        <v>1</v>
      </c>
      <c r="I5159" s="1">
        <f>$F$5227</f>
        <v>60</v>
      </c>
      <c r="J5159" s="30">
        <v>50</v>
      </c>
      <c r="K5159" s="4" t="s">
        <v>2486</v>
      </c>
      <c r="L5159" s="4">
        <f t="shared" si="1442"/>
        <v>3000</v>
      </c>
    </row>
    <row r="5160" spans="2:12">
      <c r="B5160" s="4" t="s">
        <v>2498</v>
      </c>
      <c r="E5160" s="4" t="s">
        <v>801</v>
      </c>
      <c r="F5160" s="4"/>
      <c r="G5160" s="4"/>
      <c r="H5160" s="4">
        <v>1</v>
      </c>
      <c r="I5160" s="1">
        <f>$F$5228</f>
        <v>105</v>
      </c>
      <c r="J5160" s="30">
        <v>50</v>
      </c>
      <c r="K5160" s="4" t="s">
        <v>2486</v>
      </c>
      <c r="L5160" s="4">
        <f t="shared" si="1442"/>
        <v>5250</v>
      </c>
    </row>
    <row r="5161" spans="2:12">
      <c r="B5161" s="4" t="s">
        <v>2499</v>
      </c>
      <c r="E5161" s="4" t="s">
        <v>802</v>
      </c>
      <c r="F5161" s="4"/>
      <c r="G5161" s="4"/>
      <c r="H5161" s="4">
        <v>1</v>
      </c>
      <c r="I5161" s="1">
        <f>$F$5229</f>
        <v>150</v>
      </c>
      <c r="J5161" s="30">
        <v>50</v>
      </c>
      <c r="K5161" s="4" t="s">
        <v>2486</v>
      </c>
      <c r="L5161" s="4">
        <f t="shared" si="1442"/>
        <v>7500</v>
      </c>
    </row>
    <row r="5162" spans="2:12">
      <c r="B5162" s="4" t="s">
        <v>2500</v>
      </c>
      <c r="E5162" s="4" t="s">
        <v>803</v>
      </c>
      <c r="F5162" s="4"/>
      <c r="G5162" s="4"/>
      <c r="H5162" s="4">
        <v>1</v>
      </c>
      <c r="I5162" s="1">
        <f>$F$5230</f>
        <v>330</v>
      </c>
      <c r="J5162" s="30">
        <v>50</v>
      </c>
      <c r="K5162" s="4" t="s">
        <v>2486</v>
      </c>
      <c r="L5162" s="4">
        <f t="shared" si="1442"/>
        <v>16500</v>
      </c>
    </row>
    <row r="5163" s="15" customFormat="1" spans="2:12">
      <c r="B5163" s="16" t="s">
        <v>2501</v>
      </c>
      <c r="E5163" s="16" t="s">
        <v>2193</v>
      </c>
      <c r="F5163" s="16"/>
      <c r="G5163" s="16"/>
      <c r="H5163" s="16">
        <v>1</v>
      </c>
      <c r="I5163" s="15">
        <f>$F$5211/1000*100</f>
        <v>100</v>
      </c>
      <c r="J5163" s="30">
        <v>50</v>
      </c>
      <c r="K5163" s="16" t="s">
        <v>2486</v>
      </c>
      <c r="L5163" s="16">
        <f t="shared" si="1442"/>
        <v>5000</v>
      </c>
    </row>
    <row r="5164" s="15" customFormat="1" spans="2:12">
      <c r="B5164" s="16" t="s">
        <v>2502</v>
      </c>
      <c r="E5164" s="16" t="s">
        <v>1539</v>
      </c>
      <c r="F5164" s="16"/>
      <c r="G5164" s="16"/>
      <c r="H5164" s="16">
        <v>10000</v>
      </c>
      <c r="I5164" s="15">
        <f>$F$5203/1000000*H5164</f>
        <v>60</v>
      </c>
      <c r="J5164" s="30">
        <v>50</v>
      </c>
      <c r="K5164" s="16" t="s">
        <v>2486</v>
      </c>
      <c r="L5164" s="16">
        <f t="shared" si="1442"/>
        <v>3000</v>
      </c>
    </row>
    <row r="5165" s="15" customFormat="1" spans="2:12">
      <c r="B5165" s="16" t="s">
        <v>2503</v>
      </c>
      <c r="E5165" s="16" t="s">
        <v>1541</v>
      </c>
      <c r="F5165" s="16"/>
      <c r="G5165" s="16"/>
      <c r="H5165" s="16">
        <v>20</v>
      </c>
      <c r="I5165" s="15">
        <f>$F$5204/1000*H5165</f>
        <v>180</v>
      </c>
      <c r="J5165" s="30">
        <v>50</v>
      </c>
      <c r="K5165" s="16" t="s">
        <v>2486</v>
      </c>
      <c r="L5165" s="16">
        <f t="shared" si="1442"/>
        <v>9000</v>
      </c>
    </row>
    <row r="5166" s="15" customFormat="1" spans="2:12">
      <c r="B5166" s="16" t="s">
        <v>2504</v>
      </c>
      <c r="E5166" s="16" t="s">
        <v>1638</v>
      </c>
      <c r="F5166" s="16"/>
      <c r="G5166" s="16"/>
      <c r="H5166" s="16">
        <v>10</v>
      </c>
      <c r="I5166" s="15">
        <f>$F$5205/1000*H5166</f>
        <v>300</v>
      </c>
      <c r="J5166" s="30">
        <v>50</v>
      </c>
      <c r="K5166" s="16" t="s">
        <v>2486</v>
      </c>
      <c r="L5166" s="16">
        <f t="shared" si="1442"/>
        <v>15000</v>
      </c>
    </row>
    <row r="5167" s="15" customFormat="1" spans="2:12">
      <c r="B5167" s="16" t="s">
        <v>2505</v>
      </c>
      <c r="E5167" s="16" t="s">
        <v>1969</v>
      </c>
      <c r="F5167" s="16"/>
      <c r="G5167" s="16"/>
      <c r="H5167" s="16">
        <v>1</v>
      </c>
      <c r="I5167" s="15">
        <f>$F$5206/1000*$G$1522</f>
        <v>500</v>
      </c>
      <c r="J5167" s="30">
        <v>50</v>
      </c>
      <c r="K5167" s="16" t="s">
        <v>2486</v>
      </c>
      <c r="L5167" s="16">
        <f t="shared" si="1442"/>
        <v>25000</v>
      </c>
    </row>
    <row r="5168" s="15" customFormat="1" spans="2:12">
      <c r="B5168" s="16" t="s">
        <v>2506</v>
      </c>
      <c r="E5168" s="16" t="s">
        <v>2093</v>
      </c>
      <c r="F5168" s="16"/>
      <c r="G5168" s="16"/>
      <c r="H5168" s="16">
        <v>1</v>
      </c>
      <c r="I5168" s="15">
        <f>$F$5219</f>
        <v>1200</v>
      </c>
      <c r="J5168" s="30">
        <v>50</v>
      </c>
      <c r="K5168" s="16" t="s">
        <v>2486</v>
      </c>
      <c r="L5168" s="16">
        <f t="shared" si="1442"/>
        <v>60000</v>
      </c>
    </row>
    <row r="5169" s="15" customFormat="1" spans="2:12">
      <c r="B5169" s="16" t="s">
        <v>2507</v>
      </c>
      <c r="E5169" s="16" t="s">
        <v>2181</v>
      </c>
      <c r="F5169" s="16"/>
      <c r="G5169" s="16"/>
      <c r="H5169" s="16">
        <v>1</v>
      </c>
      <c r="I5169" s="15">
        <f>$F$5220</f>
        <v>3600</v>
      </c>
      <c r="J5169" s="30">
        <v>50</v>
      </c>
      <c r="K5169" s="16" t="s">
        <v>2486</v>
      </c>
      <c r="L5169" s="16">
        <f t="shared" si="1442"/>
        <v>180000</v>
      </c>
    </row>
    <row r="5170" s="15" customFormat="1" spans="2:12">
      <c r="B5170" s="16" t="s">
        <v>2508</v>
      </c>
      <c r="E5170" s="16" t="s">
        <v>1555</v>
      </c>
      <c r="F5170" s="16"/>
      <c r="G5170" s="16"/>
      <c r="H5170" s="16">
        <v>1</v>
      </c>
      <c r="I5170" s="15">
        <f>$F$5217</f>
        <v>900</v>
      </c>
      <c r="J5170" s="30">
        <v>50</v>
      </c>
      <c r="K5170" s="16" t="s">
        <v>2486</v>
      </c>
      <c r="L5170" s="16">
        <f t="shared" si="1442"/>
        <v>45000</v>
      </c>
    </row>
    <row r="5171" spans="2:7">
      <c r="B5171" s="4"/>
      <c r="C5171" s="4"/>
      <c r="D5171" s="4"/>
      <c r="E5171" s="4"/>
      <c r="F5171" s="4"/>
      <c r="G5171" s="4"/>
    </row>
    <row r="5172" spans="2:12">
      <c r="B5172" s="27" t="s">
        <v>2509</v>
      </c>
      <c r="C5172" s="27"/>
      <c r="D5172" s="27"/>
      <c r="E5172" s="27"/>
      <c r="F5172" s="27"/>
      <c r="G5172" s="27"/>
      <c r="H5172" s="27"/>
      <c r="I5172" s="27"/>
      <c r="J5172" s="27"/>
      <c r="K5172" s="27"/>
      <c r="L5172" s="27"/>
    </row>
    <row r="5174" spans="2:12">
      <c r="B5174" s="4" t="s">
        <v>1527</v>
      </c>
      <c r="E5174" s="4" t="s">
        <v>607</v>
      </c>
      <c r="F5174" s="4"/>
      <c r="G5174" s="4"/>
      <c r="H5174" s="4" t="s">
        <v>1528</v>
      </c>
      <c r="I5174" s="1" t="s">
        <v>2484</v>
      </c>
      <c r="J5174" s="1" t="s">
        <v>1530</v>
      </c>
      <c r="K5174" s="4" t="s">
        <v>1741</v>
      </c>
      <c r="L5174" s="4" t="s">
        <v>1745</v>
      </c>
    </row>
    <row r="5175" spans="2:12">
      <c r="B5175" s="4" t="s">
        <v>2510</v>
      </c>
      <c r="E5175" s="4" t="s">
        <v>1752</v>
      </c>
      <c r="F5175" s="4"/>
      <c r="G5175" s="4"/>
      <c r="H5175" s="4">
        <v>1</v>
      </c>
      <c r="I5175" s="1">
        <f t="shared" ref="I5175:I5177" si="1443">$F$5200/1000000*10000</f>
        <v>10</v>
      </c>
      <c r="J5175" s="1">
        <f>$D$5145</f>
        <v>150</v>
      </c>
      <c r="K5175" s="4" t="s">
        <v>2511</v>
      </c>
      <c r="L5175" s="4">
        <f>I5175*J5175</f>
        <v>1500</v>
      </c>
    </row>
    <row r="5176" spans="2:12">
      <c r="B5176" s="4" t="s">
        <v>2512</v>
      </c>
      <c r="E5176" s="4" t="s">
        <v>1759</v>
      </c>
      <c r="F5176" s="4"/>
      <c r="G5176" s="4"/>
      <c r="H5176" s="4">
        <v>1</v>
      </c>
      <c r="I5176" s="1">
        <f t="shared" si="1443"/>
        <v>10</v>
      </c>
      <c r="J5176" s="1">
        <f t="shared" ref="J5176:J5195" si="1444">$D$5145</f>
        <v>150</v>
      </c>
      <c r="K5176" s="4" t="s">
        <v>2511</v>
      </c>
      <c r="L5176" s="4">
        <f t="shared" ref="L5176:L5195" si="1445">I5176*J5176</f>
        <v>1500</v>
      </c>
    </row>
    <row r="5177" spans="2:12">
      <c r="B5177" s="4" t="s">
        <v>2513</v>
      </c>
      <c r="E5177" s="4" t="s">
        <v>1766</v>
      </c>
      <c r="F5177" s="4"/>
      <c r="G5177" s="4"/>
      <c r="H5177" s="4">
        <v>1</v>
      </c>
      <c r="I5177" s="1">
        <f t="shared" si="1443"/>
        <v>10</v>
      </c>
      <c r="J5177" s="1">
        <f t="shared" si="1444"/>
        <v>150</v>
      </c>
      <c r="K5177" s="4" t="s">
        <v>2511</v>
      </c>
      <c r="L5177" s="4">
        <f t="shared" si="1445"/>
        <v>1500</v>
      </c>
    </row>
    <row r="5178" s="15" customFormat="1" spans="2:12">
      <c r="B5178" s="16" t="s">
        <v>2514</v>
      </c>
      <c r="E5178" s="16" t="s">
        <v>2490</v>
      </c>
      <c r="F5178" s="16"/>
      <c r="G5178" s="16"/>
      <c r="H5178" s="16">
        <v>1</v>
      </c>
      <c r="I5178" s="15">
        <f>$F$5201/1440*1</f>
        <v>3</v>
      </c>
      <c r="J5178" s="15">
        <f t="shared" si="1444"/>
        <v>150</v>
      </c>
      <c r="K5178" s="16" t="s">
        <v>2511</v>
      </c>
      <c r="L5178" s="16">
        <f t="shared" si="1445"/>
        <v>450</v>
      </c>
    </row>
    <row r="5179" s="15" customFormat="1" spans="2:12">
      <c r="B5179" s="16" t="s">
        <v>2515</v>
      </c>
      <c r="E5179" s="16" t="s">
        <v>1864</v>
      </c>
      <c r="F5179" s="16"/>
      <c r="G5179" s="16"/>
      <c r="H5179" s="16">
        <v>1</v>
      </c>
      <c r="I5179" s="15">
        <f>$F$5201/1440*15</f>
        <v>45</v>
      </c>
      <c r="J5179" s="15">
        <f t="shared" si="1444"/>
        <v>150</v>
      </c>
      <c r="K5179" s="16" t="s">
        <v>2511</v>
      </c>
      <c r="L5179" s="16">
        <f t="shared" si="1445"/>
        <v>6750</v>
      </c>
    </row>
    <row r="5180" s="15" customFormat="1" spans="2:12">
      <c r="B5180" s="16" t="s">
        <v>2516</v>
      </c>
      <c r="E5180" s="16" t="s">
        <v>1866</v>
      </c>
      <c r="F5180" s="16"/>
      <c r="G5180" s="16"/>
      <c r="H5180" s="16">
        <v>1</v>
      </c>
      <c r="I5180" s="15">
        <f>$F$5201/1440*60</f>
        <v>180</v>
      </c>
      <c r="J5180" s="15">
        <f t="shared" si="1444"/>
        <v>150</v>
      </c>
      <c r="K5180" s="16" t="s">
        <v>2511</v>
      </c>
      <c r="L5180" s="16">
        <f t="shared" si="1445"/>
        <v>27000</v>
      </c>
    </row>
    <row r="5181" s="15" customFormat="1" spans="2:12">
      <c r="B5181" s="16" t="s">
        <v>2517</v>
      </c>
      <c r="E5181" s="16" t="s">
        <v>2494</v>
      </c>
      <c r="F5181" s="16"/>
      <c r="G5181" s="16"/>
      <c r="H5181" s="16">
        <v>1</v>
      </c>
      <c r="I5181" s="15">
        <f>$F$5201/1440*180</f>
        <v>540</v>
      </c>
      <c r="J5181" s="15">
        <f t="shared" si="1444"/>
        <v>150</v>
      </c>
      <c r="K5181" s="16" t="s">
        <v>2511</v>
      </c>
      <c r="L5181" s="16">
        <f t="shared" si="1445"/>
        <v>81000</v>
      </c>
    </row>
    <row r="5182" spans="2:12">
      <c r="B5182" s="4" t="s">
        <v>2518</v>
      </c>
      <c r="E5182" s="4" t="s">
        <v>143</v>
      </c>
      <c r="F5182" s="4"/>
      <c r="G5182" s="4"/>
      <c r="H5182" s="4">
        <v>1</v>
      </c>
      <c r="I5182" s="1">
        <f>$F$5225</f>
        <v>3</v>
      </c>
      <c r="J5182" s="1">
        <f t="shared" si="1444"/>
        <v>150</v>
      </c>
      <c r="K5182" s="4" t="s">
        <v>2511</v>
      </c>
      <c r="L5182" s="4">
        <f t="shared" si="1445"/>
        <v>450</v>
      </c>
    </row>
    <row r="5183" spans="2:12">
      <c r="B5183" s="4" t="s">
        <v>2519</v>
      </c>
      <c r="E5183" s="4" t="s">
        <v>147</v>
      </c>
      <c r="F5183" s="4"/>
      <c r="G5183" s="4"/>
      <c r="H5183" s="4">
        <v>1</v>
      </c>
      <c r="I5183" s="1">
        <f>$F$5226</f>
        <v>12</v>
      </c>
      <c r="J5183" s="1">
        <f t="shared" si="1444"/>
        <v>150</v>
      </c>
      <c r="K5183" s="4" t="s">
        <v>2511</v>
      </c>
      <c r="L5183" s="4">
        <f t="shared" si="1445"/>
        <v>1800</v>
      </c>
    </row>
    <row r="5184" spans="2:12">
      <c r="B5184" s="4" t="s">
        <v>2520</v>
      </c>
      <c r="E5184" s="4" t="s">
        <v>154</v>
      </c>
      <c r="F5184" s="4"/>
      <c r="G5184" s="4"/>
      <c r="H5184" s="4">
        <v>1</v>
      </c>
      <c r="I5184" s="1">
        <f>$F$5227</f>
        <v>60</v>
      </c>
      <c r="J5184" s="1">
        <f t="shared" si="1444"/>
        <v>150</v>
      </c>
      <c r="K5184" s="4" t="s">
        <v>2511</v>
      </c>
      <c r="L5184" s="4">
        <f t="shared" si="1445"/>
        <v>9000</v>
      </c>
    </row>
    <row r="5185" spans="2:12">
      <c r="B5185" s="4" t="s">
        <v>2521</v>
      </c>
      <c r="E5185" s="4" t="s">
        <v>801</v>
      </c>
      <c r="F5185" s="4"/>
      <c r="G5185" s="4"/>
      <c r="H5185" s="4">
        <v>1</v>
      </c>
      <c r="I5185" s="1">
        <f>$F$5228</f>
        <v>105</v>
      </c>
      <c r="J5185" s="1">
        <f t="shared" si="1444"/>
        <v>150</v>
      </c>
      <c r="K5185" s="4" t="s">
        <v>2511</v>
      </c>
      <c r="L5185" s="4">
        <f t="shared" si="1445"/>
        <v>15750</v>
      </c>
    </row>
    <row r="5186" spans="2:12">
      <c r="B5186" s="4" t="s">
        <v>2522</v>
      </c>
      <c r="E5186" s="4" t="s">
        <v>802</v>
      </c>
      <c r="F5186" s="4"/>
      <c r="G5186" s="4"/>
      <c r="H5186" s="4">
        <v>1</v>
      </c>
      <c r="I5186" s="1">
        <f>$F$5229</f>
        <v>150</v>
      </c>
      <c r="J5186" s="1">
        <f t="shared" si="1444"/>
        <v>150</v>
      </c>
      <c r="K5186" s="4" t="s">
        <v>2511</v>
      </c>
      <c r="L5186" s="4">
        <f t="shared" si="1445"/>
        <v>22500</v>
      </c>
    </row>
    <row r="5187" spans="2:12">
      <c r="B5187" s="4" t="s">
        <v>2523</v>
      </c>
      <c r="E5187" s="4" t="s">
        <v>803</v>
      </c>
      <c r="F5187" s="4"/>
      <c r="G5187" s="4"/>
      <c r="H5187" s="4">
        <v>1</v>
      </c>
      <c r="I5187" s="1">
        <f>$F$5230</f>
        <v>330</v>
      </c>
      <c r="J5187" s="1">
        <f t="shared" si="1444"/>
        <v>150</v>
      </c>
      <c r="K5187" s="4" t="s">
        <v>2511</v>
      </c>
      <c r="L5187" s="4">
        <f t="shared" si="1445"/>
        <v>49500</v>
      </c>
    </row>
    <row r="5188" s="15" customFormat="1" spans="2:12">
      <c r="B5188" s="16" t="s">
        <v>2524</v>
      </c>
      <c r="E5188" s="16" t="s">
        <v>2193</v>
      </c>
      <c r="F5188" s="16"/>
      <c r="G5188" s="16"/>
      <c r="H5188" s="16">
        <v>1</v>
      </c>
      <c r="I5188" s="15">
        <f>$F$5211/1000*100</f>
        <v>100</v>
      </c>
      <c r="J5188" s="30">
        <v>300</v>
      </c>
      <c r="K5188" s="16" t="s">
        <v>2511</v>
      </c>
      <c r="L5188" s="16">
        <f t="shared" si="1445"/>
        <v>30000</v>
      </c>
    </row>
    <row r="5189" s="15" customFormat="1" spans="2:12">
      <c r="B5189" s="16" t="s">
        <v>2525</v>
      </c>
      <c r="E5189" s="16" t="s">
        <v>1539</v>
      </c>
      <c r="F5189" s="16"/>
      <c r="G5189" s="16"/>
      <c r="H5189" s="16">
        <v>10000</v>
      </c>
      <c r="I5189" s="15">
        <f>$F$5203/1000000*H5189</f>
        <v>60</v>
      </c>
      <c r="J5189" s="15">
        <f t="shared" si="1444"/>
        <v>150</v>
      </c>
      <c r="K5189" s="16" t="s">
        <v>2511</v>
      </c>
      <c r="L5189" s="16">
        <f t="shared" si="1445"/>
        <v>9000</v>
      </c>
    </row>
    <row r="5190" s="15" customFormat="1" spans="2:12">
      <c r="B5190" s="16" t="s">
        <v>2526</v>
      </c>
      <c r="E5190" s="16" t="s">
        <v>1541</v>
      </c>
      <c r="F5190" s="16"/>
      <c r="G5190" s="16"/>
      <c r="H5190" s="16">
        <v>20</v>
      </c>
      <c r="I5190" s="15">
        <f>$F$5204/1000*H5190</f>
        <v>180</v>
      </c>
      <c r="J5190" s="15">
        <f t="shared" si="1444"/>
        <v>150</v>
      </c>
      <c r="K5190" s="16" t="s">
        <v>2511</v>
      </c>
      <c r="L5190" s="16">
        <f t="shared" si="1445"/>
        <v>27000</v>
      </c>
    </row>
    <row r="5191" s="15" customFormat="1" spans="2:12">
      <c r="B5191" s="16" t="s">
        <v>2527</v>
      </c>
      <c r="E5191" s="16" t="s">
        <v>1638</v>
      </c>
      <c r="F5191" s="16"/>
      <c r="G5191" s="16"/>
      <c r="H5191" s="16">
        <v>10</v>
      </c>
      <c r="I5191" s="15">
        <f>$F$5205/1000*H5191</f>
        <v>300</v>
      </c>
      <c r="J5191" s="15">
        <f t="shared" si="1444"/>
        <v>150</v>
      </c>
      <c r="K5191" s="16" t="s">
        <v>2511</v>
      </c>
      <c r="L5191" s="16">
        <f t="shared" si="1445"/>
        <v>45000</v>
      </c>
    </row>
    <row r="5192" s="15" customFormat="1" spans="2:12">
      <c r="B5192" s="16" t="s">
        <v>2528</v>
      </c>
      <c r="E5192" s="16" t="s">
        <v>1969</v>
      </c>
      <c r="F5192" s="16"/>
      <c r="G5192" s="16"/>
      <c r="H5192" s="16">
        <v>1</v>
      </c>
      <c r="I5192" s="15">
        <f>$F$5206/1000*$G$1522</f>
        <v>500</v>
      </c>
      <c r="J5192" s="15">
        <f t="shared" si="1444"/>
        <v>150</v>
      </c>
      <c r="K5192" s="16" t="s">
        <v>2511</v>
      </c>
      <c r="L5192" s="16">
        <f t="shared" si="1445"/>
        <v>75000</v>
      </c>
    </row>
    <row r="5193" s="15" customFormat="1" spans="2:12">
      <c r="B5193" s="16" t="s">
        <v>2529</v>
      </c>
      <c r="E5193" s="16" t="s">
        <v>2093</v>
      </c>
      <c r="F5193" s="16"/>
      <c r="G5193" s="16"/>
      <c r="H5193" s="16">
        <v>1</v>
      </c>
      <c r="I5193" s="15">
        <f>$F$5219</f>
        <v>1200</v>
      </c>
      <c r="J5193" s="15">
        <f t="shared" si="1444"/>
        <v>150</v>
      </c>
      <c r="K5193" s="16" t="s">
        <v>2511</v>
      </c>
      <c r="L5193" s="16">
        <f t="shared" si="1445"/>
        <v>180000</v>
      </c>
    </row>
    <row r="5194" s="15" customFormat="1" spans="2:12">
      <c r="B5194" s="16" t="s">
        <v>2530</v>
      </c>
      <c r="E5194" s="16" t="s">
        <v>2181</v>
      </c>
      <c r="F5194" s="16"/>
      <c r="G5194" s="16"/>
      <c r="H5194" s="16">
        <v>1</v>
      </c>
      <c r="I5194" s="15">
        <f>$F$5220</f>
        <v>3600</v>
      </c>
      <c r="J5194" s="15">
        <f t="shared" si="1444"/>
        <v>150</v>
      </c>
      <c r="K5194" s="16" t="s">
        <v>2511</v>
      </c>
      <c r="L5194" s="16">
        <f t="shared" si="1445"/>
        <v>540000</v>
      </c>
    </row>
    <row r="5195" s="15" customFormat="1" spans="2:12">
      <c r="B5195" s="16" t="s">
        <v>2531</v>
      </c>
      <c r="E5195" s="16" t="s">
        <v>1555</v>
      </c>
      <c r="F5195" s="16"/>
      <c r="G5195" s="16"/>
      <c r="H5195" s="16">
        <v>1</v>
      </c>
      <c r="I5195" s="15">
        <f>$F$5217</f>
        <v>900</v>
      </c>
      <c r="J5195" s="15">
        <f t="shared" si="1444"/>
        <v>150</v>
      </c>
      <c r="K5195" s="16" t="s">
        <v>2511</v>
      </c>
      <c r="L5195" s="16">
        <f t="shared" si="1445"/>
        <v>135000</v>
      </c>
    </row>
    <row r="5196" spans="2:7">
      <c r="B5196" s="4"/>
      <c r="C5196" s="4"/>
      <c r="D5196" s="4"/>
      <c r="E5196" s="4"/>
      <c r="F5196" s="4"/>
      <c r="G5196" s="4"/>
    </row>
    <row r="5197" spans="2:12">
      <c r="B5197" s="27" t="s">
        <v>590</v>
      </c>
      <c r="C5197" s="27"/>
      <c r="D5197" s="27"/>
      <c r="E5197" s="27"/>
      <c r="F5197" s="27"/>
      <c r="G5197" s="27"/>
      <c r="H5197" s="27"/>
      <c r="I5197" s="27"/>
      <c r="J5197" s="27"/>
      <c r="K5197" s="27"/>
      <c r="L5197" s="27"/>
    </row>
    <row r="5199" spans="2:9">
      <c r="B5199" s="29" t="s">
        <v>498</v>
      </c>
      <c r="C5199" s="29" t="s">
        <v>512</v>
      </c>
      <c r="D5199" s="29" t="s">
        <v>516</v>
      </c>
      <c r="E5199" s="29" t="s">
        <v>29</v>
      </c>
      <c r="F5199" s="29" t="s">
        <v>31</v>
      </c>
      <c r="G5199" s="29" t="s">
        <v>591</v>
      </c>
      <c r="H5199" s="29" t="s">
        <v>592</v>
      </c>
      <c r="I5199" s="29" t="s">
        <v>593</v>
      </c>
    </row>
    <row r="5200" spans="2:9">
      <c r="B5200" s="1" t="str">
        <f>总规划!B260</f>
        <v>基础资源</v>
      </c>
      <c r="C5200" s="1" t="str">
        <f>总规划!C260</f>
        <v>1M资源</v>
      </c>
      <c r="D5200" s="1">
        <f>总规划!D260</f>
        <v>0.416666666666667</v>
      </c>
      <c r="E5200" s="1">
        <f>总规划!E260</f>
        <v>500</v>
      </c>
      <c r="F5200" s="1">
        <f>总规划!F260</f>
        <v>1000</v>
      </c>
      <c r="G5200" s="1">
        <f>总规划!G260</f>
        <v>1</v>
      </c>
      <c r="H5200" s="1">
        <f>总规划!H260</f>
        <v>1</v>
      </c>
      <c r="I5200" s="1" t="str">
        <f>总规划!I260</f>
        <v>1M资源</v>
      </c>
    </row>
    <row r="5201" spans="2:9">
      <c r="B5201" s="1" t="str">
        <f>总规划!B261</f>
        <v>加速</v>
      </c>
      <c r="C5201" s="1" t="str">
        <f>总规划!C261</f>
        <v>1天</v>
      </c>
      <c r="D5201" s="1">
        <f>总规划!D261</f>
        <v>1.5625</v>
      </c>
      <c r="E5201" s="1">
        <f>总规划!E261</f>
        <v>1875</v>
      </c>
      <c r="F5201" s="1">
        <f>总规划!F261</f>
        <v>4320</v>
      </c>
      <c r="G5201" s="1">
        <f>总规划!G261</f>
        <v>3.75</v>
      </c>
      <c r="H5201" s="1">
        <f>总规划!H261</f>
        <v>4.32</v>
      </c>
      <c r="I5201" s="1" t="str">
        <f>总规划!I261</f>
        <v>1M资源</v>
      </c>
    </row>
    <row r="5202" spans="2:9">
      <c r="B5202" s="1" t="str">
        <f>总规划!B262</f>
        <v>卡牌</v>
      </c>
      <c r="C5202" s="1" t="str">
        <f>总规划!C262</f>
        <v>1四星卡</v>
      </c>
      <c r="D5202" s="1">
        <f>总规划!D262</f>
        <v>0.5</v>
      </c>
      <c r="E5202" s="1">
        <f>总规划!E262</f>
        <v>600</v>
      </c>
      <c r="F5202" s="1">
        <f>总规划!F262</f>
        <v>1200</v>
      </c>
      <c r="G5202" s="1">
        <f>总规划!G262</f>
        <v>1.2</v>
      </c>
      <c r="H5202" s="1">
        <f>总规划!H262</f>
        <v>1.2</v>
      </c>
      <c r="I5202" s="1" t="str">
        <f>总规划!I262</f>
        <v>1M资源</v>
      </c>
    </row>
    <row r="5203" spans="2:9">
      <c r="B5203" s="1" t="str">
        <f>总规划!B263</f>
        <v>陆军经验</v>
      </c>
      <c r="C5203" s="1" t="str">
        <f>总规划!C263</f>
        <v>1M陆经</v>
      </c>
      <c r="D5203" s="1">
        <f>总规划!D263</f>
        <v>2.5</v>
      </c>
      <c r="E5203" s="1">
        <f>总规划!E263</f>
        <v>3000</v>
      </c>
      <c r="F5203" s="1">
        <f>总规划!F263</f>
        <v>6000</v>
      </c>
      <c r="G5203" s="1">
        <f>总规划!G263</f>
        <v>6</v>
      </c>
      <c r="H5203" s="1">
        <f>总规划!H263</f>
        <v>6</v>
      </c>
      <c r="I5203" s="1" t="str">
        <f>总规划!I263</f>
        <v>1M资源</v>
      </c>
    </row>
    <row r="5204" spans="2:9">
      <c r="B5204" s="1" t="str">
        <f>总规划!B264</f>
        <v>弹药</v>
      </c>
      <c r="C5204" s="1" t="str">
        <f>总规划!C264</f>
        <v>1k弹药</v>
      </c>
      <c r="D5204" s="1">
        <f>总规划!D264</f>
        <v>3.75</v>
      </c>
      <c r="E5204" s="1">
        <f>总规划!E264</f>
        <v>4500</v>
      </c>
      <c r="F5204" s="1">
        <f>总规划!F264</f>
        <v>9000</v>
      </c>
      <c r="G5204" s="1">
        <f>总规划!G264</f>
        <v>9</v>
      </c>
      <c r="H5204" s="1">
        <f>总规划!H264</f>
        <v>9</v>
      </c>
      <c r="I5204" s="1" t="str">
        <f>总规划!I264</f>
        <v>1M资源</v>
      </c>
    </row>
    <row r="5205" spans="2:9">
      <c r="B5205" s="1" t="str">
        <f>总规划!B265</f>
        <v>零件</v>
      </c>
      <c r="C5205" s="1" t="str">
        <f>总规划!C265</f>
        <v>1k零件</v>
      </c>
      <c r="D5205" s="1">
        <f>总规划!D265</f>
        <v>12.5</v>
      </c>
      <c r="E5205" s="1">
        <f>总规划!E265</f>
        <v>15000</v>
      </c>
      <c r="F5205" s="1">
        <f>总规划!F265</f>
        <v>30000</v>
      </c>
      <c r="G5205" s="1">
        <f>总规划!G265</f>
        <v>30</v>
      </c>
      <c r="H5205" s="1">
        <f>总规划!H265</f>
        <v>30</v>
      </c>
      <c r="I5205" s="1" t="str">
        <f>总规划!I265</f>
        <v>1M资源</v>
      </c>
    </row>
    <row r="5206" spans="2:9">
      <c r="B5206" s="1" t="str">
        <f>总规划!B266</f>
        <v>配件材料</v>
      </c>
      <c r="C5206" s="1" t="str">
        <f>总规划!C266</f>
        <v>1k铜材料</v>
      </c>
      <c r="D5206" s="1">
        <f>总规划!D266</f>
        <v>2.08333333333333</v>
      </c>
      <c r="E5206" s="1">
        <f>总规划!E266</f>
        <v>2500</v>
      </c>
      <c r="F5206" s="1">
        <f>总规划!F266</f>
        <v>5000</v>
      </c>
      <c r="G5206" s="1">
        <f>总规划!G266</f>
        <v>5</v>
      </c>
      <c r="H5206" s="1">
        <f>总规划!H266</f>
        <v>5</v>
      </c>
      <c r="I5206" s="1" t="str">
        <f>总规划!I266</f>
        <v>1M资源</v>
      </c>
    </row>
    <row r="5207" spans="2:9">
      <c r="B5207" s="1" t="str">
        <f>总规划!B267</f>
        <v>配件图纸</v>
      </c>
      <c r="C5207" s="1" t="str">
        <f>总规划!C267</f>
        <v>1金++</v>
      </c>
      <c r="D5207" s="1">
        <f>总规划!D267</f>
        <v>62.5</v>
      </c>
      <c r="E5207" s="1">
        <f>总规划!E267</f>
        <v>75000</v>
      </c>
      <c r="F5207" s="1">
        <f>总规划!F267</f>
        <v>150000</v>
      </c>
      <c r="G5207" s="1">
        <f>总规划!G267</f>
        <v>150</v>
      </c>
      <c r="H5207" s="1">
        <f>总规划!H267</f>
        <v>150</v>
      </c>
      <c r="I5207" s="1" t="str">
        <f>总规划!I267</f>
        <v>1M资源</v>
      </c>
    </row>
    <row r="5208" spans="2:9">
      <c r="B5208" s="1" t="str">
        <f>总规划!B268</f>
        <v>军官经验</v>
      </c>
      <c r="C5208" s="1" t="str">
        <f>总规划!C268</f>
        <v>1M军经</v>
      </c>
      <c r="D5208" s="1">
        <f>总规划!D268</f>
        <v>6.25</v>
      </c>
      <c r="E5208" s="1">
        <f>总规划!E268</f>
        <v>7500</v>
      </c>
      <c r="F5208" s="1">
        <f>总规划!F268</f>
        <v>15000</v>
      </c>
      <c r="G5208" s="1">
        <f>总规划!G268</f>
        <v>15</v>
      </c>
      <c r="H5208" s="1">
        <f>总规划!H268</f>
        <v>15</v>
      </c>
      <c r="I5208" s="1" t="str">
        <f>总规划!I268</f>
        <v>1M资源</v>
      </c>
    </row>
    <row r="5209" spans="2:9">
      <c r="B5209" s="1" t="str">
        <f>总规划!B269</f>
        <v>军官技能书</v>
      </c>
      <c r="C5209" s="1" t="str">
        <f>总规划!C269</f>
        <v>1技书</v>
      </c>
      <c r="D5209" s="1">
        <f>总规划!D269</f>
        <v>3.33333333333333</v>
      </c>
      <c r="E5209" s="1">
        <f>总规划!E269</f>
        <v>4000</v>
      </c>
      <c r="F5209" s="1">
        <f>总规划!F269</f>
        <v>8000</v>
      </c>
      <c r="G5209" s="1">
        <f>总规划!G269</f>
        <v>8</v>
      </c>
      <c r="H5209" s="1">
        <f>总规划!H269</f>
        <v>8</v>
      </c>
      <c r="I5209" s="1" t="str">
        <f>总规划!I269</f>
        <v>1M资源</v>
      </c>
    </row>
    <row r="5210" spans="2:9">
      <c r="B5210" s="1" t="str">
        <f>总规划!B270</f>
        <v>阵营经验</v>
      </c>
      <c r="C5210" s="1" t="str">
        <f>总规划!C270</f>
        <v>1M阵经</v>
      </c>
      <c r="D5210" s="1">
        <f>总规划!D270</f>
        <v>69.4444444444444</v>
      </c>
      <c r="E5210" s="1">
        <f>总规划!E270</f>
        <v>83333.3333333333</v>
      </c>
      <c r="F5210" s="1">
        <f>总规划!F270</f>
        <v>166666.666666667</v>
      </c>
      <c r="G5210" s="1">
        <f>总规划!G270</f>
        <v>166.666666666667</v>
      </c>
      <c r="H5210" s="1">
        <f>总规划!H270</f>
        <v>166.666666666667</v>
      </c>
      <c r="I5210" s="1" t="str">
        <f>总规划!I270</f>
        <v>1M资源</v>
      </c>
    </row>
    <row r="5211" spans="2:9">
      <c r="B5211" s="1" t="str">
        <f>总规划!B271</f>
        <v>VIP经验</v>
      </c>
      <c r="C5211" s="1" t="str">
        <f>总规划!C271</f>
        <v>1k经验</v>
      </c>
      <c r="D5211" s="1">
        <f>总规划!D271</f>
        <v>0.833333333333333</v>
      </c>
      <c r="E5211" s="1">
        <f>总规划!E271</f>
        <v>1000</v>
      </c>
      <c r="F5211" s="1">
        <f>总规划!F271</f>
        <v>1000</v>
      </c>
      <c r="G5211" s="1">
        <f>总规划!G271</f>
        <v>2</v>
      </c>
      <c r="H5211" s="1">
        <f>总规划!H271</f>
        <v>1</v>
      </c>
      <c r="I5211" s="1" t="str">
        <f>总规划!I271</f>
        <v>1M资源</v>
      </c>
    </row>
    <row r="5213" spans="2:12">
      <c r="B5213" s="27" t="s">
        <v>606</v>
      </c>
      <c r="C5213" s="27"/>
      <c r="D5213" s="27"/>
      <c r="E5213" s="27"/>
      <c r="F5213" s="27"/>
      <c r="G5213" s="27"/>
      <c r="H5213" s="27"/>
      <c r="I5213" s="27"/>
      <c r="J5213" s="27"/>
      <c r="K5213" s="27"/>
      <c r="L5213" s="27"/>
    </row>
    <row r="5215" spans="2:9">
      <c r="B5215" s="29" t="s">
        <v>607</v>
      </c>
      <c r="C5215" s="29" t="s">
        <v>512</v>
      </c>
      <c r="D5215" s="29" t="s">
        <v>516</v>
      </c>
      <c r="E5215" s="29" t="s">
        <v>29</v>
      </c>
      <c r="F5215" s="29" t="s">
        <v>31</v>
      </c>
      <c r="G5215" s="29" t="s">
        <v>591</v>
      </c>
      <c r="H5215" s="29" t="s">
        <v>592</v>
      </c>
      <c r="I5215" s="29" t="s">
        <v>593</v>
      </c>
    </row>
    <row r="5216" spans="2:9">
      <c r="B5216" s="1" t="str">
        <f>总规划!B280</f>
        <v>体力药水</v>
      </c>
      <c r="C5216" s="1" t="str">
        <f>总规划!C280</f>
        <v>1体力</v>
      </c>
      <c r="D5216" s="1">
        <f>总规划!D280</f>
        <v>0.0125</v>
      </c>
      <c r="E5216" s="1">
        <f>总规划!E280</f>
        <v>15</v>
      </c>
      <c r="F5216" s="1">
        <f>总规划!F280</f>
        <v>30</v>
      </c>
      <c r="G5216" s="1">
        <f>总规划!G280</f>
        <v>0.03</v>
      </c>
      <c r="H5216" s="1">
        <f>总规划!H280</f>
        <v>0.03</v>
      </c>
      <c r="I5216" s="1" t="str">
        <f>总规划!I280</f>
        <v>1M资源</v>
      </c>
    </row>
    <row r="5217" spans="2:9">
      <c r="B5217" s="1" t="str">
        <f>总规划!B281</f>
        <v>抽卡券</v>
      </c>
      <c r="C5217" s="1" t="str">
        <f>总规划!C281</f>
        <v>1张</v>
      </c>
      <c r="D5217" s="1">
        <f>总规划!D281</f>
        <v>0.62875</v>
      </c>
      <c r="E5217" s="1">
        <f>总规划!E281</f>
        <v>754.5</v>
      </c>
      <c r="F5217" s="1">
        <f>总规划!F281</f>
        <v>900</v>
      </c>
      <c r="G5217" s="1">
        <f>总规划!G281</f>
        <v>1.509</v>
      </c>
      <c r="H5217" s="1">
        <f>总规划!H281</f>
        <v>0.9</v>
      </c>
      <c r="I5217" s="1" t="str">
        <f>总规划!I281</f>
        <v>1M资源</v>
      </c>
    </row>
    <row r="5218" spans="2:9">
      <c r="B5218" s="1" t="str">
        <f>总规划!B282</f>
        <v>阵营券</v>
      </c>
      <c r="C5218" s="1" t="str">
        <f>总规划!C282</f>
        <v>1张</v>
      </c>
      <c r="D5218" s="1">
        <f>总规划!D282</f>
        <v>0.62875</v>
      </c>
      <c r="E5218" s="1">
        <f>总规划!E282</f>
        <v>754.5</v>
      </c>
      <c r="F5218" s="1">
        <f>总规划!F282</f>
        <v>1500</v>
      </c>
      <c r="G5218" s="1">
        <f>总规划!G282</f>
        <v>1.509</v>
      </c>
      <c r="H5218" s="1">
        <f>总规划!H282</f>
        <v>1.5</v>
      </c>
      <c r="I5218" s="1" t="str">
        <f>总规划!I282</f>
        <v>1M资源</v>
      </c>
    </row>
    <row r="5219" spans="2:9">
      <c r="B5219" s="1" t="str">
        <f>总规划!B283</f>
        <v>空降券</v>
      </c>
      <c r="C5219" s="1" t="str">
        <f>总规划!C283</f>
        <v>1张</v>
      </c>
      <c r="D5219" s="1">
        <f>总规划!D283</f>
        <v>0.5</v>
      </c>
      <c r="E5219" s="1">
        <f>总规划!E283</f>
        <v>600</v>
      </c>
      <c r="F5219" s="1">
        <f>总规划!F283</f>
        <v>1200</v>
      </c>
      <c r="G5219" s="1">
        <f>总规划!G283</f>
        <v>1.2</v>
      </c>
      <c r="H5219" s="1">
        <f>总规划!H283</f>
        <v>1.2</v>
      </c>
      <c r="I5219" s="1" t="str">
        <f>总规划!I283</f>
        <v>1M资源</v>
      </c>
    </row>
    <row r="5220" spans="2:9">
      <c r="B5220" s="1" t="str">
        <f>总规划!B284</f>
        <v>跨城券</v>
      </c>
      <c r="C5220" s="1" t="str">
        <f>总规划!C284</f>
        <v>1张</v>
      </c>
      <c r="D5220" s="1">
        <f>总规划!D284</f>
        <v>1.5</v>
      </c>
      <c r="E5220" s="1">
        <f>总规划!E284</f>
        <v>1800</v>
      </c>
      <c r="F5220" s="1">
        <f>总规划!F284</f>
        <v>3600</v>
      </c>
      <c r="G5220" s="1">
        <f>总规划!G284</f>
        <v>3.6</v>
      </c>
      <c r="H5220" s="1">
        <f>总规划!H284</f>
        <v>3.6</v>
      </c>
      <c r="I5220" s="1" t="str">
        <f>总规划!I284</f>
        <v>1M资源</v>
      </c>
    </row>
    <row r="5222" spans="2:12">
      <c r="B5222" s="27" t="s">
        <v>2532</v>
      </c>
      <c r="C5222" s="27"/>
      <c r="D5222" s="27"/>
      <c r="E5222" s="27"/>
      <c r="F5222" s="27"/>
      <c r="G5222" s="27"/>
      <c r="H5222" s="27"/>
      <c r="I5222" s="27"/>
      <c r="J5222" s="27"/>
      <c r="K5222" s="27"/>
      <c r="L5222" s="27"/>
    </row>
    <row r="5224" spans="3:6">
      <c r="C5224" s="1" t="s">
        <v>764</v>
      </c>
      <c r="D5224" s="1" t="s">
        <v>765</v>
      </c>
      <c r="E5224" s="1" t="s">
        <v>29</v>
      </c>
      <c r="F5224" s="1" t="s">
        <v>31</v>
      </c>
    </row>
    <row r="5225" spans="2:6">
      <c r="B5225" s="1" t="str">
        <f t="shared" ref="B5225:F5230" si="1446">B188</f>
        <v>木板</v>
      </c>
      <c r="C5225" s="1">
        <f t="shared" si="1446"/>
        <v>1</v>
      </c>
      <c r="D5225" s="1">
        <f t="shared" si="1446"/>
        <v>0.00108506944444444</v>
      </c>
      <c r="E5225" s="1">
        <f t="shared" si="1446"/>
        <v>1.30208333333333</v>
      </c>
      <c r="F5225" s="1">
        <f t="shared" si="1446"/>
        <v>3</v>
      </c>
    </row>
    <row r="5226" spans="2:6">
      <c r="B5226" s="1" t="str">
        <f t="shared" si="1446"/>
        <v>方砖</v>
      </c>
      <c r="C5226" s="1">
        <f t="shared" si="1446"/>
        <v>4</v>
      </c>
      <c r="D5226" s="1">
        <f t="shared" si="1446"/>
        <v>0.00434027777777778</v>
      </c>
      <c r="E5226" s="1">
        <f t="shared" si="1446"/>
        <v>5.20833333333333</v>
      </c>
      <c r="F5226" s="1">
        <f t="shared" si="1446"/>
        <v>12</v>
      </c>
    </row>
    <row r="5227" spans="2:6">
      <c r="B5227" s="1" t="str">
        <f t="shared" si="1446"/>
        <v>水泥</v>
      </c>
      <c r="C5227" s="1">
        <f t="shared" si="1446"/>
        <v>20</v>
      </c>
      <c r="D5227" s="1">
        <f t="shared" si="1446"/>
        <v>0.0217013888888889</v>
      </c>
      <c r="E5227" s="1">
        <f t="shared" si="1446"/>
        <v>26.0416666666667</v>
      </c>
      <c r="F5227" s="1">
        <f t="shared" si="1446"/>
        <v>60</v>
      </c>
    </row>
    <row r="5228" spans="2:6">
      <c r="B5228" s="1" t="str">
        <f t="shared" si="1446"/>
        <v>工字钢</v>
      </c>
      <c r="C5228" s="1">
        <f t="shared" si="1446"/>
        <v>35</v>
      </c>
      <c r="D5228" s="1">
        <f t="shared" si="1446"/>
        <v>0.0379774305555556</v>
      </c>
      <c r="E5228" s="1">
        <f t="shared" si="1446"/>
        <v>45.5729166666667</v>
      </c>
      <c r="F5228" s="1">
        <f t="shared" si="1446"/>
        <v>105</v>
      </c>
    </row>
    <row r="5229" spans="2:6">
      <c r="B5229" s="1" t="str">
        <f t="shared" si="1446"/>
        <v>沥青</v>
      </c>
      <c r="C5229" s="1">
        <f t="shared" si="1446"/>
        <v>50</v>
      </c>
      <c r="D5229" s="1">
        <f t="shared" si="1446"/>
        <v>0.0542534722222222</v>
      </c>
      <c r="E5229" s="1">
        <f t="shared" si="1446"/>
        <v>65.1041666666667</v>
      </c>
      <c r="F5229" s="1">
        <f t="shared" si="1446"/>
        <v>150</v>
      </c>
    </row>
    <row r="5230" spans="2:6">
      <c r="B5230" s="1" t="str">
        <f t="shared" si="1446"/>
        <v>混凝土</v>
      </c>
      <c r="C5230" s="1">
        <f t="shared" si="1446"/>
        <v>110</v>
      </c>
      <c r="D5230" s="1">
        <f t="shared" si="1446"/>
        <v>0.119357638888889</v>
      </c>
      <c r="E5230" s="1">
        <f t="shared" si="1446"/>
        <v>143.229166666667</v>
      </c>
      <c r="F5230" s="1">
        <f t="shared" si="1446"/>
        <v>330</v>
      </c>
    </row>
    <row r="5233" s="25" customFormat="1" spans="1:3">
      <c r="A5233" s="2" t="s">
        <v>2533</v>
      </c>
      <c r="B5233" s="2"/>
      <c r="C5233" s="41" t="s">
        <v>436</v>
      </c>
    </row>
    <row r="5235" spans="2:12">
      <c r="B5235" s="27" t="s">
        <v>1102</v>
      </c>
      <c r="C5235" s="27"/>
      <c r="D5235" s="27"/>
      <c r="E5235" s="27"/>
      <c r="F5235" s="27"/>
      <c r="G5235" s="27"/>
      <c r="H5235" s="27"/>
      <c r="I5235" s="27"/>
      <c r="J5235" s="27"/>
      <c r="K5235" s="27"/>
      <c r="L5235" s="27"/>
    </row>
    <row r="5244" s="25" customFormat="1" spans="1:2">
      <c r="A5244" s="2"/>
      <c r="B5244" s="2"/>
    </row>
  </sheetData>
  <conditionalFormatting sqref="C784:K792">
    <cfRule type="colorScale" priority="2">
      <colorScale>
        <cfvo type="min"/>
        <cfvo type="max"/>
        <color rgb="FFFFEF9C"/>
        <color rgb="FF63BE7B"/>
      </colorScale>
    </cfRule>
  </conditionalFormatting>
  <conditionalFormatting sqref="C1794:K1802">
    <cfRule type="colorScale" priority="1">
      <colorScale>
        <cfvo type="min"/>
        <cfvo type="max"/>
        <color rgb="FFFFEF9C"/>
        <color rgb="FF63BE7B"/>
      </colorScale>
    </cfRule>
  </conditionalFormatting>
  <hyperlinks>
    <hyperlink ref="B8" location="控制台_106_经验弹药" display="经验&amp;弹药"/>
    <hyperlink ref="E9" location="控制台_107_兵卡等级" display="兵卡等级"/>
    <hyperlink ref="B6" location="控制台_101_加速资源" display="资源&amp;加速"/>
    <hyperlink ref="H6" location="控制台_201_打野" display="打野"/>
    <hyperlink ref="H11" location="控制台_206_副本挂机" display="副本挂机"/>
    <hyperlink ref="N6" location="控制台_401_体力" display="体力"/>
    <hyperlink ref="H7" location="控制台_202_黑鸦营地" display="黑鸦营地"/>
    <hyperlink ref="E6" location="控制台_102_建筑" display="建筑"/>
    <hyperlink ref="E7" location="控制台_103_科技" display="科技"/>
    <hyperlink ref="H8" location="控制台_203_采集" display="采集"/>
    <hyperlink ref="E1082" location="'107_兵卡等级'!A1" display="兵卡等级工作表"/>
    <hyperlink ref="E2745" location="'206_副本挂机'!A1" display="副本挂机工作表"/>
    <hyperlink ref="E2345" location="'201_打野'!A1" display="打野工作表"/>
    <hyperlink ref="E2418" location="'202_黑鸦营地'!A1" display="黑鸦营地工作表"/>
    <hyperlink ref="E2461" location="'203_采集'!A1" display="采集工作表"/>
    <hyperlink ref="E272" location="'102_建筑'!A1" display="建筑工作表"/>
    <hyperlink ref="H10" location="控制台_205_每日任务" display="每日任务"/>
    <hyperlink ref="H12" location="控制台_207_空投" display="空投"/>
    <hyperlink ref="E3053" location="'207_空投'!A1" display="空投工作表"/>
    <hyperlink ref="E2699" location="'205_每日任务'!A1" display="每日任务工作表"/>
    <hyperlink ref="E448" location="'103_科技'!A1" display="科技工作表"/>
    <hyperlink ref="N7" location="控制台_402_抽卡券" display="抽卡券"/>
    <hyperlink ref="E8" location="控制台_105_兵卡星级" display="兵卡星级"/>
    <hyperlink ref="B9" location="控制台_108_零件" display="零件"/>
    <hyperlink ref="E10" location="控制台_109_兵卡改造" display="兵卡改造"/>
    <hyperlink ref="B10" location="控制台_110_配件材料" display="配件材料"/>
    <hyperlink ref="B11" location="控制台_111_配件图纸" display="配件图纸"/>
    <hyperlink ref="E11" location="控制台_112_配件" display="配件"/>
    <hyperlink ref="Q6" location="控制台_501_战损" display="战损"/>
    <hyperlink ref="B12" location="控制台_113_军官经验" display="军官经验"/>
    <hyperlink ref="B13" location="控制台_115_阵营经验" display="阵营经验"/>
    <hyperlink ref="E12" location="控制台_114_军官等级" display="军官等级"/>
    <hyperlink ref="E13" location="控制台_116_阵营声望" display="阵营声望"/>
    <hyperlink ref="H9" location="控制台_204_军官任务" display="军官任务"/>
    <hyperlink ref="E2586" location="'204_军官任务'!A1" display="军官任务工作表"/>
    <hyperlink ref="E1888" location="'116_阵营声望'!A1" display="阵营声望工作表"/>
    <hyperlink ref="K6" location="控制台_301_账号升级" display="指挥部升级"/>
    <hyperlink ref="K7" location="控制台_302_章节任务" display="章节任务"/>
    <hyperlink ref="K8" location="控制台_303_打野首杀" display="打野首杀"/>
    <hyperlink ref="K9" location="控制台_304_主线任务" display="主线任务"/>
    <hyperlink ref="K10" location="控制台_305_支线任务" display="支线任务"/>
    <hyperlink ref="K11" location="控制台_306_迷雾建筑" display="迷雾建筑"/>
    <hyperlink ref="K12" location="控制台_307_地图宝箱" display="地图宝箱"/>
    <hyperlink ref="K13" location="控制台_308_挂机首通" display="挂机首通"/>
    <hyperlink ref="K14" location="控制台_309_G点首占" display="G点首占"/>
    <hyperlink ref="K15" location="控制台_310_城作计" display="城作计"/>
    <hyperlink ref="E1734" location="'114_军官等级'!A1" display="军官等级工作表"/>
    <hyperlink ref="E4605" location="'308_挂机首通'!A1" display="挂机首通工作表"/>
    <hyperlink ref="K16" location="控制台_311_声望升级" display="声望升级"/>
    <hyperlink ref="Q7" location="控制台_502_联盟积分" display="联盟积分"/>
    <hyperlink ref="E4955" location="'502_联盟积分'!A1" display="联盟积分工作表"/>
    <hyperlink ref="B7" location="控制台_104_卡牌" display="卡牌"/>
    <hyperlink ref="C22" location="控制台_000_目录" display="返回目录"/>
    <hyperlink ref="C272" location="控制台_000_目录" display="返回目录"/>
    <hyperlink ref="C448" location="控制台_000_目录" display="返回目录"/>
    <hyperlink ref="C653" location="控制台_000_目录" display="返回目录"/>
    <hyperlink ref="C779" location="控制台_000_目录" display="返回目录"/>
    <hyperlink ref="C795" location="控制台_000_目录" display="返回目录"/>
    <hyperlink ref="C1082" location="控制台_000_目录" display="返回目录"/>
    <hyperlink ref="C1121" location="控制台_000_目录" display="返回目录"/>
    <hyperlink ref="C1348" location="控制台_000_目录" display="返回目录"/>
    <hyperlink ref="C1387" location="控制台_000_目录" display="返回目录"/>
    <hyperlink ref="C1526" location="控制台_000_目录" display="返回目录"/>
    <hyperlink ref="C1600" location="控制台_000_目录" display="返回目录"/>
    <hyperlink ref="C1625" location="控制台_000_目录" display="返回目录"/>
    <hyperlink ref="C1734" location="控制台_000_目录" display="返回目录"/>
    <hyperlink ref="C1756" location="控制台_000_目录" display="返回目录"/>
    <hyperlink ref="C1888" location="控制台_000_目录" display="返回目录"/>
    <hyperlink ref="C2334" location="控制台_000_目录" display="返回目录"/>
    <hyperlink ref="C2345" location="控制台_000_目录" display="返回目录"/>
    <hyperlink ref="C2418" location="控制台_000_目录" display="返回目录"/>
    <hyperlink ref="C2461" location="控制台_000_目录" display="返回目录"/>
    <hyperlink ref="C2586" location="控制台_000_目录" display="返回目录"/>
    <hyperlink ref="C2699" location="控制台_000_目录" display="返回目录"/>
    <hyperlink ref="C2745" location="控制台_000_目录" display="返回目录"/>
    <hyperlink ref="C3053" location="控制台_000_目录" display="返回目录"/>
    <hyperlink ref="C4385" location="控制台_000_目录" display="返回目录"/>
    <hyperlink ref="C4396" location="控制台_000_目录" display="返回目录"/>
    <hyperlink ref="C4479" location="控制台_000_目录" display="返回目录"/>
    <hyperlink ref="C4493" location="控制台_000_目录" display="返回目录"/>
    <hyperlink ref="C4553" location="控制台_000_目录" display="返回目录"/>
    <hyperlink ref="C4563" location="控制台_000_目录" display="返回目录"/>
    <hyperlink ref="C4573" location="控制台_000_目录" display="返回目录"/>
    <hyperlink ref="C4585" location="控制台_000_目录" display="返回目录"/>
    <hyperlink ref="C4605" location="控制台_000_目录" display="返回目录"/>
    <hyperlink ref="C4632" location="控制台_000_目录" display="返回目录"/>
    <hyperlink ref="C4645" location="控制台_000_目录" display="返回目录"/>
    <hyperlink ref="C4657" location="控制台_000_目录" display="返回目录"/>
    <hyperlink ref="C4700" location="控制台_000_目录" display="返回目录"/>
    <hyperlink ref="C4711" location="控制台_000_目录" display="返回目录"/>
    <hyperlink ref="C4815" location="控制台_000_目录" display="返回目录"/>
    <hyperlink ref="C4841" location="控制台_000_目录" display="返回目录"/>
    <hyperlink ref="C4852" location="控制台_000_目录" display="返回目录"/>
    <hyperlink ref="C4955" location="控制台_000_目录" display="返回目录"/>
    <hyperlink ref="C5233" location="控制台_000_目录" display="返回目录"/>
    <hyperlink ref="A1" location="目录及说明!A1" display="返回目录及说明"/>
    <hyperlink ref="C3134" location="控制台_000_目录" display="返回目录"/>
    <hyperlink ref="H13" location="控制台_208_黑市" display="黑市"/>
    <hyperlink ref="C4979" location="控制台_000_目录" display="返回目录"/>
    <hyperlink ref="Q8" location="控制台_503_联盟科技" display="联盟科技"/>
    <hyperlink ref="E4979" location="'503_联盟科技'!A1" display="联盟科技工作表"/>
    <hyperlink ref="E3134" location="'208_黑市'!A1" display="黑市工作表"/>
    <hyperlink ref="C3573" location="控制台_000_目录" display="返回目录"/>
    <hyperlink ref="H14" location="控制台_209_月卡" display="月卡"/>
    <hyperlink ref="C3588" location="控制台_000_目录" display="返回目录"/>
    <hyperlink ref="H15" location="控制台_210_活动" display="活动"/>
    <hyperlink ref="E3588" location="'210_活动'!A1" display="活动工作表"/>
    <hyperlink ref="C2001" location="控制台_000_目录" display="返回目录"/>
    <hyperlink ref="C1918" location="控制台_000_目录" display="返回目录"/>
    <hyperlink ref="B14" location="控制台_117_VIP经验" display="VIP经验"/>
    <hyperlink ref="E14" location="控制台_118_VIP等级" display="VIP等级"/>
    <hyperlink ref="C3651" location="控制台_000_目录" display="返回目录"/>
    <hyperlink ref="H16" location="控制台_211_VIP宝箱" display="VIP宝箱"/>
    <hyperlink ref="H17" location="控制台_212_VIP商店" display="VIP商店"/>
    <hyperlink ref="C5131" location="控制台_000_目录" display="返回目录"/>
    <hyperlink ref="Q9" location="控制台_504_消耗物品" display="消耗物品"/>
    <hyperlink ref="C3709" location="控制台_000_目录" display="返回目录"/>
    <hyperlink ref="E3651" location="'211_VIP宝箱'!A1" display="VIP宝箱工作表"/>
    <hyperlink ref="E3709" location="'212_VIP商店'!A1" display="VIP商店工作表"/>
    <hyperlink ref="C5141" location="控制台_000_目录" display="返回目录"/>
    <hyperlink ref="Q10" location="控制台_505_个人积分" display="个人积分"/>
    <hyperlink ref="C2105" location="控制台_000_目录" display="返回目录"/>
    <hyperlink ref="C2122" location="控制台_000_目录" display="返回目录"/>
    <hyperlink ref="B15" location="控制台_119_军官技能书" display="军官技能书"/>
    <hyperlink ref="E15" location="控制台_120_军官技能" display="军官技能"/>
    <hyperlink ref="C2219" location="控制台_000_目录" display="返回目录"/>
    <hyperlink ref="C2136" location="控制台_000_目录" display="返回目录"/>
    <hyperlink ref="B16" location="控制台_121_科技书" display="科技书"/>
    <hyperlink ref="E16" location="控制台_122_高级科技" display="高级科技"/>
    <hyperlink ref="C3921" location="控制台_000_目录" display="返回目录"/>
    <hyperlink ref="H18" location="控制台_213_主题活动" display="主题活动"/>
    <hyperlink ref="E3921" location="'213_主题活动'!A1" display="主题活动工作表"/>
    <hyperlink ref="E2219" location="'122_高级科技'!A1" display="高级科技工作表"/>
    <hyperlink ref="C3931" location="控制台_000_目录" display="返回目录"/>
    <hyperlink ref="H19" location="控制台_214_联盟商店" display="联盟商店"/>
    <hyperlink ref="C4681" location="控制台_000_目录" display="返回目录"/>
    <hyperlink ref="K17" location="控制台_312_图鉴与合成" display="图鉴与合成"/>
    <hyperlink ref="B17" location="控制台_123_空军经验弹药" display="空军经验&amp;弹药"/>
    <hyperlink ref="C938" location="控制台_000_目录" display="返回目录"/>
    <hyperlink ref="C1234" location="控制台_000_目录" display="返回目录"/>
    <hyperlink ref="B18" location="控制台_124_空军零件" display="空军零件"/>
    <hyperlink ref="H20" location="总规划_215_空降猎兵" display="空降猎兵"/>
    <hyperlink ref="C4128" location="控制台_000_目录" display="返回目录"/>
  </hyperlinks>
  <pageMargins left="0.699305555555556" right="0.699305555555556" top="0.75" bottom="0.75" header="0.3" footer="0.3"/>
  <pageSetup paperSize="9" orientation="portrait"/>
  <headerFooter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>
    <tabColor theme="7" tint="0.599993896298105"/>
  </sheetPr>
  <dimension ref="D4:V1011"/>
  <sheetViews>
    <sheetView zoomScale="85" zoomScaleNormal="85" topLeftCell="B112" workbookViewId="0">
      <selection activeCell="F51" sqref="F51"/>
    </sheetView>
  </sheetViews>
  <sheetFormatPr defaultColWidth="8.70967741935484" defaultRowHeight="13.1"/>
  <cols>
    <col min="1" max="3" width="10.6290322580645" style="1"/>
    <col min="4" max="4" width="41.75" style="1" customWidth="1"/>
    <col min="5" max="5" width="27.5" style="1" customWidth="1"/>
    <col min="6" max="23" width="10.6290322580645" style="1" customWidth="1"/>
    <col min="24" max="16384" width="10.6290322580645" style="1"/>
  </cols>
  <sheetData>
    <row r="4" spans="4:22">
      <c r="D4" s="36" t="s">
        <v>2534</v>
      </c>
      <c r="E4" s="36" t="s">
        <v>2535</v>
      </c>
      <c r="F4" s="36" t="s">
        <v>2536</v>
      </c>
      <c r="G4" s="36" t="s">
        <v>2537</v>
      </c>
      <c r="H4" s="37" t="s">
        <v>516</v>
      </c>
      <c r="I4" s="38" t="s">
        <v>29</v>
      </c>
      <c r="J4" s="37" t="s">
        <v>31</v>
      </c>
      <c r="K4" s="37" t="s">
        <v>591</v>
      </c>
      <c r="L4" s="37" t="s">
        <v>592</v>
      </c>
      <c r="M4" s="37" t="s">
        <v>593</v>
      </c>
      <c r="N4" s="37" t="s">
        <v>594</v>
      </c>
      <c r="O4" s="37" t="s">
        <v>595</v>
      </c>
      <c r="P4" s="37" t="s">
        <v>596</v>
      </c>
      <c r="Q4" s="37" t="s">
        <v>597</v>
      </c>
      <c r="R4" s="37" t="s">
        <v>598</v>
      </c>
      <c r="S4" s="37" t="s">
        <v>599</v>
      </c>
      <c r="T4" s="37" t="s">
        <v>1604</v>
      </c>
      <c r="U4" s="37" t="s">
        <v>1605</v>
      </c>
      <c r="V4" s="37" t="s">
        <v>2538</v>
      </c>
    </row>
    <row r="5" spans="4:22">
      <c r="D5" s="36" t="s">
        <v>1752</v>
      </c>
      <c r="E5" s="36" t="s">
        <v>476</v>
      </c>
      <c r="F5" s="36">
        <v>1000000</v>
      </c>
      <c r="G5" s="36">
        <v>10000</v>
      </c>
      <c r="H5" s="36">
        <f ca="1">OFFSET(总规划!D$260,MATCH($E5,总规划!$B$260:$B$335,0)-1,0)/$F5*$G5</f>
        <v>0.00416666666666667</v>
      </c>
      <c r="I5" s="36">
        <f ca="1">OFFSET(总规划!E$260,MATCH($E5,总规划!$B$260:$B$335,0)-1,0)/$F5*$G5</f>
        <v>5</v>
      </c>
      <c r="J5" s="36">
        <f ca="1">OFFSET(总规划!F$260,MATCH($E5,总规划!$B$260:$B$335,0)-1,0)/$F5*$G5</f>
        <v>10</v>
      </c>
      <c r="K5" s="36">
        <f ca="1">OFFSET(总规划!G$260,MATCH($E5,总规划!$B$260:$B$335,0)-1,0)/$F5*$G5</f>
        <v>0.01</v>
      </c>
      <c r="L5" s="36">
        <f ca="1">OFFSET(总规划!H$260,MATCH($E5,总规划!$B$260:$B$335,0)-1,0)/$F5*$G5</f>
        <v>0.01</v>
      </c>
      <c r="M5" s="36" t="str">
        <f ca="1">OFFSET(总规划!I$260,MATCH($E5,总规划!$B$260:$B$335,0)-1,0)</f>
        <v>1M资源</v>
      </c>
      <c r="N5" s="36">
        <f ca="1">OFFSET(总规划!J$260,MATCH($E5,总规划!$B$260:$B$335,0)-1,0)/$F5*$G5</f>
        <v>4.16666666666667</v>
      </c>
      <c r="O5" s="36">
        <f ca="1">OFFSET(总规划!K$260,MATCH($E5,总规划!$B$260:$B$335,0)-1,0)/$F5*$G5</f>
        <v>4.16666666666667</v>
      </c>
      <c r="P5" s="36" t="str">
        <f ca="1">OFFSET(总规划!L$260,MATCH($E5,总规划!$B$260:$B$335,0)-1,0)</f>
        <v>1战役币</v>
      </c>
      <c r="Q5" s="36">
        <f ca="1">OFFSET(总规划!M$260,MATCH($E5,总规划!$B$260:$B$335,0)-1,0)/$F5*$G5</f>
        <v>1.66666666666667</v>
      </c>
      <c r="R5" s="36">
        <f ca="1">OFFSET(总规划!N$260,MATCH($E5,总规划!$B$260:$B$335,0)-1,0)/$F5*$G5</f>
        <v>1.66666666666667</v>
      </c>
      <c r="S5" s="36" t="str">
        <f ca="1">OFFSET(总规划!O$260,MATCH($E5,总规划!$B$260:$B$335,0)-1,0)</f>
        <v>1联盟币</v>
      </c>
      <c r="T5" s="36">
        <f ca="1">OFFSET(总规划!P$260,MATCH($E5,总规划!$B$260:$B$335,0)-1,0)/$F5*$G5</f>
        <v>2.08333333333333</v>
      </c>
      <c r="U5" s="36">
        <f ca="1">OFFSET(总规划!Q$260,MATCH($E5,总规划!$B$260:$B$335,0)-1,0)/$F5*$G5</f>
        <v>2.08333333333333</v>
      </c>
      <c r="V5" s="36" t="str">
        <f ca="1">OFFSET(总规划!R$260,MATCH($E5,总规划!$B$260:$B$335,0)-1,0)</f>
        <v>1空战币</v>
      </c>
    </row>
    <row r="6" spans="4:22">
      <c r="D6" s="36" t="s">
        <v>1543</v>
      </c>
      <c r="E6" s="36" t="s">
        <v>476</v>
      </c>
      <c r="F6" s="36">
        <v>1000000</v>
      </c>
      <c r="G6" s="36">
        <v>50000</v>
      </c>
      <c r="H6" s="36">
        <f ca="1">OFFSET(总规划!D$260,MATCH($E6,总规划!$B$260:$B$335,0)-1,0)/$F6*$G6</f>
        <v>0.0208333333333334</v>
      </c>
      <c r="I6" s="36">
        <f ca="1">OFFSET(总规划!E$260,MATCH($E6,总规划!$B$260:$B$335,0)-1,0)/$F6*$G6</f>
        <v>25</v>
      </c>
      <c r="J6" s="36">
        <f ca="1">OFFSET(总规划!F$260,MATCH($E6,总规划!$B$260:$B$335,0)-1,0)/$F6*$G6</f>
        <v>50</v>
      </c>
      <c r="K6" s="36">
        <f ca="1">OFFSET(总规划!G$260,MATCH($E6,总规划!$B$260:$B$335,0)-1,0)/$F6*$G6</f>
        <v>0.05</v>
      </c>
      <c r="L6" s="36">
        <f ca="1">OFFSET(总规划!H$260,MATCH($E6,总规划!$B$260:$B$335,0)-1,0)/$F6*$G6</f>
        <v>0.05</v>
      </c>
      <c r="M6" s="36" t="str">
        <f ca="1">OFFSET(总规划!I$260,MATCH($E6,总规划!$B$260:$B$335,0)-1,0)</f>
        <v>1M资源</v>
      </c>
      <c r="N6" s="36">
        <f ca="1">OFFSET(总规划!J$260,MATCH($E6,总规划!$B$260:$B$335,0)-1,0)/$F6*$G6</f>
        <v>20.8333333333333</v>
      </c>
      <c r="O6" s="36">
        <f ca="1">OFFSET(总规划!K$260,MATCH($E6,总规划!$B$260:$B$335,0)-1,0)/$F6*$G6</f>
        <v>20.8333333333333</v>
      </c>
      <c r="P6" s="36" t="str">
        <f ca="1">OFFSET(总规划!L$260,MATCH($E6,总规划!$B$260:$B$335,0)-1,0)</f>
        <v>1战役币</v>
      </c>
      <c r="Q6" s="36">
        <f ca="1">OFFSET(总规划!M$260,MATCH($E6,总规划!$B$260:$B$335,0)-1,0)/$F6*$G6</f>
        <v>8.33333333333335</v>
      </c>
      <c r="R6" s="36">
        <f ca="1">OFFSET(总规划!N$260,MATCH($E6,总规划!$B$260:$B$335,0)-1,0)/$F6*$G6</f>
        <v>8.33333333333335</v>
      </c>
      <c r="S6" s="36" t="str">
        <f ca="1">OFFSET(总规划!O$260,MATCH($E6,总规划!$B$260:$B$335,0)-1,0)</f>
        <v>1联盟币</v>
      </c>
      <c r="T6" s="36">
        <f ca="1">OFFSET(总规划!P$260,MATCH($E6,总规划!$B$260:$B$335,0)-1,0)/$F6*$G6</f>
        <v>10.4166666666667</v>
      </c>
      <c r="U6" s="36">
        <f ca="1">OFFSET(总规划!Q$260,MATCH($E6,总规划!$B$260:$B$335,0)-1,0)/$F6*$G6</f>
        <v>10.4166666666667</v>
      </c>
      <c r="V6" s="36" t="str">
        <f ca="1">OFFSET(总规划!R$260,MATCH($E6,总规划!$B$260:$B$335,0)-1,0)</f>
        <v>1空战币</v>
      </c>
    </row>
    <row r="7" spans="4:22">
      <c r="D7" s="36" t="s">
        <v>1756</v>
      </c>
      <c r="E7" s="36" t="s">
        <v>476</v>
      </c>
      <c r="F7" s="36">
        <v>1000000</v>
      </c>
      <c r="G7" s="36">
        <v>150000</v>
      </c>
      <c r="H7" s="36">
        <f ca="1">OFFSET(总规划!D$260,MATCH($E7,总规划!$B$260:$B$335,0)-1,0)/$F7*$G7</f>
        <v>0.0625000000000001</v>
      </c>
      <c r="I7" s="36">
        <f ca="1">OFFSET(总规划!E$260,MATCH($E7,总规划!$B$260:$B$335,0)-1,0)/$F7*$G7</f>
        <v>75</v>
      </c>
      <c r="J7" s="36">
        <f ca="1">OFFSET(总规划!F$260,MATCH($E7,总规划!$B$260:$B$335,0)-1,0)/$F7*$G7</f>
        <v>150</v>
      </c>
      <c r="K7" s="36">
        <f ca="1">OFFSET(总规划!G$260,MATCH($E7,总规划!$B$260:$B$335,0)-1,0)/$F7*$G7</f>
        <v>0.15</v>
      </c>
      <c r="L7" s="36">
        <f ca="1">OFFSET(总规划!H$260,MATCH($E7,总规划!$B$260:$B$335,0)-1,0)/$F7*$G7</f>
        <v>0.15</v>
      </c>
      <c r="M7" s="36" t="str">
        <f ca="1">OFFSET(总规划!I$260,MATCH($E7,总规划!$B$260:$B$335,0)-1,0)</f>
        <v>1M资源</v>
      </c>
      <c r="N7" s="36">
        <f ca="1">OFFSET(总规划!J$260,MATCH($E7,总规划!$B$260:$B$335,0)-1,0)/$F7*$G7</f>
        <v>62.5</v>
      </c>
      <c r="O7" s="36">
        <f ca="1">OFFSET(总规划!K$260,MATCH($E7,总规划!$B$260:$B$335,0)-1,0)/$F7*$G7</f>
        <v>62.5</v>
      </c>
      <c r="P7" s="36" t="str">
        <f ca="1">OFFSET(总规划!L$260,MATCH($E7,总规划!$B$260:$B$335,0)-1,0)</f>
        <v>1战役币</v>
      </c>
      <c r="Q7" s="36">
        <f ca="1">OFFSET(总规划!M$260,MATCH($E7,总规划!$B$260:$B$335,0)-1,0)/$F7*$G7</f>
        <v>25</v>
      </c>
      <c r="R7" s="36">
        <f ca="1">OFFSET(总规划!N$260,MATCH($E7,总规划!$B$260:$B$335,0)-1,0)/$F7*$G7</f>
        <v>25</v>
      </c>
      <c r="S7" s="36" t="str">
        <f ca="1">OFFSET(总规划!O$260,MATCH($E7,总规划!$B$260:$B$335,0)-1,0)</f>
        <v>1联盟币</v>
      </c>
      <c r="T7" s="36">
        <f ca="1">OFFSET(总规划!P$260,MATCH($E7,总规划!$B$260:$B$335,0)-1,0)/$F7*$G7</f>
        <v>31.25</v>
      </c>
      <c r="U7" s="36">
        <f ca="1">OFFSET(总规划!Q$260,MATCH($E7,总规划!$B$260:$B$335,0)-1,0)/$F7*$G7</f>
        <v>31.25</v>
      </c>
      <c r="V7" s="36" t="str">
        <f ca="1">OFFSET(总规划!R$260,MATCH($E7,总规划!$B$260:$B$335,0)-1,0)</f>
        <v>1空战币</v>
      </c>
    </row>
    <row r="8" spans="4:22">
      <c r="D8" s="36" t="s">
        <v>1632</v>
      </c>
      <c r="E8" s="36" t="s">
        <v>476</v>
      </c>
      <c r="F8" s="36">
        <v>1000000</v>
      </c>
      <c r="G8" s="36">
        <v>500000</v>
      </c>
      <c r="H8" s="36">
        <f ca="1">OFFSET(总规划!D$260,MATCH($E8,总规划!$B$260:$B$335,0)-1,0)/$F8*$G8</f>
        <v>0.208333333333334</v>
      </c>
      <c r="I8" s="36">
        <f ca="1">OFFSET(总规划!E$260,MATCH($E8,总规划!$B$260:$B$335,0)-1,0)/$F8*$G8</f>
        <v>250</v>
      </c>
      <c r="J8" s="36">
        <f ca="1">OFFSET(总规划!F$260,MATCH($E8,总规划!$B$260:$B$335,0)-1,0)/$F8*$G8</f>
        <v>500</v>
      </c>
      <c r="K8" s="36">
        <f ca="1">OFFSET(总规划!G$260,MATCH($E8,总规划!$B$260:$B$335,0)-1,0)/$F8*$G8</f>
        <v>0.5</v>
      </c>
      <c r="L8" s="36">
        <f ca="1">OFFSET(总规划!H$260,MATCH($E8,总规划!$B$260:$B$335,0)-1,0)/$F8*$G8</f>
        <v>0.5</v>
      </c>
      <c r="M8" s="36" t="str">
        <f ca="1">OFFSET(总规划!I$260,MATCH($E8,总规划!$B$260:$B$335,0)-1,0)</f>
        <v>1M资源</v>
      </c>
      <c r="N8" s="36">
        <f ca="1">OFFSET(总规划!J$260,MATCH($E8,总规划!$B$260:$B$335,0)-1,0)/$F8*$G8</f>
        <v>208.333333333334</v>
      </c>
      <c r="O8" s="36">
        <f ca="1">OFFSET(总规划!K$260,MATCH($E8,总规划!$B$260:$B$335,0)-1,0)/$F8*$G8</f>
        <v>208.333333333334</v>
      </c>
      <c r="P8" s="36" t="str">
        <f ca="1">OFFSET(总规划!L$260,MATCH($E8,总规划!$B$260:$B$335,0)-1,0)</f>
        <v>1战役币</v>
      </c>
      <c r="Q8" s="36">
        <f ca="1">OFFSET(总规划!M$260,MATCH($E8,总规划!$B$260:$B$335,0)-1,0)/$F8*$G8</f>
        <v>83.3333333333335</v>
      </c>
      <c r="R8" s="36">
        <f ca="1">OFFSET(总规划!N$260,MATCH($E8,总规划!$B$260:$B$335,0)-1,0)/$F8*$G8</f>
        <v>83.3333333333335</v>
      </c>
      <c r="S8" s="36" t="str">
        <f ca="1">OFFSET(总规划!O$260,MATCH($E8,总规划!$B$260:$B$335,0)-1,0)</f>
        <v>1联盟币</v>
      </c>
      <c r="T8" s="36">
        <f ca="1">OFFSET(总规划!P$260,MATCH($E8,总规划!$B$260:$B$335,0)-1,0)/$F8*$G8</f>
        <v>104.166666666667</v>
      </c>
      <c r="U8" s="36">
        <f ca="1">OFFSET(总规划!Q$260,MATCH($E8,总规划!$B$260:$B$335,0)-1,0)/$F8*$G8</f>
        <v>104.166666666667</v>
      </c>
      <c r="V8" s="36" t="str">
        <f ca="1">OFFSET(总规划!R$260,MATCH($E8,总规划!$B$260:$B$335,0)-1,0)</f>
        <v>1空战币</v>
      </c>
    </row>
    <row r="9" spans="4:22">
      <c r="D9" s="36" t="s">
        <v>1759</v>
      </c>
      <c r="E9" s="36" t="s">
        <v>476</v>
      </c>
      <c r="F9" s="36">
        <v>1000000</v>
      </c>
      <c r="G9" s="36">
        <v>10000</v>
      </c>
      <c r="H9" s="36">
        <f ca="1">OFFSET(总规划!D$260,MATCH($E9,总规划!$B$260:$B$335,0)-1,0)/$F9*$G9</f>
        <v>0.00416666666666667</v>
      </c>
      <c r="I9" s="36">
        <f ca="1">OFFSET(总规划!E$260,MATCH($E9,总规划!$B$260:$B$335,0)-1,0)/$F9*$G9</f>
        <v>5</v>
      </c>
      <c r="J9" s="36">
        <f ca="1">OFFSET(总规划!F$260,MATCH($E9,总规划!$B$260:$B$335,0)-1,0)/$F9*$G9</f>
        <v>10</v>
      </c>
      <c r="K9" s="36">
        <f ca="1">OFFSET(总规划!G$260,MATCH($E9,总规划!$B$260:$B$335,0)-1,0)/$F9*$G9</f>
        <v>0.01</v>
      </c>
      <c r="L9" s="36">
        <f ca="1">OFFSET(总规划!H$260,MATCH($E9,总规划!$B$260:$B$335,0)-1,0)/$F9*$G9</f>
        <v>0.01</v>
      </c>
      <c r="M9" s="36" t="str">
        <f ca="1">OFFSET(总规划!I$260,MATCH($E9,总规划!$B$260:$B$335,0)-1,0)</f>
        <v>1M资源</v>
      </c>
      <c r="N9" s="36">
        <f ca="1">OFFSET(总规划!J$260,MATCH($E9,总规划!$B$260:$B$335,0)-1,0)/$F9*$G9</f>
        <v>4.16666666666667</v>
      </c>
      <c r="O9" s="36">
        <f ca="1">OFFSET(总规划!K$260,MATCH($E9,总规划!$B$260:$B$335,0)-1,0)/$F9*$G9</f>
        <v>4.16666666666667</v>
      </c>
      <c r="P9" s="36" t="str">
        <f ca="1">OFFSET(总规划!L$260,MATCH($E9,总规划!$B$260:$B$335,0)-1,0)</f>
        <v>1战役币</v>
      </c>
      <c r="Q9" s="36">
        <f ca="1">OFFSET(总规划!M$260,MATCH($E9,总规划!$B$260:$B$335,0)-1,0)/$F9*$G9</f>
        <v>1.66666666666667</v>
      </c>
      <c r="R9" s="36">
        <f ca="1">OFFSET(总规划!N$260,MATCH($E9,总规划!$B$260:$B$335,0)-1,0)/$F9*$G9</f>
        <v>1.66666666666667</v>
      </c>
      <c r="S9" s="36" t="str">
        <f ca="1">OFFSET(总规划!O$260,MATCH($E9,总规划!$B$260:$B$335,0)-1,0)</f>
        <v>1联盟币</v>
      </c>
      <c r="T9" s="36">
        <f ca="1">OFFSET(总规划!P$260,MATCH($E9,总规划!$B$260:$B$335,0)-1,0)/$F9*$G9</f>
        <v>2.08333333333333</v>
      </c>
      <c r="U9" s="36">
        <f ca="1">OFFSET(总规划!Q$260,MATCH($E9,总规划!$B$260:$B$335,0)-1,0)/$F9*$G9</f>
        <v>2.08333333333333</v>
      </c>
      <c r="V9" s="36" t="str">
        <f ca="1">OFFSET(总规划!R$260,MATCH($E9,总规划!$B$260:$B$335,0)-1,0)</f>
        <v>1空战币</v>
      </c>
    </row>
    <row r="10" spans="4:22">
      <c r="D10" s="36" t="s">
        <v>1545</v>
      </c>
      <c r="E10" s="36" t="s">
        <v>476</v>
      </c>
      <c r="F10" s="36">
        <v>1000000</v>
      </c>
      <c r="G10" s="36">
        <v>50000</v>
      </c>
      <c r="H10" s="36">
        <f ca="1">OFFSET(总规划!D$260,MATCH($E10,总规划!$B$260:$B$335,0)-1,0)/$F10*$G10</f>
        <v>0.0208333333333334</v>
      </c>
      <c r="I10" s="36">
        <f ca="1">OFFSET(总规划!E$260,MATCH($E10,总规划!$B$260:$B$335,0)-1,0)/$F10*$G10</f>
        <v>25</v>
      </c>
      <c r="J10" s="36">
        <f ca="1">OFFSET(总规划!F$260,MATCH($E10,总规划!$B$260:$B$335,0)-1,0)/$F10*$G10</f>
        <v>50</v>
      </c>
      <c r="K10" s="36">
        <f ca="1">OFFSET(总规划!G$260,MATCH($E10,总规划!$B$260:$B$335,0)-1,0)/$F10*$G10</f>
        <v>0.05</v>
      </c>
      <c r="L10" s="36">
        <f ca="1">OFFSET(总规划!H$260,MATCH($E10,总规划!$B$260:$B$335,0)-1,0)/$F10*$G10</f>
        <v>0.05</v>
      </c>
      <c r="M10" s="36" t="str">
        <f ca="1">OFFSET(总规划!I$260,MATCH($E10,总规划!$B$260:$B$335,0)-1,0)</f>
        <v>1M资源</v>
      </c>
      <c r="N10" s="36">
        <f ca="1">OFFSET(总规划!J$260,MATCH($E10,总规划!$B$260:$B$335,0)-1,0)/$F10*$G10</f>
        <v>20.8333333333333</v>
      </c>
      <c r="O10" s="36">
        <f ca="1">OFFSET(总规划!K$260,MATCH($E10,总规划!$B$260:$B$335,0)-1,0)/$F10*$G10</f>
        <v>20.8333333333333</v>
      </c>
      <c r="P10" s="36" t="str">
        <f ca="1">OFFSET(总规划!L$260,MATCH($E10,总规划!$B$260:$B$335,0)-1,0)</f>
        <v>1战役币</v>
      </c>
      <c r="Q10" s="36">
        <f ca="1">OFFSET(总规划!M$260,MATCH($E10,总规划!$B$260:$B$335,0)-1,0)/$F10*$G10</f>
        <v>8.33333333333335</v>
      </c>
      <c r="R10" s="36">
        <f ca="1">OFFSET(总规划!N$260,MATCH($E10,总规划!$B$260:$B$335,0)-1,0)/$F10*$G10</f>
        <v>8.33333333333335</v>
      </c>
      <c r="S10" s="36" t="str">
        <f ca="1">OFFSET(总规划!O$260,MATCH($E10,总规划!$B$260:$B$335,0)-1,0)</f>
        <v>1联盟币</v>
      </c>
      <c r="T10" s="36">
        <f ca="1">OFFSET(总规划!P$260,MATCH($E10,总规划!$B$260:$B$335,0)-1,0)/$F10*$G10</f>
        <v>10.4166666666667</v>
      </c>
      <c r="U10" s="36">
        <f ca="1">OFFSET(总规划!Q$260,MATCH($E10,总规划!$B$260:$B$335,0)-1,0)/$F10*$G10</f>
        <v>10.4166666666667</v>
      </c>
      <c r="V10" s="36" t="str">
        <f ca="1">OFFSET(总规划!R$260,MATCH($E10,总规划!$B$260:$B$335,0)-1,0)</f>
        <v>1空战币</v>
      </c>
    </row>
    <row r="11" spans="4:22">
      <c r="D11" s="36" t="s">
        <v>1763</v>
      </c>
      <c r="E11" s="36" t="s">
        <v>476</v>
      </c>
      <c r="F11" s="36">
        <v>1000000</v>
      </c>
      <c r="G11" s="36">
        <v>150000</v>
      </c>
      <c r="H11" s="36">
        <f ca="1">OFFSET(总规划!D$260,MATCH($E11,总规划!$B$260:$B$335,0)-1,0)/$F11*$G11</f>
        <v>0.0625000000000001</v>
      </c>
      <c r="I11" s="36">
        <f ca="1">OFFSET(总规划!E$260,MATCH($E11,总规划!$B$260:$B$335,0)-1,0)/$F11*$G11</f>
        <v>75</v>
      </c>
      <c r="J11" s="36">
        <f ca="1">OFFSET(总规划!F$260,MATCH($E11,总规划!$B$260:$B$335,0)-1,0)/$F11*$G11</f>
        <v>150</v>
      </c>
      <c r="K11" s="36">
        <f ca="1">OFFSET(总规划!G$260,MATCH($E11,总规划!$B$260:$B$335,0)-1,0)/$F11*$G11</f>
        <v>0.15</v>
      </c>
      <c r="L11" s="36">
        <f ca="1">OFFSET(总规划!H$260,MATCH($E11,总规划!$B$260:$B$335,0)-1,0)/$F11*$G11</f>
        <v>0.15</v>
      </c>
      <c r="M11" s="36" t="str">
        <f ca="1">OFFSET(总规划!I$260,MATCH($E11,总规划!$B$260:$B$335,0)-1,0)</f>
        <v>1M资源</v>
      </c>
      <c r="N11" s="36">
        <f ca="1">OFFSET(总规划!J$260,MATCH($E11,总规划!$B$260:$B$335,0)-1,0)/$F11*$G11</f>
        <v>62.5</v>
      </c>
      <c r="O11" s="36">
        <f ca="1">OFFSET(总规划!K$260,MATCH($E11,总规划!$B$260:$B$335,0)-1,0)/$F11*$G11</f>
        <v>62.5</v>
      </c>
      <c r="P11" s="36" t="str">
        <f ca="1">OFFSET(总规划!L$260,MATCH($E11,总规划!$B$260:$B$335,0)-1,0)</f>
        <v>1战役币</v>
      </c>
      <c r="Q11" s="36">
        <f ca="1">OFFSET(总规划!M$260,MATCH($E11,总规划!$B$260:$B$335,0)-1,0)/$F11*$G11</f>
        <v>25</v>
      </c>
      <c r="R11" s="36">
        <f ca="1">OFFSET(总规划!N$260,MATCH($E11,总规划!$B$260:$B$335,0)-1,0)/$F11*$G11</f>
        <v>25</v>
      </c>
      <c r="S11" s="36" t="str">
        <f ca="1">OFFSET(总规划!O$260,MATCH($E11,总规划!$B$260:$B$335,0)-1,0)</f>
        <v>1联盟币</v>
      </c>
      <c r="T11" s="36">
        <f ca="1">OFFSET(总规划!P$260,MATCH($E11,总规划!$B$260:$B$335,0)-1,0)/$F11*$G11</f>
        <v>31.25</v>
      </c>
      <c r="U11" s="36">
        <f ca="1">OFFSET(总规划!Q$260,MATCH($E11,总规划!$B$260:$B$335,0)-1,0)/$F11*$G11</f>
        <v>31.25</v>
      </c>
      <c r="V11" s="36" t="str">
        <f ca="1">OFFSET(总规划!R$260,MATCH($E11,总规划!$B$260:$B$335,0)-1,0)</f>
        <v>1空战币</v>
      </c>
    </row>
    <row r="12" spans="4:22">
      <c r="D12" s="36" t="s">
        <v>1634</v>
      </c>
      <c r="E12" s="36" t="s">
        <v>476</v>
      </c>
      <c r="F12" s="36">
        <v>1000000</v>
      </c>
      <c r="G12" s="36">
        <v>500000</v>
      </c>
      <c r="H12" s="36">
        <f ca="1">OFFSET(总规划!D$260,MATCH($E12,总规划!$B$260:$B$335,0)-1,0)/$F12*$G12</f>
        <v>0.208333333333334</v>
      </c>
      <c r="I12" s="36">
        <f ca="1">OFFSET(总规划!E$260,MATCH($E12,总规划!$B$260:$B$335,0)-1,0)/$F12*$G12</f>
        <v>250</v>
      </c>
      <c r="J12" s="36">
        <f ca="1">OFFSET(总规划!F$260,MATCH($E12,总规划!$B$260:$B$335,0)-1,0)/$F12*$G12</f>
        <v>500</v>
      </c>
      <c r="K12" s="36">
        <f ca="1">OFFSET(总规划!G$260,MATCH($E12,总规划!$B$260:$B$335,0)-1,0)/$F12*$G12</f>
        <v>0.5</v>
      </c>
      <c r="L12" s="36">
        <f ca="1">OFFSET(总规划!H$260,MATCH($E12,总规划!$B$260:$B$335,0)-1,0)/$F12*$G12</f>
        <v>0.5</v>
      </c>
      <c r="M12" s="36" t="str">
        <f ca="1">OFFSET(总规划!I$260,MATCH($E12,总规划!$B$260:$B$335,0)-1,0)</f>
        <v>1M资源</v>
      </c>
      <c r="N12" s="36">
        <f ca="1">OFFSET(总规划!J$260,MATCH($E12,总规划!$B$260:$B$335,0)-1,0)/$F12*$G12</f>
        <v>208.333333333334</v>
      </c>
      <c r="O12" s="36">
        <f ca="1">OFFSET(总规划!K$260,MATCH($E12,总规划!$B$260:$B$335,0)-1,0)/$F12*$G12</f>
        <v>208.333333333334</v>
      </c>
      <c r="P12" s="36" t="str">
        <f ca="1">OFFSET(总规划!L$260,MATCH($E12,总规划!$B$260:$B$335,0)-1,0)</f>
        <v>1战役币</v>
      </c>
      <c r="Q12" s="36">
        <f ca="1">OFFSET(总规划!M$260,MATCH($E12,总规划!$B$260:$B$335,0)-1,0)/$F12*$G12</f>
        <v>83.3333333333335</v>
      </c>
      <c r="R12" s="36">
        <f ca="1">OFFSET(总规划!N$260,MATCH($E12,总规划!$B$260:$B$335,0)-1,0)/$F12*$G12</f>
        <v>83.3333333333335</v>
      </c>
      <c r="S12" s="36" t="str">
        <f ca="1">OFFSET(总规划!O$260,MATCH($E12,总规划!$B$260:$B$335,0)-1,0)</f>
        <v>1联盟币</v>
      </c>
      <c r="T12" s="36">
        <f ca="1">OFFSET(总规划!P$260,MATCH($E12,总规划!$B$260:$B$335,0)-1,0)/$F12*$G12</f>
        <v>104.166666666667</v>
      </c>
      <c r="U12" s="36">
        <f ca="1">OFFSET(总规划!Q$260,MATCH($E12,总规划!$B$260:$B$335,0)-1,0)/$F12*$G12</f>
        <v>104.166666666667</v>
      </c>
      <c r="V12" s="36" t="str">
        <f ca="1">OFFSET(总规划!R$260,MATCH($E12,总规划!$B$260:$B$335,0)-1,0)</f>
        <v>1空战币</v>
      </c>
    </row>
    <row r="13" spans="4:22">
      <c r="D13" s="36" t="s">
        <v>1766</v>
      </c>
      <c r="E13" s="36" t="s">
        <v>476</v>
      </c>
      <c r="F13" s="36">
        <v>1000000</v>
      </c>
      <c r="G13" s="36">
        <v>10000</v>
      </c>
      <c r="H13" s="36">
        <f ca="1">OFFSET(总规划!D$260,MATCH($E13,总规划!$B$260:$B$335,0)-1,0)/$F13*$G13</f>
        <v>0.00416666666666667</v>
      </c>
      <c r="I13" s="36">
        <f ca="1">OFFSET(总规划!E$260,MATCH($E13,总规划!$B$260:$B$335,0)-1,0)/$F13*$G13</f>
        <v>5</v>
      </c>
      <c r="J13" s="36">
        <f ca="1">OFFSET(总规划!F$260,MATCH($E13,总规划!$B$260:$B$335,0)-1,0)/$F13*$G13</f>
        <v>10</v>
      </c>
      <c r="K13" s="36">
        <f ca="1">OFFSET(总规划!G$260,MATCH($E13,总规划!$B$260:$B$335,0)-1,0)/$F13*$G13</f>
        <v>0.01</v>
      </c>
      <c r="L13" s="36">
        <f ca="1">OFFSET(总规划!H$260,MATCH($E13,总规划!$B$260:$B$335,0)-1,0)/$F13*$G13</f>
        <v>0.01</v>
      </c>
      <c r="M13" s="36" t="str">
        <f ca="1">OFFSET(总规划!I$260,MATCH($E13,总规划!$B$260:$B$335,0)-1,0)</f>
        <v>1M资源</v>
      </c>
      <c r="N13" s="36">
        <f ca="1">OFFSET(总规划!J$260,MATCH($E13,总规划!$B$260:$B$335,0)-1,0)/$F13*$G13</f>
        <v>4.16666666666667</v>
      </c>
      <c r="O13" s="36">
        <f ca="1">OFFSET(总规划!K$260,MATCH($E13,总规划!$B$260:$B$335,0)-1,0)/$F13*$G13</f>
        <v>4.16666666666667</v>
      </c>
      <c r="P13" s="36" t="str">
        <f ca="1">OFFSET(总规划!L$260,MATCH($E13,总规划!$B$260:$B$335,0)-1,0)</f>
        <v>1战役币</v>
      </c>
      <c r="Q13" s="36">
        <f ca="1">OFFSET(总规划!M$260,MATCH($E13,总规划!$B$260:$B$335,0)-1,0)/$F13*$G13</f>
        <v>1.66666666666667</v>
      </c>
      <c r="R13" s="36">
        <f ca="1">OFFSET(总规划!N$260,MATCH($E13,总规划!$B$260:$B$335,0)-1,0)/$F13*$G13</f>
        <v>1.66666666666667</v>
      </c>
      <c r="S13" s="36" t="str">
        <f ca="1">OFFSET(总规划!O$260,MATCH($E13,总规划!$B$260:$B$335,0)-1,0)</f>
        <v>1联盟币</v>
      </c>
      <c r="T13" s="36">
        <f ca="1">OFFSET(总规划!P$260,MATCH($E13,总规划!$B$260:$B$335,0)-1,0)/$F13*$G13</f>
        <v>2.08333333333333</v>
      </c>
      <c r="U13" s="36">
        <f ca="1">OFFSET(总规划!Q$260,MATCH($E13,总规划!$B$260:$B$335,0)-1,0)/$F13*$G13</f>
        <v>2.08333333333333</v>
      </c>
      <c r="V13" s="36" t="str">
        <f ca="1">OFFSET(总规划!R$260,MATCH($E13,总规划!$B$260:$B$335,0)-1,0)</f>
        <v>1空战币</v>
      </c>
    </row>
    <row r="14" spans="4:22">
      <c r="D14" s="36" t="s">
        <v>1547</v>
      </c>
      <c r="E14" s="36" t="s">
        <v>476</v>
      </c>
      <c r="F14" s="36">
        <v>1000000</v>
      </c>
      <c r="G14" s="36">
        <v>50000</v>
      </c>
      <c r="H14" s="36">
        <f ca="1">OFFSET(总规划!D$260,MATCH($E14,总规划!$B$260:$B$335,0)-1,0)/$F14*$G14</f>
        <v>0.0208333333333334</v>
      </c>
      <c r="I14" s="36">
        <f ca="1">OFFSET(总规划!E$260,MATCH($E14,总规划!$B$260:$B$335,0)-1,0)/$F14*$G14</f>
        <v>25</v>
      </c>
      <c r="J14" s="36">
        <f ca="1">OFFSET(总规划!F$260,MATCH($E14,总规划!$B$260:$B$335,0)-1,0)/$F14*$G14</f>
        <v>50</v>
      </c>
      <c r="K14" s="36">
        <f ca="1">OFFSET(总规划!G$260,MATCH($E14,总规划!$B$260:$B$335,0)-1,0)/$F14*$G14</f>
        <v>0.05</v>
      </c>
      <c r="L14" s="36">
        <f ca="1">OFFSET(总规划!H$260,MATCH($E14,总规划!$B$260:$B$335,0)-1,0)/$F14*$G14</f>
        <v>0.05</v>
      </c>
      <c r="M14" s="36" t="str">
        <f ca="1">OFFSET(总规划!I$260,MATCH($E14,总规划!$B$260:$B$335,0)-1,0)</f>
        <v>1M资源</v>
      </c>
      <c r="N14" s="36">
        <f ca="1">OFFSET(总规划!J$260,MATCH($E14,总规划!$B$260:$B$335,0)-1,0)/$F14*$G14</f>
        <v>20.8333333333333</v>
      </c>
      <c r="O14" s="36">
        <f ca="1">OFFSET(总规划!K$260,MATCH($E14,总规划!$B$260:$B$335,0)-1,0)/$F14*$G14</f>
        <v>20.8333333333333</v>
      </c>
      <c r="P14" s="36" t="str">
        <f ca="1">OFFSET(总规划!L$260,MATCH($E14,总规划!$B$260:$B$335,0)-1,0)</f>
        <v>1战役币</v>
      </c>
      <c r="Q14" s="36">
        <f ca="1">OFFSET(总规划!M$260,MATCH($E14,总规划!$B$260:$B$335,0)-1,0)/$F14*$G14</f>
        <v>8.33333333333335</v>
      </c>
      <c r="R14" s="36">
        <f ca="1">OFFSET(总规划!N$260,MATCH($E14,总规划!$B$260:$B$335,0)-1,0)/$F14*$G14</f>
        <v>8.33333333333335</v>
      </c>
      <c r="S14" s="36" t="str">
        <f ca="1">OFFSET(总规划!O$260,MATCH($E14,总规划!$B$260:$B$335,0)-1,0)</f>
        <v>1联盟币</v>
      </c>
      <c r="T14" s="36">
        <f ca="1">OFFSET(总规划!P$260,MATCH($E14,总规划!$B$260:$B$335,0)-1,0)/$F14*$G14</f>
        <v>10.4166666666667</v>
      </c>
      <c r="U14" s="36">
        <f ca="1">OFFSET(总规划!Q$260,MATCH($E14,总规划!$B$260:$B$335,0)-1,0)/$F14*$G14</f>
        <v>10.4166666666667</v>
      </c>
      <c r="V14" s="36" t="str">
        <f ca="1">OFFSET(总规划!R$260,MATCH($E14,总规划!$B$260:$B$335,0)-1,0)</f>
        <v>1空战币</v>
      </c>
    </row>
    <row r="15" spans="4:22">
      <c r="D15" s="36" t="s">
        <v>1770</v>
      </c>
      <c r="E15" s="36" t="s">
        <v>476</v>
      </c>
      <c r="F15" s="36">
        <v>1000000</v>
      </c>
      <c r="G15" s="36">
        <v>150000</v>
      </c>
      <c r="H15" s="36">
        <f ca="1">OFFSET(总规划!D$260,MATCH($E15,总规划!$B$260:$B$335,0)-1,0)/$F15*$G15</f>
        <v>0.0625000000000001</v>
      </c>
      <c r="I15" s="36">
        <f ca="1">OFFSET(总规划!E$260,MATCH($E15,总规划!$B$260:$B$335,0)-1,0)/$F15*$G15</f>
        <v>75</v>
      </c>
      <c r="J15" s="36">
        <f ca="1">OFFSET(总规划!F$260,MATCH($E15,总规划!$B$260:$B$335,0)-1,0)/$F15*$G15</f>
        <v>150</v>
      </c>
      <c r="K15" s="36">
        <f ca="1">OFFSET(总规划!G$260,MATCH($E15,总规划!$B$260:$B$335,0)-1,0)/$F15*$G15</f>
        <v>0.15</v>
      </c>
      <c r="L15" s="36">
        <f ca="1">OFFSET(总规划!H$260,MATCH($E15,总规划!$B$260:$B$335,0)-1,0)/$F15*$G15</f>
        <v>0.15</v>
      </c>
      <c r="M15" s="36" t="str">
        <f ca="1">OFFSET(总规划!I$260,MATCH($E15,总规划!$B$260:$B$335,0)-1,0)</f>
        <v>1M资源</v>
      </c>
      <c r="N15" s="36">
        <f ca="1">OFFSET(总规划!J$260,MATCH($E15,总规划!$B$260:$B$335,0)-1,0)/$F15*$G15</f>
        <v>62.5</v>
      </c>
      <c r="O15" s="36">
        <f ca="1">OFFSET(总规划!K$260,MATCH($E15,总规划!$B$260:$B$335,0)-1,0)/$F15*$G15</f>
        <v>62.5</v>
      </c>
      <c r="P15" s="36" t="str">
        <f ca="1">OFFSET(总规划!L$260,MATCH($E15,总规划!$B$260:$B$335,0)-1,0)</f>
        <v>1战役币</v>
      </c>
      <c r="Q15" s="36">
        <f ca="1">OFFSET(总规划!M$260,MATCH($E15,总规划!$B$260:$B$335,0)-1,0)/$F15*$G15</f>
        <v>25</v>
      </c>
      <c r="R15" s="36">
        <f ca="1">OFFSET(总规划!N$260,MATCH($E15,总规划!$B$260:$B$335,0)-1,0)/$F15*$G15</f>
        <v>25</v>
      </c>
      <c r="S15" s="36" t="str">
        <f ca="1">OFFSET(总规划!O$260,MATCH($E15,总规划!$B$260:$B$335,0)-1,0)</f>
        <v>1联盟币</v>
      </c>
      <c r="T15" s="36">
        <f ca="1">OFFSET(总规划!P$260,MATCH($E15,总规划!$B$260:$B$335,0)-1,0)/$F15*$G15</f>
        <v>31.25</v>
      </c>
      <c r="U15" s="36">
        <f ca="1">OFFSET(总规划!Q$260,MATCH($E15,总规划!$B$260:$B$335,0)-1,0)/$F15*$G15</f>
        <v>31.25</v>
      </c>
      <c r="V15" s="36" t="str">
        <f ca="1">OFFSET(总规划!R$260,MATCH($E15,总规划!$B$260:$B$335,0)-1,0)</f>
        <v>1空战币</v>
      </c>
    </row>
    <row r="16" spans="4:22">
      <c r="D16" s="36" t="s">
        <v>1636</v>
      </c>
      <c r="E16" s="36" t="s">
        <v>476</v>
      </c>
      <c r="F16" s="36">
        <v>1000000</v>
      </c>
      <c r="G16" s="36">
        <v>500000</v>
      </c>
      <c r="H16" s="36">
        <f ca="1">OFFSET(总规划!D$260,MATCH($E16,总规划!$B$260:$B$335,0)-1,0)/$F16*$G16</f>
        <v>0.208333333333334</v>
      </c>
      <c r="I16" s="36">
        <f ca="1">OFFSET(总规划!E$260,MATCH($E16,总规划!$B$260:$B$335,0)-1,0)/$F16*$G16</f>
        <v>250</v>
      </c>
      <c r="J16" s="36">
        <f ca="1">OFFSET(总规划!F$260,MATCH($E16,总规划!$B$260:$B$335,0)-1,0)/$F16*$G16</f>
        <v>500</v>
      </c>
      <c r="K16" s="36">
        <f ca="1">OFFSET(总规划!G$260,MATCH($E16,总规划!$B$260:$B$335,0)-1,0)/$F16*$G16</f>
        <v>0.5</v>
      </c>
      <c r="L16" s="36">
        <f ca="1">OFFSET(总规划!H$260,MATCH($E16,总规划!$B$260:$B$335,0)-1,0)/$F16*$G16</f>
        <v>0.5</v>
      </c>
      <c r="M16" s="36" t="str">
        <f ca="1">OFFSET(总规划!I$260,MATCH($E16,总规划!$B$260:$B$335,0)-1,0)</f>
        <v>1M资源</v>
      </c>
      <c r="N16" s="36">
        <f ca="1">OFFSET(总规划!J$260,MATCH($E16,总规划!$B$260:$B$335,0)-1,0)/$F16*$G16</f>
        <v>208.333333333334</v>
      </c>
      <c r="O16" s="36">
        <f ca="1">OFFSET(总规划!K$260,MATCH($E16,总规划!$B$260:$B$335,0)-1,0)/$F16*$G16</f>
        <v>208.333333333334</v>
      </c>
      <c r="P16" s="36" t="str">
        <f ca="1">OFFSET(总规划!L$260,MATCH($E16,总规划!$B$260:$B$335,0)-1,0)</f>
        <v>1战役币</v>
      </c>
      <c r="Q16" s="36">
        <f ca="1">OFFSET(总规划!M$260,MATCH($E16,总规划!$B$260:$B$335,0)-1,0)/$F16*$G16</f>
        <v>83.3333333333335</v>
      </c>
      <c r="R16" s="36">
        <f ca="1">OFFSET(总规划!N$260,MATCH($E16,总规划!$B$260:$B$335,0)-1,0)/$F16*$G16</f>
        <v>83.3333333333335</v>
      </c>
      <c r="S16" s="36" t="str">
        <f ca="1">OFFSET(总规划!O$260,MATCH($E16,总规划!$B$260:$B$335,0)-1,0)</f>
        <v>1联盟币</v>
      </c>
      <c r="T16" s="36">
        <f ca="1">OFFSET(总规划!P$260,MATCH($E16,总规划!$B$260:$B$335,0)-1,0)/$F16*$G16</f>
        <v>104.166666666667</v>
      </c>
      <c r="U16" s="36">
        <f ca="1">OFFSET(总规划!Q$260,MATCH($E16,总规划!$B$260:$B$335,0)-1,0)/$F16*$G16</f>
        <v>104.166666666667</v>
      </c>
      <c r="V16" s="36" t="str">
        <f ca="1">OFFSET(总规划!R$260,MATCH($E16,总规划!$B$260:$B$335,0)-1,0)</f>
        <v>1空战币</v>
      </c>
    </row>
    <row r="17" spans="4:22">
      <c r="D17" s="36" t="s">
        <v>2490</v>
      </c>
      <c r="E17" s="36" t="s">
        <v>478</v>
      </c>
      <c r="F17" s="36">
        <f>60*24</f>
        <v>1440</v>
      </c>
      <c r="G17" s="36">
        <v>1</v>
      </c>
      <c r="H17" s="36">
        <f ca="1">OFFSET(总规划!D$260,MATCH($E17,总规划!$B$260:$B$335,0)-1,0)/$F17*$G17</f>
        <v>0.00108506944444444</v>
      </c>
      <c r="I17" s="36">
        <f ca="1">OFFSET(总规划!E$260,MATCH($E17,总规划!$B$260:$B$335,0)-1,0)/$F17*$G17</f>
        <v>1.30208333333333</v>
      </c>
      <c r="J17" s="36">
        <f ca="1">OFFSET(总规划!F$260,MATCH($E17,总规划!$B$260:$B$335,0)-1,0)/$F17*$G17</f>
        <v>3</v>
      </c>
      <c r="K17" s="36">
        <f ca="1">OFFSET(总规划!G$260,MATCH($E17,总规划!$B$260:$B$335,0)-1,0)/$F17*$G17</f>
        <v>0.00260416666666667</v>
      </c>
      <c r="L17" s="36">
        <f ca="1">OFFSET(总规划!H$260,MATCH($E17,总规划!$B$260:$B$335,0)-1,0)/$F17*$G17</f>
        <v>0.003</v>
      </c>
      <c r="M17" s="36" t="str">
        <f ca="1">OFFSET(总规划!I$260,MATCH($E17,总规划!$B$260:$B$335,0)-1,0)</f>
        <v>1M资源</v>
      </c>
      <c r="N17" s="36">
        <f ca="1">OFFSET(总规划!J$260,MATCH($E17,总规划!$B$260:$B$335,0)-1,0)/$F17*$G17</f>
        <v>1.08506944444444</v>
      </c>
      <c r="O17" s="36">
        <f ca="1">OFFSET(总规划!K$260,MATCH($E17,总规划!$B$260:$B$335,0)-1,0)/$F17*$G17</f>
        <v>1.25</v>
      </c>
      <c r="P17" s="36" t="str">
        <f ca="1">OFFSET(总规划!L$260,MATCH($E17,总规划!$B$260:$B$335,0)-1,0)</f>
        <v>1战役币</v>
      </c>
      <c r="Q17" s="36">
        <f ca="1">OFFSET(总规划!M$260,MATCH($E17,总规划!$B$260:$B$335,0)-1,0)/$F17*$G17</f>
        <v>0.434027777777778</v>
      </c>
      <c r="R17" s="36">
        <f ca="1">OFFSET(总规划!N$260,MATCH($E17,总规划!$B$260:$B$335,0)-1,0)/$F17*$G17</f>
        <v>0.5</v>
      </c>
      <c r="S17" s="36" t="str">
        <f ca="1">OFFSET(总规划!O$260,MATCH($E17,总规划!$B$260:$B$335,0)-1,0)</f>
        <v>1联盟币</v>
      </c>
      <c r="T17" s="36">
        <f ca="1">OFFSET(总规划!P$260,MATCH($E17,总规划!$B$260:$B$335,0)-1,0)/$F17*$G17</f>
        <v>0.542534722222222</v>
      </c>
      <c r="U17" s="36">
        <f ca="1">OFFSET(总规划!Q$260,MATCH($E17,总规划!$B$260:$B$335,0)-1,0)/$F17*$G17</f>
        <v>0.625</v>
      </c>
      <c r="V17" s="36" t="str">
        <f ca="1">OFFSET(总规划!R$260,MATCH($E17,总规划!$B$260:$B$335,0)-1,0)</f>
        <v>1空战币</v>
      </c>
    </row>
    <row r="18" spans="4:22">
      <c r="D18" s="36" t="s">
        <v>1862</v>
      </c>
      <c r="E18" s="36" t="s">
        <v>478</v>
      </c>
      <c r="F18" s="36">
        <f t="shared" ref="F18:F49" si="0">60*24</f>
        <v>1440</v>
      </c>
      <c r="G18" s="36">
        <v>3</v>
      </c>
      <c r="H18" s="36">
        <f ca="1">OFFSET(总规划!D$260,MATCH($E18,总规划!$B$260:$B$335,0)-1,0)/$F18*$G18</f>
        <v>0.00325520833333333</v>
      </c>
      <c r="I18" s="36">
        <f ca="1">OFFSET(总规划!E$260,MATCH($E18,总规划!$B$260:$B$335,0)-1,0)/$F18*$G18</f>
        <v>3.90625</v>
      </c>
      <c r="J18" s="36">
        <f ca="1">OFFSET(总规划!F$260,MATCH($E18,总规划!$B$260:$B$335,0)-1,0)/$F18*$G18</f>
        <v>9</v>
      </c>
      <c r="K18" s="36">
        <f ca="1">OFFSET(总规划!G$260,MATCH($E18,总规划!$B$260:$B$335,0)-1,0)/$F18*$G18</f>
        <v>0.0078125</v>
      </c>
      <c r="L18" s="36">
        <f ca="1">OFFSET(总规划!H$260,MATCH($E18,总规划!$B$260:$B$335,0)-1,0)/$F18*$G18</f>
        <v>0.009</v>
      </c>
      <c r="M18" s="36" t="str">
        <f ca="1">OFFSET(总规划!I$260,MATCH($E18,总规划!$B$260:$B$335,0)-1,0)</f>
        <v>1M资源</v>
      </c>
      <c r="N18" s="36">
        <f ca="1">OFFSET(总规划!J$260,MATCH($E18,总规划!$B$260:$B$335,0)-1,0)/$F18*$G18</f>
        <v>3.25520833333333</v>
      </c>
      <c r="O18" s="36">
        <f ca="1">OFFSET(总规划!K$260,MATCH($E18,总规划!$B$260:$B$335,0)-1,0)/$F18*$G18</f>
        <v>3.75</v>
      </c>
      <c r="P18" s="36" t="str">
        <f ca="1">OFFSET(总规划!L$260,MATCH($E18,总规划!$B$260:$B$335,0)-1,0)</f>
        <v>1战役币</v>
      </c>
      <c r="Q18" s="36">
        <f ca="1">OFFSET(总规划!M$260,MATCH($E18,总规划!$B$260:$B$335,0)-1,0)/$F18*$G18</f>
        <v>1.30208333333333</v>
      </c>
      <c r="R18" s="36">
        <f ca="1">OFFSET(总规划!N$260,MATCH($E18,总规划!$B$260:$B$335,0)-1,0)/$F18*$G18</f>
        <v>1.5</v>
      </c>
      <c r="S18" s="36" t="str">
        <f ca="1">OFFSET(总规划!O$260,MATCH($E18,总规划!$B$260:$B$335,0)-1,0)</f>
        <v>1联盟币</v>
      </c>
      <c r="T18" s="36">
        <f ca="1">OFFSET(总规划!P$260,MATCH($E18,总规划!$B$260:$B$335,0)-1,0)/$F18*$G18</f>
        <v>1.62760416666667</v>
      </c>
      <c r="U18" s="36">
        <f ca="1">OFFSET(总规划!Q$260,MATCH($E18,总规划!$B$260:$B$335,0)-1,0)/$F18*$G18</f>
        <v>1.875</v>
      </c>
      <c r="V18" s="36" t="str">
        <f ca="1">OFFSET(总规划!R$260,MATCH($E18,总规划!$B$260:$B$335,0)-1,0)</f>
        <v>1空战币</v>
      </c>
    </row>
    <row r="19" spans="4:22">
      <c r="D19" s="36" t="s">
        <v>1864</v>
      </c>
      <c r="E19" s="36" t="s">
        <v>478</v>
      </c>
      <c r="F19" s="36">
        <f t="shared" si="0"/>
        <v>1440</v>
      </c>
      <c r="G19" s="36">
        <v>15</v>
      </c>
      <c r="H19" s="36">
        <f ca="1">OFFSET(总规划!D$260,MATCH($E19,总规划!$B$260:$B$335,0)-1,0)/$F19*$G19</f>
        <v>0.0162760416666667</v>
      </c>
      <c r="I19" s="36">
        <f ca="1">OFFSET(总规划!E$260,MATCH($E19,总规划!$B$260:$B$335,0)-1,0)/$F19*$G19</f>
        <v>19.53125</v>
      </c>
      <c r="J19" s="36">
        <f ca="1">OFFSET(总规划!F$260,MATCH($E19,总规划!$B$260:$B$335,0)-1,0)/$F19*$G19</f>
        <v>45</v>
      </c>
      <c r="K19" s="36">
        <f ca="1">OFFSET(总规划!G$260,MATCH($E19,总规划!$B$260:$B$335,0)-1,0)/$F19*$G19</f>
        <v>0.0390625</v>
      </c>
      <c r="L19" s="36">
        <f ca="1">OFFSET(总规划!H$260,MATCH($E19,总规划!$B$260:$B$335,0)-1,0)/$F19*$G19</f>
        <v>0.045</v>
      </c>
      <c r="M19" s="36" t="str">
        <f ca="1">OFFSET(总规划!I$260,MATCH($E19,总规划!$B$260:$B$335,0)-1,0)</f>
        <v>1M资源</v>
      </c>
      <c r="N19" s="36">
        <f ca="1">OFFSET(总规划!J$260,MATCH($E19,总规划!$B$260:$B$335,0)-1,0)/$F19*$G19</f>
        <v>16.2760416666667</v>
      </c>
      <c r="O19" s="36">
        <f ca="1">OFFSET(总规划!K$260,MATCH($E19,总规划!$B$260:$B$335,0)-1,0)/$F19*$G19</f>
        <v>18.75</v>
      </c>
      <c r="P19" s="36" t="str">
        <f ca="1">OFFSET(总规划!L$260,MATCH($E19,总规划!$B$260:$B$335,0)-1,0)</f>
        <v>1战役币</v>
      </c>
      <c r="Q19" s="36">
        <f ca="1">OFFSET(总规划!M$260,MATCH($E19,总规划!$B$260:$B$335,0)-1,0)/$F19*$G19</f>
        <v>6.51041666666667</v>
      </c>
      <c r="R19" s="36">
        <f ca="1">OFFSET(总规划!N$260,MATCH($E19,总规划!$B$260:$B$335,0)-1,0)/$F19*$G19</f>
        <v>7.5</v>
      </c>
      <c r="S19" s="36" t="str">
        <f ca="1">OFFSET(总规划!O$260,MATCH($E19,总规划!$B$260:$B$335,0)-1,0)</f>
        <v>1联盟币</v>
      </c>
      <c r="T19" s="36">
        <f ca="1">OFFSET(总规划!P$260,MATCH($E19,总规划!$B$260:$B$335,0)-1,0)/$F19*$G19</f>
        <v>8.13802083333333</v>
      </c>
      <c r="U19" s="36">
        <f ca="1">OFFSET(总规划!Q$260,MATCH($E19,总规划!$B$260:$B$335,0)-1,0)/$F19*$G19</f>
        <v>9.375</v>
      </c>
      <c r="V19" s="36" t="str">
        <f ca="1">OFFSET(总规划!R$260,MATCH($E19,总规划!$B$260:$B$335,0)-1,0)</f>
        <v>1空战币</v>
      </c>
    </row>
    <row r="20" spans="4:22">
      <c r="D20" s="36" t="s">
        <v>1866</v>
      </c>
      <c r="E20" s="36" t="s">
        <v>478</v>
      </c>
      <c r="F20" s="36">
        <f t="shared" si="0"/>
        <v>1440</v>
      </c>
      <c r="G20" s="36">
        <v>60</v>
      </c>
      <c r="H20" s="36">
        <f ca="1">OFFSET(总规划!D$260,MATCH($E20,总规划!$B$260:$B$335,0)-1,0)/$F20*$G20</f>
        <v>0.0651041666666667</v>
      </c>
      <c r="I20" s="36">
        <f ca="1">OFFSET(总规划!E$260,MATCH($E20,总规划!$B$260:$B$335,0)-1,0)/$F20*$G20</f>
        <v>78.125</v>
      </c>
      <c r="J20" s="36">
        <f ca="1">OFFSET(总规划!F$260,MATCH($E20,总规划!$B$260:$B$335,0)-1,0)/$F20*$G20</f>
        <v>180</v>
      </c>
      <c r="K20" s="36">
        <f ca="1">OFFSET(总规划!G$260,MATCH($E20,总规划!$B$260:$B$335,0)-1,0)/$F20*$G20</f>
        <v>0.15625</v>
      </c>
      <c r="L20" s="36">
        <f ca="1">OFFSET(总规划!H$260,MATCH($E20,总规划!$B$260:$B$335,0)-1,0)/$F20*$G20</f>
        <v>0.18</v>
      </c>
      <c r="M20" s="36" t="str">
        <f ca="1">OFFSET(总规划!I$260,MATCH($E20,总规划!$B$260:$B$335,0)-1,0)</f>
        <v>1M资源</v>
      </c>
      <c r="N20" s="36">
        <f ca="1">OFFSET(总规划!J$260,MATCH($E20,总规划!$B$260:$B$335,0)-1,0)/$F20*$G20</f>
        <v>65.1041666666667</v>
      </c>
      <c r="O20" s="36">
        <f ca="1">OFFSET(总规划!K$260,MATCH($E20,总规划!$B$260:$B$335,0)-1,0)/$F20*$G20</f>
        <v>75</v>
      </c>
      <c r="P20" s="36" t="str">
        <f ca="1">OFFSET(总规划!L$260,MATCH($E20,总规划!$B$260:$B$335,0)-1,0)</f>
        <v>1战役币</v>
      </c>
      <c r="Q20" s="36">
        <f ca="1">OFFSET(总规划!M$260,MATCH($E20,总规划!$B$260:$B$335,0)-1,0)/$F20*$G20</f>
        <v>26.0416666666667</v>
      </c>
      <c r="R20" s="36">
        <f ca="1">OFFSET(总规划!N$260,MATCH($E20,总规划!$B$260:$B$335,0)-1,0)/$F20*$G20</f>
        <v>30</v>
      </c>
      <c r="S20" s="36" t="str">
        <f ca="1">OFFSET(总规划!O$260,MATCH($E20,总规划!$B$260:$B$335,0)-1,0)</f>
        <v>1联盟币</v>
      </c>
      <c r="T20" s="36">
        <f ca="1">OFFSET(总规划!P$260,MATCH($E20,总规划!$B$260:$B$335,0)-1,0)/$F20*$G20</f>
        <v>32.5520833333333</v>
      </c>
      <c r="U20" s="36">
        <f ca="1">OFFSET(总规划!Q$260,MATCH($E20,总规划!$B$260:$B$335,0)-1,0)/$F20*$G20</f>
        <v>37.5</v>
      </c>
      <c r="V20" s="36" t="str">
        <f ca="1">OFFSET(总规划!R$260,MATCH($E20,总规划!$B$260:$B$335,0)-1,0)</f>
        <v>1空战币</v>
      </c>
    </row>
    <row r="21" spans="4:22">
      <c r="D21" s="36" t="s">
        <v>2494</v>
      </c>
      <c r="E21" s="36" t="s">
        <v>478</v>
      </c>
      <c r="F21" s="36">
        <f t="shared" si="0"/>
        <v>1440</v>
      </c>
      <c r="G21" s="36">
        <f>3*60</f>
        <v>180</v>
      </c>
      <c r="H21" s="36">
        <f ca="1">OFFSET(总规划!D$260,MATCH($E21,总规划!$B$260:$B$335,0)-1,0)/$F21*$G21</f>
        <v>0.1953125</v>
      </c>
      <c r="I21" s="36">
        <f ca="1">OFFSET(总规划!E$260,MATCH($E21,总规划!$B$260:$B$335,0)-1,0)/$F21*$G21</f>
        <v>234.375</v>
      </c>
      <c r="J21" s="36">
        <f ca="1">OFFSET(总规划!F$260,MATCH($E21,总规划!$B$260:$B$335,0)-1,0)/$F21*$G21</f>
        <v>540</v>
      </c>
      <c r="K21" s="36">
        <f ca="1">OFFSET(总规划!G$260,MATCH($E21,总规划!$B$260:$B$335,0)-1,0)/$F21*$G21</f>
        <v>0.46875</v>
      </c>
      <c r="L21" s="36">
        <f ca="1">OFFSET(总规划!H$260,MATCH($E21,总规划!$B$260:$B$335,0)-1,0)/$F21*$G21</f>
        <v>0.54</v>
      </c>
      <c r="M21" s="36" t="str">
        <f ca="1">OFFSET(总规划!I$260,MATCH($E21,总规划!$B$260:$B$335,0)-1,0)</f>
        <v>1M资源</v>
      </c>
      <c r="N21" s="36">
        <f ca="1">OFFSET(总规划!J$260,MATCH($E21,总规划!$B$260:$B$335,0)-1,0)/$F21*$G21</f>
        <v>195.3125</v>
      </c>
      <c r="O21" s="36">
        <f ca="1">OFFSET(总规划!K$260,MATCH($E21,总规划!$B$260:$B$335,0)-1,0)/$F21*$G21</f>
        <v>225</v>
      </c>
      <c r="P21" s="36" t="str">
        <f ca="1">OFFSET(总规划!L$260,MATCH($E21,总规划!$B$260:$B$335,0)-1,0)</f>
        <v>1战役币</v>
      </c>
      <c r="Q21" s="36">
        <f ca="1">OFFSET(总规划!M$260,MATCH($E21,总规划!$B$260:$B$335,0)-1,0)/$F21*$G21</f>
        <v>78.125</v>
      </c>
      <c r="R21" s="36">
        <f ca="1">OFFSET(总规划!N$260,MATCH($E21,总规划!$B$260:$B$335,0)-1,0)/$F21*$G21</f>
        <v>90</v>
      </c>
      <c r="S21" s="36" t="str">
        <f ca="1">OFFSET(总规划!O$260,MATCH($E21,总规划!$B$260:$B$335,0)-1,0)</f>
        <v>1联盟币</v>
      </c>
      <c r="T21" s="36">
        <f ca="1">OFFSET(总规划!P$260,MATCH($E21,总规划!$B$260:$B$335,0)-1,0)/$F21*$G21</f>
        <v>97.65625</v>
      </c>
      <c r="U21" s="36">
        <f ca="1">OFFSET(总规划!Q$260,MATCH($E21,总规划!$B$260:$B$335,0)-1,0)/$F21*$G21</f>
        <v>112.5</v>
      </c>
      <c r="V21" s="36" t="str">
        <f ca="1">OFFSET(总规划!R$260,MATCH($E21,总规划!$B$260:$B$335,0)-1,0)</f>
        <v>1空战币</v>
      </c>
    </row>
    <row r="22" spans="4:22">
      <c r="D22" s="36" t="s">
        <v>1622</v>
      </c>
      <c r="E22" s="36" t="s">
        <v>478</v>
      </c>
      <c r="F22" s="36">
        <f t="shared" si="0"/>
        <v>1440</v>
      </c>
      <c r="G22" s="36">
        <f>8*60</f>
        <v>480</v>
      </c>
      <c r="H22" s="36">
        <f ca="1">OFFSET(总规划!D$260,MATCH($E22,总规划!$B$260:$B$335,0)-1,0)/$F22*$G22</f>
        <v>0.520833333333333</v>
      </c>
      <c r="I22" s="36">
        <f ca="1">OFFSET(总规划!E$260,MATCH($E22,总规划!$B$260:$B$335,0)-1,0)/$F22*$G22</f>
        <v>625</v>
      </c>
      <c r="J22" s="36">
        <f ca="1">OFFSET(总规划!F$260,MATCH($E22,总规划!$B$260:$B$335,0)-1,0)/$F22*$G22</f>
        <v>1440</v>
      </c>
      <c r="K22" s="36">
        <f ca="1">OFFSET(总规划!G$260,MATCH($E22,总规划!$B$260:$B$335,0)-1,0)/$F22*$G22</f>
        <v>1.25</v>
      </c>
      <c r="L22" s="36">
        <f ca="1">OFFSET(总规划!H$260,MATCH($E22,总规划!$B$260:$B$335,0)-1,0)/$F22*$G22</f>
        <v>1.44</v>
      </c>
      <c r="M22" s="36" t="str">
        <f ca="1">OFFSET(总规划!I$260,MATCH($E22,总规划!$B$260:$B$335,0)-1,0)</f>
        <v>1M资源</v>
      </c>
      <c r="N22" s="36">
        <f ca="1">OFFSET(总规划!J$260,MATCH($E22,总规划!$B$260:$B$335,0)-1,0)/$F22*$G22</f>
        <v>520.833333333333</v>
      </c>
      <c r="O22" s="36">
        <f ca="1">OFFSET(总规划!K$260,MATCH($E22,总规划!$B$260:$B$335,0)-1,0)/$F22*$G22</f>
        <v>600</v>
      </c>
      <c r="P22" s="36" t="str">
        <f ca="1">OFFSET(总规划!L$260,MATCH($E22,总规划!$B$260:$B$335,0)-1,0)</f>
        <v>1战役币</v>
      </c>
      <c r="Q22" s="36">
        <f ca="1">OFFSET(总规划!M$260,MATCH($E22,总规划!$B$260:$B$335,0)-1,0)/$F22*$G22</f>
        <v>208.333333333333</v>
      </c>
      <c r="R22" s="36">
        <f ca="1">OFFSET(总规划!N$260,MATCH($E22,总规划!$B$260:$B$335,0)-1,0)/$F22*$G22</f>
        <v>240</v>
      </c>
      <c r="S22" s="36" t="str">
        <f ca="1">OFFSET(总规划!O$260,MATCH($E22,总规划!$B$260:$B$335,0)-1,0)</f>
        <v>1联盟币</v>
      </c>
      <c r="T22" s="36">
        <f ca="1">OFFSET(总规划!P$260,MATCH($E22,总规划!$B$260:$B$335,0)-1,0)/$F22*$G22</f>
        <v>260.416666666667</v>
      </c>
      <c r="U22" s="36">
        <f ca="1">OFFSET(总规划!Q$260,MATCH($E22,总规划!$B$260:$B$335,0)-1,0)/$F22*$G22</f>
        <v>300</v>
      </c>
      <c r="V22" s="36" t="str">
        <f ca="1">OFFSET(总规划!R$260,MATCH($E22,总规划!$B$260:$B$335,0)-1,0)</f>
        <v>1空战币</v>
      </c>
    </row>
    <row r="23" spans="4:22">
      <c r="D23" s="36" t="s">
        <v>2539</v>
      </c>
      <c r="E23" s="36" t="s">
        <v>478</v>
      </c>
      <c r="F23" s="36">
        <f t="shared" si="0"/>
        <v>1440</v>
      </c>
      <c r="G23" s="36">
        <f>15*60</f>
        <v>900</v>
      </c>
      <c r="H23" s="36">
        <f ca="1">OFFSET(总规划!D$260,MATCH($E23,总规划!$B$260:$B$335,0)-1,0)/$F23*$G23</f>
        <v>0.9765625</v>
      </c>
      <c r="I23" s="36">
        <f ca="1">OFFSET(总规划!E$260,MATCH($E23,总规划!$B$260:$B$335,0)-1,0)/$F23*$G23</f>
        <v>1171.875</v>
      </c>
      <c r="J23" s="36">
        <f ca="1">OFFSET(总规划!F$260,MATCH($E23,总规划!$B$260:$B$335,0)-1,0)/$F23*$G23</f>
        <v>2700</v>
      </c>
      <c r="K23" s="36">
        <f ca="1">OFFSET(总规划!G$260,MATCH($E23,总规划!$B$260:$B$335,0)-1,0)/$F23*$G23</f>
        <v>2.34375</v>
      </c>
      <c r="L23" s="36">
        <f ca="1">OFFSET(总规划!H$260,MATCH($E23,总规划!$B$260:$B$335,0)-1,0)/$F23*$G23</f>
        <v>2.7</v>
      </c>
      <c r="M23" s="36" t="str">
        <f ca="1">OFFSET(总规划!I$260,MATCH($E23,总规划!$B$260:$B$335,0)-1,0)</f>
        <v>1M资源</v>
      </c>
      <c r="N23" s="36">
        <f ca="1">OFFSET(总规划!J$260,MATCH($E23,总规划!$B$260:$B$335,0)-1,0)/$F23*$G23</f>
        <v>976.5625</v>
      </c>
      <c r="O23" s="36">
        <f ca="1">OFFSET(总规划!K$260,MATCH($E23,总规划!$B$260:$B$335,0)-1,0)/$F23*$G23</f>
        <v>1125</v>
      </c>
      <c r="P23" s="36" t="str">
        <f ca="1">OFFSET(总规划!L$260,MATCH($E23,总规划!$B$260:$B$335,0)-1,0)</f>
        <v>1战役币</v>
      </c>
      <c r="Q23" s="36">
        <f ca="1">OFFSET(总规划!M$260,MATCH($E23,总规划!$B$260:$B$335,0)-1,0)/$F23*$G23</f>
        <v>390.625</v>
      </c>
      <c r="R23" s="36">
        <f ca="1">OFFSET(总规划!N$260,MATCH($E23,总规划!$B$260:$B$335,0)-1,0)/$F23*$G23</f>
        <v>450</v>
      </c>
      <c r="S23" s="36" t="str">
        <f ca="1">OFFSET(总规划!O$260,MATCH($E23,总规划!$B$260:$B$335,0)-1,0)</f>
        <v>1联盟币</v>
      </c>
      <c r="T23" s="36">
        <f ca="1">OFFSET(总规划!P$260,MATCH($E23,总规划!$B$260:$B$335,0)-1,0)/$F23*$G23</f>
        <v>488.28125</v>
      </c>
      <c r="U23" s="36">
        <f ca="1">OFFSET(总规划!Q$260,MATCH($E23,总规划!$B$260:$B$335,0)-1,0)/$F23*$G23</f>
        <v>562.5</v>
      </c>
      <c r="V23" s="36" t="str">
        <f ca="1">OFFSET(总规划!R$260,MATCH($E23,总规划!$B$260:$B$335,0)-1,0)</f>
        <v>1空战币</v>
      </c>
    </row>
    <row r="24" spans="4:22">
      <c r="D24" s="36" t="s">
        <v>1624</v>
      </c>
      <c r="E24" s="36" t="s">
        <v>478</v>
      </c>
      <c r="F24" s="36">
        <f t="shared" si="0"/>
        <v>1440</v>
      </c>
      <c r="G24" s="36">
        <f>24*60</f>
        <v>1440</v>
      </c>
      <c r="H24" s="36">
        <f ca="1">OFFSET(总规划!D$260,MATCH($E24,总规划!$B$260:$B$335,0)-1,0)/$F24*$G24</f>
        <v>1.5625</v>
      </c>
      <c r="I24" s="36">
        <f ca="1">OFFSET(总规划!E$260,MATCH($E24,总规划!$B$260:$B$335,0)-1,0)/$F24*$G24</f>
        <v>1875</v>
      </c>
      <c r="J24" s="36">
        <f ca="1">OFFSET(总规划!F$260,MATCH($E24,总规划!$B$260:$B$335,0)-1,0)/$F24*$G24</f>
        <v>4320</v>
      </c>
      <c r="K24" s="36">
        <f ca="1">OFFSET(总规划!G$260,MATCH($E24,总规划!$B$260:$B$335,0)-1,0)/$F24*$G24</f>
        <v>3.75</v>
      </c>
      <c r="L24" s="36">
        <f ca="1">OFFSET(总规划!H$260,MATCH($E24,总规划!$B$260:$B$335,0)-1,0)/$F24*$G24</f>
        <v>4.32</v>
      </c>
      <c r="M24" s="36" t="str">
        <f ca="1">OFFSET(总规划!I$260,MATCH($E24,总规划!$B$260:$B$335,0)-1,0)</f>
        <v>1M资源</v>
      </c>
      <c r="N24" s="36">
        <f ca="1">OFFSET(总规划!J$260,MATCH($E24,总规划!$B$260:$B$335,0)-1,0)/$F24*$G24</f>
        <v>1562.5</v>
      </c>
      <c r="O24" s="36">
        <f ca="1">OFFSET(总规划!K$260,MATCH($E24,总规划!$B$260:$B$335,0)-1,0)/$F24*$G24</f>
        <v>1800</v>
      </c>
      <c r="P24" s="36" t="str">
        <f ca="1">OFFSET(总规划!L$260,MATCH($E24,总规划!$B$260:$B$335,0)-1,0)</f>
        <v>1战役币</v>
      </c>
      <c r="Q24" s="36">
        <f ca="1">OFFSET(总规划!M$260,MATCH($E24,总规划!$B$260:$B$335,0)-1,0)/$F24*$G24</f>
        <v>625</v>
      </c>
      <c r="R24" s="36">
        <f ca="1">OFFSET(总规划!N$260,MATCH($E24,总规划!$B$260:$B$335,0)-1,0)/$F24*$G24</f>
        <v>720</v>
      </c>
      <c r="S24" s="36" t="str">
        <f ca="1">OFFSET(总规划!O$260,MATCH($E24,总规划!$B$260:$B$335,0)-1,0)</f>
        <v>1联盟币</v>
      </c>
      <c r="T24" s="36">
        <f ca="1">OFFSET(总规划!P$260,MATCH($E24,总规划!$B$260:$B$335,0)-1,0)/$F24*$G24</f>
        <v>781.25</v>
      </c>
      <c r="U24" s="36">
        <f ca="1">OFFSET(总规划!Q$260,MATCH($E24,总规划!$B$260:$B$335,0)-1,0)/$F24*$G24</f>
        <v>900</v>
      </c>
      <c r="V24" s="36" t="str">
        <f ca="1">OFFSET(总规划!R$260,MATCH($E24,总规划!$B$260:$B$335,0)-1,0)</f>
        <v>1空战币</v>
      </c>
    </row>
    <row r="25" spans="4:22">
      <c r="D25" s="36" t="s">
        <v>2540</v>
      </c>
      <c r="E25" s="36" t="s">
        <v>478</v>
      </c>
      <c r="F25" s="36">
        <f t="shared" si="0"/>
        <v>1440</v>
      </c>
      <c r="G25" s="36">
        <f>F25*3</f>
        <v>4320</v>
      </c>
      <c r="H25" s="36">
        <f ca="1">OFFSET(总规划!D$260,MATCH($E25,总规划!$B$260:$B$335,0)-1,0)/$F25*$G25</f>
        <v>4.6875</v>
      </c>
      <c r="I25" s="36">
        <f ca="1">OFFSET(总规划!E$260,MATCH($E25,总规划!$B$260:$B$335,0)-1,0)/$F25*$G25</f>
        <v>5625</v>
      </c>
      <c r="J25" s="36">
        <f ca="1">OFFSET(总规划!F$260,MATCH($E25,总规划!$B$260:$B$335,0)-1,0)/$F25*$G25</f>
        <v>12960</v>
      </c>
      <c r="K25" s="36">
        <f ca="1">OFFSET(总规划!G$260,MATCH($E25,总规划!$B$260:$B$335,0)-1,0)/$F25*$G25</f>
        <v>11.25</v>
      </c>
      <c r="L25" s="36">
        <f ca="1">OFFSET(总规划!H$260,MATCH($E25,总规划!$B$260:$B$335,0)-1,0)/$F25*$G25</f>
        <v>12.96</v>
      </c>
      <c r="M25" s="36" t="str">
        <f ca="1">OFFSET(总规划!I$260,MATCH($E25,总规划!$B$260:$B$335,0)-1,0)</f>
        <v>1M资源</v>
      </c>
      <c r="N25" s="36">
        <f ca="1">OFFSET(总规划!J$260,MATCH($E25,总规划!$B$260:$B$335,0)-1,0)/$F25*$G25</f>
        <v>4687.5</v>
      </c>
      <c r="O25" s="36">
        <f ca="1">OFFSET(总规划!K$260,MATCH($E25,总规划!$B$260:$B$335,0)-1,0)/$F25*$G25</f>
        <v>5400</v>
      </c>
      <c r="P25" s="36" t="str">
        <f ca="1">OFFSET(总规划!L$260,MATCH($E25,总规划!$B$260:$B$335,0)-1,0)</f>
        <v>1战役币</v>
      </c>
      <c r="Q25" s="36">
        <f ca="1">OFFSET(总规划!M$260,MATCH($E25,总规划!$B$260:$B$335,0)-1,0)/$F25*$G25</f>
        <v>1875</v>
      </c>
      <c r="R25" s="36">
        <f ca="1">OFFSET(总规划!N$260,MATCH($E25,总规划!$B$260:$B$335,0)-1,0)/$F25*$G25</f>
        <v>2160</v>
      </c>
      <c r="S25" s="36" t="str">
        <f ca="1">OFFSET(总规划!O$260,MATCH($E25,总规划!$B$260:$B$335,0)-1,0)</f>
        <v>1联盟币</v>
      </c>
      <c r="T25" s="36">
        <f ca="1">OFFSET(总规划!P$260,MATCH($E25,总规划!$B$260:$B$335,0)-1,0)/$F25*$G25</f>
        <v>2343.75</v>
      </c>
      <c r="U25" s="36">
        <f ca="1">OFFSET(总规划!Q$260,MATCH($E25,总规划!$B$260:$B$335,0)-1,0)/$F25*$G25</f>
        <v>2700</v>
      </c>
      <c r="V25" s="36" t="str">
        <f ca="1">OFFSET(总规划!R$260,MATCH($E25,总规划!$B$260:$B$335,0)-1,0)</f>
        <v>1空战币</v>
      </c>
    </row>
    <row r="26" spans="4:22">
      <c r="D26" s="36" t="s">
        <v>2541</v>
      </c>
      <c r="E26" s="36" t="s">
        <v>478</v>
      </c>
      <c r="F26" s="36">
        <f t="shared" si="0"/>
        <v>1440</v>
      </c>
      <c r="G26" s="36">
        <f>F26*7</f>
        <v>10080</v>
      </c>
      <c r="H26" s="36">
        <f ca="1">OFFSET(总规划!D$260,MATCH($E26,总规划!$B$260:$B$335,0)-1,0)/$F26*$G26</f>
        <v>10.9375</v>
      </c>
      <c r="I26" s="36">
        <f ca="1">OFFSET(总规划!E$260,MATCH($E26,总规划!$B$260:$B$335,0)-1,0)/$F26*$G26</f>
        <v>13125</v>
      </c>
      <c r="J26" s="36">
        <f ca="1">OFFSET(总规划!F$260,MATCH($E26,总规划!$B$260:$B$335,0)-1,0)/$F26*$G26</f>
        <v>30240</v>
      </c>
      <c r="K26" s="36">
        <f ca="1">OFFSET(总规划!G$260,MATCH($E26,总规划!$B$260:$B$335,0)-1,0)/$F26*$G26</f>
        <v>26.25</v>
      </c>
      <c r="L26" s="36">
        <f ca="1">OFFSET(总规划!H$260,MATCH($E26,总规划!$B$260:$B$335,0)-1,0)/$F26*$G26</f>
        <v>30.24</v>
      </c>
      <c r="M26" s="36" t="str">
        <f ca="1">OFFSET(总规划!I$260,MATCH($E26,总规划!$B$260:$B$335,0)-1,0)</f>
        <v>1M资源</v>
      </c>
      <c r="N26" s="36">
        <f ca="1">OFFSET(总规划!J$260,MATCH($E26,总规划!$B$260:$B$335,0)-1,0)/$F26*$G26</f>
        <v>10937.5</v>
      </c>
      <c r="O26" s="36">
        <f ca="1">OFFSET(总规划!K$260,MATCH($E26,总规划!$B$260:$B$335,0)-1,0)/$F26*$G26</f>
        <v>12600</v>
      </c>
      <c r="P26" s="36" t="str">
        <f ca="1">OFFSET(总规划!L$260,MATCH($E26,总规划!$B$260:$B$335,0)-1,0)</f>
        <v>1战役币</v>
      </c>
      <c r="Q26" s="36">
        <f ca="1">OFFSET(总规划!M$260,MATCH($E26,总规划!$B$260:$B$335,0)-1,0)/$F26*$G26</f>
        <v>4375</v>
      </c>
      <c r="R26" s="36">
        <f ca="1">OFFSET(总规划!N$260,MATCH($E26,总规划!$B$260:$B$335,0)-1,0)/$F26*$G26</f>
        <v>5040</v>
      </c>
      <c r="S26" s="36" t="str">
        <f ca="1">OFFSET(总规划!O$260,MATCH($E26,总规划!$B$260:$B$335,0)-1,0)</f>
        <v>1联盟币</v>
      </c>
      <c r="T26" s="36">
        <f ca="1">OFFSET(总规划!P$260,MATCH($E26,总规划!$B$260:$B$335,0)-1,0)/$F26*$G26</f>
        <v>5468.75</v>
      </c>
      <c r="U26" s="36">
        <f ca="1">OFFSET(总规划!Q$260,MATCH($E26,总规划!$B$260:$B$335,0)-1,0)/$F26*$G26</f>
        <v>6300</v>
      </c>
      <c r="V26" s="36" t="str">
        <f ca="1">OFFSET(总规划!R$260,MATCH($E26,总规划!$B$260:$B$335,0)-1,0)</f>
        <v>1空战币</v>
      </c>
    </row>
    <row r="27" spans="4:22">
      <c r="D27" s="36" t="s">
        <v>2542</v>
      </c>
      <c r="E27" s="36" t="s">
        <v>478</v>
      </c>
      <c r="F27" s="36">
        <f t="shared" si="0"/>
        <v>1440</v>
      </c>
      <c r="G27" s="36">
        <f>F27*30</f>
        <v>43200</v>
      </c>
      <c r="H27" s="36">
        <f ca="1">OFFSET(总规划!D$260,MATCH($E27,总规划!$B$260:$B$335,0)-1,0)/$F27*$G27</f>
        <v>46.875</v>
      </c>
      <c r="I27" s="36">
        <f ca="1">OFFSET(总规划!E$260,MATCH($E27,总规划!$B$260:$B$335,0)-1,0)/$F27*$G27</f>
        <v>56250</v>
      </c>
      <c r="J27" s="36">
        <f ca="1">OFFSET(总规划!F$260,MATCH($E27,总规划!$B$260:$B$335,0)-1,0)/$F27*$G27</f>
        <v>129600</v>
      </c>
      <c r="K27" s="36">
        <f ca="1">OFFSET(总规划!G$260,MATCH($E27,总规划!$B$260:$B$335,0)-1,0)/$F27*$G27</f>
        <v>112.5</v>
      </c>
      <c r="L27" s="36">
        <f ca="1">OFFSET(总规划!H$260,MATCH($E27,总规划!$B$260:$B$335,0)-1,0)/$F27*$G27</f>
        <v>129.6</v>
      </c>
      <c r="M27" s="36" t="str">
        <f ca="1">OFFSET(总规划!I$260,MATCH($E27,总规划!$B$260:$B$335,0)-1,0)</f>
        <v>1M资源</v>
      </c>
      <c r="N27" s="36">
        <f ca="1">OFFSET(总规划!J$260,MATCH($E27,总规划!$B$260:$B$335,0)-1,0)/$F27*$G27</f>
        <v>46875</v>
      </c>
      <c r="O27" s="36">
        <f ca="1">OFFSET(总规划!K$260,MATCH($E27,总规划!$B$260:$B$335,0)-1,0)/$F27*$G27</f>
        <v>54000</v>
      </c>
      <c r="P27" s="36" t="str">
        <f ca="1">OFFSET(总规划!L$260,MATCH($E27,总规划!$B$260:$B$335,0)-1,0)</f>
        <v>1战役币</v>
      </c>
      <c r="Q27" s="36">
        <f ca="1">OFFSET(总规划!M$260,MATCH($E27,总规划!$B$260:$B$335,0)-1,0)/$F27*$G27</f>
        <v>18750</v>
      </c>
      <c r="R27" s="36">
        <f ca="1">OFFSET(总规划!N$260,MATCH($E27,总规划!$B$260:$B$335,0)-1,0)/$F27*$G27</f>
        <v>21600</v>
      </c>
      <c r="S27" s="36" t="str">
        <f ca="1">OFFSET(总规划!O$260,MATCH($E27,总规划!$B$260:$B$335,0)-1,0)</f>
        <v>1联盟币</v>
      </c>
      <c r="T27" s="36">
        <f ca="1">OFFSET(总规划!P$260,MATCH($E27,总规划!$B$260:$B$335,0)-1,0)/$F27*$G27</f>
        <v>23437.5</v>
      </c>
      <c r="U27" s="36">
        <f ca="1">OFFSET(总规划!Q$260,MATCH($E27,总规划!$B$260:$B$335,0)-1,0)/$F27*$G27</f>
        <v>27000</v>
      </c>
      <c r="V27" s="36" t="str">
        <f ca="1">OFFSET(总规划!R$260,MATCH($E27,总规划!$B$260:$B$335,0)-1,0)</f>
        <v>1空战币</v>
      </c>
    </row>
    <row r="28" spans="4:22">
      <c r="D28" s="36" t="s">
        <v>2543</v>
      </c>
      <c r="E28" s="36" t="s">
        <v>478</v>
      </c>
      <c r="F28" s="36">
        <f t="shared" si="0"/>
        <v>1440</v>
      </c>
      <c r="G28" s="36">
        <v>1</v>
      </c>
      <c r="H28" s="36">
        <f ca="1">OFFSET(总规划!D$260,MATCH($E28,总规划!$B$260:$B$335,0)-1,0)/$F28*$G28</f>
        <v>0.00108506944444444</v>
      </c>
      <c r="I28" s="36">
        <f ca="1">OFFSET(总规划!E$260,MATCH($E28,总规划!$B$260:$B$335,0)-1,0)/$F28*$G28</f>
        <v>1.30208333333333</v>
      </c>
      <c r="J28" s="36">
        <f ca="1">OFFSET(总规划!F$260,MATCH($E28,总规划!$B$260:$B$335,0)-1,0)/$F28*$G28</f>
        <v>3</v>
      </c>
      <c r="K28" s="36">
        <f ca="1">OFFSET(总规划!G$260,MATCH($E28,总规划!$B$260:$B$335,0)-1,0)/$F28*$G28</f>
        <v>0.00260416666666667</v>
      </c>
      <c r="L28" s="36">
        <f ca="1">OFFSET(总规划!H$260,MATCH($E28,总规划!$B$260:$B$335,0)-1,0)/$F28*$G28</f>
        <v>0.003</v>
      </c>
      <c r="M28" s="36" t="str">
        <f ca="1">OFFSET(总规划!I$260,MATCH($E28,总规划!$B$260:$B$335,0)-1,0)</f>
        <v>1M资源</v>
      </c>
      <c r="N28" s="36">
        <f ca="1">OFFSET(总规划!J$260,MATCH($E28,总规划!$B$260:$B$335,0)-1,0)/$F28*$G28</f>
        <v>1.08506944444444</v>
      </c>
      <c r="O28" s="36">
        <f ca="1">OFFSET(总规划!K$260,MATCH($E28,总规划!$B$260:$B$335,0)-1,0)/$F28*$G28</f>
        <v>1.25</v>
      </c>
      <c r="P28" s="36" t="str">
        <f ca="1">OFFSET(总规划!L$260,MATCH($E28,总规划!$B$260:$B$335,0)-1,0)</f>
        <v>1战役币</v>
      </c>
      <c r="Q28" s="36">
        <f ca="1">OFFSET(总规划!M$260,MATCH($E28,总规划!$B$260:$B$335,0)-1,0)/$F28*$G28</f>
        <v>0.434027777777778</v>
      </c>
      <c r="R28" s="36">
        <f ca="1">OFFSET(总规划!N$260,MATCH($E28,总规划!$B$260:$B$335,0)-1,0)/$F28*$G28</f>
        <v>0.5</v>
      </c>
      <c r="S28" s="36" t="str">
        <f ca="1">OFFSET(总规划!O$260,MATCH($E28,总规划!$B$260:$B$335,0)-1,0)</f>
        <v>1联盟币</v>
      </c>
      <c r="T28" s="36">
        <f ca="1">OFFSET(总规划!P$260,MATCH($E28,总规划!$B$260:$B$335,0)-1,0)/$F28*$G28</f>
        <v>0.542534722222222</v>
      </c>
      <c r="U28" s="36">
        <f ca="1">OFFSET(总规划!Q$260,MATCH($E28,总规划!$B$260:$B$335,0)-1,0)/$F28*$G28</f>
        <v>0.625</v>
      </c>
      <c r="V28" s="36" t="str">
        <f ca="1">OFFSET(总规划!R$260,MATCH($E28,总规划!$B$260:$B$335,0)-1,0)</f>
        <v>1空战币</v>
      </c>
    </row>
    <row r="29" spans="4:22">
      <c r="D29" s="36" t="s">
        <v>1871</v>
      </c>
      <c r="E29" s="36" t="s">
        <v>478</v>
      </c>
      <c r="F29" s="36">
        <f t="shared" si="0"/>
        <v>1440</v>
      </c>
      <c r="G29" s="36">
        <v>3</v>
      </c>
      <c r="H29" s="36">
        <f ca="1">OFFSET(总规划!D$260,MATCH($E29,总规划!$B$260:$B$335,0)-1,0)/$F29*$G29</f>
        <v>0.00325520833333333</v>
      </c>
      <c r="I29" s="36">
        <f ca="1">OFFSET(总规划!E$260,MATCH($E29,总规划!$B$260:$B$335,0)-1,0)/$F29*$G29</f>
        <v>3.90625</v>
      </c>
      <c r="J29" s="36">
        <f ca="1">OFFSET(总规划!F$260,MATCH($E29,总规划!$B$260:$B$335,0)-1,0)/$F29*$G29</f>
        <v>9</v>
      </c>
      <c r="K29" s="36">
        <f ca="1">OFFSET(总规划!G$260,MATCH($E29,总规划!$B$260:$B$335,0)-1,0)/$F29*$G29</f>
        <v>0.0078125</v>
      </c>
      <c r="L29" s="36">
        <f ca="1">OFFSET(总规划!H$260,MATCH($E29,总规划!$B$260:$B$335,0)-1,0)/$F29*$G29</f>
        <v>0.009</v>
      </c>
      <c r="M29" s="36" t="str">
        <f ca="1">OFFSET(总规划!I$260,MATCH($E29,总规划!$B$260:$B$335,0)-1,0)</f>
        <v>1M资源</v>
      </c>
      <c r="N29" s="36">
        <f ca="1">OFFSET(总规划!J$260,MATCH($E29,总规划!$B$260:$B$335,0)-1,0)/$F29*$G29</f>
        <v>3.25520833333333</v>
      </c>
      <c r="O29" s="36">
        <f ca="1">OFFSET(总规划!K$260,MATCH($E29,总规划!$B$260:$B$335,0)-1,0)/$F29*$G29</f>
        <v>3.75</v>
      </c>
      <c r="P29" s="36" t="str">
        <f ca="1">OFFSET(总规划!L$260,MATCH($E29,总规划!$B$260:$B$335,0)-1,0)</f>
        <v>1战役币</v>
      </c>
      <c r="Q29" s="36">
        <f ca="1">OFFSET(总规划!M$260,MATCH($E29,总规划!$B$260:$B$335,0)-1,0)/$F29*$G29</f>
        <v>1.30208333333333</v>
      </c>
      <c r="R29" s="36">
        <f ca="1">OFFSET(总规划!N$260,MATCH($E29,总规划!$B$260:$B$335,0)-1,0)/$F29*$G29</f>
        <v>1.5</v>
      </c>
      <c r="S29" s="36" t="str">
        <f ca="1">OFFSET(总规划!O$260,MATCH($E29,总规划!$B$260:$B$335,0)-1,0)</f>
        <v>1联盟币</v>
      </c>
      <c r="T29" s="36">
        <f ca="1">OFFSET(总规划!P$260,MATCH($E29,总规划!$B$260:$B$335,0)-1,0)/$F29*$G29</f>
        <v>1.62760416666667</v>
      </c>
      <c r="U29" s="36">
        <f ca="1">OFFSET(总规划!Q$260,MATCH($E29,总规划!$B$260:$B$335,0)-1,0)/$F29*$G29</f>
        <v>1.875</v>
      </c>
      <c r="V29" s="36" t="str">
        <f ca="1">OFFSET(总规划!R$260,MATCH($E29,总规划!$B$260:$B$335,0)-1,0)</f>
        <v>1空战币</v>
      </c>
    </row>
    <row r="30" spans="4:22">
      <c r="D30" s="36" t="s">
        <v>1873</v>
      </c>
      <c r="E30" s="36" t="s">
        <v>478</v>
      </c>
      <c r="F30" s="36">
        <f t="shared" si="0"/>
        <v>1440</v>
      </c>
      <c r="G30" s="36">
        <v>15</v>
      </c>
      <c r="H30" s="36">
        <f ca="1">OFFSET(总规划!D$260,MATCH($E30,总规划!$B$260:$B$335,0)-1,0)/$F30*$G30</f>
        <v>0.0162760416666667</v>
      </c>
      <c r="I30" s="36">
        <f ca="1">OFFSET(总规划!E$260,MATCH($E30,总规划!$B$260:$B$335,0)-1,0)/$F30*$G30</f>
        <v>19.53125</v>
      </c>
      <c r="J30" s="36">
        <f ca="1">OFFSET(总规划!F$260,MATCH($E30,总规划!$B$260:$B$335,0)-1,0)/$F30*$G30</f>
        <v>45</v>
      </c>
      <c r="K30" s="36">
        <f ca="1">OFFSET(总规划!G$260,MATCH($E30,总规划!$B$260:$B$335,0)-1,0)/$F30*$G30</f>
        <v>0.0390625</v>
      </c>
      <c r="L30" s="36">
        <f ca="1">OFFSET(总规划!H$260,MATCH($E30,总规划!$B$260:$B$335,0)-1,0)/$F30*$G30</f>
        <v>0.045</v>
      </c>
      <c r="M30" s="36" t="str">
        <f ca="1">OFFSET(总规划!I$260,MATCH($E30,总规划!$B$260:$B$335,0)-1,0)</f>
        <v>1M资源</v>
      </c>
      <c r="N30" s="36">
        <f ca="1">OFFSET(总规划!J$260,MATCH($E30,总规划!$B$260:$B$335,0)-1,0)/$F30*$G30</f>
        <v>16.2760416666667</v>
      </c>
      <c r="O30" s="36">
        <f ca="1">OFFSET(总规划!K$260,MATCH($E30,总规划!$B$260:$B$335,0)-1,0)/$F30*$G30</f>
        <v>18.75</v>
      </c>
      <c r="P30" s="36" t="str">
        <f ca="1">OFFSET(总规划!L$260,MATCH($E30,总规划!$B$260:$B$335,0)-1,0)</f>
        <v>1战役币</v>
      </c>
      <c r="Q30" s="36">
        <f ca="1">OFFSET(总规划!M$260,MATCH($E30,总规划!$B$260:$B$335,0)-1,0)/$F30*$G30</f>
        <v>6.51041666666667</v>
      </c>
      <c r="R30" s="36">
        <f ca="1">OFFSET(总规划!N$260,MATCH($E30,总规划!$B$260:$B$335,0)-1,0)/$F30*$G30</f>
        <v>7.5</v>
      </c>
      <c r="S30" s="36" t="str">
        <f ca="1">OFFSET(总规划!O$260,MATCH($E30,总规划!$B$260:$B$335,0)-1,0)</f>
        <v>1联盟币</v>
      </c>
      <c r="T30" s="36">
        <f ca="1">OFFSET(总规划!P$260,MATCH($E30,总规划!$B$260:$B$335,0)-1,0)/$F30*$G30</f>
        <v>8.13802083333333</v>
      </c>
      <c r="U30" s="36">
        <f ca="1">OFFSET(总规划!Q$260,MATCH($E30,总规划!$B$260:$B$335,0)-1,0)/$F30*$G30</f>
        <v>9.375</v>
      </c>
      <c r="V30" s="36" t="str">
        <f ca="1">OFFSET(总规划!R$260,MATCH($E30,总规划!$B$260:$B$335,0)-1,0)</f>
        <v>1空战币</v>
      </c>
    </row>
    <row r="31" spans="4:22">
      <c r="D31" s="36" t="s">
        <v>1875</v>
      </c>
      <c r="E31" s="36" t="s">
        <v>478</v>
      </c>
      <c r="F31" s="36">
        <f t="shared" si="0"/>
        <v>1440</v>
      </c>
      <c r="G31" s="36">
        <v>60</v>
      </c>
      <c r="H31" s="36">
        <f ca="1">OFFSET(总规划!D$260,MATCH($E31,总规划!$B$260:$B$335,0)-1,0)/$F31*$G31</f>
        <v>0.0651041666666667</v>
      </c>
      <c r="I31" s="36">
        <f ca="1">OFFSET(总规划!E$260,MATCH($E31,总规划!$B$260:$B$335,0)-1,0)/$F31*$G31</f>
        <v>78.125</v>
      </c>
      <c r="J31" s="36">
        <f ca="1">OFFSET(总规划!F$260,MATCH($E31,总规划!$B$260:$B$335,0)-1,0)/$F31*$G31</f>
        <v>180</v>
      </c>
      <c r="K31" s="36">
        <f ca="1">OFFSET(总规划!G$260,MATCH($E31,总规划!$B$260:$B$335,0)-1,0)/$F31*$G31</f>
        <v>0.15625</v>
      </c>
      <c r="L31" s="36">
        <f ca="1">OFFSET(总规划!H$260,MATCH($E31,总规划!$B$260:$B$335,0)-1,0)/$F31*$G31</f>
        <v>0.18</v>
      </c>
      <c r="M31" s="36" t="str">
        <f ca="1">OFFSET(总规划!I$260,MATCH($E31,总规划!$B$260:$B$335,0)-1,0)</f>
        <v>1M资源</v>
      </c>
      <c r="N31" s="36">
        <f ca="1">OFFSET(总规划!J$260,MATCH($E31,总规划!$B$260:$B$335,0)-1,0)/$F31*$G31</f>
        <v>65.1041666666667</v>
      </c>
      <c r="O31" s="36">
        <f ca="1">OFFSET(总规划!K$260,MATCH($E31,总规划!$B$260:$B$335,0)-1,0)/$F31*$G31</f>
        <v>75</v>
      </c>
      <c r="P31" s="36" t="str">
        <f ca="1">OFFSET(总规划!L$260,MATCH($E31,总规划!$B$260:$B$335,0)-1,0)</f>
        <v>1战役币</v>
      </c>
      <c r="Q31" s="36">
        <f ca="1">OFFSET(总规划!M$260,MATCH($E31,总规划!$B$260:$B$335,0)-1,0)/$F31*$G31</f>
        <v>26.0416666666667</v>
      </c>
      <c r="R31" s="36">
        <f ca="1">OFFSET(总规划!N$260,MATCH($E31,总规划!$B$260:$B$335,0)-1,0)/$F31*$G31</f>
        <v>30</v>
      </c>
      <c r="S31" s="36" t="str">
        <f ca="1">OFFSET(总规划!O$260,MATCH($E31,总规划!$B$260:$B$335,0)-1,0)</f>
        <v>1联盟币</v>
      </c>
      <c r="T31" s="36">
        <f ca="1">OFFSET(总规划!P$260,MATCH($E31,总规划!$B$260:$B$335,0)-1,0)/$F31*$G31</f>
        <v>32.5520833333333</v>
      </c>
      <c r="U31" s="36">
        <f ca="1">OFFSET(总规划!Q$260,MATCH($E31,总规划!$B$260:$B$335,0)-1,0)/$F31*$G31</f>
        <v>37.5</v>
      </c>
      <c r="V31" s="36" t="str">
        <f ca="1">OFFSET(总规划!R$260,MATCH($E31,总规划!$B$260:$B$335,0)-1,0)</f>
        <v>1空战币</v>
      </c>
    </row>
    <row r="32" spans="4:22">
      <c r="D32" s="36" t="s">
        <v>2544</v>
      </c>
      <c r="E32" s="36" t="s">
        <v>478</v>
      </c>
      <c r="F32" s="36">
        <f t="shared" si="0"/>
        <v>1440</v>
      </c>
      <c r="G32" s="36">
        <f>3*60</f>
        <v>180</v>
      </c>
      <c r="H32" s="36">
        <f ca="1">OFFSET(总规划!D$260,MATCH($E32,总规划!$B$260:$B$335,0)-1,0)/$F32*$G32</f>
        <v>0.1953125</v>
      </c>
      <c r="I32" s="36">
        <f ca="1">OFFSET(总规划!E$260,MATCH($E32,总规划!$B$260:$B$335,0)-1,0)/$F32*$G32</f>
        <v>234.375</v>
      </c>
      <c r="J32" s="36">
        <f ca="1">OFFSET(总规划!F$260,MATCH($E32,总规划!$B$260:$B$335,0)-1,0)/$F32*$G32</f>
        <v>540</v>
      </c>
      <c r="K32" s="36">
        <f ca="1">OFFSET(总规划!G$260,MATCH($E32,总规划!$B$260:$B$335,0)-1,0)/$F32*$G32</f>
        <v>0.46875</v>
      </c>
      <c r="L32" s="36">
        <f ca="1">OFFSET(总规划!H$260,MATCH($E32,总规划!$B$260:$B$335,0)-1,0)/$F32*$G32</f>
        <v>0.54</v>
      </c>
      <c r="M32" s="36" t="str">
        <f ca="1">OFFSET(总规划!I$260,MATCH($E32,总规划!$B$260:$B$335,0)-1,0)</f>
        <v>1M资源</v>
      </c>
      <c r="N32" s="36">
        <f ca="1">OFFSET(总规划!J$260,MATCH($E32,总规划!$B$260:$B$335,0)-1,0)/$F32*$G32</f>
        <v>195.3125</v>
      </c>
      <c r="O32" s="36">
        <f ca="1">OFFSET(总规划!K$260,MATCH($E32,总规划!$B$260:$B$335,0)-1,0)/$F32*$G32</f>
        <v>225</v>
      </c>
      <c r="P32" s="36" t="str">
        <f ca="1">OFFSET(总规划!L$260,MATCH($E32,总规划!$B$260:$B$335,0)-1,0)</f>
        <v>1战役币</v>
      </c>
      <c r="Q32" s="36">
        <f ca="1">OFFSET(总规划!M$260,MATCH($E32,总规划!$B$260:$B$335,0)-1,0)/$F32*$G32</f>
        <v>78.125</v>
      </c>
      <c r="R32" s="36">
        <f ca="1">OFFSET(总规划!N$260,MATCH($E32,总规划!$B$260:$B$335,0)-1,0)/$F32*$G32</f>
        <v>90</v>
      </c>
      <c r="S32" s="36" t="str">
        <f ca="1">OFFSET(总规划!O$260,MATCH($E32,总规划!$B$260:$B$335,0)-1,0)</f>
        <v>1联盟币</v>
      </c>
      <c r="T32" s="36">
        <f ca="1">OFFSET(总规划!P$260,MATCH($E32,总规划!$B$260:$B$335,0)-1,0)/$F32*$G32</f>
        <v>97.65625</v>
      </c>
      <c r="U32" s="36">
        <f ca="1">OFFSET(总规划!Q$260,MATCH($E32,总规划!$B$260:$B$335,0)-1,0)/$F32*$G32</f>
        <v>112.5</v>
      </c>
      <c r="V32" s="36" t="str">
        <f ca="1">OFFSET(总规划!R$260,MATCH($E32,总规划!$B$260:$B$335,0)-1,0)</f>
        <v>1空战币</v>
      </c>
    </row>
    <row r="33" spans="4:22">
      <c r="D33" s="36" t="s">
        <v>2545</v>
      </c>
      <c r="E33" s="36" t="s">
        <v>478</v>
      </c>
      <c r="F33" s="36">
        <f t="shared" si="0"/>
        <v>1440</v>
      </c>
      <c r="G33" s="36">
        <f>8*60</f>
        <v>480</v>
      </c>
      <c r="H33" s="36">
        <f ca="1">OFFSET(总规划!D$260,MATCH($E33,总规划!$B$260:$B$335,0)-1,0)/$F33*$G33</f>
        <v>0.520833333333333</v>
      </c>
      <c r="I33" s="36">
        <f ca="1">OFFSET(总规划!E$260,MATCH($E33,总规划!$B$260:$B$335,0)-1,0)/$F33*$G33</f>
        <v>625</v>
      </c>
      <c r="J33" s="36">
        <f ca="1">OFFSET(总规划!F$260,MATCH($E33,总规划!$B$260:$B$335,0)-1,0)/$F33*$G33</f>
        <v>1440</v>
      </c>
      <c r="K33" s="36">
        <f ca="1">OFFSET(总规划!G$260,MATCH($E33,总规划!$B$260:$B$335,0)-1,0)/$F33*$G33</f>
        <v>1.25</v>
      </c>
      <c r="L33" s="36">
        <f ca="1">OFFSET(总规划!H$260,MATCH($E33,总规划!$B$260:$B$335,0)-1,0)/$F33*$G33</f>
        <v>1.44</v>
      </c>
      <c r="M33" s="36" t="str">
        <f ca="1">OFFSET(总规划!I$260,MATCH($E33,总规划!$B$260:$B$335,0)-1,0)</f>
        <v>1M资源</v>
      </c>
      <c r="N33" s="36">
        <f ca="1">OFFSET(总规划!J$260,MATCH($E33,总规划!$B$260:$B$335,0)-1,0)/$F33*$G33</f>
        <v>520.833333333333</v>
      </c>
      <c r="O33" s="36">
        <f ca="1">OFFSET(总规划!K$260,MATCH($E33,总规划!$B$260:$B$335,0)-1,0)/$F33*$G33</f>
        <v>600</v>
      </c>
      <c r="P33" s="36" t="str">
        <f ca="1">OFFSET(总规划!L$260,MATCH($E33,总规划!$B$260:$B$335,0)-1,0)</f>
        <v>1战役币</v>
      </c>
      <c r="Q33" s="36">
        <f ca="1">OFFSET(总规划!M$260,MATCH($E33,总规划!$B$260:$B$335,0)-1,0)/$F33*$G33</f>
        <v>208.333333333333</v>
      </c>
      <c r="R33" s="36">
        <f ca="1">OFFSET(总规划!N$260,MATCH($E33,总规划!$B$260:$B$335,0)-1,0)/$F33*$G33</f>
        <v>240</v>
      </c>
      <c r="S33" s="36" t="str">
        <f ca="1">OFFSET(总规划!O$260,MATCH($E33,总规划!$B$260:$B$335,0)-1,0)</f>
        <v>1联盟币</v>
      </c>
      <c r="T33" s="36">
        <f ca="1">OFFSET(总规划!P$260,MATCH($E33,总规划!$B$260:$B$335,0)-1,0)/$F33*$G33</f>
        <v>260.416666666667</v>
      </c>
      <c r="U33" s="36">
        <f ca="1">OFFSET(总规划!Q$260,MATCH($E33,总规划!$B$260:$B$335,0)-1,0)/$F33*$G33</f>
        <v>300</v>
      </c>
      <c r="V33" s="36" t="str">
        <f ca="1">OFFSET(总规划!R$260,MATCH($E33,总规划!$B$260:$B$335,0)-1,0)</f>
        <v>1空战币</v>
      </c>
    </row>
    <row r="34" spans="4:22">
      <c r="D34" s="36" t="s">
        <v>2546</v>
      </c>
      <c r="E34" s="36" t="s">
        <v>478</v>
      </c>
      <c r="F34" s="36">
        <f t="shared" si="0"/>
        <v>1440</v>
      </c>
      <c r="G34" s="36">
        <f>15*60</f>
        <v>900</v>
      </c>
      <c r="H34" s="36">
        <f ca="1">OFFSET(总规划!D$260,MATCH($E34,总规划!$B$260:$B$335,0)-1,0)/$F34*$G34</f>
        <v>0.9765625</v>
      </c>
      <c r="I34" s="36">
        <f ca="1">OFFSET(总规划!E$260,MATCH($E34,总规划!$B$260:$B$335,0)-1,0)/$F34*$G34</f>
        <v>1171.875</v>
      </c>
      <c r="J34" s="36">
        <f ca="1">OFFSET(总规划!F$260,MATCH($E34,总规划!$B$260:$B$335,0)-1,0)/$F34*$G34</f>
        <v>2700</v>
      </c>
      <c r="K34" s="36">
        <f ca="1">OFFSET(总规划!G$260,MATCH($E34,总规划!$B$260:$B$335,0)-1,0)/$F34*$G34</f>
        <v>2.34375</v>
      </c>
      <c r="L34" s="36">
        <f ca="1">OFFSET(总规划!H$260,MATCH($E34,总规划!$B$260:$B$335,0)-1,0)/$F34*$G34</f>
        <v>2.7</v>
      </c>
      <c r="M34" s="36" t="str">
        <f ca="1">OFFSET(总规划!I$260,MATCH($E34,总规划!$B$260:$B$335,0)-1,0)</f>
        <v>1M资源</v>
      </c>
      <c r="N34" s="36">
        <f ca="1">OFFSET(总规划!J$260,MATCH($E34,总规划!$B$260:$B$335,0)-1,0)/$F34*$G34</f>
        <v>976.5625</v>
      </c>
      <c r="O34" s="36">
        <f ca="1">OFFSET(总规划!K$260,MATCH($E34,总规划!$B$260:$B$335,0)-1,0)/$F34*$G34</f>
        <v>1125</v>
      </c>
      <c r="P34" s="36" t="str">
        <f ca="1">OFFSET(总规划!L$260,MATCH($E34,总规划!$B$260:$B$335,0)-1,0)</f>
        <v>1战役币</v>
      </c>
      <c r="Q34" s="36">
        <f ca="1">OFFSET(总规划!M$260,MATCH($E34,总规划!$B$260:$B$335,0)-1,0)/$F34*$G34</f>
        <v>390.625</v>
      </c>
      <c r="R34" s="36">
        <f ca="1">OFFSET(总规划!N$260,MATCH($E34,总规划!$B$260:$B$335,0)-1,0)/$F34*$G34</f>
        <v>450</v>
      </c>
      <c r="S34" s="36" t="str">
        <f ca="1">OFFSET(总规划!O$260,MATCH($E34,总规划!$B$260:$B$335,0)-1,0)</f>
        <v>1联盟币</v>
      </c>
      <c r="T34" s="36">
        <f ca="1">OFFSET(总规划!P$260,MATCH($E34,总规划!$B$260:$B$335,0)-1,0)/$F34*$G34</f>
        <v>488.28125</v>
      </c>
      <c r="U34" s="36">
        <f ca="1">OFFSET(总规划!Q$260,MATCH($E34,总规划!$B$260:$B$335,0)-1,0)/$F34*$G34</f>
        <v>562.5</v>
      </c>
      <c r="V34" s="36" t="str">
        <f ca="1">OFFSET(总规划!R$260,MATCH($E34,总规划!$B$260:$B$335,0)-1,0)</f>
        <v>1空战币</v>
      </c>
    </row>
    <row r="35" spans="4:22">
      <c r="D35" s="36" t="s">
        <v>2547</v>
      </c>
      <c r="E35" s="36" t="s">
        <v>478</v>
      </c>
      <c r="F35" s="36">
        <f t="shared" si="0"/>
        <v>1440</v>
      </c>
      <c r="G35" s="36">
        <f>24*60</f>
        <v>1440</v>
      </c>
      <c r="H35" s="36">
        <f ca="1">OFFSET(总规划!D$260,MATCH($E35,总规划!$B$260:$B$335,0)-1,0)/$F35*$G35</f>
        <v>1.5625</v>
      </c>
      <c r="I35" s="36">
        <f ca="1">OFFSET(总规划!E$260,MATCH($E35,总规划!$B$260:$B$335,0)-1,0)/$F35*$G35</f>
        <v>1875</v>
      </c>
      <c r="J35" s="36">
        <f ca="1">OFFSET(总规划!F$260,MATCH($E35,总规划!$B$260:$B$335,0)-1,0)/$F35*$G35</f>
        <v>4320</v>
      </c>
      <c r="K35" s="36">
        <f ca="1">OFFSET(总规划!G$260,MATCH($E35,总规划!$B$260:$B$335,0)-1,0)/$F35*$G35</f>
        <v>3.75</v>
      </c>
      <c r="L35" s="36">
        <f ca="1">OFFSET(总规划!H$260,MATCH($E35,总规划!$B$260:$B$335,0)-1,0)/$F35*$G35</f>
        <v>4.32</v>
      </c>
      <c r="M35" s="36" t="str">
        <f ca="1">OFFSET(总规划!I$260,MATCH($E35,总规划!$B$260:$B$335,0)-1,0)</f>
        <v>1M资源</v>
      </c>
      <c r="N35" s="36">
        <f ca="1">OFFSET(总规划!J$260,MATCH($E35,总规划!$B$260:$B$335,0)-1,0)/$F35*$G35</f>
        <v>1562.5</v>
      </c>
      <c r="O35" s="36">
        <f ca="1">OFFSET(总规划!K$260,MATCH($E35,总规划!$B$260:$B$335,0)-1,0)/$F35*$G35</f>
        <v>1800</v>
      </c>
      <c r="P35" s="36" t="str">
        <f ca="1">OFFSET(总规划!L$260,MATCH($E35,总规划!$B$260:$B$335,0)-1,0)</f>
        <v>1战役币</v>
      </c>
      <c r="Q35" s="36">
        <f ca="1">OFFSET(总规划!M$260,MATCH($E35,总规划!$B$260:$B$335,0)-1,0)/$F35*$G35</f>
        <v>625</v>
      </c>
      <c r="R35" s="36">
        <f ca="1">OFFSET(总规划!N$260,MATCH($E35,总规划!$B$260:$B$335,0)-1,0)/$F35*$G35</f>
        <v>720</v>
      </c>
      <c r="S35" s="36" t="str">
        <f ca="1">OFFSET(总规划!O$260,MATCH($E35,总规划!$B$260:$B$335,0)-1,0)</f>
        <v>1联盟币</v>
      </c>
      <c r="T35" s="36">
        <f ca="1">OFFSET(总规划!P$260,MATCH($E35,总规划!$B$260:$B$335,0)-1,0)/$F35*$G35</f>
        <v>781.25</v>
      </c>
      <c r="U35" s="36">
        <f ca="1">OFFSET(总规划!Q$260,MATCH($E35,总规划!$B$260:$B$335,0)-1,0)/$F35*$G35</f>
        <v>900</v>
      </c>
      <c r="V35" s="36" t="str">
        <f ca="1">OFFSET(总规划!R$260,MATCH($E35,总规划!$B$260:$B$335,0)-1,0)</f>
        <v>1空战币</v>
      </c>
    </row>
    <row r="36" spans="4:22">
      <c r="D36" s="36" t="s">
        <v>2548</v>
      </c>
      <c r="E36" s="36" t="s">
        <v>478</v>
      </c>
      <c r="F36" s="36">
        <f t="shared" si="0"/>
        <v>1440</v>
      </c>
      <c r="G36" s="36">
        <f>F36*3</f>
        <v>4320</v>
      </c>
      <c r="H36" s="36">
        <f ca="1">OFFSET(总规划!D$260,MATCH($E36,总规划!$B$260:$B$335,0)-1,0)/$F36*$G36</f>
        <v>4.6875</v>
      </c>
      <c r="I36" s="36">
        <f ca="1">OFFSET(总规划!E$260,MATCH($E36,总规划!$B$260:$B$335,0)-1,0)/$F36*$G36</f>
        <v>5625</v>
      </c>
      <c r="J36" s="36">
        <f ca="1">OFFSET(总规划!F$260,MATCH($E36,总规划!$B$260:$B$335,0)-1,0)/$F36*$G36</f>
        <v>12960</v>
      </c>
      <c r="K36" s="36">
        <f ca="1">OFFSET(总规划!G$260,MATCH($E36,总规划!$B$260:$B$335,0)-1,0)/$F36*$G36</f>
        <v>11.25</v>
      </c>
      <c r="L36" s="36">
        <f ca="1">OFFSET(总规划!H$260,MATCH($E36,总规划!$B$260:$B$335,0)-1,0)/$F36*$G36</f>
        <v>12.96</v>
      </c>
      <c r="M36" s="36" t="str">
        <f ca="1">OFFSET(总规划!I$260,MATCH($E36,总规划!$B$260:$B$335,0)-1,0)</f>
        <v>1M资源</v>
      </c>
      <c r="N36" s="36">
        <f ca="1">OFFSET(总规划!J$260,MATCH($E36,总规划!$B$260:$B$335,0)-1,0)/$F36*$G36</f>
        <v>4687.5</v>
      </c>
      <c r="O36" s="36">
        <f ca="1">OFFSET(总规划!K$260,MATCH($E36,总规划!$B$260:$B$335,0)-1,0)/$F36*$G36</f>
        <v>5400</v>
      </c>
      <c r="P36" s="36" t="str">
        <f ca="1">OFFSET(总规划!L$260,MATCH($E36,总规划!$B$260:$B$335,0)-1,0)</f>
        <v>1战役币</v>
      </c>
      <c r="Q36" s="36">
        <f ca="1">OFFSET(总规划!M$260,MATCH($E36,总规划!$B$260:$B$335,0)-1,0)/$F36*$G36</f>
        <v>1875</v>
      </c>
      <c r="R36" s="36">
        <f ca="1">OFFSET(总规划!N$260,MATCH($E36,总规划!$B$260:$B$335,0)-1,0)/$F36*$G36</f>
        <v>2160</v>
      </c>
      <c r="S36" s="36" t="str">
        <f ca="1">OFFSET(总规划!O$260,MATCH($E36,总规划!$B$260:$B$335,0)-1,0)</f>
        <v>1联盟币</v>
      </c>
      <c r="T36" s="36">
        <f ca="1">OFFSET(总规划!P$260,MATCH($E36,总规划!$B$260:$B$335,0)-1,0)/$F36*$G36</f>
        <v>2343.75</v>
      </c>
      <c r="U36" s="36">
        <f ca="1">OFFSET(总规划!Q$260,MATCH($E36,总规划!$B$260:$B$335,0)-1,0)/$F36*$G36</f>
        <v>2700</v>
      </c>
      <c r="V36" s="36" t="str">
        <f ca="1">OFFSET(总规划!R$260,MATCH($E36,总规划!$B$260:$B$335,0)-1,0)</f>
        <v>1空战币</v>
      </c>
    </row>
    <row r="37" spans="4:22">
      <c r="D37" s="36" t="s">
        <v>2549</v>
      </c>
      <c r="E37" s="36" t="s">
        <v>478</v>
      </c>
      <c r="F37" s="36">
        <f t="shared" si="0"/>
        <v>1440</v>
      </c>
      <c r="G37" s="36">
        <f>F37*7</f>
        <v>10080</v>
      </c>
      <c r="H37" s="36">
        <f ca="1">OFFSET(总规划!D$260,MATCH($E37,总规划!$B$260:$B$335,0)-1,0)/$F37*$G37</f>
        <v>10.9375</v>
      </c>
      <c r="I37" s="36">
        <f ca="1">OFFSET(总规划!E$260,MATCH($E37,总规划!$B$260:$B$335,0)-1,0)/$F37*$G37</f>
        <v>13125</v>
      </c>
      <c r="J37" s="36">
        <f ca="1">OFFSET(总规划!F$260,MATCH($E37,总规划!$B$260:$B$335,0)-1,0)/$F37*$G37</f>
        <v>30240</v>
      </c>
      <c r="K37" s="36">
        <f ca="1">OFFSET(总规划!G$260,MATCH($E37,总规划!$B$260:$B$335,0)-1,0)/$F37*$G37</f>
        <v>26.25</v>
      </c>
      <c r="L37" s="36">
        <f ca="1">OFFSET(总规划!H$260,MATCH($E37,总规划!$B$260:$B$335,0)-1,0)/$F37*$G37</f>
        <v>30.24</v>
      </c>
      <c r="M37" s="36" t="str">
        <f ca="1">OFFSET(总规划!I$260,MATCH($E37,总规划!$B$260:$B$335,0)-1,0)</f>
        <v>1M资源</v>
      </c>
      <c r="N37" s="36">
        <f ca="1">OFFSET(总规划!J$260,MATCH($E37,总规划!$B$260:$B$335,0)-1,0)/$F37*$G37</f>
        <v>10937.5</v>
      </c>
      <c r="O37" s="36">
        <f ca="1">OFFSET(总规划!K$260,MATCH($E37,总规划!$B$260:$B$335,0)-1,0)/$F37*$G37</f>
        <v>12600</v>
      </c>
      <c r="P37" s="36" t="str">
        <f ca="1">OFFSET(总规划!L$260,MATCH($E37,总规划!$B$260:$B$335,0)-1,0)</f>
        <v>1战役币</v>
      </c>
      <c r="Q37" s="36">
        <f ca="1">OFFSET(总规划!M$260,MATCH($E37,总规划!$B$260:$B$335,0)-1,0)/$F37*$G37</f>
        <v>4375</v>
      </c>
      <c r="R37" s="36">
        <f ca="1">OFFSET(总规划!N$260,MATCH($E37,总规划!$B$260:$B$335,0)-1,0)/$F37*$G37</f>
        <v>5040</v>
      </c>
      <c r="S37" s="36" t="str">
        <f ca="1">OFFSET(总规划!O$260,MATCH($E37,总规划!$B$260:$B$335,0)-1,0)</f>
        <v>1联盟币</v>
      </c>
      <c r="T37" s="36">
        <f ca="1">OFFSET(总规划!P$260,MATCH($E37,总规划!$B$260:$B$335,0)-1,0)/$F37*$G37</f>
        <v>5468.75</v>
      </c>
      <c r="U37" s="36">
        <f ca="1">OFFSET(总规划!Q$260,MATCH($E37,总规划!$B$260:$B$335,0)-1,0)/$F37*$G37</f>
        <v>6300</v>
      </c>
      <c r="V37" s="36" t="str">
        <f ca="1">OFFSET(总规划!R$260,MATCH($E37,总规划!$B$260:$B$335,0)-1,0)</f>
        <v>1空战币</v>
      </c>
    </row>
    <row r="38" spans="4:22">
      <c r="D38" s="36" t="s">
        <v>2550</v>
      </c>
      <c r="E38" s="36" t="s">
        <v>478</v>
      </c>
      <c r="F38" s="36">
        <f t="shared" si="0"/>
        <v>1440</v>
      </c>
      <c r="G38" s="36">
        <f>F38*30</f>
        <v>43200</v>
      </c>
      <c r="H38" s="36">
        <f ca="1">OFFSET(总规划!D$260,MATCH($E38,总规划!$B$260:$B$335,0)-1,0)/$F38*$G38</f>
        <v>46.875</v>
      </c>
      <c r="I38" s="36">
        <f ca="1">OFFSET(总规划!E$260,MATCH($E38,总规划!$B$260:$B$335,0)-1,0)/$F38*$G38</f>
        <v>56250</v>
      </c>
      <c r="J38" s="36">
        <f ca="1">OFFSET(总规划!F$260,MATCH($E38,总规划!$B$260:$B$335,0)-1,0)/$F38*$G38</f>
        <v>129600</v>
      </c>
      <c r="K38" s="36">
        <f ca="1">OFFSET(总规划!G$260,MATCH($E38,总规划!$B$260:$B$335,0)-1,0)/$F38*$G38</f>
        <v>112.5</v>
      </c>
      <c r="L38" s="36">
        <f ca="1">OFFSET(总规划!H$260,MATCH($E38,总规划!$B$260:$B$335,0)-1,0)/$F38*$G38</f>
        <v>129.6</v>
      </c>
      <c r="M38" s="36" t="str">
        <f ca="1">OFFSET(总规划!I$260,MATCH($E38,总规划!$B$260:$B$335,0)-1,0)</f>
        <v>1M资源</v>
      </c>
      <c r="N38" s="36">
        <f ca="1">OFFSET(总规划!J$260,MATCH($E38,总规划!$B$260:$B$335,0)-1,0)/$F38*$G38</f>
        <v>46875</v>
      </c>
      <c r="O38" s="36">
        <f ca="1">OFFSET(总规划!K$260,MATCH($E38,总规划!$B$260:$B$335,0)-1,0)/$F38*$G38</f>
        <v>54000</v>
      </c>
      <c r="P38" s="36" t="str">
        <f ca="1">OFFSET(总规划!L$260,MATCH($E38,总规划!$B$260:$B$335,0)-1,0)</f>
        <v>1战役币</v>
      </c>
      <c r="Q38" s="36">
        <f ca="1">OFFSET(总规划!M$260,MATCH($E38,总规划!$B$260:$B$335,0)-1,0)/$F38*$G38</f>
        <v>18750</v>
      </c>
      <c r="R38" s="36">
        <f ca="1">OFFSET(总规划!N$260,MATCH($E38,总规划!$B$260:$B$335,0)-1,0)/$F38*$G38</f>
        <v>21600</v>
      </c>
      <c r="S38" s="36" t="str">
        <f ca="1">OFFSET(总规划!O$260,MATCH($E38,总规划!$B$260:$B$335,0)-1,0)</f>
        <v>1联盟币</v>
      </c>
      <c r="T38" s="36">
        <f ca="1">OFFSET(总规划!P$260,MATCH($E38,总规划!$B$260:$B$335,0)-1,0)/$F38*$G38</f>
        <v>23437.5</v>
      </c>
      <c r="U38" s="36">
        <f ca="1">OFFSET(总规划!Q$260,MATCH($E38,总规划!$B$260:$B$335,0)-1,0)/$F38*$G38</f>
        <v>27000</v>
      </c>
      <c r="V38" s="36" t="str">
        <f ca="1">OFFSET(总规划!R$260,MATCH($E38,总规划!$B$260:$B$335,0)-1,0)</f>
        <v>1空战币</v>
      </c>
    </row>
    <row r="39" spans="4:22">
      <c r="D39" s="36" t="s">
        <v>2551</v>
      </c>
      <c r="E39" s="36" t="s">
        <v>478</v>
      </c>
      <c r="F39" s="36">
        <f t="shared" si="0"/>
        <v>1440</v>
      </c>
      <c r="G39" s="36">
        <v>1</v>
      </c>
      <c r="H39" s="36">
        <f ca="1">OFFSET(总规划!D$260,MATCH($E39,总规划!$B$260:$B$335,0)-1,0)/$F39*$G39</f>
        <v>0.00108506944444444</v>
      </c>
      <c r="I39" s="36">
        <f ca="1">OFFSET(总规划!E$260,MATCH($E39,总规划!$B$260:$B$335,0)-1,0)/$F39*$G39</f>
        <v>1.30208333333333</v>
      </c>
      <c r="J39" s="36">
        <f ca="1">OFFSET(总规划!F$260,MATCH($E39,总规划!$B$260:$B$335,0)-1,0)/$F39*$G39</f>
        <v>3</v>
      </c>
      <c r="K39" s="36">
        <f ca="1">OFFSET(总规划!G$260,MATCH($E39,总规划!$B$260:$B$335,0)-1,0)/$F39*$G39</f>
        <v>0.00260416666666667</v>
      </c>
      <c r="L39" s="36">
        <f ca="1">OFFSET(总规划!H$260,MATCH($E39,总规划!$B$260:$B$335,0)-1,0)/$F39*$G39</f>
        <v>0.003</v>
      </c>
      <c r="M39" s="36" t="str">
        <f ca="1">OFFSET(总规划!I$260,MATCH($E39,总规划!$B$260:$B$335,0)-1,0)</f>
        <v>1M资源</v>
      </c>
      <c r="N39" s="36">
        <f ca="1">OFFSET(总规划!J$260,MATCH($E39,总规划!$B$260:$B$335,0)-1,0)/$F39*$G39</f>
        <v>1.08506944444444</v>
      </c>
      <c r="O39" s="36">
        <f ca="1">OFFSET(总规划!K$260,MATCH($E39,总规划!$B$260:$B$335,0)-1,0)/$F39*$G39</f>
        <v>1.25</v>
      </c>
      <c r="P39" s="36" t="str">
        <f ca="1">OFFSET(总规划!L$260,MATCH($E39,总规划!$B$260:$B$335,0)-1,0)</f>
        <v>1战役币</v>
      </c>
      <c r="Q39" s="36">
        <f ca="1">OFFSET(总规划!M$260,MATCH($E39,总规划!$B$260:$B$335,0)-1,0)/$F39*$G39</f>
        <v>0.434027777777778</v>
      </c>
      <c r="R39" s="36">
        <f ca="1">OFFSET(总规划!N$260,MATCH($E39,总规划!$B$260:$B$335,0)-1,0)/$F39*$G39</f>
        <v>0.5</v>
      </c>
      <c r="S39" s="36" t="str">
        <f ca="1">OFFSET(总规划!O$260,MATCH($E39,总规划!$B$260:$B$335,0)-1,0)</f>
        <v>1联盟币</v>
      </c>
      <c r="T39" s="36">
        <f ca="1">OFFSET(总规划!P$260,MATCH($E39,总规划!$B$260:$B$335,0)-1,0)/$F39*$G39</f>
        <v>0.542534722222222</v>
      </c>
      <c r="U39" s="36">
        <f ca="1">OFFSET(总规划!Q$260,MATCH($E39,总规划!$B$260:$B$335,0)-1,0)/$F39*$G39</f>
        <v>0.625</v>
      </c>
      <c r="V39" s="36" t="str">
        <f ca="1">OFFSET(总规划!R$260,MATCH($E39,总规划!$B$260:$B$335,0)-1,0)</f>
        <v>1空战币</v>
      </c>
    </row>
    <row r="40" spans="4:22">
      <c r="D40" s="36" t="s">
        <v>1880</v>
      </c>
      <c r="E40" s="36" t="s">
        <v>478</v>
      </c>
      <c r="F40" s="36">
        <f t="shared" si="0"/>
        <v>1440</v>
      </c>
      <c r="G40" s="36">
        <v>3</v>
      </c>
      <c r="H40" s="36">
        <f ca="1">OFFSET(总规划!D$260,MATCH($E40,总规划!$B$260:$B$335,0)-1,0)/$F40*$G40</f>
        <v>0.00325520833333333</v>
      </c>
      <c r="I40" s="36">
        <f ca="1">OFFSET(总规划!E$260,MATCH($E40,总规划!$B$260:$B$335,0)-1,0)/$F40*$G40</f>
        <v>3.90625</v>
      </c>
      <c r="J40" s="36">
        <f ca="1">OFFSET(总规划!F$260,MATCH($E40,总规划!$B$260:$B$335,0)-1,0)/$F40*$G40</f>
        <v>9</v>
      </c>
      <c r="K40" s="36">
        <f ca="1">OFFSET(总规划!G$260,MATCH($E40,总规划!$B$260:$B$335,0)-1,0)/$F40*$G40</f>
        <v>0.0078125</v>
      </c>
      <c r="L40" s="36">
        <f ca="1">OFFSET(总规划!H$260,MATCH($E40,总规划!$B$260:$B$335,0)-1,0)/$F40*$G40</f>
        <v>0.009</v>
      </c>
      <c r="M40" s="36" t="str">
        <f ca="1">OFFSET(总规划!I$260,MATCH($E40,总规划!$B$260:$B$335,0)-1,0)</f>
        <v>1M资源</v>
      </c>
      <c r="N40" s="36">
        <f ca="1">OFFSET(总规划!J$260,MATCH($E40,总规划!$B$260:$B$335,0)-1,0)/$F40*$G40</f>
        <v>3.25520833333333</v>
      </c>
      <c r="O40" s="36">
        <f ca="1">OFFSET(总规划!K$260,MATCH($E40,总规划!$B$260:$B$335,0)-1,0)/$F40*$G40</f>
        <v>3.75</v>
      </c>
      <c r="P40" s="36" t="str">
        <f ca="1">OFFSET(总规划!L$260,MATCH($E40,总规划!$B$260:$B$335,0)-1,0)</f>
        <v>1战役币</v>
      </c>
      <c r="Q40" s="36">
        <f ca="1">OFFSET(总规划!M$260,MATCH($E40,总规划!$B$260:$B$335,0)-1,0)/$F40*$G40</f>
        <v>1.30208333333333</v>
      </c>
      <c r="R40" s="36">
        <f ca="1">OFFSET(总规划!N$260,MATCH($E40,总规划!$B$260:$B$335,0)-1,0)/$F40*$G40</f>
        <v>1.5</v>
      </c>
      <c r="S40" s="36" t="str">
        <f ca="1">OFFSET(总规划!O$260,MATCH($E40,总规划!$B$260:$B$335,0)-1,0)</f>
        <v>1联盟币</v>
      </c>
      <c r="T40" s="36">
        <f ca="1">OFFSET(总规划!P$260,MATCH($E40,总规划!$B$260:$B$335,0)-1,0)/$F40*$G40</f>
        <v>1.62760416666667</v>
      </c>
      <c r="U40" s="36">
        <f ca="1">OFFSET(总规划!Q$260,MATCH($E40,总规划!$B$260:$B$335,0)-1,0)/$F40*$G40</f>
        <v>1.875</v>
      </c>
      <c r="V40" s="36" t="str">
        <f ca="1">OFFSET(总规划!R$260,MATCH($E40,总规划!$B$260:$B$335,0)-1,0)</f>
        <v>1空战币</v>
      </c>
    </row>
    <row r="41" spans="4:22">
      <c r="D41" s="36" t="s">
        <v>1882</v>
      </c>
      <c r="E41" s="36" t="s">
        <v>478</v>
      </c>
      <c r="F41" s="36">
        <f t="shared" si="0"/>
        <v>1440</v>
      </c>
      <c r="G41" s="36">
        <v>15</v>
      </c>
      <c r="H41" s="36">
        <f ca="1">OFFSET(总规划!D$260,MATCH($E41,总规划!$B$260:$B$335,0)-1,0)/$F41*$G41</f>
        <v>0.0162760416666667</v>
      </c>
      <c r="I41" s="36">
        <f ca="1">OFFSET(总规划!E$260,MATCH($E41,总规划!$B$260:$B$335,0)-1,0)/$F41*$G41</f>
        <v>19.53125</v>
      </c>
      <c r="J41" s="36">
        <f ca="1">OFFSET(总规划!F$260,MATCH($E41,总规划!$B$260:$B$335,0)-1,0)/$F41*$G41</f>
        <v>45</v>
      </c>
      <c r="K41" s="36">
        <f ca="1">OFFSET(总规划!G$260,MATCH($E41,总规划!$B$260:$B$335,0)-1,0)/$F41*$G41</f>
        <v>0.0390625</v>
      </c>
      <c r="L41" s="36">
        <f ca="1">OFFSET(总规划!H$260,MATCH($E41,总规划!$B$260:$B$335,0)-1,0)/$F41*$G41</f>
        <v>0.045</v>
      </c>
      <c r="M41" s="36" t="str">
        <f ca="1">OFFSET(总规划!I$260,MATCH($E41,总规划!$B$260:$B$335,0)-1,0)</f>
        <v>1M资源</v>
      </c>
      <c r="N41" s="36">
        <f ca="1">OFFSET(总规划!J$260,MATCH($E41,总规划!$B$260:$B$335,0)-1,0)/$F41*$G41</f>
        <v>16.2760416666667</v>
      </c>
      <c r="O41" s="36">
        <f ca="1">OFFSET(总规划!K$260,MATCH($E41,总规划!$B$260:$B$335,0)-1,0)/$F41*$G41</f>
        <v>18.75</v>
      </c>
      <c r="P41" s="36" t="str">
        <f ca="1">OFFSET(总规划!L$260,MATCH($E41,总规划!$B$260:$B$335,0)-1,0)</f>
        <v>1战役币</v>
      </c>
      <c r="Q41" s="36">
        <f ca="1">OFFSET(总规划!M$260,MATCH($E41,总规划!$B$260:$B$335,0)-1,0)/$F41*$G41</f>
        <v>6.51041666666667</v>
      </c>
      <c r="R41" s="36">
        <f ca="1">OFFSET(总规划!N$260,MATCH($E41,总规划!$B$260:$B$335,0)-1,0)/$F41*$G41</f>
        <v>7.5</v>
      </c>
      <c r="S41" s="36" t="str">
        <f ca="1">OFFSET(总规划!O$260,MATCH($E41,总规划!$B$260:$B$335,0)-1,0)</f>
        <v>1联盟币</v>
      </c>
      <c r="T41" s="36">
        <f ca="1">OFFSET(总规划!P$260,MATCH($E41,总规划!$B$260:$B$335,0)-1,0)/$F41*$G41</f>
        <v>8.13802083333333</v>
      </c>
      <c r="U41" s="36">
        <f ca="1">OFFSET(总规划!Q$260,MATCH($E41,总规划!$B$260:$B$335,0)-1,0)/$F41*$G41</f>
        <v>9.375</v>
      </c>
      <c r="V41" s="36" t="str">
        <f ca="1">OFFSET(总规划!R$260,MATCH($E41,总规划!$B$260:$B$335,0)-1,0)</f>
        <v>1空战币</v>
      </c>
    </row>
    <row r="42" spans="4:22">
      <c r="D42" s="36" t="s">
        <v>1884</v>
      </c>
      <c r="E42" s="36" t="s">
        <v>478</v>
      </c>
      <c r="F42" s="36">
        <f t="shared" si="0"/>
        <v>1440</v>
      </c>
      <c r="G42" s="36">
        <v>60</v>
      </c>
      <c r="H42" s="36">
        <f ca="1">OFFSET(总规划!D$260,MATCH($E42,总规划!$B$260:$B$335,0)-1,0)/$F42*$G42</f>
        <v>0.0651041666666667</v>
      </c>
      <c r="I42" s="36">
        <f ca="1">OFFSET(总规划!E$260,MATCH($E42,总规划!$B$260:$B$335,0)-1,0)/$F42*$G42</f>
        <v>78.125</v>
      </c>
      <c r="J42" s="36">
        <f ca="1">OFFSET(总规划!F$260,MATCH($E42,总规划!$B$260:$B$335,0)-1,0)/$F42*$G42</f>
        <v>180</v>
      </c>
      <c r="K42" s="36">
        <f ca="1">OFFSET(总规划!G$260,MATCH($E42,总规划!$B$260:$B$335,0)-1,0)/$F42*$G42</f>
        <v>0.15625</v>
      </c>
      <c r="L42" s="36">
        <f ca="1">OFFSET(总规划!H$260,MATCH($E42,总规划!$B$260:$B$335,0)-1,0)/$F42*$G42</f>
        <v>0.18</v>
      </c>
      <c r="M42" s="36" t="str">
        <f ca="1">OFFSET(总规划!I$260,MATCH($E42,总规划!$B$260:$B$335,0)-1,0)</f>
        <v>1M资源</v>
      </c>
      <c r="N42" s="36">
        <f ca="1">OFFSET(总规划!J$260,MATCH($E42,总规划!$B$260:$B$335,0)-1,0)/$F42*$G42</f>
        <v>65.1041666666667</v>
      </c>
      <c r="O42" s="36">
        <f ca="1">OFFSET(总规划!K$260,MATCH($E42,总规划!$B$260:$B$335,0)-1,0)/$F42*$G42</f>
        <v>75</v>
      </c>
      <c r="P42" s="36" t="str">
        <f ca="1">OFFSET(总规划!L$260,MATCH($E42,总规划!$B$260:$B$335,0)-1,0)</f>
        <v>1战役币</v>
      </c>
      <c r="Q42" s="36">
        <f ca="1">OFFSET(总规划!M$260,MATCH($E42,总规划!$B$260:$B$335,0)-1,0)/$F42*$G42</f>
        <v>26.0416666666667</v>
      </c>
      <c r="R42" s="36">
        <f ca="1">OFFSET(总规划!N$260,MATCH($E42,总规划!$B$260:$B$335,0)-1,0)/$F42*$G42</f>
        <v>30</v>
      </c>
      <c r="S42" s="36" t="str">
        <f ca="1">OFFSET(总规划!O$260,MATCH($E42,总规划!$B$260:$B$335,0)-1,0)</f>
        <v>1联盟币</v>
      </c>
      <c r="T42" s="36">
        <f ca="1">OFFSET(总规划!P$260,MATCH($E42,总规划!$B$260:$B$335,0)-1,0)/$F42*$G42</f>
        <v>32.5520833333333</v>
      </c>
      <c r="U42" s="36">
        <f ca="1">OFFSET(总规划!Q$260,MATCH($E42,总规划!$B$260:$B$335,0)-1,0)/$F42*$G42</f>
        <v>37.5</v>
      </c>
      <c r="V42" s="36" t="str">
        <f ca="1">OFFSET(总规划!R$260,MATCH($E42,总规划!$B$260:$B$335,0)-1,0)</f>
        <v>1空战币</v>
      </c>
    </row>
    <row r="43" spans="4:22">
      <c r="D43" s="36" t="s">
        <v>2095</v>
      </c>
      <c r="E43" s="36" t="s">
        <v>478</v>
      </c>
      <c r="F43" s="36">
        <f t="shared" si="0"/>
        <v>1440</v>
      </c>
      <c r="G43" s="36">
        <f>3*60</f>
        <v>180</v>
      </c>
      <c r="H43" s="36">
        <f ca="1">OFFSET(总规划!D$260,MATCH($E43,总规划!$B$260:$B$335,0)-1,0)/$F43*$G43</f>
        <v>0.1953125</v>
      </c>
      <c r="I43" s="36">
        <f ca="1">OFFSET(总规划!E$260,MATCH($E43,总规划!$B$260:$B$335,0)-1,0)/$F43*$G43</f>
        <v>234.375</v>
      </c>
      <c r="J43" s="36">
        <f ca="1">OFFSET(总规划!F$260,MATCH($E43,总规划!$B$260:$B$335,0)-1,0)/$F43*$G43</f>
        <v>540</v>
      </c>
      <c r="K43" s="36">
        <f ca="1">OFFSET(总规划!G$260,MATCH($E43,总规划!$B$260:$B$335,0)-1,0)/$F43*$G43</f>
        <v>0.46875</v>
      </c>
      <c r="L43" s="36">
        <f ca="1">OFFSET(总规划!H$260,MATCH($E43,总规划!$B$260:$B$335,0)-1,0)/$F43*$G43</f>
        <v>0.54</v>
      </c>
      <c r="M43" s="36" t="str">
        <f ca="1">OFFSET(总规划!I$260,MATCH($E43,总规划!$B$260:$B$335,0)-1,0)</f>
        <v>1M资源</v>
      </c>
      <c r="N43" s="36">
        <f ca="1">OFFSET(总规划!J$260,MATCH($E43,总规划!$B$260:$B$335,0)-1,0)/$F43*$G43</f>
        <v>195.3125</v>
      </c>
      <c r="O43" s="36">
        <f ca="1">OFFSET(总规划!K$260,MATCH($E43,总规划!$B$260:$B$335,0)-1,0)/$F43*$G43</f>
        <v>225</v>
      </c>
      <c r="P43" s="36" t="str">
        <f ca="1">OFFSET(总规划!L$260,MATCH($E43,总规划!$B$260:$B$335,0)-1,0)</f>
        <v>1战役币</v>
      </c>
      <c r="Q43" s="36">
        <f ca="1">OFFSET(总规划!M$260,MATCH($E43,总规划!$B$260:$B$335,0)-1,0)/$F43*$G43</f>
        <v>78.125</v>
      </c>
      <c r="R43" s="36">
        <f ca="1">OFFSET(总规划!N$260,MATCH($E43,总规划!$B$260:$B$335,0)-1,0)/$F43*$G43</f>
        <v>90</v>
      </c>
      <c r="S43" s="36" t="str">
        <f ca="1">OFFSET(总规划!O$260,MATCH($E43,总规划!$B$260:$B$335,0)-1,0)</f>
        <v>1联盟币</v>
      </c>
      <c r="T43" s="36">
        <f ca="1">OFFSET(总规划!P$260,MATCH($E43,总规划!$B$260:$B$335,0)-1,0)/$F43*$G43</f>
        <v>97.65625</v>
      </c>
      <c r="U43" s="36">
        <f ca="1">OFFSET(总规划!Q$260,MATCH($E43,总规划!$B$260:$B$335,0)-1,0)/$F43*$G43</f>
        <v>112.5</v>
      </c>
      <c r="V43" s="36" t="str">
        <f ca="1">OFFSET(总规划!R$260,MATCH($E43,总规划!$B$260:$B$335,0)-1,0)</f>
        <v>1空战币</v>
      </c>
    </row>
    <row r="44" spans="4:22">
      <c r="D44" s="36" t="s">
        <v>2552</v>
      </c>
      <c r="E44" s="36" t="s">
        <v>478</v>
      </c>
      <c r="F44" s="36">
        <f t="shared" si="0"/>
        <v>1440</v>
      </c>
      <c r="G44" s="36">
        <f>8*60</f>
        <v>480</v>
      </c>
      <c r="H44" s="36">
        <f ca="1">OFFSET(总规划!D$260,MATCH($E44,总规划!$B$260:$B$335,0)-1,0)/$F44*$G44</f>
        <v>0.520833333333333</v>
      </c>
      <c r="I44" s="36">
        <f ca="1">OFFSET(总规划!E$260,MATCH($E44,总规划!$B$260:$B$335,0)-1,0)/$F44*$G44</f>
        <v>625</v>
      </c>
      <c r="J44" s="36">
        <f ca="1">OFFSET(总规划!F$260,MATCH($E44,总规划!$B$260:$B$335,0)-1,0)/$F44*$G44</f>
        <v>1440</v>
      </c>
      <c r="K44" s="36">
        <f ca="1">OFFSET(总规划!G$260,MATCH($E44,总规划!$B$260:$B$335,0)-1,0)/$F44*$G44</f>
        <v>1.25</v>
      </c>
      <c r="L44" s="36">
        <f ca="1">OFFSET(总规划!H$260,MATCH($E44,总规划!$B$260:$B$335,0)-1,0)/$F44*$G44</f>
        <v>1.44</v>
      </c>
      <c r="M44" s="36" t="str">
        <f ca="1">OFFSET(总规划!I$260,MATCH($E44,总规划!$B$260:$B$335,0)-1,0)</f>
        <v>1M资源</v>
      </c>
      <c r="N44" s="36">
        <f ca="1">OFFSET(总规划!J$260,MATCH($E44,总规划!$B$260:$B$335,0)-1,0)/$F44*$G44</f>
        <v>520.833333333333</v>
      </c>
      <c r="O44" s="36">
        <f ca="1">OFFSET(总规划!K$260,MATCH($E44,总规划!$B$260:$B$335,0)-1,0)/$F44*$G44</f>
        <v>600</v>
      </c>
      <c r="P44" s="36" t="str">
        <f ca="1">OFFSET(总规划!L$260,MATCH($E44,总规划!$B$260:$B$335,0)-1,0)</f>
        <v>1战役币</v>
      </c>
      <c r="Q44" s="36">
        <f ca="1">OFFSET(总规划!M$260,MATCH($E44,总规划!$B$260:$B$335,0)-1,0)/$F44*$G44</f>
        <v>208.333333333333</v>
      </c>
      <c r="R44" s="36">
        <f ca="1">OFFSET(总规划!N$260,MATCH($E44,总规划!$B$260:$B$335,0)-1,0)/$F44*$G44</f>
        <v>240</v>
      </c>
      <c r="S44" s="36" t="str">
        <f ca="1">OFFSET(总规划!O$260,MATCH($E44,总规划!$B$260:$B$335,0)-1,0)</f>
        <v>1联盟币</v>
      </c>
      <c r="T44" s="36">
        <f ca="1">OFFSET(总规划!P$260,MATCH($E44,总规划!$B$260:$B$335,0)-1,0)/$F44*$G44</f>
        <v>260.416666666667</v>
      </c>
      <c r="U44" s="36">
        <f ca="1">OFFSET(总规划!Q$260,MATCH($E44,总规划!$B$260:$B$335,0)-1,0)/$F44*$G44</f>
        <v>300</v>
      </c>
      <c r="V44" s="36" t="str">
        <f ca="1">OFFSET(总规划!R$260,MATCH($E44,总规划!$B$260:$B$335,0)-1,0)</f>
        <v>1空战币</v>
      </c>
    </row>
    <row r="45" spans="4:22">
      <c r="D45" s="36" t="s">
        <v>2553</v>
      </c>
      <c r="E45" s="36" t="s">
        <v>478</v>
      </c>
      <c r="F45" s="36">
        <f t="shared" si="0"/>
        <v>1440</v>
      </c>
      <c r="G45" s="36">
        <f>15*60</f>
        <v>900</v>
      </c>
      <c r="H45" s="36">
        <f ca="1">OFFSET(总规划!D$260,MATCH($E45,总规划!$B$260:$B$335,0)-1,0)/$F45*$G45</f>
        <v>0.9765625</v>
      </c>
      <c r="I45" s="36">
        <f ca="1">OFFSET(总规划!E$260,MATCH($E45,总规划!$B$260:$B$335,0)-1,0)/$F45*$G45</f>
        <v>1171.875</v>
      </c>
      <c r="J45" s="36">
        <f ca="1">OFFSET(总规划!F$260,MATCH($E45,总规划!$B$260:$B$335,0)-1,0)/$F45*$G45</f>
        <v>2700</v>
      </c>
      <c r="K45" s="36">
        <f ca="1">OFFSET(总规划!G$260,MATCH($E45,总规划!$B$260:$B$335,0)-1,0)/$F45*$G45</f>
        <v>2.34375</v>
      </c>
      <c r="L45" s="36">
        <f ca="1">OFFSET(总规划!H$260,MATCH($E45,总规划!$B$260:$B$335,0)-1,0)/$F45*$G45</f>
        <v>2.7</v>
      </c>
      <c r="M45" s="36" t="str">
        <f ca="1">OFFSET(总规划!I$260,MATCH($E45,总规划!$B$260:$B$335,0)-1,0)</f>
        <v>1M资源</v>
      </c>
      <c r="N45" s="36">
        <f ca="1">OFFSET(总规划!J$260,MATCH($E45,总规划!$B$260:$B$335,0)-1,0)/$F45*$G45</f>
        <v>976.5625</v>
      </c>
      <c r="O45" s="36">
        <f ca="1">OFFSET(总规划!K$260,MATCH($E45,总规划!$B$260:$B$335,0)-1,0)/$F45*$G45</f>
        <v>1125</v>
      </c>
      <c r="P45" s="36" t="str">
        <f ca="1">OFFSET(总规划!L$260,MATCH($E45,总规划!$B$260:$B$335,0)-1,0)</f>
        <v>1战役币</v>
      </c>
      <c r="Q45" s="36">
        <f ca="1">OFFSET(总规划!M$260,MATCH($E45,总规划!$B$260:$B$335,0)-1,0)/$F45*$G45</f>
        <v>390.625</v>
      </c>
      <c r="R45" s="36">
        <f ca="1">OFFSET(总规划!N$260,MATCH($E45,总规划!$B$260:$B$335,0)-1,0)/$F45*$G45</f>
        <v>450</v>
      </c>
      <c r="S45" s="36" t="str">
        <f ca="1">OFFSET(总规划!O$260,MATCH($E45,总规划!$B$260:$B$335,0)-1,0)</f>
        <v>1联盟币</v>
      </c>
      <c r="T45" s="36">
        <f ca="1">OFFSET(总规划!P$260,MATCH($E45,总规划!$B$260:$B$335,0)-1,0)/$F45*$G45</f>
        <v>488.28125</v>
      </c>
      <c r="U45" s="36">
        <f ca="1">OFFSET(总规划!Q$260,MATCH($E45,总规划!$B$260:$B$335,0)-1,0)/$F45*$G45</f>
        <v>562.5</v>
      </c>
      <c r="V45" s="36" t="str">
        <f ca="1">OFFSET(总规划!R$260,MATCH($E45,总规划!$B$260:$B$335,0)-1,0)</f>
        <v>1空战币</v>
      </c>
    </row>
    <row r="46" spans="4:22">
      <c r="D46" s="36" t="s">
        <v>2554</v>
      </c>
      <c r="E46" s="36" t="s">
        <v>478</v>
      </c>
      <c r="F46" s="36">
        <f t="shared" si="0"/>
        <v>1440</v>
      </c>
      <c r="G46" s="36">
        <f>24*60</f>
        <v>1440</v>
      </c>
      <c r="H46" s="36">
        <f ca="1">OFFSET(总规划!D$260,MATCH($E46,总规划!$B$260:$B$335,0)-1,0)/$F46*$G46</f>
        <v>1.5625</v>
      </c>
      <c r="I46" s="36">
        <f ca="1">OFFSET(总规划!E$260,MATCH($E46,总规划!$B$260:$B$335,0)-1,0)/$F46*$G46</f>
        <v>1875</v>
      </c>
      <c r="J46" s="36">
        <f ca="1">OFFSET(总规划!F$260,MATCH($E46,总规划!$B$260:$B$335,0)-1,0)/$F46*$G46</f>
        <v>4320</v>
      </c>
      <c r="K46" s="36">
        <f ca="1">OFFSET(总规划!G$260,MATCH($E46,总规划!$B$260:$B$335,0)-1,0)/$F46*$G46</f>
        <v>3.75</v>
      </c>
      <c r="L46" s="36">
        <f ca="1">OFFSET(总规划!H$260,MATCH($E46,总规划!$B$260:$B$335,0)-1,0)/$F46*$G46</f>
        <v>4.32</v>
      </c>
      <c r="M46" s="36" t="str">
        <f ca="1">OFFSET(总规划!I$260,MATCH($E46,总规划!$B$260:$B$335,0)-1,0)</f>
        <v>1M资源</v>
      </c>
      <c r="N46" s="36">
        <f ca="1">OFFSET(总规划!J$260,MATCH($E46,总规划!$B$260:$B$335,0)-1,0)/$F46*$G46</f>
        <v>1562.5</v>
      </c>
      <c r="O46" s="36">
        <f ca="1">OFFSET(总规划!K$260,MATCH($E46,总规划!$B$260:$B$335,0)-1,0)/$F46*$G46</f>
        <v>1800</v>
      </c>
      <c r="P46" s="36" t="str">
        <f ca="1">OFFSET(总规划!L$260,MATCH($E46,总规划!$B$260:$B$335,0)-1,0)</f>
        <v>1战役币</v>
      </c>
      <c r="Q46" s="36">
        <f ca="1">OFFSET(总规划!M$260,MATCH($E46,总规划!$B$260:$B$335,0)-1,0)/$F46*$G46</f>
        <v>625</v>
      </c>
      <c r="R46" s="36">
        <f ca="1">OFFSET(总规划!N$260,MATCH($E46,总规划!$B$260:$B$335,0)-1,0)/$F46*$G46</f>
        <v>720</v>
      </c>
      <c r="S46" s="36" t="str">
        <f ca="1">OFFSET(总规划!O$260,MATCH($E46,总规划!$B$260:$B$335,0)-1,0)</f>
        <v>1联盟币</v>
      </c>
      <c r="T46" s="36">
        <f ca="1">OFFSET(总规划!P$260,MATCH($E46,总规划!$B$260:$B$335,0)-1,0)/$F46*$G46</f>
        <v>781.25</v>
      </c>
      <c r="U46" s="36">
        <f ca="1">OFFSET(总规划!Q$260,MATCH($E46,总规划!$B$260:$B$335,0)-1,0)/$F46*$G46</f>
        <v>900</v>
      </c>
      <c r="V46" s="36" t="str">
        <f ca="1">OFFSET(总规划!R$260,MATCH($E46,总规划!$B$260:$B$335,0)-1,0)</f>
        <v>1空战币</v>
      </c>
    </row>
    <row r="47" spans="4:22">
      <c r="D47" s="36" t="s">
        <v>2555</v>
      </c>
      <c r="E47" s="36" t="s">
        <v>478</v>
      </c>
      <c r="F47" s="36">
        <f t="shared" si="0"/>
        <v>1440</v>
      </c>
      <c r="G47" s="36">
        <f>F47*3</f>
        <v>4320</v>
      </c>
      <c r="H47" s="36">
        <f ca="1">OFFSET(总规划!D$260,MATCH($E47,总规划!$B$260:$B$335,0)-1,0)/$F47*$G47</f>
        <v>4.6875</v>
      </c>
      <c r="I47" s="36">
        <f ca="1">OFFSET(总规划!E$260,MATCH($E47,总规划!$B$260:$B$335,0)-1,0)/$F47*$G47</f>
        <v>5625</v>
      </c>
      <c r="J47" s="36">
        <f ca="1">OFFSET(总规划!F$260,MATCH($E47,总规划!$B$260:$B$335,0)-1,0)/$F47*$G47</f>
        <v>12960</v>
      </c>
      <c r="K47" s="36">
        <f ca="1">OFFSET(总规划!G$260,MATCH($E47,总规划!$B$260:$B$335,0)-1,0)/$F47*$G47</f>
        <v>11.25</v>
      </c>
      <c r="L47" s="36">
        <f ca="1">OFFSET(总规划!H$260,MATCH($E47,总规划!$B$260:$B$335,0)-1,0)/$F47*$G47</f>
        <v>12.96</v>
      </c>
      <c r="M47" s="36" t="str">
        <f ca="1">OFFSET(总规划!I$260,MATCH($E47,总规划!$B$260:$B$335,0)-1,0)</f>
        <v>1M资源</v>
      </c>
      <c r="N47" s="36">
        <f ca="1">OFFSET(总规划!J$260,MATCH($E47,总规划!$B$260:$B$335,0)-1,0)/$F47*$G47</f>
        <v>4687.5</v>
      </c>
      <c r="O47" s="36">
        <f ca="1">OFFSET(总规划!K$260,MATCH($E47,总规划!$B$260:$B$335,0)-1,0)/$F47*$G47</f>
        <v>5400</v>
      </c>
      <c r="P47" s="36" t="str">
        <f ca="1">OFFSET(总规划!L$260,MATCH($E47,总规划!$B$260:$B$335,0)-1,0)</f>
        <v>1战役币</v>
      </c>
      <c r="Q47" s="36">
        <f ca="1">OFFSET(总规划!M$260,MATCH($E47,总规划!$B$260:$B$335,0)-1,0)/$F47*$G47</f>
        <v>1875</v>
      </c>
      <c r="R47" s="36">
        <f ca="1">OFFSET(总规划!N$260,MATCH($E47,总规划!$B$260:$B$335,0)-1,0)/$F47*$G47</f>
        <v>2160</v>
      </c>
      <c r="S47" s="36" t="str">
        <f ca="1">OFFSET(总规划!O$260,MATCH($E47,总规划!$B$260:$B$335,0)-1,0)</f>
        <v>1联盟币</v>
      </c>
      <c r="T47" s="36">
        <f ca="1">OFFSET(总规划!P$260,MATCH($E47,总规划!$B$260:$B$335,0)-1,0)/$F47*$G47</f>
        <v>2343.75</v>
      </c>
      <c r="U47" s="36">
        <f ca="1">OFFSET(总规划!Q$260,MATCH($E47,总规划!$B$260:$B$335,0)-1,0)/$F47*$G47</f>
        <v>2700</v>
      </c>
      <c r="V47" s="36" t="str">
        <f ca="1">OFFSET(总规划!R$260,MATCH($E47,总规划!$B$260:$B$335,0)-1,0)</f>
        <v>1空战币</v>
      </c>
    </row>
    <row r="48" spans="4:22">
      <c r="D48" s="36" t="s">
        <v>2556</v>
      </c>
      <c r="E48" s="36" t="s">
        <v>478</v>
      </c>
      <c r="F48" s="36">
        <f t="shared" si="0"/>
        <v>1440</v>
      </c>
      <c r="G48" s="36">
        <f>F48*7</f>
        <v>10080</v>
      </c>
      <c r="H48" s="36">
        <f ca="1">OFFSET(总规划!D$260,MATCH($E48,总规划!$B$260:$B$335,0)-1,0)/$F48*$G48</f>
        <v>10.9375</v>
      </c>
      <c r="I48" s="36">
        <f ca="1">OFFSET(总规划!E$260,MATCH($E48,总规划!$B$260:$B$335,0)-1,0)/$F48*$G48</f>
        <v>13125</v>
      </c>
      <c r="J48" s="36">
        <f ca="1">OFFSET(总规划!F$260,MATCH($E48,总规划!$B$260:$B$335,0)-1,0)/$F48*$G48</f>
        <v>30240</v>
      </c>
      <c r="K48" s="36">
        <f ca="1">OFFSET(总规划!G$260,MATCH($E48,总规划!$B$260:$B$335,0)-1,0)/$F48*$G48</f>
        <v>26.25</v>
      </c>
      <c r="L48" s="36">
        <f ca="1">OFFSET(总规划!H$260,MATCH($E48,总规划!$B$260:$B$335,0)-1,0)/$F48*$G48</f>
        <v>30.24</v>
      </c>
      <c r="M48" s="36" t="str">
        <f ca="1">OFFSET(总规划!I$260,MATCH($E48,总规划!$B$260:$B$335,0)-1,0)</f>
        <v>1M资源</v>
      </c>
      <c r="N48" s="36">
        <f ca="1">OFFSET(总规划!J$260,MATCH($E48,总规划!$B$260:$B$335,0)-1,0)/$F48*$G48</f>
        <v>10937.5</v>
      </c>
      <c r="O48" s="36">
        <f ca="1">OFFSET(总规划!K$260,MATCH($E48,总规划!$B$260:$B$335,0)-1,0)/$F48*$G48</f>
        <v>12600</v>
      </c>
      <c r="P48" s="36" t="str">
        <f ca="1">OFFSET(总规划!L$260,MATCH($E48,总规划!$B$260:$B$335,0)-1,0)</f>
        <v>1战役币</v>
      </c>
      <c r="Q48" s="36">
        <f ca="1">OFFSET(总规划!M$260,MATCH($E48,总规划!$B$260:$B$335,0)-1,0)/$F48*$G48</f>
        <v>4375</v>
      </c>
      <c r="R48" s="36">
        <f ca="1">OFFSET(总规划!N$260,MATCH($E48,总规划!$B$260:$B$335,0)-1,0)/$F48*$G48</f>
        <v>5040</v>
      </c>
      <c r="S48" s="36" t="str">
        <f ca="1">OFFSET(总规划!O$260,MATCH($E48,总规划!$B$260:$B$335,0)-1,0)</f>
        <v>1联盟币</v>
      </c>
      <c r="T48" s="36">
        <f ca="1">OFFSET(总规划!P$260,MATCH($E48,总规划!$B$260:$B$335,0)-1,0)/$F48*$G48</f>
        <v>5468.75</v>
      </c>
      <c r="U48" s="36">
        <f ca="1">OFFSET(总规划!Q$260,MATCH($E48,总规划!$B$260:$B$335,0)-1,0)/$F48*$G48</f>
        <v>6300</v>
      </c>
      <c r="V48" s="36" t="str">
        <f ca="1">OFFSET(总规划!R$260,MATCH($E48,总规划!$B$260:$B$335,0)-1,0)</f>
        <v>1空战币</v>
      </c>
    </row>
    <row r="49" spans="4:22">
      <c r="D49" s="36" t="s">
        <v>2557</v>
      </c>
      <c r="E49" s="36" t="s">
        <v>478</v>
      </c>
      <c r="F49" s="36">
        <f t="shared" si="0"/>
        <v>1440</v>
      </c>
      <c r="G49" s="36">
        <f>F49*30</f>
        <v>43200</v>
      </c>
      <c r="H49" s="36">
        <f ca="1">OFFSET(总规划!D$260,MATCH($E49,总规划!$B$260:$B$335,0)-1,0)/$F49*$G49</f>
        <v>46.875</v>
      </c>
      <c r="I49" s="36">
        <f ca="1">OFFSET(总规划!E$260,MATCH($E49,总规划!$B$260:$B$335,0)-1,0)/$F49*$G49</f>
        <v>56250</v>
      </c>
      <c r="J49" s="36">
        <f ca="1">OFFSET(总规划!F$260,MATCH($E49,总规划!$B$260:$B$335,0)-1,0)/$F49*$G49</f>
        <v>129600</v>
      </c>
      <c r="K49" s="36">
        <f ca="1">OFFSET(总规划!G$260,MATCH($E49,总规划!$B$260:$B$335,0)-1,0)/$F49*$G49</f>
        <v>112.5</v>
      </c>
      <c r="L49" s="36">
        <f ca="1">OFFSET(总规划!H$260,MATCH($E49,总规划!$B$260:$B$335,0)-1,0)/$F49*$G49</f>
        <v>129.6</v>
      </c>
      <c r="M49" s="36" t="str">
        <f ca="1">OFFSET(总规划!I$260,MATCH($E49,总规划!$B$260:$B$335,0)-1,0)</f>
        <v>1M资源</v>
      </c>
      <c r="N49" s="36">
        <f ca="1">OFFSET(总规划!J$260,MATCH($E49,总规划!$B$260:$B$335,0)-1,0)/$F49*$G49</f>
        <v>46875</v>
      </c>
      <c r="O49" s="36">
        <f ca="1">OFFSET(总规划!K$260,MATCH($E49,总规划!$B$260:$B$335,0)-1,0)/$F49*$G49</f>
        <v>54000</v>
      </c>
      <c r="P49" s="36" t="str">
        <f ca="1">OFFSET(总规划!L$260,MATCH($E49,总规划!$B$260:$B$335,0)-1,0)</f>
        <v>1战役币</v>
      </c>
      <c r="Q49" s="36">
        <f ca="1">OFFSET(总规划!M$260,MATCH($E49,总规划!$B$260:$B$335,0)-1,0)/$F49*$G49</f>
        <v>18750</v>
      </c>
      <c r="R49" s="36">
        <f ca="1">OFFSET(总规划!N$260,MATCH($E49,总规划!$B$260:$B$335,0)-1,0)/$F49*$G49</f>
        <v>21600</v>
      </c>
      <c r="S49" s="36" t="str">
        <f ca="1">OFFSET(总规划!O$260,MATCH($E49,总规划!$B$260:$B$335,0)-1,0)</f>
        <v>1联盟币</v>
      </c>
      <c r="T49" s="36">
        <f ca="1">OFFSET(总规划!P$260,MATCH($E49,总规划!$B$260:$B$335,0)-1,0)/$F49*$G49</f>
        <v>23437.5</v>
      </c>
      <c r="U49" s="36">
        <f ca="1">OFFSET(总规划!Q$260,MATCH($E49,总规划!$B$260:$B$335,0)-1,0)/$F49*$G49</f>
        <v>27000</v>
      </c>
      <c r="V49" s="36" t="str">
        <f ca="1">OFFSET(总规划!R$260,MATCH($E49,总规划!$B$260:$B$335,0)-1,0)</f>
        <v>1空战币</v>
      </c>
    </row>
    <row r="50" spans="4:22">
      <c r="D50" s="36" t="s">
        <v>1539</v>
      </c>
      <c r="E50" s="36" t="s">
        <v>479</v>
      </c>
      <c r="F50" s="36">
        <v>1000000</v>
      </c>
      <c r="G50" s="36">
        <v>1</v>
      </c>
      <c r="H50" s="36">
        <f ca="1">OFFSET(总规划!D$260,MATCH($E50,总规划!$B$260:$B$335,0)-1,0)/$F50*$G50</f>
        <v>2.5e-6</v>
      </c>
      <c r="I50" s="36">
        <f ca="1">OFFSET(总规划!E$260,MATCH($E50,总规划!$B$260:$B$335,0)-1,0)/$F50*$G50</f>
        <v>0.003</v>
      </c>
      <c r="J50" s="36">
        <f ca="1">OFFSET(总规划!F$260,MATCH($E50,总规划!$B$260:$B$335,0)-1,0)/$F50*$G50</f>
        <v>0.006</v>
      </c>
      <c r="K50" s="36">
        <f ca="1">OFFSET(总规划!G$260,MATCH($E50,总规划!$B$260:$B$335,0)-1,0)/$F50*$G50</f>
        <v>6e-6</v>
      </c>
      <c r="L50" s="36">
        <f ca="1">OFFSET(总规划!H$260,MATCH($E50,总规划!$B$260:$B$335,0)-1,0)/$F50*$G50</f>
        <v>6e-6</v>
      </c>
      <c r="M50" s="36" t="str">
        <f ca="1">OFFSET(总规划!I$260,MATCH($E50,总规划!$B$260:$B$335,0)-1,0)</f>
        <v>1M资源</v>
      </c>
      <c r="N50" s="36">
        <f ca="1">OFFSET(总规划!J$260,MATCH($E50,总规划!$B$260:$B$335,0)-1,0)/$F50*$G50</f>
        <v>0.0025</v>
      </c>
      <c r="O50" s="36">
        <f ca="1">OFFSET(总规划!K$260,MATCH($E50,总规划!$B$260:$B$335,0)-1,0)/$F50*$G50</f>
        <v>0.0025</v>
      </c>
      <c r="P50" s="36" t="str">
        <f ca="1">OFFSET(总规划!L$260,MATCH($E50,总规划!$B$260:$B$335,0)-1,0)</f>
        <v>1战役币</v>
      </c>
      <c r="Q50" s="36">
        <f ca="1">OFFSET(总规划!M$260,MATCH($E50,总规划!$B$260:$B$335,0)-1,0)/$F50*$G50</f>
        <v>0.001</v>
      </c>
      <c r="R50" s="36">
        <f ca="1">OFFSET(总规划!N$260,MATCH($E50,总规划!$B$260:$B$335,0)-1,0)/$F50*$G50</f>
        <v>0.001</v>
      </c>
      <c r="S50" s="36" t="str">
        <f ca="1">OFFSET(总规划!O$260,MATCH($E50,总规划!$B$260:$B$335,0)-1,0)</f>
        <v>1联盟币</v>
      </c>
      <c r="T50" s="36">
        <f ca="1">OFFSET(总规划!P$260,MATCH($E50,总规划!$B$260:$B$335,0)-1,0)/$F50*$G50</f>
        <v>0.00125</v>
      </c>
      <c r="U50" s="36">
        <f ca="1">OFFSET(总规划!Q$260,MATCH($E50,总规划!$B$260:$B$335,0)-1,0)/$F50*$G50</f>
        <v>0.00125</v>
      </c>
      <c r="V50" s="36" t="str">
        <f ca="1">OFFSET(总规划!R$260,MATCH($E50,总规划!$B$260:$B$335,0)-1,0)</f>
        <v>1空战币</v>
      </c>
    </row>
    <row r="51" spans="4:22">
      <c r="D51" s="36" t="s">
        <v>1541</v>
      </c>
      <c r="E51" s="36" t="s">
        <v>379</v>
      </c>
      <c r="F51" s="36">
        <v>1000</v>
      </c>
      <c r="G51" s="36">
        <v>1</v>
      </c>
      <c r="H51" s="36">
        <f ca="1">OFFSET(总规划!D$260,MATCH($E51,总规划!$B$260:$B$335,0)-1,0)/$F51*$G51</f>
        <v>0.00375</v>
      </c>
      <c r="I51" s="36">
        <f ca="1">OFFSET(总规划!E$260,MATCH($E51,总规划!$B$260:$B$335,0)-1,0)/$F51*$G51</f>
        <v>4.5</v>
      </c>
      <c r="J51" s="36">
        <f ca="1">OFFSET(总规划!F$260,MATCH($E51,总规划!$B$260:$B$335,0)-1,0)/$F51*$G51</f>
        <v>9</v>
      </c>
      <c r="K51" s="36">
        <f ca="1">OFFSET(总规划!G$260,MATCH($E51,总规划!$B$260:$B$335,0)-1,0)/$F51*$G51</f>
        <v>0.009</v>
      </c>
      <c r="L51" s="36">
        <f ca="1">OFFSET(总规划!H$260,MATCH($E51,总规划!$B$260:$B$335,0)-1,0)/$F51*$G51</f>
        <v>0.009</v>
      </c>
      <c r="M51" s="36" t="str">
        <f ca="1">OFFSET(总规划!I$260,MATCH($E51,总规划!$B$260:$B$335,0)-1,0)</f>
        <v>1M资源</v>
      </c>
      <c r="N51" s="36">
        <f ca="1">OFFSET(总规划!J$260,MATCH($E51,总规划!$B$260:$B$335,0)-1,0)/$F51*$G51</f>
        <v>3.75</v>
      </c>
      <c r="O51" s="36">
        <f ca="1">OFFSET(总规划!K$260,MATCH($E51,总规划!$B$260:$B$335,0)-1,0)/$F51*$G51</f>
        <v>3.75</v>
      </c>
      <c r="P51" s="36" t="str">
        <f ca="1">OFFSET(总规划!L$260,MATCH($E51,总规划!$B$260:$B$335,0)-1,0)</f>
        <v>1战役币</v>
      </c>
      <c r="Q51" s="36">
        <f ca="1">OFFSET(总规划!M$260,MATCH($E51,总规划!$B$260:$B$335,0)-1,0)/$F51*$G51</f>
        <v>1.5</v>
      </c>
      <c r="R51" s="36">
        <f ca="1">OFFSET(总规划!N$260,MATCH($E51,总规划!$B$260:$B$335,0)-1,0)/$F51*$G51</f>
        <v>1.5</v>
      </c>
      <c r="S51" s="36" t="str">
        <f ca="1">OFFSET(总规划!O$260,MATCH($E51,总规划!$B$260:$B$335,0)-1,0)</f>
        <v>1联盟币</v>
      </c>
      <c r="T51" s="36">
        <f ca="1">OFFSET(总规划!P$260,MATCH($E51,总规划!$B$260:$B$335,0)-1,0)/$F51*$G51</f>
        <v>1.875</v>
      </c>
      <c r="U51" s="36">
        <f ca="1">OFFSET(总规划!Q$260,MATCH($E51,总规划!$B$260:$B$335,0)-1,0)/$F51*$G51</f>
        <v>1.875</v>
      </c>
      <c r="V51" s="36" t="str">
        <f ca="1">OFFSET(总规划!R$260,MATCH($E51,总规划!$B$260:$B$335,0)-1,0)</f>
        <v>1空战币</v>
      </c>
    </row>
    <row r="52" spans="4:22">
      <c r="D52" s="36" t="s">
        <v>1638</v>
      </c>
      <c r="E52" s="36" t="s">
        <v>458</v>
      </c>
      <c r="F52" s="36">
        <v>1000</v>
      </c>
      <c r="G52" s="36">
        <v>1</v>
      </c>
      <c r="H52" s="36">
        <f ca="1">OFFSET(总规划!D$260,MATCH($E52,总规划!$B$260:$B$335,0)-1,0)/$F52*$G52</f>
        <v>0.0125</v>
      </c>
      <c r="I52" s="36">
        <f ca="1">OFFSET(总规划!E$260,MATCH($E52,总规划!$B$260:$B$335,0)-1,0)/$F52*$G52</f>
        <v>15</v>
      </c>
      <c r="J52" s="36">
        <f ca="1">OFFSET(总规划!F$260,MATCH($E52,总规划!$B$260:$B$335,0)-1,0)/$F52*$G52</f>
        <v>30</v>
      </c>
      <c r="K52" s="36">
        <f ca="1">OFFSET(总规划!G$260,MATCH($E52,总规划!$B$260:$B$335,0)-1,0)/$F52*$G52</f>
        <v>0.03</v>
      </c>
      <c r="L52" s="36">
        <f ca="1">OFFSET(总规划!H$260,MATCH($E52,总规划!$B$260:$B$335,0)-1,0)/$F52*$G52</f>
        <v>0.03</v>
      </c>
      <c r="M52" s="36" t="str">
        <f ca="1">OFFSET(总规划!I$260,MATCH($E52,总规划!$B$260:$B$335,0)-1,0)</f>
        <v>1M资源</v>
      </c>
      <c r="N52" s="36">
        <f ca="1">OFFSET(总规划!J$260,MATCH($E52,总规划!$B$260:$B$335,0)-1,0)/$F52*$G52</f>
        <v>12.5</v>
      </c>
      <c r="O52" s="36">
        <f ca="1">OFFSET(总规划!K$260,MATCH($E52,总规划!$B$260:$B$335,0)-1,0)/$F52*$G52</f>
        <v>12.5</v>
      </c>
      <c r="P52" s="36" t="str">
        <f ca="1">OFFSET(总规划!L$260,MATCH($E52,总规划!$B$260:$B$335,0)-1,0)</f>
        <v>1战役币</v>
      </c>
      <c r="Q52" s="36">
        <f ca="1">OFFSET(总规划!M$260,MATCH($E52,总规划!$B$260:$B$335,0)-1,0)/$F52*$G52</f>
        <v>5</v>
      </c>
      <c r="R52" s="36">
        <f ca="1">OFFSET(总规划!N$260,MATCH($E52,总规划!$B$260:$B$335,0)-1,0)/$F52*$G52</f>
        <v>5</v>
      </c>
      <c r="S52" s="36" t="str">
        <f ca="1">OFFSET(总规划!O$260,MATCH($E52,总规划!$B$260:$B$335,0)-1,0)</f>
        <v>1联盟币</v>
      </c>
      <c r="T52" s="36">
        <f ca="1">OFFSET(总规划!P$260,MATCH($E52,总规划!$B$260:$B$335,0)-1,0)/$F52*$G52</f>
        <v>6.25</v>
      </c>
      <c r="U52" s="36">
        <f ca="1">OFFSET(总规划!Q$260,MATCH($E52,总规划!$B$260:$B$335,0)-1,0)/$F52*$G52</f>
        <v>6.25</v>
      </c>
      <c r="V52" s="36" t="str">
        <f ca="1">OFFSET(总规划!R$260,MATCH($E52,总规划!$B$260:$B$335,0)-1,0)</f>
        <v>1空战币</v>
      </c>
    </row>
    <row r="53" spans="4:22">
      <c r="D53" s="36" t="s">
        <v>1608</v>
      </c>
      <c r="E53" s="36" t="s">
        <v>481</v>
      </c>
      <c r="F53" s="36">
        <v>1000000</v>
      </c>
      <c r="G53" s="36">
        <v>1</v>
      </c>
      <c r="H53" s="36">
        <f ca="1">OFFSET(总规划!D$260,MATCH($E53,总规划!$B$260:$B$335,0)-1,0)/$F53*$G53</f>
        <v>5e-6</v>
      </c>
      <c r="I53" s="36">
        <f ca="1">OFFSET(总规划!E$260,MATCH($E53,总规划!$B$260:$B$335,0)-1,0)/$F53*$G53</f>
        <v>0.006</v>
      </c>
      <c r="J53" s="36">
        <f ca="1">OFFSET(总规划!F$260,MATCH($E53,总规划!$B$260:$B$335,0)-1,0)/$F53*$G53</f>
        <v>0.012</v>
      </c>
      <c r="K53" s="36">
        <f ca="1">OFFSET(总规划!G$260,MATCH($E53,总规划!$B$260:$B$335,0)-1,0)/$F53*$G53</f>
        <v>1.2e-5</v>
      </c>
      <c r="L53" s="36">
        <f ca="1">OFFSET(总规划!H$260,MATCH($E53,总规划!$B$260:$B$335,0)-1,0)/$F53*$G53</f>
        <v>1.2e-5</v>
      </c>
      <c r="M53" s="36" t="str">
        <f ca="1">OFFSET(总规划!I$260,MATCH($E53,总规划!$B$260:$B$335,0)-1,0)</f>
        <v>1M资源</v>
      </c>
      <c r="N53" s="36">
        <f ca="1">OFFSET(总规划!J$260,MATCH($E53,总规划!$B$260:$B$335,0)-1,0)/$F53*$G53</f>
        <v>0.005</v>
      </c>
      <c r="O53" s="36">
        <f ca="1">OFFSET(总规划!K$260,MATCH($E53,总规划!$B$260:$B$335,0)-1,0)/$F53*$G53</f>
        <v>0.005</v>
      </c>
      <c r="P53" s="36" t="str">
        <f ca="1">OFFSET(总规划!L$260,MATCH($E53,总规划!$B$260:$B$335,0)-1,0)</f>
        <v>1战役币</v>
      </c>
      <c r="Q53" s="36">
        <f ca="1">OFFSET(总规划!M$260,MATCH($E53,总规划!$B$260:$B$335,0)-1,0)/$F53*$G53</f>
        <v>0.002</v>
      </c>
      <c r="R53" s="36">
        <f ca="1">OFFSET(总规划!N$260,MATCH($E53,总规划!$B$260:$B$335,0)-1,0)/$F53*$G53</f>
        <v>0.002</v>
      </c>
      <c r="S53" s="36" t="str">
        <f ca="1">OFFSET(总规划!O$260,MATCH($E53,总规划!$B$260:$B$335,0)-1,0)</f>
        <v>1联盟币</v>
      </c>
      <c r="T53" s="36">
        <f ca="1">OFFSET(总规划!P$260,MATCH($E53,总规划!$B$260:$B$335,0)-1,0)/$F53*$G53</f>
        <v>0.0025</v>
      </c>
      <c r="U53" s="36">
        <f ca="1">OFFSET(总规划!Q$260,MATCH($E53,总规划!$B$260:$B$335,0)-1,0)/$F53*$G53</f>
        <v>0.0025</v>
      </c>
      <c r="V53" s="36" t="str">
        <f ca="1">OFFSET(总规划!R$260,MATCH($E53,总规划!$B$260:$B$335,0)-1,0)</f>
        <v>1空战币</v>
      </c>
    </row>
    <row r="54" spans="4:22">
      <c r="D54" s="36" t="s">
        <v>1609</v>
      </c>
      <c r="E54" s="36" t="s">
        <v>482</v>
      </c>
      <c r="F54" s="36">
        <v>1000</v>
      </c>
      <c r="G54" s="36">
        <v>1</v>
      </c>
      <c r="H54" s="36">
        <f ca="1">OFFSET(总规划!D$260,MATCH($E54,总规划!$B$260:$B$335,0)-1,0)/$F54*$G54</f>
        <v>0.0075</v>
      </c>
      <c r="I54" s="36">
        <f ca="1">OFFSET(总规划!E$260,MATCH($E54,总规划!$B$260:$B$335,0)-1,0)/$F54*$G54</f>
        <v>9</v>
      </c>
      <c r="J54" s="36">
        <f ca="1">OFFSET(总规划!F$260,MATCH($E54,总规划!$B$260:$B$335,0)-1,0)/$F54*$G54</f>
        <v>18</v>
      </c>
      <c r="K54" s="36">
        <f ca="1">OFFSET(总规划!G$260,MATCH($E54,总规划!$B$260:$B$335,0)-1,0)/$F54*$G54</f>
        <v>0.018</v>
      </c>
      <c r="L54" s="36">
        <f ca="1">OFFSET(总规划!H$260,MATCH($E54,总规划!$B$260:$B$335,0)-1,0)/$F54*$G54</f>
        <v>0.018</v>
      </c>
      <c r="M54" s="36" t="str">
        <f ca="1">OFFSET(总规划!I$260,MATCH($E54,总规划!$B$260:$B$335,0)-1,0)</f>
        <v>1M资源</v>
      </c>
      <c r="N54" s="36">
        <f ca="1">OFFSET(总规划!J$260,MATCH($E54,总规划!$B$260:$B$335,0)-1,0)/$F54*$G54</f>
        <v>7.5</v>
      </c>
      <c r="O54" s="36">
        <f ca="1">OFFSET(总规划!K$260,MATCH($E54,总规划!$B$260:$B$335,0)-1,0)/$F54*$G54</f>
        <v>7.5</v>
      </c>
      <c r="P54" s="36" t="str">
        <f ca="1">OFFSET(总规划!L$260,MATCH($E54,总规划!$B$260:$B$335,0)-1,0)</f>
        <v>1战役币</v>
      </c>
      <c r="Q54" s="36">
        <f ca="1">OFFSET(总规划!M$260,MATCH($E54,总规划!$B$260:$B$335,0)-1,0)/$F54*$G54</f>
        <v>3</v>
      </c>
      <c r="R54" s="36">
        <f ca="1">OFFSET(总规划!N$260,MATCH($E54,总规划!$B$260:$B$335,0)-1,0)/$F54*$G54</f>
        <v>3</v>
      </c>
      <c r="S54" s="36" t="str">
        <f ca="1">OFFSET(总规划!O$260,MATCH($E54,总规划!$B$260:$B$335,0)-1,0)</f>
        <v>1联盟币</v>
      </c>
      <c r="T54" s="36">
        <f ca="1">OFFSET(总规划!P$260,MATCH($E54,总规划!$B$260:$B$335,0)-1,0)/$F54*$G54</f>
        <v>3.75</v>
      </c>
      <c r="U54" s="36">
        <f ca="1">OFFSET(总规划!Q$260,MATCH($E54,总规划!$B$260:$B$335,0)-1,0)/$F54*$G54</f>
        <v>3.75</v>
      </c>
      <c r="V54" s="36" t="str">
        <f ca="1">OFFSET(总规划!R$260,MATCH($E54,总规划!$B$260:$B$335,0)-1,0)</f>
        <v>1空战币</v>
      </c>
    </row>
    <row r="55" spans="4:22">
      <c r="D55" s="36" t="s">
        <v>1610</v>
      </c>
      <c r="E55" s="36" t="s">
        <v>462</v>
      </c>
      <c r="F55" s="36">
        <v>1000</v>
      </c>
      <c r="G55" s="36">
        <v>1</v>
      </c>
      <c r="H55" s="36">
        <f ca="1">OFFSET(总规划!D$260,MATCH($E55,总规划!$B$260:$B$335,0)-1,0)/$F55*$G55</f>
        <v>0.025</v>
      </c>
      <c r="I55" s="36">
        <f ca="1">OFFSET(总规划!E$260,MATCH($E55,总规划!$B$260:$B$335,0)-1,0)/$F55*$G55</f>
        <v>30</v>
      </c>
      <c r="J55" s="36">
        <f ca="1">OFFSET(总规划!F$260,MATCH($E55,总规划!$B$260:$B$335,0)-1,0)/$F55*$G55</f>
        <v>60</v>
      </c>
      <c r="K55" s="36">
        <f ca="1">OFFSET(总规划!G$260,MATCH($E55,总规划!$B$260:$B$335,0)-1,0)/$F55*$G55</f>
        <v>0.06</v>
      </c>
      <c r="L55" s="36">
        <f ca="1">OFFSET(总规划!H$260,MATCH($E55,总规划!$B$260:$B$335,0)-1,0)/$F55*$G55</f>
        <v>0.06</v>
      </c>
      <c r="M55" s="36" t="str">
        <f ca="1">OFFSET(总规划!I$260,MATCH($E55,总规划!$B$260:$B$335,0)-1,0)</f>
        <v>1M资源</v>
      </c>
      <c r="N55" s="36">
        <f ca="1">OFFSET(总规划!J$260,MATCH($E55,总规划!$B$260:$B$335,0)-1,0)/$F55*$G55</f>
        <v>25</v>
      </c>
      <c r="O55" s="36">
        <f ca="1">OFFSET(总规划!K$260,MATCH($E55,总规划!$B$260:$B$335,0)-1,0)/$F55*$G55</f>
        <v>25</v>
      </c>
      <c r="P55" s="36" t="str">
        <f ca="1">OFFSET(总规划!L$260,MATCH($E55,总规划!$B$260:$B$335,0)-1,0)</f>
        <v>1战役币</v>
      </c>
      <c r="Q55" s="36">
        <f ca="1">OFFSET(总规划!M$260,MATCH($E55,总规划!$B$260:$B$335,0)-1,0)/$F55*$G55</f>
        <v>10</v>
      </c>
      <c r="R55" s="36">
        <f ca="1">OFFSET(总规划!N$260,MATCH($E55,总规划!$B$260:$B$335,0)-1,0)/$F55*$G55</f>
        <v>10</v>
      </c>
      <c r="S55" s="36" t="str">
        <f ca="1">OFFSET(总规划!O$260,MATCH($E55,总规划!$B$260:$B$335,0)-1,0)</f>
        <v>1联盟币</v>
      </c>
      <c r="T55" s="36">
        <f ca="1">OFFSET(总规划!P$260,MATCH($E55,总规划!$B$260:$B$335,0)-1,0)/$F55*$G55</f>
        <v>12.5</v>
      </c>
      <c r="U55" s="36">
        <f ca="1">OFFSET(总规划!Q$260,MATCH($E55,总规划!$B$260:$B$335,0)-1,0)/$F55*$G55</f>
        <v>12.5</v>
      </c>
      <c r="V55" s="36" t="str">
        <f ca="1">OFFSET(总规划!R$260,MATCH($E55,总规划!$B$260:$B$335,0)-1,0)</f>
        <v>1空战币</v>
      </c>
    </row>
    <row r="56" spans="4:22">
      <c r="D56" s="36" t="s">
        <v>1549</v>
      </c>
      <c r="E56" s="36" t="s">
        <v>483</v>
      </c>
      <c r="F56" s="36">
        <v>1000</v>
      </c>
      <c r="G56" s="36">
        <v>1</v>
      </c>
      <c r="H56" s="36">
        <f ca="1">OFFSET(总规划!D$260,MATCH($E56,总规划!$B$260:$B$335,0)-1,0)/$F56*$G56</f>
        <v>0.00208333333333333</v>
      </c>
      <c r="I56" s="36">
        <f ca="1">OFFSET(总规划!E$260,MATCH($E56,总规划!$B$260:$B$335,0)-1,0)/$F56*$G56</f>
        <v>2.5</v>
      </c>
      <c r="J56" s="36">
        <f ca="1">OFFSET(总规划!F$260,MATCH($E56,总规划!$B$260:$B$335,0)-1,0)/$F56*$G56</f>
        <v>5</v>
      </c>
      <c r="K56" s="36">
        <f ca="1">OFFSET(总规划!G$260,MATCH($E56,总规划!$B$260:$B$335,0)-1,0)/$F56*$G56</f>
        <v>0.005</v>
      </c>
      <c r="L56" s="36">
        <f ca="1">OFFSET(总规划!H$260,MATCH($E56,总规划!$B$260:$B$335,0)-1,0)/$F56*$G56</f>
        <v>0.005</v>
      </c>
      <c r="M56" s="36" t="str">
        <f ca="1">OFFSET(总规划!I$260,MATCH($E56,总规划!$B$260:$B$335,0)-1,0)</f>
        <v>1M资源</v>
      </c>
      <c r="N56" s="36">
        <f ca="1">OFFSET(总规划!J$260,MATCH($E56,总规划!$B$260:$B$335,0)-1,0)/$F56*$G56</f>
        <v>2.08333333333333</v>
      </c>
      <c r="O56" s="36">
        <f ca="1">OFFSET(总规划!K$260,MATCH($E56,总规划!$B$260:$B$335,0)-1,0)/$F56*$G56</f>
        <v>2.08333333333333</v>
      </c>
      <c r="P56" s="36" t="str">
        <f ca="1">OFFSET(总规划!L$260,MATCH($E56,总规划!$B$260:$B$335,0)-1,0)</f>
        <v>1战役币</v>
      </c>
      <c r="Q56" s="36">
        <f ca="1">OFFSET(总规划!M$260,MATCH($E56,总规划!$B$260:$B$335,0)-1,0)/$F56*$G56</f>
        <v>0.833333333333333</v>
      </c>
      <c r="R56" s="36">
        <f ca="1">OFFSET(总规划!N$260,MATCH($E56,总规划!$B$260:$B$335,0)-1,0)/$F56*$G56</f>
        <v>0.833333333333333</v>
      </c>
      <c r="S56" s="36" t="str">
        <f ca="1">OFFSET(总规划!O$260,MATCH($E56,总规划!$B$260:$B$335,0)-1,0)</f>
        <v>1联盟币</v>
      </c>
      <c r="T56" s="36">
        <f ca="1">OFFSET(总规划!P$260,MATCH($E56,总规划!$B$260:$B$335,0)-1,0)/$F56*$G56</f>
        <v>1.04166666666667</v>
      </c>
      <c r="U56" s="36">
        <f ca="1">OFFSET(总规划!Q$260,MATCH($E56,总规划!$B$260:$B$335,0)-1,0)/$F56*$G56</f>
        <v>1.04166666666667</v>
      </c>
      <c r="V56" s="36" t="str">
        <f ca="1">OFFSET(总规划!R$260,MATCH($E56,总规划!$B$260:$B$335,0)-1,0)</f>
        <v>1空战币</v>
      </c>
    </row>
    <row r="57" spans="4:22">
      <c r="D57" s="36" t="s">
        <v>1551</v>
      </c>
      <c r="E57" s="36" t="s">
        <v>483</v>
      </c>
      <c r="F57" s="36">
        <v>1000</v>
      </c>
      <c r="G57" s="36">
        <v>1</v>
      </c>
      <c r="H57" s="36">
        <f ca="1">OFFSET(总规划!D$260,MATCH($E57,总规划!$B$260:$B$335,0)-1,0)/$F57*$G57</f>
        <v>0.00208333333333333</v>
      </c>
      <c r="I57" s="36">
        <f ca="1">OFFSET(总规划!E$260,MATCH($E57,总规划!$B$260:$B$335,0)-1,0)/$F57*$G57</f>
        <v>2.5</v>
      </c>
      <c r="J57" s="36">
        <f ca="1">OFFSET(总规划!F$260,MATCH($E57,总规划!$B$260:$B$335,0)-1,0)/$F57*$G57</f>
        <v>5</v>
      </c>
      <c r="K57" s="36">
        <f ca="1">OFFSET(总规划!G$260,MATCH($E57,总规划!$B$260:$B$335,0)-1,0)/$F57*$G57</f>
        <v>0.005</v>
      </c>
      <c r="L57" s="36">
        <f ca="1">OFFSET(总规划!H$260,MATCH($E57,总规划!$B$260:$B$335,0)-1,0)/$F57*$G57</f>
        <v>0.005</v>
      </c>
      <c r="M57" s="36" t="str">
        <f ca="1">OFFSET(总规划!I$260,MATCH($E57,总规划!$B$260:$B$335,0)-1,0)</f>
        <v>1M资源</v>
      </c>
      <c r="N57" s="36">
        <f ca="1">OFFSET(总规划!J$260,MATCH($E57,总规划!$B$260:$B$335,0)-1,0)/$F57*$G57</f>
        <v>2.08333333333333</v>
      </c>
      <c r="O57" s="36">
        <f ca="1">OFFSET(总规划!K$260,MATCH($E57,总规划!$B$260:$B$335,0)-1,0)/$F57*$G57</f>
        <v>2.08333333333333</v>
      </c>
      <c r="P57" s="36" t="str">
        <f ca="1">OFFSET(总规划!L$260,MATCH($E57,总规划!$B$260:$B$335,0)-1,0)</f>
        <v>1战役币</v>
      </c>
      <c r="Q57" s="36">
        <f ca="1">OFFSET(总规划!M$260,MATCH($E57,总规划!$B$260:$B$335,0)-1,0)/$F57*$G57</f>
        <v>0.833333333333333</v>
      </c>
      <c r="R57" s="36">
        <f ca="1">OFFSET(总规划!N$260,MATCH($E57,总规划!$B$260:$B$335,0)-1,0)/$F57*$G57</f>
        <v>0.833333333333333</v>
      </c>
      <c r="S57" s="36" t="str">
        <f ca="1">OFFSET(总规划!O$260,MATCH($E57,总规划!$B$260:$B$335,0)-1,0)</f>
        <v>1联盟币</v>
      </c>
      <c r="T57" s="36">
        <f ca="1">OFFSET(总规划!P$260,MATCH($E57,总规划!$B$260:$B$335,0)-1,0)/$F57*$G57</f>
        <v>1.04166666666667</v>
      </c>
      <c r="U57" s="36">
        <f ca="1">OFFSET(总规划!Q$260,MATCH($E57,总规划!$B$260:$B$335,0)-1,0)/$F57*$G57</f>
        <v>1.04166666666667</v>
      </c>
      <c r="V57" s="36" t="str">
        <f ca="1">OFFSET(总规划!R$260,MATCH($E57,总规划!$B$260:$B$335,0)-1,0)</f>
        <v>1空战币</v>
      </c>
    </row>
    <row r="58" spans="4:22">
      <c r="D58" s="36" t="s">
        <v>1553</v>
      </c>
      <c r="E58" s="36" t="s">
        <v>483</v>
      </c>
      <c r="F58" s="36">
        <v>1000</v>
      </c>
      <c r="G58" s="36">
        <v>1</v>
      </c>
      <c r="H58" s="36">
        <f ca="1">OFFSET(总规划!D$260,MATCH($E58,总规划!$B$260:$B$335,0)-1,0)/$F58*$G58</f>
        <v>0.00208333333333333</v>
      </c>
      <c r="I58" s="36">
        <f ca="1">OFFSET(总规划!E$260,MATCH($E58,总规划!$B$260:$B$335,0)-1,0)/$F58*$G58</f>
        <v>2.5</v>
      </c>
      <c r="J58" s="36">
        <f ca="1">OFFSET(总规划!F$260,MATCH($E58,总规划!$B$260:$B$335,0)-1,0)/$F58*$G58</f>
        <v>5</v>
      </c>
      <c r="K58" s="36">
        <f ca="1">OFFSET(总规划!G$260,MATCH($E58,总规划!$B$260:$B$335,0)-1,0)/$F58*$G58</f>
        <v>0.005</v>
      </c>
      <c r="L58" s="36">
        <f ca="1">OFFSET(总规划!H$260,MATCH($E58,总规划!$B$260:$B$335,0)-1,0)/$F58*$G58</f>
        <v>0.005</v>
      </c>
      <c r="M58" s="36" t="str">
        <f ca="1">OFFSET(总规划!I$260,MATCH($E58,总规划!$B$260:$B$335,0)-1,0)</f>
        <v>1M资源</v>
      </c>
      <c r="N58" s="36">
        <f ca="1">OFFSET(总规划!J$260,MATCH($E58,总规划!$B$260:$B$335,0)-1,0)/$F58*$G58</f>
        <v>2.08333333333333</v>
      </c>
      <c r="O58" s="36">
        <f ca="1">OFFSET(总规划!K$260,MATCH($E58,总规划!$B$260:$B$335,0)-1,0)/$F58*$G58</f>
        <v>2.08333333333333</v>
      </c>
      <c r="P58" s="36" t="str">
        <f ca="1">OFFSET(总规划!L$260,MATCH($E58,总规划!$B$260:$B$335,0)-1,0)</f>
        <v>1战役币</v>
      </c>
      <c r="Q58" s="36">
        <f ca="1">OFFSET(总规划!M$260,MATCH($E58,总规划!$B$260:$B$335,0)-1,0)/$F58*$G58</f>
        <v>0.833333333333333</v>
      </c>
      <c r="R58" s="36">
        <f ca="1">OFFSET(总规划!N$260,MATCH($E58,总规划!$B$260:$B$335,0)-1,0)/$F58*$G58</f>
        <v>0.833333333333333</v>
      </c>
      <c r="S58" s="36" t="str">
        <f ca="1">OFFSET(总规划!O$260,MATCH($E58,总规划!$B$260:$B$335,0)-1,0)</f>
        <v>1联盟币</v>
      </c>
      <c r="T58" s="36">
        <f ca="1">OFFSET(总规划!P$260,MATCH($E58,总规划!$B$260:$B$335,0)-1,0)/$F58*$G58</f>
        <v>1.04166666666667</v>
      </c>
      <c r="U58" s="36">
        <f ca="1">OFFSET(总规划!Q$260,MATCH($E58,总规划!$B$260:$B$335,0)-1,0)/$F58*$G58</f>
        <v>1.04166666666667</v>
      </c>
      <c r="V58" s="36" t="str">
        <f ca="1">OFFSET(总规划!R$260,MATCH($E58,总规划!$B$260:$B$335,0)-1,0)</f>
        <v>1空战币</v>
      </c>
    </row>
    <row r="59" spans="4:22">
      <c r="D59" s="36" t="s">
        <v>1559</v>
      </c>
      <c r="E59" s="36" t="s">
        <v>483</v>
      </c>
      <c r="F59" s="36">
        <v>1000</v>
      </c>
      <c r="G59" s="36">
        <v>1</v>
      </c>
      <c r="H59" s="36">
        <f ca="1">OFFSET(总规划!D$260,MATCH($E59,总规划!$B$260:$B$335,0)-1,0)/$F59*$G59</f>
        <v>0.00208333333333333</v>
      </c>
      <c r="I59" s="36">
        <f ca="1">OFFSET(总规划!E$260,MATCH($E59,总规划!$B$260:$B$335,0)-1,0)/$F59*$G59</f>
        <v>2.5</v>
      </c>
      <c r="J59" s="36">
        <f ca="1">OFFSET(总规划!F$260,MATCH($E59,总规划!$B$260:$B$335,0)-1,0)/$F59*$G59</f>
        <v>5</v>
      </c>
      <c r="K59" s="36">
        <f ca="1">OFFSET(总规划!G$260,MATCH($E59,总规划!$B$260:$B$335,0)-1,0)/$F59*$G59</f>
        <v>0.005</v>
      </c>
      <c r="L59" s="36">
        <f ca="1">OFFSET(总规划!H$260,MATCH($E59,总规划!$B$260:$B$335,0)-1,0)/$F59*$G59</f>
        <v>0.005</v>
      </c>
      <c r="M59" s="36" t="str">
        <f ca="1">OFFSET(总规划!I$260,MATCH($E59,总规划!$B$260:$B$335,0)-1,0)</f>
        <v>1M资源</v>
      </c>
      <c r="N59" s="36">
        <f ca="1">OFFSET(总规划!J$260,MATCH($E59,总规划!$B$260:$B$335,0)-1,0)/$F59*$G59</f>
        <v>2.08333333333333</v>
      </c>
      <c r="O59" s="36">
        <f ca="1">OFFSET(总规划!K$260,MATCH($E59,总规划!$B$260:$B$335,0)-1,0)/$F59*$G59</f>
        <v>2.08333333333333</v>
      </c>
      <c r="P59" s="36" t="str">
        <f ca="1">OFFSET(总规划!L$260,MATCH($E59,总规划!$B$260:$B$335,0)-1,0)</f>
        <v>1战役币</v>
      </c>
      <c r="Q59" s="36">
        <f ca="1">OFFSET(总规划!M$260,MATCH($E59,总规划!$B$260:$B$335,0)-1,0)/$F59*$G59</f>
        <v>0.833333333333333</v>
      </c>
      <c r="R59" s="36">
        <f ca="1">OFFSET(总规划!N$260,MATCH($E59,总规划!$B$260:$B$335,0)-1,0)/$F59*$G59</f>
        <v>0.833333333333333</v>
      </c>
      <c r="S59" s="36" t="str">
        <f ca="1">OFFSET(总规划!O$260,MATCH($E59,总规划!$B$260:$B$335,0)-1,0)</f>
        <v>1联盟币</v>
      </c>
      <c r="T59" s="36">
        <f ca="1">OFFSET(总规划!P$260,MATCH($E59,总规划!$B$260:$B$335,0)-1,0)/$F59*$G59</f>
        <v>1.04166666666667</v>
      </c>
      <c r="U59" s="36">
        <f ca="1">OFFSET(总规划!Q$260,MATCH($E59,总规划!$B$260:$B$335,0)-1,0)/$F59*$G59</f>
        <v>1.04166666666667</v>
      </c>
      <c r="V59" s="36" t="str">
        <f ca="1">OFFSET(总规划!R$260,MATCH($E59,总规划!$B$260:$B$335,0)-1,0)</f>
        <v>1空战币</v>
      </c>
    </row>
    <row r="60" spans="4:22">
      <c r="D60" s="36" t="s">
        <v>1561</v>
      </c>
      <c r="E60" s="36" t="s">
        <v>483</v>
      </c>
      <c r="F60" s="36">
        <v>1000</v>
      </c>
      <c r="G60" s="36">
        <v>1</v>
      </c>
      <c r="H60" s="36">
        <f ca="1">OFFSET(总规划!D$260,MATCH($E60,总规划!$B$260:$B$335,0)-1,0)/$F60*$G60</f>
        <v>0.00208333333333333</v>
      </c>
      <c r="I60" s="36">
        <f ca="1">OFFSET(总规划!E$260,MATCH($E60,总规划!$B$260:$B$335,0)-1,0)/$F60*$G60</f>
        <v>2.5</v>
      </c>
      <c r="J60" s="36">
        <f ca="1">OFFSET(总规划!F$260,MATCH($E60,总规划!$B$260:$B$335,0)-1,0)/$F60*$G60</f>
        <v>5</v>
      </c>
      <c r="K60" s="36">
        <f ca="1">OFFSET(总规划!G$260,MATCH($E60,总规划!$B$260:$B$335,0)-1,0)/$F60*$G60</f>
        <v>0.005</v>
      </c>
      <c r="L60" s="36">
        <f ca="1">OFFSET(总规划!H$260,MATCH($E60,总规划!$B$260:$B$335,0)-1,0)/$F60*$G60</f>
        <v>0.005</v>
      </c>
      <c r="M60" s="36" t="str">
        <f ca="1">OFFSET(总规划!I$260,MATCH($E60,总规划!$B$260:$B$335,0)-1,0)</f>
        <v>1M资源</v>
      </c>
      <c r="N60" s="36">
        <f ca="1">OFFSET(总规划!J$260,MATCH($E60,总规划!$B$260:$B$335,0)-1,0)/$F60*$G60</f>
        <v>2.08333333333333</v>
      </c>
      <c r="O60" s="36">
        <f ca="1">OFFSET(总规划!K$260,MATCH($E60,总规划!$B$260:$B$335,0)-1,0)/$F60*$G60</f>
        <v>2.08333333333333</v>
      </c>
      <c r="P60" s="36" t="str">
        <f ca="1">OFFSET(总规划!L$260,MATCH($E60,总规划!$B$260:$B$335,0)-1,0)</f>
        <v>1战役币</v>
      </c>
      <c r="Q60" s="36">
        <f ca="1">OFFSET(总规划!M$260,MATCH($E60,总规划!$B$260:$B$335,0)-1,0)/$F60*$G60</f>
        <v>0.833333333333333</v>
      </c>
      <c r="R60" s="36">
        <f ca="1">OFFSET(总规划!N$260,MATCH($E60,总规划!$B$260:$B$335,0)-1,0)/$F60*$G60</f>
        <v>0.833333333333333</v>
      </c>
      <c r="S60" s="36" t="str">
        <f ca="1">OFFSET(总规划!O$260,MATCH($E60,总规划!$B$260:$B$335,0)-1,0)</f>
        <v>1联盟币</v>
      </c>
      <c r="T60" s="36">
        <f ca="1">OFFSET(总规划!P$260,MATCH($E60,总规划!$B$260:$B$335,0)-1,0)/$F60*$G60</f>
        <v>1.04166666666667</v>
      </c>
      <c r="U60" s="36">
        <f ca="1">OFFSET(总规划!Q$260,MATCH($E60,总规划!$B$260:$B$335,0)-1,0)/$F60*$G60</f>
        <v>1.04166666666667</v>
      </c>
      <c r="V60" s="36" t="str">
        <f ca="1">OFFSET(总规划!R$260,MATCH($E60,总规划!$B$260:$B$335,0)-1,0)</f>
        <v>1空战币</v>
      </c>
    </row>
    <row r="61" spans="4:22">
      <c r="D61" s="36" t="s">
        <v>143</v>
      </c>
      <c r="E61" s="36" t="s">
        <v>478</v>
      </c>
      <c r="F61" s="36">
        <f t="shared" ref="F61:F66" si="1">60*24</f>
        <v>1440</v>
      </c>
      <c r="G61" s="36">
        <f>控制台!C188</f>
        <v>1</v>
      </c>
      <c r="H61" s="36">
        <f ca="1">OFFSET(总规划!D$260,MATCH($E61,总规划!$B$260:$B$335,0)-1,0)/$F61*$G61</f>
        <v>0.00108506944444444</v>
      </c>
      <c r="I61" s="36">
        <f ca="1">OFFSET(总规划!E$260,MATCH($E61,总规划!$B$260:$B$335,0)-1,0)/$F61*$G61</f>
        <v>1.30208333333333</v>
      </c>
      <c r="J61" s="36">
        <f ca="1">OFFSET(总规划!F$260,MATCH($E61,总规划!$B$260:$B$335,0)-1,0)/$F61*$G61</f>
        <v>3</v>
      </c>
      <c r="K61" s="36">
        <f ca="1">OFFSET(总规划!G$260,MATCH($E61,总规划!$B$260:$B$335,0)-1,0)/$F61*$G61</f>
        <v>0.00260416666666667</v>
      </c>
      <c r="L61" s="36">
        <f ca="1">OFFSET(总规划!H$260,MATCH($E61,总规划!$B$260:$B$335,0)-1,0)/$F61*$G61</f>
        <v>0.003</v>
      </c>
      <c r="M61" s="36" t="str">
        <f ca="1">OFFSET(总规划!I$260,MATCH($E61,总规划!$B$260:$B$335,0)-1,0)</f>
        <v>1M资源</v>
      </c>
      <c r="N61" s="36">
        <f ca="1">OFFSET(总规划!J$260,MATCH($E61,总规划!$B$260:$B$335,0)-1,0)/$F61*$G61</f>
        <v>1.08506944444444</v>
      </c>
      <c r="O61" s="36">
        <f ca="1">OFFSET(总规划!K$260,MATCH($E61,总规划!$B$260:$B$335,0)-1,0)/$F61*$G61</f>
        <v>1.25</v>
      </c>
      <c r="P61" s="36" t="str">
        <f ca="1">OFFSET(总规划!L$260,MATCH($E61,总规划!$B$260:$B$335,0)-1,0)</f>
        <v>1战役币</v>
      </c>
      <c r="Q61" s="36">
        <f ca="1">OFFSET(总规划!M$260,MATCH($E61,总规划!$B$260:$B$335,0)-1,0)/$F61*$G61</f>
        <v>0.434027777777778</v>
      </c>
      <c r="R61" s="36">
        <f ca="1">OFFSET(总规划!N$260,MATCH($E61,总规划!$B$260:$B$335,0)-1,0)/$F61*$G61</f>
        <v>0.5</v>
      </c>
      <c r="S61" s="36" t="str">
        <f ca="1">OFFSET(总规划!O$260,MATCH($E61,总规划!$B$260:$B$335,0)-1,0)</f>
        <v>1联盟币</v>
      </c>
      <c r="T61" s="36">
        <f ca="1">OFFSET(总规划!P$260,MATCH($E61,总规划!$B$260:$B$335,0)-1,0)/$F61*$G61</f>
        <v>0.542534722222222</v>
      </c>
      <c r="U61" s="36">
        <f ca="1">OFFSET(总规划!Q$260,MATCH($E61,总规划!$B$260:$B$335,0)-1,0)/$F61*$G61</f>
        <v>0.625</v>
      </c>
      <c r="V61" s="36" t="str">
        <f ca="1">OFFSET(总规划!R$260,MATCH($E61,总规划!$B$260:$B$335,0)-1,0)</f>
        <v>1空战币</v>
      </c>
    </row>
    <row r="62" spans="4:22">
      <c r="D62" s="36" t="s">
        <v>147</v>
      </c>
      <c r="E62" s="36" t="s">
        <v>478</v>
      </c>
      <c r="F62" s="36">
        <f t="shared" si="1"/>
        <v>1440</v>
      </c>
      <c r="G62" s="36">
        <f>控制台!C189</f>
        <v>4</v>
      </c>
      <c r="H62" s="36">
        <f ca="1">OFFSET(总规划!D$260,MATCH($E62,总规划!$B$260:$B$335,0)-1,0)/$F62*$G62</f>
        <v>0.00434027777777778</v>
      </c>
      <c r="I62" s="36">
        <f ca="1">OFFSET(总规划!E$260,MATCH($E62,总规划!$B$260:$B$335,0)-1,0)/$F62*$G62</f>
        <v>5.20833333333333</v>
      </c>
      <c r="J62" s="36">
        <f ca="1">OFFSET(总规划!F$260,MATCH($E62,总规划!$B$260:$B$335,0)-1,0)/$F62*$G62</f>
        <v>12</v>
      </c>
      <c r="K62" s="36">
        <f ca="1">OFFSET(总规划!G$260,MATCH($E62,总规划!$B$260:$B$335,0)-1,0)/$F62*$G62</f>
        <v>0.0104166666666667</v>
      </c>
      <c r="L62" s="36">
        <f ca="1">OFFSET(总规划!H$260,MATCH($E62,总规划!$B$260:$B$335,0)-1,0)/$F62*$G62</f>
        <v>0.012</v>
      </c>
      <c r="M62" s="36" t="str">
        <f ca="1">OFFSET(总规划!I$260,MATCH($E62,总规划!$B$260:$B$335,0)-1,0)</f>
        <v>1M资源</v>
      </c>
      <c r="N62" s="36">
        <f ca="1">OFFSET(总规划!J$260,MATCH($E62,总规划!$B$260:$B$335,0)-1,0)/$F62*$G62</f>
        <v>4.34027777777778</v>
      </c>
      <c r="O62" s="36">
        <f ca="1">OFFSET(总规划!K$260,MATCH($E62,总规划!$B$260:$B$335,0)-1,0)/$F62*$G62</f>
        <v>5</v>
      </c>
      <c r="P62" s="36" t="str">
        <f ca="1">OFFSET(总规划!L$260,MATCH($E62,总规划!$B$260:$B$335,0)-1,0)</f>
        <v>1战役币</v>
      </c>
      <c r="Q62" s="36">
        <f ca="1">OFFSET(总规划!M$260,MATCH($E62,总规划!$B$260:$B$335,0)-1,0)/$F62*$G62</f>
        <v>1.73611111111111</v>
      </c>
      <c r="R62" s="36">
        <f ca="1">OFFSET(总规划!N$260,MATCH($E62,总规划!$B$260:$B$335,0)-1,0)/$F62*$G62</f>
        <v>2</v>
      </c>
      <c r="S62" s="36" t="str">
        <f ca="1">OFFSET(总规划!O$260,MATCH($E62,总规划!$B$260:$B$335,0)-1,0)</f>
        <v>1联盟币</v>
      </c>
      <c r="T62" s="36">
        <f ca="1">OFFSET(总规划!P$260,MATCH($E62,总规划!$B$260:$B$335,0)-1,0)/$F62*$G62</f>
        <v>2.17013888888889</v>
      </c>
      <c r="U62" s="36">
        <f ca="1">OFFSET(总规划!Q$260,MATCH($E62,总规划!$B$260:$B$335,0)-1,0)/$F62*$G62</f>
        <v>2.5</v>
      </c>
      <c r="V62" s="36" t="str">
        <f ca="1">OFFSET(总规划!R$260,MATCH($E62,总规划!$B$260:$B$335,0)-1,0)</f>
        <v>1空战币</v>
      </c>
    </row>
    <row r="63" spans="4:22">
      <c r="D63" s="36" t="s">
        <v>154</v>
      </c>
      <c r="E63" s="36" t="s">
        <v>478</v>
      </c>
      <c r="F63" s="36">
        <f t="shared" si="1"/>
        <v>1440</v>
      </c>
      <c r="G63" s="36">
        <f>控制台!C190</f>
        <v>20</v>
      </c>
      <c r="H63" s="36">
        <f ca="1">OFFSET(总规划!D$260,MATCH($E63,总规划!$B$260:$B$335,0)-1,0)/$F63*$G63</f>
        <v>0.0217013888888889</v>
      </c>
      <c r="I63" s="36">
        <f ca="1">OFFSET(总规划!E$260,MATCH($E63,总规划!$B$260:$B$335,0)-1,0)/$F63*$G63</f>
        <v>26.0416666666667</v>
      </c>
      <c r="J63" s="36">
        <f ca="1">OFFSET(总规划!F$260,MATCH($E63,总规划!$B$260:$B$335,0)-1,0)/$F63*$G63</f>
        <v>60</v>
      </c>
      <c r="K63" s="36">
        <f ca="1">OFFSET(总规划!G$260,MATCH($E63,总规划!$B$260:$B$335,0)-1,0)/$F63*$G63</f>
        <v>0.0520833333333333</v>
      </c>
      <c r="L63" s="36">
        <f ca="1">OFFSET(总规划!H$260,MATCH($E63,总规划!$B$260:$B$335,0)-1,0)/$F63*$G63</f>
        <v>0.06</v>
      </c>
      <c r="M63" s="36" t="str">
        <f ca="1">OFFSET(总规划!I$260,MATCH($E63,总规划!$B$260:$B$335,0)-1,0)</f>
        <v>1M资源</v>
      </c>
      <c r="N63" s="36">
        <f ca="1">OFFSET(总规划!J$260,MATCH($E63,总规划!$B$260:$B$335,0)-1,0)/$F63*$G63</f>
        <v>21.7013888888889</v>
      </c>
      <c r="O63" s="36">
        <f ca="1">OFFSET(总规划!K$260,MATCH($E63,总规划!$B$260:$B$335,0)-1,0)/$F63*$G63</f>
        <v>25</v>
      </c>
      <c r="P63" s="36" t="str">
        <f ca="1">OFFSET(总规划!L$260,MATCH($E63,总规划!$B$260:$B$335,0)-1,0)</f>
        <v>1战役币</v>
      </c>
      <c r="Q63" s="36">
        <f ca="1">OFFSET(总规划!M$260,MATCH($E63,总规划!$B$260:$B$335,0)-1,0)/$F63*$G63</f>
        <v>8.68055555555556</v>
      </c>
      <c r="R63" s="36">
        <f ca="1">OFFSET(总规划!N$260,MATCH($E63,总规划!$B$260:$B$335,0)-1,0)/$F63*$G63</f>
        <v>10</v>
      </c>
      <c r="S63" s="36" t="str">
        <f ca="1">OFFSET(总规划!O$260,MATCH($E63,总规划!$B$260:$B$335,0)-1,0)</f>
        <v>1联盟币</v>
      </c>
      <c r="T63" s="36">
        <f ca="1">OFFSET(总规划!P$260,MATCH($E63,总规划!$B$260:$B$335,0)-1,0)/$F63*$G63</f>
        <v>10.8506944444444</v>
      </c>
      <c r="U63" s="36">
        <f ca="1">OFFSET(总规划!Q$260,MATCH($E63,总规划!$B$260:$B$335,0)-1,0)/$F63*$G63</f>
        <v>12.5</v>
      </c>
      <c r="V63" s="36" t="str">
        <f ca="1">OFFSET(总规划!R$260,MATCH($E63,总规划!$B$260:$B$335,0)-1,0)</f>
        <v>1空战币</v>
      </c>
    </row>
    <row r="64" spans="4:22">
      <c r="D64" s="36" t="s">
        <v>801</v>
      </c>
      <c r="E64" s="36" t="s">
        <v>478</v>
      </c>
      <c r="F64" s="36">
        <f t="shared" si="1"/>
        <v>1440</v>
      </c>
      <c r="G64" s="36">
        <f>控制台!C191</f>
        <v>35</v>
      </c>
      <c r="H64" s="36">
        <f ca="1">OFFSET(总规划!D$260,MATCH($E64,总规划!$B$260:$B$335,0)-1,0)/$F64*$G64</f>
        <v>0.0379774305555556</v>
      </c>
      <c r="I64" s="36">
        <f ca="1">OFFSET(总规划!E$260,MATCH($E64,总规划!$B$260:$B$335,0)-1,0)/$F64*$G64</f>
        <v>45.5729166666667</v>
      </c>
      <c r="J64" s="36">
        <f ca="1">OFFSET(总规划!F$260,MATCH($E64,总规划!$B$260:$B$335,0)-1,0)/$F64*$G64</f>
        <v>105</v>
      </c>
      <c r="K64" s="36">
        <f ca="1">OFFSET(总规划!G$260,MATCH($E64,总规划!$B$260:$B$335,0)-1,0)/$F64*$G64</f>
        <v>0.0911458333333333</v>
      </c>
      <c r="L64" s="36">
        <f ca="1">OFFSET(总规划!H$260,MATCH($E64,总规划!$B$260:$B$335,0)-1,0)/$F64*$G64</f>
        <v>0.105</v>
      </c>
      <c r="M64" s="36" t="str">
        <f ca="1">OFFSET(总规划!I$260,MATCH($E64,总规划!$B$260:$B$335,0)-1,0)</f>
        <v>1M资源</v>
      </c>
      <c r="N64" s="36">
        <f ca="1">OFFSET(总规划!J$260,MATCH($E64,总规划!$B$260:$B$335,0)-1,0)/$F64*$G64</f>
        <v>37.9774305555556</v>
      </c>
      <c r="O64" s="36">
        <f ca="1">OFFSET(总规划!K$260,MATCH($E64,总规划!$B$260:$B$335,0)-1,0)/$F64*$G64</f>
        <v>43.75</v>
      </c>
      <c r="P64" s="36" t="str">
        <f ca="1">OFFSET(总规划!L$260,MATCH($E64,总规划!$B$260:$B$335,0)-1,0)</f>
        <v>1战役币</v>
      </c>
      <c r="Q64" s="36">
        <f ca="1">OFFSET(总规划!M$260,MATCH($E64,总规划!$B$260:$B$335,0)-1,0)/$F64*$G64</f>
        <v>15.1909722222222</v>
      </c>
      <c r="R64" s="36">
        <f ca="1">OFFSET(总规划!N$260,MATCH($E64,总规划!$B$260:$B$335,0)-1,0)/$F64*$G64</f>
        <v>17.5</v>
      </c>
      <c r="S64" s="36" t="str">
        <f ca="1">OFFSET(总规划!O$260,MATCH($E64,总规划!$B$260:$B$335,0)-1,0)</f>
        <v>1联盟币</v>
      </c>
      <c r="T64" s="36">
        <f ca="1">OFFSET(总规划!P$260,MATCH($E64,总规划!$B$260:$B$335,0)-1,0)/$F64*$G64</f>
        <v>18.9887152777778</v>
      </c>
      <c r="U64" s="36">
        <f ca="1">OFFSET(总规划!Q$260,MATCH($E64,总规划!$B$260:$B$335,0)-1,0)/$F64*$G64</f>
        <v>21.875</v>
      </c>
      <c r="V64" s="36" t="str">
        <f ca="1">OFFSET(总规划!R$260,MATCH($E64,总规划!$B$260:$B$335,0)-1,0)</f>
        <v>1空战币</v>
      </c>
    </row>
    <row r="65" spans="4:22">
      <c r="D65" s="36" t="s">
        <v>802</v>
      </c>
      <c r="E65" s="36" t="s">
        <v>478</v>
      </c>
      <c r="F65" s="36">
        <f t="shared" si="1"/>
        <v>1440</v>
      </c>
      <c r="G65" s="36">
        <f>控制台!C192</f>
        <v>50</v>
      </c>
      <c r="H65" s="36">
        <f ca="1">OFFSET(总规划!D$260,MATCH($E65,总规划!$B$260:$B$335,0)-1,0)/$F65*$G65</f>
        <v>0.0542534722222222</v>
      </c>
      <c r="I65" s="36">
        <f ca="1">OFFSET(总规划!E$260,MATCH($E65,总规划!$B$260:$B$335,0)-1,0)/$F65*$G65</f>
        <v>65.1041666666667</v>
      </c>
      <c r="J65" s="36">
        <f ca="1">OFFSET(总规划!F$260,MATCH($E65,总规划!$B$260:$B$335,0)-1,0)/$F65*$G65</f>
        <v>150</v>
      </c>
      <c r="K65" s="36">
        <f ca="1">OFFSET(总规划!G$260,MATCH($E65,总规划!$B$260:$B$335,0)-1,0)/$F65*$G65</f>
        <v>0.130208333333333</v>
      </c>
      <c r="L65" s="36">
        <f ca="1">OFFSET(总规划!H$260,MATCH($E65,总规划!$B$260:$B$335,0)-1,0)/$F65*$G65</f>
        <v>0.15</v>
      </c>
      <c r="M65" s="36" t="str">
        <f ca="1">OFFSET(总规划!I$260,MATCH($E65,总规划!$B$260:$B$335,0)-1,0)</f>
        <v>1M资源</v>
      </c>
      <c r="N65" s="36">
        <f ca="1">OFFSET(总规划!J$260,MATCH($E65,总规划!$B$260:$B$335,0)-1,0)/$F65*$G65</f>
        <v>54.2534722222222</v>
      </c>
      <c r="O65" s="36">
        <f ca="1">OFFSET(总规划!K$260,MATCH($E65,总规划!$B$260:$B$335,0)-1,0)/$F65*$G65</f>
        <v>62.5</v>
      </c>
      <c r="P65" s="36" t="str">
        <f ca="1">OFFSET(总规划!L$260,MATCH($E65,总规划!$B$260:$B$335,0)-1,0)</f>
        <v>1战役币</v>
      </c>
      <c r="Q65" s="36">
        <f ca="1">OFFSET(总规划!M$260,MATCH($E65,总规划!$B$260:$B$335,0)-1,0)/$F65*$G65</f>
        <v>21.7013888888889</v>
      </c>
      <c r="R65" s="36">
        <f ca="1">OFFSET(总规划!N$260,MATCH($E65,总规划!$B$260:$B$335,0)-1,0)/$F65*$G65</f>
        <v>25</v>
      </c>
      <c r="S65" s="36" t="str">
        <f ca="1">OFFSET(总规划!O$260,MATCH($E65,总规划!$B$260:$B$335,0)-1,0)</f>
        <v>1联盟币</v>
      </c>
      <c r="T65" s="36">
        <f ca="1">OFFSET(总规划!P$260,MATCH($E65,总规划!$B$260:$B$335,0)-1,0)/$F65*$G65</f>
        <v>27.1267361111111</v>
      </c>
      <c r="U65" s="36">
        <f ca="1">OFFSET(总规划!Q$260,MATCH($E65,总规划!$B$260:$B$335,0)-1,0)/$F65*$G65</f>
        <v>31.25</v>
      </c>
      <c r="V65" s="36" t="str">
        <f ca="1">OFFSET(总规划!R$260,MATCH($E65,总规划!$B$260:$B$335,0)-1,0)</f>
        <v>1空战币</v>
      </c>
    </row>
    <row r="66" spans="4:22">
      <c r="D66" s="36" t="s">
        <v>803</v>
      </c>
      <c r="E66" s="36" t="s">
        <v>478</v>
      </c>
      <c r="F66" s="36">
        <f t="shared" si="1"/>
        <v>1440</v>
      </c>
      <c r="G66" s="36">
        <f>控制台!C193</f>
        <v>110</v>
      </c>
      <c r="H66" s="36">
        <f ca="1">OFFSET(总规划!D$260,MATCH($E66,总规划!$B$260:$B$335,0)-1,0)/$F66*$G66</f>
        <v>0.119357638888889</v>
      </c>
      <c r="I66" s="36">
        <f ca="1">OFFSET(总规划!E$260,MATCH($E66,总规划!$B$260:$B$335,0)-1,0)/$F66*$G66</f>
        <v>143.229166666667</v>
      </c>
      <c r="J66" s="36">
        <f ca="1">OFFSET(总规划!F$260,MATCH($E66,总规划!$B$260:$B$335,0)-1,0)/$F66*$G66</f>
        <v>330</v>
      </c>
      <c r="K66" s="36">
        <f ca="1">OFFSET(总规划!G$260,MATCH($E66,总规划!$B$260:$B$335,0)-1,0)/$F66*$G66</f>
        <v>0.286458333333333</v>
      </c>
      <c r="L66" s="36">
        <f ca="1">OFFSET(总规划!H$260,MATCH($E66,总规划!$B$260:$B$335,0)-1,0)/$F66*$G66</f>
        <v>0.33</v>
      </c>
      <c r="M66" s="36" t="str">
        <f ca="1">OFFSET(总规划!I$260,MATCH($E66,总规划!$B$260:$B$335,0)-1,0)</f>
        <v>1M资源</v>
      </c>
      <c r="N66" s="36">
        <f ca="1">OFFSET(总规划!J$260,MATCH($E66,总规划!$B$260:$B$335,0)-1,0)/$F66*$G66</f>
        <v>119.357638888889</v>
      </c>
      <c r="O66" s="36">
        <f ca="1">OFFSET(总规划!K$260,MATCH($E66,总规划!$B$260:$B$335,0)-1,0)/$F66*$G66</f>
        <v>137.5</v>
      </c>
      <c r="P66" s="36" t="str">
        <f ca="1">OFFSET(总规划!L$260,MATCH($E66,总规划!$B$260:$B$335,0)-1,0)</f>
        <v>1战役币</v>
      </c>
      <c r="Q66" s="36">
        <f ca="1">OFFSET(总规划!M$260,MATCH($E66,总规划!$B$260:$B$335,0)-1,0)/$F66*$G66</f>
        <v>47.7430555555556</v>
      </c>
      <c r="R66" s="36">
        <f ca="1">OFFSET(总规划!N$260,MATCH($E66,总规划!$B$260:$B$335,0)-1,0)/$F66*$G66</f>
        <v>55</v>
      </c>
      <c r="S66" s="36" t="str">
        <f ca="1">OFFSET(总规划!O$260,MATCH($E66,总规划!$B$260:$B$335,0)-1,0)</f>
        <v>1联盟币</v>
      </c>
      <c r="T66" s="36">
        <f ca="1">OFFSET(总规划!P$260,MATCH($E66,总规划!$B$260:$B$335,0)-1,0)/$F66*$G66</f>
        <v>59.6788194444444</v>
      </c>
      <c r="U66" s="36">
        <f ca="1">OFFSET(总规划!Q$260,MATCH($E66,总规划!$B$260:$B$335,0)-1,0)/$F66*$G66</f>
        <v>68.75</v>
      </c>
      <c r="V66" s="36" t="str">
        <f ca="1">OFFSET(总规划!R$260,MATCH($E66,总规划!$B$260:$B$335,0)-1,0)</f>
        <v>1空战币</v>
      </c>
    </row>
    <row r="67" spans="4:22">
      <c r="D67" s="36" t="s">
        <v>1555</v>
      </c>
      <c r="E67" s="36" t="s">
        <v>63</v>
      </c>
      <c r="F67" s="36">
        <v>1</v>
      </c>
      <c r="G67" s="36">
        <v>1</v>
      </c>
      <c r="H67" s="36">
        <f ca="1">OFFSET(总规划!D$260,MATCH($E67,总规划!$B$260:$B$335,0)-1,0)/$F67*$G67</f>
        <v>0.62875</v>
      </c>
      <c r="I67" s="36">
        <f ca="1">OFFSET(总规划!E$260,MATCH($E67,总规划!$B$260:$B$335,0)-1,0)/$F67*$G67</f>
        <v>754.5</v>
      </c>
      <c r="J67" s="36">
        <f ca="1">OFFSET(总规划!F$260,MATCH($E67,总规划!$B$260:$B$335,0)-1,0)/$F67*$G67</f>
        <v>900</v>
      </c>
      <c r="K67" s="36">
        <f ca="1">OFFSET(总规划!G$260,MATCH($E67,总规划!$B$260:$B$335,0)-1,0)/$F67*$G67</f>
        <v>1.509</v>
      </c>
      <c r="L67" s="36">
        <f ca="1">OFFSET(总规划!H$260,MATCH($E67,总规划!$B$260:$B$335,0)-1,0)/$F67*$G67</f>
        <v>0.9</v>
      </c>
      <c r="M67" s="36" t="str">
        <f ca="1">OFFSET(总规划!I$260,MATCH($E67,总规划!$B$260:$B$335,0)-1,0)</f>
        <v>1M资源</v>
      </c>
      <c r="N67" s="36">
        <f ca="1">OFFSET(总规划!J$260,MATCH($E67,总规划!$B$260:$B$335,0)-1,0)/$F67*$G67</f>
        <v>628.75</v>
      </c>
      <c r="O67" s="36">
        <f ca="1">OFFSET(总规划!K$260,MATCH($E67,总规划!$B$260:$B$335,0)-1,0)/$F67*$G67</f>
        <v>375</v>
      </c>
      <c r="P67" s="36" t="str">
        <f ca="1">OFFSET(总规划!L$260,MATCH($E67,总规划!$B$260:$B$335,0)-1,0)</f>
        <v>1战役币</v>
      </c>
      <c r="Q67" s="36">
        <f ca="1">OFFSET(总规划!M$260,MATCH($E67,总规划!$B$260:$B$335,0)-1,0)/$F67*$G67</f>
        <v>251.5</v>
      </c>
      <c r="R67" s="36">
        <f ca="1">OFFSET(总规划!N$260,MATCH($E67,总规划!$B$260:$B$335,0)-1,0)/$F67*$G67</f>
        <v>150</v>
      </c>
      <c r="S67" s="36" t="str">
        <f ca="1">OFFSET(总规划!O$260,MATCH($E67,总规划!$B$260:$B$335,0)-1,0)</f>
        <v>1联盟币</v>
      </c>
      <c r="T67" s="36">
        <f ca="1">OFFSET(总规划!P$260,MATCH($E67,总规划!$B$260:$B$335,0)-1,0)/$F67*$G67</f>
        <v>314.375</v>
      </c>
      <c r="U67" s="36">
        <f ca="1">OFFSET(总规划!Q$260,MATCH($E67,总规划!$B$260:$B$335,0)-1,0)/$F67*$G67</f>
        <v>187.5</v>
      </c>
      <c r="V67" s="36" t="str">
        <f ca="1">OFFSET(总规划!R$260,MATCH($E67,总规划!$B$260:$B$335,0)-1,0)</f>
        <v>1空战币</v>
      </c>
    </row>
    <row r="68" spans="4:22">
      <c r="D68" s="36" t="s">
        <v>2097</v>
      </c>
      <c r="E68" s="36" t="s">
        <v>466</v>
      </c>
      <c r="F68" s="36">
        <v>1000000</v>
      </c>
      <c r="G68" s="36">
        <v>50000</v>
      </c>
      <c r="H68" s="36">
        <f ca="1">OFFSET(总规划!D$260,MATCH($E68,总规划!$B$260:$B$335,0)-1,0)/$F68*$G68</f>
        <v>0.3125</v>
      </c>
      <c r="I68" s="36">
        <f ca="1">OFFSET(总规划!E$260,MATCH($E68,总规划!$B$260:$B$335,0)-1,0)/$F68*$G68</f>
        <v>375</v>
      </c>
      <c r="J68" s="36">
        <f ca="1">OFFSET(总规划!F$260,MATCH($E68,总规划!$B$260:$B$335,0)-1,0)/$F68*$G68</f>
        <v>750</v>
      </c>
      <c r="K68" s="36">
        <f ca="1">OFFSET(总规划!G$260,MATCH($E68,总规划!$B$260:$B$335,0)-1,0)/$F68*$G68</f>
        <v>0.75</v>
      </c>
      <c r="L68" s="36">
        <f ca="1">OFFSET(总规划!H$260,MATCH($E68,总规划!$B$260:$B$335,0)-1,0)/$F68*$G68</f>
        <v>0.75</v>
      </c>
      <c r="M68" s="36" t="str">
        <f ca="1">OFFSET(总规划!I$260,MATCH($E68,总规划!$B$260:$B$335,0)-1,0)</f>
        <v>1M资源</v>
      </c>
      <c r="N68" s="36">
        <f ca="1">OFFSET(总规划!J$260,MATCH($E68,总规划!$B$260:$B$335,0)-1,0)/$F68*$G68</f>
        <v>312.5</v>
      </c>
      <c r="O68" s="36">
        <f ca="1">OFFSET(总规划!K$260,MATCH($E68,总规划!$B$260:$B$335,0)-1,0)/$F68*$G68</f>
        <v>312.5</v>
      </c>
      <c r="P68" s="36" t="str">
        <f ca="1">OFFSET(总规划!L$260,MATCH($E68,总规划!$B$260:$B$335,0)-1,0)</f>
        <v>1战役币</v>
      </c>
      <c r="Q68" s="36">
        <f ca="1">OFFSET(总规划!M$260,MATCH($E68,总规划!$B$260:$B$335,0)-1,0)/$F68*$G68</f>
        <v>125</v>
      </c>
      <c r="R68" s="36">
        <f ca="1">OFFSET(总规划!N$260,MATCH($E68,总规划!$B$260:$B$335,0)-1,0)/$F68*$G68</f>
        <v>125</v>
      </c>
      <c r="S68" s="36" t="str">
        <f ca="1">OFFSET(总规划!O$260,MATCH($E68,总规划!$B$260:$B$335,0)-1,0)</f>
        <v>1联盟币</v>
      </c>
      <c r="T68" s="36">
        <f ca="1">OFFSET(总规划!P$260,MATCH($E68,总规划!$B$260:$B$335,0)-1,0)/$F68*$G68</f>
        <v>156.25</v>
      </c>
      <c r="U68" s="36">
        <f ca="1">OFFSET(总规划!Q$260,MATCH($E68,总规划!$B$260:$B$335,0)-1,0)/$F68*$G68</f>
        <v>156.25</v>
      </c>
      <c r="V68" s="36" t="str">
        <f ca="1">OFFSET(总规划!R$260,MATCH($E68,总规划!$B$260:$B$335,0)-1,0)</f>
        <v>1空战币</v>
      </c>
    </row>
    <row r="69" spans="4:22">
      <c r="D69" s="36" t="s">
        <v>2110</v>
      </c>
      <c r="E69" s="36" t="s">
        <v>466</v>
      </c>
      <c r="F69" s="36">
        <v>1000000</v>
      </c>
      <c r="G69" s="36">
        <v>200000</v>
      </c>
      <c r="H69" s="36">
        <f ca="1">OFFSET(总规划!D$260,MATCH($E69,总规划!$B$260:$B$335,0)-1,0)/$F69*$G69</f>
        <v>1.25</v>
      </c>
      <c r="I69" s="36">
        <f ca="1">OFFSET(总规划!E$260,MATCH($E69,总规划!$B$260:$B$335,0)-1,0)/$F69*$G69</f>
        <v>1500</v>
      </c>
      <c r="J69" s="36">
        <f ca="1">OFFSET(总规划!F$260,MATCH($E69,总规划!$B$260:$B$335,0)-1,0)/$F69*$G69</f>
        <v>3000</v>
      </c>
      <c r="K69" s="36">
        <f ca="1">OFFSET(总规划!G$260,MATCH($E69,总规划!$B$260:$B$335,0)-1,0)/$F69*$G69</f>
        <v>3</v>
      </c>
      <c r="L69" s="36">
        <f ca="1">OFFSET(总规划!H$260,MATCH($E69,总规划!$B$260:$B$335,0)-1,0)/$F69*$G69</f>
        <v>3</v>
      </c>
      <c r="M69" s="36" t="str">
        <f ca="1">OFFSET(总规划!I$260,MATCH($E69,总规划!$B$260:$B$335,0)-1,0)</f>
        <v>1M资源</v>
      </c>
      <c r="N69" s="36">
        <f ca="1">OFFSET(总规划!J$260,MATCH($E69,总规划!$B$260:$B$335,0)-1,0)/$F69*$G69</f>
        <v>1250</v>
      </c>
      <c r="O69" s="36">
        <f ca="1">OFFSET(总规划!K$260,MATCH($E69,总规划!$B$260:$B$335,0)-1,0)/$F69*$G69</f>
        <v>1250</v>
      </c>
      <c r="P69" s="36" t="str">
        <f ca="1">OFFSET(总规划!L$260,MATCH($E69,总规划!$B$260:$B$335,0)-1,0)</f>
        <v>1战役币</v>
      </c>
      <c r="Q69" s="36">
        <f ca="1">OFFSET(总规划!M$260,MATCH($E69,总规划!$B$260:$B$335,0)-1,0)/$F69*$G69</f>
        <v>500</v>
      </c>
      <c r="R69" s="36">
        <f ca="1">OFFSET(总规划!N$260,MATCH($E69,总规划!$B$260:$B$335,0)-1,0)/$F69*$G69</f>
        <v>500</v>
      </c>
      <c r="S69" s="36" t="str">
        <f ca="1">OFFSET(总规划!O$260,MATCH($E69,总规划!$B$260:$B$335,0)-1,0)</f>
        <v>1联盟币</v>
      </c>
      <c r="T69" s="36">
        <f ca="1">OFFSET(总规划!P$260,MATCH($E69,总规划!$B$260:$B$335,0)-1,0)/$F69*$G69</f>
        <v>625</v>
      </c>
      <c r="U69" s="36">
        <f ca="1">OFFSET(总规划!Q$260,MATCH($E69,总规划!$B$260:$B$335,0)-1,0)/$F69*$G69</f>
        <v>625</v>
      </c>
      <c r="V69" s="36" t="str">
        <f ca="1">OFFSET(总规划!R$260,MATCH($E69,总规划!$B$260:$B$335,0)-1,0)</f>
        <v>1空战币</v>
      </c>
    </row>
    <row r="70" spans="4:22">
      <c r="D70" s="36" t="s">
        <v>1967</v>
      </c>
      <c r="E70" s="36" t="s">
        <v>466</v>
      </c>
      <c r="F70" s="36">
        <v>1000000</v>
      </c>
      <c r="G70" s="36">
        <v>10000</v>
      </c>
      <c r="H70" s="36">
        <f ca="1">OFFSET(总规划!D$260,MATCH($E70,总规划!$B$260:$B$335,0)-1,0)/$F70*$G70</f>
        <v>0.0625</v>
      </c>
      <c r="I70" s="36">
        <f ca="1">OFFSET(总规划!E$260,MATCH($E70,总规划!$B$260:$B$335,0)-1,0)/$F70*$G70</f>
        <v>75</v>
      </c>
      <c r="J70" s="36">
        <f ca="1">OFFSET(总规划!F$260,MATCH($E70,总规划!$B$260:$B$335,0)-1,0)/$F70*$G70</f>
        <v>150</v>
      </c>
      <c r="K70" s="36">
        <f ca="1">OFFSET(总规划!G$260,MATCH($E70,总规划!$B$260:$B$335,0)-1,0)/$F70*$G70</f>
        <v>0.15</v>
      </c>
      <c r="L70" s="36">
        <f ca="1">OFFSET(总规划!H$260,MATCH($E70,总规划!$B$260:$B$335,0)-1,0)/$F70*$G70</f>
        <v>0.15</v>
      </c>
      <c r="M70" s="36" t="str">
        <f ca="1">OFFSET(总规划!I$260,MATCH($E70,总规划!$B$260:$B$335,0)-1,0)</f>
        <v>1M资源</v>
      </c>
      <c r="N70" s="36">
        <f ca="1">OFFSET(总规划!J$260,MATCH($E70,总规划!$B$260:$B$335,0)-1,0)/$F70*$G70</f>
        <v>62.5</v>
      </c>
      <c r="O70" s="36">
        <f ca="1">OFFSET(总规划!K$260,MATCH($E70,总规划!$B$260:$B$335,0)-1,0)/$F70*$G70</f>
        <v>62.5</v>
      </c>
      <c r="P70" s="36" t="str">
        <f ca="1">OFFSET(总规划!L$260,MATCH($E70,总规划!$B$260:$B$335,0)-1,0)</f>
        <v>1战役币</v>
      </c>
      <c r="Q70" s="36">
        <f ca="1">OFFSET(总规划!M$260,MATCH($E70,总规划!$B$260:$B$335,0)-1,0)/$F70*$G70</f>
        <v>25</v>
      </c>
      <c r="R70" s="36">
        <f ca="1">OFFSET(总规划!N$260,MATCH($E70,总规划!$B$260:$B$335,0)-1,0)/$F70*$G70</f>
        <v>25</v>
      </c>
      <c r="S70" s="36" t="str">
        <f ca="1">OFFSET(总规划!O$260,MATCH($E70,总规划!$B$260:$B$335,0)-1,0)</f>
        <v>1联盟币</v>
      </c>
      <c r="T70" s="36">
        <f ca="1">OFFSET(总规划!P$260,MATCH($E70,总规划!$B$260:$B$335,0)-1,0)/$F70*$G70</f>
        <v>31.25</v>
      </c>
      <c r="U70" s="36">
        <f ca="1">OFFSET(总规划!Q$260,MATCH($E70,总规划!$B$260:$B$335,0)-1,0)/$F70*$G70</f>
        <v>31.25</v>
      </c>
      <c r="V70" s="36" t="str">
        <f ca="1">OFFSET(总规划!R$260,MATCH($E70,总规划!$B$260:$B$335,0)-1,0)</f>
        <v>1空战币</v>
      </c>
    </row>
    <row r="71" spans="4:22">
      <c r="D71" s="36" t="s">
        <v>2085</v>
      </c>
      <c r="E71" s="36" t="s">
        <v>454</v>
      </c>
      <c r="F71" s="36">
        <v>1</v>
      </c>
      <c r="G71" s="36">
        <f>1/50</f>
        <v>0.02</v>
      </c>
      <c r="H71" s="36">
        <f ca="1">OFFSET(总规划!D$260,MATCH($E71,总规划!$B$260:$B$335,0)-1,0)/$F71*$G71</f>
        <v>0.01</v>
      </c>
      <c r="I71" s="36">
        <f ca="1">OFFSET(总规划!E$260,MATCH($E71,总规划!$B$260:$B$335,0)-1,0)/$F71*$G71</f>
        <v>12</v>
      </c>
      <c r="J71" s="36">
        <f ca="1">OFFSET(总规划!F$260,MATCH($E71,总规划!$B$260:$B$335,0)-1,0)/$F71*$G71</f>
        <v>24</v>
      </c>
      <c r="K71" s="36">
        <f ca="1">OFFSET(总规划!G$260,MATCH($E71,总规划!$B$260:$B$335,0)-1,0)/$F71*$G71</f>
        <v>0.024</v>
      </c>
      <c r="L71" s="36">
        <f ca="1">OFFSET(总规划!H$260,MATCH($E71,总规划!$B$260:$B$335,0)-1,0)/$F71*$G71</f>
        <v>0.024</v>
      </c>
      <c r="M71" s="36" t="str">
        <f ca="1">OFFSET(总规划!I$260,MATCH($E71,总规划!$B$260:$B$335,0)-1,0)</f>
        <v>1M资源</v>
      </c>
      <c r="N71" s="36">
        <f ca="1">OFFSET(总规划!J$260,MATCH($E71,总规划!$B$260:$B$335,0)-1,0)/$F71*$G71</f>
        <v>10</v>
      </c>
      <c r="O71" s="36">
        <f ca="1">OFFSET(总规划!K$260,MATCH($E71,总规划!$B$260:$B$335,0)-1,0)/$F71*$G71</f>
        <v>10</v>
      </c>
      <c r="P71" s="36" t="str">
        <f ca="1">OFFSET(总规划!L$260,MATCH($E71,总规划!$B$260:$B$335,0)-1,0)</f>
        <v>1战役币</v>
      </c>
      <c r="Q71" s="36">
        <f ca="1">OFFSET(总规划!M$260,MATCH($E71,总规划!$B$260:$B$335,0)-1,0)/$F71*$G71</f>
        <v>4</v>
      </c>
      <c r="R71" s="36">
        <f ca="1">OFFSET(总规划!N$260,MATCH($E71,总规划!$B$260:$B$335,0)-1,0)/$F71*$G71</f>
        <v>4</v>
      </c>
      <c r="S71" s="36" t="str">
        <f ca="1">OFFSET(总规划!O$260,MATCH($E71,总规划!$B$260:$B$335,0)-1,0)</f>
        <v>1联盟币</v>
      </c>
      <c r="T71" s="36">
        <f ca="1">OFFSET(总规划!P$260,MATCH($E71,总规划!$B$260:$B$335,0)-1,0)/$F71*$G71</f>
        <v>5</v>
      </c>
      <c r="U71" s="36">
        <f ca="1">OFFSET(总规划!Q$260,MATCH($E71,总规划!$B$260:$B$335,0)-1,0)/$F71*$G71</f>
        <v>5</v>
      </c>
      <c r="V71" s="36" t="str">
        <f ca="1">OFFSET(总规划!R$260,MATCH($E71,总规划!$B$260:$B$335,0)-1,0)</f>
        <v>1空战币</v>
      </c>
    </row>
    <row r="72" spans="4:22">
      <c r="D72" s="36" t="s">
        <v>2124</v>
      </c>
      <c r="E72" s="36" t="s">
        <v>454</v>
      </c>
      <c r="F72" s="36">
        <v>1</v>
      </c>
      <c r="G72" s="36">
        <f>1/50</f>
        <v>0.02</v>
      </c>
      <c r="H72" s="36">
        <f ca="1">OFFSET(总规划!D$260,MATCH($E72,总规划!$B$260:$B$335,0)-1,0)/$F72*$G72</f>
        <v>0.01</v>
      </c>
      <c r="I72" s="36">
        <f ca="1">OFFSET(总规划!E$260,MATCH($E72,总规划!$B$260:$B$335,0)-1,0)/$F72*$G72</f>
        <v>12</v>
      </c>
      <c r="J72" s="36">
        <f ca="1">OFFSET(总规划!F$260,MATCH($E72,总规划!$B$260:$B$335,0)-1,0)/$F72*$G72</f>
        <v>24</v>
      </c>
      <c r="K72" s="36">
        <f ca="1">OFFSET(总规划!G$260,MATCH($E72,总规划!$B$260:$B$335,0)-1,0)/$F72*$G72</f>
        <v>0.024</v>
      </c>
      <c r="L72" s="36">
        <f ca="1">OFFSET(总规划!H$260,MATCH($E72,总规划!$B$260:$B$335,0)-1,0)/$F72*$G72</f>
        <v>0.024</v>
      </c>
      <c r="M72" s="36" t="str">
        <f ca="1">OFFSET(总规划!I$260,MATCH($E72,总规划!$B$260:$B$335,0)-1,0)</f>
        <v>1M资源</v>
      </c>
      <c r="N72" s="36">
        <f ca="1">OFFSET(总规划!J$260,MATCH($E72,总规划!$B$260:$B$335,0)-1,0)/$F72*$G72</f>
        <v>10</v>
      </c>
      <c r="O72" s="36">
        <f ca="1">OFFSET(总规划!K$260,MATCH($E72,总规划!$B$260:$B$335,0)-1,0)/$F72*$G72</f>
        <v>10</v>
      </c>
      <c r="P72" s="36" t="str">
        <f ca="1">OFFSET(总规划!L$260,MATCH($E72,总规划!$B$260:$B$335,0)-1,0)</f>
        <v>1战役币</v>
      </c>
      <c r="Q72" s="36">
        <f ca="1">OFFSET(总规划!M$260,MATCH($E72,总规划!$B$260:$B$335,0)-1,0)/$F72*$G72</f>
        <v>4</v>
      </c>
      <c r="R72" s="36">
        <f ca="1">OFFSET(总规划!N$260,MATCH($E72,总规划!$B$260:$B$335,0)-1,0)/$F72*$G72</f>
        <v>4</v>
      </c>
      <c r="S72" s="36" t="str">
        <f ca="1">OFFSET(总规划!O$260,MATCH($E72,总规划!$B$260:$B$335,0)-1,0)</f>
        <v>1联盟币</v>
      </c>
      <c r="T72" s="36">
        <f ca="1">OFFSET(总规划!P$260,MATCH($E72,总规划!$B$260:$B$335,0)-1,0)/$F72*$G72</f>
        <v>5</v>
      </c>
      <c r="U72" s="36">
        <f ca="1">OFFSET(总规划!Q$260,MATCH($E72,总规划!$B$260:$B$335,0)-1,0)/$F72*$G72</f>
        <v>5</v>
      </c>
      <c r="V72" s="36" t="str">
        <f ca="1">OFFSET(总规划!R$260,MATCH($E72,总规划!$B$260:$B$335,0)-1,0)</f>
        <v>1空战币</v>
      </c>
    </row>
    <row r="73" spans="4:22">
      <c r="D73" s="36" t="s">
        <v>2558</v>
      </c>
      <c r="E73" s="36" t="s">
        <v>468</v>
      </c>
      <c r="F73" s="36">
        <v>1</v>
      </c>
      <c r="G73" s="36">
        <v>1</v>
      </c>
      <c r="H73" s="36">
        <f ca="1">OFFSET(总规划!D$260,MATCH($E73,总规划!$B$260:$B$335,0)-1,0)/$F73*$G73</f>
        <v>3.33333333333333</v>
      </c>
      <c r="I73" s="36">
        <f ca="1">OFFSET(总规划!E$260,MATCH($E73,总规划!$B$260:$B$335,0)-1,0)/$F73*$G73</f>
        <v>4000</v>
      </c>
      <c r="J73" s="36">
        <f ca="1">OFFSET(总规划!F$260,MATCH($E73,总规划!$B$260:$B$335,0)-1,0)/$F73*$G73</f>
        <v>8000</v>
      </c>
      <c r="K73" s="36">
        <f ca="1">OFFSET(总规划!G$260,MATCH($E73,总规划!$B$260:$B$335,0)-1,0)/$F73*$G73</f>
        <v>8</v>
      </c>
      <c r="L73" s="36">
        <f ca="1">OFFSET(总规划!H$260,MATCH($E73,总规划!$B$260:$B$335,0)-1,0)/$F73*$G73</f>
        <v>8</v>
      </c>
      <c r="M73" s="36" t="str">
        <f ca="1">OFFSET(总规划!I$260,MATCH($E73,总规划!$B$260:$B$335,0)-1,0)</f>
        <v>1M资源</v>
      </c>
      <c r="N73" s="36">
        <f ca="1">OFFSET(总规划!J$260,MATCH($E73,总规划!$B$260:$B$335,0)-1,0)/$F73*$G73</f>
        <v>3333.33333333333</v>
      </c>
      <c r="O73" s="36">
        <f ca="1">OFFSET(总规划!K$260,MATCH($E73,总规划!$B$260:$B$335,0)-1,0)/$F73*$G73</f>
        <v>3333.33333333333</v>
      </c>
      <c r="P73" s="36" t="str">
        <f ca="1">OFFSET(总规划!L$260,MATCH($E73,总规划!$B$260:$B$335,0)-1,0)</f>
        <v>1战役币</v>
      </c>
      <c r="Q73" s="36">
        <f ca="1">OFFSET(总规划!M$260,MATCH($E73,总规划!$B$260:$B$335,0)-1,0)/$F73*$G73</f>
        <v>1333.33333333333</v>
      </c>
      <c r="R73" s="36">
        <f ca="1">OFFSET(总规划!N$260,MATCH($E73,总规划!$B$260:$B$335,0)-1,0)/$F73*$G73</f>
        <v>1333.33333333333</v>
      </c>
      <c r="S73" s="36" t="str">
        <f ca="1">OFFSET(总规划!O$260,MATCH($E73,总规划!$B$260:$B$335,0)-1,0)</f>
        <v>1联盟币</v>
      </c>
      <c r="T73" s="36">
        <f ca="1">OFFSET(总规划!P$260,MATCH($E73,总规划!$B$260:$B$335,0)-1,0)/$F73*$G73</f>
        <v>1666.66666666667</v>
      </c>
      <c r="U73" s="36">
        <f ca="1">OFFSET(总规划!Q$260,MATCH($E73,总规划!$B$260:$B$335,0)-1,0)/$F73*$G73</f>
        <v>1666.66666666667</v>
      </c>
      <c r="V73" s="36" t="str">
        <f ca="1">OFFSET(总规划!R$260,MATCH($E73,总规划!$B$260:$B$335,0)-1,0)</f>
        <v>1空战币</v>
      </c>
    </row>
    <row r="74" spans="4:22">
      <c r="D74" s="36" t="s">
        <v>2559</v>
      </c>
      <c r="E74" s="36" t="s">
        <v>468</v>
      </c>
      <c r="F74" s="36">
        <v>1</v>
      </c>
      <c r="G74" s="36">
        <v>1</v>
      </c>
      <c r="H74" s="36">
        <f ca="1">OFFSET(总规划!D$260,MATCH($E74,总规划!$B$260:$B$335,0)-1,0)/$F74*$G74</f>
        <v>3.33333333333333</v>
      </c>
      <c r="I74" s="36">
        <f ca="1">OFFSET(总规划!E$260,MATCH($E74,总规划!$B$260:$B$335,0)-1,0)/$F74*$G74</f>
        <v>4000</v>
      </c>
      <c r="J74" s="36">
        <f ca="1">OFFSET(总规划!F$260,MATCH($E74,总规划!$B$260:$B$335,0)-1,0)/$F74*$G74</f>
        <v>8000</v>
      </c>
      <c r="K74" s="36">
        <f ca="1">OFFSET(总规划!G$260,MATCH($E74,总规划!$B$260:$B$335,0)-1,0)/$F74*$G74</f>
        <v>8</v>
      </c>
      <c r="L74" s="36">
        <f ca="1">OFFSET(总规划!H$260,MATCH($E74,总规划!$B$260:$B$335,0)-1,0)/$F74*$G74</f>
        <v>8</v>
      </c>
      <c r="M74" s="36" t="str">
        <f ca="1">OFFSET(总规划!I$260,MATCH($E74,总规划!$B$260:$B$335,0)-1,0)</f>
        <v>1M资源</v>
      </c>
      <c r="N74" s="36">
        <f ca="1">OFFSET(总规划!J$260,MATCH($E74,总规划!$B$260:$B$335,0)-1,0)/$F74*$G74</f>
        <v>3333.33333333333</v>
      </c>
      <c r="O74" s="36">
        <f ca="1">OFFSET(总规划!K$260,MATCH($E74,总规划!$B$260:$B$335,0)-1,0)/$F74*$G74</f>
        <v>3333.33333333333</v>
      </c>
      <c r="P74" s="36" t="str">
        <f ca="1">OFFSET(总规划!L$260,MATCH($E74,总规划!$B$260:$B$335,0)-1,0)</f>
        <v>1战役币</v>
      </c>
      <c r="Q74" s="36">
        <f ca="1">OFFSET(总规划!M$260,MATCH($E74,总规划!$B$260:$B$335,0)-1,0)/$F74*$G74</f>
        <v>1333.33333333333</v>
      </c>
      <c r="R74" s="36">
        <f ca="1">OFFSET(总规划!N$260,MATCH($E74,总规划!$B$260:$B$335,0)-1,0)/$F74*$G74</f>
        <v>1333.33333333333</v>
      </c>
      <c r="S74" s="36" t="str">
        <f ca="1">OFFSET(总规划!O$260,MATCH($E74,总规划!$B$260:$B$335,0)-1,0)</f>
        <v>1联盟币</v>
      </c>
      <c r="T74" s="36">
        <f ca="1">OFFSET(总规划!P$260,MATCH($E74,总规划!$B$260:$B$335,0)-1,0)/$F74*$G74</f>
        <v>1666.66666666667</v>
      </c>
      <c r="U74" s="36">
        <f ca="1">OFFSET(总规划!Q$260,MATCH($E74,总规划!$B$260:$B$335,0)-1,0)/$F74*$G74</f>
        <v>1666.66666666667</v>
      </c>
      <c r="V74" s="36" t="str">
        <f ca="1">OFFSET(总规划!R$260,MATCH($E74,总规划!$B$260:$B$335,0)-1,0)</f>
        <v>1空战币</v>
      </c>
    </row>
    <row r="75" spans="4:22">
      <c r="D75" s="36" t="s">
        <v>2560</v>
      </c>
      <c r="E75" s="36" t="s">
        <v>468</v>
      </c>
      <c r="F75" s="36">
        <v>1</v>
      </c>
      <c r="G75" s="36">
        <v>1</v>
      </c>
      <c r="H75" s="36">
        <f ca="1">OFFSET(总规划!D$260,MATCH($E75,总规划!$B$260:$B$335,0)-1,0)/$F75*$G75</f>
        <v>3.33333333333333</v>
      </c>
      <c r="I75" s="36">
        <f ca="1">OFFSET(总规划!E$260,MATCH($E75,总规划!$B$260:$B$335,0)-1,0)/$F75*$G75</f>
        <v>4000</v>
      </c>
      <c r="J75" s="36">
        <f ca="1">OFFSET(总规划!F$260,MATCH($E75,总规划!$B$260:$B$335,0)-1,0)/$F75*$G75</f>
        <v>8000</v>
      </c>
      <c r="K75" s="36">
        <f ca="1">OFFSET(总规划!G$260,MATCH($E75,总规划!$B$260:$B$335,0)-1,0)/$F75*$G75</f>
        <v>8</v>
      </c>
      <c r="L75" s="36">
        <f ca="1">OFFSET(总规划!H$260,MATCH($E75,总规划!$B$260:$B$335,0)-1,0)/$F75*$G75</f>
        <v>8</v>
      </c>
      <c r="M75" s="36" t="str">
        <f ca="1">OFFSET(总规划!I$260,MATCH($E75,总规划!$B$260:$B$335,0)-1,0)</f>
        <v>1M资源</v>
      </c>
      <c r="N75" s="36">
        <f ca="1">OFFSET(总规划!J$260,MATCH($E75,总规划!$B$260:$B$335,0)-1,0)/$F75*$G75</f>
        <v>3333.33333333333</v>
      </c>
      <c r="O75" s="36">
        <f ca="1">OFFSET(总规划!K$260,MATCH($E75,总规划!$B$260:$B$335,0)-1,0)/$F75*$G75</f>
        <v>3333.33333333333</v>
      </c>
      <c r="P75" s="36" t="str">
        <f ca="1">OFFSET(总规划!L$260,MATCH($E75,总规划!$B$260:$B$335,0)-1,0)</f>
        <v>1战役币</v>
      </c>
      <c r="Q75" s="36">
        <f ca="1">OFFSET(总规划!M$260,MATCH($E75,总规划!$B$260:$B$335,0)-1,0)/$F75*$G75</f>
        <v>1333.33333333333</v>
      </c>
      <c r="R75" s="36">
        <f ca="1">OFFSET(总规划!N$260,MATCH($E75,总规划!$B$260:$B$335,0)-1,0)/$F75*$G75</f>
        <v>1333.33333333333</v>
      </c>
      <c r="S75" s="36" t="str">
        <f ca="1">OFFSET(总规划!O$260,MATCH($E75,总规划!$B$260:$B$335,0)-1,0)</f>
        <v>1联盟币</v>
      </c>
      <c r="T75" s="36">
        <f ca="1">OFFSET(总规划!P$260,MATCH($E75,总规划!$B$260:$B$335,0)-1,0)/$F75*$G75</f>
        <v>1666.66666666667</v>
      </c>
      <c r="U75" s="36">
        <f ca="1">OFFSET(总规划!Q$260,MATCH($E75,总规划!$B$260:$B$335,0)-1,0)/$F75*$G75</f>
        <v>1666.66666666667</v>
      </c>
      <c r="V75" s="36" t="str">
        <f ca="1">OFFSET(总规划!R$260,MATCH($E75,总规划!$B$260:$B$335,0)-1,0)</f>
        <v>1空战币</v>
      </c>
    </row>
    <row r="76" spans="4:22">
      <c r="D76" s="36" t="s">
        <v>2174</v>
      </c>
      <c r="E76" s="36" t="s">
        <v>468</v>
      </c>
      <c r="F76" s="36">
        <v>1</v>
      </c>
      <c r="G76" s="36">
        <v>1</v>
      </c>
      <c r="H76" s="36">
        <f ca="1">OFFSET(总规划!D$260,MATCH($E76,总规划!$B$260:$B$335,0)-1,0)/$F76*$G76</f>
        <v>3.33333333333333</v>
      </c>
      <c r="I76" s="36">
        <f ca="1">OFFSET(总规划!E$260,MATCH($E76,总规划!$B$260:$B$335,0)-1,0)/$F76*$G76</f>
        <v>4000</v>
      </c>
      <c r="J76" s="36">
        <f ca="1">OFFSET(总规划!F$260,MATCH($E76,总规划!$B$260:$B$335,0)-1,0)/$F76*$G76</f>
        <v>8000</v>
      </c>
      <c r="K76" s="36">
        <f ca="1">OFFSET(总规划!G$260,MATCH($E76,总规划!$B$260:$B$335,0)-1,0)/$F76*$G76</f>
        <v>8</v>
      </c>
      <c r="L76" s="36">
        <f ca="1">OFFSET(总规划!H$260,MATCH($E76,总规划!$B$260:$B$335,0)-1,0)/$F76*$G76</f>
        <v>8</v>
      </c>
      <c r="M76" s="36" t="str">
        <f ca="1">OFFSET(总规划!I$260,MATCH($E76,总规划!$B$260:$B$335,0)-1,0)</f>
        <v>1M资源</v>
      </c>
      <c r="N76" s="36">
        <f ca="1">OFFSET(总规划!J$260,MATCH($E76,总规划!$B$260:$B$335,0)-1,0)/$F76*$G76</f>
        <v>3333.33333333333</v>
      </c>
      <c r="O76" s="36">
        <f ca="1">OFFSET(总规划!K$260,MATCH($E76,总规划!$B$260:$B$335,0)-1,0)/$F76*$G76</f>
        <v>3333.33333333333</v>
      </c>
      <c r="P76" s="36" t="str">
        <f ca="1">OFFSET(总规划!L$260,MATCH($E76,总规划!$B$260:$B$335,0)-1,0)</f>
        <v>1战役币</v>
      </c>
      <c r="Q76" s="36">
        <f ca="1">OFFSET(总规划!M$260,MATCH($E76,总规划!$B$260:$B$335,0)-1,0)/$F76*$G76</f>
        <v>1333.33333333333</v>
      </c>
      <c r="R76" s="36">
        <f ca="1">OFFSET(总规划!N$260,MATCH($E76,总规划!$B$260:$B$335,0)-1,0)/$F76*$G76</f>
        <v>1333.33333333333</v>
      </c>
      <c r="S76" s="36" t="str">
        <f ca="1">OFFSET(总规划!O$260,MATCH($E76,总规划!$B$260:$B$335,0)-1,0)</f>
        <v>1联盟币</v>
      </c>
      <c r="T76" s="36">
        <f ca="1">OFFSET(总规划!P$260,MATCH($E76,总规划!$B$260:$B$335,0)-1,0)/$F76*$G76</f>
        <v>1666.66666666667</v>
      </c>
      <c r="U76" s="36">
        <f ca="1">OFFSET(总规划!Q$260,MATCH($E76,总规划!$B$260:$B$335,0)-1,0)/$F76*$G76</f>
        <v>1666.66666666667</v>
      </c>
      <c r="V76" s="36" t="str">
        <f ca="1">OFFSET(总规划!R$260,MATCH($E76,总规划!$B$260:$B$335,0)-1,0)</f>
        <v>1空战币</v>
      </c>
    </row>
    <row r="77" spans="4:22">
      <c r="D77" s="36" t="s">
        <v>2561</v>
      </c>
      <c r="E77" s="36" t="s">
        <v>468</v>
      </c>
      <c r="F77" s="36">
        <v>1</v>
      </c>
      <c r="G77" s="36">
        <v>1</v>
      </c>
      <c r="H77" s="36">
        <f ca="1">OFFSET(总规划!D$260,MATCH($E77,总规划!$B$260:$B$335,0)-1,0)/$F77*$G77</f>
        <v>3.33333333333333</v>
      </c>
      <c r="I77" s="36">
        <f ca="1">OFFSET(总规划!E$260,MATCH($E77,总规划!$B$260:$B$335,0)-1,0)/$F77*$G77</f>
        <v>4000</v>
      </c>
      <c r="J77" s="36">
        <f ca="1">OFFSET(总规划!F$260,MATCH($E77,总规划!$B$260:$B$335,0)-1,0)/$F77*$G77</f>
        <v>8000</v>
      </c>
      <c r="K77" s="36">
        <f ca="1">OFFSET(总规划!G$260,MATCH($E77,总规划!$B$260:$B$335,0)-1,0)/$F77*$G77</f>
        <v>8</v>
      </c>
      <c r="L77" s="36">
        <f ca="1">OFFSET(总规划!H$260,MATCH($E77,总规划!$B$260:$B$335,0)-1,0)/$F77*$G77</f>
        <v>8</v>
      </c>
      <c r="M77" s="36" t="str">
        <f ca="1">OFFSET(总规划!I$260,MATCH($E77,总规划!$B$260:$B$335,0)-1,0)</f>
        <v>1M资源</v>
      </c>
      <c r="N77" s="36">
        <f ca="1">OFFSET(总规划!J$260,MATCH($E77,总规划!$B$260:$B$335,0)-1,0)/$F77*$G77</f>
        <v>3333.33333333333</v>
      </c>
      <c r="O77" s="36">
        <f ca="1">OFFSET(总规划!K$260,MATCH($E77,总规划!$B$260:$B$335,0)-1,0)/$F77*$G77</f>
        <v>3333.33333333333</v>
      </c>
      <c r="P77" s="36" t="str">
        <f ca="1">OFFSET(总规划!L$260,MATCH($E77,总规划!$B$260:$B$335,0)-1,0)</f>
        <v>1战役币</v>
      </c>
      <c r="Q77" s="36">
        <f ca="1">OFFSET(总规划!M$260,MATCH($E77,总规划!$B$260:$B$335,0)-1,0)/$F77*$G77</f>
        <v>1333.33333333333</v>
      </c>
      <c r="R77" s="36">
        <f ca="1">OFFSET(总规划!N$260,MATCH($E77,总规划!$B$260:$B$335,0)-1,0)/$F77*$G77</f>
        <v>1333.33333333333</v>
      </c>
      <c r="S77" s="36" t="str">
        <f ca="1">OFFSET(总规划!O$260,MATCH($E77,总规划!$B$260:$B$335,0)-1,0)</f>
        <v>1联盟币</v>
      </c>
      <c r="T77" s="36">
        <f ca="1">OFFSET(总规划!P$260,MATCH($E77,总规划!$B$260:$B$335,0)-1,0)/$F77*$G77</f>
        <v>1666.66666666667</v>
      </c>
      <c r="U77" s="36">
        <f ca="1">OFFSET(总规划!Q$260,MATCH($E77,总规划!$B$260:$B$335,0)-1,0)/$F77*$G77</f>
        <v>1666.66666666667</v>
      </c>
      <c r="V77" s="36" t="str">
        <f ca="1">OFFSET(总规划!R$260,MATCH($E77,总规划!$B$260:$B$335,0)-1,0)</f>
        <v>1空战币</v>
      </c>
    </row>
    <row r="78" spans="4:22">
      <c r="D78" s="36" t="s">
        <v>2562</v>
      </c>
      <c r="E78" s="36" t="s">
        <v>468</v>
      </c>
      <c r="F78" s="36">
        <v>1</v>
      </c>
      <c r="G78" s="36">
        <v>1</v>
      </c>
      <c r="H78" s="36">
        <f ca="1">OFFSET(总规划!D$260,MATCH($E78,总规划!$B$260:$B$335,0)-1,0)/$F78*$G78</f>
        <v>3.33333333333333</v>
      </c>
      <c r="I78" s="36">
        <f ca="1">OFFSET(总规划!E$260,MATCH($E78,总规划!$B$260:$B$335,0)-1,0)/$F78*$G78</f>
        <v>4000</v>
      </c>
      <c r="J78" s="36">
        <f ca="1">OFFSET(总规划!F$260,MATCH($E78,总规划!$B$260:$B$335,0)-1,0)/$F78*$G78</f>
        <v>8000</v>
      </c>
      <c r="K78" s="36">
        <f ca="1">OFFSET(总规划!G$260,MATCH($E78,总规划!$B$260:$B$335,0)-1,0)/$F78*$G78</f>
        <v>8</v>
      </c>
      <c r="L78" s="36">
        <f ca="1">OFFSET(总规划!H$260,MATCH($E78,总规划!$B$260:$B$335,0)-1,0)/$F78*$G78</f>
        <v>8</v>
      </c>
      <c r="M78" s="36" t="str">
        <f ca="1">OFFSET(总规划!I$260,MATCH($E78,总规划!$B$260:$B$335,0)-1,0)</f>
        <v>1M资源</v>
      </c>
      <c r="N78" s="36">
        <f ca="1">OFFSET(总规划!J$260,MATCH($E78,总规划!$B$260:$B$335,0)-1,0)/$F78*$G78</f>
        <v>3333.33333333333</v>
      </c>
      <c r="O78" s="36">
        <f ca="1">OFFSET(总规划!K$260,MATCH($E78,总规划!$B$260:$B$335,0)-1,0)/$F78*$G78</f>
        <v>3333.33333333333</v>
      </c>
      <c r="P78" s="36" t="str">
        <f ca="1">OFFSET(总规划!L$260,MATCH($E78,总规划!$B$260:$B$335,0)-1,0)</f>
        <v>1战役币</v>
      </c>
      <c r="Q78" s="36">
        <f ca="1">OFFSET(总规划!M$260,MATCH($E78,总规划!$B$260:$B$335,0)-1,0)/$F78*$G78</f>
        <v>1333.33333333333</v>
      </c>
      <c r="R78" s="36">
        <f ca="1">OFFSET(总规划!N$260,MATCH($E78,总规划!$B$260:$B$335,0)-1,0)/$F78*$G78</f>
        <v>1333.33333333333</v>
      </c>
      <c r="S78" s="36" t="str">
        <f ca="1">OFFSET(总规划!O$260,MATCH($E78,总规划!$B$260:$B$335,0)-1,0)</f>
        <v>1联盟币</v>
      </c>
      <c r="T78" s="36">
        <f ca="1">OFFSET(总规划!P$260,MATCH($E78,总规划!$B$260:$B$335,0)-1,0)/$F78*$G78</f>
        <v>1666.66666666667</v>
      </c>
      <c r="U78" s="36">
        <f ca="1">OFFSET(总规划!Q$260,MATCH($E78,总规划!$B$260:$B$335,0)-1,0)/$F78*$G78</f>
        <v>1666.66666666667</v>
      </c>
      <c r="V78" s="36" t="str">
        <f ca="1">OFFSET(总规划!R$260,MATCH($E78,总规划!$B$260:$B$335,0)-1,0)</f>
        <v>1空战币</v>
      </c>
    </row>
    <row r="79" spans="4:22">
      <c r="D79" s="36" t="s">
        <v>2563</v>
      </c>
      <c r="E79" s="36" t="s">
        <v>468</v>
      </c>
      <c r="F79" s="36">
        <v>1</v>
      </c>
      <c r="G79" s="36">
        <v>1</v>
      </c>
      <c r="H79" s="36">
        <f ca="1">OFFSET(总规划!D$260,MATCH($E79,总规划!$B$260:$B$335,0)-1,0)/$F79*$G79</f>
        <v>3.33333333333333</v>
      </c>
      <c r="I79" s="36">
        <f ca="1">OFFSET(总规划!E$260,MATCH($E79,总规划!$B$260:$B$335,0)-1,0)/$F79*$G79</f>
        <v>4000</v>
      </c>
      <c r="J79" s="36">
        <f ca="1">OFFSET(总规划!F$260,MATCH($E79,总规划!$B$260:$B$335,0)-1,0)/$F79*$G79</f>
        <v>8000</v>
      </c>
      <c r="K79" s="36">
        <f ca="1">OFFSET(总规划!G$260,MATCH($E79,总规划!$B$260:$B$335,0)-1,0)/$F79*$G79</f>
        <v>8</v>
      </c>
      <c r="L79" s="36">
        <f ca="1">OFFSET(总规划!H$260,MATCH($E79,总规划!$B$260:$B$335,0)-1,0)/$F79*$G79</f>
        <v>8</v>
      </c>
      <c r="M79" s="36" t="str">
        <f ca="1">OFFSET(总规划!I$260,MATCH($E79,总规划!$B$260:$B$335,0)-1,0)</f>
        <v>1M资源</v>
      </c>
      <c r="N79" s="36">
        <f ca="1">OFFSET(总规划!J$260,MATCH($E79,总规划!$B$260:$B$335,0)-1,0)/$F79*$G79</f>
        <v>3333.33333333333</v>
      </c>
      <c r="O79" s="36">
        <f ca="1">OFFSET(总规划!K$260,MATCH($E79,总规划!$B$260:$B$335,0)-1,0)/$F79*$G79</f>
        <v>3333.33333333333</v>
      </c>
      <c r="P79" s="36" t="str">
        <f ca="1">OFFSET(总规划!L$260,MATCH($E79,总规划!$B$260:$B$335,0)-1,0)</f>
        <v>1战役币</v>
      </c>
      <c r="Q79" s="36">
        <f ca="1">OFFSET(总规划!M$260,MATCH($E79,总规划!$B$260:$B$335,0)-1,0)/$F79*$G79</f>
        <v>1333.33333333333</v>
      </c>
      <c r="R79" s="36">
        <f ca="1">OFFSET(总规划!N$260,MATCH($E79,总规划!$B$260:$B$335,0)-1,0)/$F79*$G79</f>
        <v>1333.33333333333</v>
      </c>
      <c r="S79" s="36" t="str">
        <f ca="1">OFFSET(总规划!O$260,MATCH($E79,总规划!$B$260:$B$335,0)-1,0)</f>
        <v>1联盟币</v>
      </c>
      <c r="T79" s="36">
        <f ca="1">OFFSET(总规划!P$260,MATCH($E79,总规划!$B$260:$B$335,0)-1,0)/$F79*$G79</f>
        <v>1666.66666666667</v>
      </c>
      <c r="U79" s="36">
        <f ca="1">OFFSET(总规划!Q$260,MATCH($E79,总规划!$B$260:$B$335,0)-1,0)/$F79*$G79</f>
        <v>1666.66666666667</v>
      </c>
      <c r="V79" s="36" t="str">
        <f ca="1">OFFSET(总规划!R$260,MATCH($E79,总规划!$B$260:$B$335,0)-1,0)</f>
        <v>1空战币</v>
      </c>
    </row>
    <row r="80" spans="4:22">
      <c r="D80" s="36" t="s">
        <v>2564</v>
      </c>
      <c r="E80" s="36" t="s">
        <v>468</v>
      </c>
      <c r="F80" s="36">
        <v>1</v>
      </c>
      <c r="G80" s="36">
        <v>1</v>
      </c>
      <c r="H80" s="36">
        <f ca="1">OFFSET(总规划!D$260,MATCH($E80,总规划!$B$260:$B$335,0)-1,0)/$F80*$G80</f>
        <v>3.33333333333333</v>
      </c>
      <c r="I80" s="36">
        <f ca="1">OFFSET(总规划!E$260,MATCH($E80,总规划!$B$260:$B$335,0)-1,0)/$F80*$G80</f>
        <v>4000</v>
      </c>
      <c r="J80" s="36">
        <f ca="1">OFFSET(总规划!F$260,MATCH($E80,总规划!$B$260:$B$335,0)-1,0)/$F80*$G80</f>
        <v>8000</v>
      </c>
      <c r="K80" s="36">
        <f ca="1">OFFSET(总规划!G$260,MATCH($E80,总规划!$B$260:$B$335,0)-1,0)/$F80*$G80</f>
        <v>8</v>
      </c>
      <c r="L80" s="36">
        <f ca="1">OFFSET(总规划!H$260,MATCH($E80,总规划!$B$260:$B$335,0)-1,0)/$F80*$G80</f>
        <v>8</v>
      </c>
      <c r="M80" s="36" t="str">
        <f ca="1">OFFSET(总规划!I$260,MATCH($E80,总规划!$B$260:$B$335,0)-1,0)</f>
        <v>1M资源</v>
      </c>
      <c r="N80" s="36">
        <f ca="1">OFFSET(总规划!J$260,MATCH($E80,总规划!$B$260:$B$335,0)-1,0)/$F80*$G80</f>
        <v>3333.33333333333</v>
      </c>
      <c r="O80" s="36">
        <f ca="1">OFFSET(总规划!K$260,MATCH($E80,总规划!$B$260:$B$335,0)-1,0)/$F80*$G80</f>
        <v>3333.33333333333</v>
      </c>
      <c r="P80" s="36" t="str">
        <f ca="1">OFFSET(总规划!L$260,MATCH($E80,总规划!$B$260:$B$335,0)-1,0)</f>
        <v>1战役币</v>
      </c>
      <c r="Q80" s="36">
        <f ca="1">OFFSET(总规划!M$260,MATCH($E80,总规划!$B$260:$B$335,0)-1,0)/$F80*$G80</f>
        <v>1333.33333333333</v>
      </c>
      <c r="R80" s="36">
        <f ca="1">OFFSET(总规划!N$260,MATCH($E80,总规划!$B$260:$B$335,0)-1,0)/$F80*$G80</f>
        <v>1333.33333333333</v>
      </c>
      <c r="S80" s="36" t="str">
        <f ca="1">OFFSET(总规划!O$260,MATCH($E80,总规划!$B$260:$B$335,0)-1,0)</f>
        <v>1联盟币</v>
      </c>
      <c r="T80" s="36">
        <f ca="1">OFFSET(总规划!P$260,MATCH($E80,总规划!$B$260:$B$335,0)-1,0)/$F80*$G80</f>
        <v>1666.66666666667</v>
      </c>
      <c r="U80" s="36">
        <f ca="1">OFFSET(总规划!Q$260,MATCH($E80,总规划!$B$260:$B$335,0)-1,0)/$F80*$G80</f>
        <v>1666.66666666667</v>
      </c>
      <c r="V80" s="36" t="str">
        <f ca="1">OFFSET(总规划!R$260,MATCH($E80,总规划!$B$260:$B$335,0)-1,0)</f>
        <v>1空战币</v>
      </c>
    </row>
    <row r="81" spans="4:22">
      <c r="D81" s="36" t="s">
        <v>2565</v>
      </c>
      <c r="E81" s="36" t="s">
        <v>468</v>
      </c>
      <c r="F81" s="36">
        <v>1</v>
      </c>
      <c r="G81" s="36">
        <v>1</v>
      </c>
      <c r="H81" s="36">
        <f ca="1">OFFSET(总规划!D$260,MATCH($E81,总规划!$B$260:$B$335,0)-1,0)/$F81*$G81</f>
        <v>3.33333333333333</v>
      </c>
      <c r="I81" s="36">
        <f ca="1">OFFSET(总规划!E$260,MATCH($E81,总规划!$B$260:$B$335,0)-1,0)/$F81*$G81</f>
        <v>4000</v>
      </c>
      <c r="J81" s="36">
        <f ca="1">OFFSET(总规划!F$260,MATCH($E81,总规划!$B$260:$B$335,0)-1,0)/$F81*$G81</f>
        <v>8000</v>
      </c>
      <c r="K81" s="36">
        <f ca="1">OFFSET(总规划!G$260,MATCH($E81,总规划!$B$260:$B$335,0)-1,0)/$F81*$G81</f>
        <v>8</v>
      </c>
      <c r="L81" s="36">
        <f ca="1">OFFSET(总规划!H$260,MATCH($E81,总规划!$B$260:$B$335,0)-1,0)/$F81*$G81</f>
        <v>8</v>
      </c>
      <c r="M81" s="36" t="str">
        <f ca="1">OFFSET(总规划!I$260,MATCH($E81,总规划!$B$260:$B$335,0)-1,0)</f>
        <v>1M资源</v>
      </c>
      <c r="N81" s="36">
        <f ca="1">OFFSET(总规划!J$260,MATCH($E81,总规划!$B$260:$B$335,0)-1,0)/$F81*$G81</f>
        <v>3333.33333333333</v>
      </c>
      <c r="O81" s="36">
        <f ca="1">OFFSET(总规划!K$260,MATCH($E81,总规划!$B$260:$B$335,0)-1,0)/$F81*$G81</f>
        <v>3333.33333333333</v>
      </c>
      <c r="P81" s="36" t="str">
        <f ca="1">OFFSET(总规划!L$260,MATCH($E81,总规划!$B$260:$B$335,0)-1,0)</f>
        <v>1战役币</v>
      </c>
      <c r="Q81" s="36">
        <f ca="1">OFFSET(总规划!M$260,MATCH($E81,总规划!$B$260:$B$335,0)-1,0)/$F81*$G81</f>
        <v>1333.33333333333</v>
      </c>
      <c r="R81" s="36">
        <f ca="1">OFFSET(总规划!N$260,MATCH($E81,总规划!$B$260:$B$335,0)-1,0)/$F81*$G81</f>
        <v>1333.33333333333</v>
      </c>
      <c r="S81" s="36" t="str">
        <f ca="1">OFFSET(总规划!O$260,MATCH($E81,总规划!$B$260:$B$335,0)-1,0)</f>
        <v>1联盟币</v>
      </c>
      <c r="T81" s="36">
        <f ca="1">OFFSET(总规划!P$260,MATCH($E81,总规划!$B$260:$B$335,0)-1,0)/$F81*$G81</f>
        <v>1666.66666666667</v>
      </c>
      <c r="U81" s="36">
        <f ca="1">OFFSET(总规划!Q$260,MATCH($E81,总规划!$B$260:$B$335,0)-1,0)/$F81*$G81</f>
        <v>1666.66666666667</v>
      </c>
      <c r="V81" s="36" t="str">
        <f ca="1">OFFSET(总规划!R$260,MATCH($E81,总规划!$B$260:$B$335,0)-1,0)</f>
        <v>1空战币</v>
      </c>
    </row>
    <row r="82" spans="4:22">
      <c r="D82" s="36" t="s">
        <v>2566</v>
      </c>
      <c r="E82" s="36" t="s">
        <v>468</v>
      </c>
      <c r="F82" s="36">
        <v>1</v>
      </c>
      <c r="G82" s="36">
        <v>1</v>
      </c>
      <c r="H82" s="36">
        <f ca="1">OFFSET(总规划!D$260,MATCH($E82,总规划!$B$260:$B$335,0)-1,0)/$F82*$G82</f>
        <v>3.33333333333333</v>
      </c>
      <c r="I82" s="36">
        <f ca="1">OFFSET(总规划!E$260,MATCH($E82,总规划!$B$260:$B$335,0)-1,0)/$F82*$G82</f>
        <v>4000</v>
      </c>
      <c r="J82" s="36">
        <f ca="1">OFFSET(总规划!F$260,MATCH($E82,总规划!$B$260:$B$335,0)-1,0)/$F82*$G82</f>
        <v>8000</v>
      </c>
      <c r="K82" s="36">
        <f ca="1">OFFSET(总规划!G$260,MATCH($E82,总规划!$B$260:$B$335,0)-1,0)/$F82*$G82</f>
        <v>8</v>
      </c>
      <c r="L82" s="36">
        <f ca="1">OFFSET(总规划!H$260,MATCH($E82,总规划!$B$260:$B$335,0)-1,0)/$F82*$G82</f>
        <v>8</v>
      </c>
      <c r="M82" s="36" t="str">
        <f ca="1">OFFSET(总规划!I$260,MATCH($E82,总规划!$B$260:$B$335,0)-1,0)</f>
        <v>1M资源</v>
      </c>
      <c r="N82" s="36">
        <f ca="1">OFFSET(总规划!J$260,MATCH($E82,总规划!$B$260:$B$335,0)-1,0)/$F82*$G82</f>
        <v>3333.33333333333</v>
      </c>
      <c r="O82" s="36">
        <f ca="1">OFFSET(总规划!K$260,MATCH($E82,总规划!$B$260:$B$335,0)-1,0)/$F82*$G82</f>
        <v>3333.33333333333</v>
      </c>
      <c r="P82" s="36" t="str">
        <f ca="1">OFFSET(总规划!L$260,MATCH($E82,总规划!$B$260:$B$335,0)-1,0)</f>
        <v>1战役币</v>
      </c>
      <c r="Q82" s="36">
        <f ca="1">OFFSET(总规划!M$260,MATCH($E82,总规划!$B$260:$B$335,0)-1,0)/$F82*$G82</f>
        <v>1333.33333333333</v>
      </c>
      <c r="R82" s="36">
        <f ca="1">OFFSET(总规划!N$260,MATCH($E82,总规划!$B$260:$B$335,0)-1,0)/$F82*$G82</f>
        <v>1333.33333333333</v>
      </c>
      <c r="S82" s="36" t="str">
        <f ca="1">OFFSET(总规划!O$260,MATCH($E82,总规划!$B$260:$B$335,0)-1,0)</f>
        <v>1联盟币</v>
      </c>
      <c r="T82" s="36">
        <f ca="1">OFFSET(总规划!P$260,MATCH($E82,总规划!$B$260:$B$335,0)-1,0)/$F82*$G82</f>
        <v>1666.66666666667</v>
      </c>
      <c r="U82" s="36">
        <f ca="1">OFFSET(总规划!Q$260,MATCH($E82,总规划!$B$260:$B$335,0)-1,0)/$F82*$G82</f>
        <v>1666.66666666667</v>
      </c>
      <c r="V82" s="36" t="str">
        <f ca="1">OFFSET(总规划!R$260,MATCH($E82,总规划!$B$260:$B$335,0)-1,0)</f>
        <v>1空战币</v>
      </c>
    </row>
    <row r="83" spans="4:22">
      <c r="D83" s="36" t="s">
        <v>2567</v>
      </c>
      <c r="E83" s="36" t="s">
        <v>468</v>
      </c>
      <c r="F83" s="36">
        <v>1</v>
      </c>
      <c r="G83" s="36">
        <v>1</v>
      </c>
      <c r="H83" s="36">
        <f ca="1">OFFSET(总规划!D$260,MATCH($E83,总规划!$B$260:$B$335,0)-1,0)/$F83*$G83</f>
        <v>3.33333333333333</v>
      </c>
      <c r="I83" s="36">
        <f ca="1">OFFSET(总规划!E$260,MATCH($E83,总规划!$B$260:$B$335,0)-1,0)/$F83*$G83</f>
        <v>4000</v>
      </c>
      <c r="J83" s="36">
        <f ca="1">OFFSET(总规划!F$260,MATCH($E83,总规划!$B$260:$B$335,0)-1,0)/$F83*$G83</f>
        <v>8000</v>
      </c>
      <c r="K83" s="36">
        <f ca="1">OFFSET(总规划!G$260,MATCH($E83,总规划!$B$260:$B$335,0)-1,0)/$F83*$G83</f>
        <v>8</v>
      </c>
      <c r="L83" s="36">
        <f ca="1">OFFSET(总规划!H$260,MATCH($E83,总规划!$B$260:$B$335,0)-1,0)/$F83*$G83</f>
        <v>8</v>
      </c>
      <c r="M83" s="36" t="str">
        <f ca="1">OFFSET(总规划!I$260,MATCH($E83,总规划!$B$260:$B$335,0)-1,0)</f>
        <v>1M资源</v>
      </c>
      <c r="N83" s="36">
        <f ca="1">OFFSET(总规划!J$260,MATCH($E83,总规划!$B$260:$B$335,0)-1,0)/$F83*$G83</f>
        <v>3333.33333333333</v>
      </c>
      <c r="O83" s="36">
        <f ca="1">OFFSET(总规划!K$260,MATCH($E83,总规划!$B$260:$B$335,0)-1,0)/$F83*$G83</f>
        <v>3333.33333333333</v>
      </c>
      <c r="P83" s="36" t="str">
        <f ca="1">OFFSET(总规划!L$260,MATCH($E83,总规划!$B$260:$B$335,0)-1,0)</f>
        <v>1战役币</v>
      </c>
      <c r="Q83" s="36">
        <f ca="1">OFFSET(总规划!M$260,MATCH($E83,总规划!$B$260:$B$335,0)-1,0)/$F83*$G83</f>
        <v>1333.33333333333</v>
      </c>
      <c r="R83" s="36">
        <f ca="1">OFFSET(总规划!N$260,MATCH($E83,总规划!$B$260:$B$335,0)-1,0)/$F83*$G83</f>
        <v>1333.33333333333</v>
      </c>
      <c r="S83" s="36" t="str">
        <f ca="1">OFFSET(总规划!O$260,MATCH($E83,总规划!$B$260:$B$335,0)-1,0)</f>
        <v>1联盟币</v>
      </c>
      <c r="T83" s="36">
        <f ca="1">OFFSET(总规划!P$260,MATCH($E83,总规划!$B$260:$B$335,0)-1,0)/$F83*$G83</f>
        <v>1666.66666666667</v>
      </c>
      <c r="U83" s="36">
        <f ca="1">OFFSET(总规划!Q$260,MATCH($E83,总规划!$B$260:$B$335,0)-1,0)/$F83*$G83</f>
        <v>1666.66666666667</v>
      </c>
      <c r="V83" s="36" t="str">
        <f ca="1">OFFSET(总规划!R$260,MATCH($E83,总规划!$B$260:$B$335,0)-1,0)</f>
        <v>1空战币</v>
      </c>
    </row>
    <row r="84" spans="4:22">
      <c r="D84" s="36" t="s">
        <v>2568</v>
      </c>
      <c r="E84" s="36" t="s">
        <v>468</v>
      </c>
      <c r="F84" s="36">
        <v>1</v>
      </c>
      <c r="G84" s="36">
        <v>1</v>
      </c>
      <c r="H84" s="36">
        <f ca="1">OFFSET(总规划!D$260,MATCH($E84,总规划!$B$260:$B$335,0)-1,0)/$F84*$G84</f>
        <v>3.33333333333333</v>
      </c>
      <c r="I84" s="36">
        <f ca="1">OFFSET(总规划!E$260,MATCH($E84,总规划!$B$260:$B$335,0)-1,0)/$F84*$G84</f>
        <v>4000</v>
      </c>
      <c r="J84" s="36">
        <f ca="1">OFFSET(总规划!F$260,MATCH($E84,总规划!$B$260:$B$335,0)-1,0)/$F84*$G84</f>
        <v>8000</v>
      </c>
      <c r="K84" s="36">
        <f ca="1">OFFSET(总规划!G$260,MATCH($E84,总规划!$B$260:$B$335,0)-1,0)/$F84*$G84</f>
        <v>8</v>
      </c>
      <c r="L84" s="36">
        <f ca="1">OFFSET(总规划!H$260,MATCH($E84,总规划!$B$260:$B$335,0)-1,0)/$F84*$G84</f>
        <v>8</v>
      </c>
      <c r="M84" s="36" t="str">
        <f ca="1">OFFSET(总规划!I$260,MATCH($E84,总规划!$B$260:$B$335,0)-1,0)</f>
        <v>1M资源</v>
      </c>
      <c r="N84" s="36">
        <f ca="1">OFFSET(总规划!J$260,MATCH($E84,总规划!$B$260:$B$335,0)-1,0)/$F84*$G84</f>
        <v>3333.33333333333</v>
      </c>
      <c r="O84" s="36">
        <f ca="1">OFFSET(总规划!K$260,MATCH($E84,总规划!$B$260:$B$335,0)-1,0)/$F84*$G84</f>
        <v>3333.33333333333</v>
      </c>
      <c r="P84" s="36" t="str">
        <f ca="1">OFFSET(总规划!L$260,MATCH($E84,总规划!$B$260:$B$335,0)-1,0)</f>
        <v>1战役币</v>
      </c>
      <c r="Q84" s="36">
        <f ca="1">OFFSET(总规划!M$260,MATCH($E84,总规划!$B$260:$B$335,0)-1,0)/$F84*$G84</f>
        <v>1333.33333333333</v>
      </c>
      <c r="R84" s="36">
        <f ca="1">OFFSET(总规划!N$260,MATCH($E84,总规划!$B$260:$B$335,0)-1,0)/$F84*$G84</f>
        <v>1333.33333333333</v>
      </c>
      <c r="S84" s="36" t="str">
        <f ca="1">OFFSET(总规划!O$260,MATCH($E84,总规划!$B$260:$B$335,0)-1,0)</f>
        <v>1联盟币</v>
      </c>
      <c r="T84" s="36">
        <f ca="1">OFFSET(总规划!P$260,MATCH($E84,总规划!$B$260:$B$335,0)-1,0)/$F84*$G84</f>
        <v>1666.66666666667</v>
      </c>
      <c r="U84" s="36">
        <f ca="1">OFFSET(总规划!Q$260,MATCH($E84,总规划!$B$260:$B$335,0)-1,0)/$F84*$G84</f>
        <v>1666.66666666667</v>
      </c>
      <c r="V84" s="36" t="str">
        <f ca="1">OFFSET(总规划!R$260,MATCH($E84,总规划!$B$260:$B$335,0)-1,0)</f>
        <v>1空战币</v>
      </c>
    </row>
    <row r="85" spans="4:22">
      <c r="D85" s="36" t="s">
        <v>1630</v>
      </c>
      <c r="E85" s="36" t="s">
        <v>468</v>
      </c>
      <c r="F85" s="36">
        <v>1</v>
      </c>
      <c r="G85" s="36">
        <v>1</v>
      </c>
      <c r="H85" s="36">
        <f ca="1">OFFSET(总规划!D$260,MATCH($E85,总规划!$B$260:$B$335,0)-1,0)/$F85*$G85</f>
        <v>3.33333333333333</v>
      </c>
      <c r="I85" s="36">
        <f ca="1">OFFSET(总规划!E$260,MATCH($E85,总规划!$B$260:$B$335,0)-1,0)/$F85*$G85</f>
        <v>4000</v>
      </c>
      <c r="J85" s="36">
        <f ca="1">OFFSET(总规划!F$260,MATCH($E85,总规划!$B$260:$B$335,0)-1,0)/$F85*$G85</f>
        <v>8000</v>
      </c>
      <c r="K85" s="36">
        <f ca="1">OFFSET(总规划!G$260,MATCH($E85,总规划!$B$260:$B$335,0)-1,0)/$F85*$G85</f>
        <v>8</v>
      </c>
      <c r="L85" s="36">
        <f ca="1">OFFSET(总规划!H$260,MATCH($E85,总规划!$B$260:$B$335,0)-1,0)/$F85*$G85</f>
        <v>8</v>
      </c>
      <c r="M85" s="36" t="str">
        <f ca="1">OFFSET(总规划!I$260,MATCH($E85,总规划!$B$260:$B$335,0)-1,0)</f>
        <v>1M资源</v>
      </c>
      <c r="N85" s="36">
        <f ca="1">OFFSET(总规划!J$260,MATCH($E85,总规划!$B$260:$B$335,0)-1,0)/$F85*$G85</f>
        <v>3333.33333333333</v>
      </c>
      <c r="O85" s="36">
        <f ca="1">OFFSET(总规划!K$260,MATCH($E85,总规划!$B$260:$B$335,0)-1,0)/$F85*$G85</f>
        <v>3333.33333333333</v>
      </c>
      <c r="P85" s="36" t="str">
        <f ca="1">OFFSET(总规划!L$260,MATCH($E85,总规划!$B$260:$B$335,0)-1,0)</f>
        <v>1战役币</v>
      </c>
      <c r="Q85" s="36">
        <f ca="1">OFFSET(总规划!M$260,MATCH($E85,总规划!$B$260:$B$335,0)-1,0)/$F85*$G85</f>
        <v>1333.33333333333</v>
      </c>
      <c r="R85" s="36">
        <f ca="1">OFFSET(总规划!N$260,MATCH($E85,总规划!$B$260:$B$335,0)-1,0)/$F85*$G85</f>
        <v>1333.33333333333</v>
      </c>
      <c r="S85" s="36" t="str">
        <f ca="1">OFFSET(总规划!O$260,MATCH($E85,总规划!$B$260:$B$335,0)-1,0)</f>
        <v>1联盟币</v>
      </c>
      <c r="T85" s="36">
        <f ca="1">OFFSET(总规划!P$260,MATCH($E85,总规划!$B$260:$B$335,0)-1,0)/$F85*$G85</f>
        <v>1666.66666666667</v>
      </c>
      <c r="U85" s="36">
        <f ca="1">OFFSET(总规划!Q$260,MATCH($E85,总规划!$B$260:$B$335,0)-1,0)/$F85*$G85</f>
        <v>1666.66666666667</v>
      </c>
      <c r="V85" s="36" t="str">
        <f ca="1">OFFSET(总规划!R$260,MATCH($E85,总规划!$B$260:$B$335,0)-1,0)</f>
        <v>1空战币</v>
      </c>
    </row>
    <row r="86" spans="4:22">
      <c r="D86" s="36" t="s">
        <v>2569</v>
      </c>
      <c r="E86" s="36" t="s">
        <v>476</v>
      </c>
      <c r="F86" s="36">
        <v>1000000</v>
      </c>
      <c r="G86" s="36">
        <v>50000</v>
      </c>
      <c r="H86" s="36">
        <f ca="1">OFFSET(总规划!D$260,MATCH($E86,总规划!$B$260:$B$335,0)-1,0)/$F86*$G86</f>
        <v>0.0208333333333334</v>
      </c>
      <c r="I86" s="36">
        <f ca="1">OFFSET(总规划!E$260,MATCH($E86,总规划!$B$260:$B$335,0)-1,0)/$F86*$G86</f>
        <v>25</v>
      </c>
      <c r="J86" s="36">
        <f ca="1">OFFSET(总规划!F$260,MATCH($E86,总规划!$B$260:$B$335,0)-1,0)/$F86*$G86</f>
        <v>50</v>
      </c>
      <c r="K86" s="36">
        <f ca="1">OFFSET(总规划!G$260,MATCH($E86,总规划!$B$260:$B$335,0)-1,0)/$F86*$G86</f>
        <v>0.05</v>
      </c>
      <c r="L86" s="36">
        <f ca="1">OFFSET(总规划!H$260,MATCH($E86,总规划!$B$260:$B$335,0)-1,0)/$F86*$G86</f>
        <v>0.05</v>
      </c>
      <c r="M86" s="36" t="str">
        <f ca="1">OFFSET(总规划!I$260,MATCH($E86,总规划!$B$260:$B$335,0)-1,0)</f>
        <v>1M资源</v>
      </c>
      <c r="N86" s="36">
        <f ca="1">OFFSET(总规划!J$260,MATCH($E86,总规划!$B$260:$B$335,0)-1,0)/$F86*$G86</f>
        <v>20.8333333333333</v>
      </c>
      <c r="O86" s="36">
        <f ca="1">OFFSET(总规划!K$260,MATCH($E86,总规划!$B$260:$B$335,0)-1,0)/$F86*$G86</f>
        <v>20.8333333333333</v>
      </c>
      <c r="P86" s="36" t="str">
        <f ca="1">OFFSET(总规划!L$260,MATCH($E86,总规划!$B$260:$B$335,0)-1,0)</f>
        <v>1战役币</v>
      </c>
      <c r="Q86" s="36">
        <f ca="1">OFFSET(总规划!M$260,MATCH($E86,总规划!$B$260:$B$335,0)-1,0)/$F86*$G86</f>
        <v>8.33333333333335</v>
      </c>
      <c r="R86" s="36">
        <f ca="1">OFFSET(总规划!N$260,MATCH($E86,总规划!$B$260:$B$335,0)-1,0)/$F86*$G86</f>
        <v>8.33333333333335</v>
      </c>
      <c r="S86" s="36" t="str">
        <f ca="1">OFFSET(总规划!O$260,MATCH($E86,总规划!$B$260:$B$335,0)-1,0)</f>
        <v>1联盟币</v>
      </c>
      <c r="T86" s="36">
        <f ca="1">OFFSET(总规划!P$260,MATCH($E86,总规划!$B$260:$B$335,0)-1,0)/$F86*$G86</f>
        <v>10.4166666666667</v>
      </c>
      <c r="U86" s="36">
        <f ca="1">OFFSET(总规划!Q$260,MATCH($E86,总规划!$B$260:$B$335,0)-1,0)/$F86*$G86</f>
        <v>10.4166666666667</v>
      </c>
      <c r="V86" s="36" t="str">
        <f ca="1">OFFSET(总规划!R$260,MATCH($E86,总规划!$B$260:$B$335,0)-1,0)</f>
        <v>1空战币</v>
      </c>
    </row>
    <row r="87" spans="4:22">
      <c r="D87" s="36" t="s">
        <v>2570</v>
      </c>
      <c r="E87" s="36" t="s">
        <v>476</v>
      </c>
      <c r="F87" s="36">
        <v>1000000</v>
      </c>
      <c r="G87" s="36">
        <v>150000</v>
      </c>
      <c r="H87" s="36">
        <f ca="1">OFFSET(总规划!D$260,MATCH($E87,总规划!$B$260:$B$335,0)-1,0)/$F87*$G87</f>
        <v>0.0625000000000001</v>
      </c>
      <c r="I87" s="36">
        <f ca="1">OFFSET(总规划!E$260,MATCH($E87,总规划!$B$260:$B$335,0)-1,0)/$F87*$G87</f>
        <v>75</v>
      </c>
      <c r="J87" s="36">
        <f ca="1">OFFSET(总规划!F$260,MATCH($E87,总规划!$B$260:$B$335,0)-1,0)/$F87*$G87</f>
        <v>150</v>
      </c>
      <c r="K87" s="36">
        <f ca="1">OFFSET(总规划!G$260,MATCH($E87,总规划!$B$260:$B$335,0)-1,0)/$F87*$G87</f>
        <v>0.15</v>
      </c>
      <c r="L87" s="36">
        <f ca="1">OFFSET(总规划!H$260,MATCH($E87,总规划!$B$260:$B$335,0)-1,0)/$F87*$G87</f>
        <v>0.15</v>
      </c>
      <c r="M87" s="36" t="str">
        <f ca="1">OFFSET(总规划!I$260,MATCH($E87,总规划!$B$260:$B$335,0)-1,0)</f>
        <v>1M资源</v>
      </c>
      <c r="N87" s="36">
        <f ca="1">OFFSET(总规划!J$260,MATCH($E87,总规划!$B$260:$B$335,0)-1,0)/$F87*$G87</f>
        <v>62.5</v>
      </c>
      <c r="O87" s="36">
        <f ca="1">OFFSET(总规划!K$260,MATCH($E87,总规划!$B$260:$B$335,0)-1,0)/$F87*$G87</f>
        <v>62.5</v>
      </c>
      <c r="P87" s="36" t="str">
        <f ca="1">OFFSET(总规划!L$260,MATCH($E87,总规划!$B$260:$B$335,0)-1,0)</f>
        <v>1战役币</v>
      </c>
      <c r="Q87" s="36">
        <f ca="1">OFFSET(总规划!M$260,MATCH($E87,总规划!$B$260:$B$335,0)-1,0)/$F87*$G87</f>
        <v>25</v>
      </c>
      <c r="R87" s="36">
        <f ca="1">OFFSET(总规划!N$260,MATCH($E87,总规划!$B$260:$B$335,0)-1,0)/$F87*$G87</f>
        <v>25</v>
      </c>
      <c r="S87" s="36" t="str">
        <f ca="1">OFFSET(总规划!O$260,MATCH($E87,总规划!$B$260:$B$335,0)-1,0)</f>
        <v>1联盟币</v>
      </c>
      <c r="T87" s="36">
        <f ca="1">OFFSET(总规划!P$260,MATCH($E87,总规划!$B$260:$B$335,0)-1,0)/$F87*$G87</f>
        <v>31.25</v>
      </c>
      <c r="U87" s="36">
        <f ca="1">OFFSET(总规划!Q$260,MATCH($E87,总规划!$B$260:$B$335,0)-1,0)/$F87*$G87</f>
        <v>31.25</v>
      </c>
      <c r="V87" s="36" t="str">
        <f ca="1">OFFSET(总规划!R$260,MATCH($E87,总规划!$B$260:$B$335,0)-1,0)</f>
        <v>1空战币</v>
      </c>
    </row>
    <row r="88" spans="4:22">
      <c r="D88" s="36" t="s">
        <v>2170</v>
      </c>
      <c r="E88" s="36" t="s">
        <v>476</v>
      </c>
      <c r="F88" s="36">
        <v>1000000</v>
      </c>
      <c r="G88" s="36">
        <v>500000</v>
      </c>
      <c r="H88" s="36">
        <f ca="1">OFFSET(总规划!D$260,MATCH($E88,总规划!$B$260:$B$335,0)-1,0)/$F88*$G88</f>
        <v>0.208333333333334</v>
      </c>
      <c r="I88" s="36">
        <f ca="1">OFFSET(总规划!E$260,MATCH($E88,总规划!$B$260:$B$335,0)-1,0)/$F88*$G88</f>
        <v>250</v>
      </c>
      <c r="J88" s="36">
        <f ca="1">OFFSET(总规划!F$260,MATCH($E88,总规划!$B$260:$B$335,0)-1,0)/$F88*$G88</f>
        <v>500</v>
      </c>
      <c r="K88" s="36">
        <f ca="1">OFFSET(总规划!G$260,MATCH($E88,总规划!$B$260:$B$335,0)-1,0)/$F88*$G88</f>
        <v>0.5</v>
      </c>
      <c r="L88" s="36">
        <f ca="1">OFFSET(总规划!H$260,MATCH($E88,总规划!$B$260:$B$335,0)-1,0)/$F88*$G88</f>
        <v>0.5</v>
      </c>
      <c r="M88" s="36" t="str">
        <f ca="1">OFFSET(总规划!I$260,MATCH($E88,总规划!$B$260:$B$335,0)-1,0)</f>
        <v>1M资源</v>
      </c>
      <c r="N88" s="36">
        <f ca="1">OFFSET(总规划!J$260,MATCH($E88,总规划!$B$260:$B$335,0)-1,0)/$F88*$G88</f>
        <v>208.333333333334</v>
      </c>
      <c r="O88" s="36">
        <f ca="1">OFFSET(总规划!K$260,MATCH($E88,总规划!$B$260:$B$335,0)-1,0)/$F88*$G88</f>
        <v>208.333333333334</v>
      </c>
      <c r="P88" s="36" t="str">
        <f ca="1">OFFSET(总规划!L$260,MATCH($E88,总规划!$B$260:$B$335,0)-1,0)</f>
        <v>1战役币</v>
      </c>
      <c r="Q88" s="36">
        <f ca="1">OFFSET(总规划!M$260,MATCH($E88,总规划!$B$260:$B$335,0)-1,0)/$F88*$G88</f>
        <v>83.3333333333335</v>
      </c>
      <c r="R88" s="36">
        <f ca="1">OFFSET(总规划!N$260,MATCH($E88,总规划!$B$260:$B$335,0)-1,0)/$F88*$G88</f>
        <v>83.3333333333335</v>
      </c>
      <c r="S88" s="36" t="str">
        <f ca="1">OFFSET(总规划!O$260,MATCH($E88,总规划!$B$260:$B$335,0)-1,0)</f>
        <v>1联盟币</v>
      </c>
      <c r="T88" s="36">
        <f ca="1">OFFSET(总规划!P$260,MATCH($E88,总规划!$B$260:$B$335,0)-1,0)/$F88*$G88</f>
        <v>104.166666666667</v>
      </c>
      <c r="U88" s="36">
        <f ca="1">OFFSET(总规划!Q$260,MATCH($E88,总规划!$B$260:$B$335,0)-1,0)/$F88*$G88</f>
        <v>104.166666666667</v>
      </c>
      <c r="V88" s="36" t="str">
        <f ca="1">OFFSET(总规划!R$260,MATCH($E88,总规划!$B$260:$B$335,0)-1,0)</f>
        <v>1空战币</v>
      </c>
    </row>
    <row r="89" spans="4:22">
      <c r="D89" s="36" t="s">
        <v>2093</v>
      </c>
      <c r="E89" s="36" t="s">
        <v>611</v>
      </c>
      <c r="F89" s="36">
        <v>1</v>
      </c>
      <c r="G89" s="36">
        <v>1</v>
      </c>
      <c r="H89" s="36">
        <f ca="1">OFFSET(总规划!D$260,MATCH($E89,总规划!$B$260:$B$335,0)-1,0)/$F89*$G89</f>
        <v>0.5</v>
      </c>
      <c r="I89" s="36">
        <f ca="1">OFFSET(总规划!E$260,MATCH($E89,总规划!$B$260:$B$335,0)-1,0)/$F89*$G89</f>
        <v>600</v>
      </c>
      <c r="J89" s="36">
        <f ca="1">OFFSET(总规划!F$260,MATCH($E89,总规划!$B$260:$B$335,0)-1,0)/$F89*$G89</f>
        <v>1200</v>
      </c>
      <c r="K89" s="36">
        <f ca="1">OFFSET(总规划!G$260,MATCH($E89,总规划!$B$260:$B$335,0)-1,0)/$F89*$G89</f>
        <v>1.2</v>
      </c>
      <c r="L89" s="36">
        <f ca="1">OFFSET(总规划!H$260,MATCH($E89,总规划!$B$260:$B$335,0)-1,0)/$F89*$G89</f>
        <v>1.2</v>
      </c>
      <c r="M89" s="36" t="str">
        <f ca="1">OFFSET(总规划!I$260,MATCH($E89,总规划!$B$260:$B$335,0)-1,0)</f>
        <v>1M资源</v>
      </c>
      <c r="N89" s="36">
        <f ca="1">OFFSET(总规划!J$260,MATCH($E89,总规划!$B$260:$B$335,0)-1,0)/$F89*$G89</f>
        <v>500</v>
      </c>
      <c r="O89" s="36">
        <f ca="1">OFFSET(总规划!K$260,MATCH($E89,总规划!$B$260:$B$335,0)-1,0)/$F89*$G89</f>
        <v>500</v>
      </c>
      <c r="P89" s="36" t="str">
        <f ca="1">OFFSET(总规划!L$260,MATCH($E89,总规划!$B$260:$B$335,0)-1,0)</f>
        <v>1战役币</v>
      </c>
      <c r="Q89" s="36">
        <f ca="1">OFFSET(总规划!M$260,MATCH($E89,总规划!$B$260:$B$335,0)-1,0)/$F89*$G89</f>
        <v>200</v>
      </c>
      <c r="R89" s="36">
        <f ca="1">OFFSET(总规划!N$260,MATCH($E89,总规划!$B$260:$B$335,0)-1,0)/$F89*$G89</f>
        <v>200</v>
      </c>
      <c r="S89" s="36" t="str">
        <f ca="1">OFFSET(总规划!O$260,MATCH($E89,总规划!$B$260:$B$335,0)-1,0)</f>
        <v>1联盟币</v>
      </c>
      <c r="T89" s="36">
        <f ca="1">OFFSET(总规划!P$260,MATCH($E89,总规划!$B$260:$B$335,0)-1,0)/$F89*$G89</f>
        <v>250</v>
      </c>
      <c r="U89" s="36">
        <f ca="1">OFFSET(总规划!Q$260,MATCH($E89,总规划!$B$260:$B$335,0)-1,0)/$F89*$G89</f>
        <v>250</v>
      </c>
      <c r="V89" s="36" t="str">
        <f ca="1">OFFSET(总规划!R$260,MATCH($E89,总规划!$B$260:$B$335,0)-1,0)</f>
        <v>1空战币</v>
      </c>
    </row>
    <row r="90" spans="4:22">
      <c r="D90" s="36" t="s">
        <v>2181</v>
      </c>
      <c r="E90" s="36" t="s">
        <v>612</v>
      </c>
      <c r="F90" s="36">
        <v>1</v>
      </c>
      <c r="G90" s="36">
        <v>1</v>
      </c>
      <c r="H90" s="36">
        <f ca="1">OFFSET(总规划!D$260,MATCH($E90,总规划!$B$260:$B$335,0)-1,0)/$F90*$G90</f>
        <v>1.5</v>
      </c>
      <c r="I90" s="36">
        <f ca="1">OFFSET(总规划!E$260,MATCH($E90,总规划!$B$260:$B$335,0)-1,0)/$F90*$G90</f>
        <v>1800</v>
      </c>
      <c r="J90" s="36">
        <f ca="1">OFFSET(总规划!F$260,MATCH($E90,总规划!$B$260:$B$335,0)-1,0)/$F90*$G90</f>
        <v>3600</v>
      </c>
      <c r="K90" s="36">
        <f ca="1">OFFSET(总规划!G$260,MATCH($E90,总规划!$B$260:$B$335,0)-1,0)/$F90*$G90</f>
        <v>3.6</v>
      </c>
      <c r="L90" s="36">
        <f ca="1">OFFSET(总规划!H$260,MATCH($E90,总规划!$B$260:$B$335,0)-1,0)/$F90*$G90</f>
        <v>3.6</v>
      </c>
      <c r="M90" s="36" t="str">
        <f ca="1">OFFSET(总规划!I$260,MATCH($E90,总规划!$B$260:$B$335,0)-1,0)</f>
        <v>1M资源</v>
      </c>
      <c r="N90" s="36">
        <f ca="1">OFFSET(总规划!J$260,MATCH($E90,总规划!$B$260:$B$335,0)-1,0)/$F90*$G90</f>
        <v>1500</v>
      </c>
      <c r="O90" s="36">
        <f ca="1">OFFSET(总规划!K$260,MATCH($E90,总规划!$B$260:$B$335,0)-1,0)/$F90*$G90</f>
        <v>1500</v>
      </c>
      <c r="P90" s="36" t="str">
        <f ca="1">OFFSET(总规划!L$260,MATCH($E90,总规划!$B$260:$B$335,0)-1,0)</f>
        <v>1战役币</v>
      </c>
      <c r="Q90" s="36">
        <f ca="1">OFFSET(总规划!M$260,MATCH($E90,总规划!$B$260:$B$335,0)-1,0)/$F90*$G90</f>
        <v>600</v>
      </c>
      <c r="R90" s="36">
        <f ca="1">OFFSET(总规划!N$260,MATCH($E90,总规划!$B$260:$B$335,0)-1,0)/$F90*$G90</f>
        <v>600</v>
      </c>
      <c r="S90" s="36" t="str">
        <f ca="1">OFFSET(总规划!O$260,MATCH($E90,总规划!$B$260:$B$335,0)-1,0)</f>
        <v>1联盟币</v>
      </c>
      <c r="T90" s="36">
        <f ca="1">OFFSET(总规划!P$260,MATCH($E90,总规划!$B$260:$B$335,0)-1,0)/$F90*$G90</f>
        <v>750</v>
      </c>
      <c r="U90" s="36">
        <f ca="1">OFFSET(总规划!Q$260,MATCH($E90,总规划!$B$260:$B$335,0)-1,0)/$F90*$G90</f>
        <v>750</v>
      </c>
      <c r="V90" s="36" t="str">
        <f ca="1">OFFSET(总规划!R$260,MATCH($E90,总规划!$B$260:$B$335,0)-1,0)</f>
        <v>1空战币</v>
      </c>
    </row>
    <row r="91" spans="4:22">
      <c r="D91" s="36" t="s">
        <v>1563</v>
      </c>
      <c r="E91" s="36" t="s">
        <v>621</v>
      </c>
      <c r="F91" s="36">
        <v>1</v>
      </c>
      <c r="G91" s="36">
        <v>1</v>
      </c>
      <c r="H91" s="36">
        <f ca="1">OFFSET(总规划!D$260,MATCH($E91,总规划!$B$260:$B$335,0)-1,0)/$F91*$G91</f>
        <v>0.9125</v>
      </c>
      <c r="I91" s="36">
        <f ca="1">OFFSET(总规划!E$260,MATCH($E91,总规划!$B$260:$B$335,0)-1,0)/$F91*$G91</f>
        <v>1095</v>
      </c>
      <c r="J91" s="36">
        <f ca="1">OFFSET(总规划!F$260,MATCH($E91,总规划!$B$260:$B$335,0)-1,0)/$F91*$G91</f>
        <v>2190</v>
      </c>
      <c r="K91" s="36">
        <f ca="1">OFFSET(总规划!G$260,MATCH($E91,总规划!$B$260:$B$335,0)-1,0)/$F91*$G91</f>
        <v>2.19</v>
      </c>
      <c r="L91" s="36">
        <f ca="1">OFFSET(总规划!H$260,MATCH($E91,总规划!$B$260:$B$335,0)-1,0)/$F91*$G91</f>
        <v>2.19</v>
      </c>
      <c r="M91" s="36" t="str">
        <f ca="1">OFFSET(总规划!I$260,MATCH($E91,总规划!$B$260:$B$335,0)-1,0)</f>
        <v>1M资源</v>
      </c>
      <c r="N91" s="36">
        <f ca="1">OFFSET(总规划!J$260,MATCH($E91,总规划!$B$260:$B$335,0)-1,0)/$F91*$G91</f>
        <v>912.5</v>
      </c>
      <c r="O91" s="36">
        <f ca="1">OFFSET(总规划!K$260,MATCH($E91,总规划!$B$260:$B$335,0)-1,0)/$F91*$G91</f>
        <v>912.5</v>
      </c>
      <c r="P91" s="36" t="str">
        <f ca="1">OFFSET(总规划!L$260,MATCH($E91,总规划!$B$260:$B$335,0)-1,0)</f>
        <v>1战役币</v>
      </c>
      <c r="Q91" s="36">
        <f ca="1">OFFSET(总规划!M$260,MATCH($E91,总规划!$B$260:$B$335,0)-1,0)/$F91*$G91</f>
        <v>365</v>
      </c>
      <c r="R91" s="36">
        <f ca="1">OFFSET(总规划!N$260,MATCH($E91,总规划!$B$260:$B$335,0)-1,0)/$F91*$G91</f>
        <v>365</v>
      </c>
      <c r="S91" s="36" t="str">
        <f ca="1">OFFSET(总规划!O$260,MATCH($E91,总规划!$B$260:$B$335,0)-1,0)</f>
        <v>1联盟币</v>
      </c>
      <c r="T91" s="36">
        <f ca="1">OFFSET(总规划!P$260,MATCH($E91,总规划!$B$260:$B$335,0)-1,0)/$F91*$G91</f>
        <v>456.25</v>
      </c>
      <c r="U91" s="36">
        <f ca="1">OFFSET(总规划!Q$260,MATCH($E91,总规划!$B$260:$B$335,0)-1,0)/$F91*$G91</f>
        <v>456.25</v>
      </c>
      <c r="V91" s="36" t="str">
        <f ca="1">OFFSET(总规划!R$260,MATCH($E91,总规划!$B$260:$B$335,0)-1,0)</f>
        <v>1空战币</v>
      </c>
    </row>
    <row r="92" spans="4:22">
      <c r="D92" s="36" t="s">
        <v>1565</v>
      </c>
      <c r="E92" s="36" t="s">
        <v>622</v>
      </c>
      <c r="F92" s="36">
        <v>1</v>
      </c>
      <c r="G92" s="36">
        <v>1</v>
      </c>
      <c r="H92" s="36">
        <f ca="1">OFFSET(总规划!D$260,MATCH($E92,总规划!$B$260:$B$335,0)-1,0)/$F92*$G92</f>
        <v>0.9125</v>
      </c>
      <c r="I92" s="36">
        <f ca="1">OFFSET(总规划!E$260,MATCH($E92,总规划!$B$260:$B$335,0)-1,0)/$F92*$G92</f>
        <v>1095</v>
      </c>
      <c r="J92" s="36">
        <f ca="1">OFFSET(总规划!F$260,MATCH($E92,总规划!$B$260:$B$335,0)-1,0)/$F92*$G92</f>
        <v>2190</v>
      </c>
      <c r="K92" s="36">
        <f ca="1">OFFSET(总规划!G$260,MATCH($E92,总规划!$B$260:$B$335,0)-1,0)/$F92*$G92</f>
        <v>2.19</v>
      </c>
      <c r="L92" s="36">
        <f ca="1">OFFSET(总规划!H$260,MATCH($E92,总规划!$B$260:$B$335,0)-1,0)/$F92*$G92</f>
        <v>2.19</v>
      </c>
      <c r="M92" s="36" t="str">
        <f ca="1">OFFSET(总规划!I$260,MATCH($E92,总规划!$B$260:$B$335,0)-1,0)</f>
        <v>1M资源</v>
      </c>
      <c r="N92" s="36">
        <f ca="1">OFFSET(总规划!J$260,MATCH($E92,总规划!$B$260:$B$335,0)-1,0)/$F92*$G92</f>
        <v>912.5</v>
      </c>
      <c r="O92" s="36">
        <f ca="1">OFFSET(总规划!K$260,MATCH($E92,总规划!$B$260:$B$335,0)-1,0)/$F92*$G92</f>
        <v>912.5</v>
      </c>
      <c r="P92" s="36" t="str">
        <f ca="1">OFFSET(总规划!L$260,MATCH($E92,总规划!$B$260:$B$335,0)-1,0)</f>
        <v>1战役币</v>
      </c>
      <c r="Q92" s="36">
        <f ca="1">OFFSET(总规划!M$260,MATCH($E92,总规划!$B$260:$B$335,0)-1,0)/$F92*$G92</f>
        <v>365</v>
      </c>
      <c r="R92" s="36">
        <f ca="1">OFFSET(总规划!N$260,MATCH($E92,总规划!$B$260:$B$335,0)-1,0)/$F92*$G92</f>
        <v>365</v>
      </c>
      <c r="S92" s="36" t="str">
        <f ca="1">OFFSET(总规划!O$260,MATCH($E92,总规划!$B$260:$B$335,0)-1,0)</f>
        <v>1联盟币</v>
      </c>
      <c r="T92" s="36">
        <f ca="1">OFFSET(总规划!P$260,MATCH($E92,总规划!$B$260:$B$335,0)-1,0)/$F92*$G92</f>
        <v>456.25</v>
      </c>
      <c r="U92" s="36">
        <f ca="1">OFFSET(总规划!Q$260,MATCH($E92,总规划!$B$260:$B$335,0)-1,0)/$F92*$G92</f>
        <v>456.25</v>
      </c>
      <c r="V92" s="36" t="str">
        <f ca="1">OFFSET(总规划!R$260,MATCH($E92,总规划!$B$260:$B$335,0)-1,0)</f>
        <v>1空战币</v>
      </c>
    </row>
    <row r="93" spans="4:22">
      <c r="D93" s="36" t="s">
        <v>1569</v>
      </c>
      <c r="E93" s="36" t="s">
        <v>624</v>
      </c>
      <c r="F93" s="36">
        <v>1</v>
      </c>
      <c r="G93" s="36">
        <v>1</v>
      </c>
      <c r="H93" s="36">
        <f ca="1">OFFSET(总规划!D$260,MATCH($E93,总规划!$B$260:$B$335,0)-1,0)/$F93*$G93</f>
        <v>0.9125</v>
      </c>
      <c r="I93" s="36">
        <f ca="1">OFFSET(总规划!E$260,MATCH($E93,总规划!$B$260:$B$335,0)-1,0)/$F93*$G93</f>
        <v>1095</v>
      </c>
      <c r="J93" s="36">
        <f ca="1">OFFSET(总规划!F$260,MATCH($E93,总规划!$B$260:$B$335,0)-1,0)/$F93*$G93</f>
        <v>2190</v>
      </c>
      <c r="K93" s="36">
        <f ca="1">OFFSET(总规划!G$260,MATCH($E93,总规划!$B$260:$B$335,0)-1,0)/$F93*$G93</f>
        <v>2.19</v>
      </c>
      <c r="L93" s="36">
        <f ca="1">OFFSET(总规划!H$260,MATCH($E93,总规划!$B$260:$B$335,0)-1,0)/$F93*$G93</f>
        <v>2.19</v>
      </c>
      <c r="M93" s="36" t="str">
        <f ca="1">OFFSET(总规划!I$260,MATCH($E93,总规划!$B$260:$B$335,0)-1,0)</f>
        <v>1M资源</v>
      </c>
      <c r="N93" s="36">
        <f ca="1">OFFSET(总规划!J$260,MATCH($E93,总规划!$B$260:$B$335,0)-1,0)/$F93*$G93</f>
        <v>912.5</v>
      </c>
      <c r="O93" s="36">
        <f ca="1">OFFSET(总规划!K$260,MATCH($E93,总规划!$B$260:$B$335,0)-1,0)/$F93*$G93</f>
        <v>912.5</v>
      </c>
      <c r="P93" s="36" t="str">
        <f ca="1">OFFSET(总规划!L$260,MATCH($E93,总规划!$B$260:$B$335,0)-1,0)</f>
        <v>1战役币</v>
      </c>
      <c r="Q93" s="36">
        <f ca="1">OFFSET(总规划!M$260,MATCH($E93,总规划!$B$260:$B$335,0)-1,0)/$F93*$G93</f>
        <v>365</v>
      </c>
      <c r="R93" s="36">
        <f ca="1">OFFSET(总规划!N$260,MATCH($E93,总规划!$B$260:$B$335,0)-1,0)/$F93*$G93</f>
        <v>365</v>
      </c>
      <c r="S93" s="36" t="str">
        <f ca="1">OFFSET(总规划!O$260,MATCH($E93,总规划!$B$260:$B$335,0)-1,0)</f>
        <v>1联盟币</v>
      </c>
      <c r="T93" s="36">
        <f ca="1">OFFSET(总规划!P$260,MATCH($E93,总规划!$B$260:$B$335,0)-1,0)/$F93*$G93</f>
        <v>456.25</v>
      </c>
      <c r="U93" s="36">
        <f ca="1">OFFSET(总规划!Q$260,MATCH($E93,总规划!$B$260:$B$335,0)-1,0)/$F93*$G93</f>
        <v>456.25</v>
      </c>
      <c r="V93" s="36" t="str">
        <f ca="1">OFFSET(总规划!R$260,MATCH($E93,总规划!$B$260:$B$335,0)-1,0)</f>
        <v>1空战币</v>
      </c>
    </row>
    <row r="94" spans="4:22">
      <c r="D94" s="36" t="s">
        <v>1578</v>
      </c>
      <c r="E94" s="36" t="s">
        <v>627</v>
      </c>
      <c r="F94" s="36">
        <v>1</v>
      </c>
      <c r="G94" s="36">
        <v>1</v>
      </c>
      <c r="H94" s="36">
        <f ca="1">OFFSET(总规划!D$260,MATCH($E94,总规划!$B$260:$B$335,0)-1,0)/$F94*$G94</f>
        <v>1.825</v>
      </c>
      <c r="I94" s="36">
        <f ca="1">OFFSET(总规划!E$260,MATCH($E94,总规划!$B$260:$B$335,0)-1,0)/$F94*$G94</f>
        <v>2190</v>
      </c>
      <c r="J94" s="36">
        <f ca="1">OFFSET(总规划!F$260,MATCH($E94,总规划!$B$260:$B$335,0)-1,0)/$F94*$G94</f>
        <v>4380</v>
      </c>
      <c r="K94" s="36">
        <f ca="1">OFFSET(总规划!G$260,MATCH($E94,总规划!$B$260:$B$335,0)-1,0)/$F94*$G94</f>
        <v>4.38</v>
      </c>
      <c r="L94" s="36">
        <f ca="1">OFFSET(总规划!H$260,MATCH($E94,总规划!$B$260:$B$335,0)-1,0)/$F94*$G94</f>
        <v>4.38</v>
      </c>
      <c r="M94" s="36" t="str">
        <f ca="1">OFFSET(总规划!I$260,MATCH($E94,总规划!$B$260:$B$335,0)-1,0)</f>
        <v>1M资源</v>
      </c>
      <c r="N94" s="36">
        <f ca="1">OFFSET(总规划!J$260,MATCH($E94,总规划!$B$260:$B$335,0)-1,0)/$F94*$G94</f>
        <v>1825</v>
      </c>
      <c r="O94" s="36">
        <f ca="1">OFFSET(总规划!K$260,MATCH($E94,总规划!$B$260:$B$335,0)-1,0)/$F94*$G94</f>
        <v>1825</v>
      </c>
      <c r="P94" s="36" t="str">
        <f ca="1">OFFSET(总规划!L$260,MATCH($E94,总规划!$B$260:$B$335,0)-1,0)</f>
        <v>1战役币</v>
      </c>
      <c r="Q94" s="36">
        <f ca="1">OFFSET(总规划!M$260,MATCH($E94,总规划!$B$260:$B$335,0)-1,0)/$F94*$G94</f>
        <v>730</v>
      </c>
      <c r="R94" s="36">
        <f ca="1">OFFSET(总规划!N$260,MATCH($E94,总规划!$B$260:$B$335,0)-1,0)/$F94*$G94</f>
        <v>730</v>
      </c>
      <c r="S94" s="36" t="str">
        <f ca="1">OFFSET(总规划!O$260,MATCH($E94,总规划!$B$260:$B$335,0)-1,0)</f>
        <v>1联盟币</v>
      </c>
      <c r="T94" s="36">
        <f ca="1">OFFSET(总规划!P$260,MATCH($E94,总规划!$B$260:$B$335,0)-1,0)/$F94*$G94</f>
        <v>912.5</v>
      </c>
      <c r="U94" s="36">
        <f ca="1">OFFSET(总规划!Q$260,MATCH($E94,总规划!$B$260:$B$335,0)-1,0)/$F94*$G94</f>
        <v>912.5</v>
      </c>
      <c r="V94" s="36" t="str">
        <f ca="1">OFFSET(总规划!R$260,MATCH($E94,总规划!$B$260:$B$335,0)-1,0)</f>
        <v>1空战币</v>
      </c>
    </row>
    <row r="95" spans="4:22">
      <c r="D95" s="36" t="s">
        <v>1567</v>
      </c>
      <c r="E95" s="36" t="s">
        <v>623</v>
      </c>
      <c r="F95" s="36">
        <v>1</v>
      </c>
      <c r="G95" s="36">
        <v>1</v>
      </c>
      <c r="H95" s="36">
        <f ca="1">OFFSET(总规划!D$260,MATCH($E95,总规划!$B$260:$B$335,0)-1,0)/$F95*$G95</f>
        <v>0.9125</v>
      </c>
      <c r="I95" s="36">
        <f ca="1">OFFSET(总规划!E$260,MATCH($E95,总规划!$B$260:$B$335,0)-1,0)/$F95*$G95</f>
        <v>1095</v>
      </c>
      <c r="J95" s="36">
        <f ca="1">OFFSET(总规划!F$260,MATCH($E95,总规划!$B$260:$B$335,0)-1,0)/$F95*$G95</f>
        <v>2190</v>
      </c>
      <c r="K95" s="36">
        <f ca="1">OFFSET(总规划!G$260,MATCH($E95,总规划!$B$260:$B$335,0)-1,0)/$F95*$G95</f>
        <v>2.19</v>
      </c>
      <c r="L95" s="36">
        <f ca="1">OFFSET(总规划!H$260,MATCH($E95,总规划!$B$260:$B$335,0)-1,0)/$F95*$G95</f>
        <v>2.19</v>
      </c>
      <c r="M95" s="36" t="str">
        <f ca="1">OFFSET(总规划!I$260,MATCH($E95,总规划!$B$260:$B$335,0)-1,0)</f>
        <v>1M资源</v>
      </c>
      <c r="N95" s="36">
        <f ca="1">OFFSET(总规划!J$260,MATCH($E95,总规划!$B$260:$B$335,0)-1,0)/$F95*$G95</f>
        <v>912.5</v>
      </c>
      <c r="O95" s="36">
        <f ca="1">OFFSET(总规划!K$260,MATCH($E95,总规划!$B$260:$B$335,0)-1,0)/$F95*$G95</f>
        <v>912.5</v>
      </c>
      <c r="P95" s="36" t="str">
        <f ca="1">OFFSET(总规划!L$260,MATCH($E95,总规划!$B$260:$B$335,0)-1,0)</f>
        <v>1战役币</v>
      </c>
      <c r="Q95" s="36">
        <f ca="1">OFFSET(总规划!M$260,MATCH($E95,总规划!$B$260:$B$335,0)-1,0)/$F95*$G95</f>
        <v>365</v>
      </c>
      <c r="R95" s="36">
        <f ca="1">OFFSET(总规划!N$260,MATCH($E95,总规划!$B$260:$B$335,0)-1,0)/$F95*$G95</f>
        <v>365</v>
      </c>
      <c r="S95" s="36" t="str">
        <f ca="1">OFFSET(总规划!O$260,MATCH($E95,总规划!$B$260:$B$335,0)-1,0)</f>
        <v>1联盟币</v>
      </c>
      <c r="T95" s="36">
        <f ca="1">OFFSET(总规划!P$260,MATCH($E95,总规划!$B$260:$B$335,0)-1,0)/$F95*$G95</f>
        <v>456.25</v>
      </c>
      <c r="U95" s="36">
        <f ca="1">OFFSET(总规划!Q$260,MATCH($E95,总规划!$B$260:$B$335,0)-1,0)/$F95*$G95</f>
        <v>456.25</v>
      </c>
      <c r="V95" s="36" t="str">
        <f ca="1">OFFSET(总规划!R$260,MATCH($E95,总规划!$B$260:$B$335,0)-1,0)</f>
        <v>1空战币</v>
      </c>
    </row>
    <row r="96" spans="4:22">
      <c r="D96" s="36" t="s">
        <v>1580</v>
      </c>
      <c r="E96" s="36" t="s">
        <v>628</v>
      </c>
      <c r="F96" s="36">
        <v>1</v>
      </c>
      <c r="G96" s="36">
        <v>1</v>
      </c>
      <c r="H96" s="36">
        <f ca="1">OFFSET(总规划!D$260,MATCH($E96,总规划!$B$260:$B$335,0)-1,0)/$F96*$G96</f>
        <v>1.825</v>
      </c>
      <c r="I96" s="36">
        <f ca="1">OFFSET(总规划!E$260,MATCH($E96,总规划!$B$260:$B$335,0)-1,0)/$F96*$G96</f>
        <v>2190</v>
      </c>
      <c r="J96" s="36">
        <f ca="1">OFFSET(总规划!F$260,MATCH($E96,总规划!$B$260:$B$335,0)-1,0)/$F96*$G96</f>
        <v>4380</v>
      </c>
      <c r="K96" s="36">
        <f ca="1">OFFSET(总规划!G$260,MATCH($E96,总规划!$B$260:$B$335,0)-1,0)/$F96*$G96</f>
        <v>4.38</v>
      </c>
      <c r="L96" s="36">
        <f ca="1">OFFSET(总规划!H$260,MATCH($E96,总规划!$B$260:$B$335,0)-1,0)/$F96*$G96</f>
        <v>4.38</v>
      </c>
      <c r="M96" s="36" t="str">
        <f ca="1">OFFSET(总规划!I$260,MATCH($E96,总规划!$B$260:$B$335,0)-1,0)</f>
        <v>1M资源</v>
      </c>
      <c r="N96" s="36">
        <f ca="1">OFFSET(总规划!J$260,MATCH($E96,总规划!$B$260:$B$335,0)-1,0)/$F96*$G96</f>
        <v>1825</v>
      </c>
      <c r="O96" s="36">
        <f ca="1">OFFSET(总规划!K$260,MATCH($E96,总规划!$B$260:$B$335,0)-1,0)/$F96*$G96</f>
        <v>1825</v>
      </c>
      <c r="P96" s="36" t="str">
        <f ca="1">OFFSET(总规划!L$260,MATCH($E96,总规划!$B$260:$B$335,0)-1,0)</f>
        <v>1战役币</v>
      </c>
      <c r="Q96" s="36">
        <f ca="1">OFFSET(总规划!M$260,MATCH($E96,总规划!$B$260:$B$335,0)-1,0)/$F96*$G96</f>
        <v>730</v>
      </c>
      <c r="R96" s="36">
        <f ca="1">OFFSET(总规划!N$260,MATCH($E96,总规划!$B$260:$B$335,0)-1,0)/$F96*$G96</f>
        <v>730</v>
      </c>
      <c r="S96" s="36" t="str">
        <f ca="1">OFFSET(总规划!O$260,MATCH($E96,总规划!$B$260:$B$335,0)-1,0)</f>
        <v>1联盟币</v>
      </c>
      <c r="T96" s="36">
        <f ca="1">OFFSET(总规划!P$260,MATCH($E96,总规划!$B$260:$B$335,0)-1,0)/$F96*$G96</f>
        <v>912.5</v>
      </c>
      <c r="U96" s="36">
        <f ca="1">OFFSET(总规划!Q$260,MATCH($E96,总规划!$B$260:$B$335,0)-1,0)/$F96*$G96</f>
        <v>912.5</v>
      </c>
      <c r="V96" s="36" t="str">
        <f ca="1">OFFSET(总规划!R$260,MATCH($E96,总规划!$B$260:$B$335,0)-1,0)</f>
        <v>1空战币</v>
      </c>
    </row>
    <row r="97" spans="4:22">
      <c r="D97" s="36" t="s">
        <v>1571</v>
      </c>
      <c r="E97" s="36" t="s">
        <v>625</v>
      </c>
      <c r="F97" s="36">
        <v>1</v>
      </c>
      <c r="G97" s="36">
        <v>1</v>
      </c>
      <c r="H97" s="36">
        <f ca="1">OFFSET(总规划!D$260,MATCH($E97,总规划!$B$260:$B$335,0)-1,0)/$F97*$G97</f>
        <v>0.9125</v>
      </c>
      <c r="I97" s="36">
        <f ca="1">OFFSET(总规划!E$260,MATCH($E97,总规划!$B$260:$B$335,0)-1,0)/$F97*$G97</f>
        <v>1095</v>
      </c>
      <c r="J97" s="36">
        <f ca="1">OFFSET(总规划!F$260,MATCH($E97,总规划!$B$260:$B$335,0)-1,0)/$F97*$G97</f>
        <v>2190</v>
      </c>
      <c r="K97" s="36">
        <f ca="1">OFFSET(总规划!G$260,MATCH($E97,总规划!$B$260:$B$335,0)-1,0)/$F97*$G97</f>
        <v>2.19</v>
      </c>
      <c r="L97" s="36">
        <f ca="1">OFFSET(总规划!H$260,MATCH($E97,总规划!$B$260:$B$335,0)-1,0)/$F97*$G97</f>
        <v>2.19</v>
      </c>
      <c r="M97" s="36" t="str">
        <f ca="1">OFFSET(总规划!I$260,MATCH($E97,总规划!$B$260:$B$335,0)-1,0)</f>
        <v>1M资源</v>
      </c>
      <c r="N97" s="36">
        <f ca="1">OFFSET(总规划!J$260,MATCH($E97,总规划!$B$260:$B$335,0)-1,0)/$F97*$G97</f>
        <v>912.5</v>
      </c>
      <c r="O97" s="36">
        <f ca="1">OFFSET(总规划!K$260,MATCH($E97,总规划!$B$260:$B$335,0)-1,0)/$F97*$G97</f>
        <v>912.5</v>
      </c>
      <c r="P97" s="36" t="str">
        <f ca="1">OFFSET(总规划!L$260,MATCH($E97,总规划!$B$260:$B$335,0)-1,0)</f>
        <v>1战役币</v>
      </c>
      <c r="Q97" s="36">
        <f ca="1">OFFSET(总规划!M$260,MATCH($E97,总规划!$B$260:$B$335,0)-1,0)/$F97*$G97</f>
        <v>365</v>
      </c>
      <c r="R97" s="36">
        <f ca="1">OFFSET(总规划!N$260,MATCH($E97,总规划!$B$260:$B$335,0)-1,0)/$F97*$G97</f>
        <v>365</v>
      </c>
      <c r="S97" s="36" t="str">
        <f ca="1">OFFSET(总规划!O$260,MATCH($E97,总规划!$B$260:$B$335,0)-1,0)</f>
        <v>1联盟币</v>
      </c>
      <c r="T97" s="36">
        <f ca="1">OFFSET(总规划!P$260,MATCH($E97,总规划!$B$260:$B$335,0)-1,0)/$F97*$G97</f>
        <v>456.25</v>
      </c>
      <c r="U97" s="36">
        <f ca="1">OFFSET(总规划!Q$260,MATCH($E97,总规划!$B$260:$B$335,0)-1,0)/$F97*$G97</f>
        <v>456.25</v>
      </c>
      <c r="V97" s="36" t="str">
        <f ca="1">OFFSET(总规划!R$260,MATCH($E97,总规划!$B$260:$B$335,0)-1,0)</f>
        <v>1空战币</v>
      </c>
    </row>
    <row r="98" spans="4:22">
      <c r="D98" s="36" t="s">
        <v>1576</v>
      </c>
      <c r="E98" s="36" t="s">
        <v>628</v>
      </c>
      <c r="F98" s="36">
        <v>1</v>
      </c>
      <c r="G98" s="36">
        <v>1</v>
      </c>
      <c r="H98" s="36">
        <f ca="1">OFFSET(总规划!D$260,MATCH($E98,总规划!$B$260:$B$335,0)-1,0)/$F98*$G98</f>
        <v>1.825</v>
      </c>
      <c r="I98" s="36">
        <f ca="1">OFFSET(总规划!E$260,MATCH($E98,总规划!$B$260:$B$335,0)-1,0)/$F98*$G98</f>
        <v>2190</v>
      </c>
      <c r="J98" s="36">
        <f ca="1">OFFSET(总规划!F$260,MATCH($E98,总规划!$B$260:$B$335,0)-1,0)/$F98*$G98</f>
        <v>4380</v>
      </c>
      <c r="K98" s="36">
        <f ca="1">OFFSET(总规划!G$260,MATCH($E98,总规划!$B$260:$B$335,0)-1,0)/$F98*$G98</f>
        <v>4.38</v>
      </c>
      <c r="L98" s="36">
        <f ca="1">OFFSET(总规划!H$260,MATCH($E98,总规划!$B$260:$B$335,0)-1,0)/$F98*$G98</f>
        <v>4.38</v>
      </c>
      <c r="M98" s="36" t="str">
        <f ca="1">OFFSET(总规划!I$260,MATCH($E98,总规划!$B$260:$B$335,0)-1,0)</f>
        <v>1M资源</v>
      </c>
      <c r="N98" s="36">
        <f ca="1">OFFSET(总规划!J$260,MATCH($E98,总规划!$B$260:$B$335,0)-1,0)/$F98*$G98</f>
        <v>1825</v>
      </c>
      <c r="O98" s="36">
        <f ca="1">OFFSET(总规划!K$260,MATCH($E98,总规划!$B$260:$B$335,0)-1,0)/$F98*$G98</f>
        <v>1825</v>
      </c>
      <c r="P98" s="36" t="str">
        <f ca="1">OFFSET(总规划!L$260,MATCH($E98,总规划!$B$260:$B$335,0)-1,0)</f>
        <v>1战役币</v>
      </c>
      <c r="Q98" s="36">
        <f ca="1">OFFSET(总规划!M$260,MATCH($E98,总规划!$B$260:$B$335,0)-1,0)/$F98*$G98</f>
        <v>730</v>
      </c>
      <c r="R98" s="36">
        <f ca="1">OFFSET(总规划!N$260,MATCH($E98,总规划!$B$260:$B$335,0)-1,0)/$F98*$G98</f>
        <v>730</v>
      </c>
      <c r="S98" s="36" t="str">
        <f ca="1">OFFSET(总规划!O$260,MATCH($E98,总规划!$B$260:$B$335,0)-1,0)</f>
        <v>1联盟币</v>
      </c>
      <c r="T98" s="36">
        <f ca="1">OFFSET(总规划!P$260,MATCH($E98,总规划!$B$260:$B$335,0)-1,0)/$F98*$G98</f>
        <v>912.5</v>
      </c>
      <c r="U98" s="36">
        <f ca="1">OFFSET(总规划!Q$260,MATCH($E98,总规划!$B$260:$B$335,0)-1,0)/$F98*$G98</f>
        <v>912.5</v>
      </c>
      <c r="V98" s="36" t="str">
        <f ca="1">OFFSET(总规划!R$260,MATCH($E98,总规划!$B$260:$B$335,0)-1,0)</f>
        <v>1空战币</v>
      </c>
    </row>
    <row r="99" spans="4:22">
      <c r="D99" s="36" t="s">
        <v>1582</v>
      </c>
      <c r="E99" s="36" t="s">
        <v>629</v>
      </c>
      <c r="F99" s="36">
        <v>1</v>
      </c>
      <c r="G99" s="36">
        <v>1</v>
      </c>
      <c r="H99" s="36">
        <f ca="1">OFFSET(总规划!D$260,MATCH($E99,总规划!$B$260:$B$335,0)-1,0)/$F99*$G99</f>
        <v>1.825</v>
      </c>
      <c r="I99" s="36">
        <f ca="1">OFFSET(总规划!E$260,MATCH($E99,总规划!$B$260:$B$335,0)-1,0)/$F99*$G99</f>
        <v>2190</v>
      </c>
      <c r="J99" s="36">
        <f ca="1">OFFSET(总规划!F$260,MATCH($E99,总规划!$B$260:$B$335,0)-1,0)/$F99*$G99</f>
        <v>4380</v>
      </c>
      <c r="K99" s="36">
        <f ca="1">OFFSET(总规划!G$260,MATCH($E99,总规划!$B$260:$B$335,0)-1,0)/$F99*$G99</f>
        <v>4.38</v>
      </c>
      <c r="L99" s="36">
        <f ca="1">OFFSET(总规划!H$260,MATCH($E99,总规划!$B$260:$B$335,0)-1,0)/$F99*$G99</f>
        <v>4.38</v>
      </c>
      <c r="M99" s="36" t="str">
        <f ca="1">OFFSET(总规划!I$260,MATCH($E99,总规划!$B$260:$B$335,0)-1,0)</f>
        <v>1M资源</v>
      </c>
      <c r="N99" s="36">
        <f ca="1">OFFSET(总规划!J$260,MATCH($E99,总规划!$B$260:$B$335,0)-1,0)/$F99*$G99</f>
        <v>1825</v>
      </c>
      <c r="O99" s="36">
        <f ca="1">OFFSET(总规划!K$260,MATCH($E99,总规划!$B$260:$B$335,0)-1,0)/$F99*$G99</f>
        <v>1825</v>
      </c>
      <c r="P99" s="36" t="str">
        <f ca="1">OFFSET(总规划!L$260,MATCH($E99,总规划!$B$260:$B$335,0)-1,0)</f>
        <v>1战役币</v>
      </c>
      <c r="Q99" s="36">
        <f ca="1">OFFSET(总规划!M$260,MATCH($E99,总规划!$B$260:$B$335,0)-1,0)/$F99*$G99</f>
        <v>730</v>
      </c>
      <c r="R99" s="36">
        <f ca="1">OFFSET(总规划!N$260,MATCH($E99,总规划!$B$260:$B$335,0)-1,0)/$F99*$G99</f>
        <v>730</v>
      </c>
      <c r="S99" s="36" t="str">
        <f ca="1">OFFSET(总规划!O$260,MATCH($E99,总规划!$B$260:$B$335,0)-1,0)</f>
        <v>1联盟币</v>
      </c>
      <c r="T99" s="36">
        <f ca="1">OFFSET(总规划!P$260,MATCH($E99,总规划!$B$260:$B$335,0)-1,0)/$F99*$G99</f>
        <v>912.5</v>
      </c>
      <c r="U99" s="36">
        <f ca="1">OFFSET(总规划!Q$260,MATCH($E99,总规划!$B$260:$B$335,0)-1,0)/$F99*$G99</f>
        <v>912.5</v>
      </c>
      <c r="V99" s="36" t="str">
        <f ca="1">OFFSET(总规划!R$260,MATCH($E99,总规划!$B$260:$B$335,0)-1,0)</f>
        <v>1空战币</v>
      </c>
    </row>
    <row r="100" spans="4:22">
      <c r="D100" s="36" t="s">
        <v>2212</v>
      </c>
      <c r="E100" s="36" t="s">
        <v>630</v>
      </c>
      <c r="F100" s="36">
        <v>1</v>
      </c>
      <c r="G100" s="36">
        <v>1</v>
      </c>
      <c r="H100" s="36">
        <f ca="1">OFFSET(总规划!D$260,MATCH($E100,总规划!$B$260:$B$335,0)-1,0)/$F100*$G100</f>
        <v>0.45625</v>
      </c>
      <c r="I100" s="36">
        <f ca="1">OFFSET(总规划!E$260,MATCH($E100,总规划!$B$260:$B$335,0)-1,0)/$F100*$G100</f>
        <v>547.5</v>
      </c>
      <c r="J100" s="36">
        <f ca="1">OFFSET(总规划!F$260,MATCH($E100,总规划!$B$260:$B$335,0)-1,0)/$F100*$G100</f>
        <v>1095</v>
      </c>
      <c r="K100" s="36">
        <f ca="1">OFFSET(总规划!G$260,MATCH($E100,总规划!$B$260:$B$335,0)-1,0)/$F100*$G100</f>
        <v>1.095</v>
      </c>
      <c r="L100" s="36">
        <f ca="1">OFFSET(总规划!H$260,MATCH($E100,总规划!$B$260:$B$335,0)-1,0)/$F100*$G100</f>
        <v>1.095</v>
      </c>
      <c r="M100" s="36" t="str">
        <f ca="1">OFFSET(总规划!I$260,MATCH($E100,总规划!$B$260:$B$335,0)-1,0)</f>
        <v>1M资源</v>
      </c>
      <c r="N100" s="36">
        <f ca="1">OFFSET(总规划!J$260,MATCH($E100,总规划!$B$260:$B$335,0)-1,0)/$F100*$G100</f>
        <v>456.25</v>
      </c>
      <c r="O100" s="36">
        <f ca="1">OFFSET(总规划!K$260,MATCH($E100,总规划!$B$260:$B$335,0)-1,0)/$F100*$G100</f>
        <v>456.25</v>
      </c>
      <c r="P100" s="36" t="str">
        <f ca="1">OFFSET(总规划!L$260,MATCH($E100,总规划!$B$260:$B$335,0)-1,0)</f>
        <v>1战役币</v>
      </c>
      <c r="Q100" s="36">
        <f ca="1">OFFSET(总规划!M$260,MATCH($E100,总规划!$B$260:$B$335,0)-1,0)/$F100*$G100</f>
        <v>182.5</v>
      </c>
      <c r="R100" s="36">
        <f ca="1">OFFSET(总规划!N$260,MATCH($E100,总规划!$B$260:$B$335,0)-1,0)/$F100*$G100</f>
        <v>182.5</v>
      </c>
      <c r="S100" s="36" t="str">
        <f ca="1">OFFSET(总规划!O$260,MATCH($E100,总规划!$B$260:$B$335,0)-1,0)</f>
        <v>1联盟币</v>
      </c>
      <c r="T100" s="36">
        <f ca="1">OFFSET(总规划!P$260,MATCH($E100,总规划!$B$260:$B$335,0)-1,0)/$F100*$G100</f>
        <v>228.125</v>
      </c>
      <c r="U100" s="36">
        <f ca="1">OFFSET(总规划!Q$260,MATCH($E100,总规划!$B$260:$B$335,0)-1,0)/$F100*$G100</f>
        <v>228.125</v>
      </c>
      <c r="V100" s="36" t="str">
        <f ca="1">OFFSET(总规划!R$260,MATCH($E100,总规划!$B$260:$B$335,0)-1,0)</f>
        <v>1空战币</v>
      </c>
    </row>
    <row r="101" spans="4:22">
      <c r="D101" s="36" t="s">
        <v>1584</v>
      </c>
      <c r="E101" s="36" t="s">
        <v>631</v>
      </c>
      <c r="F101" s="36">
        <v>1</v>
      </c>
      <c r="G101" s="36">
        <v>1</v>
      </c>
      <c r="H101" s="36">
        <f ca="1">OFFSET(总规划!D$260,MATCH($E101,总规划!$B$260:$B$335,0)-1,0)/$F101*$G101</f>
        <v>14.75</v>
      </c>
      <c r="I101" s="36">
        <f ca="1">OFFSET(总规划!E$260,MATCH($E101,总规划!$B$260:$B$335,0)-1,0)/$F101*$G101</f>
        <v>17700</v>
      </c>
      <c r="J101" s="36">
        <f ca="1">OFFSET(总规划!F$260,MATCH($E101,总规划!$B$260:$B$335,0)-1,0)/$F101*$G101</f>
        <v>35400</v>
      </c>
      <c r="K101" s="36">
        <f ca="1">OFFSET(总规划!G$260,MATCH($E101,总规划!$B$260:$B$335,0)-1,0)/$F101*$G101</f>
        <v>35.4</v>
      </c>
      <c r="L101" s="36">
        <f ca="1">OFFSET(总规划!H$260,MATCH($E101,总规划!$B$260:$B$335,0)-1,0)/$F101*$G101</f>
        <v>35.4</v>
      </c>
      <c r="M101" s="36" t="str">
        <f ca="1">OFFSET(总规划!I$260,MATCH($E101,总规划!$B$260:$B$335,0)-1,0)</f>
        <v>1M资源</v>
      </c>
      <c r="N101" s="36">
        <f ca="1">OFFSET(总规划!J$260,MATCH($E101,总规划!$B$260:$B$335,0)-1,0)/$F101*$G101</f>
        <v>14750</v>
      </c>
      <c r="O101" s="36">
        <f ca="1">OFFSET(总规划!K$260,MATCH($E101,总规划!$B$260:$B$335,0)-1,0)/$F101*$G101</f>
        <v>14750</v>
      </c>
      <c r="P101" s="36" t="str">
        <f ca="1">OFFSET(总规划!L$260,MATCH($E101,总规划!$B$260:$B$335,0)-1,0)</f>
        <v>1战役币</v>
      </c>
      <c r="Q101" s="36">
        <f ca="1">OFFSET(总规划!M$260,MATCH($E101,总规划!$B$260:$B$335,0)-1,0)/$F101*$G101</f>
        <v>5900</v>
      </c>
      <c r="R101" s="36">
        <f ca="1">OFFSET(总规划!N$260,MATCH($E101,总规划!$B$260:$B$335,0)-1,0)/$F101*$G101</f>
        <v>5900</v>
      </c>
      <c r="S101" s="36" t="str">
        <f ca="1">OFFSET(总规划!O$260,MATCH($E101,总规划!$B$260:$B$335,0)-1,0)</f>
        <v>1联盟币</v>
      </c>
      <c r="T101" s="36">
        <f ca="1">OFFSET(总规划!P$260,MATCH($E101,总规划!$B$260:$B$335,0)-1,0)/$F101*$G101</f>
        <v>7375</v>
      </c>
      <c r="U101" s="36">
        <f ca="1">OFFSET(总规划!Q$260,MATCH($E101,总规划!$B$260:$B$335,0)-1,0)/$F101*$G101</f>
        <v>7375</v>
      </c>
      <c r="V101" s="36" t="str">
        <f ca="1">OFFSET(总规划!R$260,MATCH($E101,总规划!$B$260:$B$335,0)-1,0)</f>
        <v>1空战币</v>
      </c>
    </row>
    <row r="102" spans="4:22">
      <c r="D102" s="36" t="s">
        <v>1586</v>
      </c>
      <c r="E102" s="36" t="s">
        <v>632</v>
      </c>
      <c r="F102" s="36">
        <v>1</v>
      </c>
      <c r="G102" s="36">
        <v>1</v>
      </c>
      <c r="H102" s="36">
        <f ca="1">OFFSET(总规划!D$260,MATCH($E102,总规划!$B$260:$B$335,0)-1,0)/$F102*$G102</f>
        <v>14.75</v>
      </c>
      <c r="I102" s="36">
        <f ca="1">OFFSET(总规划!E$260,MATCH($E102,总规划!$B$260:$B$335,0)-1,0)/$F102*$G102</f>
        <v>17700</v>
      </c>
      <c r="J102" s="36">
        <f ca="1">OFFSET(总规划!F$260,MATCH($E102,总规划!$B$260:$B$335,0)-1,0)/$F102*$G102</f>
        <v>35400</v>
      </c>
      <c r="K102" s="36">
        <f ca="1">OFFSET(总规划!G$260,MATCH($E102,总规划!$B$260:$B$335,0)-1,0)/$F102*$G102</f>
        <v>35.4</v>
      </c>
      <c r="L102" s="36">
        <f ca="1">OFFSET(总规划!H$260,MATCH($E102,总规划!$B$260:$B$335,0)-1,0)/$F102*$G102</f>
        <v>35.4</v>
      </c>
      <c r="M102" s="36" t="str">
        <f ca="1">OFFSET(总规划!I$260,MATCH($E102,总规划!$B$260:$B$335,0)-1,0)</f>
        <v>1M资源</v>
      </c>
      <c r="N102" s="36">
        <f ca="1">OFFSET(总规划!J$260,MATCH($E102,总规划!$B$260:$B$335,0)-1,0)/$F102*$G102</f>
        <v>14750</v>
      </c>
      <c r="O102" s="36">
        <f ca="1">OFFSET(总规划!K$260,MATCH($E102,总规划!$B$260:$B$335,0)-1,0)/$F102*$G102</f>
        <v>14750</v>
      </c>
      <c r="P102" s="36" t="str">
        <f ca="1">OFFSET(总规划!L$260,MATCH($E102,总规划!$B$260:$B$335,0)-1,0)</f>
        <v>1战役币</v>
      </c>
      <c r="Q102" s="36">
        <f ca="1">OFFSET(总规划!M$260,MATCH($E102,总规划!$B$260:$B$335,0)-1,0)/$F102*$G102</f>
        <v>5900</v>
      </c>
      <c r="R102" s="36">
        <f ca="1">OFFSET(总规划!N$260,MATCH($E102,总规划!$B$260:$B$335,0)-1,0)/$F102*$G102</f>
        <v>5900</v>
      </c>
      <c r="S102" s="36" t="str">
        <f ca="1">OFFSET(总规划!O$260,MATCH($E102,总规划!$B$260:$B$335,0)-1,0)</f>
        <v>1联盟币</v>
      </c>
      <c r="T102" s="36">
        <f ca="1">OFFSET(总规划!P$260,MATCH($E102,总规划!$B$260:$B$335,0)-1,0)/$F102*$G102</f>
        <v>7375</v>
      </c>
      <c r="U102" s="36">
        <f ca="1">OFFSET(总规划!Q$260,MATCH($E102,总规划!$B$260:$B$335,0)-1,0)/$F102*$G102</f>
        <v>7375</v>
      </c>
      <c r="V102" s="36" t="str">
        <f ca="1">OFFSET(总规划!R$260,MATCH($E102,总规划!$B$260:$B$335,0)-1,0)</f>
        <v>1空战币</v>
      </c>
    </row>
    <row r="103" spans="4:22">
      <c r="D103" s="36" t="s">
        <v>1590</v>
      </c>
      <c r="E103" s="36" t="s">
        <v>634</v>
      </c>
      <c r="F103" s="36">
        <v>1</v>
      </c>
      <c r="G103" s="36">
        <v>1</v>
      </c>
      <c r="H103" s="36">
        <f ca="1">OFFSET(总规划!D$260,MATCH($E103,总规划!$B$260:$B$335,0)-1,0)/$F103*$G103</f>
        <v>14.75</v>
      </c>
      <c r="I103" s="36">
        <f ca="1">OFFSET(总规划!E$260,MATCH($E103,总规划!$B$260:$B$335,0)-1,0)/$F103*$G103</f>
        <v>17700</v>
      </c>
      <c r="J103" s="36">
        <f ca="1">OFFSET(总规划!F$260,MATCH($E103,总规划!$B$260:$B$335,0)-1,0)/$F103*$G103</f>
        <v>35400</v>
      </c>
      <c r="K103" s="36">
        <f ca="1">OFFSET(总规划!G$260,MATCH($E103,总规划!$B$260:$B$335,0)-1,0)/$F103*$G103</f>
        <v>35.4</v>
      </c>
      <c r="L103" s="36">
        <f ca="1">OFFSET(总规划!H$260,MATCH($E103,总规划!$B$260:$B$335,0)-1,0)/$F103*$G103</f>
        <v>35.4</v>
      </c>
      <c r="M103" s="36" t="str">
        <f ca="1">OFFSET(总规划!I$260,MATCH($E103,总规划!$B$260:$B$335,0)-1,0)</f>
        <v>1M资源</v>
      </c>
      <c r="N103" s="36">
        <f ca="1">OFFSET(总规划!J$260,MATCH($E103,总规划!$B$260:$B$335,0)-1,0)/$F103*$G103</f>
        <v>14750</v>
      </c>
      <c r="O103" s="36">
        <f ca="1">OFFSET(总规划!K$260,MATCH($E103,总规划!$B$260:$B$335,0)-1,0)/$F103*$G103</f>
        <v>14750</v>
      </c>
      <c r="P103" s="36" t="str">
        <f ca="1">OFFSET(总规划!L$260,MATCH($E103,总规划!$B$260:$B$335,0)-1,0)</f>
        <v>1战役币</v>
      </c>
      <c r="Q103" s="36">
        <f ca="1">OFFSET(总规划!M$260,MATCH($E103,总规划!$B$260:$B$335,0)-1,0)/$F103*$G103</f>
        <v>5900</v>
      </c>
      <c r="R103" s="36">
        <f ca="1">OFFSET(总规划!N$260,MATCH($E103,总规划!$B$260:$B$335,0)-1,0)/$F103*$G103</f>
        <v>5900</v>
      </c>
      <c r="S103" s="36" t="str">
        <f ca="1">OFFSET(总规划!O$260,MATCH($E103,总规划!$B$260:$B$335,0)-1,0)</f>
        <v>1联盟币</v>
      </c>
      <c r="T103" s="36">
        <f ca="1">OFFSET(总规划!P$260,MATCH($E103,总规划!$B$260:$B$335,0)-1,0)/$F103*$G103</f>
        <v>7375</v>
      </c>
      <c r="U103" s="36">
        <f ca="1">OFFSET(总规划!Q$260,MATCH($E103,总规划!$B$260:$B$335,0)-1,0)/$F103*$G103</f>
        <v>7375</v>
      </c>
      <c r="V103" s="36" t="str">
        <f ca="1">OFFSET(总规划!R$260,MATCH($E103,总规划!$B$260:$B$335,0)-1,0)</f>
        <v>1空战币</v>
      </c>
    </row>
    <row r="104" spans="4:22">
      <c r="D104" s="36" t="s">
        <v>1596</v>
      </c>
      <c r="E104" s="36" t="s">
        <v>637</v>
      </c>
      <c r="F104" s="36">
        <v>1</v>
      </c>
      <c r="G104" s="36">
        <v>1</v>
      </c>
      <c r="H104" s="36">
        <f ca="1">OFFSET(总规划!D$260,MATCH($E104,总规划!$B$260:$B$335,0)-1,0)/$F104*$G104</f>
        <v>29.5</v>
      </c>
      <c r="I104" s="36">
        <f ca="1">OFFSET(总规划!E$260,MATCH($E104,总规划!$B$260:$B$335,0)-1,0)/$F104*$G104</f>
        <v>35400</v>
      </c>
      <c r="J104" s="36">
        <f ca="1">OFFSET(总规划!F$260,MATCH($E104,总规划!$B$260:$B$335,0)-1,0)/$F104*$G104</f>
        <v>70800</v>
      </c>
      <c r="K104" s="36">
        <f ca="1">OFFSET(总规划!G$260,MATCH($E104,总规划!$B$260:$B$335,0)-1,0)/$F104*$G104</f>
        <v>70.8</v>
      </c>
      <c r="L104" s="36">
        <f ca="1">OFFSET(总规划!H$260,MATCH($E104,总规划!$B$260:$B$335,0)-1,0)/$F104*$G104</f>
        <v>70.8</v>
      </c>
      <c r="M104" s="36" t="str">
        <f ca="1">OFFSET(总规划!I$260,MATCH($E104,总规划!$B$260:$B$335,0)-1,0)</f>
        <v>1M资源</v>
      </c>
      <c r="N104" s="36">
        <f ca="1">OFFSET(总规划!J$260,MATCH($E104,总规划!$B$260:$B$335,0)-1,0)/$F104*$G104</f>
        <v>29500</v>
      </c>
      <c r="O104" s="36">
        <f ca="1">OFFSET(总规划!K$260,MATCH($E104,总规划!$B$260:$B$335,0)-1,0)/$F104*$G104</f>
        <v>29500</v>
      </c>
      <c r="P104" s="36" t="str">
        <f ca="1">OFFSET(总规划!L$260,MATCH($E104,总规划!$B$260:$B$335,0)-1,0)</f>
        <v>1战役币</v>
      </c>
      <c r="Q104" s="36">
        <f ca="1">OFFSET(总规划!M$260,MATCH($E104,总规划!$B$260:$B$335,0)-1,0)/$F104*$G104</f>
        <v>11800</v>
      </c>
      <c r="R104" s="36">
        <f ca="1">OFFSET(总规划!N$260,MATCH($E104,总规划!$B$260:$B$335,0)-1,0)/$F104*$G104</f>
        <v>11800</v>
      </c>
      <c r="S104" s="36" t="str">
        <f ca="1">OFFSET(总规划!O$260,MATCH($E104,总规划!$B$260:$B$335,0)-1,0)</f>
        <v>1联盟币</v>
      </c>
      <c r="T104" s="36">
        <f ca="1">OFFSET(总规划!P$260,MATCH($E104,总规划!$B$260:$B$335,0)-1,0)/$F104*$G104</f>
        <v>14750</v>
      </c>
      <c r="U104" s="36">
        <f ca="1">OFFSET(总规划!Q$260,MATCH($E104,总规划!$B$260:$B$335,0)-1,0)/$F104*$G104</f>
        <v>14750</v>
      </c>
      <c r="V104" s="36" t="str">
        <f ca="1">OFFSET(总规划!R$260,MATCH($E104,总规划!$B$260:$B$335,0)-1,0)</f>
        <v>1空战币</v>
      </c>
    </row>
    <row r="105" spans="4:22">
      <c r="D105" s="36" t="s">
        <v>1588</v>
      </c>
      <c r="E105" s="36" t="s">
        <v>633</v>
      </c>
      <c r="F105" s="36">
        <v>1</v>
      </c>
      <c r="G105" s="36">
        <v>1</v>
      </c>
      <c r="H105" s="36">
        <f ca="1">OFFSET(总规划!D$260,MATCH($E105,总规划!$B$260:$B$335,0)-1,0)/$F105*$G105</f>
        <v>14.75</v>
      </c>
      <c r="I105" s="36">
        <f ca="1">OFFSET(总规划!E$260,MATCH($E105,总规划!$B$260:$B$335,0)-1,0)/$F105*$G105</f>
        <v>17700</v>
      </c>
      <c r="J105" s="36">
        <f ca="1">OFFSET(总规划!F$260,MATCH($E105,总规划!$B$260:$B$335,0)-1,0)/$F105*$G105</f>
        <v>35400</v>
      </c>
      <c r="K105" s="36">
        <f ca="1">OFFSET(总规划!G$260,MATCH($E105,总规划!$B$260:$B$335,0)-1,0)/$F105*$G105</f>
        <v>35.4</v>
      </c>
      <c r="L105" s="36">
        <f ca="1">OFFSET(总规划!H$260,MATCH($E105,总规划!$B$260:$B$335,0)-1,0)/$F105*$G105</f>
        <v>35.4</v>
      </c>
      <c r="M105" s="36" t="str">
        <f ca="1">OFFSET(总规划!I$260,MATCH($E105,总规划!$B$260:$B$335,0)-1,0)</f>
        <v>1M资源</v>
      </c>
      <c r="N105" s="36">
        <f ca="1">OFFSET(总规划!J$260,MATCH($E105,总规划!$B$260:$B$335,0)-1,0)/$F105*$G105</f>
        <v>14750</v>
      </c>
      <c r="O105" s="36">
        <f ca="1">OFFSET(总规划!K$260,MATCH($E105,总规划!$B$260:$B$335,0)-1,0)/$F105*$G105</f>
        <v>14750</v>
      </c>
      <c r="P105" s="36" t="str">
        <f ca="1">OFFSET(总规划!L$260,MATCH($E105,总规划!$B$260:$B$335,0)-1,0)</f>
        <v>1战役币</v>
      </c>
      <c r="Q105" s="36">
        <f ca="1">OFFSET(总规划!M$260,MATCH($E105,总规划!$B$260:$B$335,0)-1,0)/$F105*$G105</f>
        <v>5900</v>
      </c>
      <c r="R105" s="36">
        <f ca="1">OFFSET(总规划!N$260,MATCH($E105,总规划!$B$260:$B$335,0)-1,0)/$F105*$G105</f>
        <v>5900</v>
      </c>
      <c r="S105" s="36" t="str">
        <f ca="1">OFFSET(总规划!O$260,MATCH($E105,总规划!$B$260:$B$335,0)-1,0)</f>
        <v>1联盟币</v>
      </c>
      <c r="T105" s="36">
        <f ca="1">OFFSET(总规划!P$260,MATCH($E105,总规划!$B$260:$B$335,0)-1,0)/$F105*$G105</f>
        <v>7375</v>
      </c>
      <c r="U105" s="36">
        <f ca="1">OFFSET(总规划!Q$260,MATCH($E105,总规划!$B$260:$B$335,0)-1,0)/$F105*$G105</f>
        <v>7375</v>
      </c>
      <c r="V105" s="36" t="str">
        <f ca="1">OFFSET(总规划!R$260,MATCH($E105,总规划!$B$260:$B$335,0)-1,0)</f>
        <v>1空战币</v>
      </c>
    </row>
    <row r="106" spans="4:22">
      <c r="D106" s="36" t="s">
        <v>1598</v>
      </c>
      <c r="E106" s="36" t="s">
        <v>638</v>
      </c>
      <c r="F106" s="36">
        <v>1</v>
      </c>
      <c r="G106" s="36">
        <v>1</v>
      </c>
      <c r="H106" s="36">
        <f ca="1">OFFSET(总规划!D$260,MATCH($E106,总规划!$B$260:$B$335,0)-1,0)/$F106*$G106</f>
        <v>29.5</v>
      </c>
      <c r="I106" s="36">
        <f ca="1">OFFSET(总规划!E$260,MATCH($E106,总规划!$B$260:$B$335,0)-1,0)/$F106*$G106</f>
        <v>35400</v>
      </c>
      <c r="J106" s="36">
        <f ca="1">OFFSET(总规划!F$260,MATCH($E106,总规划!$B$260:$B$335,0)-1,0)/$F106*$G106</f>
        <v>70800</v>
      </c>
      <c r="K106" s="36">
        <f ca="1">OFFSET(总规划!G$260,MATCH($E106,总规划!$B$260:$B$335,0)-1,0)/$F106*$G106</f>
        <v>70.8</v>
      </c>
      <c r="L106" s="36">
        <f ca="1">OFFSET(总规划!H$260,MATCH($E106,总规划!$B$260:$B$335,0)-1,0)/$F106*$G106</f>
        <v>70.8</v>
      </c>
      <c r="M106" s="36" t="str">
        <f ca="1">OFFSET(总规划!I$260,MATCH($E106,总规划!$B$260:$B$335,0)-1,0)</f>
        <v>1M资源</v>
      </c>
      <c r="N106" s="36">
        <f ca="1">OFFSET(总规划!J$260,MATCH($E106,总规划!$B$260:$B$335,0)-1,0)/$F106*$G106</f>
        <v>29500</v>
      </c>
      <c r="O106" s="36">
        <f ca="1">OFFSET(总规划!K$260,MATCH($E106,总规划!$B$260:$B$335,0)-1,0)/$F106*$G106</f>
        <v>29500</v>
      </c>
      <c r="P106" s="36" t="str">
        <f ca="1">OFFSET(总规划!L$260,MATCH($E106,总规划!$B$260:$B$335,0)-1,0)</f>
        <v>1战役币</v>
      </c>
      <c r="Q106" s="36">
        <f ca="1">OFFSET(总规划!M$260,MATCH($E106,总规划!$B$260:$B$335,0)-1,0)/$F106*$G106</f>
        <v>11800</v>
      </c>
      <c r="R106" s="36">
        <f ca="1">OFFSET(总规划!N$260,MATCH($E106,总规划!$B$260:$B$335,0)-1,0)/$F106*$G106</f>
        <v>11800</v>
      </c>
      <c r="S106" s="36" t="str">
        <f ca="1">OFFSET(总规划!O$260,MATCH($E106,总规划!$B$260:$B$335,0)-1,0)</f>
        <v>1联盟币</v>
      </c>
      <c r="T106" s="36">
        <f ca="1">OFFSET(总规划!P$260,MATCH($E106,总规划!$B$260:$B$335,0)-1,0)/$F106*$G106</f>
        <v>14750</v>
      </c>
      <c r="U106" s="36">
        <f ca="1">OFFSET(总规划!Q$260,MATCH($E106,总规划!$B$260:$B$335,0)-1,0)/$F106*$G106</f>
        <v>14750</v>
      </c>
      <c r="V106" s="36" t="str">
        <f ca="1">OFFSET(总规划!R$260,MATCH($E106,总规划!$B$260:$B$335,0)-1,0)</f>
        <v>1空战币</v>
      </c>
    </row>
    <row r="107" spans="4:22">
      <c r="D107" s="36" t="s">
        <v>1592</v>
      </c>
      <c r="E107" s="36" t="s">
        <v>635</v>
      </c>
      <c r="F107" s="36">
        <v>1</v>
      </c>
      <c r="G107" s="36">
        <v>1</v>
      </c>
      <c r="H107" s="36">
        <f ca="1">OFFSET(总规划!D$260,MATCH($E107,总规划!$B$260:$B$335,0)-1,0)/$F107*$G107</f>
        <v>14.75</v>
      </c>
      <c r="I107" s="36">
        <f ca="1">OFFSET(总规划!E$260,MATCH($E107,总规划!$B$260:$B$335,0)-1,0)/$F107*$G107</f>
        <v>17700</v>
      </c>
      <c r="J107" s="36">
        <f ca="1">OFFSET(总规划!F$260,MATCH($E107,总规划!$B$260:$B$335,0)-1,0)/$F107*$G107</f>
        <v>35400</v>
      </c>
      <c r="K107" s="36">
        <f ca="1">OFFSET(总规划!G$260,MATCH($E107,总规划!$B$260:$B$335,0)-1,0)/$F107*$G107</f>
        <v>35.4</v>
      </c>
      <c r="L107" s="36">
        <f ca="1">OFFSET(总规划!H$260,MATCH($E107,总规划!$B$260:$B$335,0)-1,0)/$F107*$G107</f>
        <v>35.4</v>
      </c>
      <c r="M107" s="36" t="str">
        <f ca="1">OFFSET(总规划!I$260,MATCH($E107,总规划!$B$260:$B$335,0)-1,0)</f>
        <v>1M资源</v>
      </c>
      <c r="N107" s="36">
        <f ca="1">OFFSET(总规划!J$260,MATCH($E107,总规划!$B$260:$B$335,0)-1,0)/$F107*$G107</f>
        <v>14750</v>
      </c>
      <c r="O107" s="36">
        <f ca="1">OFFSET(总规划!K$260,MATCH($E107,总规划!$B$260:$B$335,0)-1,0)/$F107*$G107</f>
        <v>14750</v>
      </c>
      <c r="P107" s="36" t="str">
        <f ca="1">OFFSET(总规划!L$260,MATCH($E107,总规划!$B$260:$B$335,0)-1,0)</f>
        <v>1战役币</v>
      </c>
      <c r="Q107" s="36">
        <f ca="1">OFFSET(总规划!M$260,MATCH($E107,总规划!$B$260:$B$335,0)-1,0)/$F107*$G107</f>
        <v>5900</v>
      </c>
      <c r="R107" s="36">
        <f ca="1">OFFSET(总规划!N$260,MATCH($E107,总规划!$B$260:$B$335,0)-1,0)/$F107*$G107</f>
        <v>5900</v>
      </c>
      <c r="S107" s="36" t="str">
        <f ca="1">OFFSET(总规划!O$260,MATCH($E107,总规划!$B$260:$B$335,0)-1,0)</f>
        <v>1联盟币</v>
      </c>
      <c r="T107" s="36">
        <f ca="1">OFFSET(总规划!P$260,MATCH($E107,总规划!$B$260:$B$335,0)-1,0)/$F107*$G107</f>
        <v>7375</v>
      </c>
      <c r="U107" s="36">
        <f ca="1">OFFSET(总规划!Q$260,MATCH($E107,总规划!$B$260:$B$335,0)-1,0)/$F107*$G107</f>
        <v>7375</v>
      </c>
      <c r="V107" s="36" t="str">
        <f ca="1">OFFSET(总规划!R$260,MATCH($E107,总规划!$B$260:$B$335,0)-1,0)</f>
        <v>1空战币</v>
      </c>
    </row>
    <row r="108" spans="4:22">
      <c r="D108" s="36" t="s">
        <v>1594</v>
      </c>
      <c r="E108" s="36" t="s">
        <v>638</v>
      </c>
      <c r="F108" s="36">
        <v>1</v>
      </c>
      <c r="G108" s="36">
        <v>1</v>
      </c>
      <c r="H108" s="36">
        <f ca="1">OFFSET(总规划!D$260,MATCH($E108,总规划!$B$260:$B$335,0)-1,0)/$F108*$G108</f>
        <v>29.5</v>
      </c>
      <c r="I108" s="36">
        <f ca="1">OFFSET(总规划!E$260,MATCH($E108,总规划!$B$260:$B$335,0)-1,0)/$F108*$G108</f>
        <v>35400</v>
      </c>
      <c r="J108" s="36">
        <f ca="1">OFFSET(总规划!F$260,MATCH($E108,总规划!$B$260:$B$335,0)-1,0)/$F108*$G108</f>
        <v>70800</v>
      </c>
      <c r="K108" s="36">
        <f ca="1">OFFSET(总规划!G$260,MATCH($E108,总规划!$B$260:$B$335,0)-1,0)/$F108*$G108</f>
        <v>70.8</v>
      </c>
      <c r="L108" s="36">
        <f ca="1">OFFSET(总规划!H$260,MATCH($E108,总规划!$B$260:$B$335,0)-1,0)/$F108*$G108</f>
        <v>70.8</v>
      </c>
      <c r="M108" s="36" t="str">
        <f ca="1">OFFSET(总规划!I$260,MATCH($E108,总规划!$B$260:$B$335,0)-1,0)</f>
        <v>1M资源</v>
      </c>
      <c r="N108" s="36">
        <f ca="1">OFFSET(总规划!J$260,MATCH($E108,总规划!$B$260:$B$335,0)-1,0)/$F108*$G108</f>
        <v>29500</v>
      </c>
      <c r="O108" s="36">
        <f ca="1">OFFSET(总规划!K$260,MATCH($E108,总规划!$B$260:$B$335,0)-1,0)/$F108*$G108</f>
        <v>29500</v>
      </c>
      <c r="P108" s="36" t="str">
        <f ca="1">OFFSET(总规划!L$260,MATCH($E108,总规划!$B$260:$B$335,0)-1,0)</f>
        <v>1战役币</v>
      </c>
      <c r="Q108" s="36">
        <f ca="1">OFFSET(总规划!M$260,MATCH($E108,总规划!$B$260:$B$335,0)-1,0)/$F108*$G108</f>
        <v>11800</v>
      </c>
      <c r="R108" s="36">
        <f ca="1">OFFSET(总规划!N$260,MATCH($E108,总规划!$B$260:$B$335,0)-1,0)/$F108*$G108</f>
        <v>11800</v>
      </c>
      <c r="S108" s="36" t="str">
        <f ca="1">OFFSET(总规划!O$260,MATCH($E108,总规划!$B$260:$B$335,0)-1,0)</f>
        <v>1联盟币</v>
      </c>
      <c r="T108" s="36">
        <f ca="1">OFFSET(总规划!P$260,MATCH($E108,总规划!$B$260:$B$335,0)-1,0)/$F108*$G108</f>
        <v>14750</v>
      </c>
      <c r="U108" s="36">
        <f ca="1">OFFSET(总规划!Q$260,MATCH($E108,总规划!$B$260:$B$335,0)-1,0)/$F108*$G108</f>
        <v>14750</v>
      </c>
      <c r="V108" s="36" t="str">
        <f ca="1">OFFSET(总规划!R$260,MATCH($E108,总规划!$B$260:$B$335,0)-1,0)</f>
        <v>1空战币</v>
      </c>
    </row>
    <row r="109" spans="4:22">
      <c r="D109" s="36" t="s">
        <v>1600</v>
      </c>
      <c r="E109" s="36" t="s">
        <v>639</v>
      </c>
      <c r="F109" s="36">
        <v>1</v>
      </c>
      <c r="G109" s="36">
        <v>1</v>
      </c>
      <c r="H109" s="36">
        <f ca="1">OFFSET(总规划!D$260,MATCH($E109,总规划!$B$260:$B$335,0)-1,0)/$F109*$G109</f>
        <v>29.5</v>
      </c>
      <c r="I109" s="36">
        <f ca="1">OFFSET(总规划!E$260,MATCH($E109,总规划!$B$260:$B$335,0)-1,0)/$F109*$G109</f>
        <v>35400</v>
      </c>
      <c r="J109" s="36">
        <f ca="1">OFFSET(总规划!F$260,MATCH($E109,总规划!$B$260:$B$335,0)-1,0)/$F109*$G109</f>
        <v>70800</v>
      </c>
      <c r="K109" s="36">
        <f ca="1">OFFSET(总规划!G$260,MATCH($E109,总规划!$B$260:$B$335,0)-1,0)/$F109*$G109</f>
        <v>70.8</v>
      </c>
      <c r="L109" s="36">
        <f ca="1">OFFSET(总规划!H$260,MATCH($E109,总规划!$B$260:$B$335,0)-1,0)/$F109*$G109</f>
        <v>70.8</v>
      </c>
      <c r="M109" s="36" t="str">
        <f ca="1">OFFSET(总规划!I$260,MATCH($E109,总规划!$B$260:$B$335,0)-1,0)</f>
        <v>1M资源</v>
      </c>
      <c r="N109" s="36">
        <f ca="1">OFFSET(总规划!J$260,MATCH($E109,总规划!$B$260:$B$335,0)-1,0)/$F109*$G109</f>
        <v>29500</v>
      </c>
      <c r="O109" s="36">
        <f ca="1">OFFSET(总规划!K$260,MATCH($E109,总规划!$B$260:$B$335,0)-1,0)/$F109*$G109</f>
        <v>29500</v>
      </c>
      <c r="P109" s="36" t="str">
        <f ca="1">OFFSET(总规划!L$260,MATCH($E109,总规划!$B$260:$B$335,0)-1,0)</f>
        <v>1战役币</v>
      </c>
      <c r="Q109" s="36">
        <f ca="1">OFFSET(总规划!M$260,MATCH($E109,总规划!$B$260:$B$335,0)-1,0)/$F109*$G109</f>
        <v>11800</v>
      </c>
      <c r="R109" s="36">
        <f ca="1">OFFSET(总规划!N$260,MATCH($E109,总规划!$B$260:$B$335,0)-1,0)/$F109*$G109</f>
        <v>11800</v>
      </c>
      <c r="S109" s="36" t="str">
        <f ca="1">OFFSET(总规划!O$260,MATCH($E109,总规划!$B$260:$B$335,0)-1,0)</f>
        <v>1联盟币</v>
      </c>
      <c r="T109" s="36">
        <f ca="1">OFFSET(总规划!P$260,MATCH($E109,总规划!$B$260:$B$335,0)-1,0)/$F109*$G109</f>
        <v>14750</v>
      </c>
      <c r="U109" s="36">
        <f ca="1">OFFSET(总规划!Q$260,MATCH($E109,总规划!$B$260:$B$335,0)-1,0)/$F109*$G109</f>
        <v>14750</v>
      </c>
      <c r="V109" s="36" t="str">
        <f ca="1">OFFSET(总规划!R$260,MATCH($E109,总规划!$B$260:$B$335,0)-1,0)</f>
        <v>1空战币</v>
      </c>
    </row>
    <row r="110" spans="4:22">
      <c r="D110" s="36" t="s">
        <v>2571</v>
      </c>
      <c r="E110" s="36" t="s">
        <v>640</v>
      </c>
      <c r="F110" s="36">
        <v>1</v>
      </c>
      <c r="G110" s="36">
        <v>1</v>
      </c>
      <c r="H110" s="36">
        <f ca="1">OFFSET(总规划!D$260,MATCH($E110,总规划!$B$260:$B$335,0)-1,0)/$F110*$G110</f>
        <v>7.375</v>
      </c>
      <c r="I110" s="36">
        <f ca="1">OFFSET(总规划!E$260,MATCH($E110,总规划!$B$260:$B$335,0)-1,0)/$F110*$G110</f>
        <v>8850</v>
      </c>
      <c r="J110" s="36">
        <f ca="1">OFFSET(总规划!F$260,MATCH($E110,总规划!$B$260:$B$335,0)-1,0)/$F110*$G110</f>
        <v>17700</v>
      </c>
      <c r="K110" s="36">
        <f ca="1">OFFSET(总规划!G$260,MATCH($E110,总规划!$B$260:$B$335,0)-1,0)/$F110*$G110</f>
        <v>17.7</v>
      </c>
      <c r="L110" s="36">
        <f ca="1">OFFSET(总规划!H$260,MATCH($E110,总规划!$B$260:$B$335,0)-1,0)/$F110*$G110</f>
        <v>17.7</v>
      </c>
      <c r="M110" s="36" t="str">
        <f ca="1">OFFSET(总规划!I$260,MATCH($E110,总规划!$B$260:$B$335,0)-1,0)</f>
        <v>1M资源</v>
      </c>
      <c r="N110" s="36">
        <f ca="1">OFFSET(总规划!J$260,MATCH($E110,总规划!$B$260:$B$335,0)-1,0)/$F110*$G110</f>
        <v>7375</v>
      </c>
      <c r="O110" s="36">
        <f ca="1">OFFSET(总规划!K$260,MATCH($E110,总规划!$B$260:$B$335,0)-1,0)/$F110*$G110</f>
        <v>7375</v>
      </c>
      <c r="P110" s="36" t="str">
        <f ca="1">OFFSET(总规划!L$260,MATCH($E110,总规划!$B$260:$B$335,0)-1,0)</f>
        <v>1战役币</v>
      </c>
      <c r="Q110" s="36">
        <f ca="1">OFFSET(总规划!M$260,MATCH($E110,总规划!$B$260:$B$335,0)-1,0)/$F110*$G110</f>
        <v>2950</v>
      </c>
      <c r="R110" s="36">
        <f ca="1">OFFSET(总规划!N$260,MATCH($E110,总规划!$B$260:$B$335,0)-1,0)/$F110*$G110</f>
        <v>2950</v>
      </c>
      <c r="S110" s="36" t="str">
        <f ca="1">OFFSET(总规划!O$260,MATCH($E110,总规划!$B$260:$B$335,0)-1,0)</f>
        <v>1联盟币</v>
      </c>
      <c r="T110" s="36">
        <f ca="1">OFFSET(总规划!P$260,MATCH($E110,总规划!$B$260:$B$335,0)-1,0)/$F110*$G110</f>
        <v>3687.5</v>
      </c>
      <c r="U110" s="36">
        <f ca="1">OFFSET(总规划!Q$260,MATCH($E110,总规划!$B$260:$B$335,0)-1,0)/$F110*$G110</f>
        <v>3687.5</v>
      </c>
      <c r="V110" s="36" t="str">
        <f ca="1">OFFSET(总规划!R$260,MATCH($E110,总规划!$B$260:$B$335,0)-1,0)</f>
        <v>1空战币</v>
      </c>
    </row>
    <row r="111" spans="4:22">
      <c r="D111" s="36" t="s">
        <v>2572</v>
      </c>
      <c r="E111" s="36" t="s">
        <v>641</v>
      </c>
      <c r="F111" s="36">
        <v>1</v>
      </c>
      <c r="G111" s="36">
        <v>1</v>
      </c>
      <c r="H111" s="36">
        <f ca="1">OFFSET(总规划!D$260,MATCH($E111,总规划!$B$260:$B$335,0)-1,0)/$F111*$G111</f>
        <v>35</v>
      </c>
      <c r="I111" s="36">
        <f ca="1">OFFSET(总规划!E$260,MATCH($E111,总规划!$B$260:$B$335,0)-1,0)/$F111*$G111</f>
        <v>42000</v>
      </c>
      <c r="J111" s="36">
        <f ca="1">OFFSET(总规划!F$260,MATCH($E111,总规划!$B$260:$B$335,0)-1,0)/$F111*$G111</f>
        <v>84000</v>
      </c>
      <c r="K111" s="36">
        <f ca="1">OFFSET(总规划!G$260,MATCH($E111,总规划!$B$260:$B$335,0)-1,0)/$F111*$G111</f>
        <v>84</v>
      </c>
      <c r="L111" s="36">
        <f ca="1">OFFSET(总规划!H$260,MATCH($E111,总规划!$B$260:$B$335,0)-1,0)/$F111*$G111</f>
        <v>84</v>
      </c>
      <c r="M111" s="36" t="str">
        <f ca="1">OFFSET(总规划!I$260,MATCH($E111,总规划!$B$260:$B$335,0)-1,0)</f>
        <v>1M资源</v>
      </c>
      <c r="N111" s="36">
        <f ca="1">OFFSET(总规划!J$260,MATCH($E111,总规划!$B$260:$B$335,0)-1,0)/$F111*$G111</f>
        <v>35000</v>
      </c>
      <c r="O111" s="36">
        <f ca="1">OFFSET(总规划!K$260,MATCH($E111,总规划!$B$260:$B$335,0)-1,0)/$F111*$G111</f>
        <v>35000</v>
      </c>
      <c r="P111" s="36" t="str">
        <f ca="1">OFFSET(总规划!L$260,MATCH($E111,总规划!$B$260:$B$335,0)-1,0)</f>
        <v>1战役币</v>
      </c>
      <c r="Q111" s="36">
        <f ca="1">OFFSET(总规划!M$260,MATCH($E111,总规划!$B$260:$B$335,0)-1,0)/$F111*$G111</f>
        <v>14000</v>
      </c>
      <c r="R111" s="36">
        <f ca="1">OFFSET(总规划!N$260,MATCH($E111,总规划!$B$260:$B$335,0)-1,0)/$F111*$G111</f>
        <v>14000</v>
      </c>
      <c r="S111" s="36" t="str">
        <f ca="1">OFFSET(总规划!O$260,MATCH($E111,总规划!$B$260:$B$335,0)-1,0)</f>
        <v>1联盟币</v>
      </c>
      <c r="T111" s="36">
        <f ca="1">OFFSET(总规划!P$260,MATCH($E111,总规划!$B$260:$B$335,0)-1,0)/$F111*$G111</f>
        <v>17500</v>
      </c>
      <c r="U111" s="36">
        <f ca="1">OFFSET(总规划!Q$260,MATCH($E111,总规划!$B$260:$B$335,0)-1,0)/$F111*$G111</f>
        <v>17500</v>
      </c>
      <c r="V111" s="36" t="str">
        <f ca="1">OFFSET(总规划!R$260,MATCH($E111,总规划!$B$260:$B$335,0)-1,0)</f>
        <v>1空战币</v>
      </c>
    </row>
    <row r="112" spans="4:22">
      <c r="D112" s="36" t="s">
        <v>2573</v>
      </c>
      <c r="E112" s="36" t="s">
        <v>642</v>
      </c>
      <c r="F112" s="36">
        <v>1</v>
      </c>
      <c r="G112" s="36">
        <v>1</v>
      </c>
      <c r="H112" s="36">
        <f ca="1">OFFSET(总规划!D$260,MATCH($E112,总规划!$B$260:$B$335,0)-1,0)/$F112*$G112</f>
        <v>35</v>
      </c>
      <c r="I112" s="36">
        <f ca="1">OFFSET(总规划!E$260,MATCH($E112,总规划!$B$260:$B$335,0)-1,0)/$F112*$G112</f>
        <v>42000</v>
      </c>
      <c r="J112" s="36">
        <f ca="1">OFFSET(总规划!F$260,MATCH($E112,总规划!$B$260:$B$335,0)-1,0)/$F112*$G112</f>
        <v>84000</v>
      </c>
      <c r="K112" s="36">
        <f ca="1">OFFSET(总规划!G$260,MATCH($E112,总规划!$B$260:$B$335,0)-1,0)/$F112*$G112</f>
        <v>84</v>
      </c>
      <c r="L112" s="36">
        <f ca="1">OFFSET(总规划!H$260,MATCH($E112,总规划!$B$260:$B$335,0)-1,0)/$F112*$G112</f>
        <v>84</v>
      </c>
      <c r="M112" s="36" t="str">
        <f ca="1">OFFSET(总规划!I$260,MATCH($E112,总规划!$B$260:$B$335,0)-1,0)</f>
        <v>1M资源</v>
      </c>
      <c r="N112" s="36">
        <f ca="1">OFFSET(总规划!J$260,MATCH($E112,总规划!$B$260:$B$335,0)-1,0)/$F112*$G112</f>
        <v>35000</v>
      </c>
      <c r="O112" s="36">
        <f ca="1">OFFSET(总规划!K$260,MATCH($E112,总规划!$B$260:$B$335,0)-1,0)/$F112*$G112</f>
        <v>35000</v>
      </c>
      <c r="P112" s="36" t="str">
        <f ca="1">OFFSET(总规划!L$260,MATCH($E112,总规划!$B$260:$B$335,0)-1,0)</f>
        <v>1战役币</v>
      </c>
      <c r="Q112" s="36">
        <f ca="1">OFFSET(总规划!M$260,MATCH($E112,总规划!$B$260:$B$335,0)-1,0)/$F112*$G112</f>
        <v>14000</v>
      </c>
      <c r="R112" s="36">
        <f ca="1">OFFSET(总规划!N$260,MATCH($E112,总规划!$B$260:$B$335,0)-1,0)/$F112*$G112</f>
        <v>14000</v>
      </c>
      <c r="S112" s="36" t="str">
        <f ca="1">OFFSET(总规划!O$260,MATCH($E112,总规划!$B$260:$B$335,0)-1,0)</f>
        <v>1联盟币</v>
      </c>
      <c r="T112" s="36">
        <f ca="1">OFFSET(总规划!P$260,MATCH($E112,总规划!$B$260:$B$335,0)-1,0)/$F112*$G112</f>
        <v>17500</v>
      </c>
      <c r="U112" s="36">
        <f ca="1">OFFSET(总规划!Q$260,MATCH($E112,总规划!$B$260:$B$335,0)-1,0)/$F112*$G112</f>
        <v>17500</v>
      </c>
      <c r="V112" s="36" t="str">
        <f ca="1">OFFSET(总规划!R$260,MATCH($E112,总规划!$B$260:$B$335,0)-1,0)</f>
        <v>1空战币</v>
      </c>
    </row>
    <row r="113" spans="4:22">
      <c r="D113" s="36" t="s">
        <v>2574</v>
      </c>
      <c r="E113" s="36" t="s">
        <v>644</v>
      </c>
      <c r="F113" s="36">
        <v>1</v>
      </c>
      <c r="G113" s="36">
        <v>1</v>
      </c>
      <c r="H113" s="36">
        <f ca="1">OFFSET(总规划!D$260,MATCH($E113,总规划!$B$260:$B$335,0)-1,0)/$F113*$G113</f>
        <v>35</v>
      </c>
      <c r="I113" s="36">
        <f ca="1">OFFSET(总规划!E$260,MATCH($E113,总规划!$B$260:$B$335,0)-1,0)/$F113*$G113</f>
        <v>42000</v>
      </c>
      <c r="J113" s="36">
        <f ca="1">OFFSET(总规划!F$260,MATCH($E113,总规划!$B$260:$B$335,0)-1,0)/$F113*$G113</f>
        <v>84000</v>
      </c>
      <c r="K113" s="36">
        <f ca="1">OFFSET(总规划!G$260,MATCH($E113,总规划!$B$260:$B$335,0)-1,0)/$F113*$G113</f>
        <v>84</v>
      </c>
      <c r="L113" s="36">
        <f ca="1">OFFSET(总规划!H$260,MATCH($E113,总规划!$B$260:$B$335,0)-1,0)/$F113*$G113</f>
        <v>84</v>
      </c>
      <c r="M113" s="36" t="str">
        <f ca="1">OFFSET(总规划!I$260,MATCH($E113,总规划!$B$260:$B$335,0)-1,0)</f>
        <v>1M资源</v>
      </c>
      <c r="N113" s="36">
        <f ca="1">OFFSET(总规划!J$260,MATCH($E113,总规划!$B$260:$B$335,0)-1,0)/$F113*$G113</f>
        <v>35000</v>
      </c>
      <c r="O113" s="36">
        <f ca="1">OFFSET(总规划!K$260,MATCH($E113,总规划!$B$260:$B$335,0)-1,0)/$F113*$G113</f>
        <v>35000</v>
      </c>
      <c r="P113" s="36" t="str">
        <f ca="1">OFFSET(总规划!L$260,MATCH($E113,总规划!$B$260:$B$335,0)-1,0)</f>
        <v>1战役币</v>
      </c>
      <c r="Q113" s="36">
        <f ca="1">OFFSET(总规划!M$260,MATCH($E113,总规划!$B$260:$B$335,0)-1,0)/$F113*$G113</f>
        <v>14000</v>
      </c>
      <c r="R113" s="36">
        <f ca="1">OFFSET(总规划!N$260,MATCH($E113,总规划!$B$260:$B$335,0)-1,0)/$F113*$G113</f>
        <v>14000</v>
      </c>
      <c r="S113" s="36" t="str">
        <f ca="1">OFFSET(总规划!O$260,MATCH($E113,总规划!$B$260:$B$335,0)-1,0)</f>
        <v>1联盟币</v>
      </c>
      <c r="T113" s="36">
        <f ca="1">OFFSET(总规划!P$260,MATCH($E113,总规划!$B$260:$B$335,0)-1,0)/$F113*$G113</f>
        <v>17500</v>
      </c>
      <c r="U113" s="36">
        <f ca="1">OFFSET(总规划!Q$260,MATCH($E113,总规划!$B$260:$B$335,0)-1,0)/$F113*$G113</f>
        <v>17500</v>
      </c>
      <c r="V113" s="36" t="str">
        <f ca="1">OFFSET(总规划!R$260,MATCH($E113,总规划!$B$260:$B$335,0)-1,0)</f>
        <v>1空战币</v>
      </c>
    </row>
    <row r="114" spans="4:22">
      <c r="D114" s="36" t="s">
        <v>2575</v>
      </c>
      <c r="E114" s="36" t="s">
        <v>647</v>
      </c>
      <c r="F114" s="36">
        <v>1</v>
      </c>
      <c r="G114" s="36">
        <v>1</v>
      </c>
      <c r="H114" s="36">
        <f ca="1">OFFSET(总规划!D$260,MATCH($E114,总规划!$B$260:$B$335,0)-1,0)/$F114*$G114</f>
        <v>70</v>
      </c>
      <c r="I114" s="36">
        <f ca="1">OFFSET(总规划!E$260,MATCH($E114,总规划!$B$260:$B$335,0)-1,0)/$F114*$G114</f>
        <v>84000</v>
      </c>
      <c r="J114" s="36">
        <f ca="1">OFFSET(总规划!F$260,MATCH($E114,总规划!$B$260:$B$335,0)-1,0)/$F114*$G114</f>
        <v>168000</v>
      </c>
      <c r="K114" s="36">
        <f ca="1">OFFSET(总规划!G$260,MATCH($E114,总规划!$B$260:$B$335,0)-1,0)/$F114*$G114</f>
        <v>168</v>
      </c>
      <c r="L114" s="36">
        <f ca="1">OFFSET(总规划!H$260,MATCH($E114,总规划!$B$260:$B$335,0)-1,0)/$F114*$G114</f>
        <v>168</v>
      </c>
      <c r="M114" s="36" t="str">
        <f ca="1">OFFSET(总规划!I$260,MATCH($E114,总规划!$B$260:$B$335,0)-1,0)</f>
        <v>1M资源</v>
      </c>
      <c r="N114" s="36">
        <f ca="1">OFFSET(总规划!J$260,MATCH($E114,总规划!$B$260:$B$335,0)-1,0)/$F114*$G114</f>
        <v>70000</v>
      </c>
      <c r="O114" s="36">
        <f ca="1">OFFSET(总规划!K$260,MATCH($E114,总规划!$B$260:$B$335,0)-1,0)/$F114*$G114</f>
        <v>70000</v>
      </c>
      <c r="P114" s="36" t="str">
        <f ca="1">OFFSET(总规划!L$260,MATCH($E114,总规划!$B$260:$B$335,0)-1,0)</f>
        <v>1战役币</v>
      </c>
      <c r="Q114" s="36">
        <f ca="1">OFFSET(总规划!M$260,MATCH($E114,总规划!$B$260:$B$335,0)-1,0)/$F114*$G114</f>
        <v>28000</v>
      </c>
      <c r="R114" s="36">
        <f ca="1">OFFSET(总规划!N$260,MATCH($E114,总规划!$B$260:$B$335,0)-1,0)/$F114*$G114</f>
        <v>28000</v>
      </c>
      <c r="S114" s="36" t="str">
        <f ca="1">OFFSET(总规划!O$260,MATCH($E114,总规划!$B$260:$B$335,0)-1,0)</f>
        <v>1联盟币</v>
      </c>
      <c r="T114" s="36">
        <f ca="1">OFFSET(总规划!P$260,MATCH($E114,总规划!$B$260:$B$335,0)-1,0)/$F114*$G114</f>
        <v>35000</v>
      </c>
      <c r="U114" s="36">
        <f ca="1">OFFSET(总规划!Q$260,MATCH($E114,总规划!$B$260:$B$335,0)-1,0)/$F114*$G114</f>
        <v>35000</v>
      </c>
      <c r="V114" s="36" t="str">
        <f ca="1">OFFSET(总规划!R$260,MATCH($E114,总规划!$B$260:$B$335,0)-1,0)</f>
        <v>1空战币</v>
      </c>
    </row>
    <row r="115" spans="4:22">
      <c r="D115" s="36" t="s">
        <v>2576</v>
      </c>
      <c r="E115" s="36" t="s">
        <v>643</v>
      </c>
      <c r="F115" s="36">
        <v>1</v>
      </c>
      <c r="G115" s="36">
        <v>1</v>
      </c>
      <c r="H115" s="36">
        <f ca="1">OFFSET(总规划!D$260,MATCH($E115,总规划!$B$260:$B$335,0)-1,0)/$F115*$G115</f>
        <v>35</v>
      </c>
      <c r="I115" s="36">
        <f ca="1">OFFSET(总规划!E$260,MATCH($E115,总规划!$B$260:$B$335,0)-1,0)/$F115*$G115</f>
        <v>42000</v>
      </c>
      <c r="J115" s="36">
        <f ca="1">OFFSET(总规划!F$260,MATCH($E115,总规划!$B$260:$B$335,0)-1,0)/$F115*$G115</f>
        <v>84000</v>
      </c>
      <c r="K115" s="36">
        <f ca="1">OFFSET(总规划!G$260,MATCH($E115,总规划!$B$260:$B$335,0)-1,0)/$F115*$G115</f>
        <v>84</v>
      </c>
      <c r="L115" s="36">
        <f ca="1">OFFSET(总规划!H$260,MATCH($E115,总规划!$B$260:$B$335,0)-1,0)/$F115*$G115</f>
        <v>84</v>
      </c>
      <c r="M115" s="36" t="str">
        <f ca="1">OFFSET(总规划!I$260,MATCH($E115,总规划!$B$260:$B$335,0)-1,0)</f>
        <v>1M资源</v>
      </c>
      <c r="N115" s="36">
        <f ca="1">OFFSET(总规划!J$260,MATCH($E115,总规划!$B$260:$B$335,0)-1,0)/$F115*$G115</f>
        <v>35000</v>
      </c>
      <c r="O115" s="36">
        <f ca="1">OFFSET(总规划!K$260,MATCH($E115,总规划!$B$260:$B$335,0)-1,0)/$F115*$G115</f>
        <v>35000</v>
      </c>
      <c r="P115" s="36" t="str">
        <f ca="1">OFFSET(总规划!L$260,MATCH($E115,总规划!$B$260:$B$335,0)-1,0)</f>
        <v>1战役币</v>
      </c>
      <c r="Q115" s="36">
        <f ca="1">OFFSET(总规划!M$260,MATCH($E115,总规划!$B$260:$B$335,0)-1,0)/$F115*$G115</f>
        <v>14000</v>
      </c>
      <c r="R115" s="36">
        <f ca="1">OFFSET(总规划!N$260,MATCH($E115,总规划!$B$260:$B$335,0)-1,0)/$F115*$G115</f>
        <v>14000</v>
      </c>
      <c r="S115" s="36" t="str">
        <f ca="1">OFFSET(总规划!O$260,MATCH($E115,总规划!$B$260:$B$335,0)-1,0)</f>
        <v>1联盟币</v>
      </c>
      <c r="T115" s="36">
        <f ca="1">OFFSET(总规划!P$260,MATCH($E115,总规划!$B$260:$B$335,0)-1,0)/$F115*$G115</f>
        <v>17500</v>
      </c>
      <c r="U115" s="36">
        <f ca="1">OFFSET(总规划!Q$260,MATCH($E115,总规划!$B$260:$B$335,0)-1,0)/$F115*$G115</f>
        <v>17500</v>
      </c>
      <c r="V115" s="36" t="str">
        <f ca="1">OFFSET(总规划!R$260,MATCH($E115,总规划!$B$260:$B$335,0)-1,0)</f>
        <v>1空战币</v>
      </c>
    </row>
    <row r="116" spans="4:22">
      <c r="D116" s="36" t="s">
        <v>2577</v>
      </c>
      <c r="E116" s="36" t="s">
        <v>648</v>
      </c>
      <c r="F116" s="36">
        <v>1</v>
      </c>
      <c r="G116" s="36">
        <v>1</v>
      </c>
      <c r="H116" s="36">
        <f ca="1">OFFSET(总规划!D$260,MATCH($E116,总规划!$B$260:$B$335,0)-1,0)/$F116*$G116</f>
        <v>70</v>
      </c>
      <c r="I116" s="36">
        <f ca="1">OFFSET(总规划!E$260,MATCH($E116,总规划!$B$260:$B$335,0)-1,0)/$F116*$G116</f>
        <v>84000</v>
      </c>
      <c r="J116" s="36">
        <f ca="1">OFFSET(总规划!F$260,MATCH($E116,总规划!$B$260:$B$335,0)-1,0)/$F116*$G116</f>
        <v>168000</v>
      </c>
      <c r="K116" s="36">
        <f ca="1">OFFSET(总规划!G$260,MATCH($E116,总规划!$B$260:$B$335,0)-1,0)/$F116*$G116</f>
        <v>168</v>
      </c>
      <c r="L116" s="36">
        <f ca="1">OFFSET(总规划!H$260,MATCH($E116,总规划!$B$260:$B$335,0)-1,0)/$F116*$G116</f>
        <v>168</v>
      </c>
      <c r="M116" s="36" t="str">
        <f ca="1">OFFSET(总规划!I$260,MATCH($E116,总规划!$B$260:$B$335,0)-1,0)</f>
        <v>1M资源</v>
      </c>
      <c r="N116" s="36">
        <f ca="1">OFFSET(总规划!J$260,MATCH($E116,总规划!$B$260:$B$335,0)-1,0)/$F116*$G116</f>
        <v>70000</v>
      </c>
      <c r="O116" s="36">
        <f ca="1">OFFSET(总规划!K$260,MATCH($E116,总规划!$B$260:$B$335,0)-1,0)/$F116*$G116</f>
        <v>70000</v>
      </c>
      <c r="P116" s="36" t="str">
        <f ca="1">OFFSET(总规划!L$260,MATCH($E116,总规划!$B$260:$B$335,0)-1,0)</f>
        <v>1战役币</v>
      </c>
      <c r="Q116" s="36">
        <f ca="1">OFFSET(总规划!M$260,MATCH($E116,总规划!$B$260:$B$335,0)-1,0)/$F116*$G116</f>
        <v>28000</v>
      </c>
      <c r="R116" s="36">
        <f ca="1">OFFSET(总规划!N$260,MATCH($E116,总规划!$B$260:$B$335,0)-1,0)/$F116*$G116</f>
        <v>28000</v>
      </c>
      <c r="S116" s="36" t="str">
        <f ca="1">OFFSET(总规划!O$260,MATCH($E116,总规划!$B$260:$B$335,0)-1,0)</f>
        <v>1联盟币</v>
      </c>
      <c r="T116" s="36">
        <f ca="1">OFFSET(总规划!P$260,MATCH($E116,总规划!$B$260:$B$335,0)-1,0)/$F116*$G116</f>
        <v>35000</v>
      </c>
      <c r="U116" s="36">
        <f ca="1">OFFSET(总规划!Q$260,MATCH($E116,总规划!$B$260:$B$335,0)-1,0)/$F116*$G116</f>
        <v>35000</v>
      </c>
      <c r="V116" s="36" t="str">
        <f ca="1">OFFSET(总规划!R$260,MATCH($E116,总规划!$B$260:$B$335,0)-1,0)</f>
        <v>1空战币</v>
      </c>
    </row>
    <row r="117" spans="4:22">
      <c r="D117" s="36" t="s">
        <v>2578</v>
      </c>
      <c r="E117" s="36" t="s">
        <v>645</v>
      </c>
      <c r="F117" s="36">
        <v>1</v>
      </c>
      <c r="G117" s="36">
        <v>1</v>
      </c>
      <c r="H117" s="36">
        <f ca="1">OFFSET(总规划!D$260,MATCH($E117,总规划!$B$260:$B$335,0)-1,0)/$F117*$G117</f>
        <v>35</v>
      </c>
      <c r="I117" s="36">
        <f ca="1">OFFSET(总规划!E$260,MATCH($E117,总规划!$B$260:$B$335,0)-1,0)/$F117*$G117</f>
        <v>42000</v>
      </c>
      <c r="J117" s="36">
        <f ca="1">OFFSET(总规划!F$260,MATCH($E117,总规划!$B$260:$B$335,0)-1,0)/$F117*$G117</f>
        <v>84000</v>
      </c>
      <c r="K117" s="36">
        <f ca="1">OFFSET(总规划!G$260,MATCH($E117,总规划!$B$260:$B$335,0)-1,0)/$F117*$G117</f>
        <v>84</v>
      </c>
      <c r="L117" s="36">
        <f ca="1">OFFSET(总规划!H$260,MATCH($E117,总规划!$B$260:$B$335,0)-1,0)/$F117*$G117</f>
        <v>84</v>
      </c>
      <c r="M117" s="36" t="str">
        <f ca="1">OFFSET(总规划!I$260,MATCH($E117,总规划!$B$260:$B$335,0)-1,0)</f>
        <v>1M资源</v>
      </c>
      <c r="N117" s="36">
        <f ca="1">OFFSET(总规划!J$260,MATCH($E117,总规划!$B$260:$B$335,0)-1,0)/$F117*$G117</f>
        <v>35000</v>
      </c>
      <c r="O117" s="36">
        <f ca="1">OFFSET(总规划!K$260,MATCH($E117,总规划!$B$260:$B$335,0)-1,0)/$F117*$G117</f>
        <v>35000</v>
      </c>
      <c r="P117" s="36" t="str">
        <f ca="1">OFFSET(总规划!L$260,MATCH($E117,总规划!$B$260:$B$335,0)-1,0)</f>
        <v>1战役币</v>
      </c>
      <c r="Q117" s="36">
        <f ca="1">OFFSET(总规划!M$260,MATCH($E117,总规划!$B$260:$B$335,0)-1,0)/$F117*$G117</f>
        <v>14000</v>
      </c>
      <c r="R117" s="36">
        <f ca="1">OFFSET(总规划!N$260,MATCH($E117,总规划!$B$260:$B$335,0)-1,0)/$F117*$G117</f>
        <v>14000</v>
      </c>
      <c r="S117" s="36" t="str">
        <f ca="1">OFFSET(总规划!O$260,MATCH($E117,总规划!$B$260:$B$335,0)-1,0)</f>
        <v>1联盟币</v>
      </c>
      <c r="T117" s="36">
        <f ca="1">OFFSET(总规划!P$260,MATCH($E117,总规划!$B$260:$B$335,0)-1,0)/$F117*$G117</f>
        <v>17500</v>
      </c>
      <c r="U117" s="36">
        <f ca="1">OFFSET(总规划!Q$260,MATCH($E117,总规划!$B$260:$B$335,0)-1,0)/$F117*$G117</f>
        <v>17500</v>
      </c>
      <c r="V117" s="36" t="str">
        <f ca="1">OFFSET(总规划!R$260,MATCH($E117,总规划!$B$260:$B$335,0)-1,0)</f>
        <v>1空战币</v>
      </c>
    </row>
    <row r="118" spans="4:22">
      <c r="D118" s="36" t="s">
        <v>2579</v>
      </c>
      <c r="E118" s="36" t="s">
        <v>648</v>
      </c>
      <c r="F118" s="36">
        <v>1</v>
      </c>
      <c r="G118" s="36">
        <v>1</v>
      </c>
      <c r="H118" s="36">
        <f ca="1">OFFSET(总规划!D$260,MATCH($E118,总规划!$B$260:$B$335,0)-1,0)/$F118*$G118</f>
        <v>70</v>
      </c>
      <c r="I118" s="36">
        <f ca="1">OFFSET(总规划!E$260,MATCH($E118,总规划!$B$260:$B$335,0)-1,0)/$F118*$G118</f>
        <v>84000</v>
      </c>
      <c r="J118" s="36">
        <f ca="1">OFFSET(总规划!F$260,MATCH($E118,总规划!$B$260:$B$335,0)-1,0)/$F118*$G118</f>
        <v>168000</v>
      </c>
      <c r="K118" s="36">
        <f ca="1">OFFSET(总规划!G$260,MATCH($E118,总规划!$B$260:$B$335,0)-1,0)/$F118*$G118</f>
        <v>168</v>
      </c>
      <c r="L118" s="36">
        <f ca="1">OFFSET(总规划!H$260,MATCH($E118,总规划!$B$260:$B$335,0)-1,0)/$F118*$G118</f>
        <v>168</v>
      </c>
      <c r="M118" s="36" t="str">
        <f ca="1">OFFSET(总规划!I$260,MATCH($E118,总规划!$B$260:$B$335,0)-1,0)</f>
        <v>1M资源</v>
      </c>
      <c r="N118" s="36">
        <f ca="1">OFFSET(总规划!J$260,MATCH($E118,总规划!$B$260:$B$335,0)-1,0)/$F118*$G118</f>
        <v>70000</v>
      </c>
      <c r="O118" s="36">
        <f ca="1">OFFSET(总规划!K$260,MATCH($E118,总规划!$B$260:$B$335,0)-1,0)/$F118*$G118</f>
        <v>70000</v>
      </c>
      <c r="P118" s="36" t="str">
        <f ca="1">OFFSET(总规划!L$260,MATCH($E118,总规划!$B$260:$B$335,0)-1,0)</f>
        <v>1战役币</v>
      </c>
      <c r="Q118" s="36">
        <f ca="1">OFFSET(总规划!M$260,MATCH($E118,总规划!$B$260:$B$335,0)-1,0)/$F118*$G118</f>
        <v>28000</v>
      </c>
      <c r="R118" s="36">
        <f ca="1">OFFSET(总规划!N$260,MATCH($E118,总规划!$B$260:$B$335,0)-1,0)/$F118*$G118</f>
        <v>28000</v>
      </c>
      <c r="S118" s="36" t="str">
        <f ca="1">OFFSET(总规划!O$260,MATCH($E118,总规划!$B$260:$B$335,0)-1,0)</f>
        <v>1联盟币</v>
      </c>
      <c r="T118" s="36">
        <f ca="1">OFFSET(总规划!P$260,MATCH($E118,总规划!$B$260:$B$335,0)-1,0)/$F118*$G118</f>
        <v>35000</v>
      </c>
      <c r="U118" s="36">
        <f ca="1">OFFSET(总规划!Q$260,MATCH($E118,总规划!$B$260:$B$335,0)-1,0)/$F118*$G118</f>
        <v>35000</v>
      </c>
      <c r="V118" s="36" t="str">
        <f ca="1">OFFSET(总规划!R$260,MATCH($E118,总规划!$B$260:$B$335,0)-1,0)</f>
        <v>1空战币</v>
      </c>
    </row>
    <row r="119" spans="4:22">
      <c r="D119" s="36" t="s">
        <v>2580</v>
      </c>
      <c r="E119" s="36" t="s">
        <v>649</v>
      </c>
      <c r="F119" s="36">
        <v>1</v>
      </c>
      <c r="G119" s="36">
        <v>1</v>
      </c>
      <c r="H119" s="36">
        <f ca="1">OFFSET(总规划!D$260,MATCH($E119,总规划!$B$260:$B$335,0)-1,0)/$F119*$G119</f>
        <v>70</v>
      </c>
      <c r="I119" s="36">
        <f ca="1">OFFSET(总规划!E$260,MATCH($E119,总规划!$B$260:$B$335,0)-1,0)/$F119*$G119</f>
        <v>84000</v>
      </c>
      <c r="J119" s="36">
        <f ca="1">OFFSET(总规划!F$260,MATCH($E119,总规划!$B$260:$B$335,0)-1,0)/$F119*$G119</f>
        <v>168000</v>
      </c>
      <c r="K119" s="36">
        <f ca="1">OFFSET(总规划!G$260,MATCH($E119,总规划!$B$260:$B$335,0)-1,0)/$F119*$G119</f>
        <v>168</v>
      </c>
      <c r="L119" s="36">
        <f ca="1">OFFSET(总规划!H$260,MATCH($E119,总规划!$B$260:$B$335,0)-1,0)/$F119*$G119</f>
        <v>168</v>
      </c>
      <c r="M119" s="36" t="str">
        <f ca="1">OFFSET(总规划!I$260,MATCH($E119,总规划!$B$260:$B$335,0)-1,0)</f>
        <v>1M资源</v>
      </c>
      <c r="N119" s="36">
        <f ca="1">OFFSET(总规划!J$260,MATCH($E119,总规划!$B$260:$B$335,0)-1,0)/$F119*$G119</f>
        <v>70000</v>
      </c>
      <c r="O119" s="36">
        <f ca="1">OFFSET(总规划!K$260,MATCH($E119,总规划!$B$260:$B$335,0)-1,0)/$F119*$G119</f>
        <v>70000</v>
      </c>
      <c r="P119" s="36" t="str">
        <f ca="1">OFFSET(总规划!L$260,MATCH($E119,总规划!$B$260:$B$335,0)-1,0)</f>
        <v>1战役币</v>
      </c>
      <c r="Q119" s="36">
        <f ca="1">OFFSET(总规划!M$260,MATCH($E119,总规划!$B$260:$B$335,0)-1,0)/$F119*$G119</f>
        <v>28000</v>
      </c>
      <c r="R119" s="36">
        <f ca="1">OFFSET(总规划!N$260,MATCH($E119,总规划!$B$260:$B$335,0)-1,0)/$F119*$G119</f>
        <v>28000</v>
      </c>
      <c r="S119" s="36" t="str">
        <f ca="1">OFFSET(总规划!O$260,MATCH($E119,总规划!$B$260:$B$335,0)-1,0)</f>
        <v>1联盟币</v>
      </c>
      <c r="T119" s="36">
        <f ca="1">OFFSET(总规划!P$260,MATCH($E119,总规划!$B$260:$B$335,0)-1,0)/$F119*$G119</f>
        <v>35000</v>
      </c>
      <c r="U119" s="36">
        <f ca="1">OFFSET(总规划!Q$260,MATCH($E119,总规划!$B$260:$B$335,0)-1,0)/$F119*$G119</f>
        <v>35000</v>
      </c>
      <c r="V119" s="36" t="str">
        <f ca="1">OFFSET(总规划!R$260,MATCH($E119,总规划!$B$260:$B$335,0)-1,0)</f>
        <v>1空战币</v>
      </c>
    </row>
    <row r="120" spans="4:22">
      <c r="D120" s="36" t="s">
        <v>2581</v>
      </c>
      <c r="E120" s="36" t="s">
        <v>650</v>
      </c>
      <c r="F120" s="36">
        <v>1</v>
      </c>
      <c r="G120" s="36">
        <v>1</v>
      </c>
      <c r="H120" s="36">
        <f ca="1">OFFSET(总规划!D$260,MATCH($E120,总规划!$B$260:$B$335,0)-1,0)/$F120*$G120</f>
        <v>17.5</v>
      </c>
      <c r="I120" s="36">
        <f ca="1">OFFSET(总规划!E$260,MATCH($E120,总规划!$B$260:$B$335,0)-1,0)/$F120*$G120</f>
        <v>21000</v>
      </c>
      <c r="J120" s="36">
        <f ca="1">OFFSET(总规划!F$260,MATCH($E120,总规划!$B$260:$B$335,0)-1,0)/$F120*$G120</f>
        <v>42000</v>
      </c>
      <c r="K120" s="36">
        <f ca="1">OFFSET(总规划!G$260,MATCH($E120,总规划!$B$260:$B$335,0)-1,0)/$F120*$G120</f>
        <v>42</v>
      </c>
      <c r="L120" s="36">
        <f ca="1">OFFSET(总规划!H$260,MATCH($E120,总规划!$B$260:$B$335,0)-1,0)/$F120*$G120</f>
        <v>42</v>
      </c>
      <c r="M120" s="36" t="str">
        <f ca="1">OFFSET(总规划!I$260,MATCH($E120,总规划!$B$260:$B$335,0)-1,0)</f>
        <v>1M资源</v>
      </c>
      <c r="N120" s="36">
        <f ca="1">OFFSET(总规划!J$260,MATCH($E120,总规划!$B$260:$B$335,0)-1,0)/$F120*$G120</f>
        <v>17500</v>
      </c>
      <c r="O120" s="36">
        <f ca="1">OFFSET(总规划!K$260,MATCH($E120,总规划!$B$260:$B$335,0)-1,0)/$F120*$G120</f>
        <v>17500</v>
      </c>
      <c r="P120" s="36" t="str">
        <f ca="1">OFFSET(总规划!L$260,MATCH($E120,总规划!$B$260:$B$335,0)-1,0)</f>
        <v>1战役币</v>
      </c>
      <c r="Q120" s="36">
        <f ca="1">OFFSET(总规划!M$260,MATCH($E120,总规划!$B$260:$B$335,0)-1,0)/$F120*$G120</f>
        <v>7000</v>
      </c>
      <c r="R120" s="36">
        <f ca="1">OFFSET(总规划!N$260,MATCH($E120,总规划!$B$260:$B$335,0)-1,0)/$F120*$G120</f>
        <v>7000</v>
      </c>
      <c r="S120" s="36" t="str">
        <f ca="1">OFFSET(总规划!O$260,MATCH($E120,总规划!$B$260:$B$335,0)-1,0)</f>
        <v>1联盟币</v>
      </c>
      <c r="T120" s="36">
        <f ca="1">OFFSET(总规划!P$260,MATCH($E120,总规划!$B$260:$B$335,0)-1,0)/$F120*$G120</f>
        <v>8750</v>
      </c>
      <c r="U120" s="36">
        <f ca="1">OFFSET(总规划!Q$260,MATCH($E120,总规划!$B$260:$B$335,0)-1,0)/$F120*$G120</f>
        <v>8750</v>
      </c>
      <c r="V120" s="36" t="str">
        <f ca="1">OFFSET(总规划!R$260,MATCH($E120,总规划!$B$260:$B$335,0)-1,0)</f>
        <v>1空战币</v>
      </c>
    </row>
    <row r="121" spans="4:22">
      <c r="D121" s="36" t="s">
        <v>1611</v>
      </c>
      <c r="E121" s="36" t="s">
        <v>651</v>
      </c>
      <c r="F121" s="36">
        <v>1</v>
      </c>
      <c r="G121" s="36">
        <v>1</v>
      </c>
      <c r="H121" s="36">
        <f ca="1">OFFSET(总规划!D$260,MATCH($E121,总规划!$B$260:$B$335,0)-1,0)/$F121*$G121</f>
        <v>0.9125</v>
      </c>
      <c r="I121" s="36">
        <f ca="1">OFFSET(总规划!E$260,MATCH($E121,总规划!$B$260:$B$335,0)-1,0)/$F121*$G121</f>
        <v>1095</v>
      </c>
      <c r="J121" s="36">
        <f ca="1">OFFSET(总规划!F$260,MATCH($E121,总规划!$B$260:$B$335,0)-1,0)/$F121*$G121</f>
        <v>2190</v>
      </c>
      <c r="K121" s="36">
        <f ca="1">OFFSET(总规划!G$260,MATCH($E121,总规划!$B$260:$B$335,0)-1,0)/$F121*$G121</f>
        <v>2.19</v>
      </c>
      <c r="L121" s="36">
        <f ca="1">OFFSET(总规划!H$260,MATCH($E121,总规划!$B$260:$B$335,0)-1,0)/$F121*$G121</f>
        <v>2.19</v>
      </c>
      <c r="M121" s="36" t="str">
        <f ca="1">OFFSET(总规划!I$260,MATCH($E121,总规划!$B$260:$B$335,0)-1,0)</f>
        <v>1M资源</v>
      </c>
      <c r="N121" s="36">
        <f ca="1">OFFSET(总规划!J$260,MATCH($E121,总规划!$B$260:$B$335,0)-1,0)/$F121*$G121</f>
        <v>912.5</v>
      </c>
      <c r="O121" s="36">
        <f ca="1">OFFSET(总规划!K$260,MATCH($E121,总规划!$B$260:$B$335,0)-1,0)/$F121*$G121</f>
        <v>912.5</v>
      </c>
      <c r="P121" s="36" t="str">
        <f ca="1">OFFSET(总规划!L$260,MATCH($E121,总规划!$B$260:$B$335,0)-1,0)</f>
        <v>1战役币</v>
      </c>
      <c r="Q121" s="36">
        <f ca="1">OFFSET(总规划!M$260,MATCH($E121,总规划!$B$260:$B$335,0)-1,0)/$F121*$G121</f>
        <v>365</v>
      </c>
      <c r="R121" s="36">
        <f ca="1">OFFSET(总规划!N$260,MATCH($E121,总规划!$B$260:$B$335,0)-1,0)/$F121*$G121</f>
        <v>365</v>
      </c>
      <c r="S121" s="36" t="str">
        <f ca="1">OFFSET(总规划!O$260,MATCH($E121,总规划!$B$260:$B$335,0)-1,0)</f>
        <v>1联盟币</v>
      </c>
      <c r="T121" s="36">
        <f ca="1">OFFSET(总规划!P$260,MATCH($E121,总规划!$B$260:$B$335,0)-1,0)/$F121*$G121</f>
        <v>456.25</v>
      </c>
      <c r="U121" s="36">
        <f ca="1">OFFSET(总规划!Q$260,MATCH($E121,总规划!$B$260:$B$335,0)-1,0)/$F121*$G121</f>
        <v>456.25</v>
      </c>
      <c r="V121" s="36" t="str">
        <f ca="1">OFFSET(总规划!R$260,MATCH($E121,总规划!$B$260:$B$335,0)-1,0)</f>
        <v>1空战币</v>
      </c>
    </row>
    <row r="122" spans="4:22">
      <c r="D122" s="36" t="s">
        <v>1612</v>
      </c>
      <c r="E122" s="36" t="s">
        <v>652</v>
      </c>
      <c r="F122" s="36">
        <v>1</v>
      </c>
      <c r="G122" s="36">
        <v>1</v>
      </c>
      <c r="H122" s="36">
        <f ca="1">OFFSET(总规划!D$260,MATCH($E122,总规划!$B$260:$B$335,0)-1,0)/$F122*$G122</f>
        <v>0.9125</v>
      </c>
      <c r="I122" s="36">
        <f ca="1">OFFSET(总规划!E$260,MATCH($E122,总规划!$B$260:$B$335,0)-1,0)/$F122*$G122</f>
        <v>1095</v>
      </c>
      <c r="J122" s="36">
        <f ca="1">OFFSET(总规划!F$260,MATCH($E122,总规划!$B$260:$B$335,0)-1,0)/$F122*$G122</f>
        <v>2190</v>
      </c>
      <c r="K122" s="36">
        <f ca="1">OFFSET(总规划!G$260,MATCH($E122,总规划!$B$260:$B$335,0)-1,0)/$F122*$G122</f>
        <v>2.19</v>
      </c>
      <c r="L122" s="36">
        <f ca="1">OFFSET(总规划!H$260,MATCH($E122,总规划!$B$260:$B$335,0)-1,0)/$F122*$G122</f>
        <v>2.19</v>
      </c>
      <c r="M122" s="36" t="str">
        <f ca="1">OFFSET(总规划!I$260,MATCH($E122,总规划!$B$260:$B$335,0)-1,0)</f>
        <v>1M资源</v>
      </c>
      <c r="N122" s="36">
        <f ca="1">OFFSET(总规划!J$260,MATCH($E122,总规划!$B$260:$B$335,0)-1,0)/$F122*$G122</f>
        <v>912.5</v>
      </c>
      <c r="O122" s="36">
        <f ca="1">OFFSET(总规划!K$260,MATCH($E122,总规划!$B$260:$B$335,0)-1,0)/$F122*$G122</f>
        <v>912.5</v>
      </c>
      <c r="P122" s="36" t="str">
        <f ca="1">OFFSET(总规划!L$260,MATCH($E122,总规划!$B$260:$B$335,0)-1,0)</f>
        <v>1战役币</v>
      </c>
      <c r="Q122" s="36">
        <f ca="1">OFFSET(总规划!M$260,MATCH($E122,总规划!$B$260:$B$335,0)-1,0)/$F122*$G122</f>
        <v>365</v>
      </c>
      <c r="R122" s="36">
        <f ca="1">OFFSET(总规划!N$260,MATCH($E122,总规划!$B$260:$B$335,0)-1,0)/$F122*$G122</f>
        <v>365</v>
      </c>
      <c r="S122" s="36" t="str">
        <f ca="1">OFFSET(总规划!O$260,MATCH($E122,总规划!$B$260:$B$335,0)-1,0)</f>
        <v>1联盟币</v>
      </c>
      <c r="T122" s="36">
        <f ca="1">OFFSET(总规划!P$260,MATCH($E122,总规划!$B$260:$B$335,0)-1,0)/$F122*$G122</f>
        <v>456.25</v>
      </c>
      <c r="U122" s="36">
        <f ca="1">OFFSET(总规划!Q$260,MATCH($E122,总规划!$B$260:$B$335,0)-1,0)/$F122*$G122</f>
        <v>456.25</v>
      </c>
      <c r="V122" s="36" t="str">
        <f ca="1">OFFSET(总规划!R$260,MATCH($E122,总规划!$B$260:$B$335,0)-1,0)</f>
        <v>1空战币</v>
      </c>
    </row>
    <row r="123" spans="4:22">
      <c r="D123" s="36" t="s">
        <v>1613</v>
      </c>
      <c r="E123" s="36" t="s">
        <v>653</v>
      </c>
      <c r="F123" s="36">
        <v>1</v>
      </c>
      <c r="G123" s="36">
        <v>1</v>
      </c>
      <c r="H123" s="36">
        <f ca="1">OFFSET(总规划!D$260,MATCH($E123,总规划!$B$260:$B$335,0)-1,0)/$F123*$G123</f>
        <v>1.825</v>
      </c>
      <c r="I123" s="36">
        <f ca="1">OFFSET(总规划!E$260,MATCH($E123,总规划!$B$260:$B$335,0)-1,0)/$F123*$G123</f>
        <v>2190</v>
      </c>
      <c r="J123" s="36">
        <f ca="1">OFFSET(总规划!F$260,MATCH($E123,总规划!$B$260:$B$335,0)-1,0)/$F123*$G123</f>
        <v>4380</v>
      </c>
      <c r="K123" s="36">
        <f ca="1">OFFSET(总规划!G$260,MATCH($E123,总规划!$B$260:$B$335,0)-1,0)/$F123*$G123</f>
        <v>4.38</v>
      </c>
      <c r="L123" s="36">
        <f ca="1">OFFSET(总规划!H$260,MATCH($E123,总规划!$B$260:$B$335,0)-1,0)/$F123*$G123</f>
        <v>4.38</v>
      </c>
      <c r="M123" s="36" t="str">
        <f ca="1">OFFSET(总规划!I$260,MATCH($E123,总规划!$B$260:$B$335,0)-1,0)</f>
        <v>1M资源</v>
      </c>
      <c r="N123" s="36">
        <f ca="1">OFFSET(总规划!J$260,MATCH($E123,总规划!$B$260:$B$335,0)-1,0)/$F123*$G123</f>
        <v>1825</v>
      </c>
      <c r="O123" s="36">
        <f ca="1">OFFSET(总规划!K$260,MATCH($E123,总规划!$B$260:$B$335,0)-1,0)/$F123*$G123</f>
        <v>1825</v>
      </c>
      <c r="P123" s="36" t="str">
        <f ca="1">OFFSET(总规划!L$260,MATCH($E123,总规划!$B$260:$B$335,0)-1,0)</f>
        <v>1战役币</v>
      </c>
      <c r="Q123" s="36">
        <f ca="1">OFFSET(总规划!M$260,MATCH($E123,总规划!$B$260:$B$335,0)-1,0)/$F123*$G123</f>
        <v>730</v>
      </c>
      <c r="R123" s="36">
        <f ca="1">OFFSET(总规划!N$260,MATCH($E123,总规划!$B$260:$B$335,0)-1,0)/$F123*$G123</f>
        <v>730</v>
      </c>
      <c r="S123" s="36" t="str">
        <f ca="1">OFFSET(总规划!O$260,MATCH($E123,总规划!$B$260:$B$335,0)-1,0)</f>
        <v>1联盟币</v>
      </c>
      <c r="T123" s="36">
        <f ca="1">OFFSET(总规划!P$260,MATCH($E123,总规划!$B$260:$B$335,0)-1,0)/$F123*$G123</f>
        <v>912.5</v>
      </c>
      <c r="U123" s="36">
        <f ca="1">OFFSET(总规划!Q$260,MATCH($E123,总规划!$B$260:$B$335,0)-1,0)/$F123*$G123</f>
        <v>912.5</v>
      </c>
      <c r="V123" s="36" t="str">
        <f ca="1">OFFSET(总规划!R$260,MATCH($E123,总规划!$B$260:$B$335,0)-1,0)</f>
        <v>1空战币</v>
      </c>
    </row>
    <row r="124" spans="4:22">
      <c r="D124" s="36" t="s">
        <v>1614</v>
      </c>
      <c r="E124" s="36" t="s">
        <v>654</v>
      </c>
      <c r="F124" s="36">
        <v>1</v>
      </c>
      <c r="G124" s="36">
        <v>1</v>
      </c>
      <c r="H124" s="36">
        <f ca="1">OFFSET(总规划!D$260,MATCH($E124,总规划!$B$260:$B$335,0)-1,0)/$F124*$G124</f>
        <v>1.825</v>
      </c>
      <c r="I124" s="36">
        <f ca="1">OFFSET(总规划!E$260,MATCH($E124,总规划!$B$260:$B$335,0)-1,0)/$F124*$G124</f>
        <v>2190</v>
      </c>
      <c r="J124" s="36">
        <f ca="1">OFFSET(总规划!F$260,MATCH($E124,总规划!$B$260:$B$335,0)-1,0)/$F124*$G124</f>
        <v>4380</v>
      </c>
      <c r="K124" s="36">
        <f ca="1">OFFSET(总规划!G$260,MATCH($E124,总规划!$B$260:$B$335,0)-1,0)/$F124*$G124</f>
        <v>4.38</v>
      </c>
      <c r="L124" s="36">
        <f ca="1">OFFSET(总规划!H$260,MATCH($E124,总规划!$B$260:$B$335,0)-1,0)/$F124*$G124</f>
        <v>4.38</v>
      </c>
      <c r="M124" s="36" t="str">
        <f ca="1">OFFSET(总规划!I$260,MATCH($E124,总规划!$B$260:$B$335,0)-1,0)</f>
        <v>1M资源</v>
      </c>
      <c r="N124" s="36">
        <f ca="1">OFFSET(总规划!J$260,MATCH($E124,总规划!$B$260:$B$335,0)-1,0)/$F124*$G124</f>
        <v>1825</v>
      </c>
      <c r="O124" s="36">
        <f ca="1">OFFSET(总规划!K$260,MATCH($E124,总规划!$B$260:$B$335,0)-1,0)/$F124*$G124</f>
        <v>1825</v>
      </c>
      <c r="P124" s="36" t="str">
        <f ca="1">OFFSET(总规划!L$260,MATCH($E124,总规划!$B$260:$B$335,0)-1,0)</f>
        <v>1战役币</v>
      </c>
      <c r="Q124" s="36">
        <f ca="1">OFFSET(总规划!M$260,MATCH($E124,总规划!$B$260:$B$335,0)-1,0)/$F124*$G124</f>
        <v>730</v>
      </c>
      <c r="R124" s="36">
        <f ca="1">OFFSET(总规划!N$260,MATCH($E124,总规划!$B$260:$B$335,0)-1,0)/$F124*$G124</f>
        <v>730</v>
      </c>
      <c r="S124" s="36" t="str">
        <f ca="1">OFFSET(总规划!O$260,MATCH($E124,总规划!$B$260:$B$335,0)-1,0)</f>
        <v>1联盟币</v>
      </c>
      <c r="T124" s="36">
        <f ca="1">OFFSET(总规划!P$260,MATCH($E124,总规划!$B$260:$B$335,0)-1,0)/$F124*$G124</f>
        <v>912.5</v>
      </c>
      <c r="U124" s="36">
        <f ca="1">OFFSET(总规划!Q$260,MATCH($E124,总规划!$B$260:$B$335,0)-1,0)/$F124*$G124</f>
        <v>912.5</v>
      </c>
      <c r="V124" s="36" t="str">
        <f ca="1">OFFSET(总规划!R$260,MATCH($E124,总规划!$B$260:$B$335,0)-1,0)</f>
        <v>1空战币</v>
      </c>
    </row>
    <row r="125" spans="4:22">
      <c r="D125" s="36" t="s">
        <v>2582</v>
      </c>
      <c r="E125" s="36" t="s">
        <v>655</v>
      </c>
      <c r="F125" s="36">
        <v>1</v>
      </c>
      <c r="G125" s="36">
        <v>1</v>
      </c>
      <c r="H125" s="36">
        <f ca="1">OFFSET(总规划!D$260,MATCH($E125,总规划!$B$260:$B$335,0)-1,0)/$F125*$G125</f>
        <v>0.45625</v>
      </c>
      <c r="I125" s="36">
        <f ca="1">OFFSET(总规划!E$260,MATCH($E125,总规划!$B$260:$B$335,0)-1,0)/$F125*$G125</f>
        <v>547.5</v>
      </c>
      <c r="J125" s="36">
        <f ca="1">OFFSET(总规划!F$260,MATCH($E125,总规划!$B$260:$B$335,0)-1,0)/$F125*$G125</f>
        <v>1095</v>
      </c>
      <c r="K125" s="36">
        <f ca="1">OFFSET(总规划!G$260,MATCH($E125,总规划!$B$260:$B$335,0)-1,0)/$F125*$G125</f>
        <v>1.095</v>
      </c>
      <c r="L125" s="36">
        <f ca="1">OFFSET(总规划!H$260,MATCH($E125,总规划!$B$260:$B$335,0)-1,0)/$F125*$G125</f>
        <v>1.095</v>
      </c>
      <c r="M125" s="36" t="str">
        <f ca="1">OFFSET(总规划!I$260,MATCH($E125,总规划!$B$260:$B$335,0)-1,0)</f>
        <v>1M资源</v>
      </c>
      <c r="N125" s="36">
        <f ca="1">OFFSET(总规划!J$260,MATCH($E125,总规划!$B$260:$B$335,0)-1,0)/$F125*$G125</f>
        <v>456.25</v>
      </c>
      <c r="O125" s="36">
        <f ca="1">OFFSET(总规划!K$260,MATCH($E125,总规划!$B$260:$B$335,0)-1,0)/$F125*$G125</f>
        <v>456.25</v>
      </c>
      <c r="P125" s="36" t="str">
        <f ca="1">OFFSET(总规划!L$260,MATCH($E125,总规划!$B$260:$B$335,0)-1,0)</f>
        <v>1战役币</v>
      </c>
      <c r="Q125" s="36">
        <f ca="1">OFFSET(总规划!M$260,MATCH($E125,总规划!$B$260:$B$335,0)-1,0)/$F125*$G125</f>
        <v>182.5</v>
      </c>
      <c r="R125" s="36">
        <f ca="1">OFFSET(总规划!N$260,MATCH($E125,总规划!$B$260:$B$335,0)-1,0)/$F125*$G125</f>
        <v>182.5</v>
      </c>
      <c r="S125" s="36" t="str">
        <f ca="1">OFFSET(总规划!O$260,MATCH($E125,总规划!$B$260:$B$335,0)-1,0)</f>
        <v>1联盟币</v>
      </c>
      <c r="T125" s="36">
        <f ca="1">OFFSET(总规划!P$260,MATCH($E125,总规划!$B$260:$B$335,0)-1,0)/$F125*$G125</f>
        <v>228.125</v>
      </c>
      <c r="U125" s="36">
        <f ca="1">OFFSET(总规划!Q$260,MATCH($E125,总规划!$B$260:$B$335,0)-1,0)/$F125*$G125</f>
        <v>228.125</v>
      </c>
      <c r="V125" s="36" t="str">
        <f ca="1">OFFSET(总规划!R$260,MATCH($E125,总规划!$B$260:$B$335,0)-1,0)</f>
        <v>1空战币</v>
      </c>
    </row>
    <row r="126" spans="4:22">
      <c r="D126" s="36" t="s">
        <v>1615</v>
      </c>
      <c r="E126" s="36" t="s">
        <v>656</v>
      </c>
      <c r="F126" s="36">
        <v>1</v>
      </c>
      <c r="G126" s="36">
        <v>1</v>
      </c>
      <c r="H126" s="36">
        <f ca="1">OFFSET(总规划!D$260,MATCH($E126,总规划!$B$260:$B$335,0)-1,0)/$F126*$G126</f>
        <v>14.75</v>
      </c>
      <c r="I126" s="36">
        <f ca="1">OFFSET(总规划!E$260,MATCH($E126,总规划!$B$260:$B$335,0)-1,0)/$F126*$G126</f>
        <v>17700</v>
      </c>
      <c r="J126" s="36">
        <f ca="1">OFFSET(总规划!F$260,MATCH($E126,总规划!$B$260:$B$335,0)-1,0)/$F126*$G126</f>
        <v>35400</v>
      </c>
      <c r="K126" s="36">
        <f ca="1">OFFSET(总规划!G$260,MATCH($E126,总规划!$B$260:$B$335,0)-1,0)/$F126*$G126</f>
        <v>35.4</v>
      </c>
      <c r="L126" s="36">
        <f ca="1">OFFSET(总规划!H$260,MATCH($E126,总规划!$B$260:$B$335,0)-1,0)/$F126*$G126</f>
        <v>35.4</v>
      </c>
      <c r="M126" s="36" t="str">
        <f ca="1">OFFSET(总规划!I$260,MATCH($E126,总规划!$B$260:$B$335,0)-1,0)</f>
        <v>1M资源</v>
      </c>
      <c r="N126" s="36">
        <f ca="1">OFFSET(总规划!J$260,MATCH($E126,总规划!$B$260:$B$335,0)-1,0)/$F126*$G126</f>
        <v>14750</v>
      </c>
      <c r="O126" s="36">
        <f ca="1">OFFSET(总规划!K$260,MATCH($E126,总规划!$B$260:$B$335,0)-1,0)/$F126*$G126</f>
        <v>14750</v>
      </c>
      <c r="P126" s="36" t="str">
        <f ca="1">OFFSET(总规划!L$260,MATCH($E126,总规划!$B$260:$B$335,0)-1,0)</f>
        <v>1战役币</v>
      </c>
      <c r="Q126" s="36">
        <f ca="1">OFFSET(总规划!M$260,MATCH($E126,总规划!$B$260:$B$335,0)-1,0)/$F126*$G126</f>
        <v>5900</v>
      </c>
      <c r="R126" s="36">
        <f ca="1">OFFSET(总规划!N$260,MATCH($E126,总规划!$B$260:$B$335,0)-1,0)/$F126*$G126</f>
        <v>5900</v>
      </c>
      <c r="S126" s="36" t="str">
        <f ca="1">OFFSET(总规划!O$260,MATCH($E126,总规划!$B$260:$B$335,0)-1,0)</f>
        <v>1联盟币</v>
      </c>
      <c r="T126" s="36">
        <f ca="1">OFFSET(总规划!P$260,MATCH($E126,总规划!$B$260:$B$335,0)-1,0)/$F126*$G126</f>
        <v>7375</v>
      </c>
      <c r="U126" s="36">
        <f ca="1">OFFSET(总规划!Q$260,MATCH($E126,总规划!$B$260:$B$335,0)-1,0)/$F126*$G126</f>
        <v>7375</v>
      </c>
      <c r="V126" s="36" t="str">
        <f ca="1">OFFSET(总规划!R$260,MATCH($E126,总规划!$B$260:$B$335,0)-1,0)</f>
        <v>1空战币</v>
      </c>
    </row>
    <row r="127" spans="4:22">
      <c r="D127" s="36" t="s">
        <v>1616</v>
      </c>
      <c r="E127" s="36" t="s">
        <v>657</v>
      </c>
      <c r="F127" s="36">
        <v>1</v>
      </c>
      <c r="G127" s="36">
        <v>1</v>
      </c>
      <c r="H127" s="36">
        <f ca="1">OFFSET(总规划!D$260,MATCH($E127,总规划!$B$260:$B$335,0)-1,0)/$F127*$G127</f>
        <v>14.75</v>
      </c>
      <c r="I127" s="36">
        <f ca="1">OFFSET(总规划!E$260,MATCH($E127,总规划!$B$260:$B$335,0)-1,0)/$F127*$G127</f>
        <v>17700</v>
      </c>
      <c r="J127" s="36">
        <f ca="1">OFFSET(总规划!F$260,MATCH($E127,总规划!$B$260:$B$335,0)-1,0)/$F127*$G127</f>
        <v>35400</v>
      </c>
      <c r="K127" s="36">
        <f ca="1">OFFSET(总规划!G$260,MATCH($E127,总规划!$B$260:$B$335,0)-1,0)/$F127*$G127</f>
        <v>35.4</v>
      </c>
      <c r="L127" s="36">
        <f ca="1">OFFSET(总规划!H$260,MATCH($E127,总规划!$B$260:$B$335,0)-1,0)/$F127*$G127</f>
        <v>35.4</v>
      </c>
      <c r="M127" s="36" t="str">
        <f ca="1">OFFSET(总规划!I$260,MATCH($E127,总规划!$B$260:$B$335,0)-1,0)</f>
        <v>1M资源</v>
      </c>
      <c r="N127" s="36">
        <f ca="1">OFFSET(总规划!J$260,MATCH($E127,总规划!$B$260:$B$335,0)-1,0)/$F127*$G127</f>
        <v>14750</v>
      </c>
      <c r="O127" s="36">
        <f ca="1">OFFSET(总规划!K$260,MATCH($E127,总规划!$B$260:$B$335,0)-1,0)/$F127*$G127</f>
        <v>14750</v>
      </c>
      <c r="P127" s="36" t="str">
        <f ca="1">OFFSET(总规划!L$260,MATCH($E127,总规划!$B$260:$B$335,0)-1,0)</f>
        <v>1战役币</v>
      </c>
      <c r="Q127" s="36">
        <f ca="1">OFFSET(总规划!M$260,MATCH($E127,总规划!$B$260:$B$335,0)-1,0)/$F127*$G127</f>
        <v>5900</v>
      </c>
      <c r="R127" s="36">
        <f ca="1">OFFSET(总规划!N$260,MATCH($E127,总规划!$B$260:$B$335,0)-1,0)/$F127*$G127</f>
        <v>5900</v>
      </c>
      <c r="S127" s="36" t="str">
        <f ca="1">OFFSET(总规划!O$260,MATCH($E127,总规划!$B$260:$B$335,0)-1,0)</f>
        <v>1联盟币</v>
      </c>
      <c r="T127" s="36">
        <f ca="1">OFFSET(总规划!P$260,MATCH($E127,总规划!$B$260:$B$335,0)-1,0)/$F127*$G127</f>
        <v>7375</v>
      </c>
      <c r="U127" s="36">
        <f ca="1">OFFSET(总规划!Q$260,MATCH($E127,总规划!$B$260:$B$335,0)-1,0)/$F127*$G127</f>
        <v>7375</v>
      </c>
      <c r="V127" s="36" t="str">
        <f ca="1">OFFSET(总规划!R$260,MATCH($E127,总规划!$B$260:$B$335,0)-1,0)</f>
        <v>1空战币</v>
      </c>
    </row>
    <row r="128" spans="4:22">
      <c r="D128" s="36" t="s">
        <v>1617</v>
      </c>
      <c r="E128" s="36" t="s">
        <v>658</v>
      </c>
      <c r="F128" s="36">
        <v>1</v>
      </c>
      <c r="G128" s="36">
        <v>1</v>
      </c>
      <c r="H128" s="36">
        <f ca="1">OFFSET(总规划!D$260,MATCH($E128,总规划!$B$260:$B$335,0)-1,0)/$F128*$G128</f>
        <v>29.5</v>
      </c>
      <c r="I128" s="36">
        <f ca="1">OFFSET(总规划!E$260,MATCH($E128,总规划!$B$260:$B$335,0)-1,0)/$F128*$G128</f>
        <v>35400</v>
      </c>
      <c r="J128" s="36">
        <f ca="1">OFFSET(总规划!F$260,MATCH($E128,总规划!$B$260:$B$335,0)-1,0)/$F128*$G128</f>
        <v>70800</v>
      </c>
      <c r="K128" s="36">
        <f ca="1">OFFSET(总规划!G$260,MATCH($E128,总规划!$B$260:$B$335,0)-1,0)/$F128*$G128</f>
        <v>70.8</v>
      </c>
      <c r="L128" s="36">
        <f ca="1">OFFSET(总规划!H$260,MATCH($E128,总规划!$B$260:$B$335,0)-1,0)/$F128*$G128</f>
        <v>70.8</v>
      </c>
      <c r="M128" s="36" t="str">
        <f ca="1">OFFSET(总规划!I$260,MATCH($E128,总规划!$B$260:$B$335,0)-1,0)</f>
        <v>1M资源</v>
      </c>
      <c r="N128" s="36">
        <f ca="1">OFFSET(总规划!J$260,MATCH($E128,总规划!$B$260:$B$335,0)-1,0)/$F128*$G128</f>
        <v>29500</v>
      </c>
      <c r="O128" s="36">
        <f ca="1">OFFSET(总规划!K$260,MATCH($E128,总规划!$B$260:$B$335,0)-1,0)/$F128*$G128</f>
        <v>29500</v>
      </c>
      <c r="P128" s="36" t="str">
        <f ca="1">OFFSET(总规划!L$260,MATCH($E128,总规划!$B$260:$B$335,0)-1,0)</f>
        <v>1战役币</v>
      </c>
      <c r="Q128" s="36">
        <f ca="1">OFFSET(总规划!M$260,MATCH($E128,总规划!$B$260:$B$335,0)-1,0)/$F128*$G128</f>
        <v>11800</v>
      </c>
      <c r="R128" s="36">
        <f ca="1">OFFSET(总规划!N$260,MATCH($E128,总规划!$B$260:$B$335,0)-1,0)/$F128*$G128</f>
        <v>11800</v>
      </c>
      <c r="S128" s="36" t="str">
        <f ca="1">OFFSET(总规划!O$260,MATCH($E128,总规划!$B$260:$B$335,0)-1,0)</f>
        <v>1联盟币</v>
      </c>
      <c r="T128" s="36">
        <f ca="1">OFFSET(总规划!P$260,MATCH($E128,总规划!$B$260:$B$335,0)-1,0)/$F128*$G128</f>
        <v>14750</v>
      </c>
      <c r="U128" s="36">
        <f ca="1">OFFSET(总规划!Q$260,MATCH($E128,总规划!$B$260:$B$335,0)-1,0)/$F128*$G128</f>
        <v>14750</v>
      </c>
      <c r="V128" s="36" t="str">
        <f ca="1">OFFSET(总规划!R$260,MATCH($E128,总规划!$B$260:$B$335,0)-1,0)</f>
        <v>1空战币</v>
      </c>
    </row>
    <row r="129" spans="4:22">
      <c r="D129" s="36" t="s">
        <v>1618</v>
      </c>
      <c r="E129" s="36" t="s">
        <v>659</v>
      </c>
      <c r="F129" s="36">
        <v>1</v>
      </c>
      <c r="G129" s="36">
        <v>1</v>
      </c>
      <c r="H129" s="36">
        <f ca="1">OFFSET(总规划!D$260,MATCH($E129,总规划!$B$260:$B$335,0)-1,0)/$F129*$G129</f>
        <v>29.5</v>
      </c>
      <c r="I129" s="36">
        <f ca="1">OFFSET(总规划!E$260,MATCH($E129,总规划!$B$260:$B$335,0)-1,0)/$F129*$G129</f>
        <v>35400</v>
      </c>
      <c r="J129" s="36">
        <f ca="1">OFFSET(总规划!F$260,MATCH($E129,总规划!$B$260:$B$335,0)-1,0)/$F129*$G129</f>
        <v>70800</v>
      </c>
      <c r="K129" s="36">
        <f ca="1">OFFSET(总规划!G$260,MATCH($E129,总规划!$B$260:$B$335,0)-1,0)/$F129*$G129</f>
        <v>70.8</v>
      </c>
      <c r="L129" s="36">
        <f ca="1">OFFSET(总规划!H$260,MATCH($E129,总规划!$B$260:$B$335,0)-1,0)/$F129*$G129</f>
        <v>70.8</v>
      </c>
      <c r="M129" s="36" t="str">
        <f ca="1">OFFSET(总规划!I$260,MATCH($E129,总规划!$B$260:$B$335,0)-1,0)</f>
        <v>1M资源</v>
      </c>
      <c r="N129" s="36">
        <f ca="1">OFFSET(总规划!J$260,MATCH($E129,总规划!$B$260:$B$335,0)-1,0)/$F129*$G129</f>
        <v>29500</v>
      </c>
      <c r="O129" s="36">
        <f ca="1">OFFSET(总规划!K$260,MATCH($E129,总规划!$B$260:$B$335,0)-1,0)/$F129*$G129</f>
        <v>29500</v>
      </c>
      <c r="P129" s="36" t="str">
        <f ca="1">OFFSET(总规划!L$260,MATCH($E129,总规划!$B$260:$B$335,0)-1,0)</f>
        <v>1战役币</v>
      </c>
      <c r="Q129" s="36">
        <f ca="1">OFFSET(总规划!M$260,MATCH($E129,总规划!$B$260:$B$335,0)-1,0)/$F129*$G129</f>
        <v>11800</v>
      </c>
      <c r="R129" s="36">
        <f ca="1">OFFSET(总规划!N$260,MATCH($E129,总规划!$B$260:$B$335,0)-1,0)/$F129*$G129</f>
        <v>11800</v>
      </c>
      <c r="S129" s="36" t="str">
        <f ca="1">OFFSET(总规划!O$260,MATCH($E129,总规划!$B$260:$B$335,0)-1,0)</f>
        <v>1联盟币</v>
      </c>
      <c r="T129" s="36">
        <f ca="1">OFFSET(总规划!P$260,MATCH($E129,总规划!$B$260:$B$335,0)-1,0)/$F129*$G129</f>
        <v>14750</v>
      </c>
      <c r="U129" s="36">
        <f ca="1">OFFSET(总规划!Q$260,MATCH($E129,总规划!$B$260:$B$335,0)-1,0)/$F129*$G129</f>
        <v>14750</v>
      </c>
      <c r="V129" s="36" t="str">
        <f ca="1">OFFSET(总规划!R$260,MATCH($E129,总规划!$B$260:$B$335,0)-1,0)</f>
        <v>1空战币</v>
      </c>
    </row>
    <row r="130" spans="4:22">
      <c r="D130" s="36" t="s">
        <v>2583</v>
      </c>
      <c r="E130" s="36" t="s">
        <v>660</v>
      </c>
      <c r="F130" s="36">
        <v>1</v>
      </c>
      <c r="G130" s="36">
        <v>1</v>
      </c>
      <c r="H130" s="36">
        <f ca="1">OFFSET(总规划!D$260,MATCH($E130,总规划!$B$260:$B$335,0)-1,0)/$F130*$G130</f>
        <v>7.375</v>
      </c>
      <c r="I130" s="36">
        <f ca="1">OFFSET(总规划!E$260,MATCH($E130,总规划!$B$260:$B$335,0)-1,0)/$F130*$G130</f>
        <v>8850</v>
      </c>
      <c r="J130" s="36">
        <f ca="1">OFFSET(总规划!F$260,MATCH($E130,总规划!$B$260:$B$335,0)-1,0)/$F130*$G130</f>
        <v>17700</v>
      </c>
      <c r="K130" s="36">
        <f ca="1">OFFSET(总规划!G$260,MATCH($E130,总规划!$B$260:$B$335,0)-1,0)/$F130*$G130</f>
        <v>17.7</v>
      </c>
      <c r="L130" s="36">
        <f ca="1">OFFSET(总规划!H$260,MATCH($E130,总规划!$B$260:$B$335,0)-1,0)/$F130*$G130</f>
        <v>17.7</v>
      </c>
      <c r="M130" s="36" t="str">
        <f ca="1">OFFSET(总规划!I$260,MATCH($E130,总规划!$B$260:$B$335,0)-1,0)</f>
        <v>1M资源</v>
      </c>
      <c r="N130" s="36">
        <f ca="1">OFFSET(总规划!J$260,MATCH($E130,总规划!$B$260:$B$335,0)-1,0)/$F130*$G130</f>
        <v>7375</v>
      </c>
      <c r="O130" s="36">
        <f ca="1">OFFSET(总规划!K$260,MATCH($E130,总规划!$B$260:$B$335,0)-1,0)/$F130*$G130</f>
        <v>7375</v>
      </c>
      <c r="P130" s="36" t="str">
        <f ca="1">OFFSET(总规划!L$260,MATCH($E130,总规划!$B$260:$B$335,0)-1,0)</f>
        <v>1战役币</v>
      </c>
      <c r="Q130" s="36">
        <f ca="1">OFFSET(总规划!M$260,MATCH($E130,总规划!$B$260:$B$335,0)-1,0)/$F130*$G130</f>
        <v>2950</v>
      </c>
      <c r="R130" s="36">
        <f ca="1">OFFSET(总规划!N$260,MATCH($E130,总规划!$B$260:$B$335,0)-1,0)/$F130*$G130</f>
        <v>2950</v>
      </c>
      <c r="S130" s="36" t="str">
        <f ca="1">OFFSET(总规划!O$260,MATCH($E130,总规划!$B$260:$B$335,0)-1,0)</f>
        <v>1联盟币</v>
      </c>
      <c r="T130" s="36">
        <f ca="1">OFFSET(总规划!P$260,MATCH($E130,总规划!$B$260:$B$335,0)-1,0)/$F130*$G130</f>
        <v>3687.5</v>
      </c>
      <c r="U130" s="36">
        <f ca="1">OFFSET(总规划!Q$260,MATCH($E130,总规划!$B$260:$B$335,0)-1,0)/$F130*$G130</f>
        <v>3687.5</v>
      </c>
      <c r="V130" s="36" t="str">
        <f ca="1">OFFSET(总规划!R$260,MATCH($E130,总规划!$B$260:$B$335,0)-1,0)</f>
        <v>1空战币</v>
      </c>
    </row>
    <row r="131" spans="4:22">
      <c r="D131" s="36" t="s">
        <v>2584</v>
      </c>
      <c r="E131" s="36" t="s">
        <v>661</v>
      </c>
      <c r="F131" s="36">
        <v>1</v>
      </c>
      <c r="G131" s="36">
        <v>1</v>
      </c>
      <c r="H131" s="36">
        <f ca="1">OFFSET(总规划!D$260,MATCH($E131,总规划!$B$260:$B$335,0)-1,0)/$F131*$G131</f>
        <v>14.75</v>
      </c>
      <c r="I131" s="36">
        <f ca="1">OFFSET(总规划!E$260,MATCH($E131,总规划!$B$260:$B$335,0)-1,0)/$F131*$G131</f>
        <v>17700</v>
      </c>
      <c r="J131" s="36">
        <f ca="1">OFFSET(总规划!F$260,MATCH($E131,总规划!$B$260:$B$335,0)-1,0)/$F131*$G131</f>
        <v>35400</v>
      </c>
      <c r="K131" s="36">
        <f ca="1">OFFSET(总规划!G$260,MATCH($E131,总规划!$B$260:$B$335,0)-1,0)/$F131*$G131</f>
        <v>35.4</v>
      </c>
      <c r="L131" s="36">
        <f ca="1">OFFSET(总规划!H$260,MATCH($E131,总规划!$B$260:$B$335,0)-1,0)/$F131*$G131</f>
        <v>35.4</v>
      </c>
      <c r="M131" s="36" t="str">
        <f ca="1">OFFSET(总规划!I$260,MATCH($E131,总规划!$B$260:$B$335,0)-1,0)</f>
        <v>1M资源</v>
      </c>
      <c r="N131" s="36">
        <f ca="1">OFFSET(总规划!J$260,MATCH($E131,总规划!$B$260:$B$335,0)-1,0)/$F131*$G131</f>
        <v>14750</v>
      </c>
      <c r="O131" s="36">
        <f ca="1">OFFSET(总规划!K$260,MATCH($E131,总规划!$B$260:$B$335,0)-1,0)/$F131*$G131</f>
        <v>14750</v>
      </c>
      <c r="P131" s="36" t="str">
        <f ca="1">OFFSET(总规划!L$260,MATCH($E131,总规划!$B$260:$B$335,0)-1,0)</f>
        <v>1战役币</v>
      </c>
      <c r="Q131" s="36">
        <f ca="1">OFFSET(总规划!M$260,MATCH($E131,总规划!$B$260:$B$335,0)-1,0)/$F131*$G131</f>
        <v>5900</v>
      </c>
      <c r="R131" s="36">
        <f ca="1">OFFSET(总规划!N$260,MATCH($E131,总规划!$B$260:$B$335,0)-1,0)/$F131*$G131</f>
        <v>5900</v>
      </c>
      <c r="S131" s="36" t="str">
        <f ca="1">OFFSET(总规划!O$260,MATCH($E131,总规划!$B$260:$B$335,0)-1,0)</f>
        <v>1联盟币</v>
      </c>
      <c r="T131" s="36">
        <f ca="1">OFFSET(总规划!P$260,MATCH($E131,总规划!$B$260:$B$335,0)-1,0)/$F131*$G131</f>
        <v>7375</v>
      </c>
      <c r="U131" s="36">
        <f ca="1">OFFSET(总规划!Q$260,MATCH($E131,总规划!$B$260:$B$335,0)-1,0)/$F131*$G131</f>
        <v>7375</v>
      </c>
      <c r="V131" s="36" t="str">
        <f ca="1">OFFSET(总规划!R$260,MATCH($E131,总规划!$B$260:$B$335,0)-1,0)</f>
        <v>1空战币</v>
      </c>
    </row>
    <row r="132" spans="4:22">
      <c r="D132" s="36" t="s">
        <v>2585</v>
      </c>
      <c r="E132" s="36" t="s">
        <v>662</v>
      </c>
      <c r="F132" s="36">
        <v>1</v>
      </c>
      <c r="G132" s="36">
        <v>1</v>
      </c>
      <c r="H132" s="36">
        <f ca="1">OFFSET(总规划!D$260,MATCH($E132,总规划!$B$260:$B$335,0)-1,0)/$F132*$G132</f>
        <v>14.75</v>
      </c>
      <c r="I132" s="36">
        <f ca="1">OFFSET(总规划!E$260,MATCH($E132,总规划!$B$260:$B$335,0)-1,0)/$F132*$G132</f>
        <v>17700</v>
      </c>
      <c r="J132" s="36">
        <f ca="1">OFFSET(总规划!F$260,MATCH($E132,总规划!$B$260:$B$335,0)-1,0)/$F132*$G132</f>
        <v>35400</v>
      </c>
      <c r="K132" s="36">
        <f ca="1">OFFSET(总规划!G$260,MATCH($E132,总规划!$B$260:$B$335,0)-1,0)/$F132*$G132</f>
        <v>35.4</v>
      </c>
      <c r="L132" s="36">
        <f ca="1">OFFSET(总规划!H$260,MATCH($E132,总规划!$B$260:$B$335,0)-1,0)/$F132*$G132</f>
        <v>35.4</v>
      </c>
      <c r="M132" s="36" t="str">
        <f ca="1">OFFSET(总规划!I$260,MATCH($E132,总规划!$B$260:$B$335,0)-1,0)</f>
        <v>1M资源</v>
      </c>
      <c r="N132" s="36">
        <f ca="1">OFFSET(总规划!J$260,MATCH($E132,总规划!$B$260:$B$335,0)-1,0)/$F132*$G132</f>
        <v>14750</v>
      </c>
      <c r="O132" s="36">
        <f ca="1">OFFSET(总规划!K$260,MATCH($E132,总规划!$B$260:$B$335,0)-1,0)/$F132*$G132</f>
        <v>14750</v>
      </c>
      <c r="P132" s="36" t="str">
        <f ca="1">OFFSET(总规划!L$260,MATCH($E132,总规划!$B$260:$B$335,0)-1,0)</f>
        <v>1战役币</v>
      </c>
      <c r="Q132" s="36">
        <f ca="1">OFFSET(总规划!M$260,MATCH($E132,总规划!$B$260:$B$335,0)-1,0)/$F132*$G132</f>
        <v>5900</v>
      </c>
      <c r="R132" s="36">
        <f ca="1">OFFSET(总规划!N$260,MATCH($E132,总规划!$B$260:$B$335,0)-1,0)/$F132*$G132</f>
        <v>5900</v>
      </c>
      <c r="S132" s="36" t="str">
        <f ca="1">OFFSET(总规划!O$260,MATCH($E132,总规划!$B$260:$B$335,0)-1,0)</f>
        <v>1联盟币</v>
      </c>
      <c r="T132" s="36">
        <f ca="1">OFFSET(总规划!P$260,MATCH($E132,总规划!$B$260:$B$335,0)-1,0)/$F132*$G132</f>
        <v>7375</v>
      </c>
      <c r="U132" s="36">
        <f ca="1">OFFSET(总规划!Q$260,MATCH($E132,总规划!$B$260:$B$335,0)-1,0)/$F132*$G132</f>
        <v>7375</v>
      </c>
      <c r="V132" s="36" t="str">
        <f ca="1">OFFSET(总规划!R$260,MATCH($E132,总规划!$B$260:$B$335,0)-1,0)</f>
        <v>1空战币</v>
      </c>
    </row>
    <row r="133" spans="4:22">
      <c r="D133" s="36" t="s">
        <v>2586</v>
      </c>
      <c r="E133" s="36" t="s">
        <v>663</v>
      </c>
      <c r="F133" s="36">
        <v>1</v>
      </c>
      <c r="G133" s="36">
        <v>1</v>
      </c>
      <c r="H133" s="36">
        <f ca="1">OFFSET(总规划!D$260,MATCH($E133,总规划!$B$260:$B$335,0)-1,0)/$F133*$G133</f>
        <v>29.5</v>
      </c>
      <c r="I133" s="36">
        <f ca="1">OFFSET(总规划!E$260,MATCH($E133,总规划!$B$260:$B$335,0)-1,0)/$F133*$G133</f>
        <v>35400</v>
      </c>
      <c r="J133" s="36">
        <f ca="1">OFFSET(总规划!F$260,MATCH($E133,总规划!$B$260:$B$335,0)-1,0)/$F133*$G133</f>
        <v>70800</v>
      </c>
      <c r="K133" s="36">
        <f ca="1">OFFSET(总规划!G$260,MATCH($E133,总规划!$B$260:$B$335,0)-1,0)/$F133*$G133</f>
        <v>70.8</v>
      </c>
      <c r="L133" s="36">
        <f ca="1">OFFSET(总规划!H$260,MATCH($E133,总规划!$B$260:$B$335,0)-1,0)/$F133*$G133</f>
        <v>70.8</v>
      </c>
      <c r="M133" s="36" t="str">
        <f ca="1">OFFSET(总规划!I$260,MATCH($E133,总规划!$B$260:$B$335,0)-1,0)</f>
        <v>1M资源</v>
      </c>
      <c r="N133" s="36">
        <f ca="1">OFFSET(总规划!J$260,MATCH($E133,总规划!$B$260:$B$335,0)-1,0)/$F133*$G133</f>
        <v>29500</v>
      </c>
      <c r="O133" s="36">
        <f ca="1">OFFSET(总规划!K$260,MATCH($E133,总规划!$B$260:$B$335,0)-1,0)/$F133*$G133</f>
        <v>29500</v>
      </c>
      <c r="P133" s="36" t="str">
        <f ca="1">OFFSET(总规划!L$260,MATCH($E133,总规划!$B$260:$B$335,0)-1,0)</f>
        <v>1战役币</v>
      </c>
      <c r="Q133" s="36">
        <f ca="1">OFFSET(总规划!M$260,MATCH($E133,总规划!$B$260:$B$335,0)-1,0)/$F133*$G133</f>
        <v>11800</v>
      </c>
      <c r="R133" s="36">
        <f ca="1">OFFSET(总规划!N$260,MATCH($E133,总规划!$B$260:$B$335,0)-1,0)/$F133*$G133</f>
        <v>11800</v>
      </c>
      <c r="S133" s="36" t="str">
        <f ca="1">OFFSET(总规划!O$260,MATCH($E133,总规划!$B$260:$B$335,0)-1,0)</f>
        <v>1联盟币</v>
      </c>
      <c r="T133" s="36">
        <f ca="1">OFFSET(总规划!P$260,MATCH($E133,总规划!$B$260:$B$335,0)-1,0)/$F133*$G133</f>
        <v>14750</v>
      </c>
      <c r="U133" s="36">
        <f ca="1">OFFSET(总规划!Q$260,MATCH($E133,总规划!$B$260:$B$335,0)-1,0)/$F133*$G133</f>
        <v>14750</v>
      </c>
      <c r="V133" s="36" t="str">
        <f ca="1">OFFSET(总规划!R$260,MATCH($E133,总规划!$B$260:$B$335,0)-1,0)</f>
        <v>1空战币</v>
      </c>
    </row>
    <row r="134" spans="4:22">
      <c r="D134" s="36" t="s">
        <v>2587</v>
      </c>
      <c r="E134" s="36" t="s">
        <v>664</v>
      </c>
      <c r="F134" s="36">
        <v>1</v>
      </c>
      <c r="G134" s="36">
        <v>1</v>
      </c>
      <c r="H134" s="36">
        <f ca="1">OFFSET(总规划!D$260,MATCH($E134,总规划!$B$260:$B$335,0)-1,0)/$F134*$G134</f>
        <v>29.5</v>
      </c>
      <c r="I134" s="36">
        <f ca="1">OFFSET(总规划!E$260,MATCH($E134,总规划!$B$260:$B$335,0)-1,0)/$F134*$G134</f>
        <v>35400</v>
      </c>
      <c r="J134" s="36">
        <f ca="1">OFFSET(总规划!F$260,MATCH($E134,总规划!$B$260:$B$335,0)-1,0)/$F134*$G134</f>
        <v>70800</v>
      </c>
      <c r="K134" s="36">
        <f ca="1">OFFSET(总规划!G$260,MATCH($E134,总规划!$B$260:$B$335,0)-1,0)/$F134*$G134</f>
        <v>70.8</v>
      </c>
      <c r="L134" s="36">
        <f ca="1">OFFSET(总规划!H$260,MATCH($E134,总规划!$B$260:$B$335,0)-1,0)/$F134*$G134</f>
        <v>70.8</v>
      </c>
      <c r="M134" s="36" t="str">
        <f ca="1">OFFSET(总规划!I$260,MATCH($E134,总规划!$B$260:$B$335,0)-1,0)</f>
        <v>1M资源</v>
      </c>
      <c r="N134" s="36">
        <f ca="1">OFFSET(总规划!J$260,MATCH($E134,总规划!$B$260:$B$335,0)-1,0)/$F134*$G134</f>
        <v>29500</v>
      </c>
      <c r="O134" s="36">
        <f ca="1">OFFSET(总规划!K$260,MATCH($E134,总规划!$B$260:$B$335,0)-1,0)/$F134*$G134</f>
        <v>29500</v>
      </c>
      <c r="P134" s="36" t="str">
        <f ca="1">OFFSET(总规划!L$260,MATCH($E134,总规划!$B$260:$B$335,0)-1,0)</f>
        <v>1战役币</v>
      </c>
      <c r="Q134" s="36">
        <f ca="1">OFFSET(总规划!M$260,MATCH($E134,总规划!$B$260:$B$335,0)-1,0)/$F134*$G134</f>
        <v>11800</v>
      </c>
      <c r="R134" s="36">
        <f ca="1">OFFSET(总规划!N$260,MATCH($E134,总规划!$B$260:$B$335,0)-1,0)/$F134*$G134</f>
        <v>11800</v>
      </c>
      <c r="S134" s="36" t="str">
        <f ca="1">OFFSET(总规划!O$260,MATCH($E134,总规划!$B$260:$B$335,0)-1,0)</f>
        <v>1联盟币</v>
      </c>
      <c r="T134" s="36">
        <f ca="1">OFFSET(总规划!P$260,MATCH($E134,总规划!$B$260:$B$335,0)-1,0)/$F134*$G134</f>
        <v>14750</v>
      </c>
      <c r="U134" s="36">
        <f ca="1">OFFSET(总规划!Q$260,MATCH($E134,总规划!$B$260:$B$335,0)-1,0)/$F134*$G134</f>
        <v>14750</v>
      </c>
      <c r="V134" s="36" t="str">
        <f ca="1">OFFSET(总规划!R$260,MATCH($E134,总规划!$B$260:$B$335,0)-1,0)</f>
        <v>1空战币</v>
      </c>
    </row>
    <row r="135" spans="4:22">
      <c r="D135" s="36" t="s">
        <v>2588</v>
      </c>
      <c r="E135" s="36" t="s">
        <v>665</v>
      </c>
      <c r="F135" s="36">
        <v>1</v>
      </c>
      <c r="G135" s="36">
        <v>1</v>
      </c>
      <c r="H135" s="36">
        <f ca="1">OFFSET(总规划!D$260,MATCH($E135,总规划!$B$260:$B$335,0)-1,0)/$F135*$G135</f>
        <v>7.375</v>
      </c>
      <c r="I135" s="36">
        <f ca="1">OFFSET(总规划!E$260,MATCH($E135,总规划!$B$260:$B$335,0)-1,0)/$F135*$G135</f>
        <v>8850</v>
      </c>
      <c r="J135" s="36">
        <f ca="1">OFFSET(总规划!F$260,MATCH($E135,总规划!$B$260:$B$335,0)-1,0)/$F135*$G135</f>
        <v>17700</v>
      </c>
      <c r="K135" s="36">
        <f ca="1">OFFSET(总规划!G$260,MATCH($E135,总规划!$B$260:$B$335,0)-1,0)/$F135*$G135</f>
        <v>17.7</v>
      </c>
      <c r="L135" s="36">
        <f ca="1">OFFSET(总规划!H$260,MATCH($E135,总规划!$B$260:$B$335,0)-1,0)/$F135*$G135</f>
        <v>17.7</v>
      </c>
      <c r="M135" s="36" t="str">
        <f ca="1">OFFSET(总规划!I$260,MATCH($E135,总规划!$B$260:$B$335,0)-1,0)</f>
        <v>1M资源</v>
      </c>
      <c r="N135" s="36">
        <f ca="1">OFFSET(总规划!J$260,MATCH($E135,总规划!$B$260:$B$335,0)-1,0)/$F135*$G135</f>
        <v>7375</v>
      </c>
      <c r="O135" s="36">
        <f ca="1">OFFSET(总规划!K$260,MATCH($E135,总规划!$B$260:$B$335,0)-1,0)/$F135*$G135</f>
        <v>7375</v>
      </c>
      <c r="P135" s="36" t="str">
        <f ca="1">OFFSET(总规划!L$260,MATCH($E135,总规划!$B$260:$B$335,0)-1,0)</f>
        <v>1战役币</v>
      </c>
      <c r="Q135" s="36">
        <f ca="1">OFFSET(总规划!M$260,MATCH($E135,总规划!$B$260:$B$335,0)-1,0)/$F135*$G135</f>
        <v>2950</v>
      </c>
      <c r="R135" s="36">
        <f ca="1">OFFSET(总规划!N$260,MATCH($E135,总规划!$B$260:$B$335,0)-1,0)/$F135*$G135</f>
        <v>2950</v>
      </c>
      <c r="S135" s="36" t="str">
        <f ca="1">OFFSET(总规划!O$260,MATCH($E135,总规划!$B$260:$B$335,0)-1,0)</f>
        <v>1联盟币</v>
      </c>
      <c r="T135" s="36">
        <f ca="1">OFFSET(总规划!P$260,MATCH($E135,总规划!$B$260:$B$335,0)-1,0)/$F135*$G135</f>
        <v>3687.5</v>
      </c>
      <c r="U135" s="36">
        <f ca="1">OFFSET(总规划!Q$260,MATCH($E135,总规划!$B$260:$B$335,0)-1,0)/$F135*$G135</f>
        <v>3687.5</v>
      </c>
      <c r="V135" s="36" t="str">
        <f ca="1">OFFSET(总规划!R$260,MATCH($E135,总规划!$B$260:$B$335,0)-1,0)</f>
        <v>1空战币</v>
      </c>
    </row>
    <row r="136" spans="4:22">
      <c r="D136" s="36" t="s">
        <v>2589</v>
      </c>
      <c r="E136" s="36" t="s">
        <v>472</v>
      </c>
      <c r="F136" s="36">
        <v>1000</v>
      </c>
      <c r="G136" s="36">
        <v>10</v>
      </c>
      <c r="H136" s="36">
        <f ca="1">OFFSET(总规划!D$260,MATCH($E136,总规划!$B$260:$B$335,0)-1,0)/$F136*$G136</f>
        <v>0.00833333333333333</v>
      </c>
      <c r="I136" s="36">
        <f ca="1">OFFSET(总规划!E$260,MATCH($E136,总规划!$B$260:$B$335,0)-1,0)/$F136*$G136</f>
        <v>10</v>
      </c>
      <c r="J136" s="36">
        <f ca="1">OFFSET(总规划!F$260,MATCH($E136,总规划!$B$260:$B$335,0)-1,0)/$F136*$G136</f>
        <v>10</v>
      </c>
      <c r="K136" s="36">
        <f ca="1">OFFSET(总规划!G$260,MATCH($E136,总规划!$B$260:$B$335,0)-1,0)/$F136*$G136</f>
        <v>0.02</v>
      </c>
      <c r="L136" s="36">
        <f ca="1">OFFSET(总规划!H$260,MATCH($E136,总规划!$B$260:$B$335,0)-1,0)/$F136*$G136</f>
        <v>0.01</v>
      </c>
      <c r="M136" s="36" t="str">
        <f ca="1">OFFSET(总规划!I$260,MATCH($E136,总规划!$B$260:$B$335,0)-1,0)</f>
        <v>1M资源</v>
      </c>
      <c r="N136" s="36">
        <f ca="1">OFFSET(总规划!J$260,MATCH($E136,总规划!$B$260:$B$335,0)-1,0)/$F136*$G136</f>
        <v>8.33333333333333</v>
      </c>
      <c r="O136" s="36">
        <f ca="1">OFFSET(总规划!K$260,MATCH($E136,总规划!$B$260:$B$335,0)-1,0)/$F136*$G136</f>
        <v>4.16666666666667</v>
      </c>
      <c r="P136" s="36" t="str">
        <f ca="1">OFFSET(总规划!L$260,MATCH($E136,总规划!$B$260:$B$335,0)-1,0)</f>
        <v>1战役币</v>
      </c>
      <c r="Q136" s="36">
        <f ca="1">OFFSET(总规划!M$260,MATCH($E136,总规划!$B$260:$B$335,0)-1,0)/$F136*$G136</f>
        <v>3.33333333333333</v>
      </c>
      <c r="R136" s="36">
        <f ca="1">OFFSET(总规划!N$260,MATCH($E136,总规划!$B$260:$B$335,0)-1,0)/$F136*$G136</f>
        <v>1.66666666666667</v>
      </c>
      <c r="S136" s="36" t="str">
        <f ca="1">OFFSET(总规划!O$260,MATCH($E136,总规划!$B$260:$B$335,0)-1,0)</f>
        <v>1联盟币</v>
      </c>
      <c r="T136" s="36">
        <f ca="1">OFFSET(总规划!P$260,MATCH($E136,总规划!$B$260:$B$335,0)-1,0)/$F136*$G136</f>
        <v>4.16666666666667</v>
      </c>
      <c r="U136" s="36">
        <f ca="1">OFFSET(总规划!Q$260,MATCH($E136,总规划!$B$260:$B$335,0)-1,0)/$F136*$G136</f>
        <v>2.08333333333333</v>
      </c>
      <c r="V136" s="36" t="str">
        <f ca="1">OFFSET(总规划!R$260,MATCH($E136,总规划!$B$260:$B$335,0)-1,0)</f>
        <v>1空战币</v>
      </c>
    </row>
    <row r="137" spans="4:22">
      <c r="D137" s="36" t="s">
        <v>2193</v>
      </c>
      <c r="E137" s="36" t="s">
        <v>472</v>
      </c>
      <c r="F137" s="36">
        <v>1000</v>
      </c>
      <c r="G137" s="36">
        <v>100</v>
      </c>
      <c r="H137" s="36">
        <f ca="1">OFFSET(总规划!D$260,MATCH($E137,总规划!$B$260:$B$335,0)-1,0)/$F137*$G137</f>
        <v>0.0833333333333333</v>
      </c>
      <c r="I137" s="36">
        <f ca="1">OFFSET(总规划!E$260,MATCH($E137,总规划!$B$260:$B$335,0)-1,0)/$F137*$G137</f>
        <v>100</v>
      </c>
      <c r="J137" s="36">
        <f ca="1">OFFSET(总规划!F$260,MATCH($E137,总规划!$B$260:$B$335,0)-1,0)/$F137*$G137</f>
        <v>100</v>
      </c>
      <c r="K137" s="36">
        <f ca="1">OFFSET(总规划!G$260,MATCH($E137,总规划!$B$260:$B$335,0)-1,0)/$F137*$G137</f>
        <v>0.2</v>
      </c>
      <c r="L137" s="36">
        <f ca="1">OFFSET(总规划!H$260,MATCH($E137,总规划!$B$260:$B$335,0)-1,0)/$F137*$G137</f>
        <v>0.1</v>
      </c>
      <c r="M137" s="36" t="str">
        <f ca="1">OFFSET(总规划!I$260,MATCH($E137,总规划!$B$260:$B$335,0)-1,0)</f>
        <v>1M资源</v>
      </c>
      <c r="N137" s="36">
        <f ca="1">OFFSET(总规划!J$260,MATCH($E137,总规划!$B$260:$B$335,0)-1,0)/$F137*$G137</f>
        <v>83.3333333333333</v>
      </c>
      <c r="O137" s="36">
        <f ca="1">OFFSET(总规划!K$260,MATCH($E137,总规划!$B$260:$B$335,0)-1,0)/$F137*$G137</f>
        <v>41.6666666666667</v>
      </c>
      <c r="P137" s="36" t="str">
        <f ca="1">OFFSET(总规划!L$260,MATCH($E137,总规划!$B$260:$B$335,0)-1,0)</f>
        <v>1战役币</v>
      </c>
      <c r="Q137" s="36">
        <f ca="1">OFFSET(总规划!M$260,MATCH($E137,总规划!$B$260:$B$335,0)-1,0)/$F137*$G137</f>
        <v>33.3333333333333</v>
      </c>
      <c r="R137" s="36">
        <f ca="1">OFFSET(总规划!N$260,MATCH($E137,总规划!$B$260:$B$335,0)-1,0)/$F137*$G137</f>
        <v>16.6666666666667</v>
      </c>
      <c r="S137" s="36" t="str">
        <f ca="1">OFFSET(总规划!O$260,MATCH($E137,总规划!$B$260:$B$335,0)-1,0)</f>
        <v>1联盟币</v>
      </c>
      <c r="T137" s="36">
        <f ca="1">OFFSET(总规划!P$260,MATCH($E137,总规划!$B$260:$B$335,0)-1,0)/$F137*$G137</f>
        <v>41.6666666666667</v>
      </c>
      <c r="U137" s="36">
        <f ca="1">OFFSET(总规划!Q$260,MATCH($E137,总规划!$B$260:$B$335,0)-1,0)/$F137*$G137</f>
        <v>20.8333333333333</v>
      </c>
      <c r="V137" s="36" t="str">
        <f ca="1">OFFSET(总规划!R$260,MATCH($E137,总规划!$B$260:$B$335,0)-1,0)</f>
        <v>1空战币</v>
      </c>
    </row>
    <row r="138" spans="4:22">
      <c r="D138" s="36" t="s">
        <v>1628</v>
      </c>
      <c r="E138" s="36" t="s">
        <v>472</v>
      </c>
      <c r="F138" s="36">
        <v>1000</v>
      </c>
      <c r="G138" s="36">
        <v>1000</v>
      </c>
      <c r="H138" s="36">
        <f ca="1">OFFSET(总规划!D$260,MATCH($E138,总规划!$B$260:$B$335,0)-1,0)/$F138*$G138</f>
        <v>0.833333333333333</v>
      </c>
      <c r="I138" s="36">
        <f ca="1">OFFSET(总规划!E$260,MATCH($E138,总规划!$B$260:$B$335,0)-1,0)/$F138*$G138</f>
        <v>1000</v>
      </c>
      <c r="J138" s="36">
        <f ca="1">OFFSET(总规划!F$260,MATCH($E138,总规划!$B$260:$B$335,0)-1,0)/$F138*$G138</f>
        <v>1000</v>
      </c>
      <c r="K138" s="36">
        <f ca="1">OFFSET(总规划!G$260,MATCH($E138,总规划!$B$260:$B$335,0)-1,0)/$F138*$G138</f>
        <v>2</v>
      </c>
      <c r="L138" s="36">
        <f ca="1">OFFSET(总规划!H$260,MATCH($E138,总规划!$B$260:$B$335,0)-1,0)/$F138*$G138</f>
        <v>1</v>
      </c>
      <c r="M138" s="36" t="str">
        <f ca="1">OFFSET(总规划!I$260,MATCH($E138,总规划!$B$260:$B$335,0)-1,0)</f>
        <v>1M资源</v>
      </c>
      <c r="N138" s="36">
        <f ca="1">OFFSET(总规划!J$260,MATCH($E138,总规划!$B$260:$B$335,0)-1,0)/$F138*$G138</f>
        <v>833.333333333333</v>
      </c>
      <c r="O138" s="36">
        <f ca="1">OFFSET(总规划!K$260,MATCH($E138,总规划!$B$260:$B$335,0)-1,0)/$F138*$G138</f>
        <v>416.666666666667</v>
      </c>
      <c r="P138" s="36" t="str">
        <f ca="1">OFFSET(总规划!L$260,MATCH($E138,总规划!$B$260:$B$335,0)-1,0)</f>
        <v>1战役币</v>
      </c>
      <c r="Q138" s="36">
        <f ca="1">OFFSET(总规划!M$260,MATCH($E138,总规划!$B$260:$B$335,0)-1,0)/$F138*$G138</f>
        <v>333.333333333333</v>
      </c>
      <c r="R138" s="36">
        <f ca="1">OFFSET(总规划!N$260,MATCH($E138,总规划!$B$260:$B$335,0)-1,0)/$F138*$G138</f>
        <v>166.666666666667</v>
      </c>
      <c r="S138" s="36" t="str">
        <f ca="1">OFFSET(总规划!O$260,MATCH($E138,总规划!$B$260:$B$335,0)-1,0)</f>
        <v>1联盟币</v>
      </c>
      <c r="T138" s="36">
        <f ca="1">OFFSET(总规划!P$260,MATCH($E138,总规划!$B$260:$B$335,0)-1,0)/$F138*$G138</f>
        <v>416.666666666667</v>
      </c>
      <c r="U138" s="36">
        <f ca="1">OFFSET(总规划!Q$260,MATCH($E138,总规划!$B$260:$B$335,0)-1,0)/$F138*$G138</f>
        <v>208.333333333333</v>
      </c>
      <c r="V138" s="36" t="str">
        <f ca="1">OFFSET(总规划!R$260,MATCH($E138,总规划!$B$260:$B$335,0)-1,0)</f>
        <v>1空战币</v>
      </c>
    </row>
    <row r="139" spans="4:22">
      <c r="D139" s="36" t="s">
        <v>1626</v>
      </c>
      <c r="E139" s="36" t="s">
        <v>472</v>
      </c>
      <c r="F139" s="36">
        <v>1000</v>
      </c>
      <c r="G139" s="36">
        <v>500</v>
      </c>
      <c r="H139" s="36">
        <f ca="1">OFFSET(总规划!D$260,MATCH($E139,总规划!$B$260:$B$335,0)-1,0)/$F139*$G139</f>
        <v>0.416666666666667</v>
      </c>
      <c r="I139" s="36">
        <f ca="1">OFFSET(总规划!E$260,MATCH($E139,总规划!$B$260:$B$335,0)-1,0)/$F139*$G139</f>
        <v>500</v>
      </c>
      <c r="J139" s="36">
        <f ca="1">OFFSET(总规划!F$260,MATCH($E139,总规划!$B$260:$B$335,0)-1,0)/$F139*$G139</f>
        <v>500</v>
      </c>
      <c r="K139" s="36">
        <f ca="1">OFFSET(总规划!G$260,MATCH($E139,总规划!$B$260:$B$335,0)-1,0)/$F139*$G139</f>
        <v>1</v>
      </c>
      <c r="L139" s="36">
        <f ca="1">OFFSET(总规划!H$260,MATCH($E139,总规划!$B$260:$B$335,0)-1,0)/$F139*$G139</f>
        <v>0.5</v>
      </c>
      <c r="M139" s="36" t="str">
        <f ca="1">OFFSET(总规划!I$260,MATCH($E139,总规划!$B$260:$B$335,0)-1,0)</f>
        <v>1M资源</v>
      </c>
      <c r="N139" s="36">
        <f ca="1">OFFSET(总规划!J$260,MATCH($E139,总规划!$B$260:$B$335,0)-1,0)/$F139*$G139</f>
        <v>416.666666666667</v>
      </c>
      <c r="O139" s="36">
        <f ca="1">OFFSET(总规划!K$260,MATCH($E139,总规划!$B$260:$B$335,0)-1,0)/$F139*$G139</f>
        <v>208.333333333334</v>
      </c>
      <c r="P139" s="36" t="str">
        <f ca="1">OFFSET(总规划!L$260,MATCH($E139,总规划!$B$260:$B$335,0)-1,0)</f>
        <v>1战役币</v>
      </c>
      <c r="Q139" s="36">
        <f ca="1">OFFSET(总规划!M$260,MATCH($E139,总规划!$B$260:$B$335,0)-1,0)/$F139*$G139</f>
        <v>166.666666666666</v>
      </c>
      <c r="R139" s="36">
        <f ca="1">OFFSET(总规划!N$260,MATCH($E139,总规划!$B$260:$B$335,0)-1,0)/$F139*$G139</f>
        <v>83.3333333333335</v>
      </c>
      <c r="S139" s="36" t="str">
        <f ca="1">OFFSET(总规划!O$260,MATCH($E139,总规划!$B$260:$B$335,0)-1,0)</f>
        <v>1联盟币</v>
      </c>
      <c r="T139" s="36">
        <f ca="1">OFFSET(总规划!P$260,MATCH($E139,总规划!$B$260:$B$335,0)-1,0)/$F139*$G139</f>
        <v>208.333333333334</v>
      </c>
      <c r="U139" s="36">
        <f ca="1">OFFSET(总规划!Q$260,MATCH($E139,总规划!$B$260:$B$335,0)-1,0)/$F139*$G139</f>
        <v>104.166666666667</v>
      </c>
      <c r="V139" s="36" t="str">
        <f ca="1">OFFSET(总规划!R$260,MATCH($E139,总规划!$B$260:$B$335,0)-1,0)</f>
        <v>1空战币</v>
      </c>
    </row>
    <row r="140" spans="4:22">
      <c r="D140" s="36" t="s">
        <v>2590</v>
      </c>
      <c r="E140" s="36" t="s">
        <v>472</v>
      </c>
      <c r="F140" s="36">
        <v>1000</v>
      </c>
      <c r="G140" s="36">
        <v>5000</v>
      </c>
      <c r="H140" s="36">
        <f ca="1">OFFSET(总规划!D$260,MATCH($E140,总规划!$B$260:$B$335,0)-1,0)/$F140*$G140</f>
        <v>4.16666666666667</v>
      </c>
      <c r="I140" s="36">
        <f ca="1">OFFSET(总规划!E$260,MATCH($E140,总规划!$B$260:$B$335,0)-1,0)/$F140*$G140</f>
        <v>5000</v>
      </c>
      <c r="J140" s="36">
        <f ca="1">OFFSET(总规划!F$260,MATCH($E140,总规划!$B$260:$B$335,0)-1,0)/$F140*$G140</f>
        <v>5000</v>
      </c>
      <c r="K140" s="36">
        <f ca="1">OFFSET(总规划!G$260,MATCH($E140,总规划!$B$260:$B$335,0)-1,0)/$F140*$G140</f>
        <v>10</v>
      </c>
      <c r="L140" s="36">
        <f ca="1">OFFSET(总规划!H$260,MATCH($E140,总规划!$B$260:$B$335,0)-1,0)/$F140*$G140</f>
        <v>5</v>
      </c>
      <c r="M140" s="36" t="str">
        <f ca="1">OFFSET(总规划!I$260,MATCH($E140,总规划!$B$260:$B$335,0)-1,0)</f>
        <v>1M资源</v>
      </c>
      <c r="N140" s="36">
        <f ca="1">OFFSET(总规划!J$260,MATCH($E140,总规划!$B$260:$B$335,0)-1,0)/$F140*$G140</f>
        <v>4166.66666666667</v>
      </c>
      <c r="O140" s="36">
        <f ca="1">OFFSET(总规划!K$260,MATCH($E140,总规划!$B$260:$B$335,0)-1,0)/$F140*$G140</f>
        <v>2083.33333333334</v>
      </c>
      <c r="P140" s="36" t="str">
        <f ca="1">OFFSET(总规划!L$260,MATCH($E140,总规划!$B$260:$B$335,0)-1,0)</f>
        <v>1战役币</v>
      </c>
      <c r="Q140" s="36">
        <f ca="1">OFFSET(总规划!M$260,MATCH($E140,总规划!$B$260:$B$335,0)-1,0)/$F140*$G140</f>
        <v>1666.66666666666</v>
      </c>
      <c r="R140" s="36">
        <f ca="1">OFFSET(总规划!N$260,MATCH($E140,总规划!$B$260:$B$335,0)-1,0)/$F140*$G140</f>
        <v>833.333333333335</v>
      </c>
      <c r="S140" s="36" t="str">
        <f ca="1">OFFSET(总规划!O$260,MATCH($E140,总规划!$B$260:$B$335,0)-1,0)</f>
        <v>1联盟币</v>
      </c>
      <c r="T140" s="36">
        <f ca="1">OFFSET(总规划!P$260,MATCH($E140,总规划!$B$260:$B$335,0)-1,0)/$F140*$G140</f>
        <v>2083.33333333334</v>
      </c>
      <c r="U140" s="36">
        <f ca="1">OFFSET(总规划!Q$260,MATCH($E140,总规划!$B$260:$B$335,0)-1,0)/$F140*$G140</f>
        <v>1041.66666666667</v>
      </c>
      <c r="V140" s="36" t="str">
        <f ca="1">OFFSET(总规划!R$260,MATCH($E140,总规划!$B$260:$B$335,0)-1,0)</f>
        <v>1空战币</v>
      </c>
    </row>
    <row r="141" spans="4:22">
      <c r="D141" s="36" t="s">
        <v>1573</v>
      </c>
      <c r="E141" s="36" t="s">
        <v>483</v>
      </c>
      <c r="F141" s="36">
        <v>1000</v>
      </c>
      <c r="G141" s="36">
        <v>1</v>
      </c>
      <c r="H141" s="36">
        <f ca="1">OFFSET(总规划!D$260,MATCH($E141,总规划!$B$260:$B$335,0)-1,0)/$F141*$G141</f>
        <v>0.00208333333333333</v>
      </c>
      <c r="I141" s="36">
        <f ca="1">OFFSET(总规划!E$260,MATCH($E141,总规划!$B$260:$B$335,0)-1,0)/$F141*$G141</f>
        <v>2.5</v>
      </c>
      <c r="J141" s="36">
        <f ca="1">OFFSET(总规划!F$260,MATCH($E141,总规划!$B$260:$B$335,0)-1,0)/$F141*$G141</f>
        <v>5</v>
      </c>
      <c r="K141" s="36">
        <f ca="1">OFFSET(总规划!G$260,MATCH($E141,总规划!$B$260:$B$335,0)-1,0)/$F141*$G141</f>
        <v>0.005</v>
      </c>
      <c r="L141" s="36">
        <f ca="1">OFFSET(总规划!H$260,MATCH($E141,总规划!$B$260:$B$335,0)-1,0)/$F141*$G141</f>
        <v>0.005</v>
      </c>
      <c r="M141" s="36" t="str">
        <f ca="1">OFFSET(总规划!I$260,MATCH($E141,总规划!$B$260:$B$335,0)-1,0)</f>
        <v>1M资源</v>
      </c>
      <c r="N141" s="36">
        <f ca="1">OFFSET(总规划!J$260,MATCH($E141,总规划!$B$260:$B$335,0)-1,0)/$F141*$G141</f>
        <v>2.08333333333333</v>
      </c>
      <c r="O141" s="36">
        <f ca="1">OFFSET(总规划!K$260,MATCH($E141,总规划!$B$260:$B$335,0)-1,0)/$F141*$G141</f>
        <v>2.08333333333333</v>
      </c>
      <c r="P141" s="36" t="str">
        <f ca="1">OFFSET(总规划!L$260,MATCH($E141,总规划!$B$260:$B$335,0)-1,0)</f>
        <v>1战役币</v>
      </c>
      <c r="Q141" s="36">
        <f ca="1">OFFSET(总规划!M$260,MATCH($E141,总规划!$B$260:$B$335,0)-1,0)/$F141*$G141</f>
        <v>0.833333333333333</v>
      </c>
      <c r="R141" s="36">
        <f ca="1">OFFSET(总规划!N$260,MATCH($E141,总规划!$B$260:$B$335,0)-1,0)/$F141*$G141</f>
        <v>0.833333333333333</v>
      </c>
      <c r="S141" s="36" t="str">
        <f ca="1">OFFSET(总规划!O$260,MATCH($E141,总规划!$B$260:$B$335,0)-1,0)</f>
        <v>1联盟币</v>
      </c>
      <c r="T141" s="36">
        <f ca="1">OFFSET(总规划!P$260,MATCH($E141,总规划!$B$260:$B$335,0)-1,0)/$F141*$G141</f>
        <v>1.04166666666667</v>
      </c>
      <c r="U141" s="36">
        <f ca="1">OFFSET(总规划!Q$260,MATCH($E141,总规划!$B$260:$B$335,0)-1,0)/$F141*$G141</f>
        <v>1.04166666666667</v>
      </c>
      <c r="V141" s="36" t="str">
        <f ca="1">OFFSET(总规划!R$260,MATCH($E141,总规划!$B$260:$B$335,0)-1,0)</f>
        <v>1空战币</v>
      </c>
    </row>
    <row r="142" spans="4:22">
      <c r="D142" s="36" t="s">
        <v>2177</v>
      </c>
      <c r="E142" s="36" t="s">
        <v>483</v>
      </c>
      <c r="F142" s="36">
        <v>1000</v>
      </c>
      <c r="G142" s="36">
        <v>100</v>
      </c>
      <c r="H142" s="36">
        <f ca="1">OFFSET(总规划!D$260,MATCH($E142,总规划!$B$260:$B$335,0)-1,0)/$F142*$G142</f>
        <v>0.208333333333333</v>
      </c>
      <c r="I142" s="36">
        <f ca="1">OFFSET(总规划!E$260,MATCH($E142,总规划!$B$260:$B$335,0)-1,0)/$F142*$G142</f>
        <v>250</v>
      </c>
      <c r="J142" s="36">
        <f ca="1">OFFSET(总规划!F$260,MATCH($E142,总规划!$B$260:$B$335,0)-1,0)/$F142*$G142</f>
        <v>500</v>
      </c>
      <c r="K142" s="36">
        <f ca="1">OFFSET(总规划!G$260,MATCH($E142,总规划!$B$260:$B$335,0)-1,0)/$F142*$G142</f>
        <v>0.5</v>
      </c>
      <c r="L142" s="36">
        <f ca="1">OFFSET(总规划!H$260,MATCH($E142,总规划!$B$260:$B$335,0)-1,0)/$F142*$G142</f>
        <v>0.5</v>
      </c>
      <c r="M142" s="36" t="str">
        <f ca="1">OFFSET(总规划!I$260,MATCH($E142,总规划!$B$260:$B$335,0)-1,0)</f>
        <v>1M资源</v>
      </c>
      <c r="N142" s="36">
        <f ca="1">OFFSET(总规划!J$260,MATCH($E142,总规划!$B$260:$B$335,0)-1,0)/$F142*$G142</f>
        <v>208.333333333333</v>
      </c>
      <c r="O142" s="36">
        <f ca="1">OFFSET(总规划!K$260,MATCH($E142,总规划!$B$260:$B$335,0)-1,0)/$F142*$G142</f>
        <v>208.333333333333</v>
      </c>
      <c r="P142" s="36" t="str">
        <f ca="1">OFFSET(总规划!L$260,MATCH($E142,总规划!$B$260:$B$335,0)-1,0)</f>
        <v>1战役币</v>
      </c>
      <c r="Q142" s="36">
        <f ca="1">OFFSET(总规划!M$260,MATCH($E142,总规划!$B$260:$B$335,0)-1,0)/$F142*$G142</f>
        <v>83.3333333333333</v>
      </c>
      <c r="R142" s="36">
        <f ca="1">OFFSET(总规划!N$260,MATCH($E142,总规划!$B$260:$B$335,0)-1,0)/$F142*$G142</f>
        <v>83.3333333333333</v>
      </c>
      <c r="S142" s="36" t="str">
        <f ca="1">OFFSET(总规划!O$260,MATCH($E142,总规划!$B$260:$B$335,0)-1,0)</f>
        <v>1联盟币</v>
      </c>
      <c r="T142" s="36">
        <f ca="1">OFFSET(总规划!P$260,MATCH($E142,总规划!$B$260:$B$335,0)-1,0)/$F142*$G142</f>
        <v>104.166666666667</v>
      </c>
      <c r="U142" s="36">
        <f ca="1">OFFSET(总规划!Q$260,MATCH($E142,总规划!$B$260:$B$335,0)-1,0)/$F142*$G142</f>
        <v>104.166666666667</v>
      </c>
      <c r="V142" s="36" t="str">
        <f ca="1">OFFSET(总规划!R$260,MATCH($E142,总规划!$B$260:$B$335,0)-1,0)</f>
        <v>1空战币</v>
      </c>
    </row>
    <row r="143" spans="4:22">
      <c r="D143" s="36" t="s">
        <v>2591</v>
      </c>
      <c r="E143" s="36" t="s">
        <v>483</v>
      </c>
      <c r="F143" s="36">
        <v>1000</v>
      </c>
      <c r="G143" s="36">
        <v>10000</v>
      </c>
      <c r="H143" s="36">
        <f ca="1">OFFSET(总规划!D$260,MATCH($E143,总规划!$B$260:$B$335,0)-1,0)/$F143*$G143</f>
        <v>20.8333333333333</v>
      </c>
      <c r="I143" s="36">
        <f ca="1">OFFSET(总规划!E$260,MATCH($E143,总规划!$B$260:$B$335,0)-1,0)/$F143*$G143</f>
        <v>25000</v>
      </c>
      <c r="J143" s="36">
        <f ca="1">OFFSET(总规划!F$260,MATCH($E143,总规划!$B$260:$B$335,0)-1,0)/$F143*$G143</f>
        <v>50000</v>
      </c>
      <c r="K143" s="36">
        <f ca="1">OFFSET(总规划!G$260,MATCH($E143,总规划!$B$260:$B$335,0)-1,0)/$F143*$G143</f>
        <v>50</v>
      </c>
      <c r="L143" s="36">
        <f ca="1">OFFSET(总规划!H$260,MATCH($E143,总规划!$B$260:$B$335,0)-1,0)/$F143*$G143</f>
        <v>50</v>
      </c>
      <c r="M143" s="36" t="str">
        <f ca="1">OFFSET(总规划!I$260,MATCH($E143,总规划!$B$260:$B$335,0)-1,0)</f>
        <v>1M资源</v>
      </c>
      <c r="N143" s="36">
        <f ca="1">OFFSET(总规划!J$260,MATCH($E143,总规划!$B$260:$B$335,0)-1,0)/$F143*$G143</f>
        <v>20833.3333333333</v>
      </c>
      <c r="O143" s="36">
        <f ca="1">OFFSET(总规划!K$260,MATCH($E143,总规划!$B$260:$B$335,0)-1,0)/$F143*$G143</f>
        <v>20833.3333333333</v>
      </c>
      <c r="P143" s="36" t="str">
        <f ca="1">OFFSET(总规划!L$260,MATCH($E143,总规划!$B$260:$B$335,0)-1,0)</f>
        <v>1战役币</v>
      </c>
      <c r="Q143" s="36">
        <f ca="1">OFFSET(总规划!M$260,MATCH($E143,总规划!$B$260:$B$335,0)-1,0)/$F143*$G143</f>
        <v>8333.33333333333</v>
      </c>
      <c r="R143" s="36">
        <f ca="1">OFFSET(总规划!N$260,MATCH($E143,总规划!$B$260:$B$335,0)-1,0)/$F143*$G143</f>
        <v>8333.33333333333</v>
      </c>
      <c r="S143" s="36" t="str">
        <f ca="1">OFFSET(总规划!O$260,MATCH($E143,总规划!$B$260:$B$335,0)-1,0)</f>
        <v>1联盟币</v>
      </c>
      <c r="T143" s="36">
        <f ca="1">OFFSET(总规划!P$260,MATCH($E143,总规划!$B$260:$B$335,0)-1,0)/$F143*$G143</f>
        <v>10416.6666666667</v>
      </c>
      <c r="U143" s="36">
        <f ca="1">OFFSET(总规划!Q$260,MATCH($E143,总规划!$B$260:$B$335,0)-1,0)/$F143*$G143</f>
        <v>10416.6666666667</v>
      </c>
      <c r="V143" s="36" t="str">
        <f ca="1">OFFSET(总规划!R$260,MATCH($E143,总规划!$B$260:$B$335,0)-1,0)</f>
        <v>1空战币</v>
      </c>
    </row>
    <row r="144" spans="4:22"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6"/>
      <c r="V144" s="36"/>
    </row>
    <row r="145" spans="4:22"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6"/>
      <c r="V145" s="36"/>
    </row>
    <row r="146" spans="4:22"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6"/>
      <c r="V146" s="36"/>
    </row>
    <row r="147" spans="4:22"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36"/>
      <c r="O147" s="36"/>
      <c r="P147" s="36"/>
      <c r="Q147" s="36"/>
      <c r="R147" s="36"/>
      <c r="S147" s="36"/>
      <c r="T147" s="36"/>
      <c r="U147" s="36"/>
      <c r="V147" s="36"/>
    </row>
    <row r="148" spans="4:22"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36"/>
      <c r="O148" s="36"/>
      <c r="P148" s="36"/>
      <c r="Q148" s="36"/>
      <c r="R148" s="36"/>
      <c r="S148" s="36"/>
      <c r="T148" s="36"/>
      <c r="U148" s="36"/>
      <c r="V148" s="36"/>
    </row>
    <row r="149" spans="4:22"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36"/>
      <c r="U149" s="36"/>
      <c r="V149" s="36"/>
    </row>
    <row r="150" spans="4:22"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36"/>
      <c r="U150" s="36"/>
      <c r="V150" s="36"/>
    </row>
    <row r="151" spans="4:22"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6"/>
      <c r="V151" s="36"/>
    </row>
    <row r="152" spans="4:22"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36"/>
      <c r="O152" s="36"/>
      <c r="P152" s="36"/>
      <c r="Q152" s="36"/>
      <c r="R152" s="36"/>
      <c r="S152" s="36"/>
      <c r="T152" s="36"/>
      <c r="U152" s="36"/>
      <c r="V152" s="36"/>
    </row>
    <row r="153" spans="4:22"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6"/>
      <c r="V153" s="36"/>
    </row>
    <row r="154" spans="4:22"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6"/>
      <c r="V154" s="36"/>
    </row>
    <row r="155" spans="4:22"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/>
      <c r="V155" s="36"/>
    </row>
    <row r="156" spans="4:22"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6"/>
      <c r="V156" s="36"/>
    </row>
    <row r="157" spans="4:22"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/>
      <c r="V157" s="36"/>
    </row>
    <row r="158" spans="4:22"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6"/>
      <c r="V158" s="36"/>
    </row>
    <row r="159" spans="4:22"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</row>
    <row r="160" spans="4:22"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</row>
    <row r="161" spans="4:22"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/>
      <c r="V161" s="36"/>
    </row>
    <row r="162" spans="4:22"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</row>
    <row r="163" spans="4:22"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</row>
    <row r="164" spans="4:22"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6"/>
      <c r="V164" s="36"/>
    </row>
    <row r="165" spans="4:22"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6"/>
      <c r="V165" s="36"/>
    </row>
    <row r="166" spans="4:22"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36"/>
      <c r="U166" s="36"/>
      <c r="V166" s="36"/>
    </row>
    <row r="167" spans="4:22"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36"/>
      <c r="V167" s="36"/>
    </row>
    <row r="168" spans="4:22"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36"/>
      <c r="V168" s="36"/>
    </row>
    <row r="169" spans="4:22"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36"/>
      <c r="O169" s="36"/>
      <c r="P169" s="36"/>
      <c r="Q169" s="36"/>
      <c r="R169" s="36"/>
      <c r="S169" s="36"/>
      <c r="T169" s="36"/>
      <c r="U169" s="36"/>
      <c r="V169" s="36"/>
    </row>
    <row r="170" spans="4:22"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</row>
    <row r="171" spans="4:22"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</row>
    <row r="172" spans="4:22"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</row>
    <row r="173" spans="4:22"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6"/>
      <c r="V173" s="36"/>
    </row>
    <row r="174" spans="4:22"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6"/>
      <c r="V174" s="36"/>
    </row>
    <row r="175" spans="4:22"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</row>
    <row r="176" spans="4:22"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</row>
    <row r="177" spans="4:22"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</row>
    <row r="178" spans="4:22"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</row>
    <row r="179" spans="4:22"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</row>
    <row r="180" spans="4:22"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</row>
    <row r="181" spans="4:22"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6"/>
      <c r="V181" s="36"/>
    </row>
    <row r="182" spans="4:22"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6"/>
      <c r="U182" s="36"/>
      <c r="V182" s="36"/>
    </row>
    <row r="183" spans="4:22"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  <c r="U183" s="36"/>
      <c r="V183" s="36"/>
    </row>
    <row r="184" spans="4:22"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36"/>
      <c r="V184" s="36"/>
    </row>
    <row r="185" spans="4:22"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  <c r="U185" s="36"/>
      <c r="V185" s="36"/>
    </row>
    <row r="186" spans="4:22"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6"/>
      <c r="U186" s="36"/>
      <c r="V186" s="36"/>
    </row>
    <row r="187" spans="4:22"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36"/>
      <c r="V187" s="36"/>
    </row>
    <row r="188" spans="4:22"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36"/>
      <c r="O188" s="36"/>
      <c r="P188" s="36"/>
      <c r="Q188" s="36"/>
      <c r="R188" s="36"/>
      <c r="S188" s="36"/>
      <c r="T188" s="36"/>
      <c r="U188" s="36"/>
      <c r="V188" s="36"/>
    </row>
    <row r="189" spans="4:22"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6"/>
      <c r="U189" s="36"/>
      <c r="V189" s="36"/>
    </row>
    <row r="190" spans="4:22"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  <c r="U190" s="36"/>
      <c r="V190" s="36"/>
    </row>
    <row r="191" spans="4:22"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36"/>
      <c r="O191" s="36"/>
      <c r="P191" s="36"/>
      <c r="Q191" s="36"/>
      <c r="R191" s="36"/>
      <c r="S191" s="36"/>
      <c r="T191" s="36"/>
      <c r="U191" s="36"/>
      <c r="V191" s="36"/>
    </row>
    <row r="192" spans="4:22"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6"/>
      <c r="U192" s="36"/>
      <c r="V192" s="36"/>
    </row>
    <row r="193" spans="4:22"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  <c r="U193" s="36"/>
      <c r="V193" s="36"/>
    </row>
    <row r="194" spans="4:22"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  <c r="U194" s="36"/>
      <c r="V194" s="36"/>
    </row>
    <row r="195" spans="4:22"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6"/>
      <c r="V195" s="36"/>
    </row>
    <row r="196" spans="4:22"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6"/>
      <c r="U196" s="36"/>
      <c r="V196" s="36"/>
    </row>
    <row r="197" spans="4:22"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36"/>
      <c r="O197" s="36"/>
      <c r="P197" s="36"/>
      <c r="Q197" s="36"/>
      <c r="R197" s="36"/>
      <c r="S197" s="36"/>
      <c r="T197" s="36"/>
      <c r="U197" s="36"/>
      <c r="V197" s="36"/>
    </row>
    <row r="198" spans="4:22"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6"/>
      <c r="V198" s="36"/>
    </row>
    <row r="199" spans="4:22"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6"/>
      <c r="V199" s="36"/>
    </row>
    <row r="200" spans="4:22"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6"/>
      <c r="V200" s="36"/>
    </row>
    <row r="201" spans="4:22"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6"/>
      <c r="V201" s="36"/>
    </row>
    <row r="202" spans="4:22"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</row>
    <row r="203" spans="4:22"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</row>
    <row r="204" spans="4:22"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6"/>
      <c r="V204" s="36"/>
    </row>
    <row r="205" spans="4:22"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6"/>
      <c r="V205" s="36"/>
    </row>
    <row r="206" spans="4:22"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36"/>
      <c r="O206" s="36"/>
      <c r="P206" s="36"/>
      <c r="Q206" s="36"/>
      <c r="R206" s="36"/>
      <c r="S206" s="36"/>
      <c r="T206" s="36"/>
      <c r="U206" s="36"/>
      <c r="V206" s="36"/>
    </row>
    <row r="207" spans="4:22"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36"/>
      <c r="O207" s="36"/>
      <c r="P207" s="36"/>
      <c r="Q207" s="36"/>
      <c r="R207" s="36"/>
      <c r="S207" s="36"/>
      <c r="T207" s="36"/>
      <c r="U207" s="36"/>
      <c r="V207" s="36"/>
    </row>
    <row r="208" spans="4:22"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36"/>
      <c r="O208" s="36"/>
      <c r="P208" s="36"/>
      <c r="Q208" s="36"/>
      <c r="R208" s="36"/>
      <c r="S208" s="36"/>
      <c r="T208" s="36"/>
      <c r="U208" s="36"/>
      <c r="V208" s="36"/>
    </row>
    <row r="209" spans="4:22"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36"/>
      <c r="O209" s="36"/>
      <c r="P209" s="36"/>
      <c r="Q209" s="36"/>
      <c r="R209" s="36"/>
      <c r="S209" s="36"/>
      <c r="T209" s="36"/>
      <c r="U209" s="36"/>
      <c r="V209" s="36"/>
    </row>
    <row r="210" spans="4:22"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36"/>
      <c r="O210" s="36"/>
      <c r="P210" s="36"/>
      <c r="Q210" s="36"/>
      <c r="R210" s="36"/>
      <c r="S210" s="36"/>
      <c r="T210" s="36"/>
      <c r="U210" s="36"/>
      <c r="V210" s="36"/>
    </row>
    <row r="211" spans="4:22"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36"/>
      <c r="O211" s="36"/>
      <c r="P211" s="36"/>
      <c r="Q211" s="36"/>
      <c r="R211" s="36"/>
      <c r="S211" s="36"/>
      <c r="T211" s="36"/>
      <c r="U211" s="36"/>
      <c r="V211" s="36"/>
    </row>
    <row r="212" spans="4:22"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6"/>
      <c r="O212" s="36"/>
      <c r="P212" s="36"/>
      <c r="Q212" s="36"/>
      <c r="R212" s="36"/>
      <c r="S212" s="36"/>
      <c r="T212" s="36"/>
      <c r="U212" s="36"/>
      <c r="V212" s="36"/>
    </row>
    <row r="213" spans="4:22"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36"/>
      <c r="O213" s="36"/>
      <c r="P213" s="36"/>
      <c r="Q213" s="36"/>
      <c r="R213" s="36"/>
      <c r="S213" s="36"/>
      <c r="T213" s="36"/>
      <c r="U213" s="36"/>
      <c r="V213" s="36"/>
    </row>
    <row r="214" spans="4:22"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6"/>
      <c r="V214" s="36"/>
    </row>
    <row r="215" spans="4:22"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36"/>
      <c r="V215" s="36"/>
    </row>
    <row r="216" spans="4:22"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6"/>
      <c r="V216" s="36"/>
    </row>
    <row r="217" spans="4:22"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6"/>
      <c r="V217" s="36"/>
    </row>
    <row r="218" spans="4:22"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6"/>
      <c r="V218" s="36"/>
    </row>
    <row r="219" spans="4:22"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36"/>
      <c r="O219" s="36"/>
      <c r="P219" s="36"/>
      <c r="Q219" s="36"/>
      <c r="R219" s="36"/>
      <c r="S219" s="36"/>
      <c r="T219" s="36"/>
      <c r="U219" s="36"/>
      <c r="V219" s="36"/>
    </row>
    <row r="220" spans="4:22"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36"/>
      <c r="O220" s="36"/>
      <c r="P220" s="36"/>
      <c r="Q220" s="36"/>
      <c r="R220" s="36"/>
      <c r="S220" s="36"/>
      <c r="T220" s="36"/>
      <c r="U220" s="36"/>
      <c r="V220" s="36"/>
    </row>
    <row r="221" spans="4:22"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</row>
    <row r="222" spans="4:22"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</row>
    <row r="223" spans="4:22"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</row>
    <row r="224" spans="4:22"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</row>
    <row r="225" spans="4:22"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</row>
    <row r="226" spans="4:22"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</row>
    <row r="227" spans="4:22"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</row>
    <row r="228" spans="4:22"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</row>
    <row r="229" spans="4:22"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</row>
    <row r="230" spans="4:22"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</row>
    <row r="231" spans="4:22"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</row>
    <row r="232" spans="4:22"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36"/>
      <c r="O232" s="36"/>
      <c r="P232" s="36"/>
      <c r="Q232" s="36"/>
      <c r="R232" s="36"/>
      <c r="S232" s="36"/>
      <c r="T232" s="36"/>
      <c r="U232" s="36"/>
      <c r="V232" s="36"/>
    </row>
    <row r="233" spans="4:22"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36"/>
      <c r="V233" s="36"/>
    </row>
    <row r="234" spans="4:22"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  <c r="U234" s="36"/>
      <c r="V234" s="36"/>
    </row>
    <row r="235" spans="4:22"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  <c r="U235" s="36"/>
      <c r="V235" s="36"/>
    </row>
    <row r="236" spans="4:22"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36"/>
      <c r="V236" s="36"/>
    </row>
    <row r="237" spans="4:22"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6"/>
      <c r="V237" s="36"/>
    </row>
    <row r="238" spans="4:22"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/>
      <c r="U238" s="36"/>
      <c r="V238" s="36"/>
    </row>
    <row r="239" spans="4:22"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36"/>
      <c r="V239" s="36"/>
    </row>
    <row r="240" spans="4:22"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36"/>
      <c r="V240" s="36"/>
    </row>
    <row r="241" spans="4:22"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36"/>
      <c r="V241" s="36"/>
    </row>
    <row r="242" spans="4:22"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</row>
    <row r="243" spans="4:22"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</row>
    <row r="244" spans="4:22"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</row>
    <row r="245" spans="4:22"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</row>
    <row r="246" spans="4:22"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</row>
    <row r="247" spans="4:22"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6"/>
      <c r="V247" s="36"/>
    </row>
    <row r="248" spans="4:22"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</row>
    <row r="249" spans="4:22"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</row>
    <row r="250" spans="4:22"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</row>
    <row r="251" spans="4:22"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</row>
    <row r="252" spans="4:22"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</row>
    <row r="253" spans="4:22"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6"/>
      <c r="V253" s="36"/>
    </row>
    <row r="254" spans="4:22"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36"/>
      <c r="V254" s="36"/>
    </row>
    <row r="255" spans="4:22"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36"/>
      <c r="V255" s="36"/>
    </row>
    <row r="256" spans="4:22"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36"/>
      <c r="V256" s="36"/>
    </row>
    <row r="257" spans="4:22"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</row>
    <row r="258" spans="4:22"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</row>
    <row r="259" spans="4:22"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6"/>
    </row>
    <row r="260" spans="4:22"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36"/>
      <c r="O260" s="36"/>
      <c r="P260" s="36"/>
      <c r="Q260" s="36"/>
      <c r="R260" s="36"/>
      <c r="S260" s="36"/>
      <c r="T260" s="36"/>
      <c r="U260" s="36"/>
      <c r="V260" s="36"/>
    </row>
    <row r="261" spans="4:22"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36"/>
      <c r="O261" s="36"/>
      <c r="P261" s="36"/>
      <c r="Q261" s="36"/>
      <c r="R261" s="36"/>
      <c r="S261" s="36"/>
      <c r="T261" s="36"/>
      <c r="U261" s="36"/>
      <c r="V261" s="36"/>
    </row>
    <row r="262" spans="4:22"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36"/>
      <c r="V262" s="36"/>
    </row>
    <row r="263" spans="4:22"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</row>
    <row r="264" spans="4:22"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</row>
    <row r="265" spans="4:22"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</row>
    <row r="266" spans="4:22"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</row>
    <row r="267" spans="4:22"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</row>
    <row r="268" spans="4:22"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36"/>
      <c r="V268" s="36"/>
    </row>
    <row r="269" spans="4:22"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36"/>
      <c r="V269" s="36"/>
    </row>
    <row r="270" spans="4:22"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36"/>
      <c r="V270" s="36"/>
    </row>
    <row r="271" spans="4:22"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36"/>
      <c r="V271" s="36"/>
    </row>
    <row r="272" spans="4:22"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36"/>
      <c r="V272" s="36"/>
    </row>
    <row r="273" spans="4:22"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36"/>
      <c r="V273" s="36"/>
    </row>
    <row r="274" spans="4:22"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36"/>
      <c r="V274" s="36"/>
    </row>
    <row r="275" spans="4:22"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6"/>
      <c r="V275" s="36"/>
    </row>
    <row r="276" spans="4:22"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6"/>
      <c r="O276" s="36"/>
      <c r="P276" s="36"/>
      <c r="Q276" s="36"/>
      <c r="R276" s="36"/>
      <c r="S276" s="36"/>
      <c r="T276" s="36"/>
      <c r="U276" s="36"/>
      <c r="V276" s="36"/>
    </row>
    <row r="277" spans="4:22"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36"/>
      <c r="O277" s="36"/>
      <c r="P277" s="36"/>
      <c r="Q277" s="36"/>
      <c r="R277" s="36"/>
      <c r="S277" s="36"/>
      <c r="T277" s="36"/>
      <c r="U277" s="36"/>
      <c r="V277" s="36"/>
    </row>
    <row r="278" spans="4:22"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36"/>
      <c r="O278" s="36"/>
      <c r="P278" s="36"/>
      <c r="Q278" s="36"/>
      <c r="R278" s="36"/>
      <c r="S278" s="36"/>
      <c r="T278" s="36"/>
      <c r="U278" s="36"/>
      <c r="V278" s="36"/>
    </row>
    <row r="279" spans="4:22"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36"/>
      <c r="V279" s="36"/>
    </row>
    <row r="280" spans="4:22"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36"/>
      <c r="V280" s="36"/>
    </row>
    <row r="281" spans="4:22"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36"/>
      <c r="O281" s="36"/>
      <c r="P281" s="36"/>
      <c r="Q281" s="36"/>
      <c r="R281" s="36"/>
      <c r="S281" s="36"/>
      <c r="T281" s="36"/>
      <c r="U281" s="36"/>
      <c r="V281" s="36"/>
    </row>
    <row r="282" spans="4:22"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36"/>
      <c r="V282" s="36"/>
    </row>
    <row r="283" spans="4:22"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36"/>
      <c r="V283" s="36"/>
    </row>
    <row r="284" spans="4:22"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36"/>
      <c r="O284" s="36"/>
      <c r="P284" s="36"/>
      <c r="Q284" s="36"/>
      <c r="R284" s="36"/>
      <c r="S284" s="36"/>
      <c r="T284" s="36"/>
      <c r="U284" s="36"/>
      <c r="V284" s="36"/>
    </row>
    <row r="285" spans="4:22"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36"/>
      <c r="O285" s="36"/>
      <c r="P285" s="36"/>
      <c r="Q285" s="36"/>
      <c r="R285" s="36"/>
      <c r="S285" s="36"/>
      <c r="T285" s="36"/>
      <c r="U285" s="36"/>
      <c r="V285" s="36"/>
    </row>
    <row r="286" spans="4:22"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36"/>
      <c r="O286" s="36"/>
      <c r="P286" s="36"/>
      <c r="Q286" s="36"/>
      <c r="R286" s="36"/>
      <c r="S286" s="36"/>
      <c r="T286" s="36"/>
      <c r="U286" s="36"/>
      <c r="V286" s="36"/>
    </row>
    <row r="287" spans="4:22"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36"/>
      <c r="O287" s="36"/>
      <c r="P287" s="36"/>
      <c r="Q287" s="36"/>
      <c r="R287" s="36"/>
      <c r="S287" s="36"/>
      <c r="T287" s="36"/>
      <c r="U287" s="36"/>
      <c r="V287" s="36"/>
    </row>
    <row r="288" spans="4:22"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6"/>
      <c r="S288" s="36"/>
      <c r="T288" s="36"/>
      <c r="U288" s="36"/>
      <c r="V288" s="36"/>
    </row>
    <row r="289" spans="4:22"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36"/>
      <c r="O289" s="36"/>
      <c r="P289" s="36"/>
      <c r="Q289" s="36"/>
      <c r="R289" s="36"/>
      <c r="S289" s="36"/>
      <c r="T289" s="36"/>
      <c r="U289" s="36"/>
      <c r="V289" s="36"/>
    </row>
    <row r="290" spans="4:22"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6"/>
      <c r="O290" s="36"/>
      <c r="P290" s="36"/>
      <c r="Q290" s="36"/>
      <c r="R290" s="36"/>
      <c r="S290" s="36"/>
      <c r="T290" s="36"/>
      <c r="U290" s="36"/>
      <c r="V290" s="36"/>
    </row>
    <row r="291" spans="4:22"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36"/>
      <c r="V291" s="36"/>
    </row>
    <row r="292" spans="4:22"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36"/>
      <c r="O292" s="36"/>
      <c r="P292" s="36"/>
      <c r="Q292" s="36"/>
      <c r="R292" s="36"/>
      <c r="S292" s="36"/>
      <c r="T292" s="36"/>
      <c r="U292" s="36"/>
      <c r="V292" s="36"/>
    </row>
    <row r="293" spans="4:22"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36"/>
      <c r="O293" s="36"/>
      <c r="P293" s="36"/>
      <c r="Q293" s="36"/>
      <c r="R293" s="36"/>
      <c r="S293" s="36"/>
      <c r="T293" s="36"/>
      <c r="U293" s="36"/>
      <c r="V293" s="36"/>
    </row>
    <row r="294" spans="4:22"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  <c r="U294" s="36"/>
      <c r="V294" s="36"/>
    </row>
    <row r="295" spans="4:22"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36"/>
      <c r="V295" s="36"/>
    </row>
    <row r="296" spans="4:22"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36"/>
      <c r="V296" s="36"/>
    </row>
    <row r="297" spans="4:22"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  <c r="U297" s="36"/>
      <c r="V297" s="36"/>
    </row>
    <row r="298" spans="4:22"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</row>
    <row r="299" spans="4:22"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</row>
    <row r="300" spans="4:22"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</row>
    <row r="301" spans="4:22"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</row>
    <row r="302" spans="4:22"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</row>
    <row r="303" spans="4:22"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36"/>
      <c r="V303" s="36"/>
    </row>
    <row r="304" spans="4:22"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6"/>
      <c r="V304" s="36"/>
    </row>
    <row r="305" spans="4:22"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  <c r="U305" s="36"/>
      <c r="V305" s="36"/>
    </row>
    <row r="306" spans="4:22"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  <c r="U306" s="36"/>
      <c r="V306" s="36"/>
    </row>
    <row r="307" spans="4:22"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  <c r="U307" s="36"/>
      <c r="V307" s="36"/>
    </row>
    <row r="308" spans="4:22"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  <c r="U308" s="36"/>
      <c r="V308" s="36"/>
    </row>
    <row r="309" spans="4:22"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  <c r="U309" s="36"/>
      <c r="V309" s="36"/>
    </row>
    <row r="310" spans="4:22"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36"/>
      <c r="O310" s="36"/>
      <c r="P310" s="36"/>
      <c r="Q310" s="36"/>
      <c r="R310" s="36"/>
      <c r="S310" s="36"/>
      <c r="T310" s="36"/>
      <c r="U310" s="36"/>
      <c r="V310" s="36"/>
    </row>
    <row r="311" spans="4:22"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  <c r="U311" s="36"/>
      <c r="V311" s="36"/>
    </row>
    <row r="312" spans="4:22"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  <c r="U312" s="36"/>
      <c r="V312" s="36"/>
    </row>
    <row r="313" spans="4:22"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  <c r="U313" s="36"/>
      <c r="V313" s="36"/>
    </row>
    <row r="314" spans="4:22"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  <c r="U314" s="36"/>
      <c r="V314" s="36"/>
    </row>
    <row r="315" spans="4:22"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  <c r="U315" s="36"/>
      <c r="V315" s="36"/>
    </row>
    <row r="316" spans="4:22"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6"/>
      <c r="V316" s="36"/>
    </row>
    <row r="317" spans="4:22"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  <c r="U317" s="36"/>
      <c r="V317" s="36"/>
    </row>
    <row r="318" spans="4:22"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  <c r="U318" s="36"/>
      <c r="V318" s="36"/>
    </row>
    <row r="319" spans="4:22"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  <c r="U319" s="36"/>
      <c r="V319" s="36"/>
    </row>
    <row r="320" spans="4:22"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  <c r="U320" s="36"/>
      <c r="V320" s="36"/>
    </row>
    <row r="321" spans="4:22"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  <c r="U321" s="36"/>
      <c r="V321" s="36"/>
    </row>
    <row r="322" spans="4:22"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  <c r="U322" s="36"/>
      <c r="V322" s="36"/>
    </row>
    <row r="323" spans="4:22"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  <c r="U323" s="36"/>
      <c r="V323" s="36"/>
    </row>
    <row r="324" spans="4:22"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  <c r="U324" s="36"/>
      <c r="V324" s="36"/>
    </row>
    <row r="325" spans="4:22"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  <c r="U325" s="36"/>
      <c r="V325" s="36"/>
    </row>
    <row r="326" spans="4:22"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  <c r="U326" s="36"/>
      <c r="V326" s="36"/>
    </row>
    <row r="327" spans="4:22"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  <c r="U327" s="36"/>
      <c r="V327" s="36"/>
    </row>
    <row r="328" spans="4:22"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  <c r="U328" s="36"/>
      <c r="V328" s="36"/>
    </row>
    <row r="329" spans="4:22"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  <c r="U329" s="36"/>
      <c r="V329" s="36"/>
    </row>
    <row r="330" spans="4:22"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  <c r="U330" s="36"/>
      <c r="V330" s="36"/>
    </row>
    <row r="331" spans="4:22"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  <c r="U331" s="36"/>
      <c r="V331" s="36"/>
    </row>
    <row r="332" spans="4:22"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  <c r="U332" s="36"/>
      <c r="V332" s="36"/>
    </row>
    <row r="333" spans="4:22"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  <c r="U333" s="36"/>
      <c r="V333" s="36"/>
    </row>
    <row r="334" spans="4:22"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  <c r="U334" s="36"/>
      <c r="V334" s="36"/>
    </row>
    <row r="335" spans="4:22"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  <c r="U335" s="36"/>
      <c r="V335" s="36"/>
    </row>
    <row r="336" spans="4:22"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  <c r="U336" s="36"/>
      <c r="V336" s="36"/>
    </row>
    <row r="337" spans="4:22"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  <c r="U337" s="36"/>
      <c r="V337" s="36"/>
    </row>
    <row r="338" spans="4:22"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  <c r="U338" s="36"/>
      <c r="V338" s="36"/>
    </row>
    <row r="339" spans="4:22"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  <c r="U339" s="36"/>
      <c r="V339" s="36"/>
    </row>
    <row r="340" spans="4:22"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6"/>
    </row>
    <row r="341" spans="4:22"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  <c r="U341" s="36"/>
      <c r="V341" s="36"/>
    </row>
    <row r="342" spans="4:22"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6"/>
      <c r="V342" s="36"/>
    </row>
    <row r="343" spans="4:22"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  <c r="U343" s="36"/>
      <c r="V343" s="36"/>
    </row>
    <row r="344" spans="4:22"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  <c r="U344" s="36"/>
      <c r="V344" s="36"/>
    </row>
    <row r="345" spans="4:22"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  <c r="U345" s="36"/>
      <c r="V345" s="36"/>
    </row>
    <row r="346" spans="4:22"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  <c r="U346" s="36"/>
      <c r="V346" s="36"/>
    </row>
    <row r="347" spans="4:22"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  <c r="U347" s="36"/>
      <c r="V347" s="36"/>
    </row>
    <row r="348" spans="4:22"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  <c r="U348" s="36"/>
      <c r="V348" s="36"/>
    </row>
    <row r="349" spans="4:22"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  <c r="U349" s="36"/>
      <c r="V349" s="36"/>
    </row>
    <row r="350" spans="4:22"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  <c r="U350" s="36"/>
      <c r="V350" s="36"/>
    </row>
    <row r="351" spans="4:22"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  <c r="U351" s="36"/>
      <c r="V351" s="36"/>
    </row>
    <row r="352" spans="4:22"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  <c r="U352" s="36"/>
      <c r="V352" s="36"/>
    </row>
    <row r="353" spans="4:22"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  <c r="U353" s="36"/>
      <c r="V353" s="36"/>
    </row>
    <row r="354" spans="4:22"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36"/>
      <c r="T354" s="36"/>
      <c r="U354" s="36"/>
      <c r="V354" s="36"/>
    </row>
    <row r="355" spans="4:22"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36"/>
      <c r="V355" s="36"/>
    </row>
    <row r="356" spans="4:22"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  <c r="U356" s="36"/>
      <c r="V356" s="36"/>
    </row>
    <row r="357" spans="4:22"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  <c r="U357" s="36"/>
      <c r="V357" s="36"/>
    </row>
    <row r="358" spans="4:22"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  <c r="U358" s="36"/>
      <c r="V358" s="36"/>
    </row>
    <row r="359" spans="4:22"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  <c r="U359" s="36"/>
      <c r="V359" s="36"/>
    </row>
    <row r="360" spans="4:22"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  <c r="U360" s="36"/>
      <c r="V360" s="36"/>
    </row>
    <row r="361" spans="4:22"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  <c r="U361" s="36"/>
      <c r="V361" s="36"/>
    </row>
    <row r="362" spans="4:22"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  <c r="U362" s="36"/>
      <c r="V362" s="36"/>
    </row>
    <row r="363" spans="4:22"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  <c r="U363" s="36"/>
      <c r="V363" s="36"/>
    </row>
    <row r="364" spans="4:22"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  <c r="U364" s="36"/>
      <c r="V364" s="36"/>
    </row>
    <row r="365" spans="4:22"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  <c r="U365" s="36"/>
      <c r="V365" s="36"/>
    </row>
    <row r="366" spans="4:22"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  <c r="U366" s="36"/>
      <c r="V366" s="36"/>
    </row>
    <row r="367" spans="4:22"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  <c r="U367" s="36"/>
      <c r="V367" s="36"/>
    </row>
    <row r="368" spans="4:22"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  <c r="U368" s="36"/>
      <c r="V368" s="36"/>
    </row>
    <row r="369" spans="4:22"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  <c r="U369" s="36"/>
      <c r="V369" s="36"/>
    </row>
    <row r="370" spans="4:22"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36"/>
      <c r="V370" s="36"/>
    </row>
    <row r="371" spans="4:22"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36"/>
      <c r="V371" s="36"/>
    </row>
    <row r="372" spans="4:22"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6"/>
      <c r="V372" s="36"/>
    </row>
    <row r="373" spans="4:22"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6"/>
      <c r="V373" s="36"/>
    </row>
    <row r="374" spans="4:22"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6"/>
      <c r="V374" s="36"/>
    </row>
    <row r="375" spans="4:22"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6"/>
      <c r="V375" s="36"/>
    </row>
    <row r="376" spans="4:22"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6"/>
      <c r="V376" s="36"/>
    </row>
    <row r="377" spans="4:22"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6"/>
      <c r="V377" s="36"/>
    </row>
    <row r="378" spans="4:22"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6"/>
      <c r="V378" s="36"/>
    </row>
    <row r="379" spans="4:22"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6"/>
      <c r="V379" s="36"/>
    </row>
    <row r="380" spans="4:22"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6"/>
      <c r="V380" s="36"/>
    </row>
    <row r="381" spans="4:22"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6"/>
      <c r="V381" s="36"/>
    </row>
    <row r="382" spans="4:22"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6"/>
      <c r="V382" s="36"/>
    </row>
    <row r="383" spans="4:22"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6"/>
      <c r="V383" s="36"/>
    </row>
    <row r="384" spans="4:22"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6"/>
      <c r="V384" s="36"/>
    </row>
    <row r="385" spans="4:22"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6"/>
      <c r="V385" s="36"/>
    </row>
    <row r="386" spans="4:22"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6"/>
      <c r="V386" s="36"/>
    </row>
    <row r="387" spans="4:22"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6"/>
      <c r="V387" s="36"/>
    </row>
    <row r="388" spans="4:22"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6"/>
      <c r="V388" s="36"/>
    </row>
    <row r="389" spans="4:22"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</row>
    <row r="390" spans="4:22"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  <c r="U390" s="36"/>
      <c r="V390" s="36"/>
    </row>
    <row r="391" spans="4:22"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36"/>
      <c r="V391" s="36"/>
    </row>
    <row r="392" spans="4:22"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  <c r="U392" s="36"/>
      <c r="V392" s="36"/>
    </row>
    <row r="393" spans="4:22"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6"/>
      <c r="V393" s="36"/>
    </row>
    <row r="394" spans="4:22"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  <c r="U394" s="36"/>
      <c r="V394" s="36"/>
    </row>
    <row r="395" spans="4:22"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6"/>
      <c r="V395" s="36"/>
    </row>
    <row r="396" spans="4:22"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36"/>
      <c r="V396" s="36"/>
    </row>
    <row r="397" spans="4:22"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6"/>
      <c r="V397" s="36"/>
    </row>
    <row r="398" spans="4:22"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6"/>
      <c r="V398" s="36"/>
    </row>
    <row r="399" spans="4:22"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</row>
    <row r="400" spans="4:22"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  <c r="U400" s="36"/>
      <c r="V400" s="36"/>
    </row>
    <row r="401" spans="4:22"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6"/>
      <c r="V401" s="36"/>
    </row>
    <row r="402" spans="4:22"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36"/>
      <c r="V402" s="36"/>
    </row>
    <row r="403" spans="4:22"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36"/>
      <c r="V403" s="36"/>
    </row>
    <row r="404" spans="4:22"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6"/>
      <c r="V404" s="36"/>
    </row>
    <row r="405" spans="4:22"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6"/>
      <c r="V405" s="36"/>
    </row>
    <row r="406" spans="4:22"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6"/>
      <c r="V406" s="36"/>
    </row>
    <row r="407" spans="4:22"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6"/>
      <c r="V407" s="36"/>
    </row>
    <row r="408" spans="4:22"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6"/>
      <c r="V408" s="36"/>
    </row>
    <row r="409" spans="4:22"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6"/>
      <c r="V409" s="36"/>
    </row>
    <row r="410" spans="4:22"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6"/>
      <c r="V410" s="36"/>
    </row>
    <row r="411" spans="4:22"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36"/>
      <c r="V411" s="36"/>
    </row>
    <row r="412" spans="4:22"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36"/>
      <c r="V412" s="36"/>
    </row>
    <row r="413" spans="4:22"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36"/>
      <c r="V413" s="36"/>
    </row>
    <row r="414" spans="4:22"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36"/>
      <c r="V414" s="36"/>
    </row>
    <row r="415" spans="4:22"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36"/>
      <c r="V415" s="36"/>
    </row>
    <row r="416" spans="4:22"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36"/>
      <c r="V416" s="36"/>
    </row>
    <row r="417" spans="4:22"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36"/>
      <c r="V417" s="36"/>
    </row>
    <row r="418" spans="4:22"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36"/>
      <c r="V418" s="36"/>
    </row>
    <row r="419" spans="4:22"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36"/>
      <c r="V419" s="36"/>
    </row>
    <row r="420" spans="4:22"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36"/>
      <c r="V420" s="36"/>
    </row>
    <row r="421" spans="4:22"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36"/>
      <c r="V421" s="36"/>
    </row>
    <row r="422" spans="4:22"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  <c r="U422" s="36"/>
      <c r="V422" s="36"/>
    </row>
    <row r="423" spans="4:22"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  <c r="U423" s="36"/>
      <c r="V423" s="36"/>
    </row>
    <row r="424" spans="4:22"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  <c r="U424" s="36"/>
      <c r="V424" s="36"/>
    </row>
    <row r="425" spans="4:22"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  <c r="U425" s="36"/>
      <c r="V425" s="36"/>
    </row>
    <row r="426" spans="4:22"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  <c r="U426" s="36"/>
      <c r="V426" s="36"/>
    </row>
    <row r="427" spans="4:22"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  <c r="U427" s="36"/>
      <c r="V427" s="36"/>
    </row>
    <row r="428" spans="4:22"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  <c r="U428" s="36"/>
      <c r="V428" s="36"/>
    </row>
    <row r="429" spans="4:22"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  <c r="U429" s="36"/>
      <c r="V429" s="36"/>
    </row>
    <row r="430" spans="4:22"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  <c r="U430" s="36"/>
      <c r="V430" s="36"/>
    </row>
    <row r="431" spans="4:22"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  <c r="U431" s="36"/>
      <c r="V431" s="36"/>
    </row>
    <row r="432" spans="4:22"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  <c r="U432" s="36"/>
      <c r="V432" s="36"/>
    </row>
    <row r="433" spans="4:22"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  <c r="U433" s="36"/>
      <c r="V433" s="36"/>
    </row>
    <row r="434" spans="4:22"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  <c r="U434" s="36"/>
      <c r="V434" s="36"/>
    </row>
    <row r="435" spans="4:22"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  <c r="U435" s="36"/>
      <c r="V435" s="36"/>
    </row>
    <row r="436" spans="4:22"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  <c r="U436" s="36"/>
      <c r="V436" s="36"/>
    </row>
    <row r="437" spans="4:22"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  <c r="U437" s="36"/>
      <c r="V437" s="36"/>
    </row>
    <row r="438" spans="4:22"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  <c r="U438" s="36"/>
      <c r="V438" s="36"/>
    </row>
    <row r="439" spans="4:22"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  <c r="U439" s="36"/>
      <c r="V439" s="36"/>
    </row>
    <row r="440" spans="4:22"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  <c r="U440" s="36"/>
      <c r="V440" s="36"/>
    </row>
    <row r="441" spans="4:22"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  <c r="U441" s="36"/>
      <c r="V441" s="36"/>
    </row>
    <row r="442" spans="4:22"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  <c r="U442" s="36"/>
      <c r="V442" s="36"/>
    </row>
    <row r="443" spans="4:22"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  <c r="U443" s="36"/>
      <c r="V443" s="36"/>
    </row>
    <row r="444" spans="4:22"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  <c r="U444" s="36"/>
      <c r="V444" s="36"/>
    </row>
    <row r="445" spans="4:22"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  <c r="U445" s="36"/>
      <c r="V445" s="36"/>
    </row>
    <row r="446" spans="4:22"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  <c r="U446" s="36"/>
      <c r="V446" s="36"/>
    </row>
    <row r="447" spans="4:22"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  <c r="U447" s="36"/>
      <c r="V447" s="36"/>
    </row>
    <row r="448" spans="4:22"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  <c r="U448" s="36"/>
      <c r="V448" s="36"/>
    </row>
    <row r="449" spans="4:22"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  <c r="U449" s="36"/>
      <c r="V449" s="36"/>
    </row>
    <row r="450" spans="4:22"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  <c r="U450" s="36"/>
      <c r="V450" s="36"/>
    </row>
    <row r="451" spans="4:22"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  <c r="U451" s="36"/>
      <c r="V451" s="36"/>
    </row>
    <row r="452" spans="4:22"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  <c r="U452" s="36"/>
      <c r="V452" s="36"/>
    </row>
    <row r="453" spans="4:22"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  <c r="U453" s="36"/>
      <c r="V453" s="36"/>
    </row>
    <row r="454" spans="4:22"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  <c r="U454" s="36"/>
      <c r="V454" s="36"/>
    </row>
    <row r="455" spans="4:22"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  <c r="U455" s="36"/>
      <c r="V455" s="36"/>
    </row>
    <row r="456" spans="4:22"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36"/>
      <c r="O456" s="36"/>
      <c r="P456" s="36"/>
      <c r="Q456" s="36"/>
      <c r="R456" s="36"/>
      <c r="S456" s="36"/>
      <c r="T456" s="36"/>
      <c r="U456" s="36"/>
      <c r="V456" s="36"/>
    </row>
    <row r="457" spans="4:22"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36"/>
      <c r="O457" s="36"/>
      <c r="P457" s="36"/>
      <c r="Q457" s="36"/>
      <c r="R457" s="36"/>
      <c r="S457" s="36"/>
      <c r="T457" s="36"/>
      <c r="U457" s="36"/>
      <c r="V457" s="36"/>
    </row>
    <row r="458" spans="4:22"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36"/>
      <c r="O458" s="36"/>
      <c r="P458" s="36"/>
      <c r="Q458" s="36"/>
      <c r="R458" s="36"/>
      <c r="S458" s="36"/>
      <c r="T458" s="36"/>
      <c r="U458" s="36"/>
      <c r="V458" s="36"/>
    </row>
    <row r="459" spans="4:22"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36"/>
      <c r="O459" s="36"/>
      <c r="P459" s="36"/>
      <c r="Q459" s="36"/>
      <c r="R459" s="36"/>
      <c r="S459" s="36"/>
      <c r="T459" s="36"/>
      <c r="U459" s="36"/>
      <c r="V459" s="36"/>
    </row>
    <row r="460" spans="4:22"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36"/>
      <c r="O460" s="36"/>
      <c r="P460" s="36"/>
      <c r="Q460" s="36"/>
      <c r="R460" s="36"/>
      <c r="S460" s="36"/>
      <c r="T460" s="36"/>
      <c r="U460" s="36"/>
      <c r="V460" s="36"/>
    </row>
    <row r="461" spans="4:22"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36"/>
      <c r="O461" s="36"/>
      <c r="P461" s="36"/>
      <c r="Q461" s="36"/>
      <c r="R461" s="36"/>
      <c r="S461" s="36"/>
      <c r="T461" s="36"/>
      <c r="U461" s="36"/>
      <c r="V461" s="36"/>
    </row>
    <row r="462" spans="4:22"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36"/>
      <c r="O462" s="36"/>
      <c r="P462" s="36"/>
      <c r="Q462" s="36"/>
      <c r="R462" s="36"/>
      <c r="S462" s="36"/>
      <c r="T462" s="36"/>
      <c r="U462" s="36"/>
      <c r="V462" s="36"/>
    </row>
    <row r="463" spans="4:22"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36"/>
      <c r="O463" s="36"/>
      <c r="P463" s="36"/>
      <c r="Q463" s="36"/>
      <c r="R463" s="36"/>
      <c r="S463" s="36"/>
      <c r="T463" s="36"/>
      <c r="U463" s="36"/>
      <c r="V463" s="36"/>
    </row>
    <row r="464" spans="4:22"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36"/>
      <c r="O464" s="36"/>
      <c r="P464" s="36"/>
      <c r="Q464" s="36"/>
      <c r="R464" s="36"/>
      <c r="S464" s="36"/>
      <c r="T464" s="36"/>
      <c r="U464" s="36"/>
      <c r="V464" s="36"/>
    </row>
    <row r="465" spans="4:22"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36"/>
      <c r="O465" s="36"/>
      <c r="P465" s="36"/>
      <c r="Q465" s="36"/>
      <c r="R465" s="36"/>
      <c r="S465" s="36"/>
      <c r="T465" s="36"/>
      <c r="U465" s="36"/>
      <c r="V465" s="36"/>
    </row>
    <row r="466" spans="4:22"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36"/>
      <c r="O466" s="36"/>
      <c r="P466" s="36"/>
      <c r="Q466" s="36"/>
      <c r="R466" s="36"/>
      <c r="S466" s="36"/>
      <c r="T466" s="36"/>
      <c r="U466" s="36"/>
      <c r="V466" s="36"/>
    </row>
    <row r="467" spans="4:22"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36"/>
      <c r="O467" s="36"/>
      <c r="P467" s="36"/>
      <c r="Q467" s="36"/>
      <c r="R467" s="36"/>
      <c r="S467" s="36"/>
      <c r="T467" s="36"/>
      <c r="U467" s="36"/>
      <c r="V467" s="36"/>
    </row>
    <row r="468" spans="4:22"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36"/>
      <c r="O468" s="36"/>
      <c r="P468" s="36"/>
      <c r="Q468" s="36"/>
      <c r="R468" s="36"/>
      <c r="S468" s="36"/>
      <c r="T468" s="36"/>
      <c r="U468" s="36"/>
      <c r="V468" s="36"/>
    </row>
    <row r="469" spans="4:22"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36"/>
      <c r="O469" s="36"/>
      <c r="P469" s="36"/>
      <c r="Q469" s="36"/>
      <c r="R469" s="36"/>
      <c r="S469" s="36"/>
      <c r="T469" s="36"/>
      <c r="U469" s="36"/>
      <c r="V469" s="36"/>
    </row>
    <row r="470" spans="4:22"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36"/>
      <c r="O470" s="36"/>
      <c r="P470" s="36"/>
      <c r="Q470" s="36"/>
      <c r="R470" s="36"/>
      <c r="S470" s="36"/>
      <c r="T470" s="36"/>
      <c r="U470" s="36"/>
      <c r="V470" s="36"/>
    </row>
    <row r="471" spans="4:22"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36"/>
      <c r="O471" s="36"/>
      <c r="P471" s="36"/>
      <c r="Q471" s="36"/>
      <c r="R471" s="36"/>
      <c r="S471" s="36"/>
      <c r="T471" s="36"/>
      <c r="U471" s="36"/>
      <c r="V471" s="36"/>
    </row>
    <row r="472" spans="4:22"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36"/>
      <c r="O472" s="36"/>
      <c r="P472" s="36"/>
      <c r="Q472" s="36"/>
      <c r="R472" s="36"/>
      <c r="S472" s="36"/>
      <c r="T472" s="36"/>
      <c r="U472" s="36"/>
      <c r="V472" s="36"/>
    </row>
    <row r="473" spans="4:22"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36"/>
      <c r="O473" s="36"/>
      <c r="P473" s="36"/>
      <c r="Q473" s="36"/>
      <c r="R473" s="36"/>
      <c r="S473" s="36"/>
      <c r="T473" s="36"/>
      <c r="U473" s="36"/>
      <c r="V473" s="36"/>
    </row>
    <row r="474" spans="4:22"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36"/>
      <c r="O474" s="36"/>
      <c r="P474" s="36"/>
      <c r="Q474" s="36"/>
      <c r="R474" s="36"/>
      <c r="S474" s="36"/>
      <c r="T474" s="36"/>
      <c r="U474" s="36"/>
      <c r="V474" s="36"/>
    </row>
    <row r="475" spans="4:22"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36"/>
      <c r="O475" s="36"/>
      <c r="P475" s="36"/>
      <c r="Q475" s="36"/>
      <c r="R475" s="36"/>
      <c r="S475" s="36"/>
      <c r="T475" s="36"/>
      <c r="U475" s="36"/>
      <c r="V475" s="36"/>
    </row>
    <row r="476" spans="4:22"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36"/>
      <c r="O476" s="36"/>
      <c r="P476" s="36"/>
      <c r="Q476" s="36"/>
      <c r="R476" s="36"/>
      <c r="S476" s="36"/>
      <c r="T476" s="36"/>
      <c r="U476" s="36"/>
      <c r="V476" s="36"/>
    </row>
    <row r="477" spans="4:22"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36"/>
      <c r="O477" s="36"/>
      <c r="P477" s="36"/>
      <c r="Q477" s="36"/>
      <c r="R477" s="36"/>
      <c r="S477" s="36"/>
      <c r="T477" s="36"/>
      <c r="U477" s="36"/>
      <c r="V477" s="36"/>
    </row>
    <row r="478" spans="4:22"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36"/>
      <c r="O478" s="36"/>
      <c r="P478" s="36"/>
      <c r="Q478" s="36"/>
      <c r="R478" s="36"/>
      <c r="S478" s="36"/>
      <c r="T478" s="36"/>
      <c r="U478" s="36"/>
      <c r="V478" s="36"/>
    </row>
    <row r="479" spans="4:22"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36"/>
      <c r="O479" s="36"/>
      <c r="P479" s="36"/>
      <c r="Q479" s="36"/>
      <c r="R479" s="36"/>
      <c r="S479" s="36"/>
      <c r="T479" s="36"/>
      <c r="U479" s="36"/>
      <c r="V479" s="36"/>
    </row>
    <row r="480" spans="4:22"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36"/>
      <c r="O480" s="36"/>
      <c r="P480" s="36"/>
      <c r="Q480" s="36"/>
      <c r="R480" s="36"/>
      <c r="S480" s="36"/>
      <c r="T480" s="36"/>
      <c r="U480" s="36"/>
      <c r="V480" s="36"/>
    </row>
    <row r="481" spans="4:22"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36"/>
      <c r="O481" s="36"/>
      <c r="P481" s="36"/>
      <c r="Q481" s="36"/>
      <c r="R481" s="36"/>
      <c r="S481" s="36"/>
      <c r="T481" s="36"/>
      <c r="U481" s="36"/>
      <c r="V481" s="36"/>
    </row>
    <row r="482" spans="4:22"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36"/>
      <c r="O482" s="36"/>
      <c r="P482" s="36"/>
      <c r="Q482" s="36"/>
      <c r="R482" s="36"/>
      <c r="S482" s="36"/>
      <c r="T482" s="36"/>
      <c r="U482" s="36"/>
      <c r="V482" s="36"/>
    </row>
    <row r="483" spans="4:22"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36"/>
      <c r="O483" s="36"/>
      <c r="P483" s="36"/>
      <c r="Q483" s="36"/>
      <c r="R483" s="36"/>
      <c r="S483" s="36"/>
      <c r="T483" s="36"/>
      <c r="U483" s="36"/>
      <c r="V483" s="36"/>
    </row>
    <row r="484" spans="4:22"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36"/>
      <c r="O484" s="36"/>
      <c r="P484" s="36"/>
      <c r="Q484" s="36"/>
      <c r="R484" s="36"/>
      <c r="S484" s="36"/>
      <c r="T484" s="36"/>
      <c r="U484" s="36"/>
      <c r="V484" s="36"/>
    </row>
    <row r="485" spans="4:22"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36"/>
      <c r="O485" s="36"/>
      <c r="P485" s="36"/>
      <c r="Q485" s="36"/>
      <c r="R485" s="36"/>
      <c r="S485" s="36"/>
      <c r="T485" s="36"/>
      <c r="U485" s="36"/>
      <c r="V485" s="36"/>
    </row>
    <row r="486" spans="4:22"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36"/>
      <c r="O486" s="36"/>
      <c r="P486" s="36"/>
      <c r="Q486" s="36"/>
      <c r="R486" s="36"/>
      <c r="S486" s="36"/>
      <c r="T486" s="36"/>
      <c r="U486" s="36"/>
      <c r="V486" s="36"/>
    </row>
    <row r="487" spans="4:22"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36"/>
      <c r="O487" s="36"/>
      <c r="P487" s="36"/>
      <c r="Q487" s="36"/>
      <c r="R487" s="36"/>
      <c r="S487" s="36"/>
      <c r="T487" s="36"/>
      <c r="U487" s="36"/>
      <c r="V487" s="36"/>
    </row>
    <row r="488" spans="4:22"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36"/>
      <c r="O488" s="36"/>
      <c r="P488" s="36"/>
      <c r="Q488" s="36"/>
      <c r="R488" s="36"/>
      <c r="S488" s="36"/>
      <c r="T488" s="36"/>
      <c r="U488" s="36"/>
      <c r="V488" s="36"/>
    </row>
    <row r="489" spans="4:22"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36"/>
      <c r="O489" s="36"/>
      <c r="P489" s="36"/>
      <c r="Q489" s="36"/>
      <c r="R489" s="36"/>
      <c r="S489" s="36"/>
      <c r="T489" s="36"/>
      <c r="U489" s="36"/>
      <c r="V489" s="36"/>
    </row>
    <row r="490" spans="4:22"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36"/>
      <c r="O490" s="36"/>
      <c r="P490" s="36"/>
      <c r="Q490" s="36"/>
      <c r="R490" s="36"/>
      <c r="S490" s="36"/>
      <c r="T490" s="36"/>
      <c r="U490" s="36"/>
      <c r="V490" s="36"/>
    </row>
    <row r="491" spans="4:22"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36"/>
      <c r="O491" s="36"/>
      <c r="P491" s="36"/>
      <c r="Q491" s="36"/>
      <c r="R491" s="36"/>
      <c r="S491" s="36"/>
      <c r="T491" s="36"/>
      <c r="U491" s="36"/>
      <c r="V491" s="36"/>
    </row>
    <row r="492" spans="4:22"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36"/>
      <c r="O492" s="36"/>
      <c r="P492" s="36"/>
      <c r="Q492" s="36"/>
      <c r="R492" s="36"/>
      <c r="S492" s="36"/>
      <c r="T492" s="36"/>
      <c r="U492" s="36"/>
      <c r="V492" s="36"/>
    </row>
    <row r="493" spans="4:22"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36"/>
      <c r="O493" s="36"/>
      <c r="P493" s="36"/>
      <c r="Q493" s="36"/>
      <c r="R493" s="36"/>
      <c r="S493" s="36"/>
      <c r="T493" s="36"/>
      <c r="U493" s="36"/>
      <c r="V493" s="36"/>
    </row>
    <row r="494" spans="4:22"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36"/>
      <c r="O494" s="36"/>
      <c r="P494" s="36"/>
      <c r="Q494" s="36"/>
      <c r="R494" s="36"/>
      <c r="S494" s="36"/>
      <c r="T494" s="36"/>
      <c r="U494" s="36"/>
      <c r="V494" s="36"/>
    </row>
    <row r="495" spans="4:22"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36"/>
      <c r="O495" s="36"/>
      <c r="P495" s="36"/>
      <c r="Q495" s="36"/>
      <c r="R495" s="36"/>
      <c r="S495" s="36"/>
      <c r="T495" s="36"/>
      <c r="U495" s="36"/>
      <c r="V495" s="36"/>
    </row>
    <row r="496" spans="4:22"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36"/>
      <c r="O496" s="36"/>
      <c r="P496" s="36"/>
      <c r="Q496" s="36"/>
      <c r="R496" s="36"/>
      <c r="S496" s="36"/>
      <c r="T496" s="36"/>
      <c r="U496" s="36"/>
      <c r="V496" s="36"/>
    </row>
    <row r="497" spans="4:22"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36"/>
      <c r="O497" s="36"/>
      <c r="P497" s="36"/>
      <c r="Q497" s="36"/>
      <c r="R497" s="36"/>
      <c r="S497" s="36"/>
      <c r="T497" s="36"/>
      <c r="U497" s="36"/>
      <c r="V497" s="36"/>
    </row>
    <row r="498" spans="4:22"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36"/>
      <c r="O498" s="36"/>
      <c r="P498" s="36"/>
      <c r="Q498" s="36"/>
      <c r="R498" s="36"/>
      <c r="S498" s="36"/>
      <c r="T498" s="36"/>
      <c r="U498" s="36"/>
      <c r="V498" s="36"/>
    </row>
    <row r="499" spans="4:22"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36"/>
      <c r="O499" s="36"/>
      <c r="P499" s="36"/>
      <c r="Q499" s="36"/>
      <c r="R499" s="36"/>
      <c r="S499" s="36"/>
      <c r="T499" s="36"/>
      <c r="U499" s="36"/>
      <c r="V499" s="36"/>
    </row>
    <row r="500" spans="4:22"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36"/>
      <c r="O500" s="36"/>
      <c r="P500" s="36"/>
      <c r="Q500" s="36"/>
      <c r="R500" s="36"/>
      <c r="S500" s="36"/>
      <c r="T500" s="36"/>
      <c r="U500" s="36"/>
      <c r="V500" s="36"/>
    </row>
    <row r="501" spans="4:22"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36"/>
      <c r="O501" s="36"/>
      <c r="P501" s="36"/>
      <c r="Q501" s="36"/>
      <c r="R501" s="36"/>
      <c r="S501" s="36"/>
      <c r="T501" s="36"/>
      <c r="U501" s="36"/>
      <c r="V501" s="36"/>
    </row>
    <row r="502" spans="4:22"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36"/>
      <c r="O502" s="36"/>
      <c r="P502" s="36"/>
      <c r="Q502" s="36"/>
      <c r="R502" s="36"/>
      <c r="S502" s="36"/>
      <c r="T502" s="36"/>
      <c r="U502" s="36"/>
      <c r="V502" s="36"/>
    </row>
    <row r="503" spans="4:22"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36"/>
      <c r="O503" s="36"/>
      <c r="P503" s="36"/>
      <c r="Q503" s="36"/>
      <c r="R503" s="36"/>
      <c r="S503" s="36"/>
      <c r="T503" s="36"/>
      <c r="U503" s="36"/>
      <c r="V503" s="36"/>
    </row>
    <row r="504" spans="4:22"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36"/>
      <c r="O504" s="36"/>
      <c r="P504" s="36"/>
      <c r="Q504" s="36"/>
      <c r="R504" s="36"/>
      <c r="S504" s="36"/>
      <c r="T504" s="36"/>
      <c r="U504" s="36"/>
      <c r="V504" s="36"/>
    </row>
    <row r="505" spans="4:22"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36"/>
      <c r="O505" s="36"/>
      <c r="P505" s="36"/>
      <c r="Q505" s="36"/>
      <c r="R505" s="36"/>
      <c r="S505" s="36"/>
      <c r="T505" s="36"/>
      <c r="U505" s="36"/>
      <c r="V505" s="36"/>
    </row>
    <row r="506" spans="4:22"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36"/>
      <c r="O506" s="36"/>
      <c r="P506" s="36"/>
      <c r="Q506" s="36"/>
      <c r="R506" s="36"/>
      <c r="S506" s="36"/>
      <c r="T506" s="36"/>
      <c r="U506" s="36"/>
      <c r="V506" s="36"/>
    </row>
    <row r="507" spans="4:22"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36"/>
      <c r="O507" s="36"/>
      <c r="P507" s="36"/>
      <c r="Q507" s="36"/>
      <c r="R507" s="36"/>
      <c r="S507" s="36"/>
      <c r="T507" s="36"/>
      <c r="U507" s="36"/>
      <c r="V507" s="36"/>
    </row>
    <row r="508" spans="4:22"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36"/>
      <c r="O508" s="36"/>
      <c r="P508" s="36"/>
      <c r="Q508" s="36"/>
      <c r="R508" s="36"/>
      <c r="S508" s="36"/>
      <c r="T508" s="36"/>
      <c r="U508" s="36"/>
      <c r="V508" s="36"/>
    </row>
    <row r="509" spans="4:22"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36"/>
      <c r="O509" s="36"/>
      <c r="P509" s="36"/>
      <c r="Q509" s="36"/>
      <c r="R509" s="36"/>
      <c r="S509" s="36"/>
      <c r="T509" s="36"/>
      <c r="U509" s="36"/>
      <c r="V509" s="36"/>
    </row>
    <row r="510" spans="4:22"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36"/>
      <c r="O510" s="36"/>
      <c r="P510" s="36"/>
      <c r="Q510" s="36"/>
      <c r="R510" s="36"/>
      <c r="S510" s="36"/>
      <c r="T510" s="36"/>
      <c r="U510" s="36"/>
      <c r="V510" s="36"/>
    </row>
    <row r="511" spans="4:22"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36"/>
      <c r="O511" s="36"/>
      <c r="P511" s="36"/>
      <c r="Q511" s="36"/>
      <c r="R511" s="36"/>
      <c r="S511" s="36"/>
      <c r="T511" s="36"/>
      <c r="U511" s="36"/>
      <c r="V511" s="36"/>
    </row>
    <row r="512" spans="4:22"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36"/>
      <c r="O512" s="36"/>
      <c r="P512" s="36"/>
      <c r="Q512" s="36"/>
      <c r="R512" s="36"/>
      <c r="S512" s="36"/>
      <c r="T512" s="36"/>
      <c r="U512" s="36"/>
      <c r="V512" s="36"/>
    </row>
    <row r="513" spans="4:22"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36"/>
      <c r="O513" s="36"/>
      <c r="P513" s="36"/>
      <c r="Q513" s="36"/>
      <c r="R513" s="36"/>
      <c r="S513" s="36"/>
      <c r="T513" s="36"/>
      <c r="U513" s="36"/>
      <c r="V513" s="36"/>
    </row>
    <row r="514" spans="4:22"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36"/>
      <c r="O514" s="36"/>
      <c r="P514" s="36"/>
      <c r="Q514" s="36"/>
      <c r="R514" s="36"/>
      <c r="S514" s="36"/>
      <c r="T514" s="36"/>
      <c r="U514" s="36"/>
      <c r="V514" s="36"/>
    </row>
    <row r="515" spans="4:22"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36"/>
      <c r="O515" s="36"/>
      <c r="P515" s="36"/>
      <c r="Q515" s="36"/>
      <c r="R515" s="36"/>
      <c r="S515" s="36"/>
      <c r="T515" s="36"/>
      <c r="U515" s="36"/>
      <c r="V515" s="36"/>
    </row>
    <row r="516" spans="4:22"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36"/>
      <c r="O516" s="36"/>
      <c r="P516" s="36"/>
      <c r="Q516" s="36"/>
      <c r="R516" s="36"/>
      <c r="S516" s="36"/>
      <c r="T516" s="36"/>
      <c r="U516" s="36"/>
      <c r="V516" s="36"/>
    </row>
    <row r="517" spans="4:22"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36"/>
      <c r="O517" s="36"/>
      <c r="P517" s="36"/>
      <c r="Q517" s="36"/>
      <c r="R517" s="36"/>
      <c r="S517" s="36"/>
      <c r="T517" s="36"/>
      <c r="U517" s="36"/>
      <c r="V517" s="36"/>
    </row>
    <row r="518" spans="4:22"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36"/>
      <c r="O518" s="36"/>
      <c r="P518" s="36"/>
      <c r="Q518" s="36"/>
      <c r="R518" s="36"/>
      <c r="S518" s="36"/>
      <c r="T518" s="36"/>
      <c r="U518" s="36"/>
      <c r="V518" s="36"/>
    </row>
    <row r="519" spans="4:22"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36"/>
      <c r="O519" s="36"/>
      <c r="P519" s="36"/>
      <c r="Q519" s="36"/>
      <c r="R519" s="36"/>
      <c r="S519" s="36"/>
      <c r="T519" s="36"/>
      <c r="U519" s="36"/>
      <c r="V519" s="36"/>
    </row>
    <row r="520" spans="4:22"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36"/>
      <c r="O520" s="36"/>
      <c r="P520" s="36"/>
      <c r="Q520" s="36"/>
      <c r="R520" s="36"/>
      <c r="S520" s="36"/>
      <c r="T520" s="36"/>
      <c r="U520" s="36"/>
      <c r="V520" s="36"/>
    </row>
    <row r="521" spans="4:22"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36"/>
      <c r="O521" s="36"/>
      <c r="P521" s="36"/>
      <c r="Q521" s="36"/>
      <c r="R521" s="36"/>
      <c r="S521" s="36"/>
      <c r="T521" s="36"/>
      <c r="U521" s="36"/>
      <c r="V521" s="36"/>
    </row>
    <row r="522" spans="4:22"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36"/>
      <c r="O522" s="36"/>
      <c r="P522" s="36"/>
      <c r="Q522" s="36"/>
      <c r="R522" s="36"/>
      <c r="S522" s="36"/>
      <c r="T522" s="36"/>
      <c r="U522" s="36"/>
      <c r="V522" s="36"/>
    </row>
    <row r="523" spans="4:22"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36"/>
      <c r="O523" s="36"/>
      <c r="P523" s="36"/>
      <c r="Q523" s="36"/>
      <c r="R523" s="36"/>
      <c r="S523" s="36"/>
      <c r="T523" s="36"/>
      <c r="U523" s="36"/>
      <c r="V523" s="36"/>
    </row>
    <row r="524" spans="4:22"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36"/>
      <c r="O524" s="36"/>
      <c r="P524" s="36"/>
      <c r="Q524" s="36"/>
      <c r="R524" s="36"/>
      <c r="S524" s="36"/>
      <c r="T524" s="36"/>
      <c r="U524" s="36"/>
      <c r="V524" s="36"/>
    </row>
    <row r="525" spans="4:22"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36"/>
      <c r="O525" s="36"/>
      <c r="P525" s="36"/>
      <c r="Q525" s="36"/>
      <c r="R525" s="36"/>
      <c r="S525" s="36"/>
      <c r="T525" s="36"/>
      <c r="U525" s="36"/>
      <c r="V525" s="36"/>
    </row>
    <row r="526" spans="4:22"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36"/>
      <c r="O526" s="36"/>
      <c r="P526" s="36"/>
      <c r="Q526" s="36"/>
      <c r="R526" s="36"/>
      <c r="S526" s="36"/>
      <c r="T526" s="36"/>
      <c r="U526" s="36"/>
      <c r="V526" s="36"/>
    </row>
    <row r="527" spans="4:22"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36"/>
      <c r="O527" s="36"/>
      <c r="P527" s="36"/>
      <c r="Q527" s="36"/>
      <c r="R527" s="36"/>
      <c r="S527" s="36"/>
      <c r="T527" s="36"/>
      <c r="U527" s="36"/>
      <c r="V527" s="36"/>
    </row>
    <row r="528" spans="4:22"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36"/>
      <c r="O528" s="36"/>
      <c r="P528" s="36"/>
      <c r="Q528" s="36"/>
      <c r="R528" s="36"/>
      <c r="S528" s="36"/>
      <c r="T528" s="36"/>
      <c r="U528" s="36"/>
      <c r="V528" s="36"/>
    </row>
    <row r="529" spans="4:22"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36"/>
      <c r="O529" s="36"/>
      <c r="P529" s="36"/>
      <c r="Q529" s="36"/>
      <c r="R529" s="36"/>
      <c r="S529" s="36"/>
      <c r="T529" s="36"/>
      <c r="U529" s="36"/>
      <c r="V529" s="36"/>
    </row>
    <row r="530" spans="4:22"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36"/>
      <c r="O530" s="36"/>
      <c r="P530" s="36"/>
      <c r="Q530" s="36"/>
      <c r="R530" s="36"/>
      <c r="S530" s="36"/>
      <c r="T530" s="36"/>
      <c r="U530" s="36"/>
      <c r="V530" s="36"/>
    </row>
    <row r="531" spans="4:22"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36"/>
      <c r="O531" s="36"/>
      <c r="P531" s="36"/>
      <c r="Q531" s="36"/>
      <c r="R531" s="36"/>
      <c r="S531" s="36"/>
      <c r="T531" s="36"/>
      <c r="U531" s="36"/>
      <c r="V531" s="36"/>
    </row>
    <row r="532" spans="4:22"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36"/>
      <c r="O532" s="36"/>
      <c r="P532" s="36"/>
      <c r="Q532" s="36"/>
      <c r="R532" s="36"/>
      <c r="S532" s="36"/>
      <c r="T532" s="36"/>
      <c r="U532" s="36"/>
      <c r="V532" s="36"/>
    </row>
    <row r="533" spans="4:22"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36"/>
      <c r="O533" s="36"/>
      <c r="P533" s="36"/>
      <c r="Q533" s="36"/>
      <c r="R533" s="36"/>
      <c r="S533" s="36"/>
      <c r="T533" s="36"/>
      <c r="U533" s="36"/>
      <c r="V533" s="36"/>
    </row>
    <row r="534" spans="4:22"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36"/>
      <c r="O534" s="36"/>
      <c r="P534" s="36"/>
      <c r="Q534" s="36"/>
      <c r="R534" s="36"/>
      <c r="S534" s="36"/>
      <c r="T534" s="36"/>
      <c r="U534" s="36"/>
      <c r="V534" s="36"/>
    </row>
    <row r="535" spans="4:22"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36"/>
      <c r="O535" s="36"/>
      <c r="P535" s="36"/>
      <c r="Q535" s="36"/>
      <c r="R535" s="36"/>
      <c r="S535" s="36"/>
      <c r="T535" s="36"/>
      <c r="U535" s="36"/>
      <c r="V535" s="36"/>
    </row>
    <row r="536" spans="4:22"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36"/>
      <c r="O536" s="36"/>
      <c r="P536" s="36"/>
      <c r="Q536" s="36"/>
      <c r="R536" s="36"/>
      <c r="S536" s="36"/>
      <c r="T536" s="36"/>
      <c r="U536" s="36"/>
      <c r="V536" s="36"/>
    </row>
    <row r="537" spans="4:22"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36"/>
      <c r="O537" s="36"/>
      <c r="P537" s="36"/>
      <c r="Q537" s="36"/>
      <c r="R537" s="36"/>
      <c r="S537" s="36"/>
      <c r="T537" s="36"/>
      <c r="U537" s="36"/>
      <c r="V537" s="36"/>
    </row>
    <row r="538" spans="4:22"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36"/>
      <c r="O538" s="36"/>
      <c r="P538" s="36"/>
      <c r="Q538" s="36"/>
      <c r="R538" s="36"/>
      <c r="S538" s="36"/>
      <c r="T538" s="36"/>
      <c r="U538" s="36"/>
      <c r="V538" s="36"/>
    </row>
    <row r="539" spans="4:22"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36"/>
      <c r="O539" s="36"/>
      <c r="P539" s="36"/>
      <c r="Q539" s="36"/>
      <c r="R539" s="36"/>
      <c r="S539" s="36"/>
      <c r="T539" s="36"/>
      <c r="U539" s="36"/>
      <c r="V539" s="36"/>
    </row>
    <row r="540" spans="4:22"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36"/>
      <c r="O540" s="36"/>
      <c r="P540" s="36"/>
      <c r="Q540" s="36"/>
      <c r="R540" s="36"/>
      <c r="S540" s="36"/>
      <c r="T540" s="36"/>
      <c r="U540" s="36"/>
      <c r="V540" s="36"/>
    </row>
    <row r="541" spans="4:22"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36"/>
      <c r="O541" s="36"/>
      <c r="P541" s="36"/>
      <c r="Q541" s="36"/>
      <c r="R541" s="36"/>
      <c r="S541" s="36"/>
      <c r="T541" s="36"/>
      <c r="U541" s="36"/>
      <c r="V541" s="36"/>
    </row>
    <row r="542" spans="4:22"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36"/>
      <c r="O542" s="36"/>
      <c r="P542" s="36"/>
      <c r="Q542" s="36"/>
      <c r="R542" s="36"/>
      <c r="S542" s="36"/>
      <c r="T542" s="36"/>
      <c r="U542" s="36"/>
      <c r="V542" s="36"/>
    </row>
    <row r="543" spans="4:22"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36"/>
      <c r="O543" s="36"/>
      <c r="P543" s="36"/>
      <c r="Q543" s="36"/>
      <c r="R543" s="36"/>
      <c r="S543" s="36"/>
      <c r="T543" s="36"/>
      <c r="U543" s="36"/>
      <c r="V543" s="36"/>
    </row>
    <row r="544" spans="4:22"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36"/>
      <c r="O544" s="36"/>
      <c r="P544" s="36"/>
      <c r="Q544" s="36"/>
      <c r="R544" s="36"/>
      <c r="S544" s="36"/>
      <c r="T544" s="36"/>
      <c r="U544" s="36"/>
      <c r="V544" s="36"/>
    </row>
    <row r="545" spans="4:22"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36"/>
      <c r="O545" s="36"/>
      <c r="P545" s="36"/>
      <c r="Q545" s="36"/>
      <c r="R545" s="36"/>
      <c r="S545" s="36"/>
      <c r="T545" s="36"/>
      <c r="U545" s="36"/>
      <c r="V545" s="36"/>
    </row>
    <row r="546" spans="4:22"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36"/>
      <c r="O546" s="36"/>
      <c r="P546" s="36"/>
      <c r="Q546" s="36"/>
      <c r="R546" s="36"/>
      <c r="S546" s="36"/>
      <c r="T546" s="36"/>
      <c r="U546" s="36"/>
      <c r="V546" s="36"/>
    </row>
    <row r="547" spans="4:22"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36"/>
      <c r="O547" s="36"/>
      <c r="P547" s="36"/>
      <c r="Q547" s="36"/>
      <c r="R547" s="36"/>
      <c r="S547" s="36"/>
      <c r="T547" s="36"/>
      <c r="U547" s="36"/>
      <c r="V547" s="36"/>
    </row>
    <row r="548" spans="4:22"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36"/>
      <c r="O548" s="36"/>
      <c r="P548" s="36"/>
      <c r="Q548" s="36"/>
      <c r="R548" s="36"/>
      <c r="S548" s="36"/>
      <c r="T548" s="36"/>
      <c r="U548" s="36"/>
      <c r="V548" s="36"/>
    </row>
    <row r="549" spans="4:22"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36"/>
      <c r="O549" s="36"/>
      <c r="P549" s="36"/>
      <c r="Q549" s="36"/>
      <c r="R549" s="36"/>
      <c r="S549" s="36"/>
      <c r="T549" s="36"/>
      <c r="U549" s="36"/>
      <c r="V549" s="36"/>
    </row>
    <row r="550" spans="4:22"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36"/>
      <c r="O550" s="36"/>
      <c r="P550" s="36"/>
      <c r="Q550" s="36"/>
      <c r="R550" s="36"/>
      <c r="S550" s="36"/>
      <c r="T550" s="36"/>
      <c r="U550" s="36"/>
      <c r="V550" s="36"/>
    </row>
    <row r="551" spans="4:22"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36"/>
      <c r="O551" s="36"/>
      <c r="P551" s="36"/>
      <c r="Q551" s="36"/>
      <c r="R551" s="36"/>
      <c r="S551" s="36"/>
      <c r="T551" s="36"/>
      <c r="U551" s="36"/>
      <c r="V551" s="36"/>
    </row>
    <row r="552" spans="4:22"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36"/>
      <c r="O552" s="36"/>
      <c r="P552" s="36"/>
      <c r="Q552" s="36"/>
      <c r="R552" s="36"/>
      <c r="S552" s="36"/>
      <c r="T552" s="36"/>
      <c r="U552" s="36"/>
      <c r="V552" s="36"/>
    </row>
    <row r="553" spans="4:22"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36"/>
      <c r="O553" s="36"/>
      <c r="P553" s="36"/>
      <c r="Q553" s="36"/>
      <c r="R553" s="36"/>
      <c r="S553" s="36"/>
      <c r="T553" s="36"/>
      <c r="U553" s="36"/>
      <c r="V553" s="36"/>
    </row>
    <row r="554" spans="4:22"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36"/>
      <c r="O554" s="36"/>
      <c r="P554" s="36"/>
      <c r="Q554" s="36"/>
      <c r="R554" s="36"/>
      <c r="S554" s="36"/>
      <c r="T554" s="36"/>
      <c r="U554" s="36"/>
      <c r="V554" s="36"/>
    </row>
    <row r="555" spans="4:22"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36"/>
      <c r="O555" s="36"/>
      <c r="P555" s="36"/>
      <c r="Q555" s="36"/>
      <c r="R555" s="36"/>
      <c r="S555" s="36"/>
      <c r="T555" s="36"/>
      <c r="U555" s="36"/>
      <c r="V555" s="36"/>
    </row>
    <row r="556" spans="4:22"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36"/>
      <c r="O556" s="36"/>
      <c r="P556" s="36"/>
      <c r="Q556" s="36"/>
      <c r="R556" s="36"/>
      <c r="S556" s="36"/>
      <c r="T556" s="36"/>
      <c r="U556" s="36"/>
      <c r="V556" s="36"/>
    </row>
    <row r="557" spans="4:22"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36"/>
      <c r="O557" s="36"/>
      <c r="P557" s="36"/>
      <c r="Q557" s="36"/>
      <c r="R557" s="36"/>
      <c r="S557" s="36"/>
      <c r="T557" s="36"/>
      <c r="U557" s="36"/>
      <c r="V557" s="36"/>
    </row>
    <row r="558" spans="4:22"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36"/>
      <c r="O558" s="36"/>
      <c r="P558" s="36"/>
      <c r="Q558" s="36"/>
      <c r="R558" s="36"/>
      <c r="S558" s="36"/>
      <c r="T558" s="36"/>
      <c r="U558" s="36"/>
      <c r="V558" s="36"/>
    </row>
    <row r="559" spans="4:22"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36"/>
      <c r="O559" s="36"/>
      <c r="P559" s="36"/>
      <c r="Q559" s="36"/>
      <c r="R559" s="36"/>
      <c r="S559" s="36"/>
      <c r="T559" s="36"/>
      <c r="U559" s="36"/>
      <c r="V559" s="36"/>
    </row>
    <row r="560" spans="4:22"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36"/>
      <c r="O560" s="36"/>
      <c r="P560" s="36"/>
      <c r="Q560" s="36"/>
      <c r="R560" s="36"/>
      <c r="S560" s="36"/>
      <c r="T560" s="36"/>
      <c r="U560" s="36"/>
      <c r="V560" s="36"/>
    </row>
    <row r="561" spans="4:22"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36"/>
      <c r="O561" s="36"/>
      <c r="P561" s="36"/>
      <c r="Q561" s="36"/>
      <c r="R561" s="36"/>
      <c r="S561" s="36"/>
      <c r="T561" s="36"/>
      <c r="U561" s="36"/>
      <c r="V561" s="36"/>
    </row>
    <row r="562" spans="4:22"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36"/>
      <c r="O562" s="36"/>
      <c r="P562" s="36"/>
      <c r="Q562" s="36"/>
      <c r="R562" s="36"/>
      <c r="S562" s="36"/>
      <c r="T562" s="36"/>
      <c r="U562" s="36"/>
      <c r="V562" s="36"/>
    </row>
    <row r="563" spans="4:22"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36"/>
      <c r="O563" s="36"/>
      <c r="P563" s="36"/>
      <c r="Q563" s="36"/>
      <c r="R563" s="36"/>
      <c r="S563" s="36"/>
      <c r="T563" s="36"/>
      <c r="U563" s="36"/>
      <c r="V563" s="36"/>
    </row>
    <row r="564" spans="4:22"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36"/>
      <c r="O564" s="36"/>
      <c r="P564" s="36"/>
      <c r="Q564" s="36"/>
      <c r="R564" s="36"/>
      <c r="S564" s="36"/>
      <c r="T564" s="36"/>
      <c r="U564" s="36"/>
      <c r="V564" s="36"/>
    </row>
    <row r="565" spans="4:22"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36"/>
      <c r="O565" s="36"/>
      <c r="P565" s="36"/>
      <c r="Q565" s="36"/>
      <c r="R565" s="36"/>
      <c r="S565" s="36"/>
      <c r="T565" s="36"/>
      <c r="U565" s="36"/>
      <c r="V565" s="36"/>
    </row>
    <row r="566" spans="4:22"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36"/>
      <c r="O566" s="36"/>
      <c r="P566" s="36"/>
      <c r="Q566" s="36"/>
      <c r="R566" s="36"/>
      <c r="S566" s="36"/>
      <c r="T566" s="36"/>
      <c r="U566" s="36"/>
      <c r="V566" s="36"/>
    </row>
    <row r="567" spans="4:22"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36"/>
      <c r="O567" s="36"/>
      <c r="P567" s="36"/>
      <c r="Q567" s="36"/>
      <c r="R567" s="36"/>
      <c r="S567" s="36"/>
      <c r="T567" s="36"/>
      <c r="U567" s="36"/>
      <c r="V567" s="36"/>
    </row>
    <row r="568" spans="4:22">
      <c r="D568" s="36"/>
      <c r="E568" s="36"/>
      <c r="F568" s="36"/>
      <c r="G568" s="36"/>
      <c r="H568" s="36"/>
      <c r="I568" s="36"/>
      <c r="J568" s="36"/>
      <c r="K568" s="36"/>
      <c r="L568" s="36"/>
      <c r="M568" s="36"/>
      <c r="N568" s="36"/>
      <c r="O568" s="36"/>
      <c r="P568" s="36"/>
      <c r="Q568" s="36"/>
      <c r="R568" s="36"/>
      <c r="S568" s="36"/>
      <c r="T568" s="36"/>
      <c r="U568" s="36"/>
      <c r="V568" s="36"/>
    </row>
    <row r="569" spans="4:22">
      <c r="D569" s="36"/>
      <c r="E569" s="36"/>
      <c r="F569" s="36"/>
      <c r="G569" s="36"/>
      <c r="H569" s="36"/>
      <c r="I569" s="36"/>
      <c r="J569" s="36"/>
      <c r="K569" s="36"/>
      <c r="L569" s="36"/>
      <c r="M569" s="36"/>
      <c r="N569" s="36"/>
      <c r="O569" s="36"/>
      <c r="P569" s="36"/>
      <c r="Q569" s="36"/>
      <c r="R569" s="36"/>
      <c r="S569" s="36"/>
      <c r="T569" s="36"/>
      <c r="U569" s="36"/>
      <c r="V569" s="36"/>
    </row>
    <row r="570" spans="4:22">
      <c r="D570" s="36"/>
      <c r="E570" s="36"/>
      <c r="F570" s="36"/>
      <c r="G570" s="36"/>
      <c r="H570" s="36"/>
      <c r="I570" s="36"/>
      <c r="J570" s="36"/>
      <c r="K570" s="36"/>
      <c r="L570" s="36"/>
      <c r="M570" s="36"/>
      <c r="N570" s="36"/>
      <c r="O570" s="36"/>
      <c r="P570" s="36"/>
      <c r="Q570" s="36"/>
      <c r="R570" s="36"/>
      <c r="S570" s="36"/>
      <c r="T570" s="36"/>
      <c r="U570" s="36"/>
      <c r="V570" s="36"/>
    </row>
    <row r="571" spans="4:22">
      <c r="D571" s="36"/>
      <c r="E571" s="36"/>
      <c r="F571" s="36"/>
      <c r="G571" s="36"/>
      <c r="H571" s="36"/>
      <c r="I571" s="36"/>
      <c r="J571" s="36"/>
      <c r="K571" s="36"/>
      <c r="L571" s="36"/>
      <c r="M571" s="36"/>
      <c r="N571" s="36"/>
      <c r="O571" s="36"/>
      <c r="P571" s="36"/>
      <c r="Q571" s="36"/>
      <c r="R571" s="36"/>
      <c r="S571" s="36"/>
      <c r="T571" s="36"/>
      <c r="U571" s="36"/>
      <c r="V571" s="36"/>
    </row>
    <row r="572" spans="4:22">
      <c r="D572" s="36"/>
      <c r="E572" s="36"/>
      <c r="F572" s="36"/>
      <c r="G572" s="36"/>
      <c r="H572" s="36"/>
      <c r="I572" s="36"/>
      <c r="J572" s="36"/>
      <c r="K572" s="36"/>
      <c r="L572" s="36"/>
      <c r="M572" s="36"/>
      <c r="N572" s="36"/>
      <c r="O572" s="36"/>
      <c r="P572" s="36"/>
      <c r="Q572" s="36"/>
      <c r="R572" s="36"/>
      <c r="S572" s="36"/>
      <c r="T572" s="36"/>
      <c r="U572" s="36"/>
      <c r="V572" s="36"/>
    </row>
    <row r="573" spans="4:22">
      <c r="D573" s="36"/>
      <c r="E573" s="36"/>
      <c r="F573" s="36"/>
      <c r="G573" s="36"/>
      <c r="H573" s="36"/>
      <c r="I573" s="36"/>
      <c r="J573" s="36"/>
      <c r="K573" s="36"/>
      <c r="L573" s="36"/>
      <c r="M573" s="36"/>
      <c r="N573" s="36"/>
      <c r="O573" s="36"/>
      <c r="P573" s="36"/>
      <c r="Q573" s="36"/>
      <c r="R573" s="36"/>
      <c r="S573" s="36"/>
      <c r="T573" s="36"/>
      <c r="U573" s="36"/>
      <c r="V573" s="36"/>
    </row>
    <row r="574" spans="4:22">
      <c r="D574" s="36"/>
      <c r="E574" s="36"/>
      <c r="F574" s="36"/>
      <c r="G574" s="36"/>
      <c r="H574" s="36"/>
      <c r="I574" s="36"/>
      <c r="J574" s="36"/>
      <c r="K574" s="36"/>
      <c r="L574" s="36"/>
      <c r="M574" s="36"/>
      <c r="N574" s="36"/>
      <c r="O574" s="36"/>
      <c r="P574" s="36"/>
      <c r="Q574" s="36"/>
      <c r="R574" s="36"/>
      <c r="S574" s="36"/>
      <c r="T574" s="36"/>
      <c r="U574" s="36"/>
      <c r="V574" s="36"/>
    </row>
    <row r="575" spans="4:22">
      <c r="D575" s="36"/>
      <c r="E575" s="36"/>
      <c r="F575" s="36"/>
      <c r="G575" s="36"/>
      <c r="H575" s="36"/>
      <c r="I575" s="36"/>
      <c r="J575" s="36"/>
      <c r="K575" s="36"/>
      <c r="L575" s="36"/>
      <c r="M575" s="36"/>
      <c r="N575" s="36"/>
      <c r="O575" s="36"/>
      <c r="P575" s="36"/>
      <c r="Q575" s="36"/>
      <c r="R575" s="36"/>
      <c r="S575" s="36"/>
      <c r="T575" s="36"/>
      <c r="U575" s="36"/>
      <c r="V575" s="36"/>
    </row>
    <row r="576" spans="4:22">
      <c r="D576" s="36"/>
      <c r="E576" s="36"/>
      <c r="F576" s="36"/>
      <c r="G576" s="36"/>
      <c r="H576" s="36"/>
      <c r="I576" s="36"/>
      <c r="J576" s="36"/>
      <c r="K576" s="36"/>
      <c r="L576" s="36"/>
      <c r="M576" s="36"/>
      <c r="N576" s="36"/>
      <c r="O576" s="36"/>
      <c r="P576" s="36"/>
      <c r="Q576" s="36"/>
      <c r="R576" s="36"/>
      <c r="S576" s="36"/>
      <c r="T576" s="36"/>
      <c r="U576" s="36"/>
      <c r="V576" s="36"/>
    </row>
    <row r="577" spans="4:22">
      <c r="D577" s="36"/>
      <c r="E577" s="36"/>
      <c r="F577" s="36"/>
      <c r="G577" s="36"/>
      <c r="H577" s="36"/>
      <c r="I577" s="36"/>
      <c r="J577" s="36"/>
      <c r="K577" s="36"/>
      <c r="L577" s="36"/>
      <c r="M577" s="36"/>
      <c r="N577" s="36"/>
      <c r="O577" s="36"/>
      <c r="P577" s="36"/>
      <c r="Q577" s="36"/>
      <c r="R577" s="36"/>
      <c r="S577" s="36"/>
      <c r="T577" s="36"/>
      <c r="U577" s="36"/>
      <c r="V577" s="36"/>
    </row>
    <row r="578" spans="4:22">
      <c r="D578" s="36"/>
      <c r="E578" s="36"/>
      <c r="F578" s="36"/>
      <c r="G578" s="36"/>
      <c r="H578" s="36"/>
      <c r="I578" s="36"/>
      <c r="J578" s="36"/>
      <c r="K578" s="36"/>
      <c r="L578" s="36"/>
      <c r="M578" s="36"/>
      <c r="N578" s="36"/>
      <c r="O578" s="36"/>
      <c r="P578" s="36"/>
      <c r="Q578" s="36"/>
      <c r="R578" s="36"/>
      <c r="S578" s="36"/>
      <c r="T578" s="36"/>
      <c r="U578" s="36"/>
      <c r="V578" s="36"/>
    </row>
    <row r="579" spans="4:22">
      <c r="D579" s="36"/>
      <c r="E579" s="36"/>
      <c r="F579" s="36"/>
      <c r="G579" s="36"/>
      <c r="H579" s="36"/>
      <c r="I579" s="36"/>
      <c r="J579" s="36"/>
      <c r="K579" s="36"/>
      <c r="L579" s="36"/>
      <c r="M579" s="36"/>
      <c r="N579" s="36"/>
      <c r="O579" s="36"/>
      <c r="P579" s="36"/>
      <c r="Q579" s="36"/>
      <c r="R579" s="36"/>
      <c r="S579" s="36"/>
      <c r="T579" s="36"/>
      <c r="U579" s="36"/>
      <c r="V579" s="36"/>
    </row>
    <row r="580" spans="4:22">
      <c r="D580" s="36"/>
      <c r="E580" s="36"/>
      <c r="F580" s="36"/>
      <c r="G580" s="36"/>
      <c r="H580" s="36"/>
      <c r="I580" s="36"/>
      <c r="J580" s="36"/>
      <c r="K580" s="36"/>
      <c r="L580" s="36"/>
      <c r="M580" s="36"/>
      <c r="N580" s="36"/>
      <c r="O580" s="36"/>
      <c r="P580" s="36"/>
      <c r="Q580" s="36"/>
      <c r="R580" s="36"/>
      <c r="S580" s="36"/>
      <c r="T580" s="36"/>
      <c r="U580" s="36"/>
      <c r="V580" s="36"/>
    </row>
    <row r="581" spans="4:22">
      <c r="D581" s="36"/>
      <c r="E581" s="36"/>
      <c r="F581" s="36"/>
      <c r="G581" s="36"/>
      <c r="H581" s="36"/>
      <c r="I581" s="36"/>
      <c r="J581" s="36"/>
      <c r="K581" s="36"/>
      <c r="L581" s="36"/>
      <c r="M581" s="36"/>
      <c r="N581" s="36"/>
      <c r="O581" s="36"/>
      <c r="P581" s="36"/>
      <c r="Q581" s="36"/>
      <c r="R581" s="36"/>
      <c r="S581" s="36"/>
      <c r="T581" s="36"/>
      <c r="U581" s="36"/>
      <c r="V581" s="36"/>
    </row>
    <row r="582" spans="4:22">
      <c r="D582" s="36"/>
      <c r="E582" s="36"/>
      <c r="F582" s="36"/>
      <c r="G582" s="36"/>
      <c r="H582" s="36"/>
      <c r="I582" s="36"/>
      <c r="J582" s="36"/>
      <c r="K582" s="36"/>
      <c r="L582" s="36"/>
      <c r="M582" s="36"/>
      <c r="N582" s="36"/>
      <c r="O582" s="36"/>
      <c r="P582" s="36"/>
      <c r="Q582" s="36"/>
      <c r="R582" s="36"/>
      <c r="S582" s="36"/>
      <c r="T582" s="36"/>
      <c r="U582" s="36"/>
      <c r="V582" s="36"/>
    </row>
    <row r="583" spans="4:22">
      <c r="D583" s="36"/>
      <c r="E583" s="36"/>
      <c r="F583" s="36"/>
      <c r="G583" s="36"/>
      <c r="H583" s="36"/>
      <c r="I583" s="36"/>
      <c r="J583" s="36"/>
      <c r="K583" s="36"/>
      <c r="L583" s="36"/>
      <c r="M583" s="36"/>
      <c r="N583" s="36"/>
      <c r="O583" s="36"/>
      <c r="P583" s="36"/>
      <c r="Q583" s="36"/>
      <c r="R583" s="36"/>
      <c r="S583" s="36"/>
      <c r="T583" s="36"/>
      <c r="U583" s="36"/>
      <c r="V583" s="36"/>
    </row>
    <row r="584" spans="4:22">
      <c r="D584" s="36"/>
      <c r="E584" s="36"/>
      <c r="F584" s="36"/>
      <c r="G584" s="36"/>
      <c r="H584" s="36"/>
      <c r="I584" s="36"/>
      <c r="J584" s="36"/>
      <c r="K584" s="36"/>
      <c r="L584" s="36"/>
      <c r="M584" s="36"/>
      <c r="N584" s="36"/>
      <c r="O584" s="36"/>
      <c r="P584" s="36"/>
      <c r="Q584" s="36"/>
      <c r="R584" s="36"/>
      <c r="S584" s="36"/>
      <c r="T584" s="36"/>
      <c r="U584" s="36"/>
      <c r="V584" s="36"/>
    </row>
    <row r="585" spans="4:22">
      <c r="D585" s="36"/>
      <c r="E585" s="36"/>
      <c r="F585" s="36"/>
      <c r="G585" s="36"/>
      <c r="H585" s="36"/>
      <c r="I585" s="36"/>
      <c r="J585" s="36"/>
      <c r="K585" s="36"/>
      <c r="L585" s="36"/>
      <c r="M585" s="36"/>
      <c r="N585" s="36"/>
      <c r="O585" s="36"/>
      <c r="P585" s="36"/>
      <c r="Q585" s="36"/>
      <c r="R585" s="36"/>
      <c r="S585" s="36"/>
      <c r="T585" s="36"/>
      <c r="U585" s="36"/>
      <c r="V585" s="36"/>
    </row>
    <row r="586" spans="4:22">
      <c r="D586" s="36"/>
      <c r="E586" s="36"/>
      <c r="F586" s="36"/>
      <c r="G586" s="36"/>
      <c r="H586" s="36"/>
      <c r="I586" s="36"/>
      <c r="J586" s="36"/>
      <c r="K586" s="36"/>
      <c r="L586" s="36"/>
      <c r="M586" s="36"/>
      <c r="N586" s="36"/>
      <c r="O586" s="36"/>
      <c r="P586" s="36"/>
      <c r="Q586" s="36"/>
      <c r="R586" s="36"/>
      <c r="S586" s="36"/>
      <c r="T586" s="36"/>
      <c r="U586" s="36"/>
      <c r="V586" s="36"/>
    </row>
    <row r="587" spans="4:22">
      <c r="D587" s="36"/>
      <c r="E587" s="36"/>
      <c r="F587" s="36"/>
      <c r="G587" s="36"/>
      <c r="H587" s="36"/>
      <c r="I587" s="36"/>
      <c r="J587" s="36"/>
      <c r="K587" s="36"/>
      <c r="L587" s="36"/>
      <c r="M587" s="36"/>
      <c r="N587" s="36"/>
      <c r="O587" s="36"/>
      <c r="P587" s="36"/>
      <c r="Q587" s="36"/>
      <c r="R587" s="36"/>
      <c r="S587" s="36"/>
      <c r="T587" s="36"/>
      <c r="U587" s="36"/>
      <c r="V587" s="36"/>
    </row>
    <row r="588" spans="4:22">
      <c r="D588" s="36"/>
      <c r="E588" s="36"/>
      <c r="F588" s="36"/>
      <c r="G588" s="36"/>
      <c r="H588" s="36"/>
      <c r="I588" s="36"/>
      <c r="J588" s="36"/>
      <c r="K588" s="36"/>
      <c r="L588" s="36"/>
      <c r="M588" s="36"/>
      <c r="N588" s="36"/>
      <c r="O588" s="36"/>
      <c r="P588" s="36"/>
      <c r="Q588" s="36"/>
      <c r="R588" s="36"/>
      <c r="S588" s="36"/>
      <c r="T588" s="36"/>
      <c r="U588" s="36"/>
      <c r="V588" s="36"/>
    </row>
    <row r="589" spans="4:22">
      <c r="D589" s="36"/>
      <c r="E589" s="36"/>
      <c r="F589" s="36"/>
      <c r="G589" s="36"/>
      <c r="H589" s="36"/>
      <c r="I589" s="36"/>
      <c r="J589" s="36"/>
      <c r="K589" s="36"/>
      <c r="L589" s="36"/>
      <c r="M589" s="36"/>
      <c r="N589" s="36"/>
      <c r="O589" s="36"/>
      <c r="P589" s="36"/>
      <c r="Q589" s="36"/>
      <c r="R589" s="36"/>
      <c r="S589" s="36"/>
      <c r="T589" s="36"/>
      <c r="U589" s="36"/>
      <c r="V589" s="36"/>
    </row>
    <row r="590" spans="4:22">
      <c r="D590" s="36"/>
      <c r="E590" s="36"/>
      <c r="F590" s="36"/>
      <c r="G590" s="36"/>
      <c r="H590" s="36"/>
      <c r="I590" s="36"/>
      <c r="J590" s="36"/>
      <c r="K590" s="36"/>
      <c r="L590" s="36"/>
      <c r="M590" s="36"/>
      <c r="N590" s="36"/>
      <c r="O590" s="36"/>
      <c r="P590" s="36"/>
      <c r="Q590" s="36"/>
      <c r="R590" s="36"/>
      <c r="S590" s="36"/>
      <c r="T590" s="36"/>
      <c r="U590" s="36"/>
      <c r="V590" s="36"/>
    </row>
    <row r="591" spans="4:22">
      <c r="D591" s="36"/>
      <c r="E591" s="36"/>
      <c r="F591" s="36"/>
      <c r="G591" s="36"/>
      <c r="H591" s="36"/>
      <c r="I591" s="36"/>
      <c r="J591" s="36"/>
      <c r="K591" s="36"/>
      <c r="L591" s="36"/>
      <c r="M591" s="36"/>
      <c r="N591" s="36"/>
      <c r="O591" s="36"/>
      <c r="P591" s="36"/>
      <c r="Q591" s="36"/>
      <c r="R591" s="36"/>
      <c r="S591" s="36"/>
      <c r="T591" s="36"/>
      <c r="U591" s="36"/>
      <c r="V591" s="36"/>
    </row>
    <row r="592" spans="4:22">
      <c r="D592" s="36"/>
      <c r="E592" s="36"/>
      <c r="F592" s="36"/>
      <c r="G592" s="36"/>
      <c r="H592" s="36"/>
      <c r="I592" s="36"/>
      <c r="J592" s="36"/>
      <c r="K592" s="36"/>
      <c r="L592" s="36"/>
      <c r="M592" s="36"/>
      <c r="N592" s="36"/>
      <c r="O592" s="36"/>
      <c r="P592" s="36"/>
      <c r="Q592" s="36"/>
      <c r="R592" s="36"/>
      <c r="S592" s="36"/>
      <c r="T592" s="36"/>
      <c r="U592" s="36"/>
      <c r="V592" s="36"/>
    </row>
    <row r="593" spans="4:22">
      <c r="D593" s="36"/>
      <c r="E593" s="36"/>
      <c r="F593" s="36"/>
      <c r="G593" s="36"/>
      <c r="H593" s="36"/>
      <c r="I593" s="36"/>
      <c r="J593" s="36"/>
      <c r="K593" s="36"/>
      <c r="L593" s="36"/>
      <c r="M593" s="36"/>
      <c r="N593" s="36"/>
      <c r="O593" s="36"/>
      <c r="P593" s="36"/>
      <c r="Q593" s="36"/>
      <c r="R593" s="36"/>
      <c r="S593" s="36"/>
      <c r="T593" s="36"/>
      <c r="U593" s="36"/>
      <c r="V593" s="36"/>
    </row>
    <row r="594" spans="4:22">
      <c r="D594" s="36"/>
      <c r="E594" s="36"/>
      <c r="F594" s="36"/>
      <c r="G594" s="36"/>
      <c r="H594" s="36"/>
      <c r="I594" s="36"/>
      <c r="J594" s="36"/>
      <c r="K594" s="36"/>
      <c r="L594" s="36"/>
      <c r="M594" s="36"/>
      <c r="N594" s="36"/>
      <c r="O594" s="36"/>
      <c r="P594" s="36"/>
      <c r="Q594" s="36"/>
      <c r="R594" s="36"/>
      <c r="S594" s="36"/>
      <c r="T594" s="36"/>
      <c r="U594" s="36"/>
      <c r="V594" s="36"/>
    </row>
    <row r="595" spans="4:22">
      <c r="D595" s="36"/>
      <c r="E595" s="36"/>
      <c r="F595" s="36"/>
      <c r="G595" s="36"/>
      <c r="H595" s="36"/>
      <c r="I595" s="36"/>
      <c r="J595" s="36"/>
      <c r="K595" s="36"/>
      <c r="L595" s="36"/>
      <c r="M595" s="36"/>
      <c r="N595" s="36"/>
      <c r="O595" s="36"/>
      <c r="P595" s="36"/>
      <c r="Q595" s="36"/>
      <c r="R595" s="36"/>
      <c r="S595" s="36"/>
      <c r="T595" s="36"/>
      <c r="U595" s="36"/>
      <c r="V595" s="36"/>
    </row>
    <row r="596" spans="4:22">
      <c r="D596" s="36"/>
      <c r="E596" s="36"/>
      <c r="F596" s="36"/>
      <c r="G596" s="36"/>
      <c r="H596" s="36"/>
      <c r="I596" s="36"/>
      <c r="J596" s="36"/>
      <c r="K596" s="36"/>
      <c r="L596" s="36"/>
      <c r="M596" s="36"/>
      <c r="N596" s="36"/>
      <c r="O596" s="36"/>
      <c r="P596" s="36"/>
      <c r="Q596" s="36"/>
      <c r="R596" s="36"/>
      <c r="S596" s="36"/>
      <c r="T596" s="36"/>
      <c r="U596" s="36"/>
      <c r="V596" s="36"/>
    </row>
    <row r="597" spans="4:22">
      <c r="D597" s="36"/>
      <c r="E597" s="36"/>
      <c r="F597" s="36"/>
      <c r="G597" s="36"/>
      <c r="H597" s="36"/>
      <c r="I597" s="36"/>
      <c r="J597" s="36"/>
      <c r="K597" s="36"/>
      <c r="L597" s="36"/>
      <c r="M597" s="36"/>
      <c r="N597" s="36"/>
      <c r="O597" s="36"/>
      <c r="P597" s="36"/>
      <c r="Q597" s="36"/>
      <c r="R597" s="36"/>
      <c r="S597" s="36"/>
      <c r="T597" s="36"/>
      <c r="U597" s="36"/>
      <c r="V597" s="36"/>
    </row>
    <row r="598" spans="4:22">
      <c r="D598" s="36"/>
      <c r="E598" s="36"/>
      <c r="F598" s="36"/>
      <c r="G598" s="36"/>
      <c r="H598" s="36"/>
      <c r="I598" s="36"/>
      <c r="J598" s="36"/>
      <c r="K598" s="36"/>
      <c r="L598" s="36"/>
      <c r="M598" s="36"/>
      <c r="N598" s="36"/>
      <c r="O598" s="36"/>
      <c r="P598" s="36"/>
      <c r="Q598" s="36"/>
      <c r="R598" s="36"/>
      <c r="S598" s="36"/>
      <c r="T598" s="36"/>
      <c r="U598" s="36"/>
      <c r="V598" s="36"/>
    </row>
    <row r="599" spans="4:22">
      <c r="D599" s="36"/>
      <c r="E599" s="36"/>
      <c r="F599" s="36"/>
      <c r="G599" s="36"/>
      <c r="H599" s="36"/>
      <c r="I599" s="36"/>
      <c r="J599" s="36"/>
      <c r="K599" s="36"/>
      <c r="L599" s="36"/>
      <c r="M599" s="36"/>
      <c r="N599" s="36"/>
      <c r="O599" s="36"/>
      <c r="P599" s="36"/>
      <c r="Q599" s="36"/>
      <c r="R599" s="36"/>
      <c r="S599" s="36"/>
      <c r="T599" s="36"/>
      <c r="U599" s="36"/>
      <c r="V599" s="36"/>
    </row>
    <row r="600" spans="4:22">
      <c r="D600" s="36"/>
      <c r="E600" s="36"/>
      <c r="F600" s="36"/>
      <c r="G600" s="36"/>
      <c r="H600" s="36"/>
      <c r="I600" s="36"/>
      <c r="J600" s="36"/>
      <c r="K600" s="36"/>
      <c r="L600" s="36"/>
      <c r="M600" s="36"/>
      <c r="N600" s="36"/>
      <c r="O600" s="36"/>
      <c r="P600" s="36"/>
      <c r="Q600" s="36"/>
      <c r="R600" s="36"/>
      <c r="S600" s="36"/>
      <c r="T600" s="36"/>
      <c r="U600" s="36"/>
      <c r="V600" s="36"/>
    </row>
    <row r="601" spans="4:22">
      <c r="D601" s="36"/>
      <c r="E601" s="36"/>
      <c r="F601" s="36"/>
      <c r="G601" s="36"/>
      <c r="H601" s="36"/>
      <c r="I601" s="36"/>
      <c r="J601" s="36"/>
      <c r="K601" s="36"/>
      <c r="L601" s="36"/>
      <c r="M601" s="36"/>
      <c r="N601" s="36"/>
      <c r="O601" s="36"/>
      <c r="P601" s="36"/>
      <c r="Q601" s="36"/>
      <c r="R601" s="36"/>
      <c r="S601" s="36"/>
      <c r="T601" s="36"/>
      <c r="U601" s="36"/>
      <c r="V601" s="36"/>
    </row>
    <row r="602" spans="4:22">
      <c r="D602" s="36"/>
      <c r="E602" s="36"/>
      <c r="F602" s="36"/>
      <c r="G602" s="36"/>
      <c r="H602" s="36"/>
      <c r="I602" s="36"/>
      <c r="J602" s="36"/>
      <c r="K602" s="36"/>
      <c r="L602" s="36"/>
      <c r="M602" s="36"/>
      <c r="N602" s="36"/>
      <c r="O602" s="36"/>
      <c r="P602" s="36"/>
      <c r="Q602" s="36"/>
      <c r="R602" s="36"/>
      <c r="S602" s="36"/>
      <c r="T602" s="36"/>
      <c r="U602" s="36"/>
      <c r="V602" s="36"/>
    </row>
    <row r="603" spans="4:22">
      <c r="D603" s="36"/>
      <c r="E603" s="36"/>
      <c r="F603" s="36"/>
      <c r="G603" s="36"/>
      <c r="H603" s="36"/>
      <c r="I603" s="36"/>
      <c r="J603" s="36"/>
      <c r="K603" s="36"/>
      <c r="L603" s="36"/>
      <c r="M603" s="36"/>
      <c r="N603" s="36"/>
      <c r="O603" s="36"/>
      <c r="P603" s="36"/>
      <c r="Q603" s="36"/>
      <c r="R603" s="36"/>
      <c r="S603" s="36"/>
      <c r="T603" s="36"/>
      <c r="U603" s="36"/>
      <c r="V603" s="36"/>
    </row>
    <row r="604" spans="4:22">
      <c r="D604" s="36"/>
      <c r="E604" s="36"/>
      <c r="F604" s="36"/>
      <c r="G604" s="36"/>
      <c r="H604" s="36"/>
      <c r="I604" s="36"/>
      <c r="J604" s="36"/>
      <c r="K604" s="36"/>
      <c r="L604" s="36"/>
      <c r="M604" s="36"/>
      <c r="N604" s="36"/>
      <c r="O604" s="36"/>
      <c r="P604" s="36"/>
      <c r="Q604" s="36"/>
      <c r="R604" s="36"/>
      <c r="S604" s="36"/>
      <c r="T604" s="36"/>
      <c r="U604" s="36"/>
      <c r="V604" s="36"/>
    </row>
    <row r="605" spans="4:22">
      <c r="D605" s="36"/>
      <c r="E605" s="36"/>
      <c r="F605" s="36"/>
      <c r="G605" s="36"/>
      <c r="H605" s="36"/>
      <c r="I605" s="36"/>
      <c r="J605" s="36"/>
      <c r="K605" s="36"/>
      <c r="L605" s="36"/>
      <c r="M605" s="36"/>
      <c r="N605" s="36"/>
      <c r="O605" s="36"/>
      <c r="P605" s="36"/>
      <c r="Q605" s="36"/>
      <c r="R605" s="36"/>
      <c r="S605" s="36"/>
      <c r="T605" s="36"/>
      <c r="U605" s="36"/>
      <c r="V605" s="36"/>
    </row>
    <row r="606" spans="4:22">
      <c r="D606" s="36"/>
      <c r="E606" s="36"/>
      <c r="F606" s="36"/>
      <c r="G606" s="36"/>
      <c r="H606" s="36"/>
      <c r="I606" s="36"/>
      <c r="J606" s="36"/>
      <c r="K606" s="36"/>
      <c r="L606" s="36"/>
      <c r="M606" s="36"/>
      <c r="N606" s="36"/>
      <c r="O606" s="36"/>
      <c r="P606" s="36"/>
      <c r="Q606" s="36"/>
      <c r="R606" s="36"/>
      <c r="S606" s="36"/>
      <c r="T606" s="36"/>
      <c r="U606" s="36"/>
      <c r="V606" s="36"/>
    </row>
    <row r="607" spans="4:22">
      <c r="D607" s="36"/>
      <c r="E607" s="36"/>
      <c r="F607" s="36"/>
      <c r="G607" s="36"/>
      <c r="H607" s="36"/>
      <c r="I607" s="36"/>
      <c r="J607" s="36"/>
      <c r="K607" s="36"/>
      <c r="L607" s="36"/>
      <c r="M607" s="36"/>
      <c r="N607" s="36"/>
      <c r="O607" s="36"/>
      <c r="P607" s="36"/>
      <c r="Q607" s="36"/>
      <c r="R607" s="36"/>
      <c r="S607" s="36"/>
      <c r="T607" s="36"/>
      <c r="U607" s="36"/>
      <c r="V607" s="36"/>
    </row>
    <row r="608" spans="4:22">
      <c r="D608" s="36"/>
      <c r="E608" s="36"/>
      <c r="F608" s="36"/>
      <c r="G608" s="36"/>
      <c r="H608" s="36"/>
      <c r="I608" s="36"/>
      <c r="J608" s="36"/>
      <c r="K608" s="36"/>
      <c r="L608" s="36"/>
      <c r="M608" s="36"/>
      <c r="N608" s="36"/>
      <c r="O608" s="36"/>
      <c r="P608" s="36"/>
      <c r="Q608" s="36"/>
      <c r="R608" s="36"/>
      <c r="S608" s="36"/>
      <c r="T608" s="36"/>
      <c r="U608" s="36"/>
      <c r="V608" s="36"/>
    </row>
    <row r="609" spans="4:22">
      <c r="D609" s="36"/>
      <c r="E609" s="36"/>
      <c r="F609" s="36"/>
      <c r="G609" s="36"/>
      <c r="H609" s="36"/>
      <c r="I609" s="36"/>
      <c r="J609" s="36"/>
      <c r="K609" s="36"/>
      <c r="L609" s="36"/>
      <c r="M609" s="36"/>
      <c r="N609" s="36"/>
      <c r="O609" s="36"/>
      <c r="P609" s="36"/>
      <c r="Q609" s="36"/>
      <c r="R609" s="36"/>
      <c r="S609" s="36"/>
      <c r="T609" s="36"/>
      <c r="U609" s="36"/>
      <c r="V609" s="36"/>
    </row>
    <row r="610" spans="4:22">
      <c r="D610" s="36"/>
      <c r="E610" s="36"/>
      <c r="F610" s="36"/>
      <c r="G610" s="36"/>
      <c r="H610" s="36"/>
      <c r="I610" s="36"/>
      <c r="J610" s="36"/>
      <c r="K610" s="36"/>
      <c r="L610" s="36"/>
      <c r="M610" s="36"/>
      <c r="N610" s="36"/>
      <c r="O610" s="36"/>
      <c r="P610" s="36"/>
      <c r="Q610" s="36"/>
      <c r="R610" s="36"/>
      <c r="S610" s="36"/>
      <c r="T610" s="36"/>
      <c r="U610" s="36"/>
      <c r="V610" s="36"/>
    </row>
    <row r="611" spans="4:22">
      <c r="D611" s="36"/>
      <c r="E611" s="36"/>
      <c r="F611" s="36"/>
      <c r="G611" s="36"/>
      <c r="H611" s="36"/>
      <c r="I611" s="36"/>
      <c r="J611" s="36"/>
      <c r="K611" s="36"/>
      <c r="L611" s="36"/>
      <c r="M611" s="36"/>
      <c r="N611" s="36"/>
      <c r="O611" s="36"/>
      <c r="P611" s="36"/>
      <c r="Q611" s="36"/>
      <c r="R611" s="36"/>
      <c r="S611" s="36"/>
      <c r="T611" s="36"/>
      <c r="U611" s="36"/>
      <c r="V611" s="36"/>
    </row>
    <row r="612" spans="4:22">
      <c r="D612" s="36"/>
      <c r="E612" s="36"/>
      <c r="F612" s="36"/>
      <c r="G612" s="36"/>
      <c r="H612" s="36"/>
      <c r="I612" s="36"/>
      <c r="J612" s="36"/>
      <c r="K612" s="36"/>
      <c r="L612" s="36"/>
      <c r="M612" s="36"/>
      <c r="N612" s="36"/>
      <c r="O612" s="36"/>
      <c r="P612" s="36"/>
      <c r="Q612" s="36"/>
      <c r="R612" s="36"/>
      <c r="S612" s="36"/>
      <c r="T612" s="36"/>
      <c r="U612" s="36"/>
      <c r="V612" s="36"/>
    </row>
    <row r="613" spans="4:22">
      <c r="D613" s="36"/>
      <c r="E613" s="36"/>
      <c r="F613" s="36"/>
      <c r="G613" s="36"/>
      <c r="H613" s="36"/>
      <c r="I613" s="36"/>
      <c r="J613" s="36"/>
      <c r="K613" s="36"/>
      <c r="L613" s="36"/>
      <c r="M613" s="36"/>
      <c r="N613" s="36"/>
      <c r="O613" s="36"/>
      <c r="P613" s="36"/>
      <c r="Q613" s="36"/>
      <c r="R613" s="36"/>
      <c r="S613" s="36"/>
      <c r="T613" s="36"/>
      <c r="U613" s="36"/>
      <c r="V613" s="36"/>
    </row>
    <row r="614" spans="4:22">
      <c r="D614" s="36"/>
      <c r="E614" s="36"/>
      <c r="F614" s="36"/>
      <c r="G614" s="36"/>
      <c r="H614" s="36"/>
      <c r="I614" s="36"/>
      <c r="J614" s="36"/>
      <c r="K614" s="36"/>
      <c r="L614" s="36"/>
      <c r="M614" s="36"/>
      <c r="N614" s="36"/>
      <c r="O614" s="36"/>
      <c r="P614" s="36"/>
      <c r="Q614" s="36"/>
      <c r="R614" s="36"/>
      <c r="S614" s="36"/>
      <c r="T614" s="36"/>
      <c r="U614" s="36"/>
      <c r="V614" s="36"/>
    </row>
    <row r="615" spans="4:22">
      <c r="D615" s="36"/>
      <c r="E615" s="36"/>
      <c r="F615" s="36"/>
      <c r="G615" s="36"/>
      <c r="H615" s="36"/>
      <c r="I615" s="36"/>
      <c r="J615" s="36"/>
      <c r="K615" s="36"/>
      <c r="L615" s="36"/>
      <c r="M615" s="36"/>
      <c r="N615" s="36"/>
      <c r="O615" s="36"/>
      <c r="P615" s="36"/>
      <c r="Q615" s="36"/>
      <c r="R615" s="36"/>
      <c r="S615" s="36"/>
      <c r="T615" s="36"/>
      <c r="U615" s="36"/>
      <c r="V615" s="36"/>
    </row>
    <row r="616" spans="4:22">
      <c r="D616" s="36"/>
      <c r="E616" s="36"/>
      <c r="F616" s="36"/>
      <c r="G616" s="36"/>
      <c r="H616" s="36"/>
      <c r="I616" s="36"/>
      <c r="J616" s="36"/>
      <c r="K616" s="36"/>
      <c r="L616" s="36"/>
      <c r="M616" s="36"/>
      <c r="N616" s="36"/>
      <c r="O616" s="36"/>
      <c r="P616" s="36"/>
      <c r="Q616" s="36"/>
      <c r="R616" s="36"/>
      <c r="S616" s="36"/>
      <c r="T616" s="36"/>
      <c r="U616" s="36"/>
      <c r="V616" s="36"/>
    </row>
    <row r="617" spans="4:22">
      <c r="D617" s="36"/>
      <c r="E617" s="36"/>
      <c r="F617" s="36"/>
      <c r="G617" s="36"/>
      <c r="H617" s="36"/>
      <c r="I617" s="36"/>
      <c r="J617" s="36"/>
      <c r="K617" s="36"/>
      <c r="L617" s="36"/>
      <c r="M617" s="36"/>
      <c r="N617" s="36"/>
      <c r="O617" s="36"/>
      <c r="P617" s="36"/>
      <c r="Q617" s="36"/>
      <c r="R617" s="36"/>
      <c r="S617" s="36"/>
      <c r="T617" s="36"/>
      <c r="U617" s="36"/>
      <c r="V617" s="36"/>
    </row>
    <row r="618" spans="4:22">
      <c r="D618" s="36"/>
      <c r="E618" s="36"/>
      <c r="F618" s="36"/>
      <c r="G618" s="36"/>
      <c r="H618" s="36"/>
      <c r="I618" s="36"/>
      <c r="J618" s="36"/>
      <c r="K618" s="36"/>
      <c r="L618" s="36"/>
      <c r="M618" s="36"/>
      <c r="N618" s="36"/>
      <c r="O618" s="36"/>
      <c r="P618" s="36"/>
      <c r="Q618" s="36"/>
      <c r="R618" s="36"/>
      <c r="S618" s="36"/>
      <c r="T618" s="36"/>
      <c r="U618" s="36"/>
      <c r="V618" s="36"/>
    </row>
    <row r="619" spans="4:22">
      <c r="D619" s="36"/>
      <c r="E619" s="36"/>
      <c r="F619" s="36"/>
      <c r="G619" s="36"/>
      <c r="H619" s="36"/>
      <c r="I619" s="36"/>
      <c r="J619" s="36"/>
      <c r="K619" s="36"/>
      <c r="L619" s="36"/>
      <c r="M619" s="36"/>
      <c r="N619" s="36"/>
      <c r="O619" s="36"/>
      <c r="P619" s="36"/>
      <c r="Q619" s="36"/>
      <c r="R619" s="36"/>
      <c r="S619" s="36"/>
      <c r="T619" s="36"/>
      <c r="U619" s="36"/>
      <c r="V619" s="36"/>
    </row>
    <row r="620" spans="4:22">
      <c r="D620" s="36"/>
      <c r="E620" s="36"/>
      <c r="F620" s="36"/>
      <c r="G620" s="36"/>
      <c r="H620" s="36"/>
      <c r="I620" s="36"/>
      <c r="J620" s="36"/>
      <c r="K620" s="36"/>
      <c r="L620" s="36"/>
      <c r="M620" s="36"/>
      <c r="N620" s="36"/>
      <c r="O620" s="36"/>
      <c r="P620" s="36"/>
      <c r="Q620" s="36"/>
      <c r="R620" s="36"/>
      <c r="S620" s="36"/>
      <c r="T620" s="36"/>
      <c r="U620" s="36"/>
      <c r="V620" s="36"/>
    </row>
    <row r="621" spans="4:22">
      <c r="D621" s="36"/>
      <c r="E621" s="36"/>
      <c r="F621" s="36"/>
      <c r="G621" s="36"/>
      <c r="H621" s="36"/>
      <c r="I621" s="36"/>
      <c r="J621" s="36"/>
      <c r="K621" s="36"/>
      <c r="L621" s="36"/>
      <c r="M621" s="36"/>
      <c r="N621" s="36"/>
      <c r="O621" s="36"/>
      <c r="P621" s="36"/>
      <c r="Q621" s="36"/>
      <c r="R621" s="36"/>
      <c r="S621" s="36"/>
      <c r="T621" s="36"/>
      <c r="U621" s="36"/>
      <c r="V621" s="36"/>
    </row>
    <row r="622" spans="4:22"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36"/>
      <c r="O622" s="36"/>
      <c r="P622" s="36"/>
      <c r="Q622" s="36"/>
      <c r="R622" s="36"/>
      <c r="S622" s="36"/>
      <c r="T622" s="36"/>
      <c r="U622" s="36"/>
      <c r="V622" s="36"/>
    </row>
    <row r="623" spans="4:22">
      <c r="D623" s="36"/>
      <c r="E623" s="36"/>
      <c r="F623" s="36"/>
      <c r="G623" s="36"/>
      <c r="H623" s="36"/>
      <c r="I623" s="36"/>
      <c r="J623" s="36"/>
      <c r="K623" s="36"/>
      <c r="L623" s="36"/>
      <c r="M623" s="36"/>
      <c r="N623" s="36"/>
      <c r="O623" s="36"/>
      <c r="P623" s="36"/>
      <c r="Q623" s="36"/>
      <c r="R623" s="36"/>
      <c r="S623" s="36"/>
      <c r="T623" s="36"/>
      <c r="U623" s="36"/>
      <c r="V623" s="36"/>
    </row>
    <row r="624" spans="4:22">
      <c r="D624" s="36"/>
      <c r="E624" s="36"/>
      <c r="F624" s="36"/>
      <c r="G624" s="36"/>
      <c r="H624" s="36"/>
      <c r="I624" s="36"/>
      <c r="J624" s="36"/>
      <c r="K624" s="36"/>
      <c r="L624" s="36"/>
      <c r="M624" s="36"/>
      <c r="N624" s="36"/>
      <c r="O624" s="36"/>
      <c r="P624" s="36"/>
      <c r="Q624" s="36"/>
      <c r="R624" s="36"/>
      <c r="S624" s="36"/>
      <c r="T624" s="36"/>
      <c r="U624" s="36"/>
      <c r="V624" s="36"/>
    </row>
    <row r="625" spans="4:22">
      <c r="D625" s="36"/>
      <c r="E625" s="36"/>
      <c r="F625" s="36"/>
      <c r="G625" s="36"/>
      <c r="H625" s="36"/>
      <c r="I625" s="36"/>
      <c r="J625" s="36"/>
      <c r="K625" s="36"/>
      <c r="L625" s="36"/>
      <c r="M625" s="36"/>
      <c r="N625" s="36"/>
      <c r="O625" s="36"/>
      <c r="P625" s="36"/>
      <c r="Q625" s="36"/>
      <c r="R625" s="36"/>
      <c r="S625" s="36"/>
      <c r="T625" s="36"/>
      <c r="U625" s="36"/>
      <c r="V625" s="36"/>
    </row>
    <row r="626" spans="4:22">
      <c r="D626" s="36"/>
      <c r="E626" s="36"/>
      <c r="F626" s="36"/>
      <c r="G626" s="36"/>
      <c r="H626" s="36"/>
      <c r="I626" s="36"/>
      <c r="J626" s="36"/>
      <c r="K626" s="36"/>
      <c r="L626" s="36"/>
      <c r="M626" s="36"/>
      <c r="N626" s="36"/>
      <c r="O626" s="36"/>
      <c r="P626" s="36"/>
      <c r="Q626" s="36"/>
      <c r="R626" s="36"/>
      <c r="S626" s="36"/>
      <c r="T626" s="36"/>
      <c r="U626" s="36"/>
      <c r="V626" s="36"/>
    </row>
    <row r="627" spans="4:22">
      <c r="D627" s="36"/>
      <c r="E627" s="36"/>
      <c r="F627" s="36"/>
      <c r="G627" s="36"/>
      <c r="H627" s="36"/>
      <c r="I627" s="36"/>
      <c r="J627" s="36"/>
      <c r="K627" s="36"/>
      <c r="L627" s="36"/>
      <c r="M627" s="36"/>
      <c r="N627" s="36"/>
      <c r="O627" s="36"/>
      <c r="P627" s="36"/>
      <c r="Q627" s="36"/>
      <c r="R627" s="36"/>
      <c r="S627" s="36"/>
      <c r="T627" s="36"/>
      <c r="U627" s="36"/>
      <c r="V627" s="36"/>
    </row>
    <row r="628" spans="4:22">
      <c r="D628" s="36"/>
      <c r="E628" s="36"/>
      <c r="F628" s="36"/>
      <c r="G628" s="36"/>
      <c r="H628" s="36"/>
      <c r="I628" s="36"/>
      <c r="J628" s="36"/>
      <c r="K628" s="36"/>
      <c r="L628" s="36"/>
      <c r="M628" s="36"/>
      <c r="N628" s="36"/>
      <c r="O628" s="36"/>
      <c r="P628" s="36"/>
      <c r="Q628" s="36"/>
      <c r="R628" s="36"/>
      <c r="S628" s="36"/>
      <c r="T628" s="36"/>
      <c r="U628" s="36"/>
      <c r="V628" s="36"/>
    </row>
    <row r="629" spans="4:22"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36"/>
      <c r="O629" s="36"/>
      <c r="P629" s="36"/>
      <c r="Q629" s="36"/>
      <c r="R629" s="36"/>
      <c r="S629" s="36"/>
      <c r="T629" s="36"/>
      <c r="U629" s="36"/>
      <c r="V629" s="36"/>
    </row>
    <row r="630" spans="4:22">
      <c r="D630" s="36"/>
      <c r="E630" s="36"/>
      <c r="F630" s="36"/>
      <c r="G630" s="36"/>
      <c r="H630" s="36"/>
      <c r="I630" s="36"/>
      <c r="J630" s="36"/>
      <c r="K630" s="36"/>
      <c r="L630" s="36"/>
      <c r="M630" s="36"/>
      <c r="N630" s="36"/>
      <c r="O630" s="36"/>
      <c r="P630" s="36"/>
      <c r="Q630" s="36"/>
      <c r="R630" s="36"/>
      <c r="S630" s="36"/>
      <c r="T630" s="36"/>
      <c r="U630" s="36"/>
      <c r="V630" s="36"/>
    </row>
    <row r="631" spans="4:22">
      <c r="D631" s="36"/>
      <c r="E631" s="36"/>
      <c r="F631" s="36"/>
      <c r="G631" s="36"/>
      <c r="H631" s="36"/>
      <c r="I631" s="36"/>
      <c r="J631" s="36"/>
      <c r="K631" s="36"/>
      <c r="L631" s="36"/>
      <c r="M631" s="36"/>
      <c r="N631" s="36"/>
      <c r="O631" s="36"/>
      <c r="P631" s="36"/>
      <c r="Q631" s="36"/>
      <c r="R631" s="36"/>
      <c r="S631" s="36"/>
      <c r="T631" s="36"/>
      <c r="U631" s="36"/>
      <c r="V631" s="36"/>
    </row>
    <row r="632" spans="4:22">
      <c r="D632" s="36"/>
      <c r="E632" s="36"/>
      <c r="F632" s="36"/>
      <c r="G632" s="36"/>
      <c r="H632" s="36"/>
      <c r="I632" s="36"/>
      <c r="J632" s="36"/>
      <c r="K632" s="36"/>
      <c r="L632" s="36"/>
      <c r="M632" s="36"/>
      <c r="N632" s="36"/>
      <c r="O632" s="36"/>
      <c r="P632" s="36"/>
      <c r="Q632" s="36"/>
      <c r="R632" s="36"/>
      <c r="S632" s="36"/>
      <c r="T632" s="36"/>
      <c r="U632" s="36"/>
      <c r="V632" s="36"/>
    </row>
    <row r="633" spans="4:22">
      <c r="D633" s="36"/>
      <c r="E633" s="36"/>
      <c r="F633" s="36"/>
      <c r="G633" s="36"/>
      <c r="H633" s="36"/>
      <c r="I633" s="36"/>
      <c r="J633" s="36"/>
      <c r="K633" s="36"/>
      <c r="L633" s="36"/>
      <c r="M633" s="36"/>
      <c r="N633" s="36"/>
      <c r="O633" s="36"/>
      <c r="P633" s="36"/>
      <c r="Q633" s="36"/>
      <c r="R633" s="36"/>
      <c r="S633" s="36"/>
      <c r="T633" s="36"/>
      <c r="U633" s="36"/>
      <c r="V633" s="36"/>
    </row>
    <row r="634" spans="4:22">
      <c r="D634" s="36"/>
      <c r="E634" s="36"/>
      <c r="F634" s="36"/>
      <c r="G634" s="36"/>
      <c r="H634" s="36"/>
      <c r="I634" s="36"/>
      <c r="J634" s="36"/>
      <c r="K634" s="36"/>
      <c r="L634" s="36"/>
      <c r="M634" s="36"/>
      <c r="N634" s="36"/>
      <c r="O634" s="36"/>
      <c r="P634" s="36"/>
      <c r="Q634" s="36"/>
      <c r="R634" s="36"/>
      <c r="S634" s="36"/>
      <c r="T634" s="36"/>
      <c r="U634" s="36"/>
      <c r="V634" s="36"/>
    </row>
    <row r="635" spans="4:22">
      <c r="D635" s="36"/>
      <c r="E635" s="36"/>
      <c r="F635" s="36"/>
      <c r="G635" s="36"/>
      <c r="H635" s="36"/>
      <c r="I635" s="36"/>
      <c r="J635" s="36"/>
      <c r="K635" s="36"/>
      <c r="L635" s="36"/>
      <c r="M635" s="36"/>
      <c r="N635" s="36"/>
      <c r="O635" s="36"/>
      <c r="P635" s="36"/>
      <c r="Q635" s="36"/>
      <c r="R635" s="36"/>
      <c r="S635" s="36"/>
      <c r="T635" s="36"/>
      <c r="U635" s="36"/>
      <c r="V635" s="36"/>
    </row>
    <row r="636" spans="4:22"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36"/>
      <c r="O636" s="36"/>
      <c r="P636" s="36"/>
      <c r="Q636" s="36"/>
      <c r="R636" s="36"/>
      <c r="S636" s="36"/>
      <c r="T636" s="36"/>
      <c r="U636" s="36"/>
      <c r="V636" s="36"/>
    </row>
    <row r="637" spans="4:22">
      <c r="D637" s="36"/>
      <c r="E637" s="36"/>
      <c r="F637" s="36"/>
      <c r="G637" s="36"/>
      <c r="H637" s="36"/>
      <c r="I637" s="36"/>
      <c r="J637" s="36"/>
      <c r="K637" s="36"/>
      <c r="L637" s="36"/>
      <c r="M637" s="36"/>
      <c r="N637" s="36"/>
      <c r="O637" s="36"/>
      <c r="P637" s="36"/>
      <c r="Q637" s="36"/>
      <c r="R637" s="36"/>
      <c r="S637" s="36"/>
      <c r="T637" s="36"/>
      <c r="U637" s="36"/>
      <c r="V637" s="36"/>
    </row>
    <row r="638" spans="4:22">
      <c r="D638" s="36"/>
      <c r="E638" s="36"/>
      <c r="F638" s="36"/>
      <c r="G638" s="36"/>
      <c r="H638" s="36"/>
      <c r="I638" s="36"/>
      <c r="J638" s="36"/>
      <c r="K638" s="36"/>
      <c r="L638" s="36"/>
      <c r="M638" s="36"/>
      <c r="N638" s="36"/>
      <c r="O638" s="36"/>
      <c r="P638" s="36"/>
      <c r="Q638" s="36"/>
      <c r="R638" s="36"/>
      <c r="S638" s="36"/>
      <c r="T638" s="36"/>
      <c r="U638" s="36"/>
      <c r="V638" s="36"/>
    </row>
    <row r="639" spans="4:22">
      <c r="D639" s="36"/>
      <c r="E639" s="36"/>
      <c r="F639" s="36"/>
      <c r="G639" s="36"/>
      <c r="H639" s="36"/>
      <c r="I639" s="36"/>
      <c r="J639" s="36"/>
      <c r="K639" s="36"/>
      <c r="L639" s="36"/>
      <c r="M639" s="36"/>
      <c r="N639" s="36"/>
      <c r="O639" s="36"/>
      <c r="P639" s="36"/>
      <c r="Q639" s="36"/>
      <c r="R639" s="36"/>
      <c r="S639" s="36"/>
      <c r="T639" s="36"/>
      <c r="U639" s="36"/>
      <c r="V639" s="36"/>
    </row>
    <row r="640" spans="4:22">
      <c r="D640" s="36"/>
      <c r="E640" s="36"/>
      <c r="F640" s="36"/>
      <c r="G640" s="36"/>
      <c r="H640" s="36"/>
      <c r="I640" s="36"/>
      <c r="J640" s="36"/>
      <c r="K640" s="36"/>
      <c r="L640" s="36"/>
      <c r="M640" s="36"/>
      <c r="N640" s="36"/>
      <c r="O640" s="36"/>
      <c r="P640" s="36"/>
      <c r="Q640" s="36"/>
      <c r="R640" s="36"/>
      <c r="S640" s="36"/>
      <c r="T640" s="36"/>
      <c r="U640" s="36"/>
      <c r="V640" s="36"/>
    </row>
    <row r="641" spans="4:22">
      <c r="D641" s="36"/>
      <c r="E641" s="36"/>
      <c r="F641" s="36"/>
      <c r="G641" s="36"/>
      <c r="H641" s="36"/>
      <c r="I641" s="36"/>
      <c r="J641" s="36"/>
      <c r="K641" s="36"/>
      <c r="L641" s="36"/>
      <c r="M641" s="36"/>
      <c r="N641" s="36"/>
      <c r="O641" s="36"/>
      <c r="P641" s="36"/>
      <c r="Q641" s="36"/>
      <c r="R641" s="36"/>
      <c r="S641" s="36"/>
      <c r="T641" s="36"/>
      <c r="U641" s="36"/>
      <c r="V641" s="36"/>
    </row>
    <row r="642" spans="4:22">
      <c r="D642" s="36"/>
      <c r="E642" s="36"/>
      <c r="F642" s="36"/>
      <c r="G642" s="36"/>
      <c r="H642" s="36"/>
      <c r="I642" s="36"/>
      <c r="J642" s="36"/>
      <c r="K642" s="36"/>
      <c r="L642" s="36"/>
      <c r="M642" s="36"/>
      <c r="N642" s="36"/>
      <c r="O642" s="36"/>
      <c r="P642" s="36"/>
      <c r="Q642" s="36"/>
      <c r="R642" s="36"/>
      <c r="S642" s="36"/>
      <c r="T642" s="36"/>
      <c r="U642" s="36"/>
      <c r="V642" s="36"/>
    </row>
    <row r="643" spans="4:22">
      <c r="D643" s="36"/>
      <c r="E643" s="36"/>
      <c r="F643" s="36"/>
      <c r="G643" s="36"/>
      <c r="H643" s="36"/>
      <c r="I643" s="36"/>
      <c r="J643" s="36"/>
      <c r="K643" s="36"/>
      <c r="L643" s="36"/>
      <c r="M643" s="36"/>
      <c r="N643" s="36"/>
      <c r="O643" s="36"/>
      <c r="P643" s="36"/>
      <c r="Q643" s="36"/>
      <c r="R643" s="36"/>
      <c r="S643" s="36"/>
      <c r="T643" s="36"/>
      <c r="U643" s="36"/>
      <c r="V643" s="36"/>
    </row>
    <row r="644" spans="4:22">
      <c r="D644" s="36"/>
      <c r="E644" s="36"/>
      <c r="F644" s="36"/>
      <c r="G644" s="36"/>
      <c r="H644" s="36"/>
      <c r="I644" s="36"/>
      <c r="J644" s="36"/>
      <c r="K644" s="36"/>
      <c r="L644" s="36"/>
      <c r="M644" s="36"/>
      <c r="N644" s="36"/>
      <c r="O644" s="36"/>
      <c r="P644" s="36"/>
      <c r="Q644" s="36"/>
      <c r="R644" s="36"/>
      <c r="S644" s="36"/>
      <c r="T644" s="36"/>
      <c r="U644" s="36"/>
      <c r="V644" s="36"/>
    </row>
    <row r="645" spans="4:22">
      <c r="D645" s="36"/>
      <c r="E645" s="36"/>
      <c r="F645" s="36"/>
      <c r="G645" s="36"/>
      <c r="H645" s="36"/>
      <c r="I645" s="36"/>
      <c r="J645" s="36"/>
      <c r="K645" s="36"/>
      <c r="L645" s="36"/>
      <c r="M645" s="36"/>
      <c r="N645" s="36"/>
      <c r="O645" s="36"/>
      <c r="P645" s="36"/>
      <c r="Q645" s="36"/>
      <c r="R645" s="36"/>
      <c r="S645" s="36"/>
      <c r="T645" s="36"/>
      <c r="U645" s="36"/>
      <c r="V645" s="36"/>
    </row>
    <row r="646" spans="4:22">
      <c r="D646" s="36"/>
      <c r="E646" s="36"/>
      <c r="F646" s="36"/>
      <c r="G646" s="36"/>
      <c r="H646" s="36"/>
      <c r="I646" s="36"/>
      <c r="J646" s="36"/>
      <c r="K646" s="36"/>
      <c r="L646" s="36"/>
      <c r="M646" s="36"/>
      <c r="N646" s="36"/>
      <c r="O646" s="36"/>
      <c r="P646" s="36"/>
      <c r="Q646" s="36"/>
      <c r="R646" s="36"/>
      <c r="S646" s="36"/>
      <c r="T646" s="36"/>
      <c r="U646" s="36"/>
      <c r="V646" s="36"/>
    </row>
    <row r="647" spans="4:22">
      <c r="D647" s="36"/>
      <c r="E647" s="36"/>
      <c r="F647" s="36"/>
      <c r="G647" s="36"/>
      <c r="H647" s="36"/>
      <c r="I647" s="36"/>
      <c r="J647" s="36"/>
      <c r="K647" s="36"/>
      <c r="L647" s="36"/>
      <c r="M647" s="36"/>
      <c r="N647" s="36"/>
      <c r="O647" s="36"/>
      <c r="P647" s="36"/>
      <c r="Q647" s="36"/>
      <c r="R647" s="36"/>
      <c r="S647" s="36"/>
      <c r="T647" s="36"/>
      <c r="U647" s="36"/>
      <c r="V647" s="36"/>
    </row>
    <row r="648" spans="4:22">
      <c r="D648" s="36"/>
      <c r="E648" s="36"/>
      <c r="F648" s="36"/>
      <c r="G648" s="36"/>
      <c r="H648" s="36"/>
      <c r="I648" s="36"/>
      <c r="J648" s="36"/>
      <c r="K648" s="36"/>
      <c r="L648" s="36"/>
      <c r="M648" s="36"/>
      <c r="N648" s="36"/>
      <c r="O648" s="36"/>
      <c r="P648" s="36"/>
      <c r="Q648" s="36"/>
      <c r="R648" s="36"/>
      <c r="S648" s="36"/>
      <c r="T648" s="36"/>
      <c r="U648" s="36"/>
      <c r="V648" s="36"/>
    </row>
    <row r="649" spans="4:22">
      <c r="D649" s="36"/>
      <c r="E649" s="36"/>
      <c r="F649" s="36"/>
      <c r="G649" s="36"/>
      <c r="H649" s="36"/>
      <c r="I649" s="36"/>
      <c r="J649" s="36"/>
      <c r="K649" s="36"/>
      <c r="L649" s="36"/>
      <c r="M649" s="36"/>
      <c r="N649" s="36"/>
      <c r="O649" s="36"/>
      <c r="P649" s="36"/>
      <c r="Q649" s="36"/>
      <c r="R649" s="36"/>
      <c r="S649" s="36"/>
      <c r="T649" s="36"/>
      <c r="U649" s="36"/>
      <c r="V649" s="36"/>
    </row>
    <row r="650" spans="4:22">
      <c r="D650" s="36"/>
      <c r="E650" s="36"/>
      <c r="F650" s="36"/>
      <c r="G650" s="36"/>
      <c r="H650" s="36"/>
      <c r="I650" s="36"/>
      <c r="J650" s="36"/>
      <c r="K650" s="36"/>
      <c r="L650" s="36"/>
      <c r="M650" s="36"/>
      <c r="N650" s="36"/>
      <c r="O650" s="36"/>
      <c r="P650" s="36"/>
      <c r="Q650" s="36"/>
      <c r="R650" s="36"/>
      <c r="S650" s="36"/>
      <c r="T650" s="36"/>
      <c r="U650" s="36"/>
      <c r="V650" s="36"/>
    </row>
    <row r="651" spans="4:22">
      <c r="D651" s="36"/>
      <c r="E651" s="36"/>
      <c r="F651" s="36"/>
      <c r="G651" s="36"/>
      <c r="H651" s="36"/>
      <c r="I651" s="36"/>
      <c r="J651" s="36"/>
      <c r="K651" s="36"/>
      <c r="L651" s="36"/>
      <c r="M651" s="36"/>
      <c r="N651" s="36"/>
      <c r="O651" s="36"/>
      <c r="P651" s="36"/>
      <c r="Q651" s="36"/>
      <c r="R651" s="36"/>
      <c r="S651" s="36"/>
      <c r="T651" s="36"/>
      <c r="U651" s="36"/>
      <c r="V651" s="36"/>
    </row>
    <row r="652" spans="4:22">
      <c r="D652" s="36"/>
      <c r="E652" s="36"/>
      <c r="F652" s="36"/>
      <c r="G652" s="36"/>
      <c r="H652" s="36"/>
      <c r="I652" s="36"/>
      <c r="J652" s="36"/>
      <c r="K652" s="36"/>
      <c r="L652" s="36"/>
      <c r="M652" s="36"/>
      <c r="N652" s="36"/>
      <c r="O652" s="36"/>
      <c r="P652" s="36"/>
      <c r="Q652" s="36"/>
      <c r="R652" s="36"/>
      <c r="S652" s="36"/>
      <c r="T652" s="36"/>
      <c r="U652" s="36"/>
      <c r="V652" s="36"/>
    </row>
    <row r="653" spans="4:22">
      <c r="D653" s="36"/>
      <c r="E653" s="36"/>
      <c r="F653" s="36"/>
      <c r="G653" s="36"/>
      <c r="H653" s="36"/>
      <c r="I653" s="36"/>
      <c r="J653" s="36"/>
      <c r="K653" s="36"/>
      <c r="L653" s="36"/>
      <c r="M653" s="36"/>
      <c r="N653" s="36"/>
      <c r="O653" s="36"/>
      <c r="P653" s="36"/>
      <c r="Q653" s="36"/>
      <c r="R653" s="36"/>
      <c r="S653" s="36"/>
      <c r="T653" s="36"/>
      <c r="U653" s="36"/>
      <c r="V653" s="36"/>
    </row>
    <row r="654" spans="4:22">
      <c r="D654" s="36"/>
      <c r="E654" s="36"/>
      <c r="F654" s="36"/>
      <c r="G654" s="36"/>
      <c r="H654" s="36"/>
      <c r="I654" s="36"/>
      <c r="J654" s="36"/>
      <c r="K654" s="36"/>
      <c r="L654" s="36"/>
      <c r="M654" s="36"/>
      <c r="N654" s="36"/>
      <c r="O654" s="36"/>
      <c r="P654" s="36"/>
      <c r="Q654" s="36"/>
      <c r="R654" s="36"/>
      <c r="S654" s="36"/>
      <c r="T654" s="36"/>
      <c r="U654" s="36"/>
      <c r="V654" s="36"/>
    </row>
    <row r="655" spans="4:22">
      <c r="D655" s="36"/>
      <c r="E655" s="36"/>
      <c r="F655" s="36"/>
      <c r="G655" s="36"/>
      <c r="H655" s="36"/>
      <c r="I655" s="36"/>
      <c r="J655" s="36"/>
      <c r="K655" s="36"/>
      <c r="L655" s="36"/>
      <c r="M655" s="36"/>
      <c r="N655" s="36"/>
      <c r="O655" s="36"/>
      <c r="P655" s="36"/>
      <c r="Q655" s="36"/>
      <c r="R655" s="36"/>
      <c r="S655" s="36"/>
      <c r="T655" s="36"/>
      <c r="U655" s="36"/>
      <c r="V655" s="36"/>
    </row>
    <row r="656" spans="4:22">
      <c r="D656" s="36"/>
      <c r="E656" s="36"/>
      <c r="F656" s="36"/>
      <c r="G656" s="36"/>
      <c r="H656" s="36"/>
      <c r="I656" s="36"/>
      <c r="J656" s="36"/>
      <c r="K656" s="36"/>
      <c r="L656" s="36"/>
      <c r="M656" s="36"/>
      <c r="N656" s="36"/>
      <c r="O656" s="36"/>
      <c r="P656" s="36"/>
      <c r="Q656" s="36"/>
      <c r="R656" s="36"/>
      <c r="S656" s="36"/>
      <c r="T656" s="36"/>
      <c r="U656" s="36"/>
      <c r="V656" s="36"/>
    </row>
    <row r="657" spans="4:22">
      <c r="D657" s="36"/>
      <c r="E657" s="36"/>
      <c r="F657" s="36"/>
      <c r="G657" s="36"/>
      <c r="H657" s="36"/>
      <c r="I657" s="36"/>
      <c r="J657" s="36"/>
      <c r="K657" s="36"/>
      <c r="L657" s="36"/>
      <c r="M657" s="36"/>
      <c r="N657" s="36"/>
      <c r="O657" s="36"/>
      <c r="P657" s="36"/>
      <c r="Q657" s="36"/>
      <c r="R657" s="36"/>
      <c r="S657" s="36"/>
      <c r="T657" s="36"/>
      <c r="U657" s="36"/>
      <c r="V657" s="36"/>
    </row>
    <row r="658" spans="4:22">
      <c r="D658" s="36"/>
      <c r="E658" s="36"/>
      <c r="F658" s="36"/>
      <c r="G658" s="36"/>
      <c r="H658" s="36"/>
      <c r="I658" s="36"/>
      <c r="J658" s="36"/>
      <c r="K658" s="36"/>
      <c r="L658" s="36"/>
      <c r="M658" s="36"/>
      <c r="N658" s="36"/>
      <c r="O658" s="36"/>
      <c r="P658" s="36"/>
      <c r="Q658" s="36"/>
      <c r="R658" s="36"/>
      <c r="S658" s="36"/>
      <c r="T658" s="36"/>
      <c r="U658" s="36"/>
      <c r="V658" s="36"/>
    </row>
    <row r="659" spans="4:22">
      <c r="D659" s="36"/>
      <c r="E659" s="36"/>
      <c r="F659" s="36"/>
      <c r="G659" s="36"/>
      <c r="H659" s="36"/>
      <c r="I659" s="36"/>
      <c r="J659" s="36"/>
      <c r="K659" s="36"/>
      <c r="L659" s="36"/>
      <c r="M659" s="36"/>
      <c r="N659" s="36"/>
      <c r="O659" s="36"/>
      <c r="P659" s="36"/>
      <c r="Q659" s="36"/>
      <c r="R659" s="36"/>
      <c r="S659" s="36"/>
      <c r="T659" s="36"/>
      <c r="U659" s="36"/>
      <c r="V659" s="36"/>
    </row>
    <row r="660" spans="4:22">
      <c r="D660" s="36"/>
      <c r="E660" s="36"/>
      <c r="F660" s="36"/>
      <c r="G660" s="36"/>
      <c r="H660" s="36"/>
      <c r="I660" s="36"/>
      <c r="J660" s="36"/>
      <c r="K660" s="36"/>
      <c r="L660" s="36"/>
      <c r="M660" s="36"/>
      <c r="N660" s="36"/>
      <c r="O660" s="36"/>
      <c r="P660" s="36"/>
      <c r="Q660" s="36"/>
      <c r="R660" s="36"/>
      <c r="S660" s="36"/>
      <c r="T660" s="36"/>
      <c r="U660" s="36"/>
      <c r="V660" s="36"/>
    </row>
    <row r="661" spans="4:22">
      <c r="D661" s="36"/>
      <c r="E661" s="36"/>
      <c r="F661" s="36"/>
      <c r="G661" s="36"/>
      <c r="H661" s="36"/>
      <c r="I661" s="36"/>
      <c r="J661" s="36"/>
      <c r="K661" s="36"/>
      <c r="L661" s="36"/>
      <c r="M661" s="36"/>
      <c r="N661" s="36"/>
      <c r="O661" s="36"/>
      <c r="P661" s="36"/>
      <c r="Q661" s="36"/>
      <c r="R661" s="36"/>
      <c r="S661" s="36"/>
      <c r="T661" s="36"/>
      <c r="U661" s="36"/>
      <c r="V661" s="36"/>
    </row>
    <row r="662" spans="4:22">
      <c r="D662" s="36"/>
      <c r="E662" s="36"/>
      <c r="F662" s="36"/>
      <c r="G662" s="36"/>
      <c r="H662" s="36"/>
      <c r="I662" s="36"/>
      <c r="J662" s="36"/>
      <c r="K662" s="36"/>
      <c r="L662" s="36"/>
      <c r="M662" s="36"/>
      <c r="N662" s="36"/>
      <c r="O662" s="36"/>
      <c r="P662" s="36"/>
      <c r="Q662" s="36"/>
      <c r="R662" s="36"/>
      <c r="S662" s="36"/>
      <c r="T662" s="36"/>
      <c r="U662" s="36"/>
      <c r="V662" s="36"/>
    </row>
    <row r="663" spans="4:22">
      <c r="D663" s="36"/>
      <c r="E663" s="36"/>
      <c r="F663" s="36"/>
      <c r="G663" s="36"/>
      <c r="H663" s="36"/>
      <c r="I663" s="36"/>
      <c r="J663" s="36"/>
      <c r="K663" s="36"/>
      <c r="L663" s="36"/>
      <c r="M663" s="36"/>
      <c r="N663" s="36"/>
      <c r="O663" s="36"/>
      <c r="P663" s="36"/>
      <c r="Q663" s="36"/>
      <c r="R663" s="36"/>
      <c r="S663" s="36"/>
      <c r="T663" s="36"/>
      <c r="U663" s="36"/>
      <c r="V663" s="36"/>
    </row>
    <row r="664" spans="4:22"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36"/>
      <c r="O664" s="36"/>
      <c r="P664" s="36"/>
      <c r="Q664" s="36"/>
      <c r="R664" s="36"/>
      <c r="S664" s="36"/>
      <c r="T664" s="36"/>
      <c r="U664" s="36"/>
      <c r="V664" s="36"/>
    </row>
    <row r="665" spans="4:22">
      <c r="D665" s="36"/>
      <c r="E665" s="36"/>
      <c r="F665" s="36"/>
      <c r="G665" s="36"/>
      <c r="H665" s="36"/>
      <c r="I665" s="36"/>
      <c r="J665" s="36"/>
      <c r="K665" s="36"/>
      <c r="L665" s="36"/>
      <c r="M665" s="36"/>
      <c r="N665" s="36"/>
      <c r="O665" s="36"/>
      <c r="P665" s="36"/>
      <c r="Q665" s="36"/>
      <c r="R665" s="36"/>
      <c r="S665" s="36"/>
      <c r="T665" s="36"/>
      <c r="U665" s="36"/>
      <c r="V665" s="36"/>
    </row>
    <row r="666" spans="4:22">
      <c r="D666" s="36"/>
      <c r="E666" s="36"/>
      <c r="F666" s="36"/>
      <c r="G666" s="36"/>
      <c r="H666" s="36"/>
      <c r="I666" s="36"/>
      <c r="J666" s="36"/>
      <c r="K666" s="36"/>
      <c r="L666" s="36"/>
      <c r="M666" s="36"/>
      <c r="N666" s="36"/>
      <c r="O666" s="36"/>
      <c r="P666" s="36"/>
      <c r="Q666" s="36"/>
      <c r="R666" s="36"/>
      <c r="S666" s="36"/>
      <c r="T666" s="36"/>
      <c r="U666" s="36"/>
      <c r="V666" s="36"/>
    </row>
    <row r="667" spans="4:22">
      <c r="D667" s="36"/>
      <c r="E667" s="36"/>
      <c r="F667" s="36"/>
      <c r="G667" s="36"/>
      <c r="H667" s="36"/>
      <c r="I667" s="36"/>
      <c r="J667" s="36"/>
      <c r="K667" s="36"/>
      <c r="L667" s="36"/>
      <c r="M667" s="36"/>
      <c r="N667" s="36"/>
      <c r="O667" s="36"/>
      <c r="P667" s="36"/>
      <c r="Q667" s="36"/>
      <c r="R667" s="36"/>
      <c r="S667" s="36"/>
      <c r="T667" s="36"/>
      <c r="U667" s="36"/>
      <c r="V667" s="36"/>
    </row>
    <row r="668" spans="4:22">
      <c r="D668" s="36"/>
      <c r="E668" s="36"/>
      <c r="F668" s="36"/>
      <c r="G668" s="36"/>
      <c r="H668" s="36"/>
      <c r="I668" s="36"/>
      <c r="J668" s="36"/>
      <c r="K668" s="36"/>
      <c r="L668" s="36"/>
      <c r="M668" s="36"/>
      <c r="N668" s="36"/>
      <c r="O668" s="36"/>
      <c r="P668" s="36"/>
      <c r="Q668" s="36"/>
      <c r="R668" s="36"/>
      <c r="S668" s="36"/>
      <c r="T668" s="36"/>
      <c r="U668" s="36"/>
      <c r="V668" s="36"/>
    </row>
    <row r="669" spans="4:22">
      <c r="D669" s="36"/>
      <c r="E669" s="36"/>
      <c r="F669" s="36"/>
      <c r="G669" s="36"/>
      <c r="H669" s="36"/>
      <c r="I669" s="36"/>
      <c r="J669" s="36"/>
      <c r="K669" s="36"/>
      <c r="L669" s="36"/>
      <c r="M669" s="36"/>
      <c r="N669" s="36"/>
      <c r="O669" s="36"/>
      <c r="P669" s="36"/>
      <c r="Q669" s="36"/>
      <c r="R669" s="36"/>
      <c r="S669" s="36"/>
      <c r="T669" s="36"/>
      <c r="U669" s="36"/>
      <c r="V669" s="36"/>
    </row>
    <row r="670" spans="4:22">
      <c r="D670" s="36"/>
      <c r="E670" s="36"/>
      <c r="F670" s="36"/>
      <c r="G670" s="36"/>
      <c r="H670" s="36"/>
      <c r="I670" s="36"/>
      <c r="J670" s="36"/>
      <c r="K670" s="36"/>
      <c r="L670" s="36"/>
      <c r="M670" s="36"/>
      <c r="N670" s="36"/>
      <c r="O670" s="36"/>
      <c r="P670" s="36"/>
      <c r="Q670" s="36"/>
      <c r="R670" s="36"/>
      <c r="S670" s="36"/>
      <c r="T670" s="36"/>
      <c r="U670" s="36"/>
      <c r="V670" s="36"/>
    </row>
    <row r="671" spans="4:22">
      <c r="D671" s="36"/>
      <c r="E671" s="36"/>
      <c r="F671" s="36"/>
      <c r="G671" s="36"/>
      <c r="H671" s="36"/>
      <c r="I671" s="36"/>
      <c r="J671" s="36"/>
      <c r="K671" s="36"/>
      <c r="L671" s="36"/>
      <c r="M671" s="36"/>
      <c r="N671" s="36"/>
      <c r="O671" s="36"/>
      <c r="P671" s="36"/>
      <c r="Q671" s="36"/>
      <c r="R671" s="36"/>
      <c r="S671" s="36"/>
      <c r="T671" s="36"/>
      <c r="U671" s="36"/>
      <c r="V671" s="36"/>
    </row>
    <row r="672" spans="4:22">
      <c r="D672" s="36"/>
      <c r="E672" s="36"/>
      <c r="F672" s="36"/>
      <c r="G672" s="36"/>
      <c r="H672" s="36"/>
      <c r="I672" s="36"/>
      <c r="J672" s="36"/>
      <c r="K672" s="36"/>
      <c r="L672" s="36"/>
      <c r="M672" s="36"/>
      <c r="N672" s="36"/>
      <c r="O672" s="36"/>
      <c r="P672" s="36"/>
      <c r="Q672" s="36"/>
      <c r="R672" s="36"/>
      <c r="S672" s="36"/>
      <c r="T672" s="36"/>
      <c r="U672" s="36"/>
      <c r="V672" s="36"/>
    </row>
    <row r="673" spans="4:22">
      <c r="D673" s="36"/>
      <c r="E673" s="36"/>
      <c r="F673" s="36"/>
      <c r="G673" s="36"/>
      <c r="H673" s="36"/>
      <c r="I673" s="36"/>
      <c r="J673" s="36"/>
      <c r="K673" s="36"/>
      <c r="L673" s="36"/>
      <c r="M673" s="36"/>
      <c r="N673" s="36"/>
      <c r="O673" s="36"/>
      <c r="P673" s="36"/>
      <c r="Q673" s="36"/>
      <c r="R673" s="36"/>
      <c r="S673" s="36"/>
      <c r="T673" s="36"/>
      <c r="U673" s="36"/>
      <c r="V673" s="36"/>
    </row>
    <row r="674" spans="4:22">
      <c r="D674" s="36"/>
      <c r="E674" s="36"/>
      <c r="F674" s="36"/>
      <c r="G674" s="36"/>
      <c r="H674" s="36"/>
      <c r="I674" s="36"/>
      <c r="J674" s="36"/>
      <c r="K674" s="36"/>
      <c r="L674" s="36"/>
      <c r="M674" s="36"/>
      <c r="N674" s="36"/>
      <c r="O674" s="36"/>
      <c r="P674" s="36"/>
      <c r="Q674" s="36"/>
      <c r="R674" s="36"/>
      <c r="S674" s="36"/>
      <c r="T674" s="36"/>
      <c r="U674" s="36"/>
      <c r="V674" s="36"/>
    </row>
    <row r="675" spans="4:22">
      <c r="D675" s="36"/>
      <c r="E675" s="36"/>
      <c r="F675" s="36"/>
      <c r="G675" s="36"/>
      <c r="H675" s="36"/>
      <c r="I675" s="36"/>
      <c r="J675" s="36"/>
      <c r="K675" s="36"/>
      <c r="L675" s="36"/>
      <c r="M675" s="36"/>
      <c r="N675" s="36"/>
      <c r="O675" s="36"/>
      <c r="P675" s="36"/>
      <c r="Q675" s="36"/>
      <c r="R675" s="36"/>
      <c r="S675" s="36"/>
      <c r="T675" s="36"/>
      <c r="U675" s="36"/>
      <c r="V675" s="36"/>
    </row>
    <row r="676" spans="4:22">
      <c r="D676" s="36"/>
      <c r="E676" s="36"/>
      <c r="F676" s="36"/>
      <c r="G676" s="36"/>
      <c r="H676" s="36"/>
      <c r="I676" s="36"/>
      <c r="J676" s="36"/>
      <c r="K676" s="36"/>
      <c r="L676" s="36"/>
      <c r="M676" s="36"/>
      <c r="N676" s="36"/>
      <c r="O676" s="36"/>
      <c r="P676" s="36"/>
      <c r="Q676" s="36"/>
      <c r="R676" s="36"/>
      <c r="S676" s="36"/>
      <c r="T676" s="36"/>
      <c r="U676" s="36"/>
      <c r="V676" s="36"/>
    </row>
    <row r="677" spans="4:22">
      <c r="D677" s="36"/>
      <c r="E677" s="36"/>
      <c r="F677" s="36"/>
      <c r="G677" s="36"/>
      <c r="H677" s="36"/>
      <c r="I677" s="36"/>
      <c r="J677" s="36"/>
      <c r="K677" s="36"/>
      <c r="L677" s="36"/>
      <c r="M677" s="36"/>
      <c r="N677" s="36"/>
      <c r="O677" s="36"/>
      <c r="P677" s="36"/>
      <c r="Q677" s="36"/>
      <c r="R677" s="36"/>
      <c r="S677" s="36"/>
      <c r="T677" s="36"/>
      <c r="U677" s="36"/>
      <c r="V677" s="36"/>
    </row>
    <row r="678" spans="4:22">
      <c r="D678" s="36"/>
      <c r="E678" s="36"/>
      <c r="F678" s="36"/>
      <c r="G678" s="36"/>
      <c r="H678" s="36"/>
      <c r="I678" s="36"/>
      <c r="J678" s="36"/>
      <c r="K678" s="36"/>
      <c r="L678" s="36"/>
      <c r="M678" s="36"/>
      <c r="N678" s="36"/>
      <c r="O678" s="36"/>
      <c r="P678" s="36"/>
      <c r="Q678" s="36"/>
      <c r="R678" s="36"/>
      <c r="S678" s="36"/>
      <c r="T678" s="36"/>
      <c r="U678" s="36"/>
      <c r="V678" s="36"/>
    </row>
    <row r="679" spans="4:22">
      <c r="D679" s="36"/>
      <c r="E679" s="36"/>
      <c r="F679" s="36"/>
      <c r="G679" s="36"/>
      <c r="H679" s="36"/>
      <c r="I679" s="36"/>
      <c r="J679" s="36"/>
      <c r="K679" s="36"/>
      <c r="L679" s="36"/>
      <c r="M679" s="36"/>
      <c r="N679" s="36"/>
      <c r="O679" s="36"/>
      <c r="P679" s="36"/>
      <c r="Q679" s="36"/>
      <c r="R679" s="36"/>
      <c r="S679" s="36"/>
      <c r="T679" s="36"/>
      <c r="U679" s="36"/>
      <c r="V679" s="36"/>
    </row>
    <row r="680" spans="4:22">
      <c r="D680" s="36"/>
      <c r="E680" s="36"/>
      <c r="F680" s="36"/>
      <c r="G680" s="36"/>
      <c r="H680" s="36"/>
      <c r="I680" s="36"/>
      <c r="J680" s="36"/>
      <c r="K680" s="36"/>
      <c r="L680" s="36"/>
      <c r="M680" s="36"/>
      <c r="N680" s="36"/>
      <c r="O680" s="36"/>
      <c r="P680" s="36"/>
      <c r="Q680" s="36"/>
      <c r="R680" s="36"/>
      <c r="S680" s="36"/>
      <c r="T680" s="36"/>
      <c r="U680" s="36"/>
      <c r="V680" s="36"/>
    </row>
    <row r="681" spans="4:22">
      <c r="D681" s="36"/>
      <c r="E681" s="36"/>
      <c r="F681" s="36"/>
      <c r="G681" s="36"/>
      <c r="H681" s="36"/>
      <c r="I681" s="36"/>
      <c r="J681" s="36"/>
      <c r="K681" s="36"/>
      <c r="L681" s="36"/>
      <c r="M681" s="36"/>
      <c r="N681" s="36"/>
      <c r="O681" s="36"/>
      <c r="P681" s="36"/>
      <c r="Q681" s="36"/>
      <c r="R681" s="36"/>
      <c r="S681" s="36"/>
      <c r="T681" s="36"/>
      <c r="U681" s="36"/>
      <c r="V681" s="36"/>
    </row>
    <row r="682" spans="4:22">
      <c r="D682" s="36"/>
      <c r="E682" s="36"/>
      <c r="F682" s="36"/>
      <c r="G682" s="36"/>
      <c r="H682" s="36"/>
      <c r="I682" s="36"/>
      <c r="J682" s="36"/>
      <c r="K682" s="36"/>
      <c r="L682" s="36"/>
      <c r="M682" s="36"/>
      <c r="N682" s="36"/>
      <c r="O682" s="36"/>
      <c r="P682" s="36"/>
      <c r="Q682" s="36"/>
      <c r="R682" s="36"/>
      <c r="S682" s="36"/>
      <c r="T682" s="36"/>
      <c r="U682" s="36"/>
      <c r="V682" s="36"/>
    </row>
    <row r="683" spans="4:22">
      <c r="D683" s="36"/>
      <c r="E683" s="36"/>
      <c r="F683" s="36"/>
      <c r="G683" s="36"/>
      <c r="H683" s="36"/>
      <c r="I683" s="36"/>
      <c r="J683" s="36"/>
      <c r="K683" s="36"/>
      <c r="L683" s="36"/>
      <c r="M683" s="36"/>
      <c r="N683" s="36"/>
      <c r="O683" s="36"/>
      <c r="P683" s="36"/>
      <c r="Q683" s="36"/>
      <c r="R683" s="36"/>
      <c r="S683" s="36"/>
      <c r="T683" s="36"/>
      <c r="U683" s="36"/>
      <c r="V683" s="36"/>
    </row>
    <row r="684" spans="4:22">
      <c r="D684" s="36"/>
      <c r="E684" s="36"/>
      <c r="F684" s="36"/>
      <c r="G684" s="36"/>
      <c r="H684" s="36"/>
      <c r="I684" s="36"/>
      <c r="J684" s="36"/>
      <c r="K684" s="36"/>
      <c r="L684" s="36"/>
      <c r="M684" s="36"/>
      <c r="N684" s="36"/>
      <c r="O684" s="36"/>
      <c r="P684" s="36"/>
      <c r="Q684" s="36"/>
      <c r="R684" s="36"/>
      <c r="S684" s="36"/>
      <c r="T684" s="36"/>
      <c r="U684" s="36"/>
      <c r="V684" s="36"/>
    </row>
    <row r="685" spans="4:22">
      <c r="D685" s="36"/>
      <c r="E685" s="36"/>
      <c r="F685" s="36"/>
      <c r="G685" s="36"/>
      <c r="H685" s="36"/>
      <c r="I685" s="36"/>
      <c r="J685" s="36"/>
      <c r="K685" s="36"/>
      <c r="L685" s="36"/>
      <c r="M685" s="36"/>
      <c r="N685" s="36"/>
      <c r="O685" s="36"/>
      <c r="P685" s="36"/>
      <c r="Q685" s="36"/>
      <c r="R685" s="36"/>
      <c r="S685" s="36"/>
      <c r="T685" s="36"/>
      <c r="U685" s="36"/>
      <c r="V685" s="36"/>
    </row>
    <row r="686" spans="4:22">
      <c r="D686" s="36"/>
      <c r="E686" s="36"/>
      <c r="F686" s="36"/>
      <c r="G686" s="36"/>
      <c r="H686" s="36"/>
      <c r="I686" s="36"/>
      <c r="J686" s="36"/>
      <c r="K686" s="36"/>
      <c r="L686" s="36"/>
      <c r="M686" s="36"/>
      <c r="N686" s="36"/>
      <c r="O686" s="36"/>
      <c r="P686" s="36"/>
      <c r="Q686" s="36"/>
      <c r="R686" s="36"/>
      <c r="S686" s="36"/>
      <c r="T686" s="36"/>
      <c r="U686" s="36"/>
      <c r="V686" s="36"/>
    </row>
    <row r="687" spans="4:22">
      <c r="D687" s="36"/>
      <c r="E687" s="36"/>
      <c r="F687" s="36"/>
      <c r="G687" s="36"/>
      <c r="H687" s="36"/>
      <c r="I687" s="36"/>
      <c r="J687" s="36"/>
      <c r="K687" s="36"/>
      <c r="L687" s="36"/>
      <c r="M687" s="36"/>
      <c r="N687" s="36"/>
      <c r="O687" s="36"/>
      <c r="P687" s="36"/>
      <c r="Q687" s="36"/>
      <c r="R687" s="36"/>
      <c r="S687" s="36"/>
      <c r="T687" s="36"/>
      <c r="U687" s="36"/>
      <c r="V687" s="36"/>
    </row>
    <row r="688" spans="4:22">
      <c r="D688" s="36"/>
      <c r="E688" s="36"/>
      <c r="F688" s="36"/>
      <c r="G688" s="36"/>
      <c r="H688" s="36"/>
      <c r="I688" s="36"/>
      <c r="J688" s="36"/>
      <c r="K688" s="36"/>
      <c r="L688" s="36"/>
      <c r="M688" s="36"/>
      <c r="N688" s="36"/>
      <c r="O688" s="36"/>
      <c r="P688" s="36"/>
      <c r="Q688" s="36"/>
      <c r="R688" s="36"/>
      <c r="S688" s="36"/>
      <c r="T688" s="36"/>
      <c r="U688" s="36"/>
      <c r="V688" s="36"/>
    </row>
    <row r="689" spans="4:22">
      <c r="D689" s="36"/>
      <c r="E689" s="36"/>
      <c r="F689" s="36"/>
      <c r="G689" s="36"/>
      <c r="H689" s="36"/>
      <c r="I689" s="36"/>
      <c r="J689" s="36"/>
      <c r="K689" s="36"/>
      <c r="L689" s="36"/>
      <c r="M689" s="36"/>
      <c r="N689" s="36"/>
      <c r="O689" s="36"/>
      <c r="P689" s="36"/>
      <c r="Q689" s="36"/>
      <c r="R689" s="36"/>
      <c r="S689" s="36"/>
      <c r="T689" s="36"/>
      <c r="U689" s="36"/>
      <c r="V689" s="36"/>
    </row>
    <row r="690" spans="4:22">
      <c r="D690" s="36"/>
      <c r="E690" s="36"/>
      <c r="F690" s="36"/>
      <c r="G690" s="36"/>
      <c r="H690" s="36"/>
      <c r="I690" s="36"/>
      <c r="J690" s="36"/>
      <c r="K690" s="36"/>
      <c r="L690" s="36"/>
      <c r="M690" s="36"/>
      <c r="N690" s="36"/>
      <c r="O690" s="36"/>
      <c r="P690" s="36"/>
      <c r="Q690" s="36"/>
      <c r="R690" s="36"/>
      <c r="S690" s="36"/>
      <c r="T690" s="36"/>
      <c r="U690" s="36"/>
      <c r="V690" s="36"/>
    </row>
    <row r="691" spans="4:22">
      <c r="D691" s="36"/>
      <c r="E691" s="36"/>
      <c r="F691" s="36"/>
      <c r="G691" s="36"/>
      <c r="H691" s="36"/>
      <c r="I691" s="36"/>
      <c r="J691" s="36"/>
      <c r="K691" s="36"/>
      <c r="L691" s="36"/>
      <c r="M691" s="36"/>
      <c r="N691" s="36"/>
      <c r="O691" s="36"/>
      <c r="P691" s="36"/>
      <c r="Q691" s="36"/>
      <c r="R691" s="36"/>
      <c r="S691" s="36"/>
      <c r="T691" s="36"/>
      <c r="U691" s="36"/>
      <c r="V691" s="36"/>
    </row>
    <row r="692" spans="4:22">
      <c r="D692" s="36"/>
      <c r="E692" s="36"/>
      <c r="F692" s="36"/>
      <c r="G692" s="36"/>
      <c r="H692" s="36"/>
      <c r="I692" s="36"/>
      <c r="J692" s="36"/>
      <c r="K692" s="36"/>
      <c r="L692" s="36"/>
      <c r="M692" s="36"/>
      <c r="N692" s="36"/>
      <c r="O692" s="36"/>
      <c r="P692" s="36"/>
      <c r="Q692" s="36"/>
      <c r="R692" s="36"/>
      <c r="S692" s="36"/>
      <c r="T692" s="36"/>
      <c r="U692" s="36"/>
      <c r="V692" s="36"/>
    </row>
    <row r="693" spans="4:22">
      <c r="D693" s="36"/>
      <c r="E693" s="36"/>
      <c r="F693" s="36"/>
      <c r="G693" s="36"/>
      <c r="H693" s="36"/>
      <c r="I693" s="36"/>
      <c r="J693" s="36"/>
      <c r="K693" s="36"/>
      <c r="L693" s="36"/>
      <c r="M693" s="36"/>
      <c r="N693" s="36"/>
      <c r="O693" s="36"/>
      <c r="P693" s="36"/>
      <c r="Q693" s="36"/>
      <c r="R693" s="36"/>
      <c r="S693" s="36"/>
      <c r="T693" s="36"/>
      <c r="U693" s="36"/>
      <c r="V693" s="36"/>
    </row>
    <row r="694" spans="4:22">
      <c r="D694" s="36"/>
      <c r="E694" s="36"/>
      <c r="F694" s="36"/>
      <c r="G694" s="36"/>
      <c r="H694" s="36"/>
      <c r="I694" s="36"/>
      <c r="J694" s="36"/>
      <c r="K694" s="36"/>
      <c r="L694" s="36"/>
      <c r="M694" s="36"/>
      <c r="N694" s="36"/>
      <c r="O694" s="36"/>
      <c r="P694" s="36"/>
      <c r="Q694" s="36"/>
      <c r="R694" s="36"/>
      <c r="S694" s="36"/>
      <c r="T694" s="36"/>
      <c r="U694" s="36"/>
      <c r="V694" s="36"/>
    </row>
    <row r="695" spans="4:22">
      <c r="D695" s="36"/>
      <c r="E695" s="36"/>
      <c r="F695" s="36"/>
      <c r="G695" s="36"/>
      <c r="H695" s="36"/>
      <c r="I695" s="36"/>
      <c r="J695" s="36"/>
      <c r="K695" s="36"/>
      <c r="L695" s="36"/>
      <c r="M695" s="36"/>
      <c r="N695" s="36"/>
      <c r="O695" s="36"/>
      <c r="P695" s="36"/>
      <c r="Q695" s="36"/>
      <c r="R695" s="36"/>
      <c r="S695" s="36"/>
      <c r="T695" s="36"/>
      <c r="U695" s="36"/>
      <c r="V695" s="36"/>
    </row>
    <row r="696" spans="4:22">
      <c r="D696" s="36"/>
      <c r="E696" s="36"/>
      <c r="F696" s="36"/>
      <c r="G696" s="36"/>
      <c r="H696" s="36"/>
      <c r="I696" s="36"/>
      <c r="J696" s="36"/>
      <c r="K696" s="36"/>
      <c r="L696" s="36"/>
      <c r="M696" s="36"/>
      <c r="N696" s="36"/>
      <c r="O696" s="36"/>
      <c r="P696" s="36"/>
      <c r="Q696" s="36"/>
      <c r="R696" s="36"/>
      <c r="S696" s="36"/>
      <c r="T696" s="36"/>
      <c r="U696" s="36"/>
      <c r="V696" s="36"/>
    </row>
    <row r="697" spans="4:22">
      <c r="D697" s="36"/>
      <c r="E697" s="36"/>
      <c r="F697" s="36"/>
      <c r="G697" s="36"/>
      <c r="H697" s="36"/>
      <c r="I697" s="36"/>
      <c r="J697" s="36"/>
      <c r="K697" s="36"/>
      <c r="L697" s="36"/>
      <c r="M697" s="36"/>
      <c r="N697" s="36"/>
      <c r="O697" s="36"/>
      <c r="P697" s="36"/>
      <c r="Q697" s="36"/>
      <c r="R697" s="36"/>
      <c r="S697" s="36"/>
      <c r="T697" s="36"/>
      <c r="U697" s="36"/>
      <c r="V697" s="36"/>
    </row>
    <row r="698" spans="4:22">
      <c r="D698" s="36"/>
      <c r="E698" s="36"/>
      <c r="F698" s="36"/>
      <c r="G698" s="36"/>
      <c r="H698" s="36"/>
      <c r="I698" s="36"/>
      <c r="J698" s="36"/>
      <c r="K698" s="36"/>
      <c r="L698" s="36"/>
      <c r="M698" s="36"/>
      <c r="N698" s="36"/>
      <c r="O698" s="36"/>
      <c r="P698" s="36"/>
      <c r="Q698" s="36"/>
      <c r="R698" s="36"/>
      <c r="S698" s="36"/>
      <c r="T698" s="36"/>
      <c r="U698" s="36"/>
      <c r="V698" s="36"/>
    </row>
    <row r="699" spans="4:22">
      <c r="D699" s="36"/>
      <c r="E699" s="36"/>
      <c r="F699" s="36"/>
      <c r="G699" s="36"/>
      <c r="H699" s="36"/>
      <c r="I699" s="36"/>
      <c r="J699" s="36"/>
      <c r="K699" s="36"/>
      <c r="L699" s="36"/>
      <c r="M699" s="36"/>
      <c r="N699" s="36"/>
      <c r="O699" s="36"/>
      <c r="P699" s="36"/>
      <c r="Q699" s="36"/>
      <c r="R699" s="36"/>
      <c r="S699" s="36"/>
      <c r="T699" s="36"/>
      <c r="U699" s="36"/>
      <c r="V699" s="36"/>
    </row>
    <row r="700" spans="4:22">
      <c r="D700" s="36"/>
      <c r="E700" s="36"/>
      <c r="F700" s="36"/>
      <c r="G700" s="36"/>
      <c r="H700" s="36"/>
      <c r="I700" s="36"/>
      <c r="J700" s="36"/>
      <c r="K700" s="36"/>
      <c r="L700" s="36"/>
      <c r="M700" s="36"/>
      <c r="N700" s="36"/>
      <c r="O700" s="36"/>
      <c r="P700" s="36"/>
      <c r="Q700" s="36"/>
      <c r="R700" s="36"/>
      <c r="S700" s="36"/>
      <c r="T700" s="36"/>
      <c r="U700" s="36"/>
      <c r="V700" s="36"/>
    </row>
    <row r="701" spans="4:22">
      <c r="D701" s="36"/>
      <c r="E701" s="36"/>
      <c r="F701" s="36"/>
      <c r="G701" s="36"/>
      <c r="H701" s="36"/>
      <c r="I701" s="36"/>
      <c r="J701" s="36"/>
      <c r="K701" s="36"/>
      <c r="L701" s="36"/>
      <c r="M701" s="36"/>
      <c r="N701" s="36"/>
      <c r="O701" s="36"/>
      <c r="P701" s="36"/>
      <c r="Q701" s="36"/>
      <c r="R701" s="36"/>
      <c r="S701" s="36"/>
      <c r="T701" s="36"/>
      <c r="U701" s="36"/>
      <c r="V701" s="36"/>
    </row>
    <row r="702" spans="4:22">
      <c r="D702" s="36"/>
      <c r="E702" s="36"/>
      <c r="F702" s="36"/>
      <c r="G702" s="36"/>
      <c r="H702" s="36"/>
      <c r="I702" s="36"/>
      <c r="J702" s="36"/>
      <c r="K702" s="36"/>
      <c r="L702" s="36"/>
      <c r="M702" s="36"/>
      <c r="N702" s="36"/>
      <c r="O702" s="36"/>
      <c r="P702" s="36"/>
      <c r="Q702" s="36"/>
      <c r="R702" s="36"/>
      <c r="S702" s="36"/>
      <c r="T702" s="36"/>
      <c r="U702" s="36"/>
      <c r="V702" s="36"/>
    </row>
    <row r="703" spans="4:22">
      <c r="D703" s="36"/>
      <c r="E703" s="36"/>
      <c r="F703" s="36"/>
      <c r="G703" s="36"/>
      <c r="H703" s="36"/>
      <c r="I703" s="36"/>
      <c r="J703" s="36"/>
      <c r="K703" s="36"/>
      <c r="L703" s="36"/>
      <c r="M703" s="36"/>
      <c r="N703" s="36"/>
      <c r="O703" s="36"/>
      <c r="P703" s="36"/>
      <c r="Q703" s="36"/>
      <c r="R703" s="36"/>
      <c r="S703" s="36"/>
      <c r="T703" s="36"/>
      <c r="U703" s="36"/>
      <c r="V703" s="36"/>
    </row>
    <row r="704" spans="4:22">
      <c r="D704" s="36"/>
      <c r="E704" s="36"/>
      <c r="F704" s="36"/>
      <c r="G704" s="36"/>
      <c r="H704" s="36"/>
      <c r="I704" s="36"/>
      <c r="J704" s="36"/>
      <c r="K704" s="36"/>
      <c r="L704" s="36"/>
      <c r="M704" s="36"/>
      <c r="N704" s="36"/>
      <c r="O704" s="36"/>
      <c r="P704" s="36"/>
      <c r="Q704" s="36"/>
      <c r="R704" s="36"/>
      <c r="S704" s="36"/>
      <c r="T704" s="36"/>
      <c r="U704" s="36"/>
      <c r="V704" s="36"/>
    </row>
    <row r="705" spans="4:22">
      <c r="D705" s="36"/>
      <c r="E705" s="36"/>
      <c r="F705" s="36"/>
      <c r="G705" s="36"/>
      <c r="H705" s="36"/>
      <c r="I705" s="36"/>
      <c r="J705" s="36"/>
      <c r="K705" s="36"/>
      <c r="L705" s="36"/>
      <c r="M705" s="36"/>
      <c r="N705" s="36"/>
      <c r="O705" s="36"/>
      <c r="P705" s="36"/>
      <c r="Q705" s="36"/>
      <c r="R705" s="36"/>
      <c r="S705" s="36"/>
      <c r="T705" s="36"/>
      <c r="U705" s="36"/>
      <c r="V705" s="36"/>
    </row>
    <row r="706" spans="4:22">
      <c r="D706" s="36"/>
      <c r="E706" s="36"/>
      <c r="F706" s="36"/>
      <c r="G706" s="36"/>
      <c r="H706" s="36"/>
      <c r="I706" s="36"/>
      <c r="J706" s="36"/>
      <c r="K706" s="36"/>
      <c r="L706" s="36"/>
      <c r="M706" s="36"/>
      <c r="N706" s="36"/>
      <c r="O706" s="36"/>
      <c r="P706" s="36"/>
      <c r="Q706" s="36"/>
      <c r="R706" s="36"/>
      <c r="S706" s="36"/>
      <c r="T706" s="36"/>
      <c r="U706" s="36"/>
      <c r="V706" s="36"/>
    </row>
    <row r="707" spans="4:22">
      <c r="D707" s="36"/>
      <c r="E707" s="36"/>
      <c r="F707" s="36"/>
      <c r="G707" s="36"/>
      <c r="H707" s="36"/>
      <c r="I707" s="36"/>
      <c r="J707" s="36"/>
      <c r="K707" s="36"/>
      <c r="L707" s="36"/>
      <c r="M707" s="36"/>
      <c r="N707" s="36"/>
      <c r="O707" s="36"/>
      <c r="P707" s="36"/>
      <c r="Q707" s="36"/>
      <c r="R707" s="36"/>
      <c r="S707" s="36"/>
      <c r="T707" s="36"/>
      <c r="U707" s="36"/>
      <c r="V707" s="36"/>
    </row>
    <row r="708" spans="4:22">
      <c r="D708" s="36"/>
      <c r="E708" s="36"/>
      <c r="F708" s="36"/>
      <c r="G708" s="36"/>
      <c r="H708" s="36"/>
      <c r="I708" s="36"/>
      <c r="J708" s="36"/>
      <c r="K708" s="36"/>
      <c r="L708" s="36"/>
      <c r="M708" s="36"/>
      <c r="N708" s="36"/>
      <c r="O708" s="36"/>
      <c r="P708" s="36"/>
      <c r="Q708" s="36"/>
      <c r="R708" s="36"/>
      <c r="S708" s="36"/>
      <c r="T708" s="36"/>
      <c r="U708" s="36"/>
      <c r="V708" s="36"/>
    </row>
    <row r="709" spans="4:22">
      <c r="D709" s="36"/>
      <c r="E709" s="36"/>
      <c r="F709" s="36"/>
      <c r="G709" s="36"/>
      <c r="H709" s="36"/>
      <c r="I709" s="36"/>
      <c r="J709" s="36"/>
      <c r="K709" s="36"/>
      <c r="L709" s="36"/>
      <c r="M709" s="36"/>
      <c r="N709" s="36"/>
      <c r="O709" s="36"/>
      <c r="P709" s="36"/>
      <c r="Q709" s="36"/>
      <c r="R709" s="36"/>
      <c r="S709" s="36"/>
      <c r="T709" s="36"/>
      <c r="U709" s="36"/>
      <c r="V709" s="36"/>
    </row>
    <row r="710" spans="4:22">
      <c r="D710" s="36"/>
      <c r="E710" s="36"/>
      <c r="F710" s="36"/>
      <c r="G710" s="36"/>
      <c r="H710" s="36"/>
      <c r="I710" s="36"/>
      <c r="J710" s="36"/>
      <c r="K710" s="36"/>
      <c r="L710" s="36"/>
      <c r="M710" s="36"/>
      <c r="N710" s="36"/>
      <c r="O710" s="36"/>
      <c r="P710" s="36"/>
      <c r="Q710" s="36"/>
      <c r="R710" s="36"/>
      <c r="S710" s="36"/>
      <c r="T710" s="36"/>
      <c r="U710" s="36"/>
      <c r="V710" s="36"/>
    </row>
    <row r="711" spans="4:22">
      <c r="D711" s="36"/>
      <c r="E711" s="36"/>
      <c r="F711" s="36"/>
      <c r="G711" s="36"/>
      <c r="H711" s="36"/>
      <c r="I711" s="36"/>
      <c r="J711" s="36"/>
      <c r="K711" s="36"/>
      <c r="L711" s="36"/>
      <c r="M711" s="36"/>
      <c r="N711" s="36"/>
      <c r="O711" s="36"/>
      <c r="P711" s="36"/>
      <c r="Q711" s="36"/>
      <c r="R711" s="36"/>
      <c r="S711" s="36"/>
      <c r="T711" s="36"/>
      <c r="U711" s="36"/>
      <c r="V711" s="36"/>
    </row>
    <row r="712" spans="4:22">
      <c r="D712" s="36"/>
      <c r="E712" s="36"/>
      <c r="F712" s="36"/>
      <c r="G712" s="36"/>
      <c r="H712" s="36"/>
      <c r="I712" s="36"/>
      <c r="J712" s="36"/>
      <c r="K712" s="36"/>
      <c r="L712" s="36"/>
      <c r="M712" s="36"/>
      <c r="N712" s="36"/>
      <c r="O712" s="36"/>
      <c r="P712" s="36"/>
      <c r="Q712" s="36"/>
      <c r="R712" s="36"/>
      <c r="S712" s="36"/>
      <c r="T712" s="36"/>
      <c r="U712" s="36"/>
      <c r="V712" s="36"/>
    </row>
    <row r="713" spans="4:22">
      <c r="D713" s="36"/>
      <c r="E713" s="36"/>
      <c r="F713" s="36"/>
      <c r="G713" s="36"/>
      <c r="H713" s="36"/>
      <c r="I713" s="36"/>
      <c r="J713" s="36"/>
      <c r="K713" s="36"/>
      <c r="L713" s="36"/>
      <c r="M713" s="36"/>
      <c r="N713" s="36"/>
      <c r="O713" s="36"/>
      <c r="P713" s="36"/>
      <c r="Q713" s="36"/>
      <c r="R713" s="36"/>
      <c r="S713" s="36"/>
      <c r="T713" s="36"/>
      <c r="U713" s="36"/>
      <c r="V713" s="36"/>
    </row>
    <row r="714" spans="4:22">
      <c r="D714" s="36"/>
      <c r="E714" s="36"/>
      <c r="F714" s="36"/>
      <c r="G714" s="36"/>
      <c r="H714" s="36"/>
      <c r="I714" s="36"/>
      <c r="J714" s="36"/>
      <c r="K714" s="36"/>
      <c r="L714" s="36"/>
      <c r="M714" s="36"/>
      <c r="N714" s="36"/>
      <c r="O714" s="36"/>
      <c r="P714" s="36"/>
      <c r="Q714" s="36"/>
      <c r="R714" s="36"/>
      <c r="S714" s="36"/>
      <c r="T714" s="36"/>
      <c r="U714" s="36"/>
      <c r="V714" s="36"/>
    </row>
    <row r="715" spans="4:22">
      <c r="D715" s="36"/>
      <c r="E715" s="36"/>
      <c r="F715" s="36"/>
      <c r="G715" s="36"/>
      <c r="H715" s="36"/>
      <c r="I715" s="36"/>
      <c r="J715" s="36"/>
      <c r="K715" s="36"/>
      <c r="L715" s="36"/>
      <c r="M715" s="36"/>
      <c r="N715" s="36"/>
      <c r="O715" s="36"/>
      <c r="P715" s="36"/>
      <c r="Q715" s="36"/>
      <c r="R715" s="36"/>
      <c r="S715" s="36"/>
      <c r="T715" s="36"/>
      <c r="U715" s="36"/>
      <c r="V715" s="36"/>
    </row>
    <row r="716" spans="4:22">
      <c r="D716" s="36"/>
      <c r="E716" s="36"/>
      <c r="F716" s="36"/>
      <c r="G716" s="36"/>
      <c r="H716" s="36"/>
      <c r="I716" s="36"/>
      <c r="J716" s="36"/>
      <c r="K716" s="36"/>
      <c r="L716" s="36"/>
      <c r="M716" s="36"/>
      <c r="N716" s="36"/>
      <c r="O716" s="36"/>
      <c r="P716" s="36"/>
      <c r="Q716" s="36"/>
      <c r="R716" s="36"/>
      <c r="S716" s="36"/>
      <c r="T716" s="36"/>
      <c r="U716" s="36"/>
      <c r="V716" s="36"/>
    </row>
    <row r="717" spans="4:22">
      <c r="D717" s="36"/>
      <c r="E717" s="36"/>
      <c r="F717" s="36"/>
      <c r="G717" s="36"/>
      <c r="H717" s="36"/>
      <c r="I717" s="36"/>
      <c r="J717" s="36"/>
      <c r="K717" s="36"/>
      <c r="L717" s="36"/>
      <c r="M717" s="36"/>
      <c r="N717" s="36"/>
      <c r="O717" s="36"/>
      <c r="P717" s="36"/>
      <c r="Q717" s="36"/>
      <c r="R717" s="36"/>
      <c r="S717" s="36"/>
      <c r="T717" s="36"/>
      <c r="U717" s="36"/>
      <c r="V717" s="36"/>
    </row>
    <row r="718" spans="4:22">
      <c r="D718" s="36"/>
      <c r="E718" s="36"/>
      <c r="F718" s="36"/>
      <c r="G718" s="36"/>
      <c r="H718" s="36"/>
      <c r="I718" s="36"/>
      <c r="J718" s="36"/>
      <c r="K718" s="36"/>
      <c r="L718" s="36"/>
      <c r="M718" s="36"/>
      <c r="N718" s="36"/>
      <c r="O718" s="36"/>
      <c r="P718" s="36"/>
      <c r="Q718" s="36"/>
      <c r="R718" s="36"/>
      <c r="S718" s="36"/>
      <c r="T718" s="36"/>
      <c r="U718" s="36"/>
      <c r="V718" s="36"/>
    </row>
    <row r="719" spans="4:22">
      <c r="D719" s="36"/>
      <c r="E719" s="36"/>
      <c r="F719" s="36"/>
      <c r="G719" s="36"/>
      <c r="H719" s="36"/>
      <c r="I719" s="36"/>
      <c r="J719" s="36"/>
      <c r="K719" s="36"/>
      <c r="L719" s="36"/>
      <c r="M719" s="36"/>
      <c r="N719" s="36"/>
      <c r="O719" s="36"/>
      <c r="P719" s="36"/>
      <c r="Q719" s="36"/>
      <c r="R719" s="36"/>
      <c r="S719" s="36"/>
      <c r="T719" s="36"/>
      <c r="U719" s="36"/>
      <c r="V719" s="36"/>
    </row>
    <row r="720" spans="4:22">
      <c r="D720" s="36"/>
      <c r="E720" s="36"/>
      <c r="F720" s="36"/>
      <c r="G720" s="36"/>
      <c r="H720" s="36"/>
      <c r="I720" s="36"/>
      <c r="J720" s="36"/>
      <c r="K720" s="36"/>
      <c r="L720" s="36"/>
      <c r="M720" s="36"/>
      <c r="N720" s="36"/>
      <c r="O720" s="36"/>
      <c r="P720" s="36"/>
      <c r="Q720" s="36"/>
      <c r="R720" s="36"/>
      <c r="S720" s="36"/>
      <c r="T720" s="36"/>
      <c r="U720" s="36"/>
      <c r="V720" s="36"/>
    </row>
    <row r="721" spans="4:22">
      <c r="D721" s="36"/>
      <c r="E721" s="36"/>
      <c r="F721" s="36"/>
      <c r="G721" s="36"/>
      <c r="H721" s="36"/>
      <c r="I721" s="36"/>
      <c r="J721" s="36"/>
      <c r="K721" s="36"/>
      <c r="L721" s="36"/>
      <c r="M721" s="36"/>
      <c r="N721" s="36"/>
      <c r="O721" s="36"/>
      <c r="P721" s="36"/>
      <c r="Q721" s="36"/>
      <c r="R721" s="36"/>
      <c r="S721" s="36"/>
      <c r="T721" s="36"/>
      <c r="U721" s="36"/>
      <c r="V721" s="36"/>
    </row>
    <row r="722" spans="4:22">
      <c r="D722" s="36"/>
      <c r="E722" s="36"/>
      <c r="F722" s="36"/>
      <c r="G722" s="36"/>
      <c r="H722" s="36"/>
      <c r="I722" s="36"/>
      <c r="J722" s="36"/>
      <c r="K722" s="36"/>
      <c r="L722" s="36"/>
      <c r="M722" s="36"/>
      <c r="N722" s="36"/>
      <c r="O722" s="36"/>
      <c r="P722" s="36"/>
      <c r="Q722" s="36"/>
      <c r="R722" s="36"/>
      <c r="S722" s="36"/>
      <c r="T722" s="36"/>
      <c r="U722" s="36"/>
      <c r="V722" s="36"/>
    </row>
    <row r="723" spans="4:22">
      <c r="D723" s="36"/>
      <c r="E723" s="36"/>
      <c r="F723" s="36"/>
      <c r="G723" s="36"/>
      <c r="H723" s="36"/>
      <c r="I723" s="36"/>
      <c r="J723" s="36"/>
      <c r="K723" s="36"/>
      <c r="L723" s="36"/>
      <c r="M723" s="36"/>
      <c r="N723" s="36"/>
      <c r="O723" s="36"/>
      <c r="P723" s="36"/>
      <c r="Q723" s="36"/>
      <c r="R723" s="36"/>
      <c r="S723" s="36"/>
      <c r="T723" s="36"/>
      <c r="U723" s="36"/>
      <c r="V723" s="36"/>
    </row>
    <row r="724" spans="4:22">
      <c r="D724" s="36"/>
      <c r="E724" s="36"/>
      <c r="F724" s="36"/>
      <c r="G724" s="36"/>
      <c r="H724" s="36"/>
      <c r="I724" s="36"/>
      <c r="J724" s="36"/>
      <c r="K724" s="36"/>
      <c r="L724" s="36"/>
      <c r="M724" s="36"/>
      <c r="N724" s="36"/>
      <c r="O724" s="36"/>
      <c r="P724" s="36"/>
      <c r="Q724" s="36"/>
      <c r="R724" s="36"/>
      <c r="S724" s="36"/>
      <c r="T724" s="36"/>
      <c r="U724" s="36"/>
      <c r="V724" s="36"/>
    </row>
    <row r="725" spans="4:22">
      <c r="D725" s="36"/>
      <c r="E725" s="36"/>
      <c r="F725" s="36"/>
      <c r="G725" s="36"/>
      <c r="H725" s="36"/>
      <c r="I725" s="36"/>
      <c r="J725" s="36"/>
      <c r="K725" s="36"/>
      <c r="L725" s="36"/>
      <c r="M725" s="36"/>
      <c r="N725" s="36"/>
      <c r="O725" s="36"/>
      <c r="P725" s="36"/>
      <c r="Q725" s="36"/>
      <c r="R725" s="36"/>
      <c r="S725" s="36"/>
      <c r="T725" s="36"/>
      <c r="U725" s="36"/>
      <c r="V725" s="36"/>
    </row>
    <row r="726" spans="4:22">
      <c r="D726" s="36"/>
      <c r="E726" s="36"/>
      <c r="F726" s="36"/>
      <c r="G726" s="36"/>
      <c r="H726" s="36"/>
      <c r="I726" s="36"/>
      <c r="J726" s="36"/>
      <c r="K726" s="36"/>
      <c r="L726" s="36"/>
      <c r="M726" s="36"/>
      <c r="N726" s="36"/>
      <c r="O726" s="36"/>
      <c r="P726" s="36"/>
      <c r="Q726" s="36"/>
      <c r="R726" s="36"/>
      <c r="S726" s="36"/>
      <c r="T726" s="36"/>
      <c r="U726" s="36"/>
      <c r="V726" s="36"/>
    </row>
    <row r="727" spans="4:22">
      <c r="D727" s="36"/>
      <c r="E727" s="36"/>
      <c r="F727" s="36"/>
      <c r="G727" s="36"/>
      <c r="H727" s="36"/>
      <c r="I727" s="36"/>
      <c r="J727" s="36"/>
      <c r="K727" s="36"/>
      <c r="L727" s="36"/>
      <c r="M727" s="36"/>
      <c r="N727" s="36"/>
      <c r="O727" s="36"/>
      <c r="P727" s="36"/>
      <c r="Q727" s="36"/>
      <c r="R727" s="36"/>
      <c r="S727" s="36"/>
      <c r="T727" s="36"/>
      <c r="U727" s="36"/>
      <c r="V727" s="36"/>
    </row>
    <row r="728" spans="4:22">
      <c r="D728" s="36"/>
      <c r="E728" s="36"/>
      <c r="F728" s="36"/>
      <c r="G728" s="36"/>
      <c r="H728" s="36"/>
      <c r="I728" s="36"/>
      <c r="J728" s="36"/>
      <c r="K728" s="36"/>
      <c r="L728" s="36"/>
      <c r="M728" s="36"/>
      <c r="N728" s="36"/>
      <c r="O728" s="36"/>
      <c r="P728" s="36"/>
      <c r="Q728" s="36"/>
      <c r="R728" s="36"/>
      <c r="S728" s="36"/>
      <c r="T728" s="36"/>
      <c r="U728" s="36"/>
      <c r="V728" s="36"/>
    </row>
    <row r="729" spans="4:22">
      <c r="D729" s="36"/>
      <c r="E729" s="36"/>
      <c r="F729" s="36"/>
      <c r="G729" s="36"/>
      <c r="H729" s="36"/>
      <c r="I729" s="36"/>
      <c r="J729" s="36"/>
      <c r="K729" s="36"/>
      <c r="L729" s="36"/>
      <c r="M729" s="36"/>
      <c r="N729" s="36"/>
      <c r="O729" s="36"/>
      <c r="P729" s="36"/>
      <c r="Q729" s="36"/>
      <c r="R729" s="36"/>
      <c r="S729" s="36"/>
      <c r="T729" s="36"/>
      <c r="U729" s="36"/>
      <c r="V729" s="36"/>
    </row>
    <row r="730" spans="4:22">
      <c r="D730" s="36"/>
      <c r="E730" s="36"/>
      <c r="F730" s="36"/>
      <c r="G730" s="36"/>
      <c r="H730" s="36"/>
      <c r="I730" s="36"/>
      <c r="J730" s="36"/>
      <c r="K730" s="36"/>
      <c r="L730" s="36"/>
      <c r="M730" s="36"/>
      <c r="N730" s="36"/>
      <c r="O730" s="36"/>
      <c r="P730" s="36"/>
      <c r="Q730" s="36"/>
      <c r="R730" s="36"/>
      <c r="S730" s="36"/>
      <c r="T730" s="36"/>
      <c r="U730" s="36"/>
      <c r="V730" s="36"/>
    </row>
    <row r="731" spans="4:22">
      <c r="D731" s="36"/>
      <c r="E731" s="36"/>
      <c r="F731" s="36"/>
      <c r="G731" s="36"/>
      <c r="H731" s="36"/>
      <c r="I731" s="36"/>
      <c r="J731" s="36"/>
      <c r="K731" s="36"/>
      <c r="L731" s="36"/>
      <c r="M731" s="36"/>
      <c r="N731" s="36"/>
      <c r="O731" s="36"/>
      <c r="P731" s="36"/>
      <c r="Q731" s="36"/>
      <c r="R731" s="36"/>
      <c r="S731" s="36"/>
      <c r="T731" s="36"/>
      <c r="U731" s="36"/>
      <c r="V731" s="36"/>
    </row>
    <row r="732" spans="4:22">
      <c r="D732" s="36"/>
      <c r="E732" s="36"/>
      <c r="F732" s="36"/>
      <c r="G732" s="36"/>
      <c r="H732" s="36"/>
      <c r="I732" s="36"/>
      <c r="J732" s="36"/>
      <c r="K732" s="36"/>
      <c r="L732" s="36"/>
      <c r="M732" s="36"/>
      <c r="N732" s="36"/>
      <c r="O732" s="36"/>
      <c r="P732" s="36"/>
      <c r="Q732" s="36"/>
      <c r="R732" s="36"/>
      <c r="S732" s="36"/>
      <c r="T732" s="36"/>
      <c r="U732" s="36"/>
      <c r="V732" s="36"/>
    </row>
    <row r="733" spans="4:22">
      <c r="D733" s="36"/>
      <c r="E733" s="36"/>
      <c r="F733" s="36"/>
      <c r="G733" s="36"/>
      <c r="H733" s="36"/>
      <c r="I733" s="36"/>
      <c r="J733" s="36"/>
      <c r="K733" s="36"/>
      <c r="L733" s="36"/>
      <c r="M733" s="36"/>
      <c r="N733" s="36"/>
      <c r="O733" s="36"/>
      <c r="P733" s="36"/>
      <c r="Q733" s="36"/>
      <c r="R733" s="36"/>
      <c r="S733" s="36"/>
      <c r="T733" s="36"/>
      <c r="U733" s="36"/>
      <c r="V733" s="36"/>
    </row>
    <row r="734" spans="4:22">
      <c r="D734" s="36"/>
      <c r="E734" s="36"/>
      <c r="F734" s="36"/>
      <c r="G734" s="36"/>
      <c r="H734" s="36"/>
      <c r="I734" s="36"/>
      <c r="J734" s="36"/>
      <c r="K734" s="36"/>
      <c r="L734" s="36"/>
      <c r="M734" s="36"/>
      <c r="N734" s="36"/>
      <c r="O734" s="36"/>
      <c r="P734" s="36"/>
      <c r="Q734" s="36"/>
      <c r="R734" s="36"/>
      <c r="S734" s="36"/>
      <c r="T734" s="36"/>
      <c r="U734" s="36"/>
      <c r="V734" s="36"/>
    </row>
    <row r="735" spans="4:22">
      <c r="D735" s="36"/>
      <c r="E735" s="36"/>
      <c r="F735" s="36"/>
      <c r="G735" s="36"/>
      <c r="H735" s="36"/>
      <c r="I735" s="36"/>
      <c r="J735" s="36"/>
      <c r="K735" s="36"/>
      <c r="L735" s="36"/>
      <c r="M735" s="36"/>
      <c r="N735" s="36"/>
      <c r="O735" s="36"/>
      <c r="P735" s="36"/>
      <c r="Q735" s="36"/>
      <c r="R735" s="36"/>
      <c r="S735" s="36"/>
      <c r="T735" s="36"/>
      <c r="U735" s="36"/>
      <c r="V735" s="36"/>
    </row>
    <row r="736" spans="4:22">
      <c r="D736" s="36"/>
      <c r="E736" s="36"/>
      <c r="F736" s="36"/>
      <c r="G736" s="36"/>
      <c r="H736" s="36"/>
      <c r="I736" s="36"/>
      <c r="J736" s="36"/>
      <c r="K736" s="36"/>
      <c r="L736" s="36"/>
      <c r="M736" s="36"/>
      <c r="N736" s="36"/>
      <c r="O736" s="36"/>
      <c r="P736" s="36"/>
      <c r="Q736" s="36"/>
      <c r="R736" s="36"/>
      <c r="S736" s="36"/>
      <c r="T736" s="36"/>
      <c r="U736" s="36"/>
      <c r="V736" s="36"/>
    </row>
    <row r="737" spans="4:22">
      <c r="D737" s="36"/>
      <c r="E737" s="36"/>
      <c r="F737" s="36"/>
      <c r="G737" s="36"/>
      <c r="H737" s="36"/>
      <c r="I737" s="36"/>
      <c r="J737" s="36"/>
      <c r="K737" s="36"/>
      <c r="L737" s="36"/>
      <c r="M737" s="36"/>
      <c r="N737" s="36"/>
      <c r="O737" s="36"/>
      <c r="P737" s="36"/>
      <c r="Q737" s="36"/>
      <c r="R737" s="36"/>
      <c r="S737" s="36"/>
      <c r="T737" s="36"/>
      <c r="U737" s="36"/>
      <c r="V737" s="36"/>
    </row>
    <row r="738" spans="4:22">
      <c r="D738" s="36"/>
      <c r="E738" s="36"/>
      <c r="F738" s="36"/>
      <c r="G738" s="36"/>
      <c r="H738" s="36"/>
      <c r="I738" s="36"/>
      <c r="J738" s="36"/>
      <c r="K738" s="36"/>
      <c r="L738" s="36"/>
      <c r="M738" s="36"/>
      <c r="N738" s="36"/>
      <c r="O738" s="36"/>
      <c r="P738" s="36"/>
      <c r="Q738" s="36"/>
      <c r="R738" s="36"/>
      <c r="S738" s="36"/>
      <c r="T738" s="36"/>
      <c r="U738" s="36"/>
      <c r="V738" s="36"/>
    </row>
    <row r="739" spans="4:22">
      <c r="D739" s="36"/>
      <c r="E739" s="36"/>
      <c r="F739" s="36"/>
      <c r="G739" s="36"/>
      <c r="H739" s="36"/>
      <c r="I739" s="36"/>
      <c r="J739" s="36"/>
      <c r="K739" s="36"/>
      <c r="L739" s="36"/>
      <c r="M739" s="36"/>
      <c r="N739" s="36"/>
      <c r="O739" s="36"/>
      <c r="P739" s="36"/>
      <c r="Q739" s="36"/>
      <c r="R739" s="36"/>
      <c r="S739" s="36"/>
      <c r="T739" s="36"/>
      <c r="U739" s="36"/>
      <c r="V739" s="36"/>
    </row>
    <row r="740" spans="4:22">
      <c r="D740" s="36"/>
      <c r="E740" s="36"/>
      <c r="F740" s="36"/>
      <c r="G740" s="36"/>
      <c r="H740" s="36"/>
      <c r="I740" s="36"/>
      <c r="J740" s="36"/>
      <c r="K740" s="36"/>
      <c r="L740" s="36"/>
      <c r="M740" s="36"/>
      <c r="N740" s="36"/>
      <c r="O740" s="36"/>
      <c r="P740" s="36"/>
      <c r="Q740" s="36"/>
      <c r="R740" s="36"/>
      <c r="S740" s="36"/>
      <c r="T740" s="36"/>
      <c r="U740" s="36"/>
      <c r="V740" s="36"/>
    </row>
    <row r="741" spans="4:22">
      <c r="D741" s="36"/>
      <c r="E741" s="36"/>
      <c r="F741" s="36"/>
      <c r="G741" s="36"/>
      <c r="H741" s="36"/>
      <c r="I741" s="36"/>
      <c r="J741" s="36"/>
      <c r="K741" s="36"/>
      <c r="L741" s="36"/>
      <c r="M741" s="36"/>
      <c r="N741" s="36"/>
      <c r="O741" s="36"/>
      <c r="P741" s="36"/>
      <c r="Q741" s="36"/>
      <c r="R741" s="36"/>
      <c r="S741" s="36"/>
      <c r="T741" s="36"/>
      <c r="U741" s="36"/>
      <c r="V741" s="36"/>
    </row>
    <row r="742" spans="4:22">
      <c r="D742" s="36"/>
      <c r="E742" s="36"/>
      <c r="F742" s="36"/>
      <c r="G742" s="36"/>
      <c r="H742" s="36"/>
      <c r="I742" s="36"/>
      <c r="J742" s="36"/>
      <c r="K742" s="36"/>
      <c r="L742" s="36"/>
      <c r="M742" s="36"/>
      <c r="N742" s="36"/>
      <c r="O742" s="36"/>
      <c r="P742" s="36"/>
      <c r="Q742" s="36"/>
      <c r="R742" s="36"/>
      <c r="S742" s="36"/>
      <c r="T742" s="36"/>
      <c r="U742" s="36"/>
      <c r="V742" s="36"/>
    </row>
    <row r="743" spans="4:22">
      <c r="D743" s="36"/>
      <c r="E743" s="36"/>
      <c r="F743" s="36"/>
      <c r="G743" s="36"/>
      <c r="H743" s="36"/>
      <c r="I743" s="36"/>
      <c r="J743" s="36"/>
      <c r="K743" s="36"/>
      <c r="L743" s="36"/>
      <c r="M743" s="36"/>
      <c r="N743" s="36"/>
      <c r="O743" s="36"/>
      <c r="P743" s="36"/>
      <c r="Q743" s="36"/>
      <c r="R743" s="36"/>
      <c r="S743" s="36"/>
      <c r="T743" s="36"/>
      <c r="U743" s="36"/>
      <c r="V743" s="36"/>
    </row>
    <row r="744" spans="4:22">
      <c r="D744" s="36"/>
      <c r="E744" s="36"/>
      <c r="F744" s="36"/>
      <c r="G744" s="36"/>
      <c r="H744" s="36"/>
      <c r="I744" s="36"/>
      <c r="J744" s="36"/>
      <c r="K744" s="36"/>
      <c r="L744" s="36"/>
      <c r="M744" s="36"/>
      <c r="N744" s="36"/>
      <c r="O744" s="36"/>
      <c r="P744" s="36"/>
      <c r="Q744" s="36"/>
      <c r="R744" s="36"/>
      <c r="S744" s="36"/>
      <c r="T744" s="36"/>
      <c r="U744" s="36"/>
      <c r="V744" s="36"/>
    </row>
    <row r="745" spans="4:22">
      <c r="D745" s="36"/>
      <c r="E745" s="36"/>
      <c r="F745" s="36"/>
      <c r="G745" s="36"/>
      <c r="H745" s="36"/>
      <c r="I745" s="36"/>
      <c r="J745" s="36"/>
      <c r="K745" s="36"/>
      <c r="L745" s="36"/>
      <c r="M745" s="36"/>
      <c r="N745" s="36"/>
      <c r="O745" s="36"/>
      <c r="P745" s="36"/>
      <c r="Q745" s="36"/>
      <c r="R745" s="36"/>
      <c r="S745" s="36"/>
      <c r="T745" s="36"/>
      <c r="U745" s="36"/>
      <c r="V745" s="36"/>
    </row>
    <row r="746" spans="4:22">
      <c r="D746" s="36"/>
      <c r="E746" s="36"/>
      <c r="F746" s="36"/>
      <c r="G746" s="36"/>
      <c r="H746" s="36"/>
      <c r="I746" s="36"/>
      <c r="J746" s="36"/>
      <c r="K746" s="36"/>
      <c r="L746" s="36"/>
      <c r="M746" s="36"/>
      <c r="N746" s="36"/>
      <c r="O746" s="36"/>
      <c r="P746" s="36"/>
      <c r="Q746" s="36"/>
      <c r="R746" s="36"/>
      <c r="S746" s="36"/>
      <c r="T746" s="36"/>
      <c r="U746" s="36"/>
      <c r="V746" s="36"/>
    </row>
    <row r="747" spans="4:22">
      <c r="D747" s="36"/>
      <c r="E747" s="36"/>
      <c r="F747" s="36"/>
      <c r="G747" s="36"/>
      <c r="H747" s="36"/>
      <c r="I747" s="36"/>
      <c r="J747" s="36"/>
      <c r="K747" s="36"/>
      <c r="L747" s="36"/>
      <c r="M747" s="36"/>
      <c r="N747" s="36"/>
      <c r="O747" s="36"/>
      <c r="P747" s="36"/>
      <c r="Q747" s="36"/>
      <c r="R747" s="36"/>
      <c r="S747" s="36"/>
      <c r="T747" s="36"/>
      <c r="U747" s="36"/>
      <c r="V747" s="36"/>
    </row>
    <row r="748" spans="4:22">
      <c r="D748" s="36"/>
      <c r="E748" s="36"/>
      <c r="F748" s="36"/>
      <c r="G748" s="36"/>
      <c r="H748" s="36"/>
      <c r="I748" s="36"/>
      <c r="J748" s="36"/>
      <c r="K748" s="36"/>
      <c r="L748" s="36"/>
      <c r="M748" s="36"/>
      <c r="N748" s="36"/>
      <c r="O748" s="36"/>
      <c r="P748" s="36"/>
      <c r="Q748" s="36"/>
      <c r="R748" s="36"/>
      <c r="S748" s="36"/>
      <c r="T748" s="36"/>
      <c r="U748" s="36"/>
      <c r="V748" s="36"/>
    </row>
    <row r="749" spans="4:22">
      <c r="D749" s="36"/>
      <c r="E749" s="36"/>
      <c r="F749" s="36"/>
      <c r="G749" s="36"/>
      <c r="H749" s="36"/>
      <c r="I749" s="36"/>
      <c r="J749" s="36"/>
      <c r="K749" s="36"/>
      <c r="L749" s="36"/>
      <c r="M749" s="36"/>
      <c r="N749" s="36"/>
      <c r="O749" s="36"/>
      <c r="P749" s="36"/>
      <c r="Q749" s="36"/>
      <c r="R749" s="36"/>
      <c r="S749" s="36"/>
      <c r="T749" s="36"/>
      <c r="U749" s="36"/>
      <c r="V749" s="36"/>
    </row>
    <row r="750" spans="4:22">
      <c r="D750" s="36"/>
      <c r="E750" s="36"/>
      <c r="F750" s="36"/>
      <c r="G750" s="36"/>
      <c r="H750" s="36"/>
      <c r="I750" s="36"/>
      <c r="J750" s="36"/>
      <c r="K750" s="36"/>
      <c r="L750" s="36"/>
      <c r="M750" s="36"/>
      <c r="N750" s="36"/>
      <c r="O750" s="36"/>
      <c r="P750" s="36"/>
      <c r="Q750" s="36"/>
      <c r="R750" s="36"/>
      <c r="S750" s="36"/>
      <c r="T750" s="36"/>
      <c r="U750" s="36"/>
      <c r="V750" s="36"/>
    </row>
    <row r="751" spans="4:22">
      <c r="D751" s="36"/>
      <c r="E751" s="36"/>
      <c r="F751" s="36"/>
      <c r="G751" s="36"/>
      <c r="H751" s="36"/>
      <c r="I751" s="36"/>
      <c r="J751" s="36"/>
      <c r="K751" s="36"/>
      <c r="L751" s="36"/>
      <c r="M751" s="36"/>
      <c r="N751" s="36"/>
      <c r="O751" s="36"/>
      <c r="P751" s="36"/>
      <c r="Q751" s="36"/>
      <c r="R751" s="36"/>
      <c r="S751" s="36"/>
      <c r="T751" s="36"/>
      <c r="U751" s="36"/>
      <c r="V751" s="36"/>
    </row>
    <row r="752" spans="4:22">
      <c r="D752" s="36"/>
      <c r="E752" s="36"/>
      <c r="F752" s="36"/>
      <c r="G752" s="36"/>
      <c r="H752" s="36"/>
      <c r="I752" s="36"/>
      <c r="J752" s="36"/>
      <c r="K752" s="36"/>
      <c r="L752" s="36"/>
      <c r="M752" s="36"/>
      <c r="N752" s="36"/>
      <c r="O752" s="36"/>
      <c r="P752" s="36"/>
      <c r="Q752" s="36"/>
      <c r="R752" s="36"/>
      <c r="S752" s="36"/>
      <c r="T752" s="36"/>
      <c r="U752" s="36"/>
      <c r="V752" s="36"/>
    </row>
    <row r="753" spans="4:22">
      <c r="D753" s="36"/>
      <c r="E753" s="36"/>
      <c r="F753" s="36"/>
      <c r="G753" s="36"/>
      <c r="H753" s="36"/>
      <c r="I753" s="36"/>
      <c r="J753" s="36"/>
      <c r="K753" s="36"/>
      <c r="L753" s="36"/>
      <c r="M753" s="36"/>
      <c r="N753" s="36"/>
      <c r="O753" s="36"/>
      <c r="P753" s="36"/>
      <c r="Q753" s="36"/>
      <c r="R753" s="36"/>
      <c r="S753" s="36"/>
      <c r="T753" s="36"/>
      <c r="U753" s="36"/>
      <c r="V753" s="36"/>
    </row>
    <row r="754" spans="4:22">
      <c r="D754" s="36"/>
      <c r="E754" s="36"/>
      <c r="F754" s="36"/>
      <c r="G754" s="36"/>
      <c r="H754" s="36"/>
      <c r="I754" s="36"/>
      <c r="J754" s="36"/>
      <c r="K754" s="36"/>
      <c r="L754" s="36"/>
      <c r="M754" s="36"/>
      <c r="N754" s="36"/>
      <c r="O754" s="36"/>
      <c r="P754" s="36"/>
      <c r="Q754" s="36"/>
      <c r="R754" s="36"/>
      <c r="S754" s="36"/>
      <c r="T754" s="36"/>
      <c r="U754" s="36"/>
      <c r="V754" s="36"/>
    </row>
    <row r="755" spans="4:22">
      <c r="D755" s="36"/>
      <c r="E755" s="36"/>
      <c r="F755" s="36"/>
      <c r="G755" s="36"/>
      <c r="H755" s="36"/>
      <c r="I755" s="36"/>
      <c r="J755" s="36"/>
      <c r="K755" s="36"/>
      <c r="L755" s="36"/>
      <c r="M755" s="36"/>
      <c r="N755" s="36"/>
      <c r="O755" s="36"/>
      <c r="P755" s="36"/>
      <c r="Q755" s="36"/>
      <c r="R755" s="36"/>
      <c r="S755" s="36"/>
      <c r="T755" s="36"/>
      <c r="U755" s="36"/>
      <c r="V755" s="36"/>
    </row>
    <row r="756" spans="4:22">
      <c r="D756" s="36"/>
      <c r="E756" s="36"/>
      <c r="F756" s="36"/>
      <c r="G756" s="36"/>
      <c r="H756" s="36"/>
      <c r="I756" s="36"/>
      <c r="J756" s="36"/>
      <c r="K756" s="36"/>
      <c r="L756" s="36"/>
      <c r="M756" s="36"/>
      <c r="N756" s="36"/>
      <c r="O756" s="36"/>
      <c r="P756" s="36"/>
      <c r="Q756" s="36"/>
      <c r="R756" s="36"/>
      <c r="S756" s="36"/>
      <c r="T756" s="36"/>
      <c r="U756" s="36"/>
      <c r="V756" s="36"/>
    </row>
    <row r="757" spans="4:22">
      <c r="D757" s="36"/>
      <c r="E757" s="36"/>
      <c r="F757" s="36"/>
      <c r="G757" s="36"/>
      <c r="H757" s="36"/>
      <c r="I757" s="36"/>
      <c r="J757" s="36"/>
      <c r="K757" s="36"/>
      <c r="L757" s="36"/>
      <c r="M757" s="36"/>
      <c r="N757" s="36"/>
      <c r="O757" s="36"/>
      <c r="P757" s="36"/>
      <c r="Q757" s="36"/>
      <c r="R757" s="36"/>
      <c r="S757" s="36"/>
      <c r="T757" s="36"/>
      <c r="U757" s="36"/>
      <c r="V757" s="36"/>
    </row>
    <row r="758" spans="4:22">
      <c r="D758" s="36"/>
      <c r="E758" s="36"/>
      <c r="F758" s="36"/>
      <c r="G758" s="36"/>
      <c r="H758" s="36"/>
      <c r="I758" s="36"/>
      <c r="J758" s="36"/>
      <c r="K758" s="36"/>
      <c r="L758" s="36"/>
      <c r="M758" s="36"/>
      <c r="N758" s="36"/>
      <c r="O758" s="36"/>
      <c r="P758" s="36"/>
      <c r="Q758" s="36"/>
      <c r="R758" s="36"/>
      <c r="S758" s="36"/>
      <c r="T758" s="36"/>
      <c r="U758" s="36"/>
      <c r="V758" s="36"/>
    </row>
    <row r="759" spans="4:22">
      <c r="D759" s="36"/>
      <c r="E759" s="36"/>
      <c r="F759" s="36"/>
      <c r="G759" s="36"/>
      <c r="H759" s="36"/>
      <c r="I759" s="36"/>
      <c r="J759" s="36"/>
      <c r="K759" s="36"/>
      <c r="L759" s="36"/>
      <c r="M759" s="36"/>
      <c r="N759" s="36"/>
      <c r="O759" s="36"/>
      <c r="P759" s="36"/>
      <c r="Q759" s="36"/>
      <c r="R759" s="36"/>
      <c r="S759" s="36"/>
      <c r="T759" s="36"/>
      <c r="U759" s="36"/>
      <c r="V759" s="36"/>
    </row>
    <row r="760" spans="4:22">
      <c r="D760" s="36"/>
      <c r="E760" s="36"/>
      <c r="F760" s="36"/>
      <c r="G760" s="36"/>
      <c r="H760" s="36"/>
      <c r="I760" s="36"/>
      <c r="J760" s="36"/>
      <c r="K760" s="36"/>
      <c r="L760" s="36"/>
      <c r="M760" s="36"/>
      <c r="N760" s="36"/>
      <c r="O760" s="36"/>
      <c r="P760" s="36"/>
      <c r="Q760" s="36"/>
      <c r="R760" s="36"/>
      <c r="S760" s="36"/>
      <c r="T760" s="36"/>
      <c r="U760" s="36"/>
      <c r="V760" s="36"/>
    </row>
    <row r="761" spans="4:22">
      <c r="D761" s="36"/>
      <c r="E761" s="36"/>
      <c r="F761" s="36"/>
      <c r="G761" s="36"/>
      <c r="H761" s="36"/>
      <c r="I761" s="36"/>
      <c r="J761" s="36"/>
      <c r="K761" s="36"/>
      <c r="L761" s="36"/>
      <c r="M761" s="36"/>
      <c r="N761" s="36"/>
      <c r="O761" s="36"/>
      <c r="P761" s="36"/>
      <c r="Q761" s="36"/>
      <c r="R761" s="36"/>
      <c r="S761" s="36"/>
      <c r="T761" s="36"/>
      <c r="U761" s="36"/>
      <c r="V761" s="36"/>
    </row>
    <row r="762" spans="4:22">
      <c r="D762" s="36"/>
      <c r="E762" s="36"/>
      <c r="F762" s="36"/>
      <c r="G762" s="36"/>
      <c r="H762" s="36"/>
      <c r="I762" s="36"/>
      <c r="J762" s="36"/>
      <c r="K762" s="36"/>
      <c r="L762" s="36"/>
      <c r="M762" s="36"/>
      <c r="N762" s="36"/>
      <c r="O762" s="36"/>
      <c r="P762" s="36"/>
      <c r="Q762" s="36"/>
      <c r="R762" s="36"/>
      <c r="S762" s="36"/>
      <c r="T762" s="36"/>
      <c r="U762" s="36"/>
      <c r="V762" s="36"/>
    </row>
    <row r="763" spans="4:22">
      <c r="D763" s="36"/>
      <c r="E763" s="36"/>
      <c r="F763" s="36"/>
      <c r="G763" s="36"/>
      <c r="H763" s="36"/>
      <c r="I763" s="36"/>
      <c r="J763" s="36"/>
      <c r="K763" s="36"/>
      <c r="L763" s="36"/>
      <c r="M763" s="36"/>
      <c r="N763" s="36"/>
      <c r="O763" s="36"/>
      <c r="P763" s="36"/>
      <c r="Q763" s="36"/>
      <c r="R763" s="36"/>
      <c r="S763" s="36"/>
      <c r="T763" s="36"/>
      <c r="U763" s="36"/>
      <c r="V763" s="36"/>
    </row>
    <row r="764" spans="4:22">
      <c r="D764" s="36"/>
      <c r="E764" s="36"/>
      <c r="F764" s="36"/>
      <c r="G764" s="36"/>
      <c r="H764" s="36"/>
      <c r="I764" s="36"/>
      <c r="J764" s="36"/>
      <c r="K764" s="36"/>
      <c r="L764" s="36"/>
      <c r="M764" s="36"/>
      <c r="N764" s="36"/>
      <c r="O764" s="36"/>
      <c r="P764" s="36"/>
      <c r="Q764" s="36"/>
      <c r="R764" s="36"/>
      <c r="S764" s="36"/>
      <c r="T764" s="36"/>
      <c r="U764" s="36"/>
      <c r="V764" s="36"/>
    </row>
    <row r="765" spans="4:22">
      <c r="D765" s="36"/>
      <c r="E765" s="36"/>
      <c r="F765" s="36"/>
      <c r="G765" s="36"/>
      <c r="H765" s="36"/>
      <c r="I765" s="36"/>
      <c r="J765" s="36"/>
      <c r="K765" s="36"/>
      <c r="L765" s="36"/>
      <c r="M765" s="36"/>
      <c r="N765" s="36"/>
      <c r="O765" s="36"/>
      <c r="P765" s="36"/>
      <c r="Q765" s="36"/>
      <c r="R765" s="36"/>
      <c r="S765" s="36"/>
      <c r="T765" s="36"/>
      <c r="U765" s="36"/>
      <c r="V765" s="36"/>
    </row>
    <row r="766" spans="4:22">
      <c r="D766" s="36"/>
      <c r="E766" s="36"/>
      <c r="F766" s="36"/>
      <c r="G766" s="36"/>
      <c r="H766" s="36"/>
      <c r="I766" s="36"/>
      <c r="J766" s="36"/>
      <c r="K766" s="36"/>
      <c r="L766" s="36"/>
      <c r="M766" s="36"/>
      <c r="N766" s="36"/>
      <c r="O766" s="36"/>
      <c r="P766" s="36"/>
      <c r="Q766" s="36"/>
      <c r="R766" s="36"/>
      <c r="S766" s="36"/>
      <c r="T766" s="36"/>
      <c r="U766" s="36"/>
      <c r="V766" s="36"/>
    </row>
    <row r="767" spans="4:22">
      <c r="D767" s="36"/>
      <c r="E767" s="36"/>
      <c r="F767" s="36"/>
      <c r="G767" s="36"/>
      <c r="H767" s="36"/>
      <c r="I767" s="36"/>
      <c r="J767" s="36"/>
      <c r="K767" s="36"/>
      <c r="L767" s="36"/>
      <c r="M767" s="36"/>
      <c r="N767" s="36"/>
      <c r="O767" s="36"/>
      <c r="P767" s="36"/>
      <c r="Q767" s="36"/>
      <c r="R767" s="36"/>
      <c r="S767" s="36"/>
      <c r="T767" s="36"/>
      <c r="U767" s="36"/>
      <c r="V767" s="36"/>
    </row>
    <row r="768" spans="4:22">
      <c r="D768" s="36"/>
      <c r="E768" s="36"/>
      <c r="F768" s="36"/>
      <c r="G768" s="36"/>
      <c r="H768" s="36"/>
      <c r="I768" s="36"/>
      <c r="J768" s="36"/>
      <c r="K768" s="36"/>
      <c r="L768" s="36"/>
      <c r="M768" s="36"/>
      <c r="N768" s="36"/>
      <c r="O768" s="36"/>
      <c r="P768" s="36"/>
      <c r="Q768" s="36"/>
      <c r="R768" s="36"/>
      <c r="S768" s="36"/>
      <c r="T768" s="36"/>
      <c r="U768" s="36"/>
      <c r="V768" s="36"/>
    </row>
    <row r="769" spans="4:22">
      <c r="D769" s="36"/>
      <c r="E769" s="36"/>
      <c r="F769" s="36"/>
      <c r="G769" s="36"/>
      <c r="H769" s="36"/>
      <c r="I769" s="36"/>
      <c r="J769" s="36"/>
      <c r="K769" s="36"/>
      <c r="L769" s="36"/>
      <c r="M769" s="36"/>
      <c r="N769" s="36"/>
      <c r="O769" s="36"/>
      <c r="P769" s="36"/>
      <c r="Q769" s="36"/>
      <c r="R769" s="36"/>
      <c r="S769" s="36"/>
      <c r="T769" s="36"/>
      <c r="U769" s="36"/>
      <c r="V769" s="36"/>
    </row>
    <row r="770" spans="4:22">
      <c r="D770" s="36"/>
      <c r="E770" s="36"/>
      <c r="F770" s="36"/>
      <c r="G770" s="36"/>
      <c r="H770" s="36"/>
      <c r="I770" s="36"/>
      <c r="J770" s="36"/>
      <c r="K770" s="36"/>
      <c r="L770" s="36"/>
      <c r="M770" s="36"/>
      <c r="N770" s="36"/>
      <c r="O770" s="36"/>
      <c r="P770" s="36"/>
      <c r="Q770" s="36"/>
      <c r="R770" s="36"/>
      <c r="S770" s="36"/>
      <c r="T770" s="36"/>
      <c r="U770" s="36"/>
      <c r="V770" s="36"/>
    </row>
    <row r="771" spans="4:22">
      <c r="D771" s="36"/>
      <c r="E771" s="36"/>
      <c r="F771" s="36"/>
      <c r="G771" s="36"/>
      <c r="H771" s="36"/>
      <c r="I771" s="36"/>
      <c r="J771" s="36"/>
      <c r="K771" s="36"/>
      <c r="L771" s="36"/>
      <c r="M771" s="36"/>
      <c r="N771" s="36"/>
      <c r="O771" s="36"/>
      <c r="P771" s="36"/>
      <c r="Q771" s="36"/>
      <c r="R771" s="36"/>
      <c r="S771" s="36"/>
      <c r="T771" s="36"/>
      <c r="U771" s="36"/>
      <c r="V771" s="36"/>
    </row>
    <row r="772" spans="4:22">
      <c r="D772" s="36"/>
      <c r="E772" s="36"/>
      <c r="F772" s="36"/>
      <c r="G772" s="36"/>
      <c r="H772" s="36"/>
      <c r="I772" s="36"/>
      <c r="J772" s="36"/>
      <c r="K772" s="36"/>
      <c r="L772" s="36"/>
      <c r="M772" s="36"/>
      <c r="N772" s="36"/>
      <c r="O772" s="36"/>
      <c r="P772" s="36"/>
      <c r="Q772" s="36"/>
      <c r="R772" s="36"/>
      <c r="S772" s="36"/>
      <c r="T772" s="36"/>
      <c r="U772" s="36"/>
      <c r="V772" s="36"/>
    </row>
    <row r="773" spans="4:22">
      <c r="D773" s="36"/>
      <c r="E773" s="36"/>
      <c r="F773" s="36"/>
      <c r="G773" s="36"/>
      <c r="H773" s="36"/>
      <c r="I773" s="36"/>
      <c r="J773" s="36"/>
      <c r="K773" s="36"/>
      <c r="L773" s="36"/>
      <c r="M773" s="36"/>
      <c r="N773" s="36"/>
      <c r="O773" s="36"/>
      <c r="P773" s="36"/>
      <c r="Q773" s="36"/>
      <c r="R773" s="36"/>
      <c r="S773" s="36"/>
      <c r="T773" s="36"/>
      <c r="U773" s="36"/>
      <c r="V773" s="36"/>
    </row>
    <row r="774" spans="4:22">
      <c r="D774" s="36"/>
      <c r="E774" s="36"/>
      <c r="F774" s="36"/>
      <c r="G774" s="36"/>
      <c r="H774" s="36"/>
      <c r="I774" s="36"/>
      <c r="J774" s="36"/>
      <c r="K774" s="36"/>
      <c r="L774" s="36"/>
      <c r="M774" s="36"/>
      <c r="N774" s="36"/>
      <c r="O774" s="36"/>
      <c r="P774" s="36"/>
      <c r="Q774" s="36"/>
      <c r="R774" s="36"/>
      <c r="S774" s="36"/>
      <c r="T774" s="36"/>
      <c r="U774" s="36"/>
      <c r="V774" s="36"/>
    </row>
    <row r="775" spans="4:22">
      <c r="D775" s="36"/>
      <c r="E775" s="36"/>
      <c r="F775" s="36"/>
      <c r="G775" s="36"/>
      <c r="H775" s="36"/>
      <c r="I775" s="36"/>
      <c r="J775" s="36"/>
      <c r="K775" s="36"/>
      <c r="L775" s="36"/>
      <c r="M775" s="36"/>
      <c r="N775" s="36"/>
      <c r="O775" s="36"/>
      <c r="P775" s="36"/>
      <c r="Q775" s="36"/>
      <c r="R775" s="36"/>
      <c r="S775" s="36"/>
      <c r="T775" s="36"/>
      <c r="U775" s="36"/>
      <c r="V775" s="36"/>
    </row>
    <row r="776" spans="4:22">
      <c r="D776" s="36"/>
      <c r="E776" s="36"/>
      <c r="F776" s="36"/>
      <c r="G776" s="36"/>
      <c r="H776" s="36"/>
      <c r="I776" s="36"/>
      <c r="J776" s="36"/>
      <c r="K776" s="36"/>
      <c r="L776" s="36"/>
      <c r="M776" s="36"/>
      <c r="N776" s="36"/>
      <c r="O776" s="36"/>
      <c r="P776" s="36"/>
      <c r="Q776" s="36"/>
      <c r="R776" s="36"/>
      <c r="S776" s="36"/>
      <c r="T776" s="36"/>
      <c r="U776" s="36"/>
      <c r="V776" s="36"/>
    </row>
    <row r="777" spans="4:22">
      <c r="D777" s="36"/>
      <c r="E777" s="36"/>
      <c r="F777" s="36"/>
      <c r="G777" s="36"/>
      <c r="H777" s="36"/>
      <c r="I777" s="36"/>
      <c r="J777" s="36"/>
      <c r="K777" s="36"/>
      <c r="L777" s="36"/>
      <c r="M777" s="36"/>
      <c r="N777" s="36"/>
      <c r="O777" s="36"/>
      <c r="P777" s="36"/>
      <c r="Q777" s="36"/>
      <c r="R777" s="36"/>
      <c r="S777" s="36"/>
      <c r="T777" s="36"/>
      <c r="U777" s="36"/>
      <c r="V777" s="36"/>
    </row>
    <row r="778" spans="4:22">
      <c r="D778" s="36"/>
      <c r="E778" s="36"/>
      <c r="F778" s="36"/>
      <c r="G778" s="36"/>
      <c r="H778" s="36"/>
      <c r="I778" s="36"/>
      <c r="J778" s="36"/>
      <c r="K778" s="36"/>
      <c r="L778" s="36"/>
      <c r="M778" s="36"/>
      <c r="N778" s="36"/>
      <c r="O778" s="36"/>
      <c r="P778" s="36"/>
      <c r="Q778" s="36"/>
      <c r="R778" s="36"/>
      <c r="S778" s="36"/>
      <c r="T778" s="36"/>
      <c r="U778" s="36"/>
      <c r="V778" s="36"/>
    </row>
    <row r="779" spans="4:22">
      <c r="D779" s="36"/>
      <c r="E779" s="36"/>
      <c r="F779" s="36"/>
      <c r="G779" s="36"/>
      <c r="H779" s="36"/>
      <c r="I779" s="36"/>
      <c r="J779" s="36"/>
      <c r="K779" s="36"/>
      <c r="L779" s="36"/>
      <c r="M779" s="36"/>
      <c r="N779" s="36"/>
      <c r="O779" s="36"/>
      <c r="P779" s="36"/>
      <c r="Q779" s="36"/>
      <c r="R779" s="36"/>
      <c r="S779" s="36"/>
      <c r="T779" s="36"/>
      <c r="U779" s="36"/>
      <c r="V779" s="36"/>
    </row>
    <row r="780" spans="4:22">
      <c r="D780" s="36"/>
      <c r="E780" s="36"/>
      <c r="F780" s="36"/>
      <c r="G780" s="36"/>
      <c r="H780" s="36"/>
      <c r="I780" s="36"/>
      <c r="J780" s="36"/>
      <c r="K780" s="36"/>
      <c r="L780" s="36"/>
      <c r="M780" s="36"/>
      <c r="N780" s="36"/>
      <c r="O780" s="36"/>
      <c r="P780" s="36"/>
      <c r="Q780" s="36"/>
      <c r="R780" s="36"/>
      <c r="S780" s="36"/>
      <c r="T780" s="36"/>
      <c r="U780" s="36"/>
      <c r="V780" s="36"/>
    </row>
    <row r="781" spans="4:22">
      <c r="D781" s="36"/>
      <c r="E781" s="36"/>
      <c r="F781" s="36"/>
      <c r="G781" s="36"/>
      <c r="H781" s="36"/>
      <c r="I781" s="36"/>
      <c r="J781" s="36"/>
      <c r="K781" s="36"/>
      <c r="L781" s="36"/>
      <c r="M781" s="36"/>
      <c r="N781" s="36"/>
      <c r="O781" s="36"/>
      <c r="P781" s="36"/>
      <c r="Q781" s="36"/>
      <c r="R781" s="36"/>
      <c r="S781" s="36"/>
      <c r="T781" s="36"/>
      <c r="U781" s="36"/>
      <c r="V781" s="36"/>
    </row>
    <row r="782" spans="4:22">
      <c r="D782" s="36"/>
      <c r="E782" s="36"/>
      <c r="F782" s="36"/>
      <c r="G782" s="36"/>
      <c r="H782" s="36"/>
      <c r="I782" s="36"/>
      <c r="J782" s="36"/>
      <c r="K782" s="36"/>
      <c r="L782" s="36"/>
      <c r="M782" s="36"/>
      <c r="N782" s="36"/>
      <c r="O782" s="36"/>
      <c r="P782" s="36"/>
      <c r="Q782" s="36"/>
      <c r="R782" s="36"/>
      <c r="S782" s="36"/>
      <c r="T782" s="36"/>
      <c r="U782" s="36"/>
      <c r="V782" s="36"/>
    </row>
    <row r="783" spans="4:22">
      <c r="D783" s="36"/>
      <c r="E783" s="36"/>
      <c r="F783" s="36"/>
      <c r="G783" s="36"/>
      <c r="H783" s="36"/>
      <c r="I783" s="36"/>
      <c r="J783" s="36"/>
      <c r="K783" s="36"/>
      <c r="L783" s="36"/>
      <c r="M783" s="36"/>
      <c r="N783" s="36"/>
      <c r="O783" s="36"/>
      <c r="P783" s="36"/>
      <c r="Q783" s="36"/>
      <c r="R783" s="36"/>
      <c r="S783" s="36"/>
      <c r="T783" s="36"/>
      <c r="U783" s="36"/>
      <c r="V783" s="36"/>
    </row>
    <row r="784" spans="4:22">
      <c r="D784" s="36"/>
      <c r="E784" s="36"/>
      <c r="F784" s="36"/>
      <c r="G784" s="36"/>
      <c r="H784" s="36"/>
      <c r="I784" s="36"/>
      <c r="J784" s="36"/>
      <c r="K784" s="36"/>
      <c r="L784" s="36"/>
      <c r="M784" s="36"/>
      <c r="N784" s="36"/>
      <c r="O784" s="36"/>
      <c r="P784" s="36"/>
      <c r="Q784" s="36"/>
      <c r="R784" s="36"/>
      <c r="S784" s="36"/>
      <c r="T784" s="36"/>
      <c r="U784" s="36"/>
      <c r="V784" s="36"/>
    </row>
    <row r="785" spans="4:22">
      <c r="D785" s="36"/>
      <c r="E785" s="36"/>
      <c r="F785" s="36"/>
      <c r="G785" s="36"/>
      <c r="H785" s="36"/>
      <c r="I785" s="36"/>
      <c r="J785" s="36"/>
      <c r="K785" s="36"/>
      <c r="L785" s="36"/>
      <c r="M785" s="36"/>
      <c r="N785" s="36"/>
      <c r="O785" s="36"/>
      <c r="P785" s="36"/>
      <c r="Q785" s="36"/>
      <c r="R785" s="36"/>
      <c r="S785" s="36"/>
      <c r="T785" s="36"/>
      <c r="U785" s="36"/>
      <c r="V785" s="36"/>
    </row>
    <row r="786" spans="4:22">
      <c r="D786" s="36"/>
      <c r="E786" s="36"/>
      <c r="F786" s="36"/>
      <c r="G786" s="36"/>
      <c r="H786" s="36"/>
      <c r="I786" s="36"/>
      <c r="J786" s="36"/>
      <c r="K786" s="36"/>
      <c r="L786" s="36"/>
      <c r="M786" s="36"/>
      <c r="N786" s="36"/>
      <c r="O786" s="36"/>
      <c r="P786" s="36"/>
      <c r="Q786" s="36"/>
      <c r="R786" s="36"/>
      <c r="S786" s="36"/>
      <c r="T786" s="36"/>
      <c r="U786" s="36"/>
      <c r="V786" s="36"/>
    </row>
    <row r="787" spans="4:22">
      <c r="D787" s="36"/>
      <c r="E787" s="36"/>
      <c r="F787" s="36"/>
      <c r="G787" s="36"/>
      <c r="H787" s="36"/>
      <c r="I787" s="36"/>
      <c r="J787" s="36"/>
      <c r="K787" s="36"/>
      <c r="L787" s="36"/>
      <c r="M787" s="36"/>
      <c r="N787" s="36"/>
      <c r="O787" s="36"/>
      <c r="P787" s="36"/>
      <c r="Q787" s="36"/>
      <c r="R787" s="36"/>
      <c r="S787" s="36"/>
      <c r="T787" s="36"/>
      <c r="U787" s="36"/>
      <c r="V787" s="36"/>
    </row>
    <row r="788" spans="4:22">
      <c r="D788" s="36"/>
      <c r="E788" s="36"/>
      <c r="F788" s="36"/>
      <c r="G788" s="36"/>
      <c r="H788" s="36"/>
      <c r="I788" s="36"/>
      <c r="J788" s="36"/>
      <c r="K788" s="36"/>
      <c r="L788" s="36"/>
      <c r="M788" s="36"/>
      <c r="N788" s="36"/>
      <c r="O788" s="36"/>
      <c r="P788" s="36"/>
      <c r="Q788" s="36"/>
      <c r="R788" s="36"/>
      <c r="S788" s="36"/>
      <c r="T788" s="36"/>
      <c r="U788" s="36"/>
      <c r="V788" s="36"/>
    </row>
    <row r="789" spans="4:22">
      <c r="D789" s="36"/>
      <c r="E789" s="36"/>
      <c r="F789" s="36"/>
      <c r="G789" s="36"/>
      <c r="H789" s="36"/>
      <c r="I789" s="36"/>
      <c r="J789" s="36"/>
      <c r="K789" s="36"/>
      <c r="L789" s="36"/>
      <c r="M789" s="36"/>
      <c r="N789" s="36"/>
      <c r="O789" s="36"/>
      <c r="P789" s="36"/>
      <c r="Q789" s="36"/>
      <c r="R789" s="36"/>
      <c r="S789" s="36"/>
      <c r="T789" s="36"/>
      <c r="U789" s="36"/>
      <c r="V789" s="36"/>
    </row>
    <row r="790" spans="4:22">
      <c r="D790" s="36"/>
      <c r="E790" s="36"/>
      <c r="F790" s="36"/>
      <c r="G790" s="36"/>
      <c r="H790" s="36"/>
      <c r="I790" s="36"/>
      <c r="J790" s="36"/>
      <c r="K790" s="36"/>
      <c r="L790" s="36"/>
      <c r="M790" s="36"/>
      <c r="N790" s="36"/>
      <c r="O790" s="36"/>
      <c r="P790" s="36"/>
      <c r="Q790" s="36"/>
      <c r="R790" s="36"/>
      <c r="S790" s="36"/>
      <c r="T790" s="36"/>
      <c r="U790" s="36"/>
      <c r="V790" s="36"/>
    </row>
    <row r="791" spans="4:22">
      <c r="D791" s="36"/>
      <c r="E791" s="36"/>
      <c r="F791" s="36"/>
      <c r="G791" s="36"/>
      <c r="H791" s="36"/>
      <c r="I791" s="36"/>
      <c r="J791" s="36"/>
      <c r="K791" s="36"/>
      <c r="L791" s="36"/>
      <c r="M791" s="36"/>
      <c r="N791" s="36"/>
      <c r="O791" s="36"/>
      <c r="P791" s="36"/>
      <c r="Q791" s="36"/>
      <c r="R791" s="36"/>
      <c r="S791" s="36"/>
      <c r="T791" s="36"/>
      <c r="U791" s="36"/>
      <c r="V791" s="36"/>
    </row>
    <row r="792" spans="4:22">
      <c r="D792" s="36"/>
      <c r="E792" s="36"/>
      <c r="F792" s="36"/>
      <c r="G792" s="36"/>
      <c r="H792" s="36"/>
      <c r="I792" s="36"/>
      <c r="J792" s="36"/>
      <c r="K792" s="36"/>
      <c r="L792" s="36"/>
      <c r="M792" s="36"/>
      <c r="N792" s="36"/>
      <c r="O792" s="36"/>
      <c r="P792" s="36"/>
      <c r="Q792" s="36"/>
      <c r="R792" s="36"/>
      <c r="S792" s="36"/>
      <c r="T792" s="36"/>
      <c r="U792" s="36"/>
      <c r="V792" s="36"/>
    </row>
    <row r="793" spans="4:22">
      <c r="D793" s="36"/>
      <c r="E793" s="36"/>
      <c r="F793" s="36"/>
      <c r="G793" s="36"/>
      <c r="H793" s="36"/>
      <c r="I793" s="36"/>
      <c r="J793" s="36"/>
      <c r="K793" s="36"/>
      <c r="L793" s="36"/>
      <c r="M793" s="36"/>
      <c r="N793" s="36"/>
      <c r="O793" s="36"/>
      <c r="P793" s="36"/>
      <c r="Q793" s="36"/>
      <c r="R793" s="36"/>
      <c r="S793" s="36"/>
      <c r="T793" s="36"/>
      <c r="U793" s="36"/>
      <c r="V793" s="36"/>
    </row>
    <row r="794" spans="4:22">
      <c r="D794" s="36"/>
      <c r="E794" s="36"/>
      <c r="F794" s="36"/>
      <c r="G794" s="36"/>
      <c r="H794" s="36"/>
      <c r="I794" s="36"/>
      <c r="J794" s="36"/>
      <c r="K794" s="36"/>
      <c r="L794" s="36"/>
      <c r="M794" s="36"/>
      <c r="N794" s="36"/>
      <c r="O794" s="36"/>
      <c r="P794" s="36"/>
      <c r="Q794" s="36"/>
      <c r="R794" s="36"/>
      <c r="S794" s="36"/>
      <c r="T794" s="36"/>
      <c r="U794" s="36"/>
      <c r="V794" s="36"/>
    </row>
    <row r="795" spans="4:22">
      <c r="D795" s="36"/>
      <c r="E795" s="36"/>
      <c r="F795" s="36"/>
      <c r="G795" s="36"/>
      <c r="H795" s="36"/>
      <c r="I795" s="36"/>
      <c r="J795" s="36"/>
      <c r="K795" s="36"/>
      <c r="L795" s="36"/>
      <c r="M795" s="36"/>
      <c r="N795" s="36"/>
      <c r="O795" s="36"/>
      <c r="P795" s="36"/>
      <c r="Q795" s="36"/>
      <c r="R795" s="36"/>
      <c r="S795" s="36"/>
      <c r="T795" s="36"/>
      <c r="U795" s="36"/>
      <c r="V795" s="36"/>
    </row>
    <row r="796" spans="4:22">
      <c r="D796" s="36"/>
      <c r="E796" s="36"/>
      <c r="F796" s="36"/>
      <c r="G796" s="36"/>
      <c r="H796" s="36"/>
      <c r="I796" s="36"/>
      <c r="J796" s="36"/>
      <c r="K796" s="36"/>
      <c r="L796" s="36"/>
      <c r="M796" s="36"/>
      <c r="N796" s="36"/>
      <c r="O796" s="36"/>
      <c r="P796" s="36"/>
      <c r="Q796" s="36"/>
      <c r="R796" s="36"/>
      <c r="S796" s="36"/>
      <c r="T796" s="36"/>
      <c r="U796" s="36"/>
      <c r="V796" s="36"/>
    </row>
    <row r="797" spans="4:22">
      <c r="D797" s="36"/>
      <c r="E797" s="36"/>
      <c r="F797" s="36"/>
      <c r="G797" s="36"/>
      <c r="H797" s="36"/>
      <c r="I797" s="36"/>
      <c r="J797" s="36"/>
      <c r="K797" s="36"/>
      <c r="L797" s="36"/>
      <c r="M797" s="36"/>
      <c r="N797" s="36"/>
      <c r="O797" s="36"/>
      <c r="P797" s="36"/>
      <c r="Q797" s="36"/>
      <c r="R797" s="36"/>
      <c r="S797" s="36"/>
      <c r="T797" s="36"/>
      <c r="U797" s="36"/>
      <c r="V797" s="36"/>
    </row>
    <row r="798" spans="4:22">
      <c r="D798" s="36"/>
      <c r="E798" s="36"/>
      <c r="F798" s="36"/>
      <c r="G798" s="36"/>
      <c r="H798" s="36"/>
      <c r="I798" s="36"/>
      <c r="J798" s="36"/>
      <c r="K798" s="36"/>
      <c r="L798" s="36"/>
      <c r="M798" s="36"/>
      <c r="N798" s="36"/>
      <c r="O798" s="36"/>
      <c r="P798" s="36"/>
      <c r="Q798" s="36"/>
      <c r="R798" s="36"/>
      <c r="S798" s="36"/>
      <c r="T798" s="36"/>
      <c r="U798" s="36"/>
      <c r="V798" s="36"/>
    </row>
    <row r="799" spans="4:22">
      <c r="D799" s="36"/>
      <c r="E799" s="36"/>
      <c r="F799" s="36"/>
      <c r="G799" s="36"/>
      <c r="H799" s="36"/>
      <c r="I799" s="36"/>
      <c r="J799" s="36"/>
      <c r="K799" s="36"/>
      <c r="L799" s="36"/>
      <c r="M799" s="36"/>
      <c r="N799" s="36"/>
      <c r="O799" s="36"/>
      <c r="P799" s="36"/>
      <c r="Q799" s="36"/>
      <c r="R799" s="36"/>
      <c r="S799" s="36"/>
      <c r="T799" s="36"/>
      <c r="U799" s="36"/>
      <c r="V799" s="36"/>
    </row>
    <row r="800" spans="4:22">
      <c r="D800" s="36"/>
      <c r="E800" s="36"/>
      <c r="F800" s="36"/>
      <c r="G800" s="36"/>
      <c r="H800" s="36"/>
      <c r="I800" s="36"/>
      <c r="J800" s="36"/>
      <c r="K800" s="36"/>
      <c r="L800" s="36"/>
      <c r="M800" s="36"/>
      <c r="N800" s="36"/>
      <c r="O800" s="36"/>
      <c r="P800" s="36"/>
      <c r="Q800" s="36"/>
      <c r="R800" s="36"/>
      <c r="S800" s="36"/>
      <c r="T800" s="36"/>
      <c r="U800" s="36"/>
      <c r="V800" s="36"/>
    </row>
    <row r="801" spans="4:22">
      <c r="D801" s="36"/>
      <c r="E801" s="36"/>
      <c r="F801" s="36"/>
      <c r="G801" s="36"/>
      <c r="H801" s="36"/>
      <c r="I801" s="36"/>
      <c r="J801" s="36"/>
      <c r="K801" s="36"/>
      <c r="L801" s="36"/>
      <c r="M801" s="36"/>
      <c r="N801" s="36"/>
      <c r="O801" s="36"/>
      <c r="P801" s="36"/>
      <c r="Q801" s="36"/>
      <c r="R801" s="36"/>
      <c r="S801" s="36"/>
      <c r="T801" s="36"/>
      <c r="U801" s="36"/>
      <c r="V801" s="36"/>
    </row>
    <row r="802" spans="4:22">
      <c r="D802" s="36"/>
      <c r="E802" s="36"/>
      <c r="F802" s="36"/>
      <c r="G802" s="36"/>
      <c r="H802" s="36"/>
      <c r="I802" s="36"/>
      <c r="J802" s="36"/>
      <c r="K802" s="36"/>
      <c r="L802" s="36"/>
      <c r="M802" s="36"/>
      <c r="N802" s="36"/>
      <c r="O802" s="36"/>
      <c r="P802" s="36"/>
      <c r="Q802" s="36"/>
      <c r="R802" s="36"/>
      <c r="S802" s="36"/>
      <c r="T802" s="36"/>
      <c r="U802" s="36"/>
      <c r="V802" s="36"/>
    </row>
    <row r="803" spans="4:22">
      <c r="D803" s="36"/>
      <c r="E803" s="36"/>
      <c r="F803" s="36"/>
      <c r="G803" s="36"/>
      <c r="H803" s="36"/>
      <c r="I803" s="36"/>
      <c r="J803" s="36"/>
      <c r="K803" s="36"/>
      <c r="L803" s="36"/>
      <c r="M803" s="36"/>
      <c r="N803" s="36"/>
      <c r="O803" s="36"/>
      <c r="P803" s="36"/>
      <c r="Q803" s="36"/>
      <c r="R803" s="36"/>
      <c r="S803" s="36"/>
      <c r="T803" s="36"/>
      <c r="U803" s="36"/>
      <c r="V803" s="36"/>
    </row>
    <row r="804" spans="4:22"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36"/>
      <c r="O804" s="36"/>
      <c r="P804" s="36"/>
      <c r="Q804" s="36"/>
      <c r="R804" s="36"/>
      <c r="S804" s="36"/>
      <c r="T804" s="36"/>
      <c r="U804" s="36"/>
      <c r="V804" s="36"/>
    </row>
    <row r="805" spans="4:22">
      <c r="D805" s="36"/>
      <c r="E805" s="36"/>
      <c r="F805" s="36"/>
      <c r="G805" s="36"/>
      <c r="H805" s="36"/>
      <c r="I805" s="36"/>
      <c r="J805" s="36"/>
      <c r="K805" s="36"/>
      <c r="L805" s="36"/>
      <c r="M805" s="36"/>
      <c r="N805" s="36"/>
      <c r="O805" s="36"/>
      <c r="P805" s="36"/>
      <c r="Q805" s="36"/>
      <c r="R805" s="36"/>
      <c r="S805" s="36"/>
      <c r="T805" s="36"/>
      <c r="U805" s="36"/>
      <c r="V805" s="36"/>
    </row>
    <row r="806" spans="4:22">
      <c r="D806" s="36"/>
      <c r="E806" s="36"/>
      <c r="F806" s="36"/>
      <c r="G806" s="36"/>
      <c r="H806" s="36"/>
      <c r="I806" s="36"/>
      <c r="J806" s="36"/>
      <c r="K806" s="36"/>
      <c r="L806" s="36"/>
      <c r="M806" s="36"/>
      <c r="N806" s="36"/>
      <c r="O806" s="36"/>
      <c r="P806" s="36"/>
      <c r="Q806" s="36"/>
      <c r="R806" s="36"/>
      <c r="S806" s="36"/>
      <c r="T806" s="36"/>
      <c r="U806" s="36"/>
      <c r="V806" s="36"/>
    </row>
    <row r="807" spans="4:22">
      <c r="D807" s="36"/>
      <c r="E807" s="36"/>
      <c r="F807" s="36"/>
      <c r="G807" s="36"/>
      <c r="H807" s="36"/>
      <c r="I807" s="36"/>
      <c r="J807" s="36"/>
      <c r="K807" s="36"/>
      <c r="L807" s="36"/>
      <c r="M807" s="36"/>
      <c r="N807" s="36"/>
      <c r="O807" s="36"/>
      <c r="P807" s="36"/>
      <c r="Q807" s="36"/>
      <c r="R807" s="36"/>
      <c r="S807" s="36"/>
      <c r="T807" s="36"/>
      <c r="U807" s="36"/>
      <c r="V807" s="36"/>
    </row>
    <row r="808" spans="4:22">
      <c r="D808" s="36"/>
      <c r="E808" s="36"/>
      <c r="F808" s="36"/>
      <c r="G808" s="36"/>
      <c r="H808" s="36"/>
      <c r="I808" s="36"/>
      <c r="J808" s="36"/>
      <c r="K808" s="36"/>
      <c r="L808" s="36"/>
      <c r="M808" s="36"/>
      <c r="N808" s="36"/>
      <c r="O808" s="36"/>
      <c r="P808" s="36"/>
      <c r="Q808" s="36"/>
      <c r="R808" s="36"/>
      <c r="S808" s="36"/>
      <c r="T808" s="36"/>
      <c r="U808" s="36"/>
      <c r="V808" s="36"/>
    </row>
    <row r="809" spans="4:22">
      <c r="D809" s="36"/>
      <c r="E809" s="36"/>
      <c r="F809" s="36"/>
      <c r="G809" s="36"/>
      <c r="H809" s="36"/>
      <c r="I809" s="36"/>
      <c r="J809" s="36"/>
      <c r="K809" s="36"/>
      <c r="L809" s="36"/>
      <c r="M809" s="36"/>
      <c r="N809" s="36"/>
      <c r="O809" s="36"/>
      <c r="P809" s="36"/>
      <c r="Q809" s="36"/>
      <c r="R809" s="36"/>
      <c r="S809" s="36"/>
      <c r="T809" s="36"/>
      <c r="U809" s="36"/>
      <c r="V809" s="36"/>
    </row>
    <row r="810" spans="4:22">
      <c r="D810" s="36"/>
      <c r="E810" s="36"/>
      <c r="F810" s="36"/>
      <c r="G810" s="36"/>
      <c r="H810" s="36"/>
      <c r="I810" s="36"/>
      <c r="J810" s="36"/>
      <c r="K810" s="36"/>
      <c r="L810" s="36"/>
      <c r="M810" s="36"/>
      <c r="N810" s="36"/>
      <c r="O810" s="36"/>
      <c r="P810" s="36"/>
      <c r="Q810" s="36"/>
      <c r="R810" s="36"/>
      <c r="S810" s="36"/>
      <c r="T810" s="36"/>
      <c r="U810" s="36"/>
      <c r="V810" s="36"/>
    </row>
    <row r="811" spans="4:22"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36"/>
      <c r="O811" s="36"/>
      <c r="P811" s="36"/>
      <c r="Q811" s="36"/>
      <c r="R811" s="36"/>
      <c r="S811" s="36"/>
      <c r="T811" s="36"/>
      <c r="U811" s="36"/>
      <c r="V811" s="36"/>
    </row>
    <row r="812" spans="4:22">
      <c r="D812" s="36"/>
      <c r="E812" s="36"/>
      <c r="F812" s="36"/>
      <c r="G812" s="36"/>
      <c r="H812" s="36"/>
      <c r="I812" s="36"/>
      <c r="J812" s="36"/>
      <c r="K812" s="36"/>
      <c r="L812" s="36"/>
      <c r="M812" s="36"/>
      <c r="N812" s="36"/>
      <c r="O812" s="36"/>
      <c r="P812" s="36"/>
      <c r="Q812" s="36"/>
      <c r="R812" s="36"/>
      <c r="S812" s="36"/>
      <c r="T812" s="36"/>
      <c r="U812" s="36"/>
      <c r="V812" s="36"/>
    </row>
    <row r="813" spans="4:22">
      <c r="D813" s="36"/>
      <c r="E813" s="36"/>
      <c r="F813" s="36"/>
      <c r="G813" s="36"/>
      <c r="H813" s="36"/>
      <c r="I813" s="36"/>
      <c r="J813" s="36"/>
      <c r="K813" s="36"/>
      <c r="L813" s="36"/>
      <c r="M813" s="36"/>
      <c r="N813" s="36"/>
      <c r="O813" s="36"/>
      <c r="P813" s="36"/>
      <c r="Q813" s="36"/>
      <c r="R813" s="36"/>
      <c r="S813" s="36"/>
      <c r="T813" s="36"/>
      <c r="U813" s="36"/>
      <c r="V813" s="36"/>
    </row>
    <row r="814" spans="4:22">
      <c r="D814" s="36"/>
      <c r="E814" s="36"/>
      <c r="F814" s="36"/>
      <c r="G814" s="36"/>
      <c r="H814" s="36"/>
      <c r="I814" s="36"/>
      <c r="J814" s="36"/>
      <c r="K814" s="36"/>
      <c r="L814" s="36"/>
      <c r="M814" s="36"/>
      <c r="N814" s="36"/>
      <c r="O814" s="36"/>
      <c r="P814" s="36"/>
      <c r="Q814" s="36"/>
      <c r="R814" s="36"/>
      <c r="S814" s="36"/>
      <c r="T814" s="36"/>
      <c r="U814" s="36"/>
      <c r="V814" s="36"/>
    </row>
    <row r="815" spans="4:22">
      <c r="D815" s="36"/>
      <c r="E815" s="36"/>
      <c r="F815" s="36"/>
      <c r="G815" s="36"/>
      <c r="H815" s="36"/>
      <c r="I815" s="36"/>
      <c r="J815" s="36"/>
      <c r="K815" s="36"/>
      <c r="L815" s="36"/>
      <c r="M815" s="36"/>
      <c r="N815" s="36"/>
      <c r="O815" s="36"/>
      <c r="P815" s="36"/>
      <c r="Q815" s="36"/>
      <c r="R815" s="36"/>
      <c r="S815" s="36"/>
      <c r="T815" s="36"/>
      <c r="U815" s="36"/>
      <c r="V815" s="36"/>
    </row>
    <row r="816" spans="4:22">
      <c r="D816" s="36"/>
      <c r="E816" s="36"/>
      <c r="F816" s="36"/>
      <c r="G816" s="36"/>
      <c r="H816" s="36"/>
      <c r="I816" s="36"/>
      <c r="J816" s="36"/>
      <c r="K816" s="36"/>
      <c r="L816" s="36"/>
      <c r="M816" s="36"/>
      <c r="N816" s="36"/>
      <c r="O816" s="36"/>
      <c r="P816" s="36"/>
      <c r="Q816" s="36"/>
      <c r="R816" s="36"/>
      <c r="S816" s="36"/>
      <c r="T816" s="36"/>
      <c r="U816" s="36"/>
      <c r="V816" s="36"/>
    </row>
    <row r="817" spans="4:22">
      <c r="D817" s="36"/>
      <c r="E817" s="36"/>
      <c r="F817" s="36"/>
      <c r="G817" s="36"/>
      <c r="H817" s="36"/>
      <c r="I817" s="36"/>
      <c r="J817" s="36"/>
      <c r="K817" s="36"/>
      <c r="L817" s="36"/>
      <c r="M817" s="36"/>
      <c r="N817" s="36"/>
      <c r="O817" s="36"/>
      <c r="P817" s="36"/>
      <c r="Q817" s="36"/>
      <c r="R817" s="36"/>
      <c r="S817" s="36"/>
      <c r="T817" s="36"/>
      <c r="U817" s="36"/>
      <c r="V817" s="36"/>
    </row>
    <row r="818" spans="4:22"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36"/>
      <c r="O818" s="36"/>
      <c r="P818" s="36"/>
      <c r="Q818" s="36"/>
      <c r="R818" s="36"/>
      <c r="S818" s="36"/>
      <c r="T818" s="36"/>
      <c r="U818" s="36"/>
      <c r="V818" s="36"/>
    </row>
    <row r="819" spans="4:22">
      <c r="D819" s="36"/>
      <c r="E819" s="36"/>
      <c r="F819" s="36"/>
      <c r="G819" s="36"/>
      <c r="H819" s="36"/>
      <c r="I819" s="36"/>
      <c r="J819" s="36"/>
      <c r="K819" s="36"/>
      <c r="L819" s="36"/>
      <c r="M819" s="36"/>
      <c r="N819" s="36"/>
      <c r="O819" s="36"/>
      <c r="P819" s="36"/>
      <c r="Q819" s="36"/>
      <c r="R819" s="36"/>
      <c r="S819" s="36"/>
      <c r="T819" s="36"/>
      <c r="U819" s="36"/>
      <c r="V819" s="36"/>
    </row>
    <row r="820" spans="4:22"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36"/>
      <c r="O820" s="36"/>
      <c r="P820" s="36"/>
      <c r="Q820" s="36"/>
      <c r="R820" s="36"/>
      <c r="S820" s="36"/>
      <c r="T820" s="36"/>
      <c r="U820" s="36"/>
      <c r="V820" s="36"/>
    </row>
    <row r="821" spans="4:22"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36"/>
      <c r="O821" s="36"/>
      <c r="P821" s="36"/>
      <c r="Q821" s="36"/>
      <c r="R821" s="36"/>
      <c r="S821" s="36"/>
      <c r="T821" s="36"/>
      <c r="U821" s="36"/>
      <c r="V821" s="36"/>
    </row>
    <row r="822" spans="4:22"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36"/>
      <c r="O822" s="36"/>
      <c r="P822" s="36"/>
      <c r="Q822" s="36"/>
      <c r="R822" s="36"/>
      <c r="S822" s="36"/>
      <c r="T822" s="36"/>
      <c r="U822" s="36"/>
      <c r="V822" s="36"/>
    </row>
    <row r="823" spans="4:22"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36"/>
      <c r="O823" s="36"/>
      <c r="P823" s="36"/>
      <c r="Q823" s="36"/>
      <c r="R823" s="36"/>
      <c r="S823" s="36"/>
      <c r="T823" s="36"/>
      <c r="U823" s="36"/>
      <c r="V823" s="36"/>
    </row>
    <row r="824" spans="4:22"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36"/>
      <c r="O824" s="36"/>
      <c r="P824" s="36"/>
      <c r="Q824" s="36"/>
      <c r="R824" s="36"/>
      <c r="S824" s="36"/>
      <c r="T824" s="36"/>
      <c r="U824" s="36"/>
      <c r="V824" s="36"/>
    </row>
    <row r="825" spans="4:22"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36"/>
      <c r="O825" s="36"/>
      <c r="P825" s="36"/>
      <c r="Q825" s="36"/>
      <c r="R825" s="36"/>
      <c r="S825" s="36"/>
      <c r="T825" s="36"/>
      <c r="U825" s="36"/>
      <c r="V825" s="36"/>
    </row>
    <row r="826" spans="4:22"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36"/>
      <c r="O826" s="36"/>
      <c r="P826" s="36"/>
      <c r="Q826" s="36"/>
      <c r="R826" s="36"/>
      <c r="S826" s="36"/>
      <c r="T826" s="36"/>
      <c r="U826" s="36"/>
      <c r="V826" s="36"/>
    </row>
    <row r="827" spans="4:22">
      <c r="D827" s="36"/>
      <c r="E827" s="36"/>
      <c r="F827" s="36"/>
      <c r="G827" s="36"/>
      <c r="H827" s="36"/>
      <c r="I827" s="36"/>
      <c r="J827" s="36"/>
      <c r="K827" s="36"/>
      <c r="L827" s="36"/>
      <c r="M827" s="36"/>
      <c r="N827" s="36"/>
      <c r="O827" s="36"/>
      <c r="P827" s="36"/>
      <c r="Q827" s="36"/>
      <c r="R827" s="36"/>
      <c r="S827" s="36"/>
      <c r="T827" s="36"/>
      <c r="U827" s="36"/>
      <c r="V827" s="36"/>
    </row>
    <row r="828" spans="4:22">
      <c r="D828" s="36"/>
      <c r="E828" s="36"/>
      <c r="F828" s="36"/>
      <c r="G828" s="36"/>
      <c r="H828" s="36"/>
      <c r="I828" s="36"/>
      <c r="J828" s="36"/>
      <c r="K828" s="36"/>
      <c r="L828" s="36"/>
      <c r="M828" s="36"/>
      <c r="N828" s="36"/>
      <c r="O828" s="36"/>
      <c r="P828" s="36"/>
      <c r="Q828" s="36"/>
      <c r="R828" s="36"/>
      <c r="S828" s="36"/>
      <c r="T828" s="36"/>
      <c r="U828" s="36"/>
      <c r="V828" s="36"/>
    </row>
    <row r="829" spans="4:22">
      <c r="D829" s="36"/>
      <c r="E829" s="36"/>
      <c r="F829" s="36"/>
      <c r="G829" s="36"/>
      <c r="H829" s="36"/>
      <c r="I829" s="36"/>
      <c r="J829" s="36"/>
      <c r="K829" s="36"/>
      <c r="L829" s="36"/>
      <c r="M829" s="36"/>
      <c r="N829" s="36"/>
      <c r="O829" s="36"/>
      <c r="P829" s="36"/>
      <c r="Q829" s="36"/>
      <c r="R829" s="36"/>
      <c r="S829" s="36"/>
      <c r="T829" s="36"/>
      <c r="U829" s="36"/>
      <c r="V829" s="36"/>
    </row>
    <row r="830" spans="4:22">
      <c r="D830" s="36"/>
      <c r="E830" s="36"/>
      <c r="F830" s="36"/>
      <c r="G830" s="36"/>
      <c r="H830" s="36"/>
      <c r="I830" s="36"/>
      <c r="J830" s="36"/>
      <c r="K830" s="36"/>
      <c r="L830" s="36"/>
      <c r="M830" s="36"/>
      <c r="N830" s="36"/>
      <c r="O830" s="36"/>
      <c r="P830" s="36"/>
      <c r="Q830" s="36"/>
      <c r="R830" s="36"/>
      <c r="S830" s="36"/>
      <c r="T830" s="36"/>
      <c r="U830" s="36"/>
      <c r="V830" s="36"/>
    </row>
    <row r="831" spans="4:22">
      <c r="D831" s="36"/>
      <c r="E831" s="36"/>
      <c r="F831" s="36"/>
      <c r="G831" s="36"/>
      <c r="H831" s="36"/>
      <c r="I831" s="36"/>
      <c r="J831" s="36"/>
      <c r="K831" s="36"/>
      <c r="L831" s="36"/>
      <c r="M831" s="36"/>
      <c r="N831" s="36"/>
      <c r="O831" s="36"/>
      <c r="P831" s="36"/>
      <c r="Q831" s="36"/>
      <c r="R831" s="36"/>
      <c r="S831" s="36"/>
      <c r="T831" s="36"/>
      <c r="U831" s="36"/>
      <c r="V831" s="36"/>
    </row>
    <row r="832" spans="4:22">
      <c r="D832" s="36"/>
      <c r="E832" s="36"/>
      <c r="F832" s="36"/>
      <c r="G832" s="36"/>
      <c r="H832" s="36"/>
      <c r="I832" s="36"/>
      <c r="J832" s="36"/>
      <c r="K832" s="36"/>
      <c r="L832" s="36"/>
      <c r="M832" s="36"/>
      <c r="N832" s="36"/>
      <c r="O832" s="36"/>
      <c r="P832" s="36"/>
      <c r="Q832" s="36"/>
      <c r="R832" s="36"/>
      <c r="S832" s="36"/>
      <c r="T832" s="36"/>
      <c r="U832" s="36"/>
      <c r="V832" s="36"/>
    </row>
    <row r="833" spans="4:22">
      <c r="D833" s="36"/>
      <c r="E833" s="36"/>
      <c r="F833" s="36"/>
      <c r="G833" s="36"/>
      <c r="H833" s="36"/>
      <c r="I833" s="36"/>
      <c r="J833" s="36"/>
      <c r="K833" s="36"/>
      <c r="L833" s="36"/>
      <c r="M833" s="36"/>
      <c r="N833" s="36"/>
      <c r="O833" s="36"/>
      <c r="P833" s="36"/>
      <c r="Q833" s="36"/>
      <c r="R833" s="36"/>
      <c r="S833" s="36"/>
      <c r="T833" s="36"/>
      <c r="U833" s="36"/>
      <c r="V833" s="36"/>
    </row>
    <row r="834" spans="4:22">
      <c r="D834" s="36"/>
      <c r="E834" s="36"/>
      <c r="F834" s="36"/>
      <c r="G834" s="36"/>
      <c r="H834" s="36"/>
      <c r="I834" s="36"/>
      <c r="J834" s="36"/>
      <c r="K834" s="36"/>
      <c r="L834" s="36"/>
      <c r="M834" s="36"/>
      <c r="N834" s="36"/>
      <c r="O834" s="36"/>
      <c r="P834" s="36"/>
      <c r="Q834" s="36"/>
      <c r="R834" s="36"/>
      <c r="S834" s="36"/>
      <c r="T834" s="36"/>
      <c r="U834" s="36"/>
      <c r="V834" s="36"/>
    </row>
    <row r="835" spans="4:22">
      <c r="D835" s="36"/>
      <c r="E835" s="36"/>
      <c r="F835" s="36"/>
      <c r="G835" s="36"/>
      <c r="H835" s="36"/>
      <c r="I835" s="36"/>
      <c r="J835" s="36"/>
      <c r="K835" s="36"/>
      <c r="L835" s="36"/>
      <c r="M835" s="36"/>
      <c r="N835" s="36"/>
      <c r="O835" s="36"/>
      <c r="P835" s="36"/>
      <c r="Q835" s="36"/>
      <c r="R835" s="36"/>
      <c r="S835" s="36"/>
      <c r="T835" s="36"/>
      <c r="U835" s="36"/>
      <c r="V835" s="36"/>
    </row>
    <row r="836" spans="4:22">
      <c r="D836" s="36"/>
      <c r="E836" s="36"/>
      <c r="F836" s="36"/>
      <c r="G836" s="36"/>
      <c r="H836" s="36"/>
      <c r="I836" s="36"/>
      <c r="J836" s="36"/>
      <c r="K836" s="36"/>
      <c r="L836" s="36"/>
      <c r="M836" s="36"/>
      <c r="N836" s="36"/>
      <c r="O836" s="36"/>
      <c r="P836" s="36"/>
      <c r="Q836" s="36"/>
      <c r="R836" s="36"/>
      <c r="S836" s="36"/>
      <c r="T836" s="36"/>
      <c r="U836" s="36"/>
      <c r="V836" s="36"/>
    </row>
    <row r="837" spans="4:22">
      <c r="D837" s="36"/>
      <c r="E837" s="36"/>
      <c r="F837" s="36"/>
      <c r="G837" s="36"/>
      <c r="H837" s="36"/>
      <c r="I837" s="36"/>
      <c r="J837" s="36"/>
      <c r="K837" s="36"/>
      <c r="L837" s="36"/>
      <c r="M837" s="36"/>
      <c r="N837" s="36"/>
      <c r="O837" s="36"/>
      <c r="P837" s="36"/>
      <c r="Q837" s="36"/>
      <c r="R837" s="36"/>
      <c r="S837" s="36"/>
      <c r="T837" s="36"/>
      <c r="U837" s="36"/>
      <c r="V837" s="36"/>
    </row>
    <row r="838" spans="4:22">
      <c r="D838" s="36"/>
      <c r="E838" s="36"/>
      <c r="F838" s="36"/>
      <c r="G838" s="36"/>
      <c r="H838" s="36"/>
      <c r="I838" s="36"/>
      <c r="J838" s="36"/>
      <c r="K838" s="36"/>
      <c r="L838" s="36"/>
      <c r="M838" s="36"/>
      <c r="N838" s="36"/>
      <c r="O838" s="36"/>
      <c r="P838" s="36"/>
      <c r="Q838" s="36"/>
      <c r="R838" s="36"/>
      <c r="S838" s="36"/>
      <c r="T838" s="36"/>
      <c r="U838" s="36"/>
      <c r="V838" s="36"/>
    </row>
    <row r="839" spans="4:22">
      <c r="D839" s="36"/>
      <c r="E839" s="36"/>
      <c r="F839" s="36"/>
      <c r="G839" s="36"/>
      <c r="H839" s="36"/>
      <c r="I839" s="36"/>
      <c r="J839" s="36"/>
      <c r="K839" s="36"/>
      <c r="L839" s="36"/>
      <c r="M839" s="36"/>
      <c r="N839" s="36"/>
      <c r="O839" s="36"/>
      <c r="P839" s="36"/>
      <c r="Q839" s="36"/>
      <c r="R839" s="36"/>
      <c r="S839" s="36"/>
      <c r="T839" s="36"/>
      <c r="U839" s="36"/>
      <c r="V839" s="36"/>
    </row>
    <row r="840" spans="4:22">
      <c r="D840" s="36"/>
      <c r="E840" s="36"/>
      <c r="F840" s="36"/>
      <c r="G840" s="36"/>
      <c r="H840" s="36"/>
      <c r="I840" s="36"/>
      <c r="J840" s="36"/>
      <c r="K840" s="36"/>
      <c r="L840" s="36"/>
      <c r="M840" s="36"/>
      <c r="N840" s="36"/>
      <c r="O840" s="36"/>
      <c r="P840" s="36"/>
      <c r="Q840" s="36"/>
      <c r="R840" s="36"/>
      <c r="S840" s="36"/>
      <c r="T840" s="36"/>
      <c r="U840" s="36"/>
      <c r="V840" s="36"/>
    </row>
    <row r="841" spans="4:22">
      <c r="D841" s="36"/>
      <c r="E841" s="36"/>
      <c r="F841" s="36"/>
      <c r="G841" s="36"/>
      <c r="H841" s="36"/>
      <c r="I841" s="36"/>
      <c r="J841" s="36"/>
      <c r="K841" s="36"/>
      <c r="L841" s="36"/>
      <c r="M841" s="36"/>
      <c r="N841" s="36"/>
      <c r="O841" s="36"/>
      <c r="P841" s="36"/>
      <c r="Q841" s="36"/>
      <c r="R841" s="36"/>
      <c r="S841" s="36"/>
      <c r="T841" s="36"/>
      <c r="U841" s="36"/>
      <c r="V841" s="36"/>
    </row>
    <row r="842" spans="4:22">
      <c r="D842" s="36"/>
      <c r="E842" s="36"/>
      <c r="F842" s="36"/>
      <c r="G842" s="36"/>
      <c r="H842" s="36"/>
      <c r="I842" s="36"/>
      <c r="J842" s="36"/>
      <c r="K842" s="36"/>
      <c r="L842" s="36"/>
      <c r="M842" s="36"/>
      <c r="N842" s="36"/>
      <c r="O842" s="36"/>
      <c r="P842" s="36"/>
      <c r="Q842" s="36"/>
      <c r="R842" s="36"/>
      <c r="S842" s="36"/>
      <c r="T842" s="36"/>
      <c r="U842" s="36"/>
      <c r="V842" s="36"/>
    </row>
    <row r="843" spans="4:22">
      <c r="D843" s="36"/>
      <c r="E843" s="36"/>
      <c r="F843" s="36"/>
      <c r="G843" s="36"/>
      <c r="H843" s="36"/>
      <c r="I843" s="36"/>
      <c r="J843" s="36"/>
      <c r="K843" s="36"/>
      <c r="L843" s="36"/>
      <c r="M843" s="36"/>
      <c r="N843" s="36"/>
      <c r="O843" s="36"/>
      <c r="P843" s="36"/>
      <c r="Q843" s="36"/>
      <c r="R843" s="36"/>
      <c r="S843" s="36"/>
      <c r="T843" s="36"/>
      <c r="U843" s="36"/>
      <c r="V843" s="36"/>
    </row>
    <row r="844" spans="4:22">
      <c r="D844" s="36"/>
      <c r="E844" s="36"/>
      <c r="F844" s="36"/>
      <c r="G844" s="36"/>
      <c r="H844" s="36"/>
      <c r="I844" s="36"/>
      <c r="J844" s="36"/>
      <c r="K844" s="36"/>
      <c r="L844" s="36"/>
      <c r="M844" s="36"/>
      <c r="N844" s="36"/>
      <c r="O844" s="36"/>
      <c r="P844" s="36"/>
      <c r="Q844" s="36"/>
      <c r="R844" s="36"/>
      <c r="S844" s="36"/>
      <c r="T844" s="36"/>
      <c r="U844" s="36"/>
      <c r="V844" s="36"/>
    </row>
    <row r="845" spans="4:22">
      <c r="D845" s="36"/>
      <c r="E845" s="36"/>
      <c r="F845" s="36"/>
      <c r="G845" s="36"/>
      <c r="H845" s="36"/>
      <c r="I845" s="36"/>
      <c r="J845" s="36"/>
      <c r="K845" s="36"/>
      <c r="L845" s="36"/>
      <c r="M845" s="36"/>
      <c r="N845" s="36"/>
      <c r="O845" s="36"/>
      <c r="P845" s="36"/>
      <c r="Q845" s="36"/>
      <c r="R845" s="36"/>
      <c r="S845" s="36"/>
      <c r="T845" s="36"/>
      <c r="U845" s="36"/>
      <c r="V845" s="36"/>
    </row>
    <row r="846" spans="4:22"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36"/>
      <c r="O846" s="36"/>
      <c r="P846" s="36"/>
      <c r="Q846" s="36"/>
      <c r="R846" s="36"/>
      <c r="S846" s="36"/>
      <c r="T846" s="36"/>
      <c r="U846" s="36"/>
      <c r="V846" s="36"/>
    </row>
    <row r="847" spans="4:22">
      <c r="D847" s="36"/>
      <c r="E847" s="36"/>
      <c r="F847" s="36"/>
      <c r="G847" s="36"/>
      <c r="H847" s="36"/>
      <c r="I847" s="36"/>
      <c r="J847" s="36"/>
      <c r="K847" s="36"/>
      <c r="L847" s="36"/>
      <c r="M847" s="36"/>
      <c r="N847" s="36"/>
      <c r="O847" s="36"/>
      <c r="P847" s="36"/>
      <c r="Q847" s="36"/>
      <c r="R847" s="36"/>
      <c r="S847" s="36"/>
      <c r="T847" s="36"/>
      <c r="U847" s="36"/>
      <c r="V847" s="36"/>
    </row>
    <row r="848" spans="4:22">
      <c r="D848" s="36"/>
      <c r="E848" s="36"/>
      <c r="F848" s="36"/>
      <c r="G848" s="36"/>
      <c r="H848" s="36"/>
      <c r="I848" s="36"/>
      <c r="J848" s="36"/>
      <c r="K848" s="36"/>
      <c r="L848" s="36"/>
      <c r="M848" s="36"/>
      <c r="N848" s="36"/>
      <c r="O848" s="36"/>
      <c r="P848" s="36"/>
      <c r="Q848" s="36"/>
      <c r="R848" s="36"/>
      <c r="S848" s="36"/>
      <c r="T848" s="36"/>
      <c r="U848" s="36"/>
      <c r="V848" s="36"/>
    </row>
    <row r="849" spans="4:22">
      <c r="D849" s="36"/>
      <c r="E849" s="36"/>
      <c r="F849" s="36"/>
      <c r="G849" s="36"/>
      <c r="H849" s="36"/>
      <c r="I849" s="36"/>
      <c r="J849" s="36"/>
      <c r="K849" s="36"/>
      <c r="L849" s="36"/>
      <c r="M849" s="36"/>
      <c r="N849" s="36"/>
      <c r="O849" s="36"/>
      <c r="P849" s="36"/>
      <c r="Q849" s="36"/>
      <c r="R849" s="36"/>
      <c r="S849" s="36"/>
      <c r="T849" s="36"/>
      <c r="U849" s="36"/>
      <c r="V849" s="36"/>
    </row>
    <row r="850" spans="4:22">
      <c r="D850" s="36"/>
      <c r="E850" s="36"/>
      <c r="F850" s="36"/>
      <c r="G850" s="36"/>
      <c r="H850" s="36"/>
      <c r="I850" s="36"/>
      <c r="J850" s="36"/>
      <c r="K850" s="36"/>
      <c r="L850" s="36"/>
      <c r="M850" s="36"/>
      <c r="N850" s="36"/>
      <c r="O850" s="36"/>
      <c r="P850" s="36"/>
      <c r="Q850" s="36"/>
      <c r="R850" s="36"/>
      <c r="S850" s="36"/>
      <c r="T850" s="36"/>
      <c r="U850" s="36"/>
      <c r="V850" s="36"/>
    </row>
    <row r="851" spans="4:22">
      <c r="D851" s="36"/>
      <c r="E851" s="36"/>
      <c r="F851" s="36"/>
      <c r="G851" s="36"/>
      <c r="H851" s="36"/>
      <c r="I851" s="36"/>
      <c r="J851" s="36"/>
      <c r="K851" s="36"/>
      <c r="L851" s="36"/>
      <c r="M851" s="36"/>
      <c r="N851" s="36"/>
      <c r="O851" s="36"/>
      <c r="P851" s="36"/>
      <c r="Q851" s="36"/>
      <c r="R851" s="36"/>
      <c r="S851" s="36"/>
      <c r="T851" s="36"/>
      <c r="U851" s="36"/>
      <c r="V851" s="36"/>
    </row>
    <row r="852" spans="4:22">
      <c r="D852" s="36"/>
      <c r="E852" s="36"/>
      <c r="F852" s="36"/>
      <c r="G852" s="36"/>
      <c r="H852" s="36"/>
      <c r="I852" s="36"/>
      <c r="J852" s="36"/>
      <c r="K852" s="36"/>
      <c r="L852" s="36"/>
      <c r="M852" s="36"/>
      <c r="N852" s="36"/>
      <c r="O852" s="36"/>
      <c r="P852" s="36"/>
      <c r="Q852" s="36"/>
      <c r="R852" s="36"/>
      <c r="S852" s="36"/>
      <c r="T852" s="36"/>
      <c r="U852" s="36"/>
      <c r="V852" s="36"/>
    </row>
    <row r="853" spans="4:22">
      <c r="D853" s="36"/>
      <c r="E853" s="36"/>
      <c r="F853" s="36"/>
      <c r="G853" s="36"/>
      <c r="H853" s="36"/>
      <c r="I853" s="36"/>
      <c r="J853" s="36"/>
      <c r="K853" s="36"/>
      <c r="L853" s="36"/>
      <c r="M853" s="36"/>
      <c r="N853" s="36"/>
      <c r="O853" s="36"/>
      <c r="P853" s="36"/>
      <c r="Q853" s="36"/>
      <c r="R853" s="36"/>
      <c r="S853" s="36"/>
      <c r="T853" s="36"/>
      <c r="U853" s="36"/>
      <c r="V853" s="36"/>
    </row>
    <row r="854" spans="4:22">
      <c r="D854" s="36"/>
      <c r="E854" s="36"/>
      <c r="F854" s="36"/>
      <c r="G854" s="36"/>
      <c r="H854" s="36"/>
      <c r="I854" s="36"/>
      <c r="J854" s="36"/>
      <c r="K854" s="36"/>
      <c r="L854" s="36"/>
      <c r="M854" s="36"/>
      <c r="N854" s="36"/>
      <c r="O854" s="36"/>
      <c r="P854" s="36"/>
      <c r="Q854" s="36"/>
      <c r="R854" s="36"/>
      <c r="S854" s="36"/>
      <c r="T854" s="36"/>
      <c r="U854" s="36"/>
      <c r="V854" s="36"/>
    </row>
    <row r="855" spans="4:22">
      <c r="D855" s="36"/>
      <c r="E855" s="36"/>
      <c r="F855" s="36"/>
      <c r="G855" s="36"/>
      <c r="H855" s="36"/>
      <c r="I855" s="36"/>
      <c r="J855" s="36"/>
      <c r="K855" s="36"/>
      <c r="L855" s="36"/>
      <c r="M855" s="36"/>
      <c r="N855" s="36"/>
      <c r="O855" s="36"/>
      <c r="P855" s="36"/>
      <c r="Q855" s="36"/>
      <c r="R855" s="36"/>
      <c r="S855" s="36"/>
      <c r="T855" s="36"/>
      <c r="U855" s="36"/>
      <c r="V855" s="36"/>
    </row>
    <row r="856" spans="4:22">
      <c r="D856" s="36"/>
      <c r="E856" s="36"/>
      <c r="F856" s="36"/>
      <c r="G856" s="36"/>
      <c r="H856" s="36"/>
      <c r="I856" s="36"/>
      <c r="J856" s="36"/>
      <c r="K856" s="36"/>
      <c r="L856" s="36"/>
      <c r="M856" s="36"/>
      <c r="N856" s="36"/>
      <c r="O856" s="36"/>
      <c r="P856" s="36"/>
      <c r="Q856" s="36"/>
      <c r="R856" s="36"/>
      <c r="S856" s="36"/>
      <c r="T856" s="36"/>
      <c r="U856" s="36"/>
      <c r="V856" s="36"/>
    </row>
    <row r="857" spans="4:22">
      <c r="D857" s="36"/>
      <c r="E857" s="36"/>
      <c r="F857" s="36"/>
      <c r="G857" s="36"/>
      <c r="H857" s="36"/>
      <c r="I857" s="36"/>
      <c r="J857" s="36"/>
      <c r="K857" s="36"/>
      <c r="L857" s="36"/>
      <c r="M857" s="36"/>
      <c r="N857" s="36"/>
      <c r="O857" s="36"/>
      <c r="P857" s="36"/>
      <c r="Q857" s="36"/>
      <c r="R857" s="36"/>
      <c r="S857" s="36"/>
      <c r="T857" s="36"/>
      <c r="U857" s="36"/>
      <c r="V857" s="36"/>
    </row>
    <row r="858" spans="4:22">
      <c r="D858" s="36"/>
      <c r="E858" s="36"/>
      <c r="F858" s="36"/>
      <c r="G858" s="36"/>
      <c r="H858" s="36"/>
      <c r="I858" s="36"/>
      <c r="J858" s="36"/>
      <c r="K858" s="36"/>
      <c r="L858" s="36"/>
      <c r="M858" s="36"/>
      <c r="N858" s="36"/>
      <c r="O858" s="36"/>
      <c r="P858" s="36"/>
      <c r="Q858" s="36"/>
      <c r="R858" s="36"/>
      <c r="S858" s="36"/>
      <c r="T858" s="36"/>
      <c r="U858" s="36"/>
      <c r="V858" s="36"/>
    </row>
    <row r="859" spans="4:22">
      <c r="D859" s="36"/>
      <c r="E859" s="36"/>
      <c r="F859" s="36"/>
      <c r="G859" s="36"/>
      <c r="H859" s="36"/>
      <c r="I859" s="36"/>
      <c r="J859" s="36"/>
      <c r="K859" s="36"/>
      <c r="L859" s="36"/>
      <c r="M859" s="36"/>
      <c r="N859" s="36"/>
      <c r="O859" s="36"/>
      <c r="P859" s="36"/>
      <c r="Q859" s="36"/>
      <c r="R859" s="36"/>
      <c r="S859" s="36"/>
      <c r="T859" s="36"/>
      <c r="U859" s="36"/>
      <c r="V859" s="36"/>
    </row>
    <row r="860" spans="4:22">
      <c r="D860" s="36"/>
      <c r="E860" s="36"/>
      <c r="F860" s="36"/>
      <c r="G860" s="36"/>
      <c r="H860" s="36"/>
      <c r="I860" s="36"/>
      <c r="J860" s="36"/>
      <c r="K860" s="36"/>
      <c r="L860" s="36"/>
      <c r="M860" s="36"/>
      <c r="N860" s="36"/>
      <c r="O860" s="36"/>
      <c r="P860" s="36"/>
      <c r="Q860" s="36"/>
      <c r="R860" s="36"/>
      <c r="S860" s="36"/>
      <c r="T860" s="36"/>
      <c r="U860" s="36"/>
      <c r="V860" s="36"/>
    </row>
    <row r="861" spans="4:22">
      <c r="D861" s="36"/>
      <c r="E861" s="36"/>
      <c r="F861" s="36"/>
      <c r="G861" s="36"/>
      <c r="H861" s="36"/>
      <c r="I861" s="36"/>
      <c r="J861" s="36"/>
      <c r="K861" s="36"/>
      <c r="L861" s="36"/>
      <c r="M861" s="36"/>
      <c r="N861" s="36"/>
      <c r="O861" s="36"/>
      <c r="P861" s="36"/>
      <c r="Q861" s="36"/>
      <c r="R861" s="36"/>
      <c r="S861" s="36"/>
      <c r="T861" s="36"/>
      <c r="U861" s="36"/>
      <c r="V861" s="36"/>
    </row>
    <row r="862" spans="4:22">
      <c r="D862" s="36"/>
      <c r="E862" s="36"/>
      <c r="F862" s="36"/>
      <c r="G862" s="36"/>
      <c r="H862" s="36"/>
      <c r="I862" s="36"/>
      <c r="J862" s="36"/>
      <c r="K862" s="36"/>
      <c r="L862" s="36"/>
      <c r="M862" s="36"/>
      <c r="N862" s="36"/>
      <c r="O862" s="36"/>
      <c r="P862" s="36"/>
      <c r="Q862" s="36"/>
      <c r="R862" s="36"/>
      <c r="S862" s="36"/>
      <c r="T862" s="36"/>
      <c r="U862" s="36"/>
      <c r="V862" s="36"/>
    </row>
    <row r="863" spans="4:22">
      <c r="D863" s="36"/>
      <c r="E863" s="36"/>
      <c r="F863" s="36"/>
      <c r="G863" s="36"/>
      <c r="H863" s="36"/>
      <c r="I863" s="36"/>
      <c r="J863" s="36"/>
      <c r="K863" s="36"/>
      <c r="L863" s="36"/>
      <c r="M863" s="36"/>
      <c r="N863" s="36"/>
      <c r="O863" s="36"/>
      <c r="P863" s="36"/>
      <c r="Q863" s="36"/>
      <c r="R863" s="36"/>
      <c r="S863" s="36"/>
      <c r="T863" s="36"/>
      <c r="U863" s="36"/>
      <c r="V863" s="36"/>
    </row>
    <row r="864" spans="4:22">
      <c r="D864" s="36"/>
      <c r="E864" s="36"/>
      <c r="F864" s="36"/>
      <c r="G864" s="36"/>
      <c r="H864" s="36"/>
      <c r="I864" s="36"/>
      <c r="J864" s="36"/>
      <c r="K864" s="36"/>
      <c r="L864" s="36"/>
      <c r="M864" s="36"/>
      <c r="N864" s="36"/>
      <c r="O864" s="36"/>
      <c r="P864" s="36"/>
      <c r="Q864" s="36"/>
      <c r="R864" s="36"/>
      <c r="S864" s="36"/>
      <c r="T864" s="36"/>
      <c r="U864" s="36"/>
      <c r="V864" s="36"/>
    </row>
    <row r="865" spans="4:22">
      <c r="D865" s="36"/>
      <c r="E865" s="36"/>
      <c r="F865" s="36"/>
      <c r="G865" s="36"/>
      <c r="H865" s="36"/>
      <c r="I865" s="36"/>
      <c r="J865" s="36"/>
      <c r="K865" s="36"/>
      <c r="L865" s="36"/>
      <c r="M865" s="36"/>
      <c r="N865" s="36"/>
      <c r="O865" s="36"/>
      <c r="P865" s="36"/>
      <c r="Q865" s="36"/>
      <c r="R865" s="36"/>
      <c r="S865" s="36"/>
      <c r="T865" s="36"/>
      <c r="U865" s="36"/>
      <c r="V865" s="36"/>
    </row>
    <row r="866" spans="4:22">
      <c r="D866" s="36"/>
      <c r="E866" s="36"/>
      <c r="F866" s="36"/>
      <c r="G866" s="36"/>
      <c r="H866" s="36"/>
      <c r="I866" s="36"/>
      <c r="J866" s="36"/>
      <c r="K866" s="36"/>
      <c r="L866" s="36"/>
      <c r="M866" s="36"/>
      <c r="N866" s="36"/>
      <c r="O866" s="36"/>
      <c r="P866" s="36"/>
      <c r="Q866" s="36"/>
      <c r="R866" s="36"/>
      <c r="S866" s="36"/>
      <c r="T866" s="36"/>
      <c r="U866" s="36"/>
      <c r="V866" s="36"/>
    </row>
    <row r="867" spans="4:22">
      <c r="D867" s="36"/>
      <c r="E867" s="36"/>
      <c r="F867" s="36"/>
      <c r="G867" s="36"/>
      <c r="H867" s="36"/>
      <c r="I867" s="36"/>
      <c r="J867" s="36"/>
      <c r="K867" s="36"/>
      <c r="L867" s="36"/>
      <c r="M867" s="36"/>
      <c r="N867" s="36"/>
      <c r="O867" s="36"/>
      <c r="P867" s="36"/>
      <c r="Q867" s="36"/>
      <c r="R867" s="36"/>
      <c r="S867" s="36"/>
      <c r="T867" s="36"/>
      <c r="U867" s="36"/>
      <c r="V867" s="36"/>
    </row>
    <row r="868" spans="4:22">
      <c r="D868" s="36"/>
      <c r="E868" s="36"/>
      <c r="F868" s="36"/>
      <c r="G868" s="36"/>
      <c r="H868" s="36"/>
      <c r="I868" s="36"/>
      <c r="J868" s="36"/>
      <c r="K868" s="36"/>
      <c r="L868" s="36"/>
      <c r="M868" s="36"/>
      <c r="N868" s="36"/>
      <c r="O868" s="36"/>
      <c r="P868" s="36"/>
      <c r="Q868" s="36"/>
      <c r="R868" s="36"/>
      <c r="S868" s="36"/>
      <c r="T868" s="36"/>
      <c r="U868" s="36"/>
      <c r="V868" s="36"/>
    </row>
    <row r="869" spans="4:22">
      <c r="D869" s="36"/>
      <c r="E869" s="36"/>
      <c r="F869" s="36"/>
      <c r="G869" s="36"/>
      <c r="H869" s="36"/>
      <c r="I869" s="36"/>
      <c r="J869" s="36"/>
      <c r="K869" s="36"/>
      <c r="L869" s="36"/>
      <c r="M869" s="36"/>
      <c r="N869" s="36"/>
      <c r="O869" s="36"/>
      <c r="P869" s="36"/>
      <c r="Q869" s="36"/>
      <c r="R869" s="36"/>
      <c r="S869" s="36"/>
      <c r="T869" s="36"/>
      <c r="U869" s="36"/>
      <c r="V869" s="36"/>
    </row>
    <row r="870" spans="4:22">
      <c r="D870" s="36"/>
      <c r="E870" s="36"/>
      <c r="F870" s="36"/>
      <c r="G870" s="36"/>
      <c r="H870" s="36"/>
      <c r="I870" s="36"/>
      <c r="J870" s="36"/>
      <c r="K870" s="36"/>
      <c r="L870" s="36"/>
      <c r="M870" s="36"/>
      <c r="N870" s="36"/>
      <c r="O870" s="36"/>
      <c r="P870" s="36"/>
      <c r="Q870" s="36"/>
      <c r="R870" s="36"/>
      <c r="S870" s="36"/>
      <c r="T870" s="36"/>
      <c r="U870" s="36"/>
      <c r="V870" s="36"/>
    </row>
    <row r="871" spans="4:22">
      <c r="D871" s="36"/>
      <c r="E871" s="36"/>
      <c r="F871" s="36"/>
      <c r="G871" s="36"/>
      <c r="H871" s="36"/>
      <c r="I871" s="36"/>
      <c r="J871" s="36"/>
      <c r="K871" s="36"/>
      <c r="L871" s="36"/>
      <c r="M871" s="36"/>
      <c r="N871" s="36"/>
      <c r="O871" s="36"/>
      <c r="P871" s="36"/>
      <c r="Q871" s="36"/>
      <c r="R871" s="36"/>
      <c r="S871" s="36"/>
      <c r="T871" s="36"/>
      <c r="U871" s="36"/>
      <c r="V871" s="36"/>
    </row>
    <row r="872" spans="4:22">
      <c r="D872" s="36"/>
      <c r="E872" s="36"/>
      <c r="F872" s="36"/>
      <c r="G872" s="36"/>
      <c r="H872" s="36"/>
      <c r="I872" s="36"/>
      <c r="J872" s="36"/>
      <c r="K872" s="36"/>
      <c r="L872" s="36"/>
      <c r="M872" s="36"/>
      <c r="N872" s="36"/>
      <c r="O872" s="36"/>
      <c r="P872" s="36"/>
      <c r="Q872" s="36"/>
      <c r="R872" s="36"/>
      <c r="S872" s="36"/>
      <c r="T872" s="36"/>
      <c r="U872" s="36"/>
      <c r="V872" s="36"/>
    </row>
    <row r="873" spans="4:22">
      <c r="D873" s="36"/>
      <c r="E873" s="36"/>
      <c r="F873" s="36"/>
      <c r="G873" s="36"/>
      <c r="H873" s="36"/>
      <c r="I873" s="36"/>
      <c r="J873" s="36"/>
      <c r="K873" s="36"/>
      <c r="L873" s="36"/>
      <c r="M873" s="36"/>
      <c r="N873" s="36"/>
      <c r="O873" s="36"/>
      <c r="P873" s="36"/>
      <c r="Q873" s="36"/>
      <c r="R873" s="36"/>
      <c r="S873" s="36"/>
      <c r="T873" s="36"/>
      <c r="U873" s="36"/>
      <c r="V873" s="36"/>
    </row>
    <row r="874" spans="4:22">
      <c r="D874" s="36"/>
      <c r="E874" s="36"/>
      <c r="F874" s="36"/>
      <c r="G874" s="36"/>
      <c r="H874" s="36"/>
      <c r="I874" s="36"/>
      <c r="J874" s="36"/>
      <c r="K874" s="36"/>
      <c r="L874" s="36"/>
      <c r="M874" s="36"/>
      <c r="N874" s="36"/>
      <c r="O874" s="36"/>
      <c r="P874" s="36"/>
      <c r="Q874" s="36"/>
      <c r="R874" s="36"/>
      <c r="S874" s="36"/>
      <c r="T874" s="36"/>
      <c r="U874" s="36"/>
      <c r="V874" s="36"/>
    </row>
    <row r="875" spans="4:22">
      <c r="D875" s="36"/>
      <c r="E875" s="36"/>
      <c r="F875" s="36"/>
      <c r="G875" s="36"/>
      <c r="H875" s="36"/>
      <c r="I875" s="36"/>
      <c r="J875" s="36"/>
      <c r="K875" s="36"/>
      <c r="L875" s="36"/>
      <c r="M875" s="36"/>
      <c r="N875" s="36"/>
      <c r="O875" s="36"/>
      <c r="P875" s="36"/>
      <c r="Q875" s="36"/>
      <c r="R875" s="36"/>
      <c r="S875" s="36"/>
      <c r="T875" s="36"/>
      <c r="U875" s="36"/>
      <c r="V875" s="36"/>
    </row>
    <row r="876" spans="4:22">
      <c r="D876" s="36"/>
      <c r="E876" s="36"/>
      <c r="F876" s="36"/>
      <c r="G876" s="36"/>
      <c r="H876" s="36"/>
      <c r="I876" s="36"/>
      <c r="J876" s="36"/>
      <c r="K876" s="36"/>
      <c r="L876" s="36"/>
      <c r="M876" s="36"/>
      <c r="N876" s="36"/>
      <c r="O876" s="36"/>
      <c r="P876" s="36"/>
      <c r="Q876" s="36"/>
      <c r="R876" s="36"/>
      <c r="S876" s="36"/>
      <c r="T876" s="36"/>
      <c r="U876" s="36"/>
      <c r="V876" s="36"/>
    </row>
    <row r="877" spans="4:22">
      <c r="D877" s="36"/>
      <c r="E877" s="36"/>
      <c r="F877" s="36"/>
      <c r="G877" s="36"/>
      <c r="H877" s="36"/>
      <c r="I877" s="36"/>
      <c r="J877" s="36"/>
      <c r="K877" s="36"/>
      <c r="L877" s="36"/>
      <c r="M877" s="36"/>
      <c r="N877" s="36"/>
      <c r="O877" s="36"/>
      <c r="P877" s="36"/>
      <c r="Q877" s="36"/>
      <c r="R877" s="36"/>
      <c r="S877" s="36"/>
      <c r="T877" s="36"/>
      <c r="U877" s="36"/>
      <c r="V877" s="36"/>
    </row>
    <row r="878" spans="4:22">
      <c r="D878" s="36"/>
      <c r="E878" s="36"/>
      <c r="F878" s="36"/>
      <c r="G878" s="36"/>
      <c r="H878" s="36"/>
      <c r="I878" s="36"/>
      <c r="J878" s="36"/>
      <c r="K878" s="36"/>
      <c r="L878" s="36"/>
      <c r="M878" s="36"/>
      <c r="N878" s="36"/>
      <c r="O878" s="36"/>
      <c r="P878" s="36"/>
      <c r="Q878" s="36"/>
      <c r="R878" s="36"/>
      <c r="S878" s="36"/>
      <c r="T878" s="36"/>
      <c r="U878" s="36"/>
      <c r="V878" s="36"/>
    </row>
    <row r="879" spans="4:22">
      <c r="D879" s="36"/>
      <c r="E879" s="36"/>
      <c r="F879" s="36"/>
      <c r="G879" s="36"/>
      <c r="H879" s="36"/>
      <c r="I879" s="36"/>
      <c r="J879" s="36"/>
      <c r="K879" s="36"/>
      <c r="L879" s="36"/>
      <c r="M879" s="36"/>
      <c r="N879" s="36"/>
      <c r="O879" s="36"/>
      <c r="P879" s="36"/>
      <c r="Q879" s="36"/>
      <c r="R879" s="36"/>
      <c r="S879" s="36"/>
      <c r="T879" s="36"/>
      <c r="U879" s="36"/>
      <c r="V879" s="36"/>
    </row>
    <row r="880" spans="4:22">
      <c r="D880" s="36"/>
      <c r="E880" s="36"/>
      <c r="F880" s="36"/>
      <c r="G880" s="36"/>
      <c r="H880" s="36"/>
      <c r="I880" s="36"/>
      <c r="J880" s="36"/>
      <c r="K880" s="36"/>
      <c r="L880" s="36"/>
      <c r="M880" s="36"/>
      <c r="N880" s="36"/>
      <c r="O880" s="36"/>
      <c r="P880" s="36"/>
      <c r="Q880" s="36"/>
      <c r="R880" s="36"/>
      <c r="S880" s="36"/>
      <c r="T880" s="36"/>
      <c r="U880" s="36"/>
      <c r="V880" s="36"/>
    </row>
    <row r="881" spans="4:22">
      <c r="D881" s="36"/>
      <c r="E881" s="36"/>
      <c r="F881" s="36"/>
      <c r="G881" s="36"/>
      <c r="H881" s="36"/>
      <c r="I881" s="36"/>
      <c r="J881" s="36"/>
      <c r="K881" s="36"/>
      <c r="L881" s="36"/>
      <c r="M881" s="36"/>
      <c r="N881" s="36"/>
      <c r="O881" s="36"/>
      <c r="P881" s="36"/>
      <c r="Q881" s="36"/>
      <c r="R881" s="36"/>
      <c r="S881" s="36"/>
      <c r="T881" s="36"/>
      <c r="U881" s="36"/>
      <c r="V881" s="36"/>
    </row>
    <row r="882" spans="4:22">
      <c r="D882" s="36"/>
      <c r="E882" s="36"/>
      <c r="F882" s="36"/>
      <c r="G882" s="36"/>
      <c r="H882" s="36"/>
      <c r="I882" s="36"/>
      <c r="J882" s="36"/>
      <c r="K882" s="36"/>
      <c r="L882" s="36"/>
      <c r="M882" s="36"/>
      <c r="N882" s="36"/>
      <c r="O882" s="36"/>
      <c r="P882" s="36"/>
      <c r="Q882" s="36"/>
      <c r="R882" s="36"/>
      <c r="S882" s="36"/>
      <c r="T882" s="36"/>
      <c r="U882" s="36"/>
      <c r="V882" s="36"/>
    </row>
    <row r="883" spans="4:22">
      <c r="D883" s="36"/>
      <c r="E883" s="36"/>
      <c r="F883" s="36"/>
      <c r="G883" s="36"/>
      <c r="H883" s="36"/>
      <c r="I883" s="36"/>
      <c r="J883" s="36"/>
      <c r="K883" s="36"/>
      <c r="L883" s="36"/>
      <c r="M883" s="36"/>
      <c r="N883" s="36"/>
      <c r="O883" s="36"/>
      <c r="P883" s="36"/>
      <c r="Q883" s="36"/>
      <c r="R883" s="36"/>
      <c r="S883" s="36"/>
      <c r="T883" s="36"/>
      <c r="U883" s="36"/>
      <c r="V883" s="36"/>
    </row>
    <row r="884" spans="4:22">
      <c r="D884" s="36"/>
      <c r="E884" s="36"/>
      <c r="F884" s="36"/>
      <c r="G884" s="36"/>
      <c r="H884" s="36"/>
      <c r="I884" s="36"/>
      <c r="J884" s="36"/>
      <c r="K884" s="36"/>
      <c r="L884" s="36"/>
      <c r="M884" s="36"/>
      <c r="N884" s="36"/>
      <c r="O884" s="36"/>
      <c r="P884" s="36"/>
      <c r="Q884" s="36"/>
      <c r="R884" s="36"/>
      <c r="S884" s="36"/>
      <c r="T884" s="36"/>
      <c r="U884" s="36"/>
      <c r="V884" s="36"/>
    </row>
    <row r="885" spans="4:22">
      <c r="D885" s="36"/>
      <c r="E885" s="36"/>
      <c r="F885" s="36"/>
      <c r="G885" s="36"/>
      <c r="H885" s="36"/>
      <c r="I885" s="36"/>
      <c r="J885" s="36"/>
      <c r="K885" s="36"/>
      <c r="L885" s="36"/>
      <c r="M885" s="36"/>
      <c r="N885" s="36"/>
      <c r="O885" s="36"/>
      <c r="P885" s="36"/>
      <c r="Q885" s="36"/>
      <c r="R885" s="36"/>
      <c r="S885" s="36"/>
      <c r="T885" s="36"/>
      <c r="U885" s="36"/>
      <c r="V885" s="36"/>
    </row>
    <row r="886" spans="4:22">
      <c r="D886" s="36"/>
      <c r="E886" s="36"/>
      <c r="F886" s="36"/>
      <c r="G886" s="36"/>
      <c r="H886" s="36"/>
      <c r="I886" s="36"/>
      <c r="J886" s="36"/>
      <c r="K886" s="36"/>
      <c r="L886" s="36"/>
      <c r="M886" s="36"/>
      <c r="N886" s="36"/>
      <c r="O886" s="36"/>
      <c r="P886" s="36"/>
      <c r="Q886" s="36"/>
      <c r="R886" s="36"/>
      <c r="S886" s="36"/>
      <c r="T886" s="36"/>
      <c r="U886" s="36"/>
      <c r="V886" s="36"/>
    </row>
    <row r="887" spans="4:22">
      <c r="D887" s="36"/>
      <c r="E887" s="36"/>
      <c r="F887" s="36"/>
      <c r="G887" s="36"/>
      <c r="H887" s="36"/>
      <c r="I887" s="36"/>
      <c r="J887" s="36"/>
      <c r="K887" s="36"/>
      <c r="L887" s="36"/>
      <c r="M887" s="36"/>
      <c r="N887" s="36"/>
      <c r="O887" s="36"/>
      <c r="P887" s="36"/>
      <c r="Q887" s="36"/>
      <c r="R887" s="36"/>
      <c r="S887" s="36"/>
      <c r="T887" s="36"/>
      <c r="U887" s="36"/>
      <c r="V887" s="36"/>
    </row>
    <row r="888" spans="4:22">
      <c r="D888" s="36"/>
      <c r="E888" s="36"/>
      <c r="F888" s="36"/>
      <c r="G888" s="36"/>
      <c r="H888" s="36"/>
      <c r="I888" s="36"/>
      <c r="J888" s="36"/>
      <c r="K888" s="36"/>
      <c r="L888" s="36"/>
      <c r="M888" s="36"/>
      <c r="N888" s="36"/>
      <c r="O888" s="36"/>
      <c r="P888" s="36"/>
      <c r="Q888" s="36"/>
      <c r="R888" s="36"/>
      <c r="S888" s="36"/>
      <c r="T888" s="36"/>
      <c r="U888" s="36"/>
      <c r="V888" s="36"/>
    </row>
    <row r="889" spans="4:22">
      <c r="D889" s="36"/>
      <c r="E889" s="36"/>
      <c r="F889" s="36"/>
      <c r="G889" s="36"/>
      <c r="H889" s="36"/>
      <c r="I889" s="36"/>
      <c r="J889" s="36"/>
      <c r="K889" s="36"/>
      <c r="L889" s="36"/>
      <c r="M889" s="36"/>
      <c r="N889" s="36"/>
      <c r="O889" s="36"/>
      <c r="P889" s="36"/>
      <c r="Q889" s="36"/>
      <c r="R889" s="36"/>
      <c r="S889" s="36"/>
      <c r="T889" s="36"/>
      <c r="U889" s="36"/>
      <c r="V889" s="36"/>
    </row>
    <row r="890" spans="4:22">
      <c r="D890" s="36"/>
      <c r="E890" s="36"/>
      <c r="F890" s="36"/>
      <c r="G890" s="36"/>
      <c r="H890" s="36"/>
      <c r="I890" s="36"/>
      <c r="J890" s="36"/>
      <c r="K890" s="36"/>
      <c r="L890" s="36"/>
      <c r="M890" s="36"/>
      <c r="N890" s="36"/>
      <c r="O890" s="36"/>
      <c r="P890" s="36"/>
      <c r="Q890" s="36"/>
      <c r="R890" s="36"/>
      <c r="S890" s="36"/>
      <c r="T890" s="36"/>
      <c r="U890" s="36"/>
      <c r="V890" s="36"/>
    </row>
    <row r="891" spans="4:22">
      <c r="D891" s="36"/>
      <c r="E891" s="36"/>
      <c r="F891" s="36"/>
      <c r="G891" s="36"/>
      <c r="H891" s="36"/>
      <c r="I891" s="36"/>
      <c r="J891" s="36"/>
      <c r="K891" s="36"/>
      <c r="L891" s="36"/>
      <c r="M891" s="36"/>
      <c r="N891" s="36"/>
      <c r="O891" s="36"/>
      <c r="P891" s="36"/>
      <c r="Q891" s="36"/>
      <c r="R891" s="36"/>
      <c r="S891" s="36"/>
      <c r="T891" s="36"/>
      <c r="U891" s="36"/>
      <c r="V891" s="36"/>
    </row>
    <row r="892" spans="4:22">
      <c r="D892" s="36"/>
      <c r="E892" s="36"/>
      <c r="F892" s="36"/>
      <c r="G892" s="36"/>
      <c r="H892" s="36"/>
      <c r="I892" s="36"/>
      <c r="J892" s="36"/>
      <c r="K892" s="36"/>
      <c r="L892" s="36"/>
      <c r="M892" s="36"/>
      <c r="N892" s="36"/>
      <c r="O892" s="36"/>
      <c r="P892" s="36"/>
      <c r="Q892" s="36"/>
      <c r="R892" s="36"/>
      <c r="S892" s="36"/>
      <c r="T892" s="36"/>
      <c r="U892" s="36"/>
      <c r="V892" s="36"/>
    </row>
    <row r="893" spans="4:22">
      <c r="D893" s="36"/>
      <c r="E893" s="36"/>
      <c r="F893" s="36"/>
      <c r="G893" s="36"/>
      <c r="H893" s="36"/>
      <c r="I893" s="36"/>
      <c r="J893" s="36"/>
      <c r="K893" s="36"/>
      <c r="L893" s="36"/>
      <c r="M893" s="36"/>
      <c r="N893" s="36"/>
      <c r="O893" s="36"/>
      <c r="P893" s="36"/>
      <c r="Q893" s="36"/>
      <c r="R893" s="36"/>
      <c r="S893" s="36"/>
      <c r="T893" s="36"/>
      <c r="U893" s="36"/>
      <c r="V893" s="36"/>
    </row>
    <row r="894" spans="4:22">
      <c r="D894" s="36"/>
      <c r="E894" s="36"/>
      <c r="F894" s="36"/>
      <c r="G894" s="36"/>
      <c r="H894" s="36"/>
      <c r="I894" s="36"/>
      <c r="J894" s="36"/>
      <c r="K894" s="36"/>
      <c r="L894" s="36"/>
      <c r="M894" s="36"/>
      <c r="N894" s="36"/>
      <c r="O894" s="36"/>
      <c r="P894" s="36"/>
      <c r="Q894" s="36"/>
      <c r="R894" s="36"/>
      <c r="S894" s="36"/>
      <c r="T894" s="36"/>
      <c r="U894" s="36"/>
      <c r="V894" s="36"/>
    </row>
    <row r="895" spans="4:22">
      <c r="D895" s="36"/>
      <c r="E895" s="36"/>
      <c r="F895" s="36"/>
      <c r="G895" s="36"/>
      <c r="H895" s="36"/>
      <c r="I895" s="36"/>
      <c r="J895" s="36"/>
      <c r="K895" s="36"/>
      <c r="L895" s="36"/>
      <c r="M895" s="36"/>
      <c r="N895" s="36"/>
      <c r="O895" s="36"/>
      <c r="P895" s="36"/>
      <c r="Q895" s="36"/>
      <c r="R895" s="36"/>
      <c r="S895" s="36"/>
      <c r="T895" s="36"/>
      <c r="U895" s="36"/>
      <c r="V895" s="36"/>
    </row>
    <row r="896" spans="4:22">
      <c r="D896" s="36"/>
      <c r="E896" s="36"/>
      <c r="F896" s="36"/>
      <c r="G896" s="36"/>
      <c r="H896" s="36"/>
      <c r="I896" s="36"/>
      <c r="J896" s="36"/>
      <c r="K896" s="36"/>
      <c r="L896" s="36"/>
      <c r="M896" s="36"/>
      <c r="N896" s="36"/>
      <c r="O896" s="36"/>
      <c r="P896" s="36"/>
      <c r="Q896" s="36"/>
      <c r="R896" s="36"/>
      <c r="S896" s="36"/>
      <c r="T896" s="36"/>
      <c r="U896" s="36"/>
      <c r="V896" s="36"/>
    </row>
    <row r="897" spans="4:22">
      <c r="D897" s="36"/>
      <c r="E897" s="36"/>
      <c r="F897" s="36"/>
      <c r="G897" s="36"/>
      <c r="H897" s="36"/>
      <c r="I897" s="36"/>
      <c r="J897" s="36"/>
      <c r="K897" s="36"/>
      <c r="L897" s="36"/>
      <c r="M897" s="36"/>
      <c r="N897" s="36"/>
      <c r="O897" s="36"/>
      <c r="P897" s="36"/>
      <c r="Q897" s="36"/>
      <c r="R897" s="36"/>
      <c r="S897" s="36"/>
      <c r="T897" s="36"/>
      <c r="U897" s="36"/>
      <c r="V897" s="36"/>
    </row>
    <row r="898" spans="4:22">
      <c r="D898" s="36"/>
      <c r="E898" s="36"/>
      <c r="F898" s="36"/>
      <c r="G898" s="36"/>
      <c r="H898" s="36"/>
      <c r="I898" s="36"/>
      <c r="J898" s="36"/>
      <c r="K898" s="36"/>
      <c r="L898" s="36"/>
      <c r="M898" s="36"/>
      <c r="N898" s="36"/>
      <c r="O898" s="36"/>
      <c r="P898" s="36"/>
      <c r="Q898" s="36"/>
      <c r="R898" s="36"/>
      <c r="S898" s="36"/>
      <c r="T898" s="36"/>
      <c r="U898" s="36"/>
      <c r="V898" s="36"/>
    </row>
    <row r="899" spans="4:22">
      <c r="D899" s="36"/>
      <c r="E899" s="36"/>
      <c r="F899" s="36"/>
      <c r="G899" s="36"/>
      <c r="H899" s="36"/>
      <c r="I899" s="36"/>
      <c r="J899" s="36"/>
      <c r="K899" s="36"/>
      <c r="L899" s="36"/>
      <c r="M899" s="36"/>
      <c r="N899" s="36"/>
      <c r="O899" s="36"/>
      <c r="P899" s="36"/>
      <c r="Q899" s="36"/>
      <c r="R899" s="36"/>
      <c r="S899" s="36"/>
      <c r="T899" s="36"/>
      <c r="U899" s="36"/>
      <c r="V899" s="36"/>
    </row>
    <row r="900" spans="4:22">
      <c r="D900" s="36"/>
      <c r="E900" s="36"/>
      <c r="F900" s="36"/>
      <c r="G900" s="36"/>
      <c r="H900" s="36"/>
      <c r="I900" s="36"/>
      <c r="J900" s="36"/>
      <c r="K900" s="36"/>
      <c r="L900" s="36"/>
      <c r="M900" s="36"/>
      <c r="N900" s="36"/>
      <c r="O900" s="36"/>
      <c r="P900" s="36"/>
      <c r="Q900" s="36"/>
      <c r="R900" s="36"/>
      <c r="S900" s="36"/>
      <c r="T900" s="36"/>
      <c r="U900" s="36"/>
      <c r="V900" s="36"/>
    </row>
    <row r="901" spans="4:22">
      <c r="D901" s="36"/>
      <c r="E901" s="36"/>
      <c r="F901" s="36"/>
      <c r="G901" s="36"/>
      <c r="H901" s="36"/>
      <c r="I901" s="36"/>
      <c r="J901" s="36"/>
      <c r="K901" s="36"/>
      <c r="L901" s="36"/>
      <c r="M901" s="36"/>
      <c r="N901" s="36"/>
      <c r="O901" s="36"/>
      <c r="P901" s="36"/>
      <c r="Q901" s="36"/>
      <c r="R901" s="36"/>
      <c r="S901" s="36"/>
      <c r="T901" s="36"/>
      <c r="U901" s="36"/>
      <c r="V901" s="36"/>
    </row>
    <row r="902" spans="4:22">
      <c r="D902" s="36"/>
      <c r="E902" s="36"/>
      <c r="F902" s="36"/>
      <c r="G902" s="36"/>
      <c r="H902" s="36"/>
      <c r="I902" s="36"/>
      <c r="J902" s="36"/>
      <c r="K902" s="36"/>
      <c r="L902" s="36"/>
      <c r="M902" s="36"/>
      <c r="N902" s="36"/>
      <c r="O902" s="36"/>
      <c r="P902" s="36"/>
      <c r="Q902" s="36"/>
      <c r="R902" s="36"/>
      <c r="S902" s="36"/>
      <c r="T902" s="36"/>
      <c r="U902" s="36"/>
      <c r="V902" s="36"/>
    </row>
    <row r="903" spans="4:22">
      <c r="D903" s="36"/>
      <c r="E903" s="36"/>
      <c r="F903" s="36"/>
      <c r="G903" s="36"/>
      <c r="H903" s="36"/>
      <c r="I903" s="36"/>
      <c r="J903" s="36"/>
      <c r="K903" s="36"/>
      <c r="L903" s="36"/>
      <c r="M903" s="36"/>
      <c r="N903" s="36"/>
      <c r="O903" s="36"/>
      <c r="P903" s="36"/>
      <c r="Q903" s="36"/>
      <c r="R903" s="36"/>
      <c r="S903" s="36"/>
      <c r="T903" s="36"/>
      <c r="U903" s="36"/>
      <c r="V903" s="36"/>
    </row>
    <row r="904" spans="4:22">
      <c r="D904" s="36"/>
      <c r="E904" s="36"/>
      <c r="F904" s="36"/>
      <c r="G904" s="36"/>
      <c r="H904" s="36"/>
      <c r="I904" s="36"/>
      <c r="J904" s="36"/>
      <c r="K904" s="36"/>
      <c r="L904" s="36"/>
      <c r="M904" s="36"/>
      <c r="N904" s="36"/>
      <c r="O904" s="36"/>
      <c r="P904" s="36"/>
      <c r="Q904" s="36"/>
      <c r="R904" s="36"/>
      <c r="S904" s="36"/>
      <c r="T904" s="36"/>
      <c r="U904" s="36"/>
      <c r="V904" s="36"/>
    </row>
    <row r="905" spans="4:22">
      <c r="D905" s="36"/>
      <c r="E905" s="36"/>
      <c r="F905" s="36"/>
      <c r="G905" s="36"/>
      <c r="H905" s="36"/>
      <c r="I905" s="36"/>
      <c r="J905" s="36"/>
      <c r="K905" s="36"/>
      <c r="L905" s="36"/>
      <c r="M905" s="36"/>
      <c r="N905" s="36"/>
      <c r="O905" s="36"/>
      <c r="P905" s="36"/>
      <c r="Q905" s="36"/>
      <c r="R905" s="36"/>
      <c r="S905" s="36"/>
      <c r="T905" s="36"/>
      <c r="U905" s="36"/>
      <c r="V905" s="36"/>
    </row>
    <row r="906" spans="4:22">
      <c r="D906" s="36"/>
      <c r="E906" s="36"/>
      <c r="F906" s="36"/>
      <c r="G906" s="36"/>
      <c r="H906" s="36"/>
      <c r="I906" s="36"/>
      <c r="J906" s="36"/>
      <c r="K906" s="36"/>
      <c r="L906" s="36"/>
      <c r="M906" s="36"/>
      <c r="N906" s="36"/>
      <c r="O906" s="36"/>
      <c r="P906" s="36"/>
      <c r="Q906" s="36"/>
      <c r="R906" s="36"/>
      <c r="S906" s="36"/>
      <c r="T906" s="36"/>
      <c r="U906" s="36"/>
      <c r="V906" s="36"/>
    </row>
    <row r="907" spans="4:22">
      <c r="D907" s="36"/>
      <c r="E907" s="36"/>
      <c r="F907" s="36"/>
      <c r="G907" s="36"/>
      <c r="H907" s="36"/>
      <c r="I907" s="36"/>
      <c r="J907" s="36"/>
      <c r="K907" s="36"/>
      <c r="L907" s="36"/>
      <c r="M907" s="36"/>
      <c r="N907" s="36"/>
      <c r="O907" s="36"/>
      <c r="P907" s="36"/>
      <c r="Q907" s="36"/>
      <c r="R907" s="36"/>
      <c r="S907" s="36"/>
      <c r="T907" s="36"/>
      <c r="U907" s="36"/>
      <c r="V907" s="36"/>
    </row>
    <row r="908" spans="4:22">
      <c r="D908" s="36"/>
      <c r="E908" s="36"/>
      <c r="F908" s="36"/>
      <c r="G908" s="36"/>
      <c r="H908" s="36"/>
      <c r="I908" s="36"/>
      <c r="J908" s="36"/>
      <c r="K908" s="36"/>
      <c r="L908" s="36"/>
      <c r="M908" s="36"/>
      <c r="N908" s="36"/>
      <c r="O908" s="36"/>
      <c r="P908" s="36"/>
      <c r="Q908" s="36"/>
      <c r="R908" s="36"/>
      <c r="S908" s="36"/>
      <c r="T908" s="36"/>
      <c r="U908" s="36"/>
      <c r="V908" s="36"/>
    </row>
    <row r="909" spans="4:22">
      <c r="D909" s="36"/>
      <c r="E909" s="36"/>
      <c r="F909" s="36"/>
      <c r="G909" s="36"/>
      <c r="H909" s="36"/>
      <c r="I909" s="36"/>
      <c r="J909" s="36"/>
      <c r="K909" s="36"/>
      <c r="L909" s="36"/>
      <c r="M909" s="36"/>
      <c r="N909" s="36"/>
      <c r="O909" s="36"/>
      <c r="P909" s="36"/>
      <c r="Q909" s="36"/>
      <c r="R909" s="36"/>
      <c r="S909" s="36"/>
      <c r="T909" s="36"/>
      <c r="U909" s="36"/>
      <c r="V909" s="36"/>
    </row>
    <row r="910" spans="4:22">
      <c r="D910" s="36"/>
      <c r="E910" s="36"/>
      <c r="F910" s="36"/>
      <c r="G910" s="36"/>
      <c r="H910" s="36"/>
      <c r="I910" s="36"/>
      <c r="J910" s="36"/>
      <c r="K910" s="36"/>
      <c r="L910" s="36"/>
      <c r="M910" s="36"/>
      <c r="N910" s="36"/>
      <c r="O910" s="36"/>
      <c r="P910" s="36"/>
      <c r="Q910" s="36"/>
      <c r="R910" s="36"/>
      <c r="S910" s="36"/>
      <c r="T910" s="36"/>
      <c r="U910" s="36"/>
      <c r="V910" s="36"/>
    </row>
    <row r="911" spans="4:22">
      <c r="D911" s="36"/>
      <c r="E911" s="36"/>
      <c r="F911" s="36"/>
      <c r="G911" s="36"/>
      <c r="H911" s="36"/>
      <c r="I911" s="36"/>
      <c r="J911" s="36"/>
      <c r="K911" s="36"/>
      <c r="L911" s="36"/>
      <c r="M911" s="36"/>
      <c r="N911" s="36"/>
      <c r="O911" s="36"/>
      <c r="P911" s="36"/>
      <c r="Q911" s="36"/>
      <c r="R911" s="36"/>
      <c r="S911" s="36"/>
      <c r="T911" s="36"/>
      <c r="U911" s="36"/>
      <c r="V911" s="36"/>
    </row>
    <row r="912" spans="4:22">
      <c r="D912" s="36"/>
      <c r="E912" s="36"/>
      <c r="F912" s="36"/>
      <c r="G912" s="36"/>
      <c r="H912" s="36"/>
      <c r="I912" s="36"/>
      <c r="J912" s="36"/>
      <c r="K912" s="36"/>
      <c r="L912" s="36"/>
      <c r="M912" s="36"/>
      <c r="N912" s="36"/>
      <c r="O912" s="36"/>
      <c r="P912" s="36"/>
      <c r="Q912" s="36"/>
      <c r="R912" s="36"/>
      <c r="S912" s="36"/>
      <c r="T912" s="36"/>
      <c r="U912" s="36"/>
      <c r="V912" s="36"/>
    </row>
    <row r="913" spans="4:22">
      <c r="D913" s="36"/>
      <c r="E913" s="36"/>
      <c r="F913" s="36"/>
      <c r="G913" s="36"/>
      <c r="H913" s="36"/>
      <c r="I913" s="36"/>
      <c r="J913" s="36"/>
      <c r="K913" s="36"/>
      <c r="L913" s="36"/>
      <c r="M913" s="36"/>
      <c r="N913" s="36"/>
      <c r="O913" s="36"/>
      <c r="P913" s="36"/>
      <c r="Q913" s="36"/>
      <c r="R913" s="36"/>
      <c r="S913" s="36"/>
      <c r="T913" s="36"/>
      <c r="U913" s="36"/>
      <c r="V913" s="36"/>
    </row>
    <row r="914" spans="4:22">
      <c r="D914" s="36"/>
      <c r="E914" s="36"/>
      <c r="F914" s="36"/>
      <c r="G914" s="36"/>
      <c r="H914" s="36"/>
      <c r="I914" s="36"/>
      <c r="J914" s="36"/>
      <c r="K914" s="36"/>
      <c r="L914" s="36"/>
      <c r="M914" s="36"/>
      <c r="N914" s="36"/>
      <c r="O914" s="36"/>
      <c r="P914" s="36"/>
      <c r="Q914" s="36"/>
      <c r="R914" s="36"/>
      <c r="S914" s="36"/>
      <c r="T914" s="36"/>
      <c r="U914" s="36"/>
      <c r="V914" s="36"/>
    </row>
    <row r="915" spans="4:22">
      <c r="D915" s="36"/>
      <c r="E915" s="36"/>
      <c r="F915" s="36"/>
      <c r="G915" s="36"/>
      <c r="H915" s="36"/>
      <c r="I915" s="36"/>
      <c r="J915" s="36"/>
      <c r="K915" s="36"/>
      <c r="L915" s="36"/>
      <c r="M915" s="36"/>
      <c r="N915" s="36"/>
      <c r="O915" s="36"/>
      <c r="P915" s="36"/>
      <c r="Q915" s="36"/>
      <c r="R915" s="36"/>
      <c r="S915" s="36"/>
      <c r="T915" s="36"/>
      <c r="U915" s="36"/>
      <c r="V915" s="36"/>
    </row>
    <row r="916" spans="4:22">
      <c r="D916" s="36"/>
      <c r="E916" s="36"/>
      <c r="F916" s="36"/>
      <c r="G916" s="36"/>
      <c r="H916" s="36"/>
      <c r="I916" s="36"/>
      <c r="J916" s="36"/>
      <c r="K916" s="36"/>
      <c r="L916" s="36"/>
      <c r="M916" s="36"/>
      <c r="N916" s="36"/>
      <c r="O916" s="36"/>
      <c r="P916" s="36"/>
      <c r="Q916" s="36"/>
      <c r="R916" s="36"/>
      <c r="S916" s="36"/>
      <c r="T916" s="36"/>
      <c r="U916" s="36"/>
      <c r="V916" s="36"/>
    </row>
    <row r="917" spans="4:22">
      <c r="D917" s="36"/>
      <c r="E917" s="36"/>
      <c r="F917" s="36"/>
      <c r="G917" s="36"/>
      <c r="H917" s="36"/>
      <c r="I917" s="36"/>
      <c r="J917" s="36"/>
      <c r="K917" s="36"/>
      <c r="L917" s="36"/>
      <c r="M917" s="36"/>
      <c r="N917" s="36"/>
      <c r="O917" s="36"/>
      <c r="P917" s="36"/>
      <c r="Q917" s="36"/>
      <c r="R917" s="36"/>
      <c r="S917" s="36"/>
      <c r="T917" s="36"/>
      <c r="U917" s="36"/>
      <c r="V917" s="36"/>
    </row>
    <row r="918" spans="4:22">
      <c r="D918" s="36"/>
      <c r="E918" s="36"/>
      <c r="F918" s="36"/>
      <c r="G918" s="36"/>
      <c r="H918" s="36"/>
      <c r="I918" s="36"/>
      <c r="J918" s="36"/>
      <c r="K918" s="36"/>
      <c r="L918" s="36"/>
      <c r="M918" s="36"/>
      <c r="N918" s="36"/>
      <c r="O918" s="36"/>
      <c r="P918" s="36"/>
      <c r="Q918" s="36"/>
      <c r="R918" s="36"/>
      <c r="S918" s="36"/>
      <c r="T918" s="36"/>
      <c r="U918" s="36"/>
      <c r="V918" s="36"/>
    </row>
    <row r="919" spans="4:22">
      <c r="D919" s="36"/>
      <c r="E919" s="36"/>
      <c r="F919" s="36"/>
      <c r="G919" s="36"/>
      <c r="H919" s="36"/>
      <c r="I919" s="36"/>
      <c r="J919" s="36"/>
      <c r="K919" s="36"/>
      <c r="L919" s="36"/>
      <c r="M919" s="36"/>
      <c r="N919" s="36"/>
      <c r="O919" s="36"/>
      <c r="P919" s="36"/>
      <c r="Q919" s="36"/>
      <c r="R919" s="36"/>
      <c r="S919" s="36"/>
      <c r="T919" s="36"/>
      <c r="U919" s="36"/>
      <c r="V919" s="36"/>
    </row>
    <row r="920" spans="4:22">
      <c r="D920" s="36"/>
      <c r="E920" s="36"/>
      <c r="F920" s="36"/>
      <c r="G920" s="36"/>
      <c r="H920" s="36"/>
      <c r="I920" s="36"/>
      <c r="J920" s="36"/>
      <c r="K920" s="36"/>
      <c r="L920" s="36"/>
      <c r="M920" s="36"/>
      <c r="N920" s="36"/>
      <c r="O920" s="36"/>
      <c r="P920" s="36"/>
      <c r="Q920" s="36"/>
      <c r="R920" s="36"/>
      <c r="S920" s="36"/>
      <c r="T920" s="36"/>
      <c r="U920" s="36"/>
      <c r="V920" s="36"/>
    </row>
    <row r="921" spans="4:22">
      <c r="D921" s="36"/>
      <c r="E921" s="36"/>
      <c r="F921" s="36"/>
      <c r="G921" s="36"/>
      <c r="H921" s="36"/>
      <c r="I921" s="36"/>
      <c r="J921" s="36"/>
      <c r="K921" s="36"/>
      <c r="L921" s="36"/>
      <c r="M921" s="36"/>
      <c r="N921" s="36"/>
      <c r="O921" s="36"/>
      <c r="P921" s="36"/>
      <c r="Q921" s="36"/>
      <c r="R921" s="36"/>
      <c r="S921" s="36"/>
      <c r="T921" s="36"/>
      <c r="U921" s="36"/>
      <c r="V921" s="36"/>
    </row>
    <row r="922" spans="4:22">
      <c r="D922" s="36"/>
      <c r="E922" s="36"/>
      <c r="F922" s="36"/>
      <c r="G922" s="36"/>
      <c r="H922" s="36"/>
      <c r="I922" s="36"/>
      <c r="J922" s="36"/>
      <c r="K922" s="36"/>
      <c r="L922" s="36"/>
      <c r="M922" s="36"/>
      <c r="N922" s="36"/>
      <c r="O922" s="36"/>
      <c r="P922" s="36"/>
      <c r="Q922" s="36"/>
      <c r="R922" s="36"/>
      <c r="S922" s="36"/>
      <c r="T922" s="36"/>
      <c r="U922" s="36"/>
      <c r="V922" s="36"/>
    </row>
    <row r="923" spans="4:22">
      <c r="D923" s="36"/>
      <c r="E923" s="36"/>
      <c r="F923" s="36"/>
      <c r="G923" s="36"/>
      <c r="H923" s="36"/>
      <c r="I923" s="36"/>
      <c r="J923" s="36"/>
      <c r="K923" s="36"/>
      <c r="L923" s="36"/>
      <c r="M923" s="36"/>
      <c r="N923" s="36"/>
      <c r="O923" s="36"/>
      <c r="P923" s="36"/>
      <c r="Q923" s="36"/>
      <c r="R923" s="36"/>
      <c r="S923" s="36"/>
      <c r="T923" s="36"/>
      <c r="U923" s="36"/>
      <c r="V923" s="36"/>
    </row>
    <row r="924" spans="4:22">
      <c r="D924" s="36"/>
      <c r="E924" s="36"/>
      <c r="F924" s="36"/>
      <c r="G924" s="36"/>
      <c r="H924" s="36"/>
      <c r="I924" s="36"/>
      <c r="J924" s="36"/>
      <c r="K924" s="36"/>
      <c r="L924" s="36"/>
      <c r="M924" s="36"/>
      <c r="N924" s="36"/>
      <c r="O924" s="36"/>
      <c r="P924" s="36"/>
      <c r="Q924" s="36"/>
      <c r="R924" s="36"/>
      <c r="S924" s="36"/>
      <c r="T924" s="36"/>
      <c r="U924" s="36"/>
      <c r="V924" s="36"/>
    </row>
    <row r="925" spans="4:22">
      <c r="D925" s="36"/>
      <c r="E925" s="36"/>
      <c r="F925" s="36"/>
      <c r="G925" s="36"/>
      <c r="H925" s="36"/>
      <c r="I925" s="36"/>
      <c r="J925" s="36"/>
      <c r="K925" s="36"/>
      <c r="L925" s="36"/>
      <c r="M925" s="36"/>
      <c r="N925" s="36"/>
      <c r="O925" s="36"/>
      <c r="P925" s="36"/>
      <c r="Q925" s="36"/>
      <c r="R925" s="36"/>
      <c r="S925" s="36"/>
      <c r="T925" s="36"/>
      <c r="U925" s="36"/>
      <c r="V925" s="36"/>
    </row>
    <row r="926" spans="4:22">
      <c r="D926" s="36"/>
      <c r="E926" s="36"/>
      <c r="F926" s="36"/>
      <c r="G926" s="36"/>
      <c r="H926" s="36"/>
      <c r="I926" s="36"/>
      <c r="J926" s="36"/>
      <c r="K926" s="36"/>
      <c r="L926" s="36"/>
      <c r="M926" s="36"/>
      <c r="N926" s="36"/>
      <c r="O926" s="36"/>
      <c r="P926" s="36"/>
      <c r="Q926" s="36"/>
      <c r="R926" s="36"/>
      <c r="S926" s="36"/>
      <c r="T926" s="36"/>
      <c r="U926" s="36"/>
      <c r="V926" s="36"/>
    </row>
    <row r="927" spans="4:22">
      <c r="D927" s="36"/>
      <c r="E927" s="36"/>
      <c r="F927" s="36"/>
      <c r="G927" s="36"/>
      <c r="H927" s="36"/>
      <c r="I927" s="36"/>
      <c r="J927" s="36"/>
      <c r="K927" s="36"/>
      <c r="L927" s="36"/>
      <c r="M927" s="36"/>
      <c r="N927" s="36"/>
      <c r="O927" s="36"/>
      <c r="P927" s="36"/>
      <c r="Q927" s="36"/>
      <c r="R927" s="36"/>
      <c r="S927" s="36"/>
      <c r="T927" s="36"/>
      <c r="U927" s="36"/>
      <c r="V927" s="36"/>
    </row>
    <row r="928" spans="4:22">
      <c r="D928" s="36"/>
      <c r="E928" s="36"/>
      <c r="F928" s="36"/>
      <c r="G928" s="36"/>
      <c r="H928" s="36"/>
      <c r="I928" s="36"/>
      <c r="J928" s="36"/>
      <c r="K928" s="36"/>
      <c r="L928" s="36"/>
      <c r="M928" s="36"/>
      <c r="N928" s="36"/>
      <c r="O928" s="36"/>
      <c r="P928" s="36"/>
      <c r="Q928" s="36"/>
      <c r="R928" s="36"/>
      <c r="S928" s="36"/>
      <c r="T928" s="36"/>
      <c r="U928" s="36"/>
      <c r="V928" s="36"/>
    </row>
    <row r="929" spans="4:22">
      <c r="D929" s="36"/>
      <c r="E929" s="36"/>
      <c r="F929" s="36"/>
      <c r="G929" s="36"/>
      <c r="H929" s="36"/>
      <c r="I929" s="36"/>
      <c r="J929" s="36"/>
      <c r="K929" s="36"/>
      <c r="L929" s="36"/>
      <c r="M929" s="36"/>
      <c r="N929" s="36"/>
      <c r="O929" s="36"/>
      <c r="P929" s="36"/>
      <c r="Q929" s="36"/>
      <c r="R929" s="36"/>
      <c r="S929" s="36"/>
      <c r="T929" s="36"/>
      <c r="U929" s="36"/>
      <c r="V929" s="36"/>
    </row>
    <row r="930" spans="4:22">
      <c r="D930" s="36"/>
      <c r="E930" s="36"/>
      <c r="F930" s="36"/>
      <c r="G930" s="36"/>
      <c r="H930" s="36"/>
      <c r="I930" s="36"/>
      <c r="J930" s="36"/>
      <c r="K930" s="36"/>
      <c r="L930" s="36"/>
      <c r="M930" s="36"/>
      <c r="N930" s="36"/>
      <c r="O930" s="36"/>
      <c r="P930" s="36"/>
      <c r="Q930" s="36"/>
      <c r="R930" s="36"/>
      <c r="S930" s="36"/>
      <c r="T930" s="36"/>
      <c r="U930" s="36"/>
      <c r="V930" s="36"/>
    </row>
    <row r="931" spans="4:22">
      <c r="D931" s="36"/>
      <c r="E931" s="36"/>
      <c r="F931" s="36"/>
      <c r="G931" s="36"/>
      <c r="H931" s="36"/>
      <c r="I931" s="36"/>
      <c r="J931" s="36"/>
      <c r="K931" s="36"/>
      <c r="L931" s="36"/>
      <c r="M931" s="36"/>
      <c r="N931" s="36"/>
      <c r="O931" s="36"/>
      <c r="P931" s="36"/>
      <c r="Q931" s="36"/>
      <c r="R931" s="36"/>
      <c r="S931" s="36"/>
      <c r="T931" s="36"/>
      <c r="U931" s="36"/>
      <c r="V931" s="36"/>
    </row>
    <row r="932" spans="4:22">
      <c r="D932" s="36"/>
      <c r="E932" s="36"/>
      <c r="F932" s="36"/>
      <c r="G932" s="36"/>
      <c r="H932" s="36"/>
      <c r="I932" s="36"/>
      <c r="J932" s="36"/>
      <c r="K932" s="36"/>
      <c r="L932" s="36"/>
      <c r="M932" s="36"/>
      <c r="N932" s="36"/>
      <c r="O932" s="36"/>
      <c r="P932" s="36"/>
      <c r="Q932" s="36"/>
      <c r="R932" s="36"/>
      <c r="S932" s="36"/>
      <c r="T932" s="36"/>
      <c r="U932" s="36"/>
      <c r="V932" s="36"/>
    </row>
    <row r="933" spans="4:22">
      <c r="D933" s="36"/>
      <c r="E933" s="36"/>
      <c r="F933" s="36"/>
      <c r="G933" s="36"/>
      <c r="H933" s="36"/>
      <c r="I933" s="36"/>
      <c r="J933" s="36"/>
      <c r="K933" s="36"/>
      <c r="L933" s="36"/>
      <c r="M933" s="36"/>
      <c r="N933" s="36"/>
      <c r="O933" s="36"/>
      <c r="P933" s="36"/>
      <c r="Q933" s="36"/>
      <c r="R933" s="36"/>
      <c r="S933" s="36"/>
      <c r="T933" s="36"/>
      <c r="U933" s="36"/>
      <c r="V933" s="36"/>
    </row>
    <row r="934" spans="4:22">
      <c r="D934" s="36"/>
      <c r="E934" s="36"/>
      <c r="F934" s="36"/>
      <c r="G934" s="36"/>
      <c r="H934" s="36"/>
      <c r="I934" s="36"/>
      <c r="J934" s="36"/>
      <c r="K934" s="36"/>
      <c r="L934" s="36"/>
      <c r="M934" s="36"/>
      <c r="N934" s="36"/>
      <c r="O934" s="36"/>
      <c r="P934" s="36"/>
      <c r="Q934" s="36"/>
      <c r="R934" s="36"/>
      <c r="S934" s="36"/>
      <c r="T934" s="36"/>
      <c r="U934" s="36"/>
      <c r="V934" s="36"/>
    </row>
    <row r="935" spans="4:22">
      <c r="D935" s="36"/>
      <c r="E935" s="36"/>
      <c r="F935" s="36"/>
      <c r="G935" s="36"/>
      <c r="H935" s="36"/>
      <c r="I935" s="36"/>
      <c r="J935" s="36"/>
      <c r="K935" s="36"/>
      <c r="L935" s="36"/>
      <c r="M935" s="36"/>
      <c r="N935" s="36"/>
      <c r="O935" s="36"/>
      <c r="P935" s="36"/>
      <c r="Q935" s="36"/>
      <c r="R935" s="36"/>
      <c r="S935" s="36"/>
      <c r="T935" s="36"/>
      <c r="U935" s="36"/>
      <c r="V935" s="36"/>
    </row>
    <row r="936" spans="4:22">
      <c r="D936" s="36"/>
      <c r="E936" s="36"/>
      <c r="F936" s="36"/>
      <c r="G936" s="36"/>
      <c r="H936" s="36"/>
      <c r="I936" s="36"/>
      <c r="J936" s="36"/>
      <c r="K936" s="36"/>
      <c r="L936" s="36"/>
      <c r="M936" s="36"/>
      <c r="N936" s="36"/>
      <c r="O936" s="36"/>
      <c r="P936" s="36"/>
      <c r="Q936" s="36"/>
      <c r="R936" s="36"/>
      <c r="S936" s="36"/>
      <c r="T936" s="36"/>
      <c r="U936" s="36"/>
      <c r="V936" s="36"/>
    </row>
    <row r="937" spans="4:22">
      <c r="D937" s="36"/>
      <c r="E937" s="36"/>
      <c r="F937" s="36"/>
      <c r="G937" s="36"/>
      <c r="H937" s="36"/>
      <c r="I937" s="36"/>
      <c r="J937" s="36"/>
      <c r="K937" s="36"/>
      <c r="L937" s="36"/>
      <c r="M937" s="36"/>
      <c r="N937" s="36"/>
      <c r="O937" s="36"/>
      <c r="P937" s="36"/>
      <c r="Q937" s="36"/>
      <c r="R937" s="36"/>
      <c r="S937" s="36"/>
      <c r="T937" s="36"/>
      <c r="U937" s="36"/>
      <c r="V937" s="36"/>
    </row>
    <row r="938" spans="4:22">
      <c r="D938" s="36"/>
      <c r="E938" s="36"/>
      <c r="F938" s="36"/>
      <c r="G938" s="36"/>
      <c r="H938" s="36"/>
      <c r="I938" s="36"/>
      <c r="J938" s="36"/>
      <c r="K938" s="36"/>
      <c r="L938" s="36"/>
      <c r="M938" s="36"/>
      <c r="N938" s="36"/>
      <c r="O938" s="36"/>
      <c r="P938" s="36"/>
      <c r="Q938" s="36"/>
      <c r="R938" s="36"/>
      <c r="S938" s="36"/>
      <c r="T938" s="36"/>
      <c r="U938" s="36"/>
      <c r="V938" s="36"/>
    </row>
    <row r="939" spans="4:22">
      <c r="D939" s="36"/>
      <c r="E939" s="36"/>
      <c r="F939" s="36"/>
      <c r="G939" s="36"/>
      <c r="H939" s="36"/>
      <c r="I939" s="36"/>
      <c r="J939" s="36"/>
      <c r="K939" s="36"/>
      <c r="L939" s="36"/>
      <c r="M939" s="36"/>
      <c r="N939" s="36"/>
      <c r="O939" s="36"/>
      <c r="P939" s="36"/>
      <c r="Q939" s="36"/>
      <c r="R939" s="36"/>
      <c r="S939" s="36"/>
      <c r="T939" s="36"/>
      <c r="U939" s="36"/>
      <c r="V939" s="36"/>
    </row>
    <row r="940" spans="4:22">
      <c r="D940" s="36"/>
      <c r="E940" s="36"/>
      <c r="F940" s="36"/>
      <c r="G940" s="36"/>
      <c r="H940" s="36"/>
      <c r="I940" s="36"/>
      <c r="J940" s="36"/>
      <c r="K940" s="36"/>
      <c r="L940" s="36"/>
      <c r="M940" s="36"/>
      <c r="N940" s="36"/>
      <c r="O940" s="36"/>
      <c r="P940" s="36"/>
      <c r="Q940" s="36"/>
      <c r="R940" s="36"/>
      <c r="S940" s="36"/>
      <c r="T940" s="36"/>
      <c r="U940" s="36"/>
      <c r="V940" s="36"/>
    </row>
    <row r="941" spans="4:22">
      <c r="D941" s="36"/>
      <c r="E941" s="36"/>
      <c r="F941" s="36"/>
      <c r="G941" s="36"/>
      <c r="H941" s="36"/>
      <c r="I941" s="36"/>
      <c r="J941" s="36"/>
      <c r="K941" s="36"/>
      <c r="L941" s="36"/>
      <c r="M941" s="36"/>
      <c r="N941" s="36"/>
      <c r="O941" s="36"/>
      <c r="P941" s="36"/>
      <c r="Q941" s="36"/>
      <c r="R941" s="36"/>
      <c r="S941" s="36"/>
      <c r="T941" s="36"/>
      <c r="U941" s="36"/>
      <c r="V941" s="36"/>
    </row>
    <row r="942" spans="4:22">
      <c r="D942" s="36"/>
      <c r="E942" s="36"/>
      <c r="F942" s="36"/>
      <c r="G942" s="36"/>
      <c r="H942" s="36"/>
      <c r="I942" s="36"/>
      <c r="J942" s="36"/>
      <c r="K942" s="36"/>
      <c r="L942" s="36"/>
      <c r="M942" s="36"/>
      <c r="N942" s="36"/>
      <c r="O942" s="36"/>
      <c r="P942" s="36"/>
      <c r="Q942" s="36"/>
      <c r="R942" s="36"/>
      <c r="S942" s="36"/>
      <c r="T942" s="36"/>
      <c r="U942" s="36"/>
      <c r="V942" s="36"/>
    </row>
    <row r="943" spans="4:22">
      <c r="D943" s="36"/>
      <c r="E943" s="36"/>
      <c r="F943" s="36"/>
      <c r="G943" s="36"/>
      <c r="H943" s="36"/>
      <c r="I943" s="36"/>
      <c r="J943" s="36"/>
      <c r="K943" s="36"/>
      <c r="L943" s="36"/>
      <c r="M943" s="36"/>
      <c r="N943" s="36"/>
      <c r="O943" s="36"/>
      <c r="P943" s="36"/>
      <c r="Q943" s="36"/>
      <c r="R943" s="36"/>
      <c r="S943" s="36"/>
      <c r="T943" s="36"/>
      <c r="U943" s="36"/>
      <c r="V943" s="36"/>
    </row>
    <row r="944" spans="4:22">
      <c r="D944" s="36"/>
      <c r="E944" s="36"/>
      <c r="F944" s="36"/>
      <c r="G944" s="36"/>
      <c r="H944" s="36"/>
      <c r="I944" s="36"/>
      <c r="J944" s="36"/>
      <c r="K944" s="36"/>
      <c r="L944" s="36"/>
      <c r="M944" s="36"/>
      <c r="N944" s="36"/>
      <c r="O944" s="36"/>
      <c r="P944" s="36"/>
      <c r="Q944" s="36"/>
      <c r="R944" s="36"/>
      <c r="S944" s="36"/>
      <c r="T944" s="36"/>
      <c r="U944" s="36"/>
      <c r="V944" s="36"/>
    </row>
    <row r="945" spans="4:22">
      <c r="D945" s="36"/>
      <c r="E945" s="36"/>
      <c r="F945" s="36"/>
      <c r="G945" s="36"/>
      <c r="H945" s="36"/>
      <c r="I945" s="36"/>
      <c r="J945" s="36"/>
      <c r="K945" s="36"/>
      <c r="L945" s="36"/>
      <c r="M945" s="36"/>
      <c r="N945" s="36"/>
      <c r="O945" s="36"/>
      <c r="P945" s="36"/>
      <c r="Q945" s="36"/>
      <c r="R945" s="36"/>
      <c r="S945" s="36"/>
      <c r="T945" s="36"/>
      <c r="U945" s="36"/>
      <c r="V945" s="36"/>
    </row>
    <row r="946" spans="4:22">
      <c r="D946" s="36"/>
      <c r="E946" s="36"/>
      <c r="F946" s="36"/>
      <c r="G946" s="36"/>
      <c r="H946" s="36"/>
      <c r="I946" s="36"/>
      <c r="J946" s="36"/>
      <c r="K946" s="36"/>
      <c r="L946" s="36"/>
      <c r="M946" s="36"/>
      <c r="N946" s="36"/>
      <c r="O946" s="36"/>
      <c r="P946" s="36"/>
      <c r="Q946" s="36"/>
      <c r="R946" s="36"/>
      <c r="S946" s="36"/>
      <c r="T946" s="36"/>
      <c r="U946" s="36"/>
      <c r="V946" s="36"/>
    </row>
    <row r="947" spans="4:22">
      <c r="D947" s="36"/>
      <c r="E947" s="36"/>
      <c r="F947" s="36"/>
      <c r="G947" s="36"/>
      <c r="H947" s="36"/>
      <c r="I947" s="36"/>
      <c r="J947" s="36"/>
      <c r="K947" s="36"/>
      <c r="L947" s="36"/>
      <c r="M947" s="36"/>
      <c r="N947" s="36"/>
      <c r="O947" s="36"/>
      <c r="P947" s="36"/>
      <c r="Q947" s="36"/>
      <c r="R947" s="36"/>
      <c r="S947" s="36"/>
      <c r="T947" s="36"/>
      <c r="U947" s="36"/>
      <c r="V947" s="36"/>
    </row>
    <row r="948" spans="4:22">
      <c r="D948" s="36"/>
      <c r="E948" s="36"/>
      <c r="F948" s="36"/>
      <c r="G948" s="36"/>
      <c r="H948" s="36"/>
      <c r="I948" s="36"/>
      <c r="J948" s="36"/>
      <c r="K948" s="36"/>
      <c r="L948" s="36"/>
      <c r="M948" s="36"/>
      <c r="N948" s="36"/>
      <c r="O948" s="36"/>
      <c r="P948" s="36"/>
      <c r="Q948" s="36"/>
      <c r="R948" s="36"/>
      <c r="S948" s="36"/>
      <c r="T948" s="36"/>
      <c r="U948" s="36"/>
      <c r="V948" s="36"/>
    </row>
    <row r="949" spans="4:22">
      <c r="D949" s="36"/>
      <c r="E949" s="36"/>
      <c r="F949" s="36"/>
      <c r="G949" s="36"/>
      <c r="H949" s="36"/>
      <c r="I949" s="36"/>
      <c r="J949" s="36"/>
      <c r="K949" s="36"/>
      <c r="L949" s="36"/>
      <c r="M949" s="36"/>
      <c r="N949" s="36"/>
      <c r="O949" s="36"/>
      <c r="P949" s="36"/>
      <c r="Q949" s="36"/>
      <c r="R949" s="36"/>
      <c r="S949" s="36"/>
      <c r="T949" s="36"/>
      <c r="U949" s="36"/>
      <c r="V949" s="36"/>
    </row>
    <row r="950" spans="4:22">
      <c r="D950" s="36"/>
      <c r="E950" s="36"/>
      <c r="F950" s="36"/>
      <c r="G950" s="36"/>
      <c r="H950" s="36"/>
      <c r="I950" s="36"/>
      <c r="J950" s="36"/>
      <c r="K950" s="36"/>
      <c r="L950" s="36"/>
      <c r="M950" s="36"/>
      <c r="N950" s="36"/>
      <c r="O950" s="36"/>
      <c r="P950" s="36"/>
      <c r="Q950" s="36"/>
      <c r="R950" s="36"/>
      <c r="S950" s="36"/>
      <c r="T950" s="36"/>
      <c r="U950" s="36"/>
      <c r="V950" s="36"/>
    </row>
    <row r="951" spans="4:22">
      <c r="D951" s="36"/>
      <c r="E951" s="36"/>
      <c r="F951" s="36"/>
      <c r="G951" s="36"/>
      <c r="H951" s="36"/>
      <c r="I951" s="36"/>
      <c r="J951" s="36"/>
      <c r="K951" s="36"/>
      <c r="L951" s="36"/>
      <c r="M951" s="36"/>
      <c r="N951" s="36"/>
      <c r="O951" s="36"/>
      <c r="P951" s="36"/>
      <c r="Q951" s="36"/>
      <c r="R951" s="36"/>
      <c r="S951" s="36"/>
      <c r="T951" s="36"/>
      <c r="U951" s="36"/>
      <c r="V951" s="36"/>
    </row>
    <row r="952" spans="4:22">
      <c r="D952" s="36"/>
      <c r="E952" s="36"/>
      <c r="F952" s="36"/>
      <c r="G952" s="36"/>
      <c r="H952" s="36"/>
      <c r="I952" s="36"/>
      <c r="J952" s="36"/>
      <c r="K952" s="36"/>
      <c r="L952" s="36"/>
      <c r="M952" s="36"/>
      <c r="N952" s="36"/>
      <c r="O952" s="36"/>
      <c r="P952" s="36"/>
      <c r="Q952" s="36"/>
      <c r="R952" s="36"/>
      <c r="S952" s="36"/>
      <c r="T952" s="36"/>
      <c r="U952" s="36"/>
      <c r="V952" s="36"/>
    </row>
    <row r="953" spans="4:22">
      <c r="D953" s="36"/>
      <c r="E953" s="36"/>
      <c r="F953" s="36"/>
      <c r="G953" s="36"/>
      <c r="H953" s="36"/>
      <c r="I953" s="36"/>
      <c r="J953" s="36"/>
      <c r="K953" s="36"/>
      <c r="L953" s="36"/>
      <c r="M953" s="36"/>
      <c r="N953" s="36"/>
      <c r="O953" s="36"/>
      <c r="P953" s="36"/>
      <c r="Q953" s="36"/>
      <c r="R953" s="36"/>
      <c r="S953" s="36"/>
      <c r="T953" s="36"/>
      <c r="U953" s="36"/>
      <c r="V953" s="36"/>
    </row>
    <row r="954" spans="4:22">
      <c r="D954" s="36"/>
      <c r="E954" s="36"/>
      <c r="F954" s="36"/>
      <c r="G954" s="36"/>
      <c r="H954" s="36"/>
      <c r="I954" s="36"/>
      <c r="J954" s="36"/>
      <c r="K954" s="36"/>
      <c r="L954" s="36"/>
      <c r="M954" s="36"/>
      <c r="N954" s="36"/>
      <c r="O954" s="36"/>
      <c r="P954" s="36"/>
      <c r="Q954" s="36"/>
      <c r="R954" s="36"/>
      <c r="S954" s="36"/>
      <c r="T954" s="36"/>
      <c r="U954" s="36"/>
      <c r="V954" s="36"/>
    </row>
    <row r="955" spans="4:22">
      <c r="D955" s="36"/>
      <c r="E955" s="36"/>
      <c r="F955" s="36"/>
      <c r="G955" s="36"/>
      <c r="H955" s="36"/>
      <c r="I955" s="36"/>
      <c r="J955" s="36"/>
      <c r="K955" s="36"/>
      <c r="L955" s="36"/>
      <c r="M955" s="36"/>
      <c r="N955" s="36"/>
      <c r="O955" s="36"/>
      <c r="P955" s="36"/>
      <c r="Q955" s="36"/>
      <c r="R955" s="36"/>
      <c r="S955" s="36"/>
      <c r="T955" s="36"/>
      <c r="U955" s="36"/>
      <c r="V955" s="36"/>
    </row>
    <row r="956" spans="4:22">
      <c r="D956" s="36"/>
      <c r="E956" s="36"/>
      <c r="F956" s="36"/>
      <c r="G956" s="36"/>
      <c r="H956" s="36"/>
      <c r="I956" s="36"/>
      <c r="J956" s="36"/>
      <c r="K956" s="36"/>
      <c r="L956" s="36"/>
      <c r="M956" s="36"/>
      <c r="N956" s="36"/>
      <c r="O956" s="36"/>
      <c r="P956" s="36"/>
      <c r="Q956" s="36"/>
      <c r="R956" s="36"/>
      <c r="S956" s="36"/>
      <c r="T956" s="36"/>
      <c r="U956" s="36"/>
      <c r="V956" s="36"/>
    </row>
    <row r="957" spans="4:22">
      <c r="D957" s="36"/>
      <c r="E957" s="36"/>
      <c r="F957" s="36"/>
      <c r="G957" s="36"/>
      <c r="H957" s="36"/>
      <c r="I957" s="36"/>
      <c r="J957" s="36"/>
      <c r="K957" s="36"/>
      <c r="L957" s="36"/>
      <c r="M957" s="36"/>
      <c r="N957" s="36"/>
      <c r="O957" s="36"/>
      <c r="P957" s="36"/>
      <c r="Q957" s="36"/>
      <c r="R957" s="36"/>
      <c r="S957" s="36"/>
      <c r="T957" s="36"/>
      <c r="U957" s="36"/>
      <c r="V957" s="36"/>
    </row>
    <row r="958" spans="4:22">
      <c r="D958" s="36"/>
      <c r="E958" s="36"/>
      <c r="F958" s="36"/>
      <c r="G958" s="36"/>
      <c r="H958" s="36"/>
      <c r="I958" s="36"/>
      <c r="J958" s="36"/>
      <c r="K958" s="36"/>
      <c r="L958" s="36"/>
      <c r="M958" s="36"/>
      <c r="N958" s="36"/>
      <c r="O958" s="36"/>
      <c r="P958" s="36"/>
      <c r="Q958" s="36"/>
      <c r="R958" s="36"/>
      <c r="S958" s="36"/>
      <c r="T958" s="36"/>
      <c r="U958" s="36"/>
      <c r="V958" s="36"/>
    </row>
    <row r="959" spans="4:22">
      <c r="D959" s="36"/>
      <c r="E959" s="36"/>
      <c r="F959" s="36"/>
      <c r="G959" s="36"/>
      <c r="H959" s="36"/>
      <c r="I959" s="36"/>
      <c r="J959" s="36"/>
      <c r="K959" s="36"/>
      <c r="L959" s="36"/>
      <c r="M959" s="36"/>
      <c r="N959" s="36"/>
      <c r="O959" s="36"/>
      <c r="P959" s="36"/>
      <c r="Q959" s="36"/>
      <c r="R959" s="36"/>
      <c r="S959" s="36"/>
      <c r="T959" s="36"/>
      <c r="U959" s="36"/>
      <c r="V959" s="36"/>
    </row>
    <row r="960" spans="4:22">
      <c r="D960" s="36"/>
      <c r="E960" s="36"/>
      <c r="F960" s="36"/>
      <c r="G960" s="36"/>
      <c r="H960" s="36"/>
      <c r="I960" s="36"/>
      <c r="J960" s="36"/>
      <c r="K960" s="36"/>
      <c r="L960" s="36"/>
      <c r="M960" s="36"/>
      <c r="N960" s="36"/>
      <c r="O960" s="36"/>
      <c r="P960" s="36"/>
      <c r="Q960" s="36"/>
      <c r="R960" s="36"/>
      <c r="S960" s="36"/>
      <c r="T960" s="36"/>
      <c r="U960" s="36"/>
      <c r="V960" s="36"/>
    </row>
    <row r="961" spans="4:22">
      <c r="D961" s="36"/>
      <c r="E961" s="36"/>
      <c r="F961" s="36"/>
      <c r="G961" s="36"/>
      <c r="H961" s="36"/>
      <c r="I961" s="36"/>
      <c r="J961" s="36"/>
      <c r="K961" s="36"/>
      <c r="L961" s="36"/>
      <c r="M961" s="36"/>
      <c r="N961" s="36"/>
      <c r="O961" s="36"/>
      <c r="P961" s="36"/>
      <c r="Q961" s="36"/>
      <c r="R961" s="36"/>
      <c r="S961" s="36"/>
      <c r="T961" s="36"/>
      <c r="U961" s="36"/>
      <c r="V961" s="36"/>
    </row>
    <row r="962" spans="4:22">
      <c r="D962" s="36"/>
      <c r="E962" s="36"/>
      <c r="F962" s="36"/>
      <c r="G962" s="36"/>
      <c r="H962" s="36"/>
      <c r="I962" s="36"/>
      <c r="J962" s="36"/>
      <c r="K962" s="36"/>
      <c r="L962" s="36"/>
      <c r="M962" s="36"/>
      <c r="N962" s="36"/>
      <c r="O962" s="36"/>
      <c r="P962" s="36"/>
      <c r="Q962" s="36"/>
      <c r="R962" s="36"/>
      <c r="S962" s="36"/>
      <c r="T962" s="36"/>
      <c r="U962" s="36"/>
      <c r="V962" s="36"/>
    </row>
    <row r="963" spans="4:22">
      <c r="D963" s="36"/>
      <c r="E963" s="36"/>
      <c r="F963" s="36"/>
      <c r="G963" s="36"/>
      <c r="H963" s="36"/>
      <c r="I963" s="36"/>
      <c r="J963" s="36"/>
      <c r="K963" s="36"/>
      <c r="L963" s="36"/>
      <c r="M963" s="36"/>
      <c r="N963" s="36"/>
      <c r="O963" s="36"/>
      <c r="P963" s="36"/>
      <c r="Q963" s="36"/>
      <c r="R963" s="36"/>
      <c r="S963" s="36"/>
      <c r="T963" s="36"/>
      <c r="U963" s="36"/>
      <c r="V963" s="36"/>
    </row>
    <row r="964" spans="4:22">
      <c r="D964" s="36"/>
      <c r="E964" s="36"/>
      <c r="F964" s="36"/>
      <c r="G964" s="36"/>
      <c r="H964" s="36"/>
      <c r="I964" s="36"/>
      <c r="J964" s="36"/>
      <c r="K964" s="36"/>
      <c r="L964" s="36"/>
      <c r="M964" s="36"/>
      <c r="N964" s="36"/>
      <c r="O964" s="36"/>
      <c r="P964" s="36"/>
      <c r="Q964" s="36"/>
      <c r="R964" s="36"/>
      <c r="S964" s="36"/>
      <c r="T964" s="36"/>
      <c r="U964" s="36"/>
      <c r="V964" s="36"/>
    </row>
    <row r="965" spans="4:22">
      <c r="D965" s="36"/>
      <c r="E965" s="36"/>
      <c r="F965" s="36"/>
      <c r="G965" s="36"/>
      <c r="H965" s="36"/>
      <c r="I965" s="36"/>
      <c r="J965" s="36"/>
      <c r="K965" s="36"/>
      <c r="L965" s="36"/>
      <c r="M965" s="36"/>
      <c r="N965" s="36"/>
      <c r="O965" s="36"/>
      <c r="P965" s="36"/>
      <c r="Q965" s="36"/>
      <c r="R965" s="36"/>
      <c r="S965" s="36"/>
      <c r="T965" s="36"/>
      <c r="U965" s="36"/>
      <c r="V965" s="36"/>
    </row>
    <row r="966" spans="4:22">
      <c r="D966" s="36"/>
      <c r="E966" s="36"/>
      <c r="F966" s="36"/>
      <c r="G966" s="36"/>
      <c r="H966" s="36"/>
      <c r="I966" s="36"/>
      <c r="J966" s="36"/>
      <c r="K966" s="36"/>
      <c r="L966" s="36"/>
      <c r="M966" s="36"/>
      <c r="N966" s="36"/>
      <c r="O966" s="36"/>
      <c r="P966" s="36"/>
      <c r="Q966" s="36"/>
      <c r="R966" s="36"/>
      <c r="S966" s="36"/>
      <c r="T966" s="36"/>
      <c r="U966" s="36"/>
      <c r="V966" s="36"/>
    </row>
    <row r="967" spans="4:22">
      <c r="D967" s="36"/>
      <c r="E967" s="36"/>
      <c r="F967" s="36"/>
      <c r="G967" s="36"/>
      <c r="H967" s="36"/>
      <c r="I967" s="36"/>
      <c r="J967" s="36"/>
      <c r="K967" s="36"/>
      <c r="L967" s="36"/>
      <c r="M967" s="36"/>
      <c r="N967" s="36"/>
      <c r="O967" s="36"/>
      <c r="P967" s="36"/>
      <c r="Q967" s="36"/>
      <c r="R967" s="36"/>
      <c r="S967" s="36"/>
      <c r="T967" s="36"/>
      <c r="U967" s="36"/>
      <c r="V967" s="36"/>
    </row>
    <row r="968" spans="4:22">
      <c r="D968" s="36"/>
      <c r="E968" s="36"/>
      <c r="F968" s="36"/>
      <c r="G968" s="36"/>
      <c r="H968" s="36"/>
      <c r="I968" s="36"/>
      <c r="J968" s="36"/>
      <c r="K968" s="36"/>
      <c r="L968" s="36"/>
      <c r="M968" s="36"/>
      <c r="N968" s="36"/>
      <c r="O968" s="36"/>
      <c r="P968" s="36"/>
      <c r="Q968" s="36"/>
      <c r="R968" s="36"/>
      <c r="S968" s="36"/>
      <c r="T968" s="36"/>
      <c r="U968" s="36"/>
      <c r="V968" s="36"/>
    </row>
    <row r="969" spans="4:22">
      <c r="D969" s="36"/>
      <c r="E969" s="36"/>
      <c r="F969" s="36"/>
      <c r="G969" s="36"/>
      <c r="H969" s="36"/>
      <c r="I969" s="36"/>
      <c r="J969" s="36"/>
      <c r="K969" s="36"/>
      <c r="L969" s="36"/>
      <c r="M969" s="36"/>
      <c r="N969" s="36"/>
      <c r="O969" s="36"/>
      <c r="P969" s="36"/>
      <c r="Q969" s="36"/>
      <c r="R969" s="36"/>
      <c r="S969" s="36"/>
      <c r="T969" s="36"/>
      <c r="U969" s="36"/>
      <c r="V969" s="36"/>
    </row>
    <row r="970" spans="4:22">
      <c r="D970" s="36"/>
      <c r="E970" s="36"/>
      <c r="F970" s="36"/>
      <c r="G970" s="36"/>
      <c r="H970" s="36"/>
      <c r="I970" s="36"/>
      <c r="J970" s="36"/>
      <c r="K970" s="36"/>
      <c r="L970" s="36"/>
      <c r="M970" s="36"/>
      <c r="N970" s="36"/>
      <c r="O970" s="36"/>
      <c r="P970" s="36"/>
      <c r="Q970" s="36"/>
      <c r="R970" s="36"/>
      <c r="S970" s="36"/>
      <c r="T970" s="36"/>
      <c r="U970" s="36"/>
      <c r="V970" s="36"/>
    </row>
    <row r="971" spans="4:22">
      <c r="D971" s="36"/>
      <c r="E971" s="36"/>
      <c r="F971" s="36"/>
      <c r="G971" s="36"/>
      <c r="H971" s="36"/>
      <c r="I971" s="36"/>
      <c r="J971" s="36"/>
      <c r="K971" s="36"/>
      <c r="L971" s="36"/>
      <c r="M971" s="36"/>
      <c r="N971" s="36"/>
      <c r="O971" s="36"/>
      <c r="P971" s="36"/>
      <c r="Q971" s="36"/>
      <c r="R971" s="36"/>
      <c r="S971" s="36"/>
      <c r="T971" s="36"/>
      <c r="U971" s="36"/>
      <c r="V971" s="36"/>
    </row>
    <row r="972" spans="4:22">
      <c r="D972" s="36"/>
      <c r="E972" s="36"/>
      <c r="F972" s="36"/>
      <c r="G972" s="36"/>
      <c r="H972" s="36"/>
      <c r="I972" s="36"/>
      <c r="J972" s="36"/>
      <c r="K972" s="36"/>
      <c r="L972" s="36"/>
      <c r="M972" s="36"/>
      <c r="N972" s="36"/>
      <c r="O972" s="36"/>
      <c r="P972" s="36"/>
      <c r="Q972" s="36"/>
      <c r="R972" s="36"/>
      <c r="S972" s="36"/>
      <c r="T972" s="36"/>
      <c r="U972" s="36"/>
      <c r="V972" s="36"/>
    </row>
    <row r="973" spans="4:22">
      <c r="D973" s="36"/>
      <c r="E973" s="36"/>
      <c r="F973" s="36"/>
      <c r="G973" s="36"/>
      <c r="H973" s="36"/>
      <c r="I973" s="36"/>
      <c r="J973" s="36"/>
      <c r="K973" s="36"/>
      <c r="L973" s="36"/>
      <c r="M973" s="36"/>
      <c r="N973" s="36"/>
      <c r="O973" s="36"/>
      <c r="P973" s="36"/>
      <c r="Q973" s="36"/>
      <c r="R973" s="36"/>
      <c r="S973" s="36"/>
      <c r="T973" s="36"/>
      <c r="U973" s="36"/>
      <c r="V973" s="36"/>
    </row>
    <row r="974" spans="4:22">
      <c r="D974" s="36"/>
      <c r="E974" s="36"/>
      <c r="F974" s="36"/>
      <c r="G974" s="36"/>
      <c r="H974" s="36"/>
      <c r="I974" s="36"/>
      <c r="J974" s="36"/>
      <c r="K974" s="36"/>
      <c r="L974" s="36"/>
      <c r="M974" s="36"/>
      <c r="N974" s="36"/>
      <c r="O974" s="36"/>
      <c r="P974" s="36"/>
      <c r="Q974" s="36"/>
      <c r="R974" s="36"/>
      <c r="S974" s="36"/>
      <c r="T974" s="36"/>
      <c r="U974" s="36"/>
      <c r="V974" s="36"/>
    </row>
    <row r="975" spans="4:22">
      <c r="D975" s="36"/>
      <c r="E975" s="36"/>
      <c r="F975" s="36"/>
      <c r="G975" s="36"/>
      <c r="H975" s="36"/>
      <c r="I975" s="36"/>
      <c r="J975" s="36"/>
      <c r="K975" s="36"/>
      <c r="L975" s="36"/>
      <c r="M975" s="36"/>
      <c r="N975" s="36"/>
      <c r="O975" s="36"/>
      <c r="P975" s="36"/>
      <c r="Q975" s="36"/>
      <c r="R975" s="36"/>
      <c r="S975" s="36"/>
      <c r="T975" s="36"/>
      <c r="U975" s="36"/>
      <c r="V975" s="36"/>
    </row>
    <row r="976" spans="4:22">
      <c r="D976" s="36"/>
      <c r="E976" s="36"/>
      <c r="F976" s="36"/>
      <c r="G976" s="36"/>
      <c r="H976" s="36"/>
      <c r="I976" s="36"/>
      <c r="J976" s="36"/>
      <c r="K976" s="36"/>
      <c r="L976" s="36"/>
      <c r="M976" s="36"/>
      <c r="N976" s="36"/>
      <c r="O976" s="36"/>
      <c r="P976" s="36"/>
      <c r="Q976" s="36"/>
      <c r="R976" s="36"/>
      <c r="S976" s="36"/>
      <c r="T976" s="36"/>
      <c r="U976" s="36"/>
      <c r="V976" s="36"/>
    </row>
    <row r="977" spans="4:22">
      <c r="D977" s="36"/>
      <c r="E977" s="36"/>
      <c r="F977" s="36"/>
      <c r="G977" s="36"/>
      <c r="H977" s="36"/>
      <c r="I977" s="36"/>
      <c r="J977" s="36"/>
      <c r="K977" s="36"/>
      <c r="L977" s="36"/>
      <c r="M977" s="36"/>
      <c r="N977" s="36"/>
      <c r="O977" s="36"/>
      <c r="P977" s="36"/>
      <c r="Q977" s="36"/>
      <c r="R977" s="36"/>
      <c r="S977" s="36"/>
      <c r="T977" s="36"/>
      <c r="U977" s="36"/>
      <c r="V977" s="36"/>
    </row>
    <row r="978" spans="4:22">
      <c r="D978" s="36"/>
      <c r="E978" s="36"/>
      <c r="F978" s="36"/>
      <c r="G978" s="36"/>
      <c r="H978" s="36"/>
      <c r="I978" s="36"/>
      <c r="J978" s="36"/>
      <c r="K978" s="36"/>
      <c r="L978" s="36"/>
      <c r="M978" s="36"/>
      <c r="N978" s="36"/>
      <c r="O978" s="36"/>
      <c r="P978" s="36"/>
      <c r="Q978" s="36"/>
      <c r="R978" s="36"/>
      <c r="S978" s="36"/>
      <c r="T978" s="36"/>
      <c r="U978" s="36"/>
      <c r="V978" s="36"/>
    </row>
    <row r="979" spans="4:22">
      <c r="D979" s="36"/>
      <c r="E979" s="36"/>
      <c r="F979" s="36"/>
      <c r="G979" s="36"/>
      <c r="H979" s="36"/>
      <c r="I979" s="36"/>
      <c r="J979" s="36"/>
      <c r="K979" s="36"/>
      <c r="L979" s="36"/>
      <c r="M979" s="36"/>
      <c r="N979" s="36"/>
      <c r="O979" s="36"/>
      <c r="P979" s="36"/>
      <c r="Q979" s="36"/>
      <c r="R979" s="36"/>
      <c r="S979" s="36"/>
      <c r="T979" s="36"/>
      <c r="U979" s="36"/>
      <c r="V979" s="36"/>
    </row>
    <row r="980" spans="4:22">
      <c r="D980" s="36"/>
      <c r="E980" s="36"/>
      <c r="F980" s="36"/>
      <c r="G980" s="36"/>
      <c r="H980" s="36"/>
      <c r="I980" s="36"/>
      <c r="J980" s="36"/>
      <c r="K980" s="36"/>
      <c r="L980" s="36"/>
      <c r="M980" s="36"/>
      <c r="N980" s="36"/>
      <c r="O980" s="36"/>
      <c r="P980" s="36"/>
      <c r="Q980" s="36"/>
      <c r="R980" s="36"/>
      <c r="S980" s="36"/>
      <c r="T980" s="36"/>
      <c r="U980" s="36"/>
      <c r="V980" s="36"/>
    </row>
    <row r="981" spans="4:22">
      <c r="D981" s="36"/>
      <c r="E981" s="36"/>
      <c r="F981" s="36"/>
      <c r="G981" s="36"/>
      <c r="H981" s="36"/>
      <c r="I981" s="36"/>
      <c r="J981" s="36"/>
      <c r="K981" s="36"/>
      <c r="L981" s="36"/>
      <c r="M981" s="36"/>
      <c r="N981" s="36"/>
      <c r="O981" s="36"/>
      <c r="P981" s="36"/>
      <c r="Q981" s="36"/>
      <c r="R981" s="36"/>
      <c r="S981" s="36"/>
      <c r="T981" s="36"/>
      <c r="U981" s="36"/>
      <c r="V981" s="36"/>
    </row>
    <row r="982" spans="4:22">
      <c r="D982" s="36"/>
      <c r="E982" s="36"/>
      <c r="F982" s="36"/>
      <c r="G982" s="36"/>
      <c r="H982" s="36"/>
      <c r="I982" s="36"/>
      <c r="J982" s="36"/>
      <c r="K982" s="36"/>
      <c r="L982" s="36"/>
      <c r="M982" s="36"/>
      <c r="N982" s="36"/>
      <c r="O982" s="36"/>
      <c r="P982" s="36"/>
      <c r="Q982" s="36"/>
      <c r="R982" s="36"/>
      <c r="S982" s="36"/>
      <c r="T982" s="36"/>
      <c r="U982" s="36"/>
      <c r="V982" s="36"/>
    </row>
    <row r="983" spans="4:22">
      <c r="D983" s="36"/>
      <c r="E983" s="36"/>
      <c r="F983" s="36"/>
      <c r="G983" s="36"/>
      <c r="H983" s="36"/>
      <c r="I983" s="36"/>
      <c r="J983" s="36"/>
      <c r="K983" s="36"/>
      <c r="L983" s="36"/>
      <c r="M983" s="36"/>
      <c r="N983" s="36"/>
      <c r="O983" s="36"/>
      <c r="P983" s="36"/>
      <c r="Q983" s="36"/>
      <c r="R983" s="36"/>
      <c r="S983" s="36"/>
      <c r="T983" s="36"/>
      <c r="U983" s="36"/>
      <c r="V983" s="36"/>
    </row>
    <row r="984" spans="4:22">
      <c r="D984" s="36"/>
      <c r="E984" s="36"/>
      <c r="F984" s="36"/>
      <c r="G984" s="36"/>
      <c r="H984" s="36"/>
      <c r="I984" s="36"/>
      <c r="J984" s="36"/>
      <c r="K984" s="36"/>
      <c r="L984" s="36"/>
      <c r="M984" s="36"/>
      <c r="N984" s="36"/>
      <c r="O984" s="36"/>
      <c r="P984" s="36"/>
      <c r="Q984" s="36"/>
      <c r="R984" s="36"/>
      <c r="S984" s="36"/>
      <c r="T984" s="36"/>
      <c r="U984" s="36"/>
      <c r="V984" s="36"/>
    </row>
    <row r="985" spans="4:22">
      <c r="D985" s="36"/>
      <c r="E985" s="36"/>
      <c r="F985" s="36"/>
      <c r="G985" s="36"/>
      <c r="H985" s="36"/>
      <c r="I985" s="36"/>
      <c r="J985" s="36"/>
      <c r="K985" s="36"/>
      <c r="L985" s="36"/>
      <c r="M985" s="36"/>
      <c r="N985" s="36"/>
      <c r="O985" s="36"/>
      <c r="P985" s="36"/>
      <c r="Q985" s="36"/>
      <c r="R985" s="36"/>
      <c r="S985" s="36"/>
      <c r="T985" s="36"/>
      <c r="U985" s="36"/>
      <c r="V985" s="36"/>
    </row>
    <row r="986" spans="4:22">
      <c r="D986" s="36"/>
      <c r="E986" s="36"/>
      <c r="F986" s="36"/>
      <c r="G986" s="36"/>
      <c r="H986" s="36"/>
      <c r="I986" s="36"/>
      <c r="J986" s="36"/>
      <c r="K986" s="36"/>
      <c r="L986" s="36"/>
      <c r="M986" s="36"/>
      <c r="N986" s="36"/>
      <c r="O986" s="36"/>
      <c r="P986" s="36"/>
      <c r="Q986" s="36"/>
      <c r="R986" s="36"/>
      <c r="S986" s="36"/>
      <c r="T986" s="36"/>
      <c r="U986" s="36"/>
      <c r="V986" s="36"/>
    </row>
    <row r="987" spans="4:22">
      <c r="D987" s="36"/>
      <c r="E987" s="36"/>
      <c r="F987" s="36"/>
      <c r="G987" s="36"/>
      <c r="H987" s="36"/>
      <c r="I987" s="36"/>
      <c r="J987" s="36"/>
      <c r="K987" s="36"/>
      <c r="L987" s="36"/>
      <c r="M987" s="36"/>
      <c r="N987" s="36"/>
      <c r="O987" s="36"/>
      <c r="P987" s="36"/>
      <c r="Q987" s="36"/>
      <c r="R987" s="36"/>
      <c r="S987" s="36"/>
      <c r="T987" s="36"/>
      <c r="U987" s="36"/>
      <c r="V987" s="36"/>
    </row>
    <row r="988" spans="4:22">
      <c r="D988" s="36"/>
      <c r="E988" s="36"/>
      <c r="F988" s="36"/>
      <c r="G988" s="36"/>
      <c r="H988" s="36"/>
      <c r="I988" s="36"/>
      <c r="J988" s="36"/>
      <c r="K988" s="36"/>
      <c r="L988" s="36"/>
      <c r="M988" s="36"/>
      <c r="N988" s="36"/>
      <c r="O988" s="36"/>
      <c r="P988" s="36"/>
      <c r="Q988" s="36"/>
      <c r="R988" s="36"/>
      <c r="S988" s="36"/>
      <c r="T988" s="36"/>
      <c r="U988" s="36"/>
      <c r="V988" s="36"/>
    </row>
    <row r="989" spans="4:22">
      <c r="D989" s="36"/>
      <c r="E989" s="36"/>
      <c r="F989" s="36"/>
      <c r="G989" s="36"/>
      <c r="H989" s="36"/>
      <c r="I989" s="36"/>
      <c r="J989" s="36"/>
      <c r="K989" s="36"/>
      <c r="L989" s="36"/>
      <c r="M989" s="36"/>
      <c r="N989" s="36"/>
      <c r="O989" s="36"/>
      <c r="P989" s="36"/>
      <c r="Q989" s="36"/>
      <c r="R989" s="36"/>
      <c r="S989" s="36"/>
      <c r="T989" s="36"/>
      <c r="U989" s="36"/>
      <c r="V989" s="36"/>
    </row>
    <row r="990" spans="4:22">
      <c r="D990" s="36"/>
      <c r="E990" s="36"/>
      <c r="F990" s="36"/>
      <c r="G990" s="36"/>
      <c r="H990" s="36"/>
      <c r="I990" s="36"/>
      <c r="J990" s="36"/>
      <c r="K990" s="36"/>
      <c r="L990" s="36"/>
      <c r="M990" s="36"/>
      <c r="N990" s="36"/>
      <c r="O990" s="36"/>
      <c r="P990" s="36"/>
      <c r="Q990" s="36"/>
      <c r="R990" s="36"/>
      <c r="S990" s="36"/>
      <c r="T990" s="36"/>
      <c r="U990" s="36"/>
      <c r="V990" s="36"/>
    </row>
    <row r="991" spans="4:22">
      <c r="D991" s="36"/>
      <c r="E991" s="36"/>
      <c r="F991" s="36"/>
      <c r="G991" s="36"/>
      <c r="H991" s="36"/>
      <c r="I991" s="36"/>
      <c r="J991" s="36"/>
      <c r="K991" s="36"/>
      <c r="L991" s="36"/>
      <c r="M991" s="36"/>
      <c r="N991" s="36"/>
      <c r="O991" s="36"/>
      <c r="P991" s="36"/>
      <c r="Q991" s="36"/>
      <c r="R991" s="36"/>
      <c r="S991" s="36"/>
      <c r="T991" s="36"/>
      <c r="U991" s="36"/>
      <c r="V991" s="36"/>
    </row>
    <row r="992" spans="4:22">
      <c r="D992" s="36"/>
      <c r="E992" s="36"/>
      <c r="F992" s="36"/>
      <c r="G992" s="36"/>
      <c r="H992" s="36"/>
      <c r="I992" s="36"/>
      <c r="J992" s="36"/>
      <c r="K992" s="36"/>
      <c r="L992" s="36"/>
      <c r="M992" s="36"/>
      <c r="N992" s="36"/>
      <c r="O992" s="36"/>
      <c r="P992" s="36"/>
      <c r="Q992" s="36"/>
      <c r="R992" s="36"/>
      <c r="S992" s="36"/>
      <c r="T992" s="36"/>
      <c r="U992" s="36"/>
      <c r="V992" s="36"/>
    </row>
    <row r="993" spans="4:22"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36"/>
      <c r="O993" s="36"/>
      <c r="P993" s="36"/>
      <c r="Q993" s="36"/>
      <c r="R993" s="36"/>
      <c r="S993" s="36"/>
      <c r="T993" s="36"/>
      <c r="U993" s="36"/>
      <c r="V993" s="36"/>
    </row>
    <row r="994" spans="4:22">
      <c r="D994" s="36"/>
      <c r="E994" s="36"/>
      <c r="F994" s="36"/>
      <c r="G994" s="36"/>
      <c r="H994" s="36"/>
      <c r="I994" s="36"/>
      <c r="J994" s="36"/>
      <c r="K994" s="36"/>
      <c r="L994" s="36"/>
      <c r="M994" s="36"/>
      <c r="N994" s="36"/>
      <c r="O994" s="36"/>
      <c r="P994" s="36"/>
      <c r="Q994" s="36"/>
      <c r="R994" s="36"/>
      <c r="S994" s="36"/>
      <c r="T994" s="36"/>
      <c r="U994" s="36"/>
      <c r="V994" s="36"/>
    </row>
    <row r="995" spans="4:22">
      <c r="D995" s="36"/>
      <c r="E995" s="36"/>
      <c r="F995" s="36"/>
      <c r="G995" s="36"/>
      <c r="H995" s="36"/>
      <c r="I995" s="36"/>
      <c r="J995" s="36"/>
      <c r="K995" s="36"/>
      <c r="L995" s="36"/>
      <c r="M995" s="36"/>
      <c r="N995" s="36"/>
      <c r="O995" s="36"/>
      <c r="P995" s="36"/>
      <c r="Q995" s="36"/>
      <c r="R995" s="36"/>
      <c r="S995" s="36"/>
      <c r="T995" s="36"/>
      <c r="U995" s="36"/>
      <c r="V995" s="36"/>
    </row>
    <row r="996" spans="4:22">
      <c r="D996" s="36"/>
      <c r="E996" s="36"/>
      <c r="F996" s="36"/>
      <c r="G996" s="36"/>
      <c r="H996" s="36"/>
      <c r="I996" s="36"/>
      <c r="J996" s="36"/>
      <c r="K996" s="36"/>
      <c r="L996" s="36"/>
      <c r="M996" s="36"/>
      <c r="N996" s="36"/>
      <c r="O996" s="36"/>
      <c r="P996" s="36"/>
      <c r="Q996" s="36"/>
      <c r="R996" s="36"/>
      <c r="S996" s="36"/>
      <c r="T996" s="36"/>
      <c r="U996" s="36"/>
      <c r="V996" s="36"/>
    </row>
    <row r="997" spans="4:22">
      <c r="D997" s="36"/>
      <c r="E997" s="36"/>
      <c r="F997" s="36"/>
      <c r="G997" s="36"/>
      <c r="H997" s="36"/>
      <c r="I997" s="36"/>
      <c r="J997" s="36"/>
      <c r="K997" s="36"/>
      <c r="L997" s="36"/>
      <c r="M997" s="36"/>
      <c r="N997" s="36"/>
      <c r="O997" s="36"/>
      <c r="P997" s="36"/>
      <c r="Q997" s="36"/>
      <c r="R997" s="36"/>
      <c r="S997" s="36"/>
      <c r="T997" s="36"/>
      <c r="U997" s="36"/>
      <c r="V997" s="36"/>
    </row>
    <row r="998" spans="4:22">
      <c r="D998" s="36"/>
      <c r="E998" s="36"/>
      <c r="F998" s="36"/>
      <c r="G998" s="36"/>
      <c r="H998" s="36"/>
      <c r="I998" s="36"/>
      <c r="J998" s="36"/>
      <c r="K998" s="36"/>
      <c r="L998" s="36"/>
      <c r="M998" s="36"/>
      <c r="N998" s="36"/>
      <c r="O998" s="36"/>
      <c r="P998" s="36"/>
      <c r="Q998" s="36"/>
      <c r="R998" s="36"/>
      <c r="S998" s="36"/>
      <c r="T998" s="36"/>
      <c r="U998" s="36"/>
      <c r="V998" s="36"/>
    </row>
    <row r="999" spans="4:22">
      <c r="D999" s="36"/>
      <c r="E999" s="36"/>
      <c r="F999" s="36"/>
      <c r="G999" s="36"/>
      <c r="H999" s="36"/>
      <c r="I999" s="36"/>
      <c r="J999" s="36"/>
      <c r="K999" s="36"/>
      <c r="L999" s="36"/>
      <c r="M999" s="36"/>
      <c r="N999" s="36"/>
      <c r="O999" s="36"/>
      <c r="P999" s="36"/>
      <c r="Q999" s="36"/>
      <c r="R999" s="36"/>
      <c r="S999" s="36"/>
      <c r="T999" s="36"/>
      <c r="U999" s="36"/>
      <c r="V999" s="36"/>
    </row>
    <row r="1000" spans="4:22"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36"/>
      <c r="O1000" s="36"/>
      <c r="P1000" s="36"/>
      <c r="Q1000" s="36"/>
      <c r="R1000" s="36"/>
      <c r="S1000" s="36"/>
      <c r="T1000" s="36"/>
      <c r="U1000" s="36"/>
      <c r="V1000" s="36"/>
    </row>
    <row r="1001" spans="4:22">
      <c r="D1001" s="36"/>
      <c r="E1001" s="36"/>
      <c r="F1001" s="36"/>
      <c r="G1001" s="36"/>
      <c r="H1001" s="36"/>
      <c r="I1001" s="36"/>
      <c r="J1001" s="36"/>
      <c r="K1001" s="36"/>
      <c r="L1001" s="36"/>
      <c r="M1001" s="36"/>
      <c r="N1001" s="36"/>
      <c r="O1001" s="36"/>
      <c r="P1001" s="36"/>
      <c r="Q1001" s="36"/>
      <c r="R1001" s="36"/>
      <c r="S1001" s="36"/>
      <c r="T1001" s="36"/>
      <c r="U1001" s="36"/>
      <c r="V1001" s="36"/>
    </row>
    <row r="1002" spans="4:22">
      <c r="D1002" s="36"/>
      <c r="E1002" s="36"/>
      <c r="F1002" s="36"/>
      <c r="G1002" s="36"/>
      <c r="H1002" s="36"/>
      <c r="I1002" s="36"/>
      <c r="J1002" s="36"/>
      <c r="K1002" s="36"/>
      <c r="L1002" s="36"/>
      <c r="M1002" s="36"/>
      <c r="N1002" s="36"/>
      <c r="O1002" s="36"/>
      <c r="P1002" s="36"/>
      <c r="Q1002" s="36"/>
      <c r="R1002" s="36"/>
      <c r="S1002" s="36"/>
      <c r="T1002" s="36"/>
      <c r="U1002" s="36"/>
      <c r="V1002" s="36"/>
    </row>
    <row r="1003" spans="4:22">
      <c r="D1003" s="36"/>
      <c r="E1003" s="36"/>
      <c r="F1003" s="36"/>
      <c r="G1003" s="36"/>
      <c r="H1003" s="36"/>
      <c r="I1003" s="36"/>
      <c r="J1003" s="36"/>
      <c r="K1003" s="36"/>
      <c r="L1003" s="36"/>
      <c r="M1003" s="36"/>
      <c r="N1003" s="36"/>
      <c r="O1003" s="36"/>
      <c r="P1003" s="36"/>
      <c r="Q1003" s="36"/>
      <c r="R1003" s="36"/>
      <c r="S1003" s="36"/>
      <c r="T1003" s="36"/>
      <c r="U1003" s="36"/>
      <c r="V1003" s="36"/>
    </row>
    <row r="1004" spans="4:22">
      <c r="D1004" s="36"/>
      <c r="E1004" s="36"/>
      <c r="F1004" s="36"/>
      <c r="G1004" s="36"/>
      <c r="H1004" s="36"/>
      <c r="I1004" s="36"/>
      <c r="J1004" s="36"/>
      <c r="K1004" s="36"/>
      <c r="L1004" s="36"/>
      <c r="M1004" s="36"/>
      <c r="N1004" s="36"/>
      <c r="O1004" s="36"/>
      <c r="P1004" s="36"/>
      <c r="Q1004" s="36"/>
      <c r="R1004" s="36"/>
      <c r="S1004" s="36"/>
      <c r="T1004" s="36"/>
      <c r="U1004" s="36"/>
      <c r="V1004" s="36"/>
    </row>
    <row r="1005" spans="4:22">
      <c r="D1005" s="36"/>
      <c r="E1005" s="36"/>
      <c r="F1005" s="36"/>
      <c r="G1005" s="36"/>
      <c r="H1005" s="36"/>
      <c r="I1005" s="36"/>
      <c r="J1005" s="36"/>
      <c r="K1005" s="36"/>
      <c r="L1005" s="36"/>
      <c r="M1005" s="36"/>
      <c r="N1005" s="36"/>
      <c r="O1005" s="36"/>
      <c r="P1005" s="36"/>
      <c r="Q1005" s="36"/>
      <c r="R1005" s="36"/>
      <c r="S1005" s="36"/>
      <c r="T1005" s="36"/>
      <c r="U1005" s="36"/>
      <c r="V1005" s="36"/>
    </row>
    <row r="1006" spans="4:22">
      <c r="D1006" s="36"/>
      <c r="E1006" s="36"/>
      <c r="F1006" s="36"/>
      <c r="G1006" s="36"/>
      <c r="H1006" s="36"/>
      <c r="I1006" s="36"/>
      <c r="J1006" s="36"/>
      <c r="K1006" s="36"/>
      <c r="L1006" s="36"/>
      <c r="M1006" s="36"/>
      <c r="N1006" s="36"/>
      <c r="O1006" s="36"/>
      <c r="P1006" s="36"/>
      <c r="Q1006" s="36"/>
      <c r="R1006" s="36"/>
      <c r="S1006" s="36"/>
      <c r="T1006" s="36"/>
      <c r="U1006" s="36"/>
      <c r="V1006" s="36"/>
    </row>
    <row r="1007" spans="4:22">
      <c r="D1007" s="36"/>
      <c r="E1007" s="36"/>
      <c r="F1007" s="36"/>
      <c r="G1007" s="36"/>
      <c r="H1007" s="36"/>
      <c r="I1007" s="36"/>
      <c r="J1007" s="36"/>
      <c r="K1007" s="36"/>
      <c r="L1007" s="36"/>
      <c r="M1007" s="36"/>
      <c r="N1007" s="36"/>
      <c r="O1007" s="36"/>
      <c r="P1007" s="36"/>
      <c r="Q1007" s="36"/>
      <c r="R1007" s="36"/>
      <c r="S1007" s="36"/>
      <c r="T1007" s="36"/>
      <c r="U1007" s="36"/>
      <c r="V1007" s="36"/>
    </row>
    <row r="1008" spans="4:22">
      <c r="D1008" s="36"/>
      <c r="E1008" s="36"/>
      <c r="F1008" s="36"/>
      <c r="G1008" s="36"/>
      <c r="H1008" s="36"/>
      <c r="I1008" s="36"/>
      <c r="J1008" s="36"/>
      <c r="K1008" s="36"/>
      <c r="L1008" s="36"/>
      <c r="M1008" s="36"/>
      <c r="N1008" s="36"/>
      <c r="O1008" s="36"/>
      <c r="P1008" s="36"/>
      <c r="Q1008" s="36"/>
      <c r="R1008" s="36"/>
      <c r="S1008" s="36"/>
      <c r="T1008" s="36"/>
      <c r="U1008" s="36"/>
      <c r="V1008" s="36"/>
    </row>
    <row r="1009" spans="4:22">
      <c r="D1009" s="36"/>
      <c r="E1009" s="36"/>
      <c r="F1009" s="36"/>
      <c r="G1009" s="36"/>
      <c r="H1009" s="36"/>
      <c r="I1009" s="36"/>
      <c r="J1009" s="36"/>
      <c r="K1009" s="36"/>
      <c r="L1009" s="36"/>
      <c r="M1009" s="36"/>
      <c r="N1009" s="36"/>
      <c r="O1009" s="36"/>
      <c r="P1009" s="36"/>
      <c r="Q1009" s="36"/>
      <c r="R1009" s="36"/>
      <c r="S1009" s="36"/>
      <c r="T1009" s="36"/>
      <c r="U1009" s="36"/>
      <c r="V1009" s="36"/>
    </row>
    <row r="1010" spans="4:22">
      <c r="D1010" s="36"/>
      <c r="E1010" s="36"/>
      <c r="F1010" s="36"/>
      <c r="G1010" s="36"/>
      <c r="H1010" s="36"/>
      <c r="I1010" s="36"/>
      <c r="J1010" s="36"/>
      <c r="K1010" s="36"/>
      <c r="L1010" s="36"/>
      <c r="M1010" s="36"/>
      <c r="N1010" s="36"/>
      <c r="O1010" s="36"/>
      <c r="P1010" s="36"/>
      <c r="Q1010" s="36"/>
      <c r="R1010" s="36"/>
      <c r="S1010" s="36"/>
      <c r="T1010" s="36"/>
      <c r="U1010" s="36"/>
      <c r="V1010" s="36"/>
    </row>
    <row r="1011" spans="4:22">
      <c r="D1011" s="36"/>
      <c r="E1011" s="36"/>
      <c r="F1011" s="36"/>
      <c r="G1011" s="36"/>
      <c r="H1011" s="36"/>
      <c r="I1011" s="36"/>
      <c r="J1011" s="36"/>
      <c r="K1011" s="36"/>
      <c r="L1011" s="36"/>
      <c r="M1011" s="36"/>
      <c r="N1011" s="36"/>
      <c r="O1011" s="36"/>
      <c r="P1011" s="36"/>
      <c r="Q1011" s="36"/>
      <c r="R1011" s="36"/>
      <c r="S1011" s="36"/>
      <c r="T1011" s="36"/>
      <c r="U1011" s="36"/>
      <c r="V1011" s="36"/>
    </row>
  </sheetData>
  <pageMargins left="0.699305555555556" right="0.699305555555556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021">
    <tabColor theme="9" tint="0.599993896298105"/>
  </sheetPr>
  <dimension ref="A1:T227"/>
  <sheetViews>
    <sheetView zoomScale="70" zoomScaleNormal="70" topLeftCell="A196" workbookViewId="0">
      <selection activeCell="D36" sqref="D36"/>
    </sheetView>
  </sheetViews>
  <sheetFormatPr defaultColWidth="8.70967741935484" defaultRowHeight="13.1"/>
  <cols>
    <col min="1" max="9" width="10.6290322580645" style="1"/>
    <col min="10" max="10" width="10.6290322580645" style="8"/>
    <col min="11" max="16384" width="10.6290322580645" style="1"/>
  </cols>
  <sheetData>
    <row r="1" spans="1:10">
      <c r="A1" s="3" t="s">
        <v>429</v>
      </c>
      <c r="J1" s="1"/>
    </row>
    <row r="2" spans="10:10">
      <c r="J2" s="1"/>
    </row>
    <row r="3" s="25" customFormat="1" spans="1:1">
      <c r="A3" s="2" t="s">
        <v>390</v>
      </c>
    </row>
    <row r="4" spans="10:10">
      <c r="J4" s="1"/>
    </row>
    <row r="5" spans="2:10">
      <c r="B5" s="3" t="s">
        <v>2592</v>
      </c>
      <c r="J5" s="1"/>
    </row>
    <row r="6" spans="2:10">
      <c r="B6" s="3" t="s">
        <v>2593</v>
      </c>
      <c r="J6" s="1"/>
    </row>
    <row r="7" spans="2:10">
      <c r="B7" s="3" t="s">
        <v>2594</v>
      </c>
      <c r="J7" s="1"/>
    </row>
    <row r="8" spans="2:10">
      <c r="B8" s="3"/>
      <c r="J8" s="1"/>
    </row>
    <row r="9" spans="10:10">
      <c r="J9" s="1"/>
    </row>
    <row r="10" s="25" customFormat="1" spans="1:4">
      <c r="A10" s="2" t="s">
        <v>2592</v>
      </c>
      <c r="C10" s="26"/>
      <c r="D10" s="26" t="s">
        <v>436</v>
      </c>
    </row>
    <row r="11" spans="10:10">
      <c r="J11" s="1"/>
    </row>
    <row r="12" spans="2:12">
      <c r="B12" s="27" t="s">
        <v>2595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</row>
    <row r="14" spans="2:8">
      <c r="B14" s="1" t="s">
        <v>2596</v>
      </c>
      <c r="C14" s="1" t="s">
        <v>765</v>
      </c>
      <c r="D14" s="1" t="s">
        <v>2597</v>
      </c>
      <c r="E14" s="1" t="s">
        <v>2598</v>
      </c>
      <c r="F14" s="1" t="s">
        <v>2599</v>
      </c>
      <c r="H14" s="1" t="s">
        <v>2600</v>
      </c>
    </row>
    <row r="15" spans="2:13">
      <c r="B15" s="28">
        <v>1</v>
      </c>
      <c r="C15" s="8">
        <f>总规划!$D$249*总规划!$D$77*B15</f>
        <v>360</v>
      </c>
      <c r="D15" s="13">
        <f t="shared" ref="D15:D20" si="0">E15/C15</f>
        <v>0.833333333333333</v>
      </c>
      <c r="E15" s="30">
        <v>300</v>
      </c>
      <c r="F15" s="6">
        <v>300</v>
      </c>
      <c r="H15" s="6" t="s">
        <v>2601</v>
      </c>
      <c r="M15" s="28"/>
    </row>
    <row r="16" spans="2:13">
      <c r="B16" s="28">
        <v>5</v>
      </c>
      <c r="C16" s="8">
        <f>总规划!$D$249*总规划!$D$77*B16</f>
        <v>1800</v>
      </c>
      <c r="D16" s="13">
        <f t="shared" si="0"/>
        <v>0.861111111111111</v>
      </c>
      <c r="E16" s="30">
        <v>1550</v>
      </c>
      <c r="F16" s="6" t="s">
        <v>2602</v>
      </c>
      <c r="H16" s="6" t="s">
        <v>2603</v>
      </c>
      <c r="M16" s="28"/>
    </row>
    <row r="17" spans="2:14">
      <c r="B17" s="28">
        <v>10</v>
      </c>
      <c r="C17" s="8">
        <f>总规划!$D$249*总规划!$D$77*B17</f>
        <v>3600</v>
      </c>
      <c r="D17" s="13">
        <f t="shared" si="0"/>
        <v>0.888888888888889</v>
      </c>
      <c r="E17" s="30">
        <v>3200</v>
      </c>
      <c r="F17" s="6" t="s">
        <v>2604</v>
      </c>
      <c r="H17" s="6" t="s">
        <v>2605</v>
      </c>
      <c r="J17" s="1"/>
      <c r="N17" s="28"/>
    </row>
    <row r="18" spans="2:8">
      <c r="B18" s="28">
        <v>20</v>
      </c>
      <c r="C18" s="8">
        <f>总规划!$D$249*总规划!$D$77*B18</f>
        <v>7200</v>
      </c>
      <c r="D18" s="13">
        <f t="shared" si="0"/>
        <v>0.916666666666667</v>
      </c>
      <c r="E18" s="30">
        <v>6600</v>
      </c>
      <c r="F18" s="6" t="s">
        <v>2606</v>
      </c>
      <c r="H18" s="6" t="s">
        <v>2607</v>
      </c>
    </row>
    <row r="19" spans="2:10">
      <c r="B19" s="28">
        <v>50</v>
      </c>
      <c r="C19" s="8">
        <f>总规划!$D$249*总规划!$D$77*B19</f>
        <v>18000</v>
      </c>
      <c r="D19" s="13">
        <f t="shared" si="0"/>
        <v>0.944444444444444</v>
      </c>
      <c r="E19" s="30">
        <v>17000</v>
      </c>
      <c r="F19" s="6" t="s">
        <v>2608</v>
      </c>
      <c r="H19" s="6" t="s">
        <v>2609</v>
      </c>
      <c r="J19" s="1"/>
    </row>
    <row r="20" spans="2:8">
      <c r="B20" s="28">
        <v>100</v>
      </c>
      <c r="C20" s="8">
        <f>总规划!$D$249*总规划!$D$77*B20</f>
        <v>36000</v>
      </c>
      <c r="D20" s="13">
        <f t="shared" si="0"/>
        <v>1</v>
      </c>
      <c r="E20" s="30">
        <v>36000</v>
      </c>
      <c r="F20" s="6" t="s">
        <v>2610</v>
      </c>
      <c r="H20" s="6" t="s">
        <v>2611</v>
      </c>
    </row>
    <row r="21" spans="10:10">
      <c r="J21" s="1"/>
    </row>
    <row r="22" spans="2:12">
      <c r="B22" s="27" t="s">
        <v>2612</v>
      </c>
      <c r="C22" s="27"/>
      <c r="D22" s="27"/>
      <c r="E22" s="27"/>
      <c r="F22" s="27"/>
      <c r="G22" s="27"/>
      <c r="H22" s="27"/>
      <c r="I22" s="27"/>
      <c r="J22" s="27"/>
      <c r="K22" s="27"/>
      <c r="L22" s="27"/>
    </row>
    <row r="24" spans="2:5">
      <c r="B24" s="28">
        <v>1</v>
      </c>
      <c r="C24" s="1" t="s">
        <v>450</v>
      </c>
      <c r="D24" s="1">
        <f>总规划!D249</f>
        <v>1200</v>
      </c>
      <c r="E24" s="1" t="s">
        <v>540</v>
      </c>
    </row>
    <row r="26" spans="2:12">
      <c r="B26" s="27" t="s">
        <v>2613</v>
      </c>
      <c r="C26" s="27"/>
      <c r="D26" s="27"/>
      <c r="E26" s="27"/>
      <c r="F26" s="27"/>
      <c r="G26" s="27"/>
      <c r="H26" s="27"/>
      <c r="I26" s="27"/>
      <c r="J26" s="27"/>
      <c r="K26" s="27"/>
      <c r="L26" s="27"/>
    </row>
    <row r="27" spans="10:10">
      <c r="J27" s="1"/>
    </row>
    <row r="28" spans="2:10">
      <c r="B28" s="29" t="str">
        <f>总规划!B259</f>
        <v>萝卜</v>
      </c>
      <c r="C28" s="29" t="str">
        <f>总规划!C259</f>
        <v>单位</v>
      </c>
      <c r="D28" s="29" t="str">
        <f>总规划!D259</f>
        <v>内部美元价</v>
      </c>
      <c r="E28" s="31" t="str">
        <f>总规划!E259</f>
        <v>内部黄金价</v>
      </c>
      <c r="F28" s="29" t="str">
        <f>总规划!F259</f>
        <v>显示黄金价</v>
      </c>
      <c r="J28" s="1"/>
    </row>
    <row r="29" spans="2:10">
      <c r="B29" s="1" t="str">
        <f>总规划!B260</f>
        <v>基础资源</v>
      </c>
      <c r="C29" s="1" t="str">
        <f>总规划!C260</f>
        <v>1M资源</v>
      </c>
      <c r="D29" s="24">
        <f>总规划!D260</f>
        <v>0.416666666666667</v>
      </c>
      <c r="E29" s="18">
        <f>总规划!E260</f>
        <v>500</v>
      </c>
      <c r="F29" s="18">
        <f>总规划!F260</f>
        <v>1000</v>
      </c>
      <c r="J29" s="1"/>
    </row>
    <row r="30" spans="2:10">
      <c r="B30" s="1" t="str">
        <f>总规划!B261</f>
        <v>加速</v>
      </c>
      <c r="C30" s="1" t="str">
        <f>总规划!C261</f>
        <v>1天</v>
      </c>
      <c r="D30" s="24">
        <f>总规划!D261</f>
        <v>1.5625</v>
      </c>
      <c r="E30" s="18">
        <f>总规划!E261</f>
        <v>1875</v>
      </c>
      <c r="F30" s="18">
        <f>总规划!F261</f>
        <v>4320</v>
      </c>
      <c r="J30" s="1"/>
    </row>
    <row r="31" spans="2:10">
      <c r="B31" s="1" t="str">
        <f>总规划!B262</f>
        <v>卡牌</v>
      </c>
      <c r="C31" s="1" t="str">
        <f>总规划!C262</f>
        <v>1四星卡</v>
      </c>
      <c r="D31" s="24">
        <f>总规划!D262</f>
        <v>0.5</v>
      </c>
      <c r="E31" s="18">
        <f>总规划!E262</f>
        <v>600</v>
      </c>
      <c r="F31" s="18">
        <f>总规划!F262</f>
        <v>1200</v>
      </c>
      <c r="I31" s="24"/>
      <c r="J31" s="1"/>
    </row>
    <row r="32" spans="2:10">
      <c r="B32" s="1" t="str">
        <f>总规划!B263</f>
        <v>陆军经验</v>
      </c>
      <c r="C32" s="1" t="str">
        <f>总规划!C263</f>
        <v>1M陆经</v>
      </c>
      <c r="D32" s="24">
        <f>总规划!D263</f>
        <v>2.5</v>
      </c>
      <c r="E32" s="18">
        <f>总规划!E263</f>
        <v>3000</v>
      </c>
      <c r="F32" s="18">
        <f>总规划!F263</f>
        <v>6000</v>
      </c>
      <c r="J32" s="1"/>
    </row>
    <row r="33" spans="2:10">
      <c r="B33" s="1" t="str">
        <f>总规划!B264</f>
        <v>弹药</v>
      </c>
      <c r="C33" s="1" t="str">
        <f>总规划!C264</f>
        <v>1k弹药</v>
      </c>
      <c r="D33" s="24">
        <f>总规划!D264</f>
        <v>3.75</v>
      </c>
      <c r="E33" s="18">
        <f>总规划!E264</f>
        <v>4500</v>
      </c>
      <c r="F33" s="18">
        <f>总规划!F264</f>
        <v>9000</v>
      </c>
      <c r="J33" s="1"/>
    </row>
    <row r="34" spans="2:10">
      <c r="B34" s="1" t="str">
        <f>总规划!B265</f>
        <v>零件</v>
      </c>
      <c r="C34" s="1" t="str">
        <f>总规划!C265</f>
        <v>1k零件</v>
      </c>
      <c r="D34" s="24">
        <f>总规划!D265</f>
        <v>12.5</v>
      </c>
      <c r="E34" s="18">
        <f>总规划!E265</f>
        <v>15000</v>
      </c>
      <c r="F34" s="18">
        <f>总规划!F265</f>
        <v>30000</v>
      </c>
      <c r="J34" s="1"/>
    </row>
    <row r="35" spans="2:10">
      <c r="B35" s="1" t="str">
        <f>总规划!B266</f>
        <v>配件材料</v>
      </c>
      <c r="C35" s="1" t="str">
        <f>总规划!C266</f>
        <v>1k铜材料</v>
      </c>
      <c r="D35" s="24">
        <f>总规划!D266</f>
        <v>2.08333333333333</v>
      </c>
      <c r="E35" s="18">
        <f>总规划!E266</f>
        <v>2500</v>
      </c>
      <c r="F35" s="18">
        <f>总规划!F266</f>
        <v>5000</v>
      </c>
      <c r="J35" s="1"/>
    </row>
    <row r="36" spans="2:10">
      <c r="B36" s="1" t="str">
        <f>总规划!B267</f>
        <v>配件图纸</v>
      </c>
      <c r="C36" s="1" t="str">
        <f>总规划!C267</f>
        <v>1金++</v>
      </c>
      <c r="D36" s="24">
        <f>总规划!D267</f>
        <v>62.5</v>
      </c>
      <c r="E36" s="18">
        <f>总规划!E267</f>
        <v>75000</v>
      </c>
      <c r="F36" s="18">
        <f>总规划!F267</f>
        <v>150000</v>
      </c>
      <c r="J36" s="1"/>
    </row>
    <row r="37" spans="2:10">
      <c r="B37" s="1" t="str">
        <f>总规划!B268</f>
        <v>军官经验</v>
      </c>
      <c r="C37" s="1" t="str">
        <f>总规划!C268</f>
        <v>1M军经</v>
      </c>
      <c r="D37" s="24">
        <f>总规划!D268</f>
        <v>6.25</v>
      </c>
      <c r="E37" s="18">
        <f>总规划!E268</f>
        <v>7500</v>
      </c>
      <c r="F37" s="18">
        <f>总规划!F268</f>
        <v>15000</v>
      </c>
      <c r="J37" s="1"/>
    </row>
    <row r="38" spans="2:10">
      <c r="B38" s="1" t="str">
        <f>总规划!B269</f>
        <v>军官技能书</v>
      </c>
      <c r="C38" s="1" t="str">
        <f>总规划!C269</f>
        <v>1技书</v>
      </c>
      <c r="D38" s="24">
        <f>总规划!D269</f>
        <v>3.33333333333333</v>
      </c>
      <c r="E38" s="18">
        <f>总规划!E269</f>
        <v>4000</v>
      </c>
      <c r="F38" s="18">
        <f>总规划!F269</f>
        <v>8000</v>
      </c>
      <c r="J38" s="1"/>
    </row>
    <row r="39" spans="2:10">
      <c r="B39" s="1" t="str">
        <f>总规划!B270</f>
        <v>阵营经验</v>
      </c>
      <c r="C39" s="1" t="str">
        <f>总规划!C270</f>
        <v>1M阵经</v>
      </c>
      <c r="D39" s="24">
        <f>总规划!D270</f>
        <v>69.4444444444444</v>
      </c>
      <c r="E39" s="18">
        <f>总规划!E270</f>
        <v>83333.3333333333</v>
      </c>
      <c r="F39" s="18">
        <f>总规划!F270</f>
        <v>166666.666666667</v>
      </c>
      <c r="J39" s="1"/>
    </row>
    <row r="40" spans="2:10">
      <c r="B40" s="1" t="str">
        <f>总规划!B271</f>
        <v>VIP经验</v>
      </c>
      <c r="C40" s="1" t="str">
        <f>总规划!C271</f>
        <v>1k经验</v>
      </c>
      <c r="D40" s="24">
        <f>总规划!D271</f>
        <v>0.833333333333333</v>
      </c>
      <c r="E40" s="18">
        <f>总规划!E271</f>
        <v>1000</v>
      </c>
      <c r="F40" s="18">
        <f>总规划!F271</f>
        <v>1000</v>
      </c>
      <c r="J40" s="1"/>
    </row>
    <row r="41" spans="2:10">
      <c r="B41" s="1" t="str">
        <f>总规划!B272</f>
        <v>科技书</v>
      </c>
      <c r="C41" s="1" t="str">
        <f>总规划!C272</f>
        <v>1科技书</v>
      </c>
      <c r="D41" s="24">
        <f>总规划!D272</f>
        <v>0.05</v>
      </c>
      <c r="E41" s="18">
        <f>总规划!E272</f>
        <v>60</v>
      </c>
      <c r="F41" s="18">
        <f>总规划!F272</f>
        <v>120</v>
      </c>
      <c r="J41" s="1"/>
    </row>
    <row r="42" spans="2:10">
      <c r="B42" s="1" t="str">
        <f>总规划!B273</f>
        <v>空军经验</v>
      </c>
      <c r="C42" s="1" t="str">
        <f>总规划!C273</f>
        <v>1M空经</v>
      </c>
      <c r="D42" s="24">
        <f>总规划!D273</f>
        <v>5</v>
      </c>
      <c r="E42" s="18">
        <f>总规划!E273</f>
        <v>6000</v>
      </c>
      <c r="F42" s="18">
        <f>总规划!F273</f>
        <v>12000</v>
      </c>
      <c r="J42" s="1"/>
    </row>
    <row r="43" spans="2:10">
      <c r="B43" s="1" t="str">
        <f>总规划!B274</f>
        <v>空军弹药</v>
      </c>
      <c r="C43" s="1" t="str">
        <f>总规划!C274</f>
        <v>1k空弹</v>
      </c>
      <c r="D43" s="24">
        <f>总规划!D274</f>
        <v>7.5</v>
      </c>
      <c r="E43" s="18">
        <f>总规划!E274</f>
        <v>9000</v>
      </c>
      <c r="F43" s="18">
        <f>总规划!F274</f>
        <v>18000</v>
      </c>
      <c r="J43" s="1"/>
    </row>
    <row r="44" spans="2:10">
      <c r="B44" s="1" t="str">
        <f>总规划!B275</f>
        <v>空军零件</v>
      </c>
      <c r="C44" s="1" t="str">
        <f>总规划!C275</f>
        <v>1k空零</v>
      </c>
      <c r="D44" s="24">
        <f>总规划!D275</f>
        <v>25</v>
      </c>
      <c r="E44" s="18">
        <f>总规划!E275</f>
        <v>30000</v>
      </c>
      <c r="F44" s="18">
        <f>总规划!F275</f>
        <v>60000</v>
      </c>
      <c r="J44" s="1"/>
    </row>
    <row r="45" spans="4:10">
      <c r="D45" s="24"/>
      <c r="E45" s="18"/>
      <c r="F45" s="18"/>
      <c r="J45" s="1"/>
    </row>
    <row r="47" spans="2:12">
      <c r="B47" s="27" t="s">
        <v>2614</v>
      </c>
      <c r="C47" s="27"/>
      <c r="D47" s="27"/>
      <c r="E47" s="27"/>
      <c r="F47" s="27"/>
      <c r="G47" s="27"/>
      <c r="H47" s="27"/>
      <c r="I47" s="27"/>
      <c r="J47" s="27"/>
      <c r="K47" s="27"/>
      <c r="L47" s="27"/>
    </row>
    <row r="49" spans="2:6">
      <c r="B49" s="29" t="str">
        <f>总规划!B279</f>
        <v>物品</v>
      </c>
      <c r="C49" s="29" t="str">
        <f>总规划!C279</f>
        <v>单位</v>
      </c>
      <c r="D49" s="29" t="str">
        <f>总规划!D279</f>
        <v>内部美元价</v>
      </c>
      <c r="E49" s="31" t="str">
        <f>总规划!E279</f>
        <v>内部黄金价</v>
      </c>
      <c r="F49" s="29" t="str">
        <f>总规划!F279</f>
        <v>显示黄金价</v>
      </c>
    </row>
    <row r="50" spans="2:6">
      <c r="B50" s="1" t="str">
        <f>总规划!B280</f>
        <v>体力药水</v>
      </c>
      <c r="C50" s="1" t="str">
        <f>总规划!C280</f>
        <v>1体力</v>
      </c>
      <c r="D50" s="24">
        <f>总规划!D280</f>
        <v>0.0125</v>
      </c>
      <c r="E50" s="8">
        <f>总规划!E280</f>
        <v>15</v>
      </c>
      <c r="F50" s="1">
        <f>总规划!F280</f>
        <v>30</v>
      </c>
    </row>
    <row r="51" spans="2:6">
      <c r="B51" s="1" t="str">
        <f>总规划!B281</f>
        <v>抽卡券</v>
      </c>
      <c r="C51" s="1" t="str">
        <f>总规划!C281</f>
        <v>1张</v>
      </c>
      <c r="D51" s="24">
        <f>总规划!D281</f>
        <v>0.62875</v>
      </c>
      <c r="E51" s="8">
        <f>总规划!E281</f>
        <v>754.5</v>
      </c>
      <c r="F51" s="1">
        <f>总规划!F281</f>
        <v>900</v>
      </c>
    </row>
    <row r="52" spans="2:6">
      <c r="B52" s="1" t="str">
        <f>总规划!B282</f>
        <v>阵营券</v>
      </c>
      <c r="C52" s="1" t="str">
        <f>总规划!C282</f>
        <v>1张</v>
      </c>
      <c r="D52" s="24">
        <f>总规划!D282</f>
        <v>0.62875</v>
      </c>
      <c r="E52" s="8">
        <f>总规划!E282</f>
        <v>754.5</v>
      </c>
      <c r="F52" s="1">
        <f>总规划!F282</f>
        <v>1500</v>
      </c>
    </row>
    <row r="53" spans="2:6">
      <c r="B53" s="1" t="str">
        <f>总规划!B283</f>
        <v>空降券</v>
      </c>
      <c r="C53" s="1" t="str">
        <f>总规划!C283</f>
        <v>1张</v>
      </c>
      <c r="D53" s="24">
        <f>总规划!D283</f>
        <v>0.5</v>
      </c>
      <c r="E53" s="8">
        <f>总规划!E283</f>
        <v>600</v>
      </c>
      <c r="F53" s="1">
        <f>总规划!F283</f>
        <v>1200</v>
      </c>
    </row>
    <row r="54" spans="2:6">
      <c r="B54" s="1" t="str">
        <f>总规划!B284</f>
        <v>跨城券</v>
      </c>
      <c r="C54" s="1" t="str">
        <f>总规划!C284</f>
        <v>1张</v>
      </c>
      <c r="D54" s="24">
        <f>总规划!D284</f>
        <v>1.5</v>
      </c>
      <c r="E54" s="8">
        <f>总规划!E284</f>
        <v>1800</v>
      </c>
      <c r="F54" s="1">
        <f>总规划!F284</f>
        <v>3600</v>
      </c>
    </row>
    <row r="55" spans="2:6">
      <c r="B55" s="1" t="str">
        <f>总规划!B285</f>
        <v>预备役</v>
      </c>
      <c r="C55" s="1" t="str">
        <f>总规划!C285</f>
        <v>1个</v>
      </c>
      <c r="D55" s="24">
        <f>总规划!D285</f>
        <v>0.025</v>
      </c>
      <c r="E55" s="8">
        <f>总规划!E285</f>
        <v>30</v>
      </c>
      <c r="F55" s="1">
        <f>总规划!F285</f>
        <v>60</v>
      </c>
    </row>
    <row r="56" spans="2:6">
      <c r="B56" s="1" t="str">
        <f>总规划!B286</f>
        <v>表情</v>
      </c>
      <c r="C56" s="1" t="str">
        <f>总规划!C286</f>
        <v>1个</v>
      </c>
      <c r="D56" s="24">
        <f>总规划!D286</f>
        <v>2.5</v>
      </c>
      <c r="E56" s="8">
        <f>总规划!E286</f>
        <v>3000</v>
      </c>
      <c r="F56" s="1">
        <f>总规划!F286</f>
        <v>6000</v>
      </c>
    </row>
    <row r="57" spans="2:6">
      <c r="B57" s="1" t="str">
        <f>总规划!B287</f>
        <v>头像框</v>
      </c>
      <c r="C57" s="1" t="str">
        <f>总规划!C287</f>
        <v>1个</v>
      </c>
      <c r="D57" s="24">
        <f>总规划!D287</f>
        <v>1.25</v>
      </c>
      <c r="E57" s="8">
        <f>总规划!E287</f>
        <v>1500</v>
      </c>
      <c r="F57" s="1">
        <f>总规划!F287</f>
        <v>3000</v>
      </c>
    </row>
    <row r="58" spans="2:6">
      <c r="B58" s="1" t="str">
        <f>总规划!B288</f>
        <v>战役币</v>
      </c>
      <c r="C58" s="1" t="str">
        <f>总规划!C288</f>
        <v>1k战役币</v>
      </c>
      <c r="D58" s="24">
        <f>总规划!D288</f>
        <v>1</v>
      </c>
      <c r="E58" s="8">
        <f>总规划!E288</f>
        <v>1200</v>
      </c>
      <c r="F58" s="1">
        <f>总规划!F288</f>
        <v>2400</v>
      </c>
    </row>
    <row r="59" spans="2:6">
      <c r="B59" s="1" t="str">
        <f>总规划!B289</f>
        <v>空战币</v>
      </c>
      <c r="C59" s="1" t="str">
        <f>总规划!C289</f>
        <v>1k空战币</v>
      </c>
      <c r="D59" s="24">
        <f>总规划!D289</f>
        <v>2</v>
      </c>
      <c r="E59" s="8">
        <f>总规划!E289</f>
        <v>2400</v>
      </c>
      <c r="F59" s="1">
        <f>总规划!F289</f>
        <v>4800</v>
      </c>
    </row>
    <row r="60" spans="2:6">
      <c r="B60" s="1" t="str">
        <f>总规划!B290</f>
        <v>银随机步兵配件图纸宝箱</v>
      </c>
      <c r="C60" s="1" t="str">
        <f>总规划!C290</f>
        <v>1个</v>
      </c>
      <c r="D60" s="24">
        <f ca="1">总规划!D290</f>
        <v>0.9125</v>
      </c>
      <c r="E60" s="8">
        <f ca="1">总规划!E290</f>
        <v>1095</v>
      </c>
      <c r="F60" s="1">
        <f ca="1">总规划!F290</f>
        <v>2190</v>
      </c>
    </row>
    <row r="61" spans="2:6">
      <c r="B61" s="1" t="str">
        <f>总规划!B291</f>
        <v>银随机中坦配件图纸宝箱</v>
      </c>
      <c r="C61" s="1" t="str">
        <f>总规划!C291</f>
        <v>1个</v>
      </c>
      <c r="D61" s="24">
        <f ca="1">总规划!D291</f>
        <v>0.9125</v>
      </c>
      <c r="E61" s="8">
        <f ca="1">总规划!E291</f>
        <v>1095</v>
      </c>
      <c r="F61" s="1">
        <f ca="1">总规划!F291</f>
        <v>2190</v>
      </c>
    </row>
    <row r="62" spans="2:6">
      <c r="B62" s="1" t="str">
        <f>总规划!B292</f>
        <v>银随机重坦配件图纸宝箱</v>
      </c>
      <c r="C62" s="1" t="str">
        <f>总规划!C292</f>
        <v>1个</v>
      </c>
      <c r="D62" s="24">
        <f ca="1">总规划!D292</f>
        <v>0.9125</v>
      </c>
      <c r="E62" s="8">
        <f ca="1">总规划!E292</f>
        <v>1095</v>
      </c>
      <c r="F62" s="1">
        <f ca="1">总规划!F292</f>
        <v>2190</v>
      </c>
    </row>
    <row r="63" spans="2:6">
      <c r="B63" s="1" t="str">
        <f>总规划!B293</f>
        <v>银随机坦歼配件图纸宝箱</v>
      </c>
      <c r="C63" s="1" t="str">
        <f>总规划!C293</f>
        <v>1个</v>
      </c>
      <c r="D63" s="24">
        <f ca="1">总规划!D293</f>
        <v>0.9125</v>
      </c>
      <c r="E63" s="8">
        <f ca="1">总规划!E293</f>
        <v>1095</v>
      </c>
      <c r="F63" s="1">
        <f ca="1">总规划!F293</f>
        <v>2190</v>
      </c>
    </row>
    <row r="64" spans="2:6">
      <c r="B64" s="1" t="str">
        <f>总规划!B294</f>
        <v>银随机榴弹炮配件图纸宝箱</v>
      </c>
      <c r="C64" s="1" t="str">
        <f>总规划!C294</f>
        <v>1个</v>
      </c>
      <c r="D64" s="24">
        <f ca="1">总规划!D294</f>
        <v>0.9125</v>
      </c>
      <c r="E64" s="8">
        <f ca="1">总规划!E294</f>
        <v>1095</v>
      </c>
      <c r="F64" s="1">
        <f ca="1">总规划!F294</f>
        <v>2190</v>
      </c>
    </row>
    <row r="65" spans="2:6">
      <c r="B65" s="1" t="str">
        <f>总规划!B295</f>
        <v>银随机反坦克炮配件图纸宝箱</v>
      </c>
      <c r="C65" s="1" t="str">
        <f>总规划!C295</f>
        <v>1个</v>
      </c>
      <c r="D65" s="24">
        <f ca="1">总规划!D295</f>
        <v>1.825</v>
      </c>
      <c r="E65" s="8">
        <f ca="1">总规划!E295</f>
        <v>2190</v>
      </c>
      <c r="F65" s="1">
        <f ca="1">总规划!F295</f>
        <v>4380</v>
      </c>
    </row>
    <row r="66" spans="2:6">
      <c r="B66" s="1" t="str">
        <f>总规划!B296</f>
        <v>银随机轻坦配件图纸宝箱</v>
      </c>
      <c r="C66" s="1" t="str">
        <f>总规划!C296</f>
        <v>1个</v>
      </c>
      <c r="D66" s="24">
        <f ca="1">总规划!D296</f>
        <v>1.825</v>
      </c>
      <c r="E66" s="8">
        <f ca="1">总规划!E296</f>
        <v>2190</v>
      </c>
      <c r="F66" s="1">
        <f ca="1">总规划!F296</f>
        <v>4380</v>
      </c>
    </row>
    <row r="67" spans="2:6">
      <c r="B67" s="1" t="str">
        <f>总规划!B297</f>
        <v>银随机超重坦配件图纸宝箱</v>
      </c>
      <c r="C67" s="1" t="str">
        <f>总规划!C297</f>
        <v>1个</v>
      </c>
      <c r="D67" s="24">
        <f ca="1">总规划!D297</f>
        <v>1.825</v>
      </c>
      <c r="E67" s="8">
        <f ca="1">总规划!E297</f>
        <v>2190</v>
      </c>
      <c r="F67" s="1">
        <f ca="1">总规划!F297</f>
        <v>4380</v>
      </c>
    </row>
    <row r="68" spans="2:6">
      <c r="B68" s="1" t="str">
        <f>总规划!B298</f>
        <v>银随机火箭炮配件图纸宝箱</v>
      </c>
      <c r="C68" s="1" t="str">
        <f>总规划!C298</f>
        <v>1个</v>
      </c>
      <c r="D68" s="24">
        <f ca="1">总规划!D298</f>
        <v>1.825</v>
      </c>
      <c r="E68" s="8">
        <f ca="1">总规划!E298</f>
        <v>2190</v>
      </c>
      <c r="F68" s="1">
        <f ca="1">总规划!F298</f>
        <v>4380</v>
      </c>
    </row>
    <row r="69" spans="2:6">
      <c r="B69" s="1" t="str">
        <f>总规划!B299</f>
        <v>银随机配件图纸宝箱</v>
      </c>
      <c r="C69" s="1" t="str">
        <f>总规划!C299</f>
        <v>1个</v>
      </c>
      <c r="D69" s="24">
        <f ca="1">总规划!D299</f>
        <v>0.45625</v>
      </c>
      <c r="E69" s="8">
        <f ca="1">总规划!E299</f>
        <v>547.5</v>
      </c>
      <c r="F69" s="1">
        <f ca="1">总规划!F299</f>
        <v>1095</v>
      </c>
    </row>
    <row r="70" spans="2:6">
      <c r="B70" s="1" t="str">
        <f>总规划!B300</f>
        <v>金随机步兵配件图纸宝箱</v>
      </c>
      <c r="C70" s="1" t="str">
        <f>总规划!C300</f>
        <v>1个</v>
      </c>
      <c r="D70" s="24">
        <f ca="1">总规划!D300</f>
        <v>14.75</v>
      </c>
      <c r="E70" s="8">
        <f ca="1">总规划!E300</f>
        <v>17700</v>
      </c>
      <c r="F70" s="1">
        <f ca="1">总规划!F300</f>
        <v>35400</v>
      </c>
    </row>
    <row r="71" spans="2:6">
      <c r="B71" s="1" t="str">
        <f>总规划!B301</f>
        <v>金随机中坦配件图纸宝箱</v>
      </c>
      <c r="C71" s="1" t="str">
        <f>总规划!C301</f>
        <v>1个</v>
      </c>
      <c r="D71" s="24">
        <f ca="1">总规划!D301</f>
        <v>14.75</v>
      </c>
      <c r="E71" s="8">
        <f ca="1">总规划!E301</f>
        <v>17700</v>
      </c>
      <c r="F71" s="1">
        <f ca="1">总规划!F301</f>
        <v>35400</v>
      </c>
    </row>
    <row r="72" spans="2:6">
      <c r="B72" s="1" t="str">
        <f>总规划!B302</f>
        <v>金随机重坦配件图纸宝箱</v>
      </c>
      <c r="C72" s="1" t="str">
        <f>总规划!C302</f>
        <v>1个</v>
      </c>
      <c r="D72" s="24">
        <f ca="1">总规划!D302</f>
        <v>14.75</v>
      </c>
      <c r="E72" s="8">
        <f ca="1">总规划!E302</f>
        <v>17700</v>
      </c>
      <c r="F72" s="1">
        <f ca="1">总规划!F302</f>
        <v>35400</v>
      </c>
    </row>
    <row r="73" spans="2:6">
      <c r="B73" s="1" t="str">
        <f>总规划!B303</f>
        <v>金随机坦歼配件图纸宝箱</v>
      </c>
      <c r="C73" s="1" t="str">
        <f>总规划!C303</f>
        <v>1个</v>
      </c>
      <c r="D73" s="24">
        <f ca="1">总规划!D303</f>
        <v>14.75</v>
      </c>
      <c r="E73" s="8">
        <f ca="1">总规划!E303</f>
        <v>17700</v>
      </c>
      <c r="F73" s="1">
        <f ca="1">总规划!F303</f>
        <v>35400</v>
      </c>
    </row>
    <row r="74" spans="2:6">
      <c r="B74" s="1" t="str">
        <f>总规划!B304</f>
        <v>金随机榴弹炮配件图纸宝箱</v>
      </c>
      <c r="C74" s="1" t="str">
        <f>总规划!C304</f>
        <v>1个</v>
      </c>
      <c r="D74" s="24">
        <f ca="1">总规划!D304</f>
        <v>14.75</v>
      </c>
      <c r="E74" s="8">
        <f ca="1">总规划!E304</f>
        <v>17700</v>
      </c>
      <c r="F74" s="1">
        <f ca="1">总规划!F304</f>
        <v>35400</v>
      </c>
    </row>
    <row r="75" spans="2:6">
      <c r="B75" s="1" t="str">
        <f>总规划!B305</f>
        <v>金随机反坦克炮配件图纸宝箱</v>
      </c>
      <c r="C75" s="1" t="str">
        <f>总规划!C305</f>
        <v>1个</v>
      </c>
      <c r="D75" s="24">
        <f ca="1">总规划!D305</f>
        <v>29.5</v>
      </c>
      <c r="E75" s="8">
        <f ca="1">总规划!E305</f>
        <v>35400</v>
      </c>
      <c r="F75" s="1">
        <f ca="1">总规划!F305</f>
        <v>70800</v>
      </c>
    </row>
    <row r="76" spans="2:6">
      <c r="B76" s="1" t="str">
        <f>总规划!B306</f>
        <v>金随机轻坦配件图纸宝箱</v>
      </c>
      <c r="C76" s="1" t="str">
        <f>总规划!C306</f>
        <v>1个</v>
      </c>
      <c r="D76" s="24">
        <f ca="1">总规划!D306</f>
        <v>29.5</v>
      </c>
      <c r="E76" s="8">
        <f ca="1">总规划!E306</f>
        <v>35400</v>
      </c>
      <c r="F76" s="1">
        <f ca="1">总规划!F306</f>
        <v>70800</v>
      </c>
    </row>
    <row r="77" spans="2:6">
      <c r="B77" s="1" t="str">
        <f>总规划!B307</f>
        <v>金随机超重坦配件图纸宝箱</v>
      </c>
      <c r="C77" s="1" t="str">
        <f>总规划!C307</f>
        <v>1个</v>
      </c>
      <c r="D77" s="24">
        <f ca="1">总规划!D307</f>
        <v>29.5</v>
      </c>
      <c r="E77" s="8">
        <f ca="1">总规划!E307</f>
        <v>35400</v>
      </c>
      <c r="F77" s="1">
        <f ca="1">总规划!F307</f>
        <v>70800</v>
      </c>
    </row>
    <row r="78" spans="2:6">
      <c r="B78" s="1" t="str">
        <f>总规划!B308</f>
        <v>金随机火箭炮配件图纸宝箱</v>
      </c>
      <c r="C78" s="1" t="str">
        <f>总规划!C308</f>
        <v>1个</v>
      </c>
      <c r="D78" s="24">
        <f ca="1">总规划!D308</f>
        <v>29.5</v>
      </c>
      <c r="E78" s="8">
        <f ca="1">总规划!E308</f>
        <v>35400</v>
      </c>
      <c r="F78" s="1">
        <f ca="1">总规划!F308</f>
        <v>70800</v>
      </c>
    </row>
    <row r="79" spans="2:6">
      <c r="B79" s="1" t="str">
        <f>总规划!B309</f>
        <v>金随机配件图纸宝箱</v>
      </c>
      <c r="C79" s="1" t="str">
        <f>总规划!C309</f>
        <v>1个</v>
      </c>
      <c r="D79" s="24">
        <f ca="1">总规划!D309</f>
        <v>7.375</v>
      </c>
      <c r="E79" s="8">
        <f ca="1">总规划!E309</f>
        <v>8850</v>
      </c>
      <c r="F79" s="1">
        <f ca="1">总规划!F309</f>
        <v>17700</v>
      </c>
    </row>
    <row r="80" spans="2:6">
      <c r="B80" s="1" t="str">
        <f>总规划!B310</f>
        <v>金+随机步兵配件图纸宝箱</v>
      </c>
      <c r="C80" s="1" t="str">
        <f>总规划!C310</f>
        <v>1个</v>
      </c>
      <c r="D80" s="24">
        <f ca="1">总规划!D310</f>
        <v>35</v>
      </c>
      <c r="E80" s="8">
        <f ca="1">总规划!E310</f>
        <v>42000</v>
      </c>
      <c r="F80" s="1">
        <f ca="1">总规划!F310</f>
        <v>84000</v>
      </c>
    </row>
    <row r="81" spans="2:6">
      <c r="B81" s="1" t="str">
        <f>总规划!B311</f>
        <v>金+随机中坦配件图纸宝箱</v>
      </c>
      <c r="C81" s="1" t="str">
        <f>总规划!C311</f>
        <v>1个</v>
      </c>
      <c r="D81" s="24">
        <f ca="1">总规划!D311</f>
        <v>35</v>
      </c>
      <c r="E81" s="8">
        <f ca="1">总规划!E311</f>
        <v>42000</v>
      </c>
      <c r="F81" s="1">
        <f ca="1">总规划!F311</f>
        <v>84000</v>
      </c>
    </row>
    <row r="82" spans="2:6">
      <c r="B82" s="1" t="str">
        <f>总规划!B312</f>
        <v>金+随机重坦配件图纸宝箱</v>
      </c>
      <c r="C82" s="1" t="str">
        <f>总规划!C312</f>
        <v>1个</v>
      </c>
      <c r="D82" s="24">
        <f ca="1">总规划!D312</f>
        <v>35</v>
      </c>
      <c r="E82" s="8">
        <f ca="1">总规划!E312</f>
        <v>42000</v>
      </c>
      <c r="F82" s="1">
        <f ca="1">总规划!F312</f>
        <v>84000</v>
      </c>
    </row>
    <row r="83" spans="2:6">
      <c r="B83" s="1" t="str">
        <f>总规划!B313</f>
        <v>金+随机坦歼配件图纸宝箱</v>
      </c>
      <c r="C83" s="1" t="str">
        <f>总规划!C313</f>
        <v>1个</v>
      </c>
      <c r="D83" s="24">
        <f ca="1">总规划!D313</f>
        <v>35</v>
      </c>
      <c r="E83" s="8">
        <f ca="1">总规划!E313</f>
        <v>42000</v>
      </c>
      <c r="F83" s="1">
        <f ca="1">总规划!F313</f>
        <v>84000</v>
      </c>
    </row>
    <row r="84" spans="2:6">
      <c r="B84" s="1" t="str">
        <f>总规划!B314</f>
        <v>金+随机榴弹炮配件图纸宝箱</v>
      </c>
      <c r="C84" s="1" t="str">
        <f>总规划!C314</f>
        <v>1个</v>
      </c>
      <c r="D84" s="24">
        <f ca="1">总规划!D314</f>
        <v>35</v>
      </c>
      <c r="E84" s="8">
        <f ca="1">总规划!E314</f>
        <v>42000</v>
      </c>
      <c r="F84" s="1">
        <f ca="1">总规划!F314</f>
        <v>84000</v>
      </c>
    </row>
    <row r="85" spans="2:6">
      <c r="B85" s="1" t="str">
        <f>总规划!B315</f>
        <v>金+随机反坦克炮配件图纸宝箱</v>
      </c>
      <c r="C85" s="1" t="str">
        <f>总规划!C315</f>
        <v>1个</v>
      </c>
      <c r="D85" s="24">
        <f ca="1">总规划!D315</f>
        <v>70</v>
      </c>
      <c r="E85" s="8">
        <f ca="1">总规划!E315</f>
        <v>84000</v>
      </c>
      <c r="F85" s="1">
        <f ca="1">总规划!F315</f>
        <v>168000</v>
      </c>
    </row>
    <row r="86" spans="2:6">
      <c r="B86" s="1" t="str">
        <f>总规划!B316</f>
        <v>金+随机轻坦配件图纸宝箱</v>
      </c>
      <c r="C86" s="1" t="str">
        <f>总规划!C316</f>
        <v>1个</v>
      </c>
      <c r="D86" s="24">
        <f ca="1">总规划!D316</f>
        <v>70</v>
      </c>
      <c r="E86" s="8">
        <f ca="1">总规划!E316</f>
        <v>84000</v>
      </c>
      <c r="F86" s="1">
        <f ca="1">总规划!F316</f>
        <v>168000</v>
      </c>
    </row>
    <row r="87" spans="2:6">
      <c r="B87" s="1" t="str">
        <f>总规划!B317</f>
        <v>金+随机超重坦配件图纸宝箱</v>
      </c>
      <c r="C87" s="1" t="str">
        <f>总规划!C317</f>
        <v>1个</v>
      </c>
      <c r="D87" s="24">
        <f ca="1">总规划!D317</f>
        <v>70</v>
      </c>
      <c r="E87" s="8">
        <f ca="1">总规划!E317</f>
        <v>84000</v>
      </c>
      <c r="F87" s="1">
        <f ca="1">总规划!F317</f>
        <v>168000</v>
      </c>
    </row>
    <row r="88" spans="2:6">
      <c r="B88" s="1" t="str">
        <f>总规划!B318</f>
        <v>金+随机火箭炮配件图纸宝箱</v>
      </c>
      <c r="C88" s="1" t="str">
        <f>总规划!C318</f>
        <v>1个</v>
      </c>
      <c r="D88" s="24">
        <f ca="1">总规划!D318</f>
        <v>70</v>
      </c>
      <c r="E88" s="8">
        <f ca="1">总规划!E318</f>
        <v>84000</v>
      </c>
      <c r="F88" s="1">
        <f ca="1">总规划!F318</f>
        <v>168000</v>
      </c>
    </row>
    <row r="89" spans="2:6">
      <c r="B89" s="1" t="str">
        <f>总规划!B319</f>
        <v>金+随机配件图纸宝箱</v>
      </c>
      <c r="C89" s="1" t="str">
        <f>总规划!C319</f>
        <v>1个</v>
      </c>
      <c r="D89" s="24">
        <f ca="1">总规划!D319</f>
        <v>17.5</v>
      </c>
      <c r="E89" s="8">
        <f ca="1">总规划!E319</f>
        <v>21000</v>
      </c>
      <c r="F89" s="1">
        <f ca="1">总规划!F319</f>
        <v>42000</v>
      </c>
    </row>
    <row r="90" spans="2:6">
      <c r="B90" s="1" t="str">
        <f>总规划!B320</f>
        <v>银随机战斗机配件图纸宝箱</v>
      </c>
      <c r="C90" s="1" t="str">
        <f>总规划!C320</f>
        <v>1个</v>
      </c>
      <c r="D90" s="24">
        <f ca="1">总规划!D320</f>
        <v>0.9125</v>
      </c>
      <c r="E90" s="8">
        <f ca="1">总规划!E320</f>
        <v>1095</v>
      </c>
      <c r="F90" s="1">
        <f ca="1">总规划!F320</f>
        <v>2190</v>
      </c>
    </row>
    <row r="91" spans="2:6">
      <c r="B91" s="1" t="str">
        <f>总规划!B321</f>
        <v>银随机攻击机配件图纸宝箱</v>
      </c>
      <c r="C91" s="1" t="str">
        <f>总规划!C321</f>
        <v>1个</v>
      </c>
      <c r="D91" s="24">
        <f ca="1">总规划!D321</f>
        <v>0.9125</v>
      </c>
      <c r="E91" s="8">
        <f ca="1">总规划!E321</f>
        <v>1095</v>
      </c>
      <c r="F91" s="1">
        <f ca="1">总规划!F321</f>
        <v>2190</v>
      </c>
    </row>
    <row r="92" spans="2:6">
      <c r="B92" s="1" t="str">
        <f>总规划!B322</f>
        <v>银随机战术轰炸机配件图纸宝箱</v>
      </c>
      <c r="C92" s="1" t="str">
        <f>总规划!C322</f>
        <v>1个</v>
      </c>
      <c r="D92" s="24">
        <f ca="1">总规划!D322</f>
        <v>1.825</v>
      </c>
      <c r="E92" s="8">
        <f ca="1">总规划!E322</f>
        <v>2190</v>
      </c>
      <c r="F92" s="1">
        <f ca="1">总规划!F322</f>
        <v>4380</v>
      </c>
    </row>
    <row r="93" spans="2:6">
      <c r="B93" s="1" t="str">
        <f>总规划!B323</f>
        <v>银随机战略轰炸机配件图纸宝箱</v>
      </c>
      <c r="C93" s="1" t="str">
        <f>总规划!C323</f>
        <v>1个</v>
      </c>
      <c r="D93" s="24">
        <f ca="1">总规划!D323</f>
        <v>1.825</v>
      </c>
      <c r="E93" s="8">
        <f ca="1">总规划!E323</f>
        <v>2190</v>
      </c>
      <c r="F93" s="1">
        <f ca="1">总规划!F323</f>
        <v>4380</v>
      </c>
    </row>
    <row r="94" spans="2:6">
      <c r="B94" s="1" t="str">
        <f>总规划!B324</f>
        <v>银随机空军配件图纸宝箱</v>
      </c>
      <c r="C94" s="1" t="str">
        <f>总规划!C324</f>
        <v>1个</v>
      </c>
      <c r="D94" s="24">
        <f ca="1">总规划!D324</f>
        <v>0.45625</v>
      </c>
      <c r="E94" s="8">
        <f ca="1">总规划!E324</f>
        <v>547.5</v>
      </c>
      <c r="F94" s="1">
        <f ca="1">总规划!F324</f>
        <v>1095</v>
      </c>
    </row>
    <row r="95" spans="2:6">
      <c r="B95" s="1" t="str">
        <f>总规划!B325</f>
        <v>金随机战斗机配件图纸宝箱</v>
      </c>
      <c r="C95" s="1" t="str">
        <f>总规划!C325</f>
        <v>1个</v>
      </c>
      <c r="D95" s="24">
        <f ca="1">总规划!D325</f>
        <v>14.75</v>
      </c>
      <c r="E95" s="8">
        <f ca="1">总规划!E325</f>
        <v>17700</v>
      </c>
      <c r="F95" s="1">
        <f ca="1">总规划!F325</f>
        <v>35400</v>
      </c>
    </row>
    <row r="96" spans="2:6">
      <c r="B96" s="1" t="str">
        <f>总规划!B326</f>
        <v>金随机攻击机配件图纸宝箱</v>
      </c>
      <c r="C96" s="1" t="str">
        <f>总规划!C326</f>
        <v>1个</v>
      </c>
      <c r="D96" s="24">
        <f ca="1">总规划!D326</f>
        <v>14.75</v>
      </c>
      <c r="E96" s="8">
        <f ca="1">总规划!E326</f>
        <v>17700</v>
      </c>
      <c r="F96" s="1">
        <f ca="1">总规划!F326</f>
        <v>35400</v>
      </c>
    </row>
    <row r="97" spans="2:6">
      <c r="B97" s="1" t="str">
        <f>总规划!B327</f>
        <v>金随机战术轰炸机配件图纸宝箱</v>
      </c>
      <c r="C97" s="1" t="str">
        <f>总规划!C327</f>
        <v>1个</v>
      </c>
      <c r="D97" s="24">
        <f ca="1">总规划!D327</f>
        <v>29.5</v>
      </c>
      <c r="E97" s="8">
        <f ca="1">总规划!E327</f>
        <v>35400</v>
      </c>
      <c r="F97" s="1">
        <f ca="1">总规划!F327</f>
        <v>70800</v>
      </c>
    </row>
    <row r="98" spans="2:6">
      <c r="B98" s="1" t="str">
        <f>总规划!B328</f>
        <v>金随机战略轰炸机配件图纸宝箱</v>
      </c>
      <c r="C98" s="1" t="str">
        <f>总规划!C328</f>
        <v>1个</v>
      </c>
      <c r="D98" s="24">
        <f ca="1">总规划!D328</f>
        <v>29.5</v>
      </c>
      <c r="E98" s="8">
        <f ca="1">总规划!E328</f>
        <v>35400</v>
      </c>
      <c r="F98" s="1">
        <f ca="1">总规划!F328</f>
        <v>70800</v>
      </c>
    </row>
    <row r="99" spans="2:6">
      <c r="B99" s="1" t="str">
        <f>总规划!B329</f>
        <v>金随机空军配件图纸宝箱</v>
      </c>
      <c r="C99" s="1" t="str">
        <f>总规划!C329</f>
        <v>1个</v>
      </c>
      <c r="D99" s="24">
        <f ca="1">总规划!D329</f>
        <v>7.375</v>
      </c>
      <c r="E99" s="8">
        <f ca="1">总规划!E329</f>
        <v>8850</v>
      </c>
      <c r="F99" s="1">
        <f ca="1">总规划!F329</f>
        <v>17700</v>
      </c>
    </row>
    <row r="100" spans="2:6">
      <c r="B100" s="1" t="str">
        <f>总规划!B330</f>
        <v>金+随机战斗机配件图纸宝箱</v>
      </c>
      <c r="C100" s="1" t="str">
        <f>总规划!C330</f>
        <v>1个</v>
      </c>
      <c r="D100" s="24">
        <f ca="1">总规划!D330</f>
        <v>14.75</v>
      </c>
      <c r="E100" s="8">
        <f ca="1">总规划!E330</f>
        <v>17700</v>
      </c>
      <c r="F100" s="1">
        <f ca="1">总规划!F330</f>
        <v>35400</v>
      </c>
    </row>
    <row r="101" spans="2:6">
      <c r="B101" s="1" t="str">
        <f>总规划!B331</f>
        <v>金+随机攻击机配件图纸宝箱</v>
      </c>
      <c r="C101" s="1" t="str">
        <f>总规划!C331</f>
        <v>1个</v>
      </c>
      <c r="D101" s="24">
        <f ca="1">总规划!D331</f>
        <v>14.75</v>
      </c>
      <c r="E101" s="8">
        <f ca="1">总规划!E331</f>
        <v>17700</v>
      </c>
      <c r="F101" s="1">
        <f ca="1">总规划!F331</f>
        <v>35400</v>
      </c>
    </row>
    <row r="102" spans="2:6">
      <c r="B102" s="1" t="str">
        <f>总规划!B332</f>
        <v>金+随机战术轰炸机配件图纸宝箱</v>
      </c>
      <c r="C102" s="1" t="str">
        <f>总规划!C332</f>
        <v>1个</v>
      </c>
      <c r="D102" s="24">
        <f ca="1">总规划!D332</f>
        <v>29.5</v>
      </c>
      <c r="E102" s="8">
        <f ca="1">总规划!E332</f>
        <v>35400</v>
      </c>
      <c r="F102" s="1">
        <f ca="1">总规划!F332</f>
        <v>70800</v>
      </c>
    </row>
    <row r="103" spans="2:6">
      <c r="B103" s="1" t="str">
        <f>总规划!B333</f>
        <v>金+随机战略轰炸机配件图纸宝箱</v>
      </c>
      <c r="C103" s="1" t="str">
        <f>总规划!C333</f>
        <v>1个</v>
      </c>
      <c r="D103" s="24">
        <f ca="1">总规划!D333</f>
        <v>29.5</v>
      </c>
      <c r="E103" s="8">
        <f ca="1">总规划!E333</f>
        <v>35400</v>
      </c>
      <c r="F103" s="1">
        <f ca="1">总规划!F333</f>
        <v>70800</v>
      </c>
    </row>
    <row r="104" spans="2:6">
      <c r="B104" s="1" t="str">
        <f>总规划!B334</f>
        <v>金+随机空军配件图纸宝箱</v>
      </c>
      <c r="C104" s="1" t="str">
        <f>总规划!C334</f>
        <v>1个</v>
      </c>
      <c r="D104" s="24">
        <f ca="1">总规划!D334</f>
        <v>7.375</v>
      </c>
      <c r="E104" s="8">
        <f ca="1">总规划!E334</f>
        <v>8850</v>
      </c>
      <c r="F104" s="1">
        <f ca="1">总规划!F334</f>
        <v>17700</v>
      </c>
    </row>
    <row r="105" spans="2:6">
      <c r="B105" s="1" t="str">
        <f>总规划!B335</f>
        <v>联盟币</v>
      </c>
      <c r="C105" s="1" t="str">
        <f>总规划!C335</f>
        <v>1k联盟币</v>
      </c>
      <c r="D105" s="24">
        <f>总规划!D335</f>
        <v>2.5</v>
      </c>
      <c r="E105" s="8">
        <f>总规划!E335</f>
        <v>3000</v>
      </c>
      <c r="F105" s="1">
        <f>总规划!F335</f>
        <v>6000</v>
      </c>
    </row>
    <row r="107" spans="2:12">
      <c r="B107" s="27" t="s">
        <v>2615</v>
      </c>
      <c r="C107" s="27"/>
      <c r="D107" s="27"/>
      <c r="E107" s="27"/>
      <c r="F107" s="27"/>
      <c r="G107" s="27"/>
      <c r="H107" s="27"/>
      <c r="I107" s="27"/>
      <c r="J107" s="27"/>
      <c r="K107" s="27"/>
      <c r="L107" s="27"/>
    </row>
    <row r="108" spans="10:10">
      <c r="J108" s="1"/>
    </row>
    <row r="109" spans="2:5">
      <c r="B109" s="1" t="s">
        <v>489</v>
      </c>
      <c r="C109" s="13">
        <f>总规划!D74</f>
        <v>10</v>
      </c>
      <c r="E109" s="1" t="s">
        <v>2616</v>
      </c>
    </row>
    <row r="110" spans="2:5">
      <c r="B110" s="1" t="s">
        <v>490</v>
      </c>
      <c r="C110" s="13">
        <f>总规划!D75</f>
        <v>2</v>
      </c>
      <c r="E110" s="1" t="s">
        <v>2617</v>
      </c>
    </row>
    <row r="111" spans="2:5">
      <c r="B111" s="1" t="s">
        <v>491</v>
      </c>
      <c r="C111" s="13">
        <f>总规划!D76</f>
        <v>1</v>
      </c>
      <c r="E111" s="1" t="s">
        <v>2618</v>
      </c>
    </row>
    <row r="113" spans="2:12">
      <c r="B113" s="27" t="s">
        <v>2619</v>
      </c>
      <c r="C113" s="27"/>
      <c r="D113" s="27"/>
      <c r="E113" s="27"/>
      <c r="F113" s="27"/>
      <c r="G113" s="27"/>
      <c r="H113" s="27"/>
      <c r="I113" s="27"/>
      <c r="J113" s="27"/>
      <c r="K113" s="27"/>
      <c r="L113" s="27"/>
    </row>
    <row r="115" spans="3:5">
      <c r="C115" s="29" t="s">
        <v>489</v>
      </c>
      <c r="D115" s="29" t="s">
        <v>490</v>
      </c>
      <c r="E115" s="29" t="s">
        <v>491</v>
      </c>
    </row>
    <row r="116" spans="2:5">
      <c r="B116" s="1" t="str">
        <f>总规划!B85</f>
        <v>基础资源</v>
      </c>
      <c r="C116" s="32">
        <f>总规划!AH85</f>
        <v>12.5</v>
      </c>
      <c r="D116" s="32">
        <f>总规划!AI85</f>
        <v>75</v>
      </c>
      <c r="E116" s="32">
        <f>总规划!AJ85</f>
        <v>6750</v>
      </c>
    </row>
    <row r="117" spans="2:5">
      <c r="B117" s="1" t="str">
        <f>总规划!B86</f>
        <v>加速</v>
      </c>
      <c r="C117" s="32">
        <f>总规划!AH86</f>
        <v>12.5</v>
      </c>
      <c r="D117" s="32">
        <f>总规划!AI86</f>
        <v>75</v>
      </c>
      <c r="E117" s="32">
        <f>总规划!AJ86</f>
        <v>6750</v>
      </c>
    </row>
    <row r="118" spans="2:5">
      <c r="B118" s="1" t="str">
        <f>总规划!B87</f>
        <v>卡牌</v>
      </c>
      <c r="C118" s="32">
        <f>总规划!AH87</f>
        <v>25</v>
      </c>
      <c r="D118" s="32">
        <f>总规划!AI87</f>
        <v>75</v>
      </c>
      <c r="E118" s="32">
        <f>总规划!AJ87</f>
        <v>3000</v>
      </c>
    </row>
    <row r="119" spans="2:7">
      <c r="B119" s="1" t="str">
        <f>总规划!B88</f>
        <v>陆军经验</v>
      </c>
      <c r="C119" s="32">
        <f>总规划!AH88</f>
        <v>12.5</v>
      </c>
      <c r="D119" s="32">
        <f>总规划!AI88</f>
        <v>75</v>
      </c>
      <c r="E119" s="32">
        <f>总规划!AJ88</f>
        <v>3000</v>
      </c>
      <c r="G119" s="1" t="s">
        <v>2620</v>
      </c>
    </row>
    <row r="120" spans="2:5">
      <c r="B120" s="1" t="str">
        <f>总规划!B89</f>
        <v>弹药</v>
      </c>
      <c r="C120" s="32">
        <f>总规划!AH89</f>
        <v>25</v>
      </c>
      <c r="D120" s="32">
        <f>总规划!AI89</f>
        <v>75</v>
      </c>
      <c r="E120" s="32">
        <f>总规划!AJ89</f>
        <v>3000</v>
      </c>
    </row>
    <row r="121" spans="2:5">
      <c r="B121" s="1" t="str">
        <f>总规划!B90</f>
        <v>零件</v>
      </c>
      <c r="C121" s="32">
        <f>总规划!AH90</f>
        <v>25</v>
      </c>
      <c r="D121" s="32">
        <f>总规划!AI90</f>
        <v>375</v>
      </c>
      <c r="E121" s="32">
        <f>总规划!AJ90</f>
        <v>1500</v>
      </c>
    </row>
    <row r="122" spans="2:5">
      <c r="B122" s="1" t="str">
        <f>总规划!B91</f>
        <v>配件材料</v>
      </c>
      <c r="C122" s="32">
        <f>总规划!AH91</f>
        <v>12.5</v>
      </c>
      <c r="D122" s="32">
        <f>总规划!AI91</f>
        <v>75</v>
      </c>
      <c r="E122" s="32">
        <f>总规划!AJ91</f>
        <v>3000</v>
      </c>
    </row>
    <row r="123" spans="2:5">
      <c r="B123" s="1" t="str">
        <f>总规划!B92</f>
        <v>配件图纸</v>
      </c>
      <c r="C123" s="32">
        <f>总规划!AH92</f>
        <v>0</v>
      </c>
      <c r="D123" s="32">
        <f>总规划!AI92</f>
        <v>33.3333333333333</v>
      </c>
      <c r="E123" s="32">
        <f>总规划!AJ92</f>
        <v>175</v>
      </c>
    </row>
    <row r="124" spans="2:5">
      <c r="B124" s="1" t="str">
        <f>总规划!B93</f>
        <v>军官经验</v>
      </c>
      <c r="C124" s="32">
        <f>总规划!AH93</f>
        <v>12.5</v>
      </c>
      <c r="D124" s="32">
        <f>总规划!AI93</f>
        <v>75</v>
      </c>
      <c r="E124" s="32">
        <f>总规划!AJ93</f>
        <v>500</v>
      </c>
    </row>
    <row r="125" spans="2:5">
      <c r="B125" s="1" t="str">
        <f>总规划!B94</f>
        <v>军官技能书</v>
      </c>
      <c r="C125" s="32">
        <f>总规划!AH94</f>
        <v>60</v>
      </c>
      <c r="D125" s="32">
        <f>总规划!AI94</f>
        <v>0</v>
      </c>
      <c r="E125" s="32">
        <f>总规划!AJ94</f>
        <v>400</v>
      </c>
    </row>
    <row r="126" spans="2:5">
      <c r="B126" s="1" t="str">
        <f>总规划!B95</f>
        <v>阵营经验</v>
      </c>
      <c r="C126" s="32">
        <f>总规划!AH95</f>
        <v>12.5</v>
      </c>
      <c r="D126" s="32">
        <f>总规划!AI95</f>
        <v>75</v>
      </c>
      <c r="E126" s="32">
        <f>总规划!AJ95</f>
        <v>187.5</v>
      </c>
    </row>
    <row r="127" spans="2:5">
      <c r="B127" s="1" t="str">
        <f>总规划!B96</f>
        <v>VIP经验</v>
      </c>
      <c r="C127" s="32">
        <f>总规划!AH96</f>
        <v>0.375</v>
      </c>
      <c r="D127" s="32">
        <f>总规划!AI96</f>
        <v>33.75</v>
      </c>
      <c r="E127" s="32">
        <f>总规划!AJ96</f>
        <v>30</v>
      </c>
    </row>
    <row r="128" spans="2:5">
      <c r="B128" s="1" t="str">
        <f>总规划!B97</f>
        <v>科技书</v>
      </c>
      <c r="C128" s="32">
        <f>总规划!AH97</f>
        <v>30</v>
      </c>
      <c r="D128" s="32">
        <f>总规划!AI97</f>
        <v>0</v>
      </c>
      <c r="E128" s="32">
        <f>总规划!AJ97</f>
        <v>900</v>
      </c>
    </row>
    <row r="129" spans="2:5">
      <c r="B129" s="1" t="str">
        <f>总规划!B98</f>
        <v>空军经验</v>
      </c>
      <c r="C129" s="32">
        <f>总规划!AH98</f>
        <v>12.5</v>
      </c>
      <c r="D129" s="32">
        <f>总规划!AI98</f>
        <v>75</v>
      </c>
      <c r="E129" s="32">
        <f>总规划!AJ98</f>
        <v>3000</v>
      </c>
    </row>
    <row r="130" spans="2:5">
      <c r="B130" s="1" t="str">
        <f>总规划!B99</f>
        <v>空军弹药</v>
      </c>
      <c r="C130" s="32">
        <f>总规划!AH99</f>
        <v>25</v>
      </c>
      <c r="D130" s="32">
        <f>总规划!AI99</f>
        <v>75</v>
      </c>
      <c r="E130" s="32">
        <f>总规划!AJ99</f>
        <v>3000</v>
      </c>
    </row>
    <row r="131" spans="2:5">
      <c r="B131" s="1" t="str">
        <f>总规划!B100</f>
        <v>空军零件</v>
      </c>
      <c r="C131" s="32">
        <f>总规划!AH100</f>
        <v>25</v>
      </c>
      <c r="D131" s="32">
        <f>总规划!AI100</f>
        <v>375</v>
      </c>
      <c r="E131" s="32">
        <f>总规划!AJ100</f>
        <v>1500</v>
      </c>
    </row>
    <row r="132" spans="3:4">
      <c r="C132" s="32"/>
      <c r="D132" s="32"/>
    </row>
    <row r="133" s="25" customFormat="1" spans="1:4">
      <c r="A133" s="2" t="s">
        <v>2593</v>
      </c>
      <c r="D133" s="26" t="s">
        <v>436</v>
      </c>
    </row>
    <row r="134" spans="3:4">
      <c r="C134" s="32"/>
      <c r="D134" s="32"/>
    </row>
    <row r="135" spans="2:12">
      <c r="B135" s="27" t="s">
        <v>2621</v>
      </c>
      <c r="C135" s="27"/>
      <c r="D135" s="27"/>
      <c r="E135" s="27"/>
      <c r="F135" s="27"/>
      <c r="G135" s="27"/>
      <c r="H135" s="27"/>
      <c r="I135" s="27"/>
      <c r="J135" s="27"/>
      <c r="K135" s="27"/>
      <c r="L135" s="27"/>
    </row>
    <row r="136" spans="3:4">
      <c r="C136" s="32"/>
      <c r="D136" s="32"/>
    </row>
    <row r="137" spans="2:6">
      <c r="B137" s="1" t="s">
        <v>2622</v>
      </c>
      <c r="C137" s="32"/>
      <c r="D137" s="32" t="s">
        <v>450</v>
      </c>
      <c r="E137" s="1">
        <f>控制台!$E$182</f>
        <v>500</v>
      </c>
      <c r="F137" s="1" t="s">
        <v>761</v>
      </c>
    </row>
    <row r="138" spans="2:6">
      <c r="B138" s="1" t="s">
        <v>2623</v>
      </c>
      <c r="C138" s="32"/>
      <c r="D138" s="32" t="s">
        <v>450</v>
      </c>
      <c r="E138" s="1">
        <f>控制台!$E$183</f>
        <v>2500</v>
      </c>
      <c r="F138" s="1" t="s">
        <v>761</v>
      </c>
    </row>
    <row r="139" spans="3:4">
      <c r="C139" s="32"/>
      <c r="D139" s="32"/>
    </row>
    <row r="140" spans="2:12">
      <c r="B140" s="27" t="s">
        <v>2624</v>
      </c>
      <c r="C140" s="27"/>
      <c r="D140" s="27"/>
      <c r="E140" s="27"/>
      <c r="F140" s="27"/>
      <c r="G140" s="27"/>
      <c r="H140" s="27"/>
      <c r="I140" s="27"/>
      <c r="J140" s="27"/>
      <c r="K140" s="27"/>
      <c r="L140" s="27"/>
    </row>
    <row r="141" spans="3:4">
      <c r="C141" s="32"/>
      <c r="D141" s="32"/>
    </row>
    <row r="142" spans="2:7">
      <c r="B142" s="1" t="s">
        <v>2625</v>
      </c>
      <c r="D142" s="32" t="s">
        <v>450</v>
      </c>
      <c r="E142" s="33">
        <f>控制台!E4736</f>
        <v>0.25</v>
      </c>
      <c r="G142" s="5" t="s">
        <v>2626</v>
      </c>
    </row>
    <row r="143" spans="2:5">
      <c r="B143" s="1" t="s">
        <v>1737</v>
      </c>
      <c r="D143" s="32" t="s">
        <v>450</v>
      </c>
      <c r="E143" s="33">
        <f>控制台!H4821</f>
        <v>0.62875</v>
      </c>
    </row>
    <row r="144" spans="3:4">
      <c r="C144" s="32"/>
      <c r="D144" s="32"/>
    </row>
    <row r="145" spans="2:12">
      <c r="B145" s="27" t="s">
        <v>2627</v>
      </c>
      <c r="C145" s="27"/>
      <c r="D145" s="27"/>
      <c r="E145" s="27"/>
      <c r="F145" s="27"/>
      <c r="G145" s="27"/>
      <c r="H145" s="27"/>
      <c r="I145" s="27"/>
      <c r="J145" s="27"/>
      <c r="K145" s="27"/>
      <c r="L145" s="27"/>
    </row>
    <row r="146" spans="3:4">
      <c r="C146" s="32"/>
      <c r="D146" s="32"/>
    </row>
    <row r="147" spans="3:10">
      <c r="C147" s="32" t="s">
        <v>476</v>
      </c>
      <c r="D147" s="1" t="s">
        <v>478</v>
      </c>
      <c r="E147" s="1" t="s">
        <v>454</v>
      </c>
      <c r="F147" s="1" t="s">
        <v>479</v>
      </c>
      <c r="G147" s="1" t="s">
        <v>379</v>
      </c>
      <c r="H147" s="1" t="s">
        <v>458</v>
      </c>
      <c r="I147" s="8"/>
      <c r="J147" s="1"/>
    </row>
    <row r="148" spans="2:10">
      <c r="B148" s="1" t="s">
        <v>2628</v>
      </c>
      <c r="C148" s="1">
        <f>控制台!Z129</f>
        <v>5000000</v>
      </c>
      <c r="D148" s="1">
        <f ca="1">控制台!AD129</f>
        <v>-10385.3065714286</v>
      </c>
      <c r="E148" s="1">
        <f ca="1">控制台!Q727</f>
        <v>-6.84074133333334</v>
      </c>
      <c r="F148" s="1">
        <f ca="1">控制台!T887</f>
        <v>594240</v>
      </c>
      <c r="G148" s="1">
        <f ca="1">控制台!X887</f>
        <v>-178.699999999999</v>
      </c>
      <c r="H148" s="1">
        <f ca="1">控制台!Q1183</f>
        <v>2019.769292</v>
      </c>
      <c r="I148" s="8"/>
      <c r="J148" s="1"/>
    </row>
    <row r="149" spans="2:10">
      <c r="B149" s="1" t="s">
        <v>512</v>
      </c>
      <c r="C149" s="32" t="s">
        <v>1328</v>
      </c>
      <c r="D149" s="1" t="s">
        <v>1308</v>
      </c>
      <c r="E149" s="1" t="s">
        <v>520</v>
      </c>
      <c r="F149" s="1" t="s">
        <v>1460</v>
      </c>
      <c r="G149" s="1" t="s">
        <v>1321</v>
      </c>
      <c r="H149" s="1" t="s">
        <v>1355</v>
      </c>
      <c r="I149" s="8"/>
      <c r="J149" s="1"/>
    </row>
    <row r="150" spans="3:4">
      <c r="C150" s="32"/>
      <c r="D150" s="32"/>
    </row>
    <row r="151" spans="2:12">
      <c r="B151" s="27" t="s">
        <v>2629</v>
      </c>
      <c r="C151" s="27"/>
      <c r="D151" s="27"/>
      <c r="E151" s="27"/>
      <c r="F151" s="27"/>
      <c r="G151" s="27"/>
      <c r="H151" s="27"/>
      <c r="I151" s="27"/>
      <c r="J151" s="27"/>
      <c r="K151" s="27"/>
      <c r="L151" s="27"/>
    </row>
    <row r="152" spans="3:4">
      <c r="C152" s="32"/>
      <c r="D152" s="32"/>
    </row>
    <row r="153" spans="2:19">
      <c r="B153" s="1" t="str">
        <f>IF(总规划!B159="","",总规划!B159)</f>
        <v/>
      </c>
      <c r="C153" s="1" t="str">
        <f>IF(总规划!C159="","",总规划!C159)</f>
        <v>黄金</v>
      </c>
      <c r="D153" s="1" t="str">
        <f>IF(总规划!D159="","",总规划!D159)</f>
        <v>基础资源</v>
      </c>
      <c r="E153" s="1" t="str">
        <f>IF(总规划!E159="","",总规划!E159)</f>
        <v>加速</v>
      </c>
      <c r="F153" s="1" t="str">
        <f>IF(总规划!F159="","",总规划!F159)</f>
        <v>卡牌</v>
      </c>
      <c r="G153" s="1" t="str">
        <f>IF(总规划!G159="","",总规划!G159)</f>
        <v>陆军经验</v>
      </c>
      <c r="H153" s="1" t="str">
        <f>IF(总规划!H159="","",总规划!H159)</f>
        <v>弹药</v>
      </c>
      <c r="I153" s="1" t="str">
        <f>IF(总规划!I159="","",总规划!I159)</f>
        <v>零件</v>
      </c>
      <c r="J153" s="1" t="str">
        <f>IF(总规划!J159="","",总规划!J159)</f>
        <v>配件材料</v>
      </c>
      <c r="K153" s="1" t="str">
        <f>IF(总规划!K159="","",总规划!K159)</f>
        <v>配件图纸</v>
      </c>
      <c r="L153" s="1" t="str">
        <f>IF(总规划!L159="","",总规划!L159)</f>
        <v>军官经验</v>
      </c>
      <c r="M153" s="1" t="str">
        <f>IF(总规划!M159="","",总规划!M159)</f>
        <v>军官技能书</v>
      </c>
      <c r="N153" s="1" t="str">
        <f>IF(总规划!N159="","",总规划!N159)</f>
        <v>阵营经验</v>
      </c>
      <c r="O153" s="1" t="str">
        <f>IF(总规划!O159="","",总规划!O159)</f>
        <v>VIP经验</v>
      </c>
      <c r="P153" s="1" t="str">
        <f>IF(总规划!P159="","",总规划!P159)</f>
        <v>科技书</v>
      </c>
      <c r="Q153" s="1" t="str">
        <f>IF(总规划!Q159="","",总规划!Q159)</f>
        <v>空军经验</v>
      </c>
      <c r="R153" s="1" t="str">
        <f>IF(总规划!R159="","",总规划!R159)</f>
        <v>空弹</v>
      </c>
      <c r="S153" s="1" t="str">
        <f>IF(总规划!S159="","",总规划!S159)</f>
        <v>空零</v>
      </c>
    </row>
    <row r="154" spans="2:19">
      <c r="B154" s="1" t="str">
        <f>IF(总规划!B171="","",总规划!B171)</f>
        <v>活动</v>
      </c>
      <c r="C154" s="33">
        <f>IF(总规划!C171="",0,总规划!C171)</f>
        <v>0.5</v>
      </c>
      <c r="D154" s="33">
        <f>IF(总规划!D171="",0,总规划!D171)</f>
        <v>5</v>
      </c>
      <c r="E154" s="33">
        <f>IF(总规划!E171="",0,总规划!E171)</f>
        <v>6.25</v>
      </c>
      <c r="F154" s="33">
        <f>IF(总规划!F171="",0,总规划!F171)</f>
        <v>10</v>
      </c>
      <c r="G154" s="33">
        <f>IF(总规划!G171="",0,总规划!G171)</f>
        <v>5</v>
      </c>
      <c r="H154" s="33">
        <f>IF(总规划!H171="",0,总规划!H171)</f>
        <v>5</v>
      </c>
      <c r="I154" s="33">
        <f>IF(总规划!I171="",0,总规划!I171)</f>
        <v>6.25</v>
      </c>
      <c r="J154" s="33">
        <f>IF(总规划!J171="",0,总规划!J171)</f>
        <v>7.5</v>
      </c>
      <c r="K154" s="33">
        <f>IF(总规划!K171="",0,总规划!K171)</f>
        <v>2.66666666666667</v>
      </c>
      <c r="L154" s="33">
        <f>IF(总规划!L171="",0,总规划!L171)</f>
        <v>6.25</v>
      </c>
      <c r="M154" s="33">
        <f>IF(总规划!M171="",0,总规划!M171)</f>
        <v>3.4</v>
      </c>
      <c r="N154" s="33">
        <f>IF(总规划!N171="",0,总规划!N171)</f>
        <v>0</v>
      </c>
      <c r="O154" s="33">
        <f>IF(总规划!O171="",0,总规划!O171)</f>
        <v>0</v>
      </c>
      <c r="P154" s="33">
        <f>IF(总规划!P171="",0,总规划!P171)</f>
        <v>10</v>
      </c>
      <c r="Q154" s="33">
        <f>IF(总规划!Q171="",0,总规划!Q171)</f>
        <v>5</v>
      </c>
      <c r="R154" s="33">
        <f>IF(总规划!R171="",0,总规划!R171)</f>
        <v>5</v>
      </c>
      <c r="S154" s="33">
        <f>IF(总规划!S171="",0,总规划!S171)</f>
        <v>6.25</v>
      </c>
    </row>
    <row r="155" spans="3:4">
      <c r="C155" s="32"/>
      <c r="D155" s="32"/>
    </row>
    <row r="156" spans="2:12">
      <c r="B156" s="27" t="s">
        <v>2630</v>
      </c>
      <c r="C156" s="27"/>
      <c r="D156" s="27"/>
      <c r="E156" s="27"/>
      <c r="F156" s="27"/>
      <c r="G156" s="27"/>
      <c r="H156" s="27"/>
      <c r="I156" s="27"/>
      <c r="J156" s="27"/>
      <c r="K156" s="27"/>
      <c r="L156" s="27"/>
    </row>
    <row r="157" spans="3:4">
      <c r="C157" s="32"/>
      <c r="D157" s="32"/>
    </row>
    <row r="158" spans="2:20">
      <c r="B158" s="1" t="str">
        <f>控制台!B3642</f>
        <v>开服天数</v>
      </c>
      <c r="C158" s="1" t="str">
        <f>控制台!C3642</f>
        <v>产出膨胀</v>
      </c>
      <c r="D158" s="34" t="str">
        <f>IF(总规划!C159="","",总规划!C159)</f>
        <v>黄金</v>
      </c>
      <c r="E158" s="34" t="str">
        <f>IF(总规划!D159="","",总规划!D159)</f>
        <v>基础资源</v>
      </c>
      <c r="F158" s="34" t="str">
        <f>IF(总规划!E159="","",总规划!E159)</f>
        <v>加速</v>
      </c>
      <c r="G158" s="34" t="str">
        <f>IF(总规划!F159="","",总规划!F159)</f>
        <v>卡牌</v>
      </c>
      <c r="H158" s="34" t="str">
        <f>IF(总规划!G159="","",总规划!G159)</f>
        <v>陆军经验</v>
      </c>
      <c r="I158" s="34" t="str">
        <f>IF(总规划!H159="","",总规划!H159)</f>
        <v>弹药</v>
      </c>
      <c r="J158" s="34" t="str">
        <f>IF(总规划!I159="","",总规划!I159)</f>
        <v>零件</v>
      </c>
      <c r="K158" s="34" t="str">
        <f>IF(总规划!J159="","",总规划!J159)</f>
        <v>配件材料</v>
      </c>
      <c r="L158" s="34" t="str">
        <f>IF(总规划!K159="","",总规划!K159)</f>
        <v>配件图纸</v>
      </c>
      <c r="M158" s="34" t="str">
        <f>IF(总规划!L159="","",总规划!L159)</f>
        <v>军官经验</v>
      </c>
      <c r="N158" s="34" t="str">
        <f>IF(总规划!M159="","",总规划!M159)</f>
        <v>军官技能书</v>
      </c>
      <c r="O158" s="34" t="str">
        <f>IF(总规划!N159="","",总规划!N159)</f>
        <v>阵营经验</v>
      </c>
      <c r="P158" s="34" t="str">
        <f>IF(总规划!O159="","",总规划!O159)</f>
        <v>VIP经验</v>
      </c>
      <c r="Q158" s="34" t="str">
        <f>IF(总规划!P159="","",总规划!P159)</f>
        <v>科技书</v>
      </c>
      <c r="R158" s="34" t="str">
        <f>IF(总规划!Q159="","",总规划!Q159)</f>
        <v>空军经验</v>
      </c>
      <c r="S158" s="34" t="str">
        <f>IF(总规划!R159="","",总规划!R159)</f>
        <v>空弹</v>
      </c>
      <c r="T158" s="34" t="str">
        <f>IF(总规划!S159="","",总规划!S159)</f>
        <v>空零</v>
      </c>
    </row>
    <row r="159" spans="2:20">
      <c r="B159" s="1">
        <f>控制台!B3643</f>
        <v>0</v>
      </c>
      <c r="C159" s="14">
        <f>控制台!C3643</f>
        <v>0</v>
      </c>
      <c r="D159" s="35">
        <f t="shared" ref="D159:L159" si="1">C$154*$C159</f>
        <v>0</v>
      </c>
      <c r="E159" s="35">
        <f t="shared" si="1"/>
        <v>0</v>
      </c>
      <c r="F159" s="35">
        <f t="shared" si="1"/>
        <v>0</v>
      </c>
      <c r="G159" s="35">
        <f t="shared" si="1"/>
        <v>0</v>
      </c>
      <c r="H159" s="35">
        <f t="shared" si="1"/>
        <v>0</v>
      </c>
      <c r="I159" s="35">
        <f t="shared" si="1"/>
        <v>0</v>
      </c>
      <c r="J159" s="35">
        <f t="shared" si="1"/>
        <v>0</v>
      </c>
      <c r="K159" s="35">
        <f t="shared" si="1"/>
        <v>0</v>
      </c>
      <c r="L159" s="35">
        <f t="shared" si="1"/>
        <v>0</v>
      </c>
      <c r="M159" s="35">
        <f t="shared" ref="M159:M164" si="2">L$154*$C159</f>
        <v>0</v>
      </c>
      <c r="N159" s="35">
        <f t="shared" ref="N159:Q164" si="3">M$154*$C159</f>
        <v>0</v>
      </c>
      <c r="O159" s="35">
        <f>N$154*$C159</f>
        <v>0</v>
      </c>
      <c r="P159" s="35">
        <f t="shared" si="3"/>
        <v>0</v>
      </c>
      <c r="Q159" s="35">
        <f t="shared" si="3"/>
        <v>0</v>
      </c>
      <c r="R159" s="35">
        <f t="shared" ref="R159:R164" si="4">Q$154*$C159</f>
        <v>0</v>
      </c>
      <c r="S159" s="35">
        <f t="shared" ref="S159:T164" si="5">R$154*$C159</f>
        <v>0</v>
      </c>
      <c r="T159" s="35">
        <f t="shared" si="5"/>
        <v>0</v>
      </c>
    </row>
    <row r="160" spans="2:20">
      <c r="B160" s="1">
        <f>控制台!B3644</f>
        <v>7</v>
      </c>
      <c r="C160" s="14">
        <f>控制台!C3644</f>
        <v>0.2</v>
      </c>
      <c r="D160" s="35">
        <f t="shared" ref="D160:L160" si="6">C$154*$C160</f>
        <v>0.1</v>
      </c>
      <c r="E160" s="35">
        <f t="shared" si="6"/>
        <v>1</v>
      </c>
      <c r="F160" s="35">
        <f t="shared" si="6"/>
        <v>1.25</v>
      </c>
      <c r="G160" s="35">
        <f t="shared" si="6"/>
        <v>2</v>
      </c>
      <c r="H160" s="35">
        <f t="shared" si="6"/>
        <v>1</v>
      </c>
      <c r="I160" s="35">
        <f t="shared" si="6"/>
        <v>1</v>
      </c>
      <c r="J160" s="35">
        <f t="shared" si="6"/>
        <v>1.25</v>
      </c>
      <c r="K160" s="35">
        <f t="shared" si="6"/>
        <v>1.5</v>
      </c>
      <c r="L160" s="35">
        <f t="shared" si="6"/>
        <v>0.533333333333333</v>
      </c>
      <c r="M160" s="35">
        <f t="shared" si="2"/>
        <v>1.25</v>
      </c>
      <c r="N160" s="35">
        <f t="shared" si="3"/>
        <v>0.68</v>
      </c>
      <c r="O160" s="35">
        <f t="shared" si="3"/>
        <v>0</v>
      </c>
      <c r="P160" s="35">
        <f t="shared" si="3"/>
        <v>0</v>
      </c>
      <c r="Q160" s="35">
        <f t="shared" si="3"/>
        <v>2</v>
      </c>
      <c r="R160" s="35">
        <f t="shared" si="4"/>
        <v>1</v>
      </c>
      <c r="S160" s="35">
        <f t="shared" si="5"/>
        <v>1</v>
      </c>
      <c r="T160" s="35">
        <f t="shared" si="5"/>
        <v>1.25</v>
      </c>
    </row>
    <row r="161" spans="2:20">
      <c r="B161" s="1">
        <f>控制台!B3645</f>
        <v>14</v>
      </c>
      <c r="C161" s="14">
        <f>控制台!C3645</f>
        <v>0.4</v>
      </c>
      <c r="D161" s="35">
        <f t="shared" ref="D161:L161" si="7">C$154*$C161</f>
        <v>0.2</v>
      </c>
      <c r="E161" s="35">
        <f t="shared" si="7"/>
        <v>2</v>
      </c>
      <c r="F161" s="35">
        <f t="shared" si="7"/>
        <v>2.5</v>
      </c>
      <c r="G161" s="35">
        <f t="shared" si="7"/>
        <v>4</v>
      </c>
      <c r="H161" s="35">
        <f t="shared" si="7"/>
        <v>2</v>
      </c>
      <c r="I161" s="35">
        <f t="shared" si="7"/>
        <v>2</v>
      </c>
      <c r="J161" s="35">
        <f t="shared" si="7"/>
        <v>2.5</v>
      </c>
      <c r="K161" s="35">
        <f t="shared" si="7"/>
        <v>3</v>
      </c>
      <c r="L161" s="35">
        <f t="shared" si="7"/>
        <v>1.06666666666667</v>
      </c>
      <c r="M161" s="35">
        <f t="shared" si="2"/>
        <v>2.5</v>
      </c>
      <c r="N161" s="35">
        <f t="shared" si="3"/>
        <v>1.36</v>
      </c>
      <c r="O161" s="35">
        <f t="shared" si="3"/>
        <v>0</v>
      </c>
      <c r="P161" s="35">
        <f t="shared" si="3"/>
        <v>0</v>
      </c>
      <c r="Q161" s="35">
        <f t="shared" si="3"/>
        <v>4</v>
      </c>
      <c r="R161" s="35">
        <f t="shared" si="4"/>
        <v>2</v>
      </c>
      <c r="S161" s="35">
        <f t="shared" si="5"/>
        <v>2</v>
      </c>
      <c r="T161" s="35">
        <f t="shared" si="5"/>
        <v>2.5</v>
      </c>
    </row>
    <row r="162" spans="2:20">
      <c r="B162" s="1">
        <f>控制台!B3646</f>
        <v>30</v>
      </c>
      <c r="C162" s="14">
        <f>控制台!C3646</f>
        <v>0.6</v>
      </c>
      <c r="D162" s="35">
        <f t="shared" ref="D162:L162" si="8">C$154*$C162</f>
        <v>0.3</v>
      </c>
      <c r="E162" s="35">
        <f t="shared" si="8"/>
        <v>3</v>
      </c>
      <c r="F162" s="35">
        <f t="shared" si="8"/>
        <v>3.75</v>
      </c>
      <c r="G162" s="35">
        <f t="shared" si="8"/>
        <v>6</v>
      </c>
      <c r="H162" s="35">
        <f t="shared" si="8"/>
        <v>3</v>
      </c>
      <c r="I162" s="35">
        <f t="shared" si="8"/>
        <v>3</v>
      </c>
      <c r="J162" s="35">
        <f t="shared" si="8"/>
        <v>3.75</v>
      </c>
      <c r="K162" s="35">
        <f t="shared" si="8"/>
        <v>4.5</v>
      </c>
      <c r="L162" s="35">
        <f t="shared" si="8"/>
        <v>1.6</v>
      </c>
      <c r="M162" s="35">
        <f t="shared" si="2"/>
        <v>3.75</v>
      </c>
      <c r="N162" s="35">
        <f t="shared" si="3"/>
        <v>2.04</v>
      </c>
      <c r="O162" s="35">
        <f t="shared" si="3"/>
        <v>0</v>
      </c>
      <c r="P162" s="35">
        <f t="shared" si="3"/>
        <v>0</v>
      </c>
      <c r="Q162" s="35">
        <f t="shared" si="3"/>
        <v>6</v>
      </c>
      <c r="R162" s="35">
        <f t="shared" si="4"/>
        <v>3</v>
      </c>
      <c r="S162" s="35">
        <f t="shared" si="5"/>
        <v>3</v>
      </c>
      <c r="T162" s="35">
        <f t="shared" si="5"/>
        <v>3.75</v>
      </c>
    </row>
    <row r="163" spans="2:20">
      <c r="B163" s="1">
        <f>控制台!B3647</f>
        <v>60</v>
      </c>
      <c r="C163" s="14">
        <f>控制台!C3647</f>
        <v>0.8</v>
      </c>
      <c r="D163" s="35">
        <f t="shared" ref="D163:L163" si="9">C$154*$C163</f>
        <v>0.4</v>
      </c>
      <c r="E163" s="35">
        <f t="shared" si="9"/>
        <v>4</v>
      </c>
      <c r="F163" s="35">
        <f t="shared" si="9"/>
        <v>5</v>
      </c>
      <c r="G163" s="35">
        <f t="shared" si="9"/>
        <v>8</v>
      </c>
      <c r="H163" s="35">
        <f t="shared" si="9"/>
        <v>4</v>
      </c>
      <c r="I163" s="35">
        <f t="shared" si="9"/>
        <v>4</v>
      </c>
      <c r="J163" s="35">
        <f t="shared" si="9"/>
        <v>5</v>
      </c>
      <c r="K163" s="35">
        <f t="shared" si="9"/>
        <v>6</v>
      </c>
      <c r="L163" s="35">
        <f t="shared" si="9"/>
        <v>2.13333333333333</v>
      </c>
      <c r="M163" s="35">
        <f t="shared" si="2"/>
        <v>5</v>
      </c>
      <c r="N163" s="35">
        <f t="shared" si="3"/>
        <v>2.72</v>
      </c>
      <c r="O163" s="35">
        <f t="shared" si="3"/>
        <v>0</v>
      </c>
      <c r="P163" s="35">
        <f t="shared" si="3"/>
        <v>0</v>
      </c>
      <c r="Q163" s="35">
        <f t="shared" si="3"/>
        <v>8</v>
      </c>
      <c r="R163" s="35">
        <f t="shared" si="4"/>
        <v>4</v>
      </c>
      <c r="S163" s="35">
        <f t="shared" si="5"/>
        <v>4</v>
      </c>
      <c r="T163" s="35">
        <f t="shared" si="5"/>
        <v>5</v>
      </c>
    </row>
    <row r="164" spans="2:20">
      <c r="B164" s="1">
        <f>控制台!B3648</f>
        <v>120</v>
      </c>
      <c r="C164" s="14">
        <f>控制台!C3648</f>
        <v>1</v>
      </c>
      <c r="D164" s="35">
        <f>C$154*$C164</f>
        <v>0.5</v>
      </c>
      <c r="E164" s="35">
        <f t="shared" ref="E164:L164" si="10">D$154*$C164</f>
        <v>5</v>
      </c>
      <c r="F164" s="35">
        <f t="shared" si="10"/>
        <v>6.25</v>
      </c>
      <c r="G164" s="35">
        <f t="shared" si="10"/>
        <v>10</v>
      </c>
      <c r="H164" s="35">
        <f t="shared" si="10"/>
        <v>5</v>
      </c>
      <c r="I164" s="35">
        <f t="shared" si="10"/>
        <v>5</v>
      </c>
      <c r="J164" s="35">
        <f t="shared" si="10"/>
        <v>6.25</v>
      </c>
      <c r="K164" s="35">
        <f t="shared" si="10"/>
        <v>7.5</v>
      </c>
      <c r="L164" s="35">
        <f t="shared" si="10"/>
        <v>2.66666666666667</v>
      </c>
      <c r="M164" s="35">
        <f t="shared" si="2"/>
        <v>6.25</v>
      </c>
      <c r="N164" s="35">
        <f t="shared" si="3"/>
        <v>3.4</v>
      </c>
      <c r="O164" s="35">
        <f t="shared" si="3"/>
        <v>0</v>
      </c>
      <c r="P164" s="35">
        <f t="shared" si="3"/>
        <v>0</v>
      </c>
      <c r="Q164" s="35">
        <f t="shared" si="3"/>
        <v>10</v>
      </c>
      <c r="R164" s="35">
        <f t="shared" si="4"/>
        <v>5</v>
      </c>
      <c r="S164" s="35">
        <f t="shared" si="5"/>
        <v>5</v>
      </c>
      <c r="T164" s="35">
        <f t="shared" si="5"/>
        <v>6.25</v>
      </c>
    </row>
    <row r="165" spans="3:4">
      <c r="C165" s="32"/>
      <c r="D165" s="32"/>
    </row>
    <row r="166" spans="3:4">
      <c r="C166" s="32"/>
      <c r="D166" s="32"/>
    </row>
    <row r="167" s="25" customFormat="1" spans="1:4">
      <c r="A167" s="2" t="s">
        <v>2594</v>
      </c>
      <c r="D167" s="26" t="s">
        <v>436</v>
      </c>
    </row>
    <row r="169" spans="2:12">
      <c r="B169" s="27" t="s">
        <v>2631</v>
      </c>
      <c r="C169" s="27"/>
      <c r="D169" s="27"/>
      <c r="E169" s="27"/>
      <c r="F169" s="27"/>
      <c r="G169" s="27"/>
      <c r="H169" s="27"/>
      <c r="I169" s="27"/>
      <c r="J169" s="27"/>
      <c r="K169" s="27"/>
      <c r="L169" s="27"/>
    </row>
    <row r="171" spans="2:5">
      <c r="B171" s="28">
        <v>1</v>
      </c>
      <c r="C171" s="1" t="s">
        <v>450</v>
      </c>
      <c r="D171" s="19">
        <f>(控制台!E182+控制台!E183)/2</f>
        <v>1500</v>
      </c>
      <c r="E171" s="1" t="s">
        <v>2632</v>
      </c>
    </row>
    <row r="172" spans="2:5">
      <c r="B172" s="28">
        <v>1</v>
      </c>
      <c r="C172" s="1" t="s">
        <v>450</v>
      </c>
      <c r="D172" s="19">
        <f>24*60/总规划!$G$106</f>
        <v>921.6</v>
      </c>
      <c r="E172" s="1" t="s">
        <v>1308</v>
      </c>
    </row>
    <row r="173" spans="2:5">
      <c r="B173" s="28">
        <v>1</v>
      </c>
      <c r="C173" s="1" t="s">
        <v>450</v>
      </c>
      <c r="D173" s="19">
        <f>$D$172/控制台!C188</f>
        <v>921.6</v>
      </c>
      <c r="E173" s="1" t="s">
        <v>2633</v>
      </c>
    </row>
    <row r="174" spans="2:5">
      <c r="B174" s="28">
        <v>1</v>
      </c>
      <c r="C174" s="1" t="s">
        <v>450</v>
      </c>
      <c r="D174" s="19">
        <f>$D$172/控制台!C189</f>
        <v>230.4</v>
      </c>
      <c r="E174" s="1" t="s">
        <v>2634</v>
      </c>
    </row>
    <row r="175" spans="2:5">
      <c r="B175" s="28">
        <v>1</v>
      </c>
      <c r="C175" s="1" t="s">
        <v>450</v>
      </c>
      <c r="D175" s="19">
        <f>$D$172/控制台!C190</f>
        <v>46.08</v>
      </c>
      <c r="E175" s="1" t="s">
        <v>2635</v>
      </c>
    </row>
    <row r="176" spans="2:5">
      <c r="B176" s="28">
        <v>1</v>
      </c>
      <c r="C176" s="1" t="s">
        <v>450</v>
      </c>
      <c r="D176" s="19">
        <f>$D$172/控制台!C191</f>
        <v>26.3314285714286</v>
      </c>
      <c r="E176" s="1" t="s">
        <v>2636</v>
      </c>
    </row>
    <row r="177" spans="2:5">
      <c r="B177" s="28">
        <v>1</v>
      </c>
      <c r="C177" s="1" t="s">
        <v>450</v>
      </c>
      <c r="D177" s="19">
        <f>$D$172/控制台!C192</f>
        <v>18.432</v>
      </c>
      <c r="E177" s="1" t="s">
        <v>2637</v>
      </c>
    </row>
    <row r="178" spans="2:5">
      <c r="B178" s="28">
        <v>1</v>
      </c>
      <c r="C178" s="1" t="s">
        <v>450</v>
      </c>
      <c r="D178" s="19">
        <f>$D$172/控制台!C193</f>
        <v>8.37818181818182</v>
      </c>
      <c r="E178" s="1" t="s">
        <v>2638</v>
      </c>
    </row>
    <row r="179" spans="2:5">
      <c r="B179" s="28">
        <v>1</v>
      </c>
      <c r="C179" s="1" t="s">
        <v>450</v>
      </c>
      <c r="D179" s="19">
        <f>1/控制台!$H$4821</f>
        <v>1.59045725646123</v>
      </c>
      <c r="E179" s="1" t="s">
        <v>1737</v>
      </c>
    </row>
    <row r="180" spans="2:5">
      <c r="B180" s="28">
        <v>1</v>
      </c>
      <c r="C180" s="1" t="s">
        <v>450</v>
      </c>
      <c r="D180" s="19">
        <f>1/总规划!$G$107</f>
        <v>2</v>
      </c>
      <c r="E180" s="1" t="s">
        <v>520</v>
      </c>
    </row>
    <row r="181" spans="2:5">
      <c r="B181" s="28">
        <v>1</v>
      </c>
      <c r="C181" s="1" t="s">
        <v>450</v>
      </c>
      <c r="D181" s="19">
        <f>D180/控制台!$L$786</f>
        <v>0.222222222222222</v>
      </c>
      <c r="E181" s="1" t="s">
        <v>2639</v>
      </c>
    </row>
    <row r="182" spans="2:5">
      <c r="B182" s="28">
        <v>1</v>
      </c>
      <c r="C182" s="1" t="s">
        <v>450</v>
      </c>
      <c r="D182" s="19">
        <f>1/总规划!G112</f>
        <v>0.016</v>
      </c>
      <c r="E182" s="1" t="s">
        <v>2640</v>
      </c>
    </row>
    <row r="184" spans="2:12">
      <c r="B184" s="27" t="s">
        <v>2641</v>
      </c>
      <c r="C184" s="27"/>
      <c r="D184" s="27"/>
      <c r="E184" s="27"/>
      <c r="F184" s="27"/>
      <c r="G184" s="27"/>
      <c r="H184" s="27"/>
      <c r="I184" s="27"/>
      <c r="J184" s="27"/>
      <c r="K184" s="27"/>
      <c r="L184" s="27"/>
    </row>
    <row r="186" spans="2:5">
      <c r="B186" s="1" t="s">
        <v>382</v>
      </c>
      <c r="C186" s="1" t="s">
        <v>476</v>
      </c>
      <c r="D186" s="1" t="s">
        <v>478</v>
      </c>
      <c r="E186" s="1" t="s">
        <v>2642</v>
      </c>
    </row>
    <row r="187" spans="2:5">
      <c r="B187" s="1">
        <v>3</v>
      </c>
      <c r="C187" s="1">
        <f ca="1">OFFSET(控制台!$AU$107,MATCH(B187,控制台!$B$107:$B$178,0)-1,0)</f>
        <v>4729449</v>
      </c>
      <c r="D187" s="1">
        <f ca="1">OFFSET(控制台!$AV$107,MATCH(B187,控制台!$B$107:$B$178,0)-1,0)</f>
        <v>7304.04</v>
      </c>
      <c r="E187" s="1">
        <f ca="1">OFFSET(控制台!$AA$705,MATCH(B187,控制台!$B$705:$B$776,0)-1,0)</f>
        <v>3.44130666666667</v>
      </c>
    </row>
    <row r="188" spans="2:5">
      <c r="B188" s="1">
        <v>7</v>
      </c>
      <c r="C188" s="1">
        <f ca="1">OFFSET(控制台!$AU$107,MATCH(B188,控制台!$B$107:$B$178,0)-1,0)</f>
        <v>10527099</v>
      </c>
      <c r="D188" s="1">
        <f ca="1">OFFSET(控制台!$AV$107,MATCH(B188,控制台!$B$107:$B$178,0)-1,0)</f>
        <v>9082.74171428571</v>
      </c>
      <c r="E188" s="1">
        <f ca="1">OFFSET(控制台!$AA$705,MATCH(B188,控制台!$B$705:$B$776,0)-1,0)</f>
        <v>4.79928</v>
      </c>
    </row>
    <row r="189" spans="2:5">
      <c r="B189" s="1">
        <v>14</v>
      </c>
      <c r="C189" s="1">
        <f ca="1">OFFSET(控制台!$AU$107,MATCH(B189,控制台!$B$107:$B$178,0)-1,0)</f>
        <v>20039040</v>
      </c>
      <c r="D189" s="1">
        <f ca="1">OFFSET(控制台!$AV$107,MATCH(B189,控制台!$B$107:$B$178,0)-1,0)</f>
        <v>10747.9817142857</v>
      </c>
      <c r="E189" s="1">
        <f ca="1">OFFSET(控制台!$AA$705,MATCH(B189,控制台!$B$705:$B$776,0)-1,0)</f>
        <v>11.0274971428571</v>
      </c>
    </row>
    <row r="190" spans="2:5">
      <c r="B190" s="1">
        <v>30</v>
      </c>
      <c r="C190" s="1">
        <f ca="1">OFFSET(控制台!$AU$107,MATCH(B190,控制台!$B$107:$B$178,0)-1,0)</f>
        <v>30955071.4285714</v>
      </c>
      <c r="D190" s="1">
        <f ca="1">OFFSET(控制台!$AV$107,MATCH(B190,控制台!$B$107:$B$178,0)-1,0)</f>
        <v>13969.4057142857</v>
      </c>
      <c r="E190" s="1">
        <f ca="1">OFFSET(控制台!$AA$705,MATCH(B190,控制台!$B$705:$B$776,0)-1,0)</f>
        <v>17.9592838095238</v>
      </c>
    </row>
    <row r="191" spans="2:5">
      <c r="B191" s="1">
        <v>60</v>
      </c>
      <c r="C191" s="1">
        <f ca="1">OFFSET(控制台!$AU$107,MATCH(B191,控制台!$B$107:$B$178,0)-1,0)</f>
        <v>36667500</v>
      </c>
      <c r="D191" s="1">
        <f ca="1">OFFSET(控制台!$AV$107,MATCH(B191,控制台!$B$107:$B$178,0)-1,0)</f>
        <v>16477.8857142857</v>
      </c>
      <c r="E191" s="1">
        <f ca="1">OFFSET(控制台!$AA$705,MATCH(B191,控制台!$B$705:$B$776,0)-1,0)</f>
        <v>23.972380952381</v>
      </c>
    </row>
    <row r="192" spans="2:5">
      <c r="B192" s="1">
        <v>120</v>
      </c>
      <c r="C192" s="1">
        <f ca="1">OFFSET(控制台!$AU$107,MATCH(B192,控制台!$B$107:$B$178,0)-1,0)</f>
        <v>44974500</v>
      </c>
      <c r="D192" s="1">
        <f ca="1">OFFSET(控制台!$AV$107,MATCH(B192,控制台!$B$107:$B$178,0)-1,0)</f>
        <v>19229.6057142857</v>
      </c>
      <c r="E192" s="1">
        <f ca="1">OFFSET(控制台!$AA$705,MATCH(B192,控制台!$B$705:$B$776,0)-1,0)</f>
        <v>31.6857142857143</v>
      </c>
    </row>
    <row r="193" spans="2:5">
      <c r="B193" s="1">
        <v>180</v>
      </c>
      <c r="C193" s="1">
        <f ca="1">OFFSET(控制台!$AU$107,MATCH(B193,控制台!$B$107:$B$178,0)-1,0)</f>
        <v>49973357.1428572</v>
      </c>
      <c r="D193" s="1">
        <f ca="1">OFFSET(控制台!$AV$107,MATCH(B193,控制台!$B$107:$B$178,0)-1,0)</f>
        <v>21813.0857142857</v>
      </c>
      <c r="E193" s="1">
        <f ca="1">OFFSET(控制台!$AA$705,MATCH(B193,控制台!$B$705:$B$776,0)-1,0)</f>
        <v>36.2852342857143</v>
      </c>
    </row>
    <row r="194" spans="2:5">
      <c r="B194" s="1">
        <v>360</v>
      </c>
      <c r="C194" s="1">
        <f ca="1">OFFSET(控制台!$AU$107,MATCH(B194,控制台!$B$107:$B$178,0)-1,0)</f>
        <v>50461500</v>
      </c>
      <c r="D194" s="1">
        <f ca="1">OFFSET(控制台!$AV$107,MATCH(B194,控制台!$B$107:$B$178,0)-1,0)</f>
        <v>21813.0857142857</v>
      </c>
      <c r="E194" s="1">
        <f ca="1">OFFSET(控制台!$AA$705,MATCH(B194,控制台!$B$705:$B$776,0)-1,0)</f>
        <v>37.1857142857143</v>
      </c>
    </row>
    <row r="196" spans="2:12">
      <c r="B196" s="27" t="s">
        <v>2643</v>
      </c>
      <c r="C196" s="27"/>
      <c r="D196" s="27"/>
      <c r="E196" s="27"/>
      <c r="F196" s="27"/>
      <c r="G196" s="27"/>
      <c r="H196" s="27"/>
      <c r="I196" s="27"/>
      <c r="J196" s="27"/>
      <c r="K196" s="27"/>
      <c r="L196" s="27"/>
    </row>
    <row r="198" spans="2:3">
      <c r="B198" s="1" t="s">
        <v>382</v>
      </c>
      <c r="C198" s="1" t="s">
        <v>2644</v>
      </c>
    </row>
    <row r="199" spans="2:3">
      <c r="B199" s="1">
        <v>3</v>
      </c>
      <c r="C199" s="1">
        <f ca="1">OFFSET(控制台!$J$2494,MATCH(B199,控制台!$B$2494:$B$2565,1)-1,0)</f>
        <v>340992</v>
      </c>
    </row>
    <row r="200" spans="2:3">
      <c r="B200" s="1">
        <v>7</v>
      </c>
      <c r="C200" s="1">
        <f ca="1">OFFSET(控制台!$J$2494,MATCH(B200,控制台!$B$2494:$B$2565,1)-1,0)</f>
        <v>531468</v>
      </c>
    </row>
    <row r="201" spans="2:3">
      <c r="B201" s="1">
        <v>14</v>
      </c>
      <c r="C201" s="1">
        <f ca="1">OFFSET(控制台!$J$2494,MATCH(B201,控制台!$B$2494:$B$2565,1)-1,0)</f>
        <v>852480</v>
      </c>
    </row>
    <row r="202" spans="2:3">
      <c r="B202" s="1">
        <v>30</v>
      </c>
      <c r="C202" s="1">
        <f ca="1">OFFSET(控制台!$J$2494,MATCH(B202,控制台!$B$2494:$B$2565,1)-1,0)</f>
        <v>1232100</v>
      </c>
    </row>
    <row r="203" spans="2:3">
      <c r="B203" s="1">
        <v>60</v>
      </c>
      <c r="C203" s="1">
        <f ca="1">OFFSET(控制台!$J$2494,MATCH(B203,控制台!$B$2494:$B$2565,1)-1,0)</f>
        <v>1498500</v>
      </c>
    </row>
    <row r="204" spans="2:3">
      <c r="B204" s="1">
        <v>120</v>
      </c>
      <c r="C204" s="1">
        <f ca="1">OFFSET(控制台!$J$2494,MATCH(B204,控制台!$B$2494:$B$2565,1)-1,0)</f>
        <v>1531800</v>
      </c>
    </row>
    <row r="205" spans="2:3">
      <c r="B205" s="1">
        <v>180</v>
      </c>
      <c r="C205" s="1">
        <f ca="1">OFFSET(控制台!$J$2494,MATCH(B205,控制台!$B$2494:$B$2565,1)-1,0)</f>
        <v>1864800</v>
      </c>
    </row>
    <row r="206" spans="2:3">
      <c r="B206" s="1">
        <v>360</v>
      </c>
      <c r="C206" s="1">
        <f ca="1">OFFSET(控制台!$J$2494,MATCH(B206,控制台!$B$2494:$B$2565,1)-1,0)</f>
        <v>1898100</v>
      </c>
    </row>
    <row r="208" spans="2:12">
      <c r="B208" s="27" t="s">
        <v>2645</v>
      </c>
      <c r="C208" s="27"/>
      <c r="D208" s="27"/>
      <c r="E208" s="27"/>
      <c r="F208" s="27"/>
      <c r="G208" s="27"/>
      <c r="H208" s="27"/>
      <c r="I208" s="27"/>
      <c r="J208" s="27"/>
      <c r="K208" s="27"/>
      <c r="L208" s="27"/>
    </row>
    <row r="210" spans="2:2">
      <c r="B210" s="1" t="s">
        <v>2646</v>
      </c>
    </row>
    <row r="211" spans="2:2">
      <c r="B211" s="1" t="s">
        <v>2647</v>
      </c>
    </row>
    <row r="213" spans="2:12">
      <c r="B213" s="27" t="s">
        <v>2648</v>
      </c>
      <c r="C213" s="27"/>
      <c r="D213" s="27"/>
      <c r="E213" s="27"/>
      <c r="F213" s="27"/>
      <c r="G213" s="27"/>
      <c r="H213" s="27"/>
      <c r="I213" s="27"/>
      <c r="J213" s="27"/>
      <c r="K213" s="27"/>
      <c r="L213" s="27"/>
    </row>
    <row r="215" spans="2:3">
      <c r="B215" s="1" t="s">
        <v>353</v>
      </c>
      <c r="C215" s="1" t="s">
        <v>2596</v>
      </c>
    </row>
    <row r="216" spans="2:3">
      <c r="B216" s="1">
        <v>4</v>
      </c>
      <c r="C216" s="24">
        <f>总规划!$G$107*控制台!M784</f>
        <v>0</v>
      </c>
    </row>
    <row r="217" spans="2:3">
      <c r="B217" s="1">
        <v>4.1</v>
      </c>
      <c r="C217" s="24">
        <f>总规划!$G$107*控制台!M785</f>
        <v>0.5</v>
      </c>
    </row>
    <row r="218" spans="2:3">
      <c r="B218" s="1">
        <v>5</v>
      </c>
      <c r="C218" s="24">
        <f>总规划!$G$107*控制台!M786</f>
        <v>1</v>
      </c>
    </row>
    <row r="219" spans="2:3">
      <c r="B219" s="1">
        <v>5.1</v>
      </c>
      <c r="C219" s="24">
        <f>总规划!$G$107*控制台!M787</f>
        <v>1.5</v>
      </c>
    </row>
    <row r="220" spans="2:3">
      <c r="B220" s="1">
        <v>6</v>
      </c>
      <c r="C220" s="24">
        <f>总规划!$G$107*控制台!M788</f>
        <v>2.5</v>
      </c>
    </row>
    <row r="221" spans="2:3">
      <c r="B221" s="1">
        <v>6.1</v>
      </c>
      <c r="C221" s="24">
        <f>总规划!$G$107*控制台!M789</f>
        <v>4</v>
      </c>
    </row>
    <row r="222" spans="2:3">
      <c r="B222" s="1">
        <v>7</v>
      </c>
      <c r="C222" s="24">
        <f>总规划!$G$107*控制台!M790</f>
        <v>7.5</v>
      </c>
    </row>
    <row r="223" spans="2:3">
      <c r="B223" s="1">
        <v>7.1</v>
      </c>
      <c r="C223" s="24">
        <f>总规划!$G$107*控制台!M791</f>
        <v>15</v>
      </c>
    </row>
    <row r="224" spans="2:3">
      <c r="B224" s="1">
        <v>7.2</v>
      </c>
      <c r="C224" s="24">
        <f>总规划!$G$107*控制台!M792</f>
        <v>50</v>
      </c>
    </row>
    <row r="225" spans="3:3">
      <c r="C225" s="24"/>
    </row>
    <row r="227" s="25" customFormat="1" spans="1:1">
      <c r="A227" s="2"/>
    </row>
  </sheetData>
  <conditionalFormatting sqref="C154:S15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location="目录及说明!A1" display="返回目录及说明"/>
    <hyperlink ref="B5" location="运营对接_001_礼包相关数值" display="礼包相关数值"/>
    <hyperlink ref="B6" location="运营对接_002_活动整体规划相关数值" display="活动整体规划相关数值"/>
    <hyperlink ref="B7" location="运营对接_003_小时活动相关数值" display="小时活动相关数值"/>
    <hyperlink ref="D10" location="运营对接_000_目录" display="返回目录"/>
    <hyperlink ref="D133" location="运营对接_000_目录" display="返回目录"/>
    <hyperlink ref="D167" location="运营对接_000_目录" display="返回目录"/>
  </hyperlinks>
  <pageMargins left="0.699305555555556" right="0.699305555555556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022">
    <tabColor theme="9" tint="0.599993896298105"/>
  </sheetPr>
  <dimension ref="A1:AA205"/>
  <sheetViews>
    <sheetView zoomScale="70" zoomScaleNormal="70" topLeftCell="A94" workbookViewId="0">
      <selection activeCell="U110" sqref="S110:U110"/>
    </sheetView>
  </sheetViews>
  <sheetFormatPr defaultColWidth="8.70967741935484" defaultRowHeight="13.1"/>
  <cols>
    <col min="1" max="16384" width="10.6290322580645" style="1"/>
  </cols>
  <sheetData>
    <row r="1" spans="1:1">
      <c r="A1" s="3" t="s">
        <v>429</v>
      </c>
    </row>
    <row r="3" s="25" customFormat="1" spans="1:1">
      <c r="A3" s="2" t="s">
        <v>2649</v>
      </c>
    </row>
    <row r="5" spans="1:27">
      <c r="A5" s="1" t="s">
        <v>455</v>
      </c>
      <c r="B5" s="1" t="s">
        <v>2650</v>
      </c>
      <c r="C5" s="1" t="s">
        <v>2651</v>
      </c>
      <c r="D5" s="1" t="s">
        <v>453</v>
      </c>
      <c r="E5" s="1" t="s">
        <v>138</v>
      </c>
      <c r="F5" s="1" t="s">
        <v>2382</v>
      </c>
      <c r="G5" s="1" t="s">
        <v>812</v>
      </c>
      <c r="H5" s="1" t="s">
        <v>2652</v>
      </c>
      <c r="I5" s="1" t="s">
        <v>2653</v>
      </c>
      <c r="J5" s="1" t="s">
        <v>2654</v>
      </c>
      <c r="K5" s="1" t="s">
        <v>465</v>
      </c>
      <c r="L5" s="1" t="s">
        <v>469</v>
      </c>
      <c r="M5" s="1" t="s">
        <v>2655</v>
      </c>
      <c r="N5" s="1" t="s">
        <v>2656</v>
      </c>
      <c r="O5" s="1" t="s">
        <v>2657</v>
      </c>
      <c r="P5" s="1" t="s">
        <v>2658</v>
      </c>
      <c r="Q5" s="1" t="s">
        <v>2659</v>
      </c>
      <c r="S5" s="1" t="s">
        <v>2660</v>
      </c>
      <c r="T5" s="1" t="s">
        <v>1478</v>
      </c>
      <c r="U5" s="1" t="s">
        <v>2661</v>
      </c>
      <c r="W5" s="1" t="s">
        <v>381</v>
      </c>
      <c r="X5" s="1" t="s">
        <v>1478</v>
      </c>
      <c r="Z5" s="1" t="s">
        <v>687</v>
      </c>
      <c r="AA5" s="1" t="s">
        <v>1478</v>
      </c>
    </row>
    <row r="6" spans="1:27">
      <c r="A6" s="1">
        <f>'107_兵卡等级'!B6</f>
        <v>1</v>
      </c>
      <c r="B6" s="1">
        <f ca="1">'107_兵卡等级'!L6</f>
        <v>0.02</v>
      </c>
      <c r="C6" s="1">
        <f ca="1">OFFSET(养成规划!$B$6,MATCH(B6,养成规划!$B$6:$B$77,1)-1,0)</f>
        <v>0</v>
      </c>
      <c r="D6" s="1">
        <f ca="1">MAX(3,OFFSET(养成规划!$X$6,MATCH(C6,养成规划!$B$6:$B$77,0)-1,0))</f>
        <v>3</v>
      </c>
      <c r="E6" s="1">
        <f ca="1">MAX(1,OFFSET(控制台!$J$374,MATCH(C6,控制台!$B$374:$B$445,0)-1,0))</f>
        <v>1</v>
      </c>
      <c r="F6" s="1">
        <f ca="1">MAX(1,OFFSET(养成规划!$V$6,MATCH(C6,养成规划!$S$6:$S$77,0)-1,0))</f>
        <v>1</v>
      </c>
      <c r="G6" s="1">
        <f ca="1">MAX(9,OFFSET(控制台!$L$374,MATCH(C6,控制台!$B$374:$B$445,0)-1,0))</f>
        <v>9</v>
      </c>
      <c r="H6" s="1">
        <f ca="1">MAX(1,_xlfn.FLOOR.MATH(OFFSET(养成规划!$Y$6,MATCH(C6,养成规划!$B$6:$B$77,0)-1,0)/100))</f>
        <v>1</v>
      </c>
      <c r="I6" s="1">
        <f ca="1">MAX(1,MOD(OFFSET(养成规划!$Y$6,MATCH(C6,养成规划!$B$6:$B$77,0)-1,0),100))</f>
        <v>1</v>
      </c>
      <c r="J6" s="1" t="str">
        <f ca="1">OFFSET(养成规划!$Z$6,MATCH(C6,养成规划!$B$6:$B$77,0)-1,0)</f>
        <v>无</v>
      </c>
      <c r="K6" s="1">
        <f ca="1">OFFSET(养成规划!$AB$6,MATCH(C6,养成规划!$B$6:$B$77,0)-1,0)</f>
        <v>0</v>
      </c>
      <c r="L6" s="1">
        <f ca="1">OFFSET(养成规划!$AC$6,MATCH(C6,养成规划!$B$6:$B$77,0)-1,0)</f>
        <v>0</v>
      </c>
      <c r="M6" s="14">
        <f ca="1">OFFSET(控制台!$R$476,MATCH(C6,控制台!$B$476:$B$547,0)-1,0)</f>
        <v>0</v>
      </c>
      <c r="N6" s="14">
        <f ca="1">OFFSET(控制台!$S$476,MATCH(C6,控制台!$B$476:$B$547,0)-1,0)</f>
        <v>0</v>
      </c>
      <c r="O6" s="14">
        <f ca="1">OFFSET(控制台!$U$5057,MATCH(C6,控制台!$B$5057:$B$5128,0)-1,0)</f>
        <v>0</v>
      </c>
      <c r="P6" s="14">
        <f ca="1">OFFSET(控制台!$V$5057,MATCH(C6,控制台!$B$5057:$B$5128,0)-1,0)</f>
        <v>0</v>
      </c>
      <c r="Q6" s="14">
        <f ca="1">OFFSET(控制台!$T$5057,MATCH(C6,控制台!$B$5057:$B$5128,0)-1,0)</f>
        <v>0</v>
      </c>
      <c r="S6" s="1">
        <f>'206_副本挂机'!B6*100+'206_副本挂机'!C6*4</f>
        <v>104</v>
      </c>
      <c r="T6" s="1">
        <f ca="1">_xlfn.FLOOR.MATH('206_副本挂机'!L6)</f>
        <v>0</v>
      </c>
      <c r="U6" s="1">
        <f ca="1">MIN(OFFSET(控制台!$J$374,MATCH(T6,控制台!$B$374:$B$445,1)-1,0)+1,32)</f>
        <v>1</v>
      </c>
      <c r="W6" s="1">
        <f>控制台!B2365</f>
        <v>1</v>
      </c>
      <c r="X6" s="1">
        <f>_xlfn.FLOOR.MATH(控制台!C2365)</f>
        <v>0</v>
      </c>
      <c r="Z6" s="1">
        <f>控制台!B2445</f>
        <v>1</v>
      </c>
      <c r="AA6" s="1">
        <f ca="1">控制台!C2445</f>
        <v>1</v>
      </c>
    </row>
    <row r="7" spans="1:27">
      <c r="A7" s="1">
        <f>'107_兵卡等级'!B7</f>
        <v>2</v>
      </c>
      <c r="B7" s="1">
        <f ca="1">'107_兵卡等级'!L7</f>
        <v>0.04</v>
      </c>
      <c r="C7" s="1">
        <f ca="1">OFFSET(养成规划!$B$6,MATCH(B7,养成规划!$B$6:$B$77,1)-1,0)</f>
        <v>0</v>
      </c>
      <c r="D7" s="1">
        <f ca="1">MAX(3,OFFSET(养成规划!$X$6,MATCH(C7,养成规划!$B$6:$B$77,0)-1,0))</f>
        <v>3</v>
      </c>
      <c r="E7" s="1">
        <f ca="1">MAX(1,OFFSET(控制台!$J$374,MATCH(C7,控制台!$B$374:$B$445,0)-1,0))</f>
        <v>1</v>
      </c>
      <c r="F7" s="1">
        <f ca="1">MAX(1,OFFSET(养成规划!$V$6,MATCH(C7,养成规划!$S$6:$S$77,0)-1,0))</f>
        <v>1</v>
      </c>
      <c r="G7" s="1">
        <f ca="1">MAX(9,OFFSET(控制台!$L$374,MATCH(C7,控制台!$B$374:$B$445,0)-1,0))</f>
        <v>9</v>
      </c>
      <c r="H7" s="1">
        <f ca="1">MAX(1,_xlfn.FLOOR.MATH(OFFSET(养成规划!$Y$6,MATCH(C7,养成规划!$B$6:$B$77,0)-1,0)/100))</f>
        <v>1</v>
      </c>
      <c r="I7" s="1">
        <f ca="1">MAX(1,MOD(OFFSET(养成规划!$Y$6,MATCH(C7,养成规划!$B$6:$B$77,0)-1,0),100))</f>
        <v>1</v>
      </c>
      <c r="J7" s="1" t="str">
        <f ca="1">OFFSET(养成规划!$Z$6,MATCH(C7,养成规划!$B$6:$B$77,0)-1,0)</f>
        <v>无</v>
      </c>
      <c r="K7" s="1">
        <f ca="1">OFFSET(养成规划!$AB$6,MATCH(C7,养成规划!$B$6:$B$77,0)-1,0)</f>
        <v>0</v>
      </c>
      <c r="L7" s="1">
        <f ca="1">OFFSET(养成规划!$AC$6,MATCH(C7,养成规划!$B$6:$B$77,0)-1,0)</f>
        <v>0</v>
      </c>
      <c r="M7" s="14">
        <f ca="1">OFFSET(控制台!$R$476,MATCH(C7,控制台!$B$476:$B$547,0)-1,0)</f>
        <v>0</v>
      </c>
      <c r="N7" s="14">
        <f ca="1">OFFSET(控制台!$S$476,MATCH(C7,控制台!$B$476:$B$547,0)-1,0)</f>
        <v>0</v>
      </c>
      <c r="O7" s="14">
        <f ca="1">OFFSET(控制台!$U$5057,MATCH(C7,控制台!$B$5057:$B$5128,0)-1,0)</f>
        <v>0</v>
      </c>
      <c r="P7" s="14">
        <f ca="1">OFFSET(控制台!$V$5057,MATCH(C7,控制台!$B$5057:$B$5128,0)-1,0)</f>
        <v>0</v>
      </c>
      <c r="Q7" s="14">
        <f ca="1">OFFSET(控制台!$T$5057,MATCH(C7,控制台!$B$5057:$B$5128,0)-1,0)</f>
        <v>0</v>
      </c>
      <c r="S7" s="1">
        <f>'206_副本挂机'!B7*100+'206_副本挂机'!C7*4</f>
        <v>108</v>
      </c>
      <c r="T7" s="1">
        <f ca="1">_xlfn.FLOOR.MATH('206_副本挂机'!L7)</f>
        <v>0</v>
      </c>
      <c r="U7" s="1">
        <f ca="1">MIN(OFFSET(控制台!$J$374,MATCH(T7,控制台!$B$374:$B$445,1)-1,0)+1,32)</f>
        <v>1</v>
      </c>
      <c r="W7" s="1">
        <f>控制台!B2366</f>
        <v>2</v>
      </c>
      <c r="X7" s="1">
        <f>_xlfn.FLOOR.MATH(控制台!C2366)</f>
        <v>0</v>
      </c>
      <c r="Z7" s="1">
        <f>控制台!B2446</f>
        <v>2</v>
      </c>
      <c r="AA7" s="1">
        <f ca="1">控制台!C2446</f>
        <v>6</v>
      </c>
    </row>
    <row r="8" spans="1:27">
      <c r="A8" s="1">
        <f>'107_兵卡等级'!B8</f>
        <v>3</v>
      </c>
      <c r="B8" s="1">
        <f ca="1">'107_兵卡等级'!L8</f>
        <v>0.06</v>
      </c>
      <c r="C8" s="1">
        <f ca="1">OFFSET(养成规划!$B$6,MATCH(B8,养成规划!$B$6:$B$77,1)-1,0)</f>
        <v>0</v>
      </c>
      <c r="D8" s="1">
        <f ca="1">MAX(3,OFFSET(养成规划!$X$6,MATCH(C8,养成规划!$B$6:$B$77,0)-1,0))</f>
        <v>3</v>
      </c>
      <c r="E8" s="1">
        <f ca="1">MAX(1,OFFSET(控制台!$J$374,MATCH(C8,控制台!$B$374:$B$445,0)-1,0))</f>
        <v>1</v>
      </c>
      <c r="F8" s="1">
        <f ca="1">MAX(1,OFFSET(养成规划!$V$6,MATCH(C8,养成规划!$S$6:$S$77,0)-1,0))</f>
        <v>1</v>
      </c>
      <c r="G8" s="1">
        <f ca="1">MAX(9,OFFSET(控制台!$L$374,MATCH(C8,控制台!$B$374:$B$445,0)-1,0))</f>
        <v>9</v>
      </c>
      <c r="H8" s="1">
        <f ca="1">MAX(1,_xlfn.FLOOR.MATH(OFFSET(养成规划!$Y$6,MATCH(C8,养成规划!$B$6:$B$77,0)-1,0)/100))</f>
        <v>1</v>
      </c>
      <c r="I8" s="1">
        <f ca="1">MAX(1,MOD(OFFSET(养成规划!$Y$6,MATCH(C8,养成规划!$B$6:$B$77,0)-1,0),100))</f>
        <v>1</v>
      </c>
      <c r="J8" s="1" t="str">
        <f ca="1">OFFSET(养成规划!$Z$6,MATCH(C8,养成规划!$B$6:$B$77,0)-1,0)</f>
        <v>无</v>
      </c>
      <c r="K8" s="1">
        <f ca="1">OFFSET(养成规划!$AB$6,MATCH(C8,养成规划!$B$6:$B$77,0)-1,0)</f>
        <v>0</v>
      </c>
      <c r="L8" s="1">
        <f ca="1">OFFSET(养成规划!$AC$6,MATCH(C8,养成规划!$B$6:$B$77,0)-1,0)</f>
        <v>0</v>
      </c>
      <c r="M8" s="14">
        <f ca="1">OFFSET(控制台!$R$476,MATCH(C8,控制台!$B$476:$B$547,0)-1,0)</f>
        <v>0</v>
      </c>
      <c r="N8" s="14">
        <f ca="1">OFFSET(控制台!$S$476,MATCH(C8,控制台!$B$476:$B$547,0)-1,0)</f>
        <v>0</v>
      </c>
      <c r="O8" s="14">
        <f ca="1">OFFSET(控制台!$U$5057,MATCH(C8,控制台!$B$5057:$B$5128,0)-1,0)</f>
        <v>0</v>
      </c>
      <c r="P8" s="14">
        <f ca="1">OFFSET(控制台!$V$5057,MATCH(C8,控制台!$B$5057:$B$5128,0)-1,0)</f>
        <v>0</v>
      </c>
      <c r="Q8" s="14">
        <f ca="1">OFFSET(控制台!$T$5057,MATCH(C8,控制台!$B$5057:$B$5128,0)-1,0)</f>
        <v>0</v>
      </c>
      <c r="S8" s="1">
        <f>'206_副本挂机'!B8*100+'206_副本挂机'!C8*4</f>
        <v>112</v>
      </c>
      <c r="T8" s="1">
        <f ca="1">_xlfn.FLOOR.MATH('206_副本挂机'!L8)</f>
        <v>0</v>
      </c>
      <c r="U8" s="1">
        <f ca="1">MIN(OFFSET(控制台!$J$374,MATCH(T8,控制台!$B$374:$B$445,1)-1,0)+1,32)</f>
        <v>1</v>
      </c>
      <c r="W8" s="1">
        <f>控制台!B2367</f>
        <v>3</v>
      </c>
      <c r="X8" s="1">
        <f>_xlfn.FLOOR.MATH(控制台!C2367)</f>
        <v>0</v>
      </c>
      <c r="Z8" s="1">
        <f>控制台!B2447</f>
        <v>3</v>
      </c>
      <c r="AA8" s="1">
        <f ca="1">控制台!C2447</f>
        <v>13</v>
      </c>
    </row>
    <row r="9" spans="1:27">
      <c r="A9" s="1">
        <f>'107_兵卡等级'!B9</f>
        <v>4</v>
      </c>
      <c r="B9" s="1">
        <f ca="1">'107_兵卡等级'!L9</f>
        <v>0.08</v>
      </c>
      <c r="C9" s="1">
        <f ca="1">OFFSET(养成规划!$B$6,MATCH(B9,养成规划!$B$6:$B$77,1)-1,0)</f>
        <v>0</v>
      </c>
      <c r="D9" s="1">
        <f ca="1">MAX(3,OFFSET(养成规划!$X$6,MATCH(C9,养成规划!$B$6:$B$77,0)-1,0))</f>
        <v>3</v>
      </c>
      <c r="E9" s="1">
        <f ca="1">MAX(1,OFFSET(控制台!$J$374,MATCH(C9,控制台!$B$374:$B$445,0)-1,0))</f>
        <v>1</v>
      </c>
      <c r="F9" s="1">
        <f ca="1">MAX(1,OFFSET(养成规划!$V$6,MATCH(C9,养成规划!$S$6:$S$77,0)-1,0))</f>
        <v>1</v>
      </c>
      <c r="G9" s="1">
        <f ca="1">MAX(9,OFFSET(控制台!$L$374,MATCH(C9,控制台!$B$374:$B$445,0)-1,0))</f>
        <v>9</v>
      </c>
      <c r="H9" s="1">
        <f ca="1">MAX(1,_xlfn.FLOOR.MATH(OFFSET(养成规划!$Y$6,MATCH(C9,养成规划!$B$6:$B$77,0)-1,0)/100))</f>
        <v>1</v>
      </c>
      <c r="I9" s="1">
        <f ca="1">MAX(1,MOD(OFFSET(养成规划!$Y$6,MATCH(C9,养成规划!$B$6:$B$77,0)-1,0),100))</f>
        <v>1</v>
      </c>
      <c r="J9" s="1" t="str">
        <f ca="1">OFFSET(养成规划!$Z$6,MATCH(C9,养成规划!$B$6:$B$77,0)-1,0)</f>
        <v>无</v>
      </c>
      <c r="K9" s="1">
        <f ca="1">OFFSET(养成规划!$AB$6,MATCH(C9,养成规划!$B$6:$B$77,0)-1,0)</f>
        <v>0</v>
      </c>
      <c r="L9" s="1">
        <f ca="1">OFFSET(养成规划!$AC$6,MATCH(C9,养成规划!$B$6:$B$77,0)-1,0)</f>
        <v>0</v>
      </c>
      <c r="M9" s="14">
        <f ca="1">OFFSET(控制台!$R$476,MATCH(C9,控制台!$B$476:$B$547,0)-1,0)</f>
        <v>0</v>
      </c>
      <c r="N9" s="14">
        <f ca="1">OFFSET(控制台!$S$476,MATCH(C9,控制台!$B$476:$B$547,0)-1,0)</f>
        <v>0</v>
      </c>
      <c r="O9" s="14">
        <f ca="1">OFFSET(控制台!$U$5057,MATCH(C9,控制台!$B$5057:$B$5128,0)-1,0)</f>
        <v>0</v>
      </c>
      <c r="P9" s="14">
        <f ca="1">OFFSET(控制台!$V$5057,MATCH(C9,控制台!$B$5057:$B$5128,0)-1,0)</f>
        <v>0</v>
      </c>
      <c r="Q9" s="14">
        <f ca="1">OFFSET(控制台!$T$5057,MATCH(C9,控制台!$B$5057:$B$5128,0)-1,0)</f>
        <v>0</v>
      </c>
      <c r="S9" s="1">
        <f>'206_副本挂机'!B9*100+'206_副本挂机'!C9*4</f>
        <v>116</v>
      </c>
      <c r="T9" s="1">
        <f ca="1">_xlfn.FLOOR.MATH('206_副本挂机'!L9)</f>
        <v>0</v>
      </c>
      <c r="U9" s="1">
        <f ca="1">MIN(OFFSET(控制台!$J$374,MATCH(T9,控制台!$B$374:$B$445,1)-1,0)+1,32)</f>
        <v>1</v>
      </c>
      <c r="W9" s="1">
        <f>控制台!B2368</f>
        <v>4</v>
      </c>
      <c r="X9" s="1">
        <f>_xlfn.FLOOR.MATH(控制台!C2368)</f>
        <v>0</v>
      </c>
      <c r="Z9" s="1">
        <f>控制台!B2448</f>
        <v>4</v>
      </c>
      <c r="AA9" s="1">
        <f ca="1">控制台!C2448</f>
        <v>35</v>
      </c>
    </row>
    <row r="10" spans="1:27">
      <c r="A10" s="1">
        <f>'107_兵卡等级'!B10</f>
        <v>5</v>
      </c>
      <c r="B10" s="1">
        <f ca="1">'107_兵卡等级'!L10</f>
        <v>0.1</v>
      </c>
      <c r="C10" s="1">
        <f ca="1">OFFSET(养成规划!$B$6,MATCH(B10,养成规划!$B$6:$B$77,1)-1,0)</f>
        <v>0.1</v>
      </c>
      <c r="D10" s="1">
        <f ca="1">MAX(3,OFFSET(养成规划!$X$6,MATCH(C10,养成规划!$B$6:$B$77,0)-1,0))</f>
        <v>3</v>
      </c>
      <c r="E10" s="1">
        <f ca="1">MAX(1,OFFSET(控制台!$J$374,MATCH(C10,控制台!$B$374:$B$445,0)-1,0))</f>
        <v>1</v>
      </c>
      <c r="F10" s="1">
        <f ca="1">MAX(1,OFFSET(养成规划!$V$6,MATCH(C10,养成规划!$S$6:$S$77,0)-1,0))</f>
        <v>2</v>
      </c>
      <c r="G10" s="1">
        <f ca="1">MAX(9,OFFSET(控制台!$L$374,MATCH(C10,控制台!$B$374:$B$445,0)-1,0))</f>
        <v>9</v>
      </c>
      <c r="H10" s="1">
        <f ca="1">MAX(1,_xlfn.FLOOR.MATH(OFFSET(养成规划!$Y$6,MATCH(C10,养成规划!$B$6:$B$77,0)-1,0)/100))</f>
        <v>1</v>
      </c>
      <c r="I10" s="1">
        <f ca="1">MAX(1,MOD(OFFSET(养成规划!$Y$6,MATCH(C10,养成规划!$B$6:$B$77,0)-1,0),100))</f>
        <v>1</v>
      </c>
      <c r="J10" s="1" t="str">
        <f ca="1">OFFSET(养成规划!$Z$6,MATCH(C10,养成规划!$B$6:$B$77,0)-1,0)</f>
        <v>无</v>
      </c>
      <c r="K10" s="1">
        <f ca="1">OFFSET(养成规划!$AB$6,MATCH(C10,养成规划!$B$6:$B$77,0)-1,0)</f>
        <v>0</v>
      </c>
      <c r="L10" s="1">
        <f ca="1">OFFSET(养成规划!$AC$6,MATCH(C10,养成规划!$B$6:$B$77,0)-1,0)</f>
        <v>0</v>
      </c>
      <c r="M10" s="14">
        <f ca="1">OFFSET(控制台!$R$476,MATCH(C10,控制台!$B$476:$B$547,0)-1,0)</f>
        <v>0</v>
      </c>
      <c r="N10" s="14">
        <f ca="1">OFFSET(控制台!$S$476,MATCH(C10,控制台!$B$476:$B$547,0)-1,0)</f>
        <v>0</v>
      </c>
      <c r="O10" s="14">
        <f ca="1">OFFSET(控制台!$U$5057,MATCH(C10,控制台!$B$5057:$B$5128,0)-1,0)</f>
        <v>0</v>
      </c>
      <c r="P10" s="14">
        <f ca="1">OFFSET(控制台!$V$5057,MATCH(C10,控制台!$B$5057:$B$5128,0)-1,0)</f>
        <v>0</v>
      </c>
      <c r="Q10" s="14">
        <f ca="1">OFFSET(控制台!$T$5057,MATCH(C10,控制台!$B$5057:$B$5128,0)-1,0)</f>
        <v>0</v>
      </c>
      <c r="S10" s="1">
        <f>'206_副本挂机'!B10*100+'206_副本挂机'!C10*4</f>
        <v>120</v>
      </c>
      <c r="T10" s="1">
        <f ca="1">_xlfn.FLOOR.MATH('206_副本挂机'!L10)</f>
        <v>1</v>
      </c>
      <c r="U10" s="1">
        <f ca="1">MIN(OFFSET(控制台!$J$374,MATCH(T10,控制台!$B$374:$B$445,1)-1,0)+1,32)</f>
        <v>9</v>
      </c>
      <c r="W10" s="1">
        <f>控制台!B2369</f>
        <v>5</v>
      </c>
      <c r="X10" s="1">
        <f>_xlfn.FLOOR.MATH(控制台!C2369)</f>
        <v>0</v>
      </c>
      <c r="Z10" s="1">
        <f>控制台!B2449</f>
        <v>5</v>
      </c>
      <c r="AA10" s="1">
        <f ca="1">控制台!C2449</f>
        <v>45</v>
      </c>
    </row>
    <row r="11" spans="1:27">
      <c r="A11" s="1">
        <f>'107_兵卡等级'!B11</f>
        <v>6</v>
      </c>
      <c r="B11" s="1">
        <f ca="1">'107_兵卡等级'!L11</f>
        <v>0.12</v>
      </c>
      <c r="C11" s="1">
        <f ca="1">OFFSET(养成规划!$B$6,MATCH(B11,养成规划!$B$6:$B$77,1)-1,0)</f>
        <v>0.1</v>
      </c>
      <c r="D11" s="1">
        <f ca="1">MAX(3,OFFSET(养成规划!$X$6,MATCH(C11,养成规划!$B$6:$B$77,0)-1,0))</f>
        <v>3</v>
      </c>
      <c r="E11" s="1">
        <f ca="1">MAX(1,OFFSET(控制台!$J$374,MATCH(C11,控制台!$B$374:$B$445,0)-1,0))</f>
        <v>1</v>
      </c>
      <c r="F11" s="1">
        <f ca="1">MAX(1,OFFSET(养成规划!$V$6,MATCH(C11,养成规划!$S$6:$S$77,0)-1,0))</f>
        <v>2</v>
      </c>
      <c r="G11" s="1">
        <f ca="1">MAX(9,OFFSET(控制台!$L$374,MATCH(C11,控制台!$B$374:$B$445,0)-1,0))</f>
        <v>9</v>
      </c>
      <c r="H11" s="1">
        <f ca="1">MAX(1,_xlfn.FLOOR.MATH(OFFSET(养成规划!$Y$6,MATCH(C11,养成规划!$B$6:$B$77,0)-1,0)/100))</f>
        <v>1</v>
      </c>
      <c r="I11" s="1">
        <f ca="1">MAX(1,MOD(OFFSET(养成规划!$Y$6,MATCH(C11,养成规划!$B$6:$B$77,0)-1,0),100))</f>
        <v>1</v>
      </c>
      <c r="J11" s="1" t="str">
        <f ca="1">OFFSET(养成规划!$Z$6,MATCH(C11,养成规划!$B$6:$B$77,0)-1,0)</f>
        <v>无</v>
      </c>
      <c r="K11" s="1">
        <f ca="1">OFFSET(养成规划!$AB$6,MATCH(C11,养成规划!$B$6:$B$77,0)-1,0)</f>
        <v>0</v>
      </c>
      <c r="L11" s="1">
        <f ca="1">OFFSET(养成规划!$AC$6,MATCH(C11,养成规划!$B$6:$B$77,0)-1,0)</f>
        <v>0</v>
      </c>
      <c r="M11" s="14">
        <f ca="1">OFFSET(控制台!$R$476,MATCH(C11,控制台!$B$476:$B$547,0)-1,0)</f>
        <v>0</v>
      </c>
      <c r="N11" s="14">
        <f ca="1">OFFSET(控制台!$S$476,MATCH(C11,控制台!$B$476:$B$547,0)-1,0)</f>
        <v>0</v>
      </c>
      <c r="O11" s="14">
        <f ca="1">OFFSET(控制台!$U$5057,MATCH(C11,控制台!$B$5057:$B$5128,0)-1,0)</f>
        <v>0</v>
      </c>
      <c r="P11" s="14">
        <f ca="1">OFFSET(控制台!$V$5057,MATCH(C11,控制台!$B$5057:$B$5128,0)-1,0)</f>
        <v>0</v>
      </c>
      <c r="Q11" s="14">
        <f ca="1">OFFSET(控制台!$T$5057,MATCH(C11,控制台!$B$5057:$B$5128,0)-1,0)</f>
        <v>0</v>
      </c>
      <c r="S11" s="1">
        <f>'206_副本挂机'!B11*100+'206_副本挂机'!C11*4</f>
        <v>204</v>
      </c>
      <c r="T11" s="1">
        <f ca="1">_xlfn.FLOOR.MATH('206_副本挂机'!L11)</f>
        <v>1</v>
      </c>
      <c r="U11" s="1">
        <f ca="1">MIN(OFFSET(控制台!$J$374,MATCH(T11,控制台!$B$374:$B$445,1)-1,0)+1,32)</f>
        <v>9</v>
      </c>
      <c r="W11" s="1">
        <f>控制台!B2370</f>
        <v>6</v>
      </c>
      <c r="X11" s="1">
        <f>_xlfn.FLOOR.MATH(控制台!C2370)</f>
        <v>0</v>
      </c>
      <c r="Z11" s="1">
        <f>控制台!B2450</f>
        <v>6</v>
      </c>
      <c r="AA11" s="1">
        <f ca="1">控制台!C2450</f>
        <v>55</v>
      </c>
    </row>
    <row r="12" spans="1:27">
      <c r="A12" s="1">
        <f>'107_兵卡等级'!B12</f>
        <v>7</v>
      </c>
      <c r="B12" s="1">
        <f ca="1">'107_兵卡等级'!L12</f>
        <v>0.14</v>
      </c>
      <c r="C12" s="1">
        <f ca="1">OFFSET(养成规划!$B$6,MATCH(B12,养成规划!$B$6:$B$77,1)-1,0)</f>
        <v>0.1</v>
      </c>
      <c r="D12" s="1">
        <f ca="1">MAX(3,OFFSET(养成规划!$X$6,MATCH(C12,养成规划!$B$6:$B$77,0)-1,0))</f>
        <v>3</v>
      </c>
      <c r="E12" s="1">
        <f ca="1">MAX(1,OFFSET(控制台!$J$374,MATCH(C12,控制台!$B$374:$B$445,0)-1,0))</f>
        <v>1</v>
      </c>
      <c r="F12" s="1">
        <f ca="1">MAX(1,OFFSET(养成规划!$V$6,MATCH(C12,养成规划!$S$6:$S$77,0)-1,0))</f>
        <v>2</v>
      </c>
      <c r="G12" s="1">
        <f ca="1">MAX(9,OFFSET(控制台!$L$374,MATCH(C12,控制台!$B$374:$B$445,0)-1,0))</f>
        <v>9</v>
      </c>
      <c r="H12" s="1">
        <f ca="1">MAX(1,_xlfn.FLOOR.MATH(OFFSET(养成规划!$Y$6,MATCH(C12,养成规划!$B$6:$B$77,0)-1,0)/100))</f>
        <v>1</v>
      </c>
      <c r="I12" s="1">
        <f ca="1">MAX(1,MOD(OFFSET(养成规划!$Y$6,MATCH(C12,养成规划!$B$6:$B$77,0)-1,0),100))</f>
        <v>1</v>
      </c>
      <c r="J12" s="1" t="str">
        <f ca="1">OFFSET(养成规划!$Z$6,MATCH(C12,养成规划!$B$6:$B$77,0)-1,0)</f>
        <v>无</v>
      </c>
      <c r="K12" s="1">
        <f ca="1">OFFSET(养成规划!$AB$6,MATCH(C12,养成规划!$B$6:$B$77,0)-1,0)</f>
        <v>0</v>
      </c>
      <c r="L12" s="1">
        <f ca="1">OFFSET(养成规划!$AC$6,MATCH(C12,养成规划!$B$6:$B$77,0)-1,0)</f>
        <v>0</v>
      </c>
      <c r="M12" s="14">
        <f ca="1">OFFSET(控制台!$R$476,MATCH(C12,控制台!$B$476:$B$547,0)-1,0)</f>
        <v>0</v>
      </c>
      <c r="N12" s="14">
        <f ca="1">OFFSET(控制台!$S$476,MATCH(C12,控制台!$B$476:$B$547,0)-1,0)</f>
        <v>0</v>
      </c>
      <c r="O12" s="14">
        <f ca="1">OFFSET(控制台!$U$5057,MATCH(C12,控制台!$B$5057:$B$5128,0)-1,0)</f>
        <v>0</v>
      </c>
      <c r="P12" s="14">
        <f ca="1">OFFSET(控制台!$V$5057,MATCH(C12,控制台!$B$5057:$B$5128,0)-1,0)</f>
        <v>0</v>
      </c>
      <c r="Q12" s="14">
        <f ca="1">OFFSET(控制台!$T$5057,MATCH(C12,控制台!$B$5057:$B$5128,0)-1,0)</f>
        <v>0</v>
      </c>
      <c r="S12" s="1">
        <f>'206_副本挂机'!B12*100+'206_副本挂机'!C12*4</f>
        <v>208</v>
      </c>
      <c r="T12" s="1">
        <f ca="1">_xlfn.FLOOR.MATH('206_副本挂机'!L12)</f>
        <v>1</v>
      </c>
      <c r="U12" s="1">
        <f ca="1">MIN(OFFSET(控制台!$J$374,MATCH(T12,控制台!$B$374:$B$445,1)-1,0)+1,32)</f>
        <v>9</v>
      </c>
      <c r="W12" s="1">
        <f>控制台!B2371</f>
        <v>7</v>
      </c>
      <c r="X12" s="1">
        <f>_xlfn.FLOOR.MATH(控制台!C2371)</f>
        <v>0</v>
      </c>
      <c r="Z12" s="1">
        <f>控制台!B2451</f>
        <v>7</v>
      </c>
      <c r="AA12" s="1">
        <f ca="1">控制台!C2451</f>
        <v>65</v>
      </c>
    </row>
    <row r="13" spans="1:27">
      <c r="A13" s="1">
        <f>'107_兵卡等级'!B13</f>
        <v>8</v>
      </c>
      <c r="B13" s="1">
        <f ca="1">'107_兵卡等级'!L13</f>
        <v>0.16</v>
      </c>
      <c r="C13" s="1">
        <f ca="1">OFFSET(养成规划!$B$6,MATCH(B13,养成规划!$B$6:$B$77,1)-1,0)</f>
        <v>0.1</v>
      </c>
      <c r="D13" s="1">
        <f ca="1">MAX(3,OFFSET(养成规划!$X$6,MATCH(C13,养成规划!$B$6:$B$77,0)-1,0))</f>
        <v>3</v>
      </c>
      <c r="E13" s="1">
        <f ca="1">MAX(1,OFFSET(控制台!$J$374,MATCH(C13,控制台!$B$374:$B$445,0)-1,0))</f>
        <v>1</v>
      </c>
      <c r="F13" s="1">
        <f ca="1">MAX(1,OFFSET(养成规划!$V$6,MATCH(C13,养成规划!$S$6:$S$77,0)-1,0))</f>
        <v>2</v>
      </c>
      <c r="G13" s="1">
        <f ca="1">MAX(9,OFFSET(控制台!$L$374,MATCH(C13,控制台!$B$374:$B$445,0)-1,0))</f>
        <v>9</v>
      </c>
      <c r="H13" s="1">
        <f ca="1">MAX(1,_xlfn.FLOOR.MATH(OFFSET(养成规划!$Y$6,MATCH(C13,养成规划!$B$6:$B$77,0)-1,0)/100))</f>
        <v>1</v>
      </c>
      <c r="I13" s="1">
        <f ca="1">MAX(1,MOD(OFFSET(养成规划!$Y$6,MATCH(C13,养成规划!$B$6:$B$77,0)-1,0),100))</f>
        <v>1</v>
      </c>
      <c r="J13" s="1" t="str">
        <f ca="1">OFFSET(养成规划!$Z$6,MATCH(C13,养成规划!$B$6:$B$77,0)-1,0)</f>
        <v>无</v>
      </c>
      <c r="K13" s="1">
        <f ca="1">OFFSET(养成规划!$AB$6,MATCH(C13,养成规划!$B$6:$B$77,0)-1,0)</f>
        <v>0</v>
      </c>
      <c r="L13" s="1">
        <f ca="1">OFFSET(养成规划!$AC$6,MATCH(C13,养成规划!$B$6:$B$77,0)-1,0)</f>
        <v>0</v>
      </c>
      <c r="M13" s="14">
        <f ca="1">OFFSET(控制台!$R$476,MATCH(C13,控制台!$B$476:$B$547,0)-1,0)</f>
        <v>0</v>
      </c>
      <c r="N13" s="14">
        <f ca="1">OFFSET(控制台!$S$476,MATCH(C13,控制台!$B$476:$B$547,0)-1,0)</f>
        <v>0</v>
      </c>
      <c r="O13" s="14">
        <f ca="1">OFFSET(控制台!$U$5057,MATCH(C13,控制台!$B$5057:$B$5128,0)-1,0)</f>
        <v>0</v>
      </c>
      <c r="P13" s="14">
        <f ca="1">OFFSET(控制台!$V$5057,MATCH(C13,控制台!$B$5057:$B$5128,0)-1,0)</f>
        <v>0</v>
      </c>
      <c r="Q13" s="14">
        <f ca="1">OFFSET(控制台!$T$5057,MATCH(C13,控制台!$B$5057:$B$5128,0)-1,0)</f>
        <v>0</v>
      </c>
      <c r="S13" s="1">
        <f>'206_副本挂机'!B13*100+'206_副本挂机'!C13*4</f>
        <v>212</v>
      </c>
      <c r="T13" s="1">
        <f ca="1">_xlfn.FLOOR.MATH('206_副本挂机'!L13)</f>
        <v>2</v>
      </c>
      <c r="U13" s="1">
        <f ca="1">MIN(OFFSET(控制台!$J$374,MATCH(T13,控制台!$B$374:$B$445,1)-1,0)+1,32)</f>
        <v>11</v>
      </c>
      <c r="W13" s="1">
        <f>控制台!B2372</f>
        <v>8</v>
      </c>
      <c r="X13" s="1">
        <f>_xlfn.FLOOR.MATH(控制台!C2372)</f>
        <v>0</v>
      </c>
      <c r="Z13" s="1">
        <f>控制台!B2452</f>
        <v>8</v>
      </c>
      <c r="AA13" s="1">
        <f ca="1">控制台!C2452</f>
        <v>75</v>
      </c>
    </row>
    <row r="14" spans="1:27">
      <c r="A14" s="1">
        <f>'107_兵卡等级'!B14</f>
        <v>9</v>
      </c>
      <c r="B14" s="1">
        <f ca="1">'107_兵卡等级'!L14</f>
        <v>0.18</v>
      </c>
      <c r="C14" s="1">
        <f ca="1">OFFSET(养成规划!$B$6,MATCH(B14,养成规划!$B$6:$B$77,1)-1,0)</f>
        <v>0.1</v>
      </c>
      <c r="D14" s="1">
        <f ca="1">MAX(3,OFFSET(养成规划!$X$6,MATCH(C14,养成规划!$B$6:$B$77,0)-1,0))</f>
        <v>3</v>
      </c>
      <c r="E14" s="1">
        <f ca="1">MAX(1,OFFSET(控制台!$J$374,MATCH(C14,控制台!$B$374:$B$445,0)-1,0))</f>
        <v>1</v>
      </c>
      <c r="F14" s="1">
        <f ca="1">MAX(1,OFFSET(养成规划!$V$6,MATCH(C14,养成规划!$S$6:$S$77,0)-1,0))</f>
        <v>2</v>
      </c>
      <c r="G14" s="1">
        <f ca="1">MAX(9,OFFSET(控制台!$L$374,MATCH(C14,控制台!$B$374:$B$445,0)-1,0))</f>
        <v>9</v>
      </c>
      <c r="H14" s="1">
        <f ca="1">MAX(1,_xlfn.FLOOR.MATH(OFFSET(养成规划!$Y$6,MATCH(C14,养成规划!$B$6:$B$77,0)-1,0)/100))</f>
        <v>1</v>
      </c>
      <c r="I14" s="1">
        <f ca="1">MAX(1,MOD(OFFSET(养成规划!$Y$6,MATCH(C14,养成规划!$B$6:$B$77,0)-1,0),100))</f>
        <v>1</v>
      </c>
      <c r="J14" s="1" t="str">
        <f ca="1">OFFSET(养成规划!$Z$6,MATCH(C14,养成规划!$B$6:$B$77,0)-1,0)</f>
        <v>无</v>
      </c>
      <c r="K14" s="1">
        <f ca="1">OFFSET(养成规划!$AB$6,MATCH(C14,养成规划!$B$6:$B$77,0)-1,0)</f>
        <v>0</v>
      </c>
      <c r="L14" s="1">
        <f ca="1">OFFSET(养成规划!$AC$6,MATCH(C14,养成规划!$B$6:$B$77,0)-1,0)</f>
        <v>0</v>
      </c>
      <c r="M14" s="14">
        <f ca="1">OFFSET(控制台!$R$476,MATCH(C14,控制台!$B$476:$B$547,0)-1,0)</f>
        <v>0</v>
      </c>
      <c r="N14" s="14">
        <f ca="1">OFFSET(控制台!$S$476,MATCH(C14,控制台!$B$476:$B$547,0)-1,0)</f>
        <v>0</v>
      </c>
      <c r="O14" s="14">
        <f ca="1">OFFSET(控制台!$U$5057,MATCH(C14,控制台!$B$5057:$B$5128,0)-1,0)</f>
        <v>0</v>
      </c>
      <c r="P14" s="14">
        <f ca="1">OFFSET(控制台!$V$5057,MATCH(C14,控制台!$B$5057:$B$5128,0)-1,0)</f>
        <v>0</v>
      </c>
      <c r="Q14" s="14">
        <f ca="1">OFFSET(控制台!$T$5057,MATCH(C14,控制台!$B$5057:$B$5128,0)-1,0)</f>
        <v>0</v>
      </c>
      <c r="S14" s="1">
        <f>'206_副本挂机'!B14*100+'206_副本挂机'!C14*4</f>
        <v>216</v>
      </c>
      <c r="T14" s="1">
        <f ca="1">_xlfn.FLOOR.MATH('206_副本挂机'!L14)</f>
        <v>2</v>
      </c>
      <c r="U14" s="1">
        <f ca="1">MIN(OFFSET(控制台!$J$374,MATCH(T14,控制台!$B$374:$B$445,1)-1,0)+1,32)</f>
        <v>11</v>
      </c>
      <c r="W14" s="1">
        <f>控制台!B2373</f>
        <v>9</v>
      </c>
      <c r="X14" s="1">
        <f>_xlfn.FLOOR.MATH(控制台!C2373)</f>
        <v>0</v>
      </c>
      <c r="Z14" s="1">
        <f>控制台!B2453</f>
        <v>9</v>
      </c>
      <c r="AA14" s="1">
        <f ca="1">控制台!C2453</f>
        <v>85</v>
      </c>
    </row>
    <row r="15" spans="1:27">
      <c r="A15" s="1">
        <f>'107_兵卡等级'!B15</f>
        <v>10</v>
      </c>
      <c r="B15" s="1">
        <f ca="1">'107_兵卡等级'!L15</f>
        <v>0.2</v>
      </c>
      <c r="C15" s="1">
        <f ca="1">OFFSET(养成规划!$B$6,MATCH(B15,养成规划!$B$6:$B$77,1)-1,0)</f>
        <v>0.2</v>
      </c>
      <c r="D15" s="1">
        <f ca="1">MAX(3,OFFSET(养成规划!$X$6,MATCH(C15,养成规划!$B$6:$B$77,0)-1,0))</f>
        <v>4</v>
      </c>
      <c r="E15" s="1">
        <f ca="1">MAX(1,OFFSET(控制台!$J$374,MATCH(C15,控制台!$B$374:$B$445,0)-1,0))</f>
        <v>2</v>
      </c>
      <c r="F15" s="1">
        <f ca="1">MAX(1,OFFSET(养成规划!$V$6,MATCH(C15,养成规划!$S$6:$S$77,0)-1,0))</f>
        <v>2</v>
      </c>
      <c r="G15" s="1">
        <f ca="1">MAX(9,OFFSET(控制台!$L$374,MATCH(C15,控制台!$B$374:$B$445,0)-1,0))</f>
        <v>12</v>
      </c>
      <c r="H15" s="1">
        <f ca="1">MAX(1,_xlfn.FLOOR.MATH(OFFSET(养成规划!$Y$6,MATCH(C15,养成规划!$B$6:$B$77,0)-1,0)/100))</f>
        <v>1</v>
      </c>
      <c r="I15" s="1">
        <f ca="1">MAX(1,MOD(OFFSET(养成规划!$Y$6,MATCH(C15,养成规划!$B$6:$B$77,0)-1,0),100))</f>
        <v>1</v>
      </c>
      <c r="J15" s="1" t="str">
        <f ca="1">OFFSET(养成规划!$Z$6,MATCH(C15,养成规划!$B$6:$B$77,0)-1,0)</f>
        <v>无</v>
      </c>
      <c r="K15" s="1">
        <f ca="1">OFFSET(养成规划!$AB$6,MATCH(C15,养成规划!$B$6:$B$77,0)-1,0)</f>
        <v>0</v>
      </c>
      <c r="L15" s="1">
        <f ca="1">OFFSET(养成规划!$AC$6,MATCH(C15,养成规划!$B$6:$B$77,0)-1,0)</f>
        <v>0</v>
      </c>
      <c r="M15" s="14">
        <f ca="1">OFFSET(控制台!$R$476,MATCH(C15,控制台!$B$476:$B$547,0)-1,0)</f>
        <v>0</v>
      </c>
      <c r="N15" s="14">
        <f ca="1">OFFSET(控制台!$S$476,MATCH(C15,控制台!$B$476:$B$547,0)-1,0)</f>
        <v>0</v>
      </c>
      <c r="O15" s="14">
        <f ca="1">OFFSET(控制台!$U$5057,MATCH(C15,控制台!$B$5057:$B$5128,0)-1,0)</f>
        <v>0</v>
      </c>
      <c r="P15" s="14">
        <f ca="1">OFFSET(控制台!$V$5057,MATCH(C15,控制台!$B$5057:$B$5128,0)-1,0)</f>
        <v>0</v>
      </c>
      <c r="Q15" s="14">
        <f ca="1">OFFSET(控制台!$T$5057,MATCH(C15,控制台!$B$5057:$B$5128,0)-1,0)</f>
        <v>0</v>
      </c>
      <c r="S15" s="1">
        <f>'206_副本挂机'!B15*100+'206_副本挂机'!C15*4</f>
        <v>220</v>
      </c>
      <c r="T15" s="1">
        <f ca="1">_xlfn.FLOOR.MATH('206_副本挂机'!L15)</f>
        <v>3</v>
      </c>
      <c r="U15" s="1">
        <f ca="1">MIN(OFFSET(控制台!$J$374,MATCH(T15,控制台!$B$374:$B$445,1)-1,0)+1,32)</f>
        <v>13</v>
      </c>
      <c r="W15" s="1">
        <f>控制台!B2374</f>
        <v>10</v>
      </c>
      <c r="X15" s="1">
        <f>_xlfn.FLOOR.MATH(控制台!C2374)</f>
        <v>0</v>
      </c>
      <c r="Z15" s="1">
        <f>控制台!B2454</f>
        <v>10</v>
      </c>
      <c r="AA15" s="1">
        <f>控制台!C2454</f>
        <v>124</v>
      </c>
    </row>
    <row r="16" spans="1:27">
      <c r="A16" s="1">
        <f>'107_兵卡等级'!B16</f>
        <v>11</v>
      </c>
      <c r="B16" s="1">
        <f ca="1">'107_兵卡等级'!L16</f>
        <v>0.28</v>
      </c>
      <c r="C16" s="1">
        <f ca="1">OFFSET(养成规划!$B$6,MATCH(B16,养成规划!$B$6:$B$77,1)-1,0)</f>
        <v>0.2</v>
      </c>
      <c r="D16" s="1">
        <f ca="1">MAX(3,OFFSET(养成规划!$X$6,MATCH(C16,养成规划!$B$6:$B$77,0)-1,0))</f>
        <v>4</v>
      </c>
      <c r="E16" s="1">
        <f ca="1">MAX(1,OFFSET(控制台!$J$374,MATCH(C16,控制台!$B$374:$B$445,0)-1,0))</f>
        <v>2</v>
      </c>
      <c r="F16" s="1">
        <f ca="1">MAX(1,OFFSET(养成规划!$V$6,MATCH(C16,养成规划!$S$6:$S$77,0)-1,0))</f>
        <v>2</v>
      </c>
      <c r="G16" s="1">
        <f ca="1">MAX(9,OFFSET(控制台!$L$374,MATCH(C16,控制台!$B$374:$B$445,0)-1,0))</f>
        <v>12</v>
      </c>
      <c r="H16" s="1">
        <f ca="1">MAX(1,_xlfn.FLOOR.MATH(OFFSET(养成规划!$Y$6,MATCH(C16,养成规划!$B$6:$B$77,0)-1,0)/100))</f>
        <v>1</v>
      </c>
      <c r="I16" s="1">
        <f ca="1">MAX(1,MOD(OFFSET(养成规划!$Y$6,MATCH(C16,养成规划!$B$6:$B$77,0)-1,0),100))</f>
        <v>1</v>
      </c>
      <c r="J16" s="1" t="str">
        <f ca="1">OFFSET(养成规划!$Z$6,MATCH(C16,养成规划!$B$6:$B$77,0)-1,0)</f>
        <v>无</v>
      </c>
      <c r="K16" s="1">
        <f ca="1">OFFSET(养成规划!$AB$6,MATCH(C16,养成规划!$B$6:$B$77,0)-1,0)</f>
        <v>0</v>
      </c>
      <c r="L16" s="1">
        <f ca="1">OFFSET(养成规划!$AC$6,MATCH(C16,养成规划!$B$6:$B$77,0)-1,0)</f>
        <v>0</v>
      </c>
      <c r="M16" s="14">
        <f ca="1">OFFSET(控制台!$R$476,MATCH(C16,控制台!$B$476:$B$547,0)-1,0)</f>
        <v>0</v>
      </c>
      <c r="N16" s="14">
        <f ca="1">OFFSET(控制台!$S$476,MATCH(C16,控制台!$B$476:$B$547,0)-1,0)</f>
        <v>0</v>
      </c>
      <c r="O16" s="14">
        <f ca="1">OFFSET(控制台!$U$5057,MATCH(C16,控制台!$B$5057:$B$5128,0)-1,0)</f>
        <v>0</v>
      </c>
      <c r="P16" s="14">
        <f ca="1">OFFSET(控制台!$V$5057,MATCH(C16,控制台!$B$5057:$B$5128,0)-1,0)</f>
        <v>0</v>
      </c>
      <c r="Q16" s="14">
        <f ca="1">OFFSET(控制台!$T$5057,MATCH(C16,控制台!$B$5057:$B$5128,0)-1,0)</f>
        <v>0</v>
      </c>
      <c r="S16" s="1">
        <f>'206_副本挂机'!B16*100+'206_副本挂机'!C16*4</f>
        <v>224</v>
      </c>
      <c r="T16" s="1">
        <f ca="1">_xlfn.FLOOR.MATH('206_副本挂机'!L16)</f>
        <v>3</v>
      </c>
      <c r="U16" s="1">
        <f ca="1">MIN(OFFSET(控制台!$J$374,MATCH(T16,控制台!$B$374:$B$445,1)-1,0)+1,32)</f>
        <v>13</v>
      </c>
      <c r="W16" s="1">
        <f>控制台!B2375</f>
        <v>11</v>
      </c>
      <c r="X16" s="1">
        <f>_xlfn.FLOOR.MATH(控制台!C2375)</f>
        <v>1</v>
      </c>
      <c r="Z16" s="1">
        <f>控制台!B2455</f>
        <v>11</v>
      </c>
      <c r="AA16" s="1">
        <f>控制台!C2455</f>
        <v>134</v>
      </c>
    </row>
    <row r="17" spans="1:27">
      <c r="A17" s="1">
        <f>'107_兵卡等级'!B17</f>
        <v>12</v>
      </c>
      <c r="B17" s="1">
        <f ca="1">'107_兵卡等级'!L17</f>
        <v>0.36</v>
      </c>
      <c r="C17" s="1">
        <f ca="1">OFFSET(养成规划!$B$6,MATCH(B17,养成规划!$B$6:$B$77,1)-1,0)</f>
        <v>0.3</v>
      </c>
      <c r="D17" s="1">
        <f ca="1">MAX(3,OFFSET(养成规划!$X$6,MATCH(C17,养成规划!$B$6:$B$77,0)-1,0))</f>
        <v>4</v>
      </c>
      <c r="E17" s="1">
        <f ca="1">MAX(1,OFFSET(控制台!$J$374,MATCH(C17,控制台!$B$374:$B$445,0)-1,0))</f>
        <v>3</v>
      </c>
      <c r="F17" s="1">
        <f ca="1">MAX(1,OFFSET(养成规划!$V$6,MATCH(C17,养成规划!$S$6:$S$77,0)-1,0))</f>
        <v>2</v>
      </c>
      <c r="G17" s="1">
        <f ca="1">MAX(9,OFFSET(控制台!$L$374,MATCH(C17,控制台!$B$374:$B$445,0)-1,0))</f>
        <v>15</v>
      </c>
      <c r="H17" s="1">
        <f ca="1">MAX(1,_xlfn.FLOOR.MATH(OFFSET(养成规划!$Y$6,MATCH(C17,养成规划!$B$6:$B$77,0)-1,0)/100))</f>
        <v>1</v>
      </c>
      <c r="I17" s="1">
        <f ca="1">MAX(1,MOD(OFFSET(养成规划!$Y$6,MATCH(C17,养成规划!$B$6:$B$77,0)-1,0),100))</f>
        <v>1</v>
      </c>
      <c r="J17" s="1" t="str">
        <f ca="1">OFFSET(养成规划!$Z$6,MATCH(C17,养成规划!$B$6:$B$77,0)-1,0)</f>
        <v>无</v>
      </c>
      <c r="K17" s="1">
        <f ca="1">OFFSET(养成规划!$AB$6,MATCH(C17,养成规划!$B$6:$B$77,0)-1,0)</f>
        <v>0</v>
      </c>
      <c r="L17" s="1">
        <f ca="1">OFFSET(养成规划!$AC$6,MATCH(C17,养成规划!$B$6:$B$77,0)-1,0)</f>
        <v>0</v>
      </c>
      <c r="M17" s="14">
        <f ca="1">OFFSET(控制台!$R$476,MATCH(C17,控制台!$B$476:$B$547,0)-1,0)</f>
        <v>0</v>
      </c>
      <c r="N17" s="14">
        <f ca="1">OFFSET(控制台!$S$476,MATCH(C17,控制台!$B$476:$B$547,0)-1,0)</f>
        <v>0</v>
      </c>
      <c r="O17" s="14">
        <f ca="1">OFFSET(控制台!$U$5057,MATCH(C17,控制台!$B$5057:$B$5128,0)-1,0)</f>
        <v>0</v>
      </c>
      <c r="P17" s="14">
        <f ca="1">OFFSET(控制台!$V$5057,MATCH(C17,控制台!$B$5057:$B$5128,0)-1,0)</f>
        <v>0</v>
      </c>
      <c r="Q17" s="14">
        <f ca="1">OFFSET(控制台!$T$5057,MATCH(C17,控制台!$B$5057:$B$5128,0)-1,0)</f>
        <v>0</v>
      </c>
      <c r="S17" s="1">
        <f>'206_副本挂机'!B17*100+'206_副本挂机'!C17*4</f>
        <v>228</v>
      </c>
      <c r="T17" s="1">
        <f ca="1">_xlfn.FLOOR.MATH('206_副本挂机'!L17)</f>
        <v>3</v>
      </c>
      <c r="U17" s="1">
        <f ca="1">MIN(OFFSET(控制台!$J$374,MATCH(T17,控制台!$B$374:$B$445,1)-1,0)+1,32)</f>
        <v>13</v>
      </c>
      <c r="W17" s="1">
        <f>控制台!B2376</f>
        <v>12</v>
      </c>
      <c r="X17" s="1">
        <f>_xlfn.FLOOR.MATH(控制台!C2376)</f>
        <v>2</v>
      </c>
      <c r="Z17" s="1">
        <f>控制台!B2456</f>
        <v>12</v>
      </c>
      <c r="AA17" s="1">
        <f>控制台!C2456</f>
        <v>138</v>
      </c>
    </row>
    <row r="18" spans="1:27">
      <c r="A18" s="1">
        <f>'107_兵卡等级'!B18</f>
        <v>13</v>
      </c>
      <c r="B18" s="1">
        <f ca="1">'107_兵卡等级'!L18</f>
        <v>0.44</v>
      </c>
      <c r="C18" s="1">
        <f ca="1">OFFSET(养成规划!$B$6,MATCH(B18,养成规划!$B$6:$B$77,1)-1,0)</f>
        <v>0.4</v>
      </c>
      <c r="D18" s="1">
        <f ca="1">MAX(3,OFFSET(养成规划!$X$6,MATCH(C18,养成规划!$B$6:$B$77,0)-1,0))</f>
        <v>4.1</v>
      </c>
      <c r="E18" s="1">
        <f ca="1">MAX(1,OFFSET(控制台!$J$374,MATCH(C18,控制台!$B$374:$B$445,0)-1,0))</f>
        <v>4</v>
      </c>
      <c r="F18" s="1">
        <f ca="1">MAX(1,OFFSET(养成规划!$V$6,MATCH(C18,养成规划!$S$6:$S$77,0)-1,0))</f>
        <v>3</v>
      </c>
      <c r="G18" s="1">
        <f ca="1">MAX(9,OFFSET(控制台!$L$374,MATCH(C18,控制台!$B$374:$B$445,0)-1,0))</f>
        <v>18</v>
      </c>
      <c r="H18" s="1">
        <f ca="1">MAX(1,_xlfn.FLOOR.MATH(OFFSET(养成规划!$Y$6,MATCH(C18,养成规划!$B$6:$B$77,0)-1,0)/100))</f>
        <v>1</v>
      </c>
      <c r="I18" s="1">
        <f ca="1">MAX(1,MOD(OFFSET(养成规划!$Y$6,MATCH(C18,养成规划!$B$6:$B$77,0)-1,0),100))</f>
        <v>1</v>
      </c>
      <c r="J18" s="1" t="str">
        <f ca="1">OFFSET(养成规划!$Z$6,MATCH(C18,养成规划!$B$6:$B$77,0)-1,0)</f>
        <v>无</v>
      </c>
      <c r="K18" s="1">
        <f ca="1">OFFSET(养成规划!$AB$6,MATCH(C18,养成规划!$B$6:$B$77,0)-1,0)</f>
        <v>0</v>
      </c>
      <c r="L18" s="1">
        <f ca="1">OFFSET(养成规划!$AC$6,MATCH(C18,养成规划!$B$6:$B$77,0)-1,0)</f>
        <v>0</v>
      </c>
      <c r="M18" s="14">
        <f ca="1">OFFSET(控制台!$R$476,MATCH(C18,控制台!$B$476:$B$547,0)-1,0)</f>
        <v>0</v>
      </c>
      <c r="N18" s="14">
        <f ca="1">OFFSET(控制台!$S$476,MATCH(C18,控制台!$B$476:$B$547,0)-1,0)</f>
        <v>0</v>
      </c>
      <c r="O18" s="14">
        <f ca="1">OFFSET(控制台!$U$5057,MATCH(C18,控制台!$B$5057:$B$5128,0)-1,0)</f>
        <v>0</v>
      </c>
      <c r="P18" s="14">
        <f ca="1">OFFSET(控制台!$V$5057,MATCH(C18,控制台!$B$5057:$B$5128,0)-1,0)</f>
        <v>0</v>
      </c>
      <c r="Q18" s="14">
        <f ca="1">OFFSET(控制台!$T$5057,MATCH(C18,控制台!$B$5057:$B$5128,0)-1,0)</f>
        <v>0</v>
      </c>
      <c r="S18" s="1">
        <f>'206_副本挂机'!B18*100+'206_副本挂机'!C18*4</f>
        <v>232</v>
      </c>
      <c r="T18" s="1">
        <f ca="1">_xlfn.FLOOR.MATH('206_副本挂机'!L18)</f>
        <v>4</v>
      </c>
      <c r="U18" s="1">
        <f ca="1">MIN(OFFSET(控制台!$J$374,MATCH(T18,控制台!$B$374:$B$445,1)-1,0)+1,32)</f>
        <v>14</v>
      </c>
      <c r="W18" s="1">
        <f>控制台!B2377</f>
        <v>13</v>
      </c>
      <c r="X18" s="1">
        <f>_xlfn.FLOOR.MATH(控制台!C2377)</f>
        <v>3</v>
      </c>
      <c r="Z18" s="1">
        <f>控制台!B2457</f>
        <v>13</v>
      </c>
      <c r="AA18" s="1">
        <f>控制台!C2457</f>
        <v>144</v>
      </c>
    </row>
    <row r="19" spans="1:24">
      <c r="A19" s="1">
        <f>'107_兵卡等级'!B19</f>
        <v>14</v>
      </c>
      <c r="B19" s="1">
        <f ca="1">'107_兵卡等级'!L19</f>
        <v>0.52</v>
      </c>
      <c r="C19" s="1">
        <f ca="1">OFFSET(养成规划!$B$6,MATCH(B19,养成规划!$B$6:$B$77,1)-1,0)</f>
        <v>0.5</v>
      </c>
      <c r="D19" s="1">
        <f ca="1">MAX(3,OFFSET(养成规划!$X$6,MATCH(C19,养成规划!$B$6:$B$77,0)-1,0))</f>
        <v>4.1</v>
      </c>
      <c r="E19" s="1">
        <f ca="1">MAX(1,OFFSET(控制台!$J$374,MATCH(C19,控制台!$B$374:$B$445,0)-1,0))</f>
        <v>5</v>
      </c>
      <c r="F19" s="1">
        <f ca="1">MAX(1,OFFSET(养成规划!$V$6,MATCH(C19,养成规划!$S$6:$S$77,0)-1,0))</f>
        <v>3</v>
      </c>
      <c r="G19" s="1">
        <f ca="1">MAX(9,OFFSET(控制台!$L$374,MATCH(C19,控制台!$B$374:$B$445,0)-1,0))</f>
        <v>21</v>
      </c>
      <c r="H19" s="1">
        <f ca="1">MAX(1,_xlfn.FLOOR.MATH(OFFSET(养成规划!$Y$6,MATCH(C19,养成规划!$B$6:$B$77,0)-1,0)/100))</f>
        <v>1</v>
      </c>
      <c r="I19" s="1">
        <f ca="1">MAX(1,MOD(OFFSET(养成规划!$Y$6,MATCH(C19,养成规划!$B$6:$B$77,0)-1,0),100))</f>
        <v>1</v>
      </c>
      <c r="J19" s="1" t="str">
        <f ca="1">OFFSET(养成规划!$Z$6,MATCH(C19,养成规划!$B$6:$B$77,0)-1,0)</f>
        <v>无</v>
      </c>
      <c r="K19" s="1">
        <f ca="1">OFFSET(养成规划!$AB$6,MATCH(C19,养成规划!$B$6:$B$77,0)-1,0)</f>
        <v>0</v>
      </c>
      <c r="L19" s="1">
        <f ca="1">OFFSET(养成规划!$AC$6,MATCH(C19,养成规划!$B$6:$B$77,0)-1,0)</f>
        <v>0</v>
      </c>
      <c r="M19" s="14">
        <f ca="1">OFFSET(控制台!$R$476,MATCH(C19,控制台!$B$476:$B$547,0)-1,0)</f>
        <v>0</v>
      </c>
      <c r="N19" s="14">
        <f ca="1">OFFSET(控制台!$S$476,MATCH(C19,控制台!$B$476:$B$547,0)-1,0)</f>
        <v>0</v>
      </c>
      <c r="O19" s="14">
        <f ca="1">OFFSET(控制台!$U$5057,MATCH(C19,控制台!$B$5057:$B$5128,0)-1,0)</f>
        <v>0</v>
      </c>
      <c r="P19" s="14">
        <f ca="1">OFFSET(控制台!$V$5057,MATCH(C19,控制台!$B$5057:$B$5128,0)-1,0)</f>
        <v>0</v>
      </c>
      <c r="Q19" s="14">
        <f ca="1">OFFSET(控制台!$T$5057,MATCH(C19,控制台!$B$5057:$B$5128,0)-1,0)</f>
        <v>0</v>
      </c>
      <c r="S19" s="1">
        <f>'206_副本挂机'!B19*100+'206_副本挂机'!C19*4</f>
        <v>236</v>
      </c>
      <c r="T19" s="1">
        <f ca="1">_xlfn.FLOOR.MATH('206_副本挂机'!L19)</f>
        <v>4</v>
      </c>
      <c r="U19" s="1">
        <f ca="1">MIN(OFFSET(控制台!$J$374,MATCH(T19,控制台!$B$374:$B$445,1)-1,0)+1,32)</f>
        <v>14</v>
      </c>
      <c r="W19" s="1">
        <f>控制台!B2378</f>
        <v>14</v>
      </c>
      <c r="X19" s="1">
        <f>_xlfn.FLOOR.MATH(控制台!C2378)</f>
        <v>4</v>
      </c>
    </row>
    <row r="20" spans="1:24">
      <c r="A20" s="1">
        <f>'107_兵卡等级'!B20</f>
        <v>15</v>
      </c>
      <c r="B20" s="1">
        <f ca="1">'107_兵卡等级'!L20</f>
        <v>0.6</v>
      </c>
      <c r="C20" s="1">
        <f ca="1">OFFSET(养成规划!$B$6,MATCH(B20,养成规划!$B$6:$B$77,1)-1,0)</f>
        <v>0.6</v>
      </c>
      <c r="D20" s="1">
        <f ca="1">MAX(3,OFFSET(养成规划!$X$6,MATCH(C20,养成规划!$B$6:$B$77,0)-1,0))</f>
        <v>4.1</v>
      </c>
      <c r="E20" s="1">
        <f ca="1">MAX(1,OFFSET(控制台!$J$374,MATCH(C20,控制台!$B$374:$B$445,0)-1,0))</f>
        <v>6</v>
      </c>
      <c r="F20" s="1">
        <f ca="1">MAX(1,OFFSET(养成规划!$V$6,MATCH(C20,养成规划!$S$6:$S$77,0)-1,0))</f>
        <v>3</v>
      </c>
      <c r="G20" s="1">
        <f ca="1">MAX(9,OFFSET(控制台!$L$374,MATCH(C20,控制台!$B$374:$B$445,0)-1,0))</f>
        <v>24</v>
      </c>
      <c r="H20" s="1">
        <f ca="1">MAX(1,_xlfn.FLOOR.MATH(OFFSET(养成规划!$Y$6,MATCH(C20,养成规划!$B$6:$B$77,0)-1,0)/100))</f>
        <v>1</v>
      </c>
      <c r="I20" s="1">
        <f ca="1">MAX(1,MOD(OFFSET(养成规划!$Y$6,MATCH(C20,养成规划!$B$6:$B$77,0)-1,0),100))</f>
        <v>1</v>
      </c>
      <c r="J20" s="1" t="str">
        <f ca="1">OFFSET(养成规划!$Z$6,MATCH(C20,养成规划!$B$6:$B$77,0)-1,0)</f>
        <v>无</v>
      </c>
      <c r="K20" s="1">
        <f ca="1">OFFSET(养成规划!$AB$6,MATCH(C20,养成规划!$B$6:$B$77,0)-1,0)</f>
        <v>0</v>
      </c>
      <c r="L20" s="1">
        <f ca="1">OFFSET(养成规划!$AC$6,MATCH(C20,养成规划!$B$6:$B$77,0)-1,0)</f>
        <v>0</v>
      </c>
      <c r="M20" s="14">
        <f ca="1">OFFSET(控制台!$R$476,MATCH(C20,控制台!$B$476:$B$547,0)-1,0)</f>
        <v>0</v>
      </c>
      <c r="N20" s="14">
        <f ca="1">OFFSET(控制台!$S$476,MATCH(C20,控制台!$B$476:$B$547,0)-1,0)</f>
        <v>0</v>
      </c>
      <c r="O20" s="14">
        <f ca="1">OFFSET(控制台!$U$5057,MATCH(C20,控制台!$B$5057:$B$5128,0)-1,0)</f>
        <v>0</v>
      </c>
      <c r="P20" s="14">
        <f ca="1">OFFSET(控制台!$V$5057,MATCH(C20,控制台!$B$5057:$B$5128,0)-1,0)</f>
        <v>0</v>
      </c>
      <c r="Q20" s="14">
        <f ca="1">OFFSET(控制台!$T$5057,MATCH(C20,控制台!$B$5057:$B$5128,0)-1,0)</f>
        <v>0</v>
      </c>
      <c r="S20" s="1">
        <f>'206_副本挂机'!B20*100+'206_副本挂机'!C20*4</f>
        <v>240</v>
      </c>
      <c r="T20" s="1">
        <f ca="1">_xlfn.FLOOR.MATH('206_副本挂机'!L20)</f>
        <v>5</v>
      </c>
      <c r="U20" s="1">
        <f ca="1">MIN(OFFSET(控制台!$J$374,MATCH(T20,控制台!$B$374:$B$445,1)-1,0)+1,32)</f>
        <v>15</v>
      </c>
      <c r="W20" s="1">
        <f>控制台!B2379</f>
        <v>15</v>
      </c>
      <c r="X20" s="1">
        <f>_xlfn.FLOOR.MATH(控制台!C2379)</f>
        <v>5</v>
      </c>
    </row>
    <row r="21" spans="1:24">
      <c r="A21" s="1">
        <f>'107_兵卡等级'!B21</f>
        <v>16</v>
      </c>
      <c r="B21" s="1">
        <f ca="1">'107_兵卡等级'!L21</f>
        <v>0.68</v>
      </c>
      <c r="C21" s="1">
        <f ca="1">OFFSET(养成规划!$B$6,MATCH(B21,养成规划!$B$6:$B$77,1)-1,0)</f>
        <v>0.6</v>
      </c>
      <c r="D21" s="1">
        <f ca="1">MAX(3,OFFSET(养成规划!$X$6,MATCH(C21,养成规划!$B$6:$B$77,0)-1,0))</f>
        <v>4.1</v>
      </c>
      <c r="E21" s="1">
        <f ca="1">MAX(1,OFFSET(控制台!$J$374,MATCH(C21,控制台!$B$374:$B$445,0)-1,0))</f>
        <v>6</v>
      </c>
      <c r="F21" s="1">
        <f ca="1">MAX(1,OFFSET(养成规划!$V$6,MATCH(C21,养成规划!$S$6:$S$77,0)-1,0))</f>
        <v>3</v>
      </c>
      <c r="G21" s="1">
        <f ca="1">MAX(9,OFFSET(控制台!$L$374,MATCH(C21,控制台!$B$374:$B$445,0)-1,0))</f>
        <v>24</v>
      </c>
      <c r="H21" s="1">
        <f ca="1">MAX(1,_xlfn.FLOOR.MATH(OFFSET(养成规划!$Y$6,MATCH(C21,养成规划!$B$6:$B$77,0)-1,0)/100))</f>
        <v>1</v>
      </c>
      <c r="I21" s="1">
        <f ca="1">MAX(1,MOD(OFFSET(养成规划!$Y$6,MATCH(C21,养成规划!$B$6:$B$77,0)-1,0),100))</f>
        <v>1</v>
      </c>
      <c r="J21" s="1" t="str">
        <f ca="1">OFFSET(养成规划!$Z$6,MATCH(C21,养成规划!$B$6:$B$77,0)-1,0)</f>
        <v>无</v>
      </c>
      <c r="K21" s="1">
        <f ca="1">OFFSET(养成规划!$AB$6,MATCH(C21,养成规划!$B$6:$B$77,0)-1,0)</f>
        <v>0</v>
      </c>
      <c r="L21" s="1">
        <f ca="1">OFFSET(养成规划!$AC$6,MATCH(C21,养成规划!$B$6:$B$77,0)-1,0)</f>
        <v>0</v>
      </c>
      <c r="M21" s="14">
        <f ca="1">OFFSET(控制台!$R$476,MATCH(C21,控制台!$B$476:$B$547,0)-1,0)</f>
        <v>0</v>
      </c>
      <c r="N21" s="14">
        <f ca="1">OFFSET(控制台!$S$476,MATCH(C21,控制台!$B$476:$B$547,0)-1,0)</f>
        <v>0</v>
      </c>
      <c r="O21" s="14">
        <f ca="1">OFFSET(控制台!$U$5057,MATCH(C21,控制台!$B$5057:$B$5128,0)-1,0)</f>
        <v>0</v>
      </c>
      <c r="P21" s="14">
        <f ca="1">OFFSET(控制台!$V$5057,MATCH(C21,控制台!$B$5057:$B$5128,0)-1,0)</f>
        <v>0</v>
      </c>
      <c r="Q21" s="14">
        <f ca="1">OFFSET(控制台!$T$5057,MATCH(C21,控制台!$B$5057:$B$5128,0)-1,0)</f>
        <v>0</v>
      </c>
      <c r="S21" s="1">
        <f>'206_副本挂机'!B21*100+'206_副本挂机'!C21*4</f>
        <v>304</v>
      </c>
      <c r="T21" s="1">
        <f ca="1">_xlfn.FLOOR.MATH('206_副本挂机'!L21)</f>
        <v>5</v>
      </c>
      <c r="U21" s="1">
        <f ca="1">MIN(OFFSET(控制台!$J$374,MATCH(T21,控制台!$B$374:$B$445,1)-1,0)+1,32)</f>
        <v>15</v>
      </c>
      <c r="W21" s="1">
        <f>控制台!B2380</f>
        <v>16</v>
      </c>
      <c r="X21" s="1">
        <f>_xlfn.FLOOR.MATH(控制台!C2380)</f>
        <v>6</v>
      </c>
    </row>
    <row r="22" spans="1:24">
      <c r="A22" s="1">
        <f>'107_兵卡等级'!B22</f>
        <v>17</v>
      </c>
      <c r="B22" s="1">
        <f ca="1">'107_兵卡等级'!L22</f>
        <v>0.76</v>
      </c>
      <c r="C22" s="1">
        <f ca="1">OFFSET(养成规划!$B$6,MATCH(B22,养成规划!$B$6:$B$77,1)-1,0)</f>
        <v>0.7</v>
      </c>
      <c r="D22" s="1">
        <f ca="1">MAX(3,OFFSET(养成规划!$X$6,MATCH(C22,养成规划!$B$6:$B$77,0)-1,0))</f>
        <v>4.1</v>
      </c>
      <c r="E22" s="1">
        <f ca="1">MAX(1,OFFSET(控制台!$J$374,MATCH(C22,控制台!$B$374:$B$445,0)-1,0))</f>
        <v>6</v>
      </c>
      <c r="F22" s="1">
        <f ca="1">MAX(1,OFFSET(养成规划!$V$6,MATCH(C22,养成规划!$S$6:$S$77,0)-1,0))</f>
        <v>3</v>
      </c>
      <c r="G22" s="1">
        <f ca="1">MAX(9,OFFSET(控制台!$L$374,MATCH(C22,控制台!$B$374:$B$445,0)-1,0))</f>
        <v>24</v>
      </c>
      <c r="H22" s="1">
        <f ca="1">MAX(1,_xlfn.FLOOR.MATH(OFFSET(养成规划!$Y$6,MATCH(C22,养成规划!$B$6:$B$77,0)-1,0)/100))</f>
        <v>1</v>
      </c>
      <c r="I22" s="1">
        <f ca="1">MAX(1,MOD(OFFSET(养成规划!$Y$6,MATCH(C22,养成规划!$B$6:$B$77,0)-1,0),100))</f>
        <v>1</v>
      </c>
      <c r="J22" s="1" t="str">
        <f ca="1">OFFSET(养成规划!$Z$6,MATCH(C22,养成规划!$B$6:$B$77,0)-1,0)</f>
        <v>无</v>
      </c>
      <c r="K22" s="1">
        <f ca="1">OFFSET(养成规划!$AB$6,MATCH(C22,养成规划!$B$6:$B$77,0)-1,0)</f>
        <v>0</v>
      </c>
      <c r="L22" s="1">
        <f ca="1">OFFSET(养成规划!$AC$6,MATCH(C22,养成规划!$B$6:$B$77,0)-1,0)</f>
        <v>0</v>
      </c>
      <c r="M22" s="14">
        <f ca="1">OFFSET(控制台!$R$476,MATCH(C22,控制台!$B$476:$B$547,0)-1,0)</f>
        <v>0</v>
      </c>
      <c r="N22" s="14">
        <f ca="1">OFFSET(控制台!$S$476,MATCH(C22,控制台!$B$476:$B$547,0)-1,0)</f>
        <v>0</v>
      </c>
      <c r="O22" s="14">
        <f ca="1">OFFSET(控制台!$U$5057,MATCH(C22,控制台!$B$5057:$B$5128,0)-1,0)</f>
        <v>0</v>
      </c>
      <c r="P22" s="14">
        <f ca="1">OFFSET(控制台!$V$5057,MATCH(C22,控制台!$B$5057:$B$5128,0)-1,0)</f>
        <v>0</v>
      </c>
      <c r="Q22" s="14">
        <f ca="1">OFFSET(控制台!$T$5057,MATCH(C22,控制台!$B$5057:$B$5128,0)-1,0)</f>
        <v>0</v>
      </c>
      <c r="S22" s="1">
        <f>'206_副本挂机'!B22*100+'206_副本挂机'!C22*4</f>
        <v>308</v>
      </c>
      <c r="T22" s="1">
        <f ca="1">_xlfn.FLOOR.MATH('206_副本挂机'!L22)</f>
        <v>6</v>
      </c>
      <c r="U22" s="1">
        <f ca="1">MIN(OFFSET(控制台!$J$374,MATCH(T22,控制台!$B$374:$B$445,1)-1,0)+1,32)</f>
        <v>15</v>
      </c>
      <c r="W22" s="1">
        <f>控制台!B2381</f>
        <v>17</v>
      </c>
      <c r="X22" s="1">
        <f>_xlfn.FLOOR.MATH(控制台!C2381)</f>
        <v>7</v>
      </c>
    </row>
    <row r="23" spans="1:24">
      <c r="A23" s="1">
        <f>'107_兵卡等级'!B23</f>
        <v>18</v>
      </c>
      <c r="B23" s="1">
        <f ca="1">'107_兵卡等级'!L23</f>
        <v>0.84</v>
      </c>
      <c r="C23" s="1">
        <f ca="1">OFFSET(养成规划!$B$6,MATCH(B23,养成规划!$B$6:$B$77,1)-1,0)</f>
        <v>0.8</v>
      </c>
      <c r="D23" s="1">
        <f ca="1">MAX(3,OFFSET(养成规划!$X$6,MATCH(C23,养成规划!$B$6:$B$77,0)-1,0))</f>
        <v>4.1</v>
      </c>
      <c r="E23" s="1">
        <f ca="1">MAX(1,OFFSET(控制台!$J$374,MATCH(C23,控制台!$B$374:$B$445,0)-1,0))</f>
        <v>7</v>
      </c>
      <c r="F23" s="1">
        <f ca="1">MAX(1,OFFSET(养成规划!$V$6,MATCH(C23,养成规划!$S$6:$S$77,0)-1,0))</f>
        <v>3</v>
      </c>
      <c r="G23" s="1">
        <f ca="1">MAX(9,OFFSET(控制台!$L$374,MATCH(C23,控制台!$B$374:$B$445,0)-1,0))</f>
        <v>27</v>
      </c>
      <c r="H23" s="1">
        <f ca="1">MAX(1,_xlfn.FLOOR.MATH(OFFSET(养成规划!$Y$6,MATCH(C23,养成规划!$B$6:$B$77,0)-1,0)/100))</f>
        <v>1</v>
      </c>
      <c r="I23" s="1">
        <f ca="1">MAX(1,MOD(OFFSET(养成规划!$Y$6,MATCH(C23,养成规划!$B$6:$B$77,0)-1,0),100))</f>
        <v>1</v>
      </c>
      <c r="J23" s="1" t="str">
        <f ca="1">OFFSET(养成规划!$Z$6,MATCH(C23,养成规划!$B$6:$B$77,0)-1,0)</f>
        <v>无</v>
      </c>
      <c r="K23" s="1">
        <f ca="1">OFFSET(养成规划!$AB$6,MATCH(C23,养成规划!$B$6:$B$77,0)-1,0)</f>
        <v>0</v>
      </c>
      <c r="L23" s="1">
        <f ca="1">OFFSET(养成规划!$AC$6,MATCH(C23,养成规划!$B$6:$B$77,0)-1,0)</f>
        <v>0</v>
      </c>
      <c r="M23" s="14">
        <f ca="1">OFFSET(控制台!$R$476,MATCH(C23,控制台!$B$476:$B$547,0)-1,0)</f>
        <v>0</v>
      </c>
      <c r="N23" s="14">
        <f ca="1">OFFSET(控制台!$S$476,MATCH(C23,控制台!$B$476:$B$547,0)-1,0)</f>
        <v>0</v>
      </c>
      <c r="O23" s="14">
        <f ca="1">OFFSET(控制台!$U$5057,MATCH(C23,控制台!$B$5057:$B$5128,0)-1,0)</f>
        <v>0</v>
      </c>
      <c r="P23" s="14">
        <f ca="1">OFFSET(控制台!$V$5057,MATCH(C23,控制台!$B$5057:$B$5128,0)-1,0)</f>
        <v>0</v>
      </c>
      <c r="Q23" s="14">
        <f ca="1">OFFSET(控制台!$T$5057,MATCH(C23,控制台!$B$5057:$B$5128,0)-1,0)</f>
        <v>0</v>
      </c>
      <c r="S23" s="1">
        <f>'206_副本挂机'!B23*100+'206_副本挂机'!C23*4</f>
        <v>312</v>
      </c>
      <c r="T23" s="1">
        <f ca="1">_xlfn.FLOOR.MATH('206_副本挂机'!L23)</f>
        <v>7</v>
      </c>
      <c r="U23" s="1">
        <f ca="1">MIN(OFFSET(控制台!$J$374,MATCH(T23,控制台!$B$374:$B$445,1)-1,0)+1,32)</f>
        <v>16</v>
      </c>
      <c r="W23" s="1">
        <f>控制台!B2382</f>
        <v>18</v>
      </c>
      <c r="X23" s="1">
        <f>_xlfn.FLOOR.MATH(控制台!C2382)</f>
        <v>8</v>
      </c>
    </row>
    <row r="24" spans="1:24">
      <c r="A24" s="1">
        <f>'107_兵卡等级'!B24</f>
        <v>19</v>
      </c>
      <c r="B24" s="1">
        <f ca="1">'107_兵卡等级'!L24</f>
        <v>0.92</v>
      </c>
      <c r="C24" s="1">
        <f ca="1">OFFSET(养成规划!$B$6,MATCH(B24,养成规划!$B$6:$B$77,1)-1,0)</f>
        <v>0.9</v>
      </c>
      <c r="D24" s="1">
        <f ca="1">MAX(3,OFFSET(养成规划!$X$6,MATCH(C24,养成规划!$B$6:$B$77,0)-1,0))</f>
        <v>4.1</v>
      </c>
      <c r="E24" s="1">
        <f ca="1">MAX(1,OFFSET(控制台!$J$374,MATCH(C24,控制台!$B$374:$B$445,0)-1,0))</f>
        <v>7</v>
      </c>
      <c r="F24" s="1">
        <f ca="1">MAX(1,OFFSET(养成规划!$V$6,MATCH(C24,养成规划!$S$6:$S$77,0)-1,0))</f>
        <v>3</v>
      </c>
      <c r="G24" s="1">
        <f ca="1">MAX(9,OFFSET(控制台!$L$374,MATCH(C24,控制台!$B$374:$B$445,0)-1,0))</f>
        <v>27</v>
      </c>
      <c r="H24" s="1">
        <f ca="1">MAX(1,_xlfn.FLOOR.MATH(OFFSET(养成规划!$Y$6,MATCH(C24,养成规划!$B$6:$B$77,0)-1,0)/100))</f>
        <v>1</v>
      </c>
      <c r="I24" s="1">
        <f ca="1">MAX(1,MOD(OFFSET(养成规划!$Y$6,MATCH(C24,养成规划!$B$6:$B$77,0)-1,0),100))</f>
        <v>1</v>
      </c>
      <c r="J24" s="1" t="str">
        <f ca="1">OFFSET(养成规划!$Z$6,MATCH(C24,养成规划!$B$6:$B$77,0)-1,0)</f>
        <v>无</v>
      </c>
      <c r="K24" s="1">
        <f ca="1">OFFSET(养成规划!$AB$6,MATCH(C24,养成规划!$B$6:$B$77,0)-1,0)</f>
        <v>0</v>
      </c>
      <c r="L24" s="1">
        <f ca="1">OFFSET(养成规划!$AC$6,MATCH(C24,养成规划!$B$6:$B$77,0)-1,0)</f>
        <v>0</v>
      </c>
      <c r="M24" s="14">
        <f ca="1">OFFSET(控制台!$R$476,MATCH(C24,控制台!$B$476:$B$547,0)-1,0)</f>
        <v>0</v>
      </c>
      <c r="N24" s="14">
        <f ca="1">OFFSET(控制台!$S$476,MATCH(C24,控制台!$B$476:$B$547,0)-1,0)</f>
        <v>0</v>
      </c>
      <c r="O24" s="14">
        <f ca="1">OFFSET(控制台!$U$5057,MATCH(C24,控制台!$B$5057:$B$5128,0)-1,0)</f>
        <v>0</v>
      </c>
      <c r="P24" s="14">
        <f ca="1">OFFSET(控制台!$V$5057,MATCH(C24,控制台!$B$5057:$B$5128,0)-1,0)</f>
        <v>0</v>
      </c>
      <c r="Q24" s="14">
        <f ca="1">OFFSET(控制台!$T$5057,MATCH(C24,控制台!$B$5057:$B$5128,0)-1,0)</f>
        <v>0</v>
      </c>
      <c r="S24" s="1">
        <f>'206_副本挂机'!B24*100+'206_副本挂机'!C24*4</f>
        <v>316</v>
      </c>
      <c r="T24" s="1">
        <f ca="1">_xlfn.FLOOR.MATH('206_副本挂机'!L24)</f>
        <v>8</v>
      </c>
      <c r="U24" s="1">
        <f ca="1">MIN(OFFSET(控制台!$J$374,MATCH(T24,控制台!$B$374:$B$445,1)-1,0)+1,32)</f>
        <v>16</v>
      </c>
      <c r="W24" s="1">
        <f>控制台!B2383</f>
        <v>19</v>
      </c>
      <c r="X24" s="1">
        <f>_xlfn.FLOOR.MATH(控制台!C2383)</f>
        <v>9</v>
      </c>
    </row>
    <row r="25" spans="1:24">
      <c r="A25" s="1">
        <f>'107_兵卡等级'!B25</f>
        <v>20</v>
      </c>
      <c r="B25" s="1">
        <f ca="1">'107_兵卡等级'!L25</f>
        <v>1</v>
      </c>
      <c r="C25" s="1">
        <f ca="1">OFFSET(养成规划!$B$6,MATCH(B25,养成规划!$B$6:$B$77,1)-1,0)</f>
        <v>1</v>
      </c>
      <c r="D25" s="1">
        <f ca="1">MAX(3,OFFSET(养成规划!$X$6,MATCH(C25,养成规划!$B$6:$B$77,0)-1,0))</f>
        <v>5</v>
      </c>
      <c r="E25" s="1">
        <f ca="1">MAX(1,OFFSET(控制台!$J$374,MATCH(C25,控制台!$B$374:$B$445,0)-1,0))</f>
        <v>8</v>
      </c>
      <c r="F25" s="1">
        <f ca="1">MAX(1,OFFSET(养成规划!$V$6,MATCH(C25,养成规划!$S$6:$S$77,0)-1,0))</f>
        <v>4</v>
      </c>
      <c r="G25" s="1">
        <f ca="1">MAX(9,OFFSET(控制台!$L$374,MATCH(C25,控制台!$B$374:$B$445,0)-1,0))</f>
        <v>30</v>
      </c>
      <c r="H25" s="1">
        <f ca="1">MAX(1,_xlfn.FLOOR.MATH(OFFSET(养成规划!$Y$6,MATCH(C25,养成规划!$B$6:$B$77,0)-1,0)/100))</f>
        <v>1</v>
      </c>
      <c r="I25" s="1">
        <f ca="1">MAX(1,MOD(OFFSET(养成规划!$Y$6,MATCH(C25,养成规划!$B$6:$B$77,0)-1,0),100))</f>
        <v>2</v>
      </c>
      <c r="J25" s="1" t="str">
        <f ca="1">OFFSET(养成规划!$Z$6,MATCH(C25,养成规划!$B$6:$B$77,0)-1,0)</f>
        <v>无</v>
      </c>
      <c r="K25" s="1">
        <f ca="1">OFFSET(养成规划!$AB$6,MATCH(C25,养成规划!$B$6:$B$77,0)-1,0)</f>
        <v>10</v>
      </c>
      <c r="L25" s="1">
        <f ca="1">OFFSET(养成规划!$AC$6,MATCH(C25,养成规划!$B$6:$B$77,0)-1,0)</f>
        <v>1</v>
      </c>
      <c r="M25" s="14">
        <f ca="1">OFFSET(控制台!$R$476,MATCH(C25,控制台!$B$476:$B$547,0)-1,0)</f>
        <v>0.05</v>
      </c>
      <c r="N25" s="14">
        <f ca="1">OFFSET(控制台!$S$476,MATCH(C25,控制台!$B$476:$B$547,0)-1,0)</f>
        <v>0.05</v>
      </c>
      <c r="O25" s="14">
        <f ca="1">OFFSET(控制台!$U$5057,MATCH(C25,控制台!$B$5057:$B$5128,0)-1,0)</f>
        <v>0</v>
      </c>
      <c r="P25" s="14">
        <f ca="1">OFFSET(控制台!$V$5057,MATCH(C25,控制台!$B$5057:$B$5128,0)-1,0)</f>
        <v>0</v>
      </c>
      <c r="Q25" s="14">
        <f ca="1">OFFSET(控制台!$T$5057,MATCH(C25,控制台!$B$5057:$B$5128,0)-1,0)</f>
        <v>0</v>
      </c>
      <c r="S25" s="1">
        <f>'206_副本挂机'!B25*100+'206_副本挂机'!C25*4</f>
        <v>320</v>
      </c>
      <c r="T25" s="1">
        <f ca="1">_xlfn.FLOOR.MATH('206_副本挂机'!L25)</f>
        <v>9</v>
      </c>
      <c r="U25" s="1">
        <f ca="1">MIN(OFFSET(控制台!$J$374,MATCH(T25,控制台!$B$374:$B$445,1)-1,0)+1,32)</f>
        <v>17</v>
      </c>
      <c r="W25" s="1">
        <f>控制台!B2384</f>
        <v>20</v>
      </c>
      <c r="X25" s="1">
        <f>_xlfn.FLOOR.MATH(控制台!C2384)</f>
        <v>10</v>
      </c>
    </row>
    <row r="26" spans="1:24">
      <c r="A26" s="1">
        <f>'107_兵卡等级'!B26</f>
        <v>21</v>
      </c>
      <c r="B26" s="1">
        <f ca="1">'107_兵卡等级'!L26</f>
        <v>1.1</v>
      </c>
      <c r="C26" s="1">
        <f ca="1">OFFSET(养成规划!$B$6,MATCH(B26,养成规划!$B$6:$B$77,1)-1,0)</f>
        <v>1</v>
      </c>
      <c r="D26" s="1">
        <f ca="1">MAX(3,OFFSET(养成规划!$X$6,MATCH(C26,养成规划!$B$6:$B$77,0)-1,0))</f>
        <v>5</v>
      </c>
      <c r="E26" s="1">
        <f ca="1">MAX(1,OFFSET(控制台!$J$374,MATCH(C26,控制台!$B$374:$B$445,0)-1,0))</f>
        <v>8</v>
      </c>
      <c r="F26" s="1">
        <f ca="1">MAX(1,OFFSET(养成规划!$V$6,MATCH(C26,养成规划!$S$6:$S$77,0)-1,0))</f>
        <v>4</v>
      </c>
      <c r="G26" s="1">
        <f ca="1">MAX(9,OFFSET(控制台!$L$374,MATCH(C26,控制台!$B$374:$B$445,0)-1,0))</f>
        <v>30</v>
      </c>
      <c r="H26" s="1">
        <f ca="1">MAX(1,_xlfn.FLOOR.MATH(OFFSET(养成规划!$Y$6,MATCH(C26,养成规划!$B$6:$B$77,0)-1,0)/100))</f>
        <v>1</v>
      </c>
      <c r="I26" s="1">
        <f ca="1">MAX(1,MOD(OFFSET(养成规划!$Y$6,MATCH(C26,养成规划!$B$6:$B$77,0)-1,0),100))</f>
        <v>2</v>
      </c>
      <c r="J26" s="1" t="str">
        <f ca="1">OFFSET(养成规划!$Z$6,MATCH(C26,养成规划!$B$6:$B$77,0)-1,0)</f>
        <v>无</v>
      </c>
      <c r="K26" s="1">
        <f ca="1">OFFSET(养成规划!$AB$6,MATCH(C26,养成规划!$B$6:$B$77,0)-1,0)</f>
        <v>10</v>
      </c>
      <c r="L26" s="1">
        <f ca="1">OFFSET(养成规划!$AC$6,MATCH(C26,养成规划!$B$6:$B$77,0)-1,0)</f>
        <v>1</v>
      </c>
      <c r="M26" s="14">
        <f ca="1">OFFSET(控制台!$R$476,MATCH(C26,控制台!$B$476:$B$547,0)-1,0)</f>
        <v>0.05</v>
      </c>
      <c r="N26" s="14">
        <f ca="1">OFFSET(控制台!$S$476,MATCH(C26,控制台!$B$476:$B$547,0)-1,0)</f>
        <v>0.05</v>
      </c>
      <c r="O26" s="14">
        <f ca="1">OFFSET(控制台!$U$5057,MATCH(C26,控制台!$B$5057:$B$5128,0)-1,0)</f>
        <v>0</v>
      </c>
      <c r="P26" s="14">
        <f ca="1">OFFSET(控制台!$V$5057,MATCH(C26,控制台!$B$5057:$B$5128,0)-1,0)</f>
        <v>0</v>
      </c>
      <c r="Q26" s="14">
        <f ca="1">OFFSET(控制台!$T$5057,MATCH(C26,控制台!$B$5057:$B$5128,0)-1,0)</f>
        <v>0</v>
      </c>
      <c r="S26" s="1">
        <f>'206_副本挂机'!B26*100+'206_副本挂机'!C26*4</f>
        <v>324</v>
      </c>
      <c r="T26" s="1">
        <f ca="1">_xlfn.FLOOR.MATH('206_副本挂机'!L26)</f>
        <v>9</v>
      </c>
      <c r="U26" s="1">
        <f ca="1">MIN(OFFSET(控制台!$J$374,MATCH(T26,控制台!$B$374:$B$445,1)-1,0)+1,32)</f>
        <v>17</v>
      </c>
      <c r="W26" s="1">
        <f>控制台!B2385</f>
        <v>21</v>
      </c>
      <c r="X26" s="1">
        <f>_xlfn.FLOOR.MATH(控制台!C2385)</f>
        <v>13</v>
      </c>
    </row>
    <row r="27" spans="1:24">
      <c r="A27" s="1">
        <f>'107_兵卡等级'!B27</f>
        <v>22</v>
      </c>
      <c r="B27" s="1">
        <f ca="1">'107_兵卡等级'!L27</f>
        <v>1.2</v>
      </c>
      <c r="C27" s="1">
        <f ca="1">OFFSET(养成规划!$B$6,MATCH(B27,养成规划!$B$6:$B$77,1)-1,0)</f>
        <v>1</v>
      </c>
      <c r="D27" s="1">
        <f ca="1">MAX(3,OFFSET(养成规划!$X$6,MATCH(C27,养成规划!$B$6:$B$77,0)-1,0))</f>
        <v>5</v>
      </c>
      <c r="E27" s="1">
        <f ca="1">MAX(1,OFFSET(控制台!$J$374,MATCH(C27,控制台!$B$374:$B$445,0)-1,0))</f>
        <v>8</v>
      </c>
      <c r="F27" s="1">
        <f ca="1">MAX(1,OFFSET(养成规划!$V$6,MATCH(C27,养成规划!$S$6:$S$77,0)-1,0))</f>
        <v>4</v>
      </c>
      <c r="G27" s="1">
        <f ca="1">MAX(9,OFFSET(控制台!$L$374,MATCH(C27,控制台!$B$374:$B$445,0)-1,0))</f>
        <v>30</v>
      </c>
      <c r="H27" s="1">
        <f ca="1">MAX(1,_xlfn.FLOOR.MATH(OFFSET(养成规划!$Y$6,MATCH(C27,养成规划!$B$6:$B$77,0)-1,0)/100))</f>
        <v>1</v>
      </c>
      <c r="I27" s="1">
        <f ca="1">MAX(1,MOD(OFFSET(养成规划!$Y$6,MATCH(C27,养成规划!$B$6:$B$77,0)-1,0),100))</f>
        <v>2</v>
      </c>
      <c r="J27" s="1" t="str">
        <f ca="1">OFFSET(养成规划!$Z$6,MATCH(C27,养成规划!$B$6:$B$77,0)-1,0)</f>
        <v>无</v>
      </c>
      <c r="K27" s="1">
        <f ca="1">OFFSET(养成规划!$AB$6,MATCH(C27,养成规划!$B$6:$B$77,0)-1,0)</f>
        <v>10</v>
      </c>
      <c r="L27" s="1">
        <f ca="1">OFFSET(养成规划!$AC$6,MATCH(C27,养成规划!$B$6:$B$77,0)-1,0)</f>
        <v>1</v>
      </c>
      <c r="M27" s="14">
        <f ca="1">OFFSET(控制台!$R$476,MATCH(C27,控制台!$B$476:$B$547,0)-1,0)</f>
        <v>0.05</v>
      </c>
      <c r="N27" s="14">
        <f ca="1">OFFSET(控制台!$S$476,MATCH(C27,控制台!$B$476:$B$547,0)-1,0)</f>
        <v>0.05</v>
      </c>
      <c r="O27" s="14">
        <f ca="1">OFFSET(控制台!$U$5057,MATCH(C27,控制台!$B$5057:$B$5128,0)-1,0)</f>
        <v>0</v>
      </c>
      <c r="P27" s="14">
        <f ca="1">OFFSET(控制台!$V$5057,MATCH(C27,控制台!$B$5057:$B$5128,0)-1,0)</f>
        <v>0</v>
      </c>
      <c r="Q27" s="14">
        <f ca="1">OFFSET(控制台!$T$5057,MATCH(C27,控制台!$B$5057:$B$5128,0)-1,0)</f>
        <v>0</v>
      </c>
      <c r="S27" s="1">
        <f>'206_副本挂机'!B27*100+'206_副本挂机'!C27*4</f>
        <v>328</v>
      </c>
      <c r="T27" s="1">
        <f ca="1">_xlfn.FLOOR.MATH('206_副本挂机'!L27)</f>
        <v>10</v>
      </c>
      <c r="U27" s="1">
        <f ca="1">MIN(OFFSET(控制台!$J$374,MATCH(T27,控制台!$B$374:$B$445,1)-1,0)+1,32)</f>
        <v>17</v>
      </c>
      <c r="W27" s="1">
        <f>控制台!B2386</f>
        <v>22</v>
      </c>
      <c r="X27" s="1">
        <f>_xlfn.FLOOR.MATH(控制台!C2386)</f>
        <v>16</v>
      </c>
    </row>
    <row r="28" spans="1:24">
      <c r="A28" s="1">
        <f>'107_兵卡等级'!B28</f>
        <v>23</v>
      </c>
      <c r="B28" s="1">
        <f ca="1">'107_兵卡等级'!L28</f>
        <v>1.3</v>
      </c>
      <c r="C28" s="1">
        <f ca="1">OFFSET(养成规划!$B$6,MATCH(B28,养成规划!$B$6:$B$77,1)-1,0)</f>
        <v>1</v>
      </c>
      <c r="D28" s="1">
        <f ca="1">MAX(3,OFFSET(养成规划!$X$6,MATCH(C28,养成规划!$B$6:$B$77,0)-1,0))</f>
        <v>5</v>
      </c>
      <c r="E28" s="1">
        <f ca="1">MAX(1,OFFSET(控制台!$J$374,MATCH(C28,控制台!$B$374:$B$445,0)-1,0))</f>
        <v>8</v>
      </c>
      <c r="F28" s="1">
        <f ca="1">MAX(1,OFFSET(养成规划!$V$6,MATCH(C28,养成规划!$S$6:$S$77,0)-1,0))</f>
        <v>4</v>
      </c>
      <c r="G28" s="1">
        <f ca="1">MAX(9,OFFSET(控制台!$L$374,MATCH(C28,控制台!$B$374:$B$445,0)-1,0))</f>
        <v>30</v>
      </c>
      <c r="H28" s="1">
        <f ca="1">MAX(1,_xlfn.FLOOR.MATH(OFFSET(养成规划!$Y$6,MATCH(C28,养成规划!$B$6:$B$77,0)-1,0)/100))</f>
        <v>1</v>
      </c>
      <c r="I28" s="1">
        <f ca="1">MAX(1,MOD(OFFSET(养成规划!$Y$6,MATCH(C28,养成规划!$B$6:$B$77,0)-1,0),100))</f>
        <v>2</v>
      </c>
      <c r="J28" s="1" t="str">
        <f ca="1">OFFSET(养成规划!$Z$6,MATCH(C28,养成规划!$B$6:$B$77,0)-1,0)</f>
        <v>无</v>
      </c>
      <c r="K28" s="1">
        <f ca="1">OFFSET(养成规划!$AB$6,MATCH(C28,养成规划!$B$6:$B$77,0)-1,0)</f>
        <v>10</v>
      </c>
      <c r="L28" s="1">
        <f ca="1">OFFSET(养成规划!$AC$6,MATCH(C28,养成规划!$B$6:$B$77,0)-1,0)</f>
        <v>1</v>
      </c>
      <c r="M28" s="14">
        <f ca="1">OFFSET(控制台!$R$476,MATCH(C28,控制台!$B$476:$B$547,0)-1,0)</f>
        <v>0.05</v>
      </c>
      <c r="N28" s="14">
        <f ca="1">OFFSET(控制台!$S$476,MATCH(C28,控制台!$B$476:$B$547,0)-1,0)</f>
        <v>0.05</v>
      </c>
      <c r="O28" s="14">
        <f ca="1">OFFSET(控制台!$U$5057,MATCH(C28,控制台!$B$5057:$B$5128,0)-1,0)</f>
        <v>0</v>
      </c>
      <c r="P28" s="14">
        <f ca="1">OFFSET(控制台!$V$5057,MATCH(C28,控制台!$B$5057:$B$5128,0)-1,0)</f>
        <v>0</v>
      </c>
      <c r="Q28" s="14">
        <f ca="1">OFFSET(控制台!$T$5057,MATCH(C28,控制台!$B$5057:$B$5128,0)-1,0)</f>
        <v>0</v>
      </c>
      <c r="S28" s="1">
        <f>'206_副本挂机'!B28*100+'206_副本挂机'!C28*4</f>
        <v>332</v>
      </c>
      <c r="T28" s="1">
        <f ca="1">_xlfn.FLOOR.MATH('206_副本挂机'!L28)</f>
        <v>11</v>
      </c>
      <c r="U28" s="1">
        <f ca="1">MIN(OFFSET(控制台!$J$374,MATCH(T28,控制台!$B$374:$B$445,1)-1,0)+1,32)</f>
        <v>18</v>
      </c>
      <c r="W28" s="1">
        <f>控制台!B2387</f>
        <v>23</v>
      </c>
      <c r="X28" s="1">
        <f>_xlfn.FLOOR.MATH(控制台!C2387)</f>
        <v>19</v>
      </c>
    </row>
    <row r="29" spans="1:24">
      <c r="A29" s="1">
        <f>'107_兵卡等级'!B29</f>
        <v>24</v>
      </c>
      <c r="B29" s="1">
        <f ca="1">'107_兵卡等级'!L29</f>
        <v>1.4</v>
      </c>
      <c r="C29" s="1">
        <f ca="1">OFFSET(养成规划!$B$6,MATCH(B29,养成规划!$B$6:$B$77,1)-1,0)</f>
        <v>1</v>
      </c>
      <c r="D29" s="1">
        <f ca="1">MAX(3,OFFSET(养成规划!$X$6,MATCH(C29,养成规划!$B$6:$B$77,0)-1,0))</f>
        <v>5</v>
      </c>
      <c r="E29" s="1">
        <f ca="1">MAX(1,OFFSET(控制台!$J$374,MATCH(C29,控制台!$B$374:$B$445,0)-1,0))</f>
        <v>8</v>
      </c>
      <c r="F29" s="1">
        <f ca="1">MAX(1,OFFSET(养成规划!$V$6,MATCH(C29,养成规划!$S$6:$S$77,0)-1,0))</f>
        <v>4</v>
      </c>
      <c r="G29" s="1">
        <f ca="1">MAX(9,OFFSET(控制台!$L$374,MATCH(C29,控制台!$B$374:$B$445,0)-1,0))</f>
        <v>30</v>
      </c>
      <c r="H29" s="1">
        <f ca="1">MAX(1,_xlfn.FLOOR.MATH(OFFSET(养成规划!$Y$6,MATCH(C29,养成规划!$B$6:$B$77,0)-1,0)/100))</f>
        <v>1</v>
      </c>
      <c r="I29" s="1">
        <f ca="1">MAX(1,MOD(OFFSET(养成规划!$Y$6,MATCH(C29,养成规划!$B$6:$B$77,0)-1,0),100))</f>
        <v>2</v>
      </c>
      <c r="J29" s="1" t="str">
        <f ca="1">OFFSET(养成规划!$Z$6,MATCH(C29,养成规划!$B$6:$B$77,0)-1,0)</f>
        <v>无</v>
      </c>
      <c r="K29" s="1">
        <f ca="1">OFFSET(养成规划!$AB$6,MATCH(C29,养成规划!$B$6:$B$77,0)-1,0)</f>
        <v>10</v>
      </c>
      <c r="L29" s="1">
        <f ca="1">OFFSET(养成规划!$AC$6,MATCH(C29,养成规划!$B$6:$B$77,0)-1,0)</f>
        <v>1</v>
      </c>
      <c r="M29" s="14">
        <f ca="1">OFFSET(控制台!$R$476,MATCH(C29,控制台!$B$476:$B$547,0)-1,0)</f>
        <v>0.05</v>
      </c>
      <c r="N29" s="14">
        <f ca="1">OFFSET(控制台!$S$476,MATCH(C29,控制台!$B$476:$B$547,0)-1,0)</f>
        <v>0.05</v>
      </c>
      <c r="O29" s="14">
        <f ca="1">OFFSET(控制台!$U$5057,MATCH(C29,控制台!$B$5057:$B$5128,0)-1,0)</f>
        <v>0</v>
      </c>
      <c r="P29" s="14">
        <f ca="1">OFFSET(控制台!$V$5057,MATCH(C29,控制台!$B$5057:$B$5128,0)-1,0)</f>
        <v>0</v>
      </c>
      <c r="Q29" s="14">
        <f ca="1">OFFSET(控制台!$T$5057,MATCH(C29,控制台!$B$5057:$B$5128,0)-1,0)</f>
        <v>0</v>
      </c>
      <c r="S29" s="1">
        <f>'206_副本挂机'!B29*100+'206_副本挂机'!C29*4</f>
        <v>336</v>
      </c>
      <c r="T29" s="1">
        <f ca="1">_xlfn.FLOOR.MATH('206_副本挂机'!L29)</f>
        <v>12</v>
      </c>
      <c r="U29" s="1">
        <f ca="1">MIN(OFFSET(控制台!$J$374,MATCH(T29,控制台!$B$374:$B$445,1)-1,0)+1,32)</f>
        <v>18</v>
      </c>
      <c r="W29" s="1">
        <f>控制台!B2388</f>
        <v>24</v>
      </c>
      <c r="X29" s="1">
        <f>_xlfn.FLOOR.MATH(控制台!C2388)</f>
        <v>22</v>
      </c>
    </row>
    <row r="30" spans="1:24">
      <c r="A30" s="1">
        <f>'107_兵卡等级'!B30</f>
        <v>25</v>
      </c>
      <c r="B30" s="1">
        <f ca="1">'107_兵卡等级'!L30</f>
        <v>1.5</v>
      </c>
      <c r="C30" s="1">
        <f ca="1">OFFSET(养成规划!$B$6,MATCH(B30,养成规划!$B$6:$B$77,1)-1,0)</f>
        <v>1.5</v>
      </c>
      <c r="D30" s="1">
        <f ca="1">MAX(3,OFFSET(养成规划!$X$6,MATCH(C30,养成规划!$B$6:$B$77,0)-1,0))</f>
        <v>5</v>
      </c>
      <c r="E30" s="1">
        <f ca="1">MAX(1,OFFSET(控制台!$J$374,MATCH(C30,控制台!$B$374:$B$445,0)-1,0))</f>
        <v>9</v>
      </c>
      <c r="F30" s="1">
        <f ca="1">MAX(1,OFFSET(养成规划!$V$6,MATCH(C30,养成规划!$S$6:$S$77,0)-1,0))</f>
        <v>4</v>
      </c>
      <c r="G30" s="1">
        <f ca="1">MAX(9,OFFSET(控制台!$L$374,MATCH(C30,控制台!$B$374:$B$445,0)-1,0))</f>
        <v>33</v>
      </c>
      <c r="H30" s="1">
        <f ca="1">MAX(1,_xlfn.FLOOR.MATH(OFFSET(养成规划!$Y$6,MATCH(C30,养成规划!$B$6:$B$77,0)-1,0)/100))</f>
        <v>1</v>
      </c>
      <c r="I30" s="1">
        <f ca="1">MAX(1,MOD(OFFSET(养成规划!$Y$6,MATCH(C30,养成规划!$B$6:$B$77,0)-1,0),100))</f>
        <v>2</v>
      </c>
      <c r="J30" s="1" t="str">
        <f ca="1">OFFSET(养成规划!$Z$6,MATCH(C30,养成规划!$B$6:$B$77,0)-1,0)</f>
        <v>无</v>
      </c>
      <c r="K30" s="1">
        <f ca="1">OFFSET(养成规划!$AB$6,MATCH(C30,养成规划!$B$6:$B$77,0)-1,0)</f>
        <v>10</v>
      </c>
      <c r="L30" s="1">
        <f ca="1">OFFSET(养成规划!$AC$6,MATCH(C30,养成规划!$B$6:$B$77,0)-1,0)</f>
        <v>2</v>
      </c>
      <c r="M30" s="14">
        <f ca="1">OFFSET(控制台!$R$476,MATCH(C30,控制台!$B$476:$B$547,0)-1,0)</f>
        <v>0.05</v>
      </c>
      <c r="N30" s="14">
        <f ca="1">OFFSET(控制台!$S$476,MATCH(C30,控制台!$B$476:$B$547,0)-1,0)</f>
        <v>0.05</v>
      </c>
      <c r="O30" s="14">
        <f ca="1">OFFSET(控制台!$U$5057,MATCH(C30,控制台!$B$5057:$B$5128,0)-1,0)</f>
        <v>0</v>
      </c>
      <c r="P30" s="14">
        <f ca="1">OFFSET(控制台!$V$5057,MATCH(C30,控制台!$B$5057:$B$5128,0)-1,0)</f>
        <v>0</v>
      </c>
      <c r="Q30" s="14">
        <f ca="1">OFFSET(控制台!$T$5057,MATCH(C30,控制台!$B$5057:$B$5128,0)-1,0)</f>
        <v>0</v>
      </c>
      <c r="S30" s="1">
        <f>'206_副本挂机'!B30*100+'206_副本挂机'!C30*4</f>
        <v>340</v>
      </c>
      <c r="T30" s="1">
        <f ca="1">_xlfn.FLOOR.MATH('206_副本挂机'!L30)</f>
        <v>13</v>
      </c>
      <c r="U30" s="1">
        <f ca="1">MIN(OFFSET(控制台!$J$374,MATCH(T30,控制台!$B$374:$B$445,1)-1,0)+1,32)</f>
        <v>18</v>
      </c>
      <c r="W30" s="1">
        <f>控制台!B2389</f>
        <v>25</v>
      </c>
      <c r="X30" s="1">
        <f>_xlfn.FLOOR.MATH(控制台!C2389)</f>
        <v>25</v>
      </c>
    </row>
    <row r="31" spans="1:24">
      <c r="A31" s="1">
        <f>'107_兵卡等级'!B31</f>
        <v>26</v>
      </c>
      <c r="B31" s="1">
        <f ca="1">'107_兵卡等级'!L31</f>
        <v>1.6</v>
      </c>
      <c r="C31" s="1">
        <f ca="1">OFFSET(养成规划!$B$6,MATCH(B31,养成规划!$B$6:$B$77,1)-1,0)</f>
        <v>1.5</v>
      </c>
      <c r="D31" s="1">
        <f ca="1">MAX(3,OFFSET(养成规划!$X$6,MATCH(C31,养成规划!$B$6:$B$77,0)-1,0))</f>
        <v>5</v>
      </c>
      <c r="E31" s="1">
        <f ca="1">MAX(1,OFFSET(控制台!$J$374,MATCH(C31,控制台!$B$374:$B$445,0)-1,0))</f>
        <v>9</v>
      </c>
      <c r="F31" s="1">
        <f ca="1">MAX(1,OFFSET(养成规划!$V$6,MATCH(C31,养成规划!$S$6:$S$77,0)-1,0))</f>
        <v>4</v>
      </c>
      <c r="G31" s="1">
        <f ca="1">MAX(9,OFFSET(控制台!$L$374,MATCH(C31,控制台!$B$374:$B$445,0)-1,0))</f>
        <v>33</v>
      </c>
      <c r="H31" s="1">
        <f ca="1">MAX(1,_xlfn.FLOOR.MATH(OFFSET(养成规划!$Y$6,MATCH(C31,养成规划!$B$6:$B$77,0)-1,0)/100))</f>
        <v>1</v>
      </c>
      <c r="I31" s="1">
        <f ca="1">MAX(1,MOD(OFFSET(养成规划!$Y$6,MATCH(C31,养成规划!$B$6:$B$77,0)-1,0),100))</f>
        <v>2</v>
      </c>
      <c r="J31" s="1" t="str">
        <f ca="1">OFFSET(养成规划!$Z$6,MATCH(C31,养成规划!$B$6:$B$77,0)-1,0)</f>
        <v>无</v>
      </c>
      <c r="K31" s="1">
        <f ca="1">OFFSET(养成规划!$AB$6,MATCH(C31,养成规划!$B$6:$B$77,0)-1,0)</f>
        <v>10</v>
      </c>
      <c r="L31" s="1">
        <f ca="1">OFFSET(养成规划!$AC$6,MATCH(C31,养成规划!$B$6:$B$77,0)-1,0)</f>
        <v>2</v>
      </c>
      <c r="M31" s="14">
        <f ca="1">OFFSET(控制台!$R$476,MATCH(C31,控制台!$B$476:$B$547,0)-1,0)</f>
        <v>0.05</v>
      </c>
      <c r="N31" s="14">
        <f ca="1">OFFSET(控制台!$S$476,MATCH(C31,控制台!$B$476:$B$547,0)-1,0)</f>
        <v>0.05</v>
      </c>
      <c r="O31" s="14">
        <f ca="1">OFFSET(控制台!$U$5057,MATCH(C31,控制台!$B$5057:$B$5128,0)-1,0)</f>
        <v>0</v>
      </c>
      <c r="P31" s="14">
        <f ca="1">OFFSET(控制台!$V$5057,MATCH(C31,控制台!$B$5057:$B$5128,0)-1,0)</f>
        <v>0</v>
      </c>
      <c r="Q31" s="14">
        <f ca="1">OFFSET(控制台!$T$5057,MATCH(C31,控制台!$B$5057:$B$5128,0)-1,0)</f>
        <v>0</v>
      </c>
      <c r="S31" s="1">
        <f>'206_副本挂机'!B31*100+'206_副本挂机'!C31*4</f>
        <v>404</v>
      </c>
      <c r="T31" s="1">
        <f ca="1">_xlfn.FLOOR.MATH('206_副本挂机'!L31)</f>
        <v>14</v>
      </c>
      <c r="U31" s="1">
        <f ca="1">MIN(OFFSET(控制台!$J$374,MATCH(T31,控制台!$B$374:$B$445,1)-1,0)+1,32)</f>
        <v>19</v>
      </c>
      <c r="W31" s="1">
        <f>控制台!B2390</f>
        <v>26</v>
      </c>
      <c r="X31" s="1">
        <f>_xlfn.FLOOR.MATH(控制台!C2390)</f>
        <v>35</v>
      </c>
    </row>
    <row r="32" spans="1:24">
      <c r="A32" s="1">
        <f>'107_兵卡等级'!B32</f>
        <v>27</v>
      </c>
      <c r="B32" s="1">
        <f ca="1">'107_兵卡等级'!L32</f>
        <v>1.7</v>
      </c>
      <c r="C32" s="1">
        <f ca="1">OFFSET(养成规划!$B$6,MATCH(B32,养成规划!$B$6:$B$77,1)-1,0)</f>
        <v>1.5</v>
      </c>
      <c r="D32" s="1">
        <f ca="1">MAX(3,OFFSET(养成规划!$X$6,MATCH(C32,养成规划!$B$6:$B$77,0)-1,0))</f>
        <v>5</v>
      </c>
      <c r="E32" s="1">
        <f ca="1">MAX(1,OFFSET(控制台!$J$374,MATCH(C32,控制台!$B$374:$B$445,0)-1,0))</f>
        <v>9</v>
      </c>
      <c r="F32" s="1">
        <f ca="1">MAX(1,OFFSET(养成规划!$V$6,MATCH(C32,养成规划!$S$6:$S$77,0)-1,0))</f>
        <v>4</v>
      </c>
      <c r="G32" s="1">
        <f ca="1">MAX(9,OFFSET(控制台!$L$374,MATCH(C32,控制台!$B$374:$B$445,0)-1,0))</f>
        <v>33</v>
      </c>
      <c r="H32" s="1">
        <f ca="1">MAX(1,_xlfn.FLOOR.MATH(OFFSET(养成规划!$Y$6,MATCH(C32,养成规划!$B$6:$B$77,0)-1,0)/100))</f>
        <v>1</v>
      </c>
      <c r="I32" s="1">
        <f ca="1">MAX(1,MOD(OFFSET(养成规划!$Y$6,MATCH(C32,养成规划!$B$6:$B$77,0)-1,0),100))</f>
        <v>2</v>
      </c>
      <c r="J32" s="1" t="str">
        <f ca="1">OFFSET(养成规划!$Z$6,MATCH(C32,养成规划!$B$6:$B$77,0)-1,0)</f>
        <v>无</v>
      </c>
      <c r="K32" s="1">
        <f ca="1">OFFSET(养成规划!$AB$6,MATCH(C32,养成规划!$B$6:$B$77,0)-1,0)</f>
        <v>10</v>
      </c>
      <c r="L32" s="1">
        <f ca="1">OFFSET(养成规划!$AC$6,MATCH(C32,养成规划!$B$6:$B$77,0)-1,0)</f>
        <v>2</v>
      </c>
      <c r="M32" s="14">
        <f ca="1">OFFSET(控制台!$R$476,MATCH(C32,控制台!$B$476:$B$547,0)-1,0)</f>
        <v>0.05</v>
      </c>
      <c r="N32" s="14">
        <f ca="1">OFFSET(控制台!$S$476,MATCH(C32,控制台!$B$476:$B$547,0)-1,0)</f>
        <v>0.05</v>
      </c>
      <c r="O32" s="14">
        <f ca="1">OFFSET(控制台!$U$5057,MATCH(C32,控制台!$B$5057:$B$5128,0)-1,0)</f>
        <v>0</v>
      </c>
      <c r="P32" s="14">
        <f ca="1">OFFSET(控制台!$V$5057,MATCH(C32,控制台!$B$5057:$B$5128,0)-1,0)</f>
        <v>0</v>
      </c>
      <c r="Q32" s="14">
        <f ca="1">OFFSET(控制台!$T$5057,MATCH(C32,控制台!$B$5057:$B$5128,0)-1,0)</f>
        <v>0</v>
      </c>
      <c r="S32" s="1">
        <f>'206_副本挂机'!B32*100+'206_副本挂机'!C32*4</f>
        <v>408</v>
      </c>
      <c r="T32" s="1">
        <f ca="1">_xlfn.FLOOR.MATH('206_副本挂机'!L32)</f>
        <v>15</v>
      </c>
      <c r="U32" s="1">
        <f ca="1">MIN(OFFSET(控制台!$J$374,MATCH(T32,控制台!$B$374:$B$445,1)-1,0)+1,32)</f>
        <v>19</v>
      </c>
      <c r="W32" s="1">
        <f>控制台!B2391</f>
        <v>27</v>
      </c>
      <c r="X32" s="1">
        <f>_xlfn.FLOOR.MATH(控制台!C2391)</f>
        <v>40</v>
      </c>
    </row>
    <row r="33" spans="1:24">
      <c r="A33" s="1">
        <f>'107_兵卡等级'!B33</f>
        <v>28</v>
      </c>
      <c r="B33" s="1">
        <f ca="1">'107_兵卡等级'!L33</f>
        <v>1.8</v>
      </c>
      <c r="C33" s="1">
        <f ca="1">OFFSET(养成规划!$B$6,MATCH(B33,养成规划!$B$6:$B$77,1)-1,0)</f>
        <v>1.5</v>
      </c>
      <c r="D33" s="1">
        <f ca="1">MAX(3,OFFSET(养成规划!$X$6,MATCH(C33,养成规划!$B$6:$B$77,0)-1,0))</f>
        <v>5</v>
      </c>
      <c r="E33" s="1">
        <f ca="1">MAX(1,OFFSET(控制台!$J$374,MATCH(C33,控制台!$B$374:$B$445,0)-1,0))</f>
        <v>9</v>
      </c>
      <c r="F33" s="1">
        <f ca="1">MAX(1,OFFSET(养成规划!$V$6,MATCH(C33,养成规划!$S$6:$S$77,0)-1,0))</f>
        <v>4</v>
      </c>
      <c r="G33" s="1">
        <f ca="1">MAX(9,OFFSET(控制台!$L$374,MATCH(C33,控制台!$B$374:$B$445,0)-1,0))</f>
        <v>33</v>
      </c>
      <c r="H33" s="1">
        <f ca="1">MAX(1,_xlfn.FLOOR.MATH(OFFSET(养成规划!$Y$6,MATCH(C33,养成规划!$B$6:$B$77,0)-1,0)/100))</f>
        <v>1</v>
      </c>
      <c r="I33" s="1">
        <f ca="1">MAX(1,MOD(OFFSET(养成规划!$Y$6,MATCH(C33,养成规划!$B$6:$B$77,0)-1,0),100))</f>
        <v>2</v>
      </c>
      <c r="J33" s="1" t="str">
        <f ca="1">OFFSET(养成规划!$Z$6,MATCH(C33,养成规划!$B$6:$B$77,0)-1,0)</f>
        <v>无</v>
      </c>
      <c r="K33" s="1">
        <f ca="1">OFFSET(养成规划!$AB$6,MATCH(C33,养成规划!$B$6:$B$77,0)-1,0)</f>
        <v>10</v>
      </c>
      <c r="L33" s="1">
        <f ca="1">OFFSET(养成规划!$AC$6,MATCH(C33,养成规划!$B$6:$B$77,0)-1,0)</f>
        <v>2</v>
      </c>
      <c r="M33" s="14">
        <f ca="1">OFFSET(控制台!$R$476,MATCH(C33,控制台!$B$476:$B$547,0)-1,0)</f>
        <v>0.05</v>
      </c>
      <c r="N33" s="14">
        <f ca="1">OFFSET(控制台!$S$476,MATCH(C33,控制台!$B$476:$B$547,0)-1,0)</f>
        <v>0.05</v>
      </c>
      <c r="O33" s="14">
        <f ca="1">OFFSET(控制台!$U$5057,MATCH(C33,控制台!$B$5057:$B$5128,0)-1,0)</f>
        <v>0</v>
      </c>
      <c r="P33" s="14">
        <f ca="1">OFFSET(控制台!$V$5057,MATCH(C33,控制台!$B$5057:$B$5128,0)-1,0)</f>
        <v>0</v>
      </c>
      <c r="Q33" s="14">
        <f ca="1">OFFSET(控制台!$T$5057,MATCH(C33,控制台!$B$5057:$B$5128,0)-1,0)</f>
        <v>0</v>
      </c>
      <c r="S33" s="1">
        <f>'206_副本挂机'!B33*100+'206_副本挂机'!C33*4</f>
        <v>412</v>
      </c>
      <c r="T33" s="1">
        <f ca="1">_xlfn.FLOOR.MATH('206_副本挂机'!L33)</f>
        <v>16</v>
      </c>
      <c r="U33" s="1">
        <f ca="1">MIN(OFFSET(控制台!$J$374,MATCH(T33,控制台!$B$374:$B$445,1)-1,0)+1,32)</f>
        <v>19</v>
      </c>
      <c r="W33" s="1">
        <f>控制台!B2392</f>
        <v>28</v>
      </c>
      <c r="X33" s="1">
        <f>_xlfn.FLOOR.MATH(控制台!C2392)</f>
        <v>45</v>
      </c>
    </row>
    <row r="34" spans="1:24">
      <c r="A34" s="1">
        <f>'107_兵卡等级'!B34</f>
        <v>29</v>
      </c>
      <c r="B34" s="1">
        <f ca="1">'107_兵卡等级'!L34</f>
        <v>1.9</v>
      </c>
      <c r="C34" s="1">
        <f ca="1">OFFSET(养成规划!$B$6,MATCH(B34,养成规划!$B$6:$B$77,1)-1,0)</f>
        <v>1.5</v>
      </c>
      <c r="D34" s="1">
        <f ca="1">MAX(3,OFFSET(养成规划!$X$6,MATCH(C34,养成规划!$B$6:$B$77,0)-1,0))</f>
        <v>5</v>
      </c>
      <c r="E34" s="1">
        <f ca="1">MAX(1,OFFSET(控制台!$J$374,MATCH(C34,控制台!$B$374:$B$445,0)-1,0))</f>
        <v>9</v>
      </c>
      <c r="F34" s="1">
        <f ca="1">MAX(1,OFFSET(养成规划!$V$6,MATCH(C34,养成规划!$S$6:$S$77,0)-1,0))</f>
        <v>4</v>
      </c>
      <c r="G34" s="1">
        <f ca="1">MAX(9,OFFSET(控制台!$L$374,MATCH(C34,控制台!$B$374:$B$445,0)-1,0))</f>
        <v>33</v>
      </c>
      <c r="H34" s="1">
        <f ca="1">MAX(1,_xlfn.FLOOR.MATH(OFFSET(养成规划!$Y$6,MATCH(C34,养成规划!$B$6:$B$77,0)-1,0)/100))</f>
        <v>1</v>
      </c>
      <c r="I34" s="1">
        <f ca="1">MAX(1,MOD(OFFSET(养成规划!$Y$6,MATCH(C34,养成规划!$B$6:$B$77,0)-1,0),100))</f>
        <v>2</v>
      </c>
      <c r="J34" s="1" t="str">
        <f ca="1">OFFSET(养成规划!$Z$6,MATCH(C34,养成规划!$B$6:$B$77,0)-1,0)</f>
        <v>无</v>
      </c>
      <c r="K34" s="1">
        <f ca="1">OFFSET(养成规划!$AB$6,MATCH(C34,养成规划!$B$6:$B$77,0)-1,0)</f>
        <v>10</v>
      </c>
      <c r="L34" s="1">
        <f ca="1">OFFSET(养成规划!$AC$6,MATCH(C34,养成规划!$B$6:$B$77,0)-1,0)</f>
        <v>2</v>
      </c>
      <c r="M34" s="14">
        <f ca="1">OFFSET(控制台!$R$476,MATCH(C34,控制台!$B$476:$B$547,0)-1,0)</f>
        <v>0.05</v>
      </c>
      <c r="N34" s="14">
        <f ca="1">OFFSET(控制台!$S$476,MATCH(C34,控制台!$B$476:$B$547,0)-1,0)</f>
        <v>0.05</v>
      </c>
      <c r="O34" s="14">
        <f ca="1">OFFSET(控制台!$U$5057,MATCH(C34,控制台!$B$5057:$B$5128,0)-1,0)</f>
        <v>0</v>
      </c>
      <c r="P34" s="14">
        <f ca="1">OFFSET(控制台!$V$5057,MATCH(C34,控制台!$B$5057:$B$5128,0)-1,0)</f>
        <v>0</v>
      </c>
      <c r="Q34" s="14">
        <f ca="1">OFFSET(控制台!$T$5057,MATCH(C34,控制台!$B$5057:$B$5128,0)-1,0)</f>
        <v>0</v>
      </c>
      <c r="S34" s="1">
        <f>'206_副本挂机'!B34*100+'206_副本挂机'!C34*4</f>
        <v>416</v>
      </c>
      <c r="T34" s="1">
        <f ca="1">_xlfn.FLOOR.MATH('206_副本挂机'!L34)</f>
        <v>17</v>
      </c>
      <c r="U34" s="1">
        <f ca="1">MIN(OFFSET(控制台!$J$374,MATCH(T34,控制台!$B$374:$B$445,1)-1,0)+1,32)</f>
        <v>20</v>
      </c>
      <c r="W34" s="1">
        <f>控制台!B2393</f>
        <v>29</v>
      </c>
      <c r="X34" s="1">
        <f>_xlfn.FLOOR.MATH(控制台!C2393)</f>
        <v>50</v>
      </c>
    </row>
    <row r="35" spans="1:24">
      <c r="A35" s="1">
        <f>'107_兵卡等级'!B35</f>
        <v>30</v>
      </c>
      <c r="B35" s="1">
        <f ca="1">'107_兵卡等级'!L35</f>
        <v>2</v>
      </c>
      <c r="C35" s="1">
        <f ca="1">OFFSET(养成规划!$B$6,MATCH(B35,养成规划!$B$6:$B$77,1)-1,0)</f>
        <v>2</v>
      </c>
      <c r="D35" s="1">
        <f ca="1">MAX(3,OFFSET(养成规划!$X$6,MATCH(C35,养成规划!$B$6:$B$77,0)-1,0))</f>
        <v>5</v>
      </c>
      <c r="E35" s="1">
        <f ca="1">MAX(1,OFFSET(控制台!$J$374,MATCH(C35,控制台!$B$374:$B$445,0)-1,0))</f>
        <v>10</v>
      </c>
      <c r="F35" s="1">
        <f ca="1">MAX(1,OFFSET(养成规划!$V$6,MATCH(C35,养成规划!$S$6:$S$77,0)-1,0))</f>
        <v>4</v>
      </c>
      <c r="G35" s="1">
        <f ca="1">MAX(9,OFFSET(控制台!$L$374,MATCH(C35,控制台!$B$374:$B$445,0)-1,0))</f>
        <v>36</v>
      </c>
      <c r="H35" s="1">
        <f ca="1">MAX(1,_xlfn.FLOOR.MATH(OFFSET(养成规划!$Y$6,MATCH(C35,养成规划!$B$6:$B$77,0)-1,0)/100))</f>
        <v>1</v>
      </c>
      <c r="I35" s="1">
        <f ca="1">MAX(1,MOD(OFFSET(养成规划!$Y$6,MATCH(C35,养成规划!$B$6:$B$77,0)-1,0),100))</f>
        <v>2</v>
      </c>
      <c r="J35" s="1" t="str">
        <f ca="1">OFFSET(养成规划!$Z$6,MATCH(C35,养成规划!$B$6:$B$77,0)-1,0)</f>
        <v>无</v>
      </c>
      <c r="K35" s="1">
        <f ca="1">OFFSET(养成规划!$AB$6,MATCH(C35,养成规划!$B$6:$B$77,0)-1,0)</f>
        <v>10</v>
      </c>
      <c r="L35" s="1">
        <f ca="1">OFFSET(养成规划!$AC$6,MATCH(C35,养成规划!$B$6:$B$77,0)-1,0)</f>
        <v>2</v>
      </c>
      <c r="M35" s="14">
        <f ca="1">OFFSET(控制台!$R$476,MATCH(C35,控制台!$B$476:$B$547,0)-1,0)</f>
        <v>0.05</v>
      </c>
      <c r="N35" s="14">
        <f ca="1">OFFSET(控制台!$S$476,MATCH(C35,控制台!$B$476:$B$547,0)-1,0)</f>
        <v>0.05</v>
      </c>
      <c r="O35" s="14">
        <f ca="1">OFFSET(控制台!$U$5057,MATCH(C35,控制台!$B$5057:$B$5128,0)-1,0)</f>
        <v>0</v>
      </c>
      <c r="P35" s="14">
        <f ca="1">OFFSET(控制台!$V$5057,MATCH(C35,控制台!$B$5057:$B$5128,0)-1,0)</f>
        <v>0</v>
      </c>
      <c r="Q35" s="14">
        <f ca="1">OFFSET(控制台!$T$5057,MATCH(C35,控制台!$B$5057:$B$5128,0)-1,0)</f>
        <v>0</v>
      </c>
      <c r="S35" s="1">
        <f>'206_副本挂机'!B35*100+'206_副本挂机'!C35*4</f>
        <v>420</v>
      </c>
      <c r="T35" s="1">
        <f ca="1">_xlfn.FLOOR.MATH('206_副本挂机'!L35)</f>
        <v>18</v>
      </c>
      <c r="U35" s="1">
        <f ca="1">MIN(OFFSET(控制台!$J$374,MATCH(T35,控制台!$B$374:$B$445,1)-1,0)+1,32)</f>
        <v>20</v>
      </c>
      <c r="W35" s="1">
        <f>控制台!B2394</f>
        <v>30</v>
      </c>
      <c r="X35" s="1">
        <f>_xlfn.FLOOR.MATH(控制台!C2394)</f>
        <v>55</v>
      </c>
    </row>
    <row r="36" spans="1:24">
      <c r="A36" s="1">
        <f>'107_兵卡等级'!B36</f>
        <v>31</v>
      </c>
      <c r="B36" s="1">
        <f ca="1">'107_兵卡等级'!L36</f>
        <v>2.1</v>
      </c>
      <c r="C36" s="1">
        <f ca="1">OFFSET(养成规划!$B$6,MATCH(B36,养成规划!$B$6:$B$77,1)-1,0)</f>
        <v>2</v>
      </c>
      <c r="D36" s="1">
        <f ca="1">MAX(3,OFFSET(养成规划!$X$6,MATCH(C36,养成规划!$B$6:$B$77,0)-1,0))</f>
        <v>5</v>
      </c>
      <c r="E36" s="1">
        <f ca="1">MAX(1,OFFSET(控制台!$J$374,MATCH(C36,控制台!$B$374:$B$445,0)-1,0))</f>
        <v>10</v>
      </c>
      <c r="F36" s="1">
        <f ca="1">MAX(1,OFFSET(养成规划!$V$6,MATCH(C36,养成规划!$S$6:$S$77,0)-1,0))</f>
        <v>4</v>
      </c>
      <c r="G36" s="1">
        <f ca="1">MAX(9,OFFSET(控制台!$L$374,MATCH(C36,控制台!$B$374:$B$445,0)-1,0))</f>
        <v>36</v>
      </c>
      <c r="H36" s="1">
        <f ca="1">MAX(1,_xlfn.FLOOR.MATH(OFFSET(养成规划!$Y$6,MATCH(C36,养成规划!$B$6:$B$77,0)-1,0)/100))</f>
        <v>1</v>
      </c>
      <c r="I36" s="1">
        <f ca="1">MAX(1,MOD(OFFSET(养成规划!$Y$6,MATCH(C36,养成规划!$B$6:$B$77,0)-1,0),100))</f>
        <v>2</v>
      </c>
      <c r="J36" s="1" t="str">
        <f ca="1">OFFSET(养成规划!$Z$6,MATCH(C36,养成规划!$B$6:$B$77,0)-1,0)</f>
        <v>无</v>
      </c>
      <c r="K36" s="1">
        <f ca="1">OFFSET(养成规划!$AB$6,MATCH(C36,养成规划!$B$6:$B$77,0)-1,0)</f>
        <v>10</v>
      </c>
      <c r="L36" s="1">
        <f ca="1">OFFSET(养成规划!$AC$6,MATCH(C36,养成规划!$B$6:$B$77,0)-1,0)</f>
        <v>2</v>
      </c>
      <c r="M36" s="14">
        <f ca="1">OFFSET(控制台!$R$476,MATCH(C36,控制台!$B$476:$B$547,0)-1,0)</f>
        <v>0.05</v>
      </c>
      <c r="N36" s="14">
        <f ca="1">OFFSET(控制台!$S$476,MATCH(C36,控制台!$B$476:$B$547,0)-1,0)</f>
        <v>0.05</v>
      </c>
      <c r="O36" s="14">
        <f ca="1">OFFSET(控制台!$U$5057,MATCH(C36,控制台!$B$5057:$B$5128,0)-1,0)</f>
        <v>0</v>
      </c>
      <c r="P36" s="14">
        <f ca="1">OFFSET(控制台!$V$5057,MATCH(C36,控制台!$B$5057:$B$5128,0)-1,0)</f>
        <v>0</v>
      </c>
      <c r="Q36" s="14">
        <f ca="1">OFFSET(控制台!$T$5057,MATCH(C36,控制台!$B$5057:$B$5128,0)-1,0)</f>
        <v>0</v>
      </c>
      <c r="S36" s="1">
        <f>'206_副本挂机'!B36*100+'206_副本挂机'!C36*4</f>
        <v>424</v>
      </c>
      <c r="T36" s="1">
        <f ca="1">_xlfn.FLOOR.MATH('206_副本挂机'!L36)</f>
        <v>19</v>
      </c>
      <c r="U36" s="1">
        <f ca="1">MIN(OFFSET(控制台!$J$374,MATCH(T36,控制台!$B$374:$B$445,1)-1,0)+1,32)</f>
        <v>20</v>
      </c>
      <c r="W36" s="1">
        <f>控制台!B2395</f>
        <v>31</v>
      </c>
      <c r="X36" s="1">
        <f>_xlfn.FLOOR.MATH(控制台!C2395)</f>
        <v>65</v>
      </c>
    </row>
    <row r="37" spans="1:24">
      <c r="A37" s="1">
        <f>'107_兵卡等级'!B37</f>
        <v>32</v>
      </c>
      <c r="B37" s="1">
        <f ca="1">'107_兵卡等级'!L37</f>
        <v>2.2</v>
      </c>
      <c r="C37" s="1">
        <f ca="1">OFFSET(养成规划!$B$6,MATCH(B37,养成规划!$B$6:$B$77,1)-1,0)</f>
        <v>2</v>
      </c>
      <c r="D37" s="1">
        <f ca="1">MAX(3,OFFSET(养成规划!$X$6,MATCH(C37,养成规划!$B$6:$B$77,0)-1,0))</f>
        <v>5</v>
      </c>
      <c r="E37" s="1">
        <f ca="1">MAX(1,OFFSET(控制台!$J$374,MATCH(C37,控制台!$B$374:$B$445,0)-1,0))</f>
        <v>10</v>
      </c>
      <c r="F37" s="1">
        <f ca="1">MAX(1,OFFSET(养成规划!$V$6,MATCH(C37,养成规划!$S$6:$S$77,0)-1,0))</f>
        <v>4</v>
      </c>
      <c r="G37" s="1">
        <f ca="1">MAX(9,OFFSET(控制台!$L$374,MATCH(C37,控制台!$B$374:$B$445,0)-1,0))</f>
        <v>36</v>
      </c>
      <c r="H37" s="1">
        <f ca="1">MAX(1,_xlfn.FLOOR.MATH(OFFSET(养成规划!$Y$6,MATCH(C37,养成规划!$B$6:$B$77,0)-1,0)/100))</f>
        <v>1</v>
      </c>
      <c r="I37" s="1">
        <f ca="1">MAX(1,MOD(OFFSET(养成规划!$Y$6,MATCH(C37,养成规划!$B$6:$B$77,0)-1,0),100))</f>
        <v>2</v>
      </c>
      <c r="J37" s="1" t="str">
        <f ca="1">OFFSET(养成规划!$Z$6,MATCH(C37,养成规划!$B$6:$B$77,0)-1,0)</f>
        <v>无</v>
      </c>
      <c r="K37" s="1">
        <f ca="1">OFFSET(养成规划!$AB$6,MATCH(C37,养成规划!$B$6:$B$77,0)-1,0)</f>
        <v>10</v>
      </c>
      <c r="L37" s="1">
        <f ca="1">OFFSET(养成规划!$AC$6,MATCH(C37,养成规划!$B$6:$B$77,0)-1,0)</f>
        <v>2</v>
      </c>
      <c r="M37" s="14">
        <f ca="1">OFFSET(控制台!$R$476,MATCH(C37,控制台!$B$476:$B$547,0)-1,0)</f>
        <v>0.05</v>
      </c>
      <c r="N37" s="14">
        <f ca="1">OFFSET(控制台!$S$476,MATCH(C37,控制台!$B$476:$B$547,0)-1,0)</f>
        <v>0.05</v>
      </c>
      <c r="O37" s="14">
        <f ca="1">OFFSET(控制台!$U$5057,MATCH(C37,控制台!$B$5057:$B$5128,0)-1,0)</f>
        <v>0</v>
      </c>
      <c r="P37" s="14">
        <f ca="1">OFFSET(控制台!$V$5057,MATCH(C37,控制台!$B$5057:$B$5128,0)-1,0)</f>
        <v>0</v>
      </c>
      <c r="Q37" s="14">
        <f ca="1">OFFSET(控制台!$T$5057,MATCH(C37,控制台!$B$5057:$B$5128,0)-1,0)</f>
        <v>0</v>
      </c>
      <c r="S37" s="1">
        <f>'206_副本挂机'!B37*100+'206_副本挂机'!C37*4</f>
        <v>428</v>
      </c>
      <c r="T37" s="1">
        <f ca="1">_xlfn.FLOOR.MATH('206_副本挂机'!L37)</f>
        <v>20</v>
      </c>
      <c r="U37" s="1">
        <f ca="1">MIN(OFFSET(控制台!$J$374,MATCH(T37,控制台!$B$374:$B$445,1)-1,0)+1,32)</f>
        <v>21</v>
      </c>
      <c r="W37" s="1">
        <f>控制台!B2396</f>
        <v>32</v>
      </c>
      <c r="X37" s="1">
        <f>_xlfn.FLOOR.MATH(控制台!C2396)</f>
        <v>70</v>
      </c>
    </row>
    <row r="38" spans="1:24">
      <c r="A38" s="1">
        <f>'107_兵卡等级'!B38</f>
        <v>33</v>
      </c>
      <c r="B38" s="1">
        <f ca="1">'107_兵卡等级'!L38</f>
        <v>2.3</v>
      </c>
      <c r="C38" s="1">
        <f ca="1">OFFSET(养成规划!$B$6,MATCH(B38,养成规划!$B$6:$B$77,1)-1,0)</f>
        <v>2</v>
      </c>
      <c r="D38" s="1">
        <f ca="1">MAX(3,OFFSET(养成规划!$X$6,MATCH(C38,养成规划!$B$6:$B$77,0)-1,0))</f>
        <v>5</v>
      </c>
      <c r="E38" s="1">
        <f ca="1">MAX(1,OFFSET(控制台!$J$374,MATCH(C38,控制台!$B$374:$B$445,0)-1,0))</f>
        <v>10</v>
      </c>
      <c r="F38" s="1">
        <f ca="1">MAX(1,OFFSET(养成规划!$V$6,MATCH(C38,养成规划!$S$6:$S$77,0)-1,0))</f>
        <v>4</v>
      </c>
      <c r="G38" s="1">
        <f ca="1">MAX(9,OFFSET(控制台!$L$374,MATCH(C38,控制台!$B$374:$B$445,0)-1,0))</f>
        <v>36</v>
      </c>
      <c r="H38" s="1">
        <f ca="1">MAX(1,_xlfn.FLOOR.MATH(OFFSET(养成规划!$Y$6,MATCH(C38,养成规划!$B$6:$B$77,0)-1,0)/100))</f>
        <v>1</v>
      </c>
      <c r="I38" s="1">
        <f ca="1">MAX(1,MOD(OFFSET(养成规划!$Y$6,MATCH(C38,养成规划!$B$6:$B$77,0)-1,0),100))</f>
        <v>2</v>
      </c>
      <c r="J38" s="1" t="str">
        <f ca="1">OFFSET(养成规划!$Z$6,MATCH(C38,养成规划!$B$6:$B$77,0)-1,0)</f>
        <v>无</v>
      </c>
      <c r="K38" s="1">
        <f ca="1">OFFSET(养成规划!$AB$6,MATCH(C38,养成规划!$B$6:$B$77,0)-1,0)</f>
        <v>10</v>
      </c>
      <c r="L38" s="1">
        <f ca="1">OFFSET(养成规划!$AC$6,MATCH(C38,养成规划!$B$6:$B$77,0)-1,0)</f>
        <v>2</v>
      </c>
      <c r="M38" s="14">
        <f ca="1">OFFSET(控制台!$R$476,MATCH(C38,控制台!$B$476:$B$547,0)-1,0)</f>
        <v>0.05</v>
      </c>
      <c r="N38" s="14">
        <f ca="1">OFFSET(控制台!$S$476,MATCH(C38,控制台!$B$476:$B$547,0)-1,0)</f>
        <v>0.05</v>
      </c>
      <c r="O38" s="14">
        <f ca="1">OFFSET(控制台!$U$5057,MATCH(C38,控制台!$B$5057:$B$5128,0)-1,0)</f>
        <v>0</v>
      </c>
      <c r="P38" s="14">
        <f ca="1">OFFSET(控制台!$V$5057,MATCH(C38,控制台!$B$5057:$B$5128,0)-1,0)</f>
        <v>0</v>
      </c>
      <c r="Q38" s="14">
        <f ca="1">OFFSET(控制台!$T$5057,MATCH(C38,控制台!$B$5057:$B$5128,0)-1,0)</f>
        <v>0</v>
      </c>
      <c r="S38" s="1">
        <f>'206_副本挂机'!B38*100+'206_副本挂机'!C38*4</f>
        <v>432</v>
      </c>
      <c r="T38" s="1">
        <f ca="1">_xlfn.FLOOR.MATH('206_副本挂机'!L38)</f>
        <v>21</v>
      </c>
      <c r="U38" s="1">
        <f ca="1">MIN(OFFSET(控制台!$J$374,MATCH(T38,控制台!$B$374:$B$445,1)-1,0)+1,32)</f>
        <v>21</v>
      </c>
      <c r="W38" s="1">
        <f>控制台!B2397</f>
        <v>33</v>
      </c>
      <c r="X38" s="1">
        <f>_xlfn.FLOOR.MATH(控制台!C2397)</f>
        <v>75</v>
      </c>
    </row>
    <row r="39" spans="1:24">
      <c r="A39" s="1">
        <f>'107_兵卡等级'!B39</f>
        <v>34</v>
      </c>
      <c r="B39" s="1">
        <f ca="1">'107_兵卡等级'!L39</f>
        <v>2.4</v>
      </c>
      <c r="C39" s="1">
        <f ca="1">OFFSET(养成规划!$B$6,MATCH(B39,养成规划!$B$6:$B$77,1)-1,0)</f>
        <v>2</v>
      </c>
      <c r="D39" s="1">
        <f ca="1">MAX(3,OFFSET(养成规划!$X$6,MATCH(C39,养成规划!$B$6:$B$77,0)-1,0))</f>
        <v>5</v>
      </c>
      <c r="E39" s="1">
        <f ca="1">MAX(1,OFFSET(控制台!$J$374,MATCH(C39,控制台!$B$374:$B$445,0)-1,0))</f>
        <v>10</v>
      </c>
      <c r="F39" s="1">
        <f ca="1">MAX(1,OFFSET(养成规划!$V$6,MATCH(C39,养成规划!$S$6:$S$77,0)-1,0))</f>
        <v>4</v>
      </c>
      <c r="G39" s="1">
        <f ca="1">MAX(9,OFFSET(控制台!$L$374,MATCH(C39,控制台!$B$374:$B$445,0)-1,0))</f>
        <v>36</v>
      </c>
      <c r="H39" s="1">
        <f ca="1">MAX(1,_xlfn.FLOOR.MATH(OFFSET(养成规划!$Y$6,MATCH(C39,养成规划!$B$6:$B$77,0)-1,0)/100))</f>
        <v>1</v>
      </c>
      <c r="I39" s="1">
        <f ca="1">MAX(1,MOD(OFFSET(养成规划!$Y$6,MATCH(C39,养成规划!$B$6:$B$77,0)-1,0),100))</f>
        <v>2</v>
      </c>
      <c r="J39" s="1" t="str">
        <f ca="1">OFFSET(养成规划!$Z$6,MATCH(C39,养成规划!$B$6:$B$77,0)-1,0)</f>
        <v>无</v>
      </c>
      <c r="K39" s="1">
        <f ca="1">OFFSET(养成规划!$AB$6,MATCH(C39,养成规划!$B$6:$B$77,0)-1,0)</f>
        <v>10</v>
      </c>
      <c r="L39" s="1">
        <f ca="1">OFFSET(养成规划!$AC$6,MATCH(C39,养成规划!$B$6:$B$77,0)-1,0)</f>
        <v>2</v>
      </c>
      <c r="M39" s="14">
        <f ca="1">OFFSET(控制台!$R$476,MATCH(C39,控制台!$B$476:$B$547,0)-1,0)</f>
        <v>0.05</v>
      </c>
      <c r="N39" s="14">
        <f ca="1">OFFSET(控制台!$S$476,MATCH(C39,控制台!$B$476:$B$547,0)-1,0)</f>
        <v>0.05</v>
      </c>
      <c r="O39" s="14">
        <f ca="1">OFFSET(控制台!$U$5057,MATCH(C39,控制台!$B$5057:$B$5128,0)-1,0)</f>
        <v>0</v>
      </c>
      <c r="P39" s="14">
        <f ca="1">OFFSET(控制台!$V$5057,MATCH(C39,控制台!$B$5057:$B$5128,0)-1,0)</f>
        <v>0</v>
      </c>
      <c r="Q39" s="14">
        <f ca="1">OFFSET(控制台!$T$5057,MATCH(C39,控制台!$B$5057:$B$5128,0)-1,0)</f>
        <v>0</v>
      </c>
      <c r="S39" s="1">
        <f>'206_副本挂机'!B39*100+'206_副本挂机'!C39*4</f>
        <v>436</v>
      </c>
      <c r="T39" s="1">
        <f ca="1">_xlfn.FLOOR.MATH('206_副本挂机'!L39)</f>
        <v>22</v>
      </c>
      <c r="U39" s="1">
        <f ca="1">MIN(OFFSET(控制台!$J$374,MATCH(T39,控制台!$B$374:$B$445,1)-1,0)+1,32)</f>
        <v>21</v>
      </c>
      <c r="W39" s="1">
        <f>控制台!B2398</f>
        <v>34</v>
      </c>
      <c r="X39" s="1">
        <f>_xlfn.FLOOR.MATH(控制台!C2398)</f>
        <v>80</v>
      </c>
    </row>
    <row r="40" spans="1:24">
      <c r="A40" s="1">
        <f>'107_兵卡等级'!B40</f>
        <v>35</v>
      </c>
      <c r="B40" s="1">
        <f ca="1">'107_兵卡等级'!L40</f>
        <v>2.5</v>
      </c>
      <c r="C40" s="1">
        <f ca="1">OFFSET(养成规划!$B$6,MATCH(B40,养成规划!$B$6:$B$77,1)-1,0)</f>
        <v>2.5</v>
      </c>
      <c r="D40" s="1">
        <f ca="1">MAX(3,OFFSET(养成规划!$X$6,MATCH(C40,养成规划!$B$6:$B$77,0)-1,0))</f>
        <v>5</v>
      </c>
      <c r="E40" s="1">
        <f ca="1">MAX(1,OFFSET(控制台!$J$374,MATCH(C40,控制台!$B$374:$B$445,0)-1,0))</f>
        <v>11</v>
      </c>
      <c r="F40" s="1">
        <f ca="1">MAX(1,OFFSET(养成规划!$V$6,MATCH(C40,养成规划!$S$6:$S$77,0)-1,0))</f>
        <v>4</v>
      </c>
      <c r="G40" s="1">
        <f ca="1">MAX(9,OFFSET(控制台!$L$374,MATCH(C40,控制台!$B$374:$B$445,0)-1,0))</f>
        <v>39</v>
      </c>
      <c r="H40" s="1">
        <f ca="1">MAX(1,_xlfn.FLOOR.MATH(OFFSET(养成规划!$Y$6,MATCH(C40,养成规划!$B$6:$B$77,0)-1,0)/100))</f>
        <v>1</v>
      </c>
      <c r="I40" s="1">
        <f ca="1">MAX(1,MOD(OFFSET(养成规划!$Y$6,MATCH(C40,养成规划!$B$6:$B$77,0)-1,0),100))</f>
        <v>2</v>
      </c>
      <c r="J40" s="1" t="str">
        <f ca="1">OFFSET(养成规划!$Z$6,MATCH(C40,养成规划!$B$6:$B$77,0)-1,0)</f>
        <v>无</v>
      </c>
      <c r="K40" s="1">
        <f ca="1">OFFSET(养成规划!$AB$6,MATCH(C40,养成规划!$B$6:$B$77,0)-1,0)</f>
        <v>10</v>
      </c>
      <c r="L40" s="1">
        <f ca="1">OFFSET(养成规划!$AC$6,MATCH(C40,养成规划!$B$6:$B$77,0)-1,0)</f>
        <v>2</v>
      </c>
      <c r="M40" s="14">
        <f ca="1">OFFSET(控制台!$R$476,MATCH(C40,控制台!$B$476:$B$547,0)-1,0)</f>
        <v>0.05</v>
      </c>
      <c r="N40" s="14">
        <f ca="1">OFFSET(控制台!$S$476,MATCH(C40,控制台!$B$476:$B$547,0)-1,0)</f>
        <v>0.05</v>
      </c>
      <c r="O40" s="14">
        <f ca="1">OFFSET(控制台!$U$5057,MATCH(C40,控制台!$B$5057:$B$5128,0)-1,0)</f>
        <v>0</v>
      </c>
      <c r="P40" s="14">
        <f ca="1">OFFSET(控制台!$V$5057,MATCH(C40,控制台!$B$5057:$B$5128,0)-1,0)</f>
        <v>0</v>
      </c>
      <c r="Q40" s="14">
        <f ca="1">OFFSET(控制台!$T$5057,MATCH(C40,控制台!$B$5057:$B$5128,0)-1,0)</f>
        <v>0</v>
      </c>
      <c r="S40" s="1">
        <f>'206_副本挂机'!B40*100+'206_副本挂机'!C40*4</f>
        <v>440</v>
      </c>
      <c r="T40" s="1">
        <f ca="1">_xlfn.FLOOR.MATH('206_副本挂机'!L40)</f>
        <v>23</v>
      </c>
      <c r="U40" s="1">
        <f ca="1">MIN(OFFSET(控制台!$J$374,MATCH(T40,控制台!$B$374:$B$445,1)-1,0)+1,32)</f>
        <v>22</v>
      </c>
      <c r="W40" s="1">
        <f>控制台!B2399</f>
        <v>35</v>
      </c>
      <c r="X40" s="1">
        <f>_xlfn.FLOOR.MATH(控制台!C2399)</f>
        <v>85</v>
      </c>
    </row>
    <row r="41" spans="1:24">
      <c r="A41" s="1">
        <f>'107_兵卡等级'!B41</f>
        <v>36</v>
      </c>
      <c r="B41" s="1">
        <f ca="1">'107_兵卡等级'!L41</f>
        <v>2.6</v>
      </c>
      <c r="C41" s="1">
        <f ca="1">OFFSET(养成规划!$B$6,MATCH(B41,养成规划!$B$6:$B$77,1)-1,0)</f>
        <v>2.5</v>
      </c>
      <c r="D41" s="1">
        <f ca="1">MAX(3,OFFSET(养成规划!$X$6,MATCH(C41,养成规划!$B$6:$B$77,0)-1,0))</f>
        <v>5</v>
      </c>
      <c r="E41" s="1">
        <f ca="1">MAX(1,OFFSET(控制台!$J$374,MATCH(C41,控制台!$B$374:$B$445,0)-1,0))</f>
        <v>11</v>
      </c>
      <c r="F41" s="1">
        <f ca="1">MAX(1,OFFSET(养成规划!$V$6,MATCH(C41,养成规划!$S$6:$S$77,0)-1,0))</f>
        <v>4</v>
      </c>
      <c r="G41" s="1">
        <f ca="1">MAX(9,OFFSET(控制台!$L$374,MATCH(C41,控制台!$B$374:$B$445,0)-1,0))</f>
        <v>39</v>
      </c>
      <c r="H41" s="1">
        <f ca="1">MAX(1,_xlfn.FLOOR.MATH(OFFSET(养成规划!$Y$6,MATCH(C41,养成规划!$B$6:$B$77,0)-1,0)/100))</f>
        <v>1</v>
      </c>
      <c r="I41" s="1">
        <f ca="1">MAX(1,MOD(OFFSET(养成规划!$Y$6,MATCH(C41,养成规划!$B$6:$B$77,0)-1,0),100))</f>
        <v>2</v>
      </c>
      <c r="J41" s="1" t="str">
        <f ca="1">OFFSET(养成规划!$Z$6,MATCH(C41,养成规划!$B$6:$B$77,0)-1,0)</f>
        <v>无</v>
      </c>
      <c r="K41" s="1">
        <f ca="1">OFFSET(养成规划!$AB$6,MATCH(C41,养成规划!$B$6:$B$77,0)-1,0)</f>
        <v>10</v>
      </c>
      <c r="L41" s="1">
        <f ca="1">OFFSET(养成规划!$AC$6,MATCH(C41,养成规划!$B$6:$B$77,0)-1,0)</f>
        <v>2</v>
      </c>
      <c r="M41" s="14">
        <f ca="1">OFFSET(控制台!$R$476,MATCH(C41,控制台!$B$476:$B$547,0)-1,0)</f>
        <v>0.05</v>
      </c>
      <c r="N41" s="14">
        <f ca="1">OFFSET(控制台!$S$476,MATCH(C41,控制台!$B$476:$B$547,0)-1,0)</f>
        <v>0.05</v>
      </c>
      <c r="O41" s="14">
        <f ca="1">OFFSET(控制台!$U$5057,MATCH(C41,控制台!$B$5057:$B$5128,0)-1,0)</f>
        <v>0</v>
      </c>
      <c r="P41" s="14">
        <f ca="1">OFFSET(控制台!$V$5057,MATCH(C41,控制台!$B$5057:$B$5128,0)-1,0)</f>
        <v>0</v>
      </c>
      <c r="Q41" s="14">
        <f ca="1">OFFSET(控制台!$T$5057,MATCH(C41,控制台!$B$5057:$B$5128,0)-1,0)</f>
        <v>0</v>
      </c>
      <c r="S41" s="1">
        <f>'206_副本挂机'!B41*100+'206_副本挂机'!C41*4</f>
        <v>504</v>
      </c>
      <c r="T41" s="1">
        <f ca="1">_xlfn.FLOOR.MATH('206_副本挂机'!L41)</f>
        <v>24</v>
      </c>
      <c r="U41" s="1">
        <f ca="1">MIN(OFFSET(控制台!$J$374,MATCH(T41,控制台!$B$374:$B$445,1)-1,0)+1,32)</f>
        <v>22</v>
      </c>
      <c r="W41" s="1">
        <f>控制台!B2400</f>
        <v>36</v>
      </c>
      <c r="X41" s="1">
        <f>_xlfn.FLOOR.MATH(控制台!C2400)</f>
        <v>120</v>
      </c>
    </row>
    <row r="42" spans="1:24">
      <c r="A42" s="1">
        <f>'107_兵卡等级'!B42</f>
        <v>37</v>
      </c>
      <c r="B42" s="1">
        <f ca="1">'107_兵卡等级'!L42</f>
        <v>2.7</v>
      </c>
      <c r="C42" s="1">
        <f ca="1">OFFSET(养成规划!$B$6,MATCH(B42,养成规划!$B$6:$B$77,1)-1,0)</f>
        <v>2.5</v>
      </c>
      <c r="D42" s="1">
        <f ca="1">MAX(3,OFFSET(养成规划!$X$6,MATCH(C42,养成规划!$B$6:$B$77,0)-1,0))</f>
        <v>5</v>
      </c>
      <c r="E42" s="1">
        <f ca="1">MAX(1,OFFSET(控制台!$J$374,MATCH(C42,控制台!$B$374:$B$445,0)-1,0))</f>
        <v>11</v>
      </c>
      <c r="F42" s="1">
        <f ca="1">MAX(1,OFFSET(养成规划!$V$6,MATCH(C42,养成规划!$S$6:$S$77,0)-1,0))</f>
        <v>4</v>
      </c>
      <c r="G42" s="1">
        <f ca="1">MAX(9,OFFSET(控制台!$L$374,MATCH(C42,控制台!$B$374:$B$445,0)-1,0))</f>
        <v>39</v>
      </c>
      <c r="H42" s="1">
        <f ca="1">MAX(1,_xlfn.FLOOR.MATH(OFFSET(养成规划!$Y$6,MATCH(C42,养成规划!$B$6:$B$77,0)-1,0)/100))</f>
        <v>1</v>
      </c>
      <c r="I42" s="1">
        <f ca="1">MAX(1,MOD(OFFSET(养成规划!$Y$6,MATCH(C42,养成规划!$B$6:$B$77,0)-1,0),100))</f>
        <v>2</v>
      </c>
      <c r="J42" s="1" t="str">
        <f ca="1">OFFSET(养成规划!$Z$6,MATCH(C42,养成规划!$B$6:$B$77,0)-1,0)</f>
        <v>无</v>
      </c>
      <c r="K42" s="1">
        <f ca="1">OFFSET(养成规划!$AB$6,MATCH(C42,养成规划!$B$6:$B$77,0)-1,0)</f>
        <v>10</v>
      </c>
      <c r="L42" s="1">
        <f ca="1">OFFSET(养成规划!$AC$6,MATCH(C42,养成规划!$B$6:$B$77,0)-1,0)</f>
        <v>2</v>
      </c>
      <c r="M42" s="14">
        <f ca="1">OFFSET(控制台!$R$476,MATCH(C42,控制台!$B$476:$B$547,0)-1,0)</f>
        <v>0.05</v>
      </c>
      <c r="N42" s="14">
        <f ca="1">OFFSET(控制台!$S$476,MATCH(C42,控制台!$B$476:$B$547,0)-1,0)</f>
        <v>0.05</v>
      </c>
      <c r="O42" s="14">
        <f ca="1">OFFSET(控制台!$U$5057,MATCH(C42,控制台!$B$5057:$B$5128,0)-1,0)</f>
        <v>0</v>
      </c>
      <c r="P42" s="14">
        <f ca="1">OFFSET(控制台!$V$5057,MATCH(C42,控制台!$B$5057:$B$5128,0)-1,0)</f>
        <v>0</v>
      </c>
      <c r="Q42" s="14">
        <f ca="1">OFFSET(控制台!$T$5057,MATCH(C42,控制台!$B$5057:$B$5128,0)-1,0)</f>
        <v>0</v>
      </c>
      <c r="S42" s="1">
        <f>'206_副本挂机'!B42*100+'206_副本挂机'!C42*4</f>
        <v>508</v>
      </c>
      <c r="T42" s="1">
        <f ca="1">_xlfn.FLOOR.MATH('206_副本挂机'!L42)</f>
        <v>25</v>
      </c>
      <c r="U42" s="1">
        <f ca="1">MIN(OFFSET(控制台!$J$374,MATCH(T42,控制台!$B$374:$B$445,1)-1,0)+1,32)</f>
        <v>22</v>
      </c>
      <c r="W42" s="1">
        <f>控制台!B2401</f>
        <v>37</v>
      </c>
      <c r="X42" s="1">
        <f>_xlfn.FLOOR.MATH(控制台!C2401)</f>
        <v>123</v>
      </c>
    </row>
    <row r="43" spans="1:24">
      <c r="A43" s="1">
        <f>'107_兵卡等级'!B43</f>
        <v>38</v>
      </c>
      <c r="B43" s="1">
        <f ca="1">'107_兵卡等级'!L43</f>
        <v>2.8</v>
      </c>
      <c r="C43" s="1">
        <f ca="1">OFFSET(养成规划!$B$6,MATCH(B43,养成规划!$B$6:$B$77,1)-1,0)</f>
        <v>2.5</v>
      </c>
      <c r="D43" s="1">
        <f ca="1">MAX(3,OFFSET(养成规划!$X$6,MATCH(C43,养成规划!$B$6:$B$77,0)-1,0))</f>
        <v>5</v>
      </c>
      <c r="E43" s="1">
        <f ca="1">MAX(1,OFFSET(控制台!$J$374,MATCH(C43,控制台!$B$374:$B$445,0)-1,0))</f>
        <v>11</v>
      </c>
      <c r="F43" s="1">
        <f ca="1">MAX(1,OFFSET(养成规划!$V$6,MATCH(C43,养成规划!$S$6:$S$77,0)-1,0))</f>
        <v>4</v>
      </c>
      <c r="G43" s="1">
        <f ca="1">MAX(9,OFFSET(控制台!$L$374,MATCH(C43,控制台!$B$374:$B$445,0)-1,0))</f>
        <v>39</v>
      </c>
      <c r="H43" s="1">
        <f ca="1">MAX(1,_xlfn.FLOOR.MATH(OFFSET(养成规划!$Y$6,MATCH(C43,养成规划!$B$6:$B$77,0)-1,0)/100))</f>
        <v>1</v>
      </c>
      <c r="I43" s="1">
        <f ca="1">MAX(1,MOD(OFFSET(养成规划!$Y$6,MATCH(C43,养成规划!$B$6:$B$77,0)-1,0),100))</f>
        <v>2</v>
      </c>
      <c r="J43" s="1" t="str">
        <f ca="1">OFFSET(养成规划!$Z$6,MATCH(C43,养成规划!$B$6:$B$77,0)-1,0)</f>
        <v>无</v>
      </c>
      <c r="K43" s="1">
        <f ca="1">OFFSET(养成规划!$AB$6,MATCH(C43,养成规划!$B$6:$B$77,0)-1,0)</f>
        <v>10</v>
      </c>
      <c r="L43" s="1">
        <f ca="1">OFFSET(养成规划!$AC$6,MATCH(C43,养成规划!$B$6:$B$77,0)-1,0)</f>
        <v>2</v>
      </c>
      <c r="M43" s="14">
        <f ca="1">OFFSET(控制台!$R$476,MATCH(C43,控制台!$B$476:$B$547,0)-1,0)</f>
        <v>0.05</v>
      </c>
      <c r="N43" s="14">
        <f ca="1">OFFSET(控制台!$S$476,MATCH(C43,控制台!$B$476:$B$547,0)-1,0)</f>
        <v>0.05</v>
      </c>
      <c r="O43" s="14">
        <f ca="1">OFFSET(控制台!$U$5057,MATCH(C43,控制台!$B$5057:$B$5128,0)-1,0)</f>
        <v>0</v>
      </c>
      <c r="P43" s="14">
        <f ca="1">OFFSET(控制台!$V$5057,MATCH(C43,控制台!$B$5057:$B$5128,0)-1,0)</f>
        <v>0</v>
      </c>
      <c r="Q43" s="14">
        <f ca="1">OFFSET(控制台!$T$5057,MATCH(C43,控制台!$B$5057:$B$5128,0)-1,0)</f>
        <v>0</v>
      </c>
      <c r="S43" s="1">
        <f>'206_副本挂机'!B43*100+'206_副本挂机'!C43*4</f>
        <v>512</v>
      </c>
      <c r="T43" s="1">
        <f ca="1">_xlfn.FLOOR.MATH('206_副本挂机'!L43)</f>
        <v>26</v>
      </c>
      <c r="U43" s="1">
        <f ca="1">MIN(OFFSET(控制台!$J$374,MATCH(T43,控制台!$B$374:$B$445,1)-1,0)+1,32)</f>
        <v>23</v>
      </c>
      <c r="W43" s="1">
        <f>控制台!B2402</f>
        <v>38</v>
      </c>
      <c r="X43" s="1">
        <f>_xlfn.FLOOR.MATH(控制台!C2402)</f>
        <v>126</v>
      </c>
    </row>
    <row r="44" spans="1:24">
      <c r="A44" s="1">
        <f>'107_兵卡等级'!B44</f>
        <v>39</v>
      </c>
      <c r="B44" s="1">
        <f ca="1">'107_兵卡等级'!L44</f>
        <v>2.9</v>
      </c>
      <c r="C44" s="1">
        <f ca="1">OFFSET(养成规划!$B$6,MATCH(B44,养成规划!$B$6:$B$77,1)-1,0)</f>
        <v>2.5</v>
      </c>
      <c r="D44" s="1">
        <f ca="1">MAX(3,OFFSET(养成规划!$X$6,MATCH(C44,养成规划!$B$6:$B$77,0)-1,0))</f>
        <v>5</v>
      </c>
      <c r="E44" s="1">
        <f ca="1">MAX(1,OFFSET(控制台!$J$374,MATCH(C44,控制台!$B$374:$B$445,0)-1,0))</f>
        <v>11</v>
      </c>
      <c r="F44" s="1">
        <f ca="1">MAX(1,OFFSET(养成规划!$V$6,MATCH(C44,养成规划!$S$6:$S$77,0)-1,0))</f>
        <v>4</v>
      </c>
      <c r="G44" s="1">
        <f ca="1">MAX(9,OFFSET(控制台!$L$374,MATCH(C44,控制台!$B$374:$B$445,0)-1,0))</f>
        <v>39</v>
      </c>
      <c r="H44" s="1">
        <f ca="1">MAX(1,_xlfn.FLOOR.MATH(OFFSET(养成规划!$Y$6,MATCH(C44,养成规划!$B$6:$B$77,0)-1,0)/100))</f>
        <v>1</v>
      </c>
      <c r="I44" s="1">
        <f ca="1">MAX(1,MOD(OFFSET(养成规划!$Y$6,MATCH(C44,养成规划!$B$6:$B$77,0)-1,0),100))</f>
        <v>2</v>
      </c>
      <c r="J44" s="1" t="str">
        <f ca="1">OFFSET(养成规划!$Z$6,MATCH(C44,养成规划!$B$6:$B$77,0)-1,0)</f>
        <v>无</v>
      </c>
      <c r="K44" s="1">
        <f ca="1">OFFSET(养成规划!$AB$6,MATCH(C44,养成规划!$B$6:$B$77,0)-1,0)</f>
        <v>10</v>
      </c>
      <c r="L44" s="1">
        <f ca="1">OFFSET(养成规划!$AC$6,MATCH(C44,养成规划!$B$6:$B$77,0)-1,0)</f>
        <v>2</v>
      </c>
      <c r="M44" s="14">
        <f ca="1">OFFSET(控制台!$R$476,MATCH(C44,控制台!$B$476:$B$547,0)-1,0)</f>
        <v>0.05</v>
      </c>
      <c r="N44" s="14">
        <f ca="1">OFFSET(控制台!$S$476,MATCH(C44,控制台!$B$476:$B$547,0)-1,0)</f>
        <v>0.05</v>
      </c>
      <c r="O44" s="14">
        <f ca="1">OFFSET(控制台!$U$5057,MATCH(C44,控制台!$B$5057:$B$5128,0)-1,0)</f>
        <v>0</v>
      </c>
      <c r="P44" s="14">
        <f ca="1">OFFSET(控制台!$V$5057,MATCH(C44,控制台!$B$5057:$B$5128,0)-1,0)</f>
        <v>0</v>
      </c>
      <c r="Q44" s="14">
        <f ca="1">OFFSET(控制台!$T$5057,MATCH(C44,控制台!$B$5057:$B$5128,0)-1,0)</f>
        <v>0</v>
      </c>
      <c r="S44" s="1">
        <f>'206_副本挂机'!B44*100+'206_副本挂机'!C44*4</f>
        <v>516</v>
      </c>
      <c r="T44" s="1">
        <f ca="1">_xlfn.FLOOR.MATH('206_副本挂机'!L44)</f>
        <v>27</v>
      </c>
      <c r="U44" s="1">
        <f ca="1">MIN(OFFSET(控制台!$J$374,MATCH(T44,控制台!$B$374:$B$445,1)-1,0)+1,32)</f>
        <v>23</v>
      </c>
      <c r="W44" s="1">
        <f>控制台!B2403</f>
        <v>39</v>
      </c>
      <c r="X44" s="1">
        <f>_xlfn.FLOOR.MATH(控制台!C2403)</f>
        <v>129</v>
      </c>
    </row>
    <row r="45" spans="1:24">
      <c r="A45" s="1">
        <f>'107_兵卡等级'!B45</f>
        <v>40</v>
      </c>
      <c r="B45" s="1">
        <f ca="1">'107_兵卡等级'!L45</f>
        <v>3</v>
      </c>
      <c r="C45" s="1">
        <f ca="1">OFFSET(养成规划!$B$6,MATCH(B45,养成规划!$B$6:$B$77,1)-1,0)</f>
        <v>3</v>
      </c>
      <c r="D45" s="1">
        <f ca="1">MAX(3,OFFSET(养成规划!$X$6,MATCH(C45,养成规划!$B$6:$B$77,0)-1,0))</f>
        <v>5</v>
      </c>
      <c r="E45" s="1">
        <f ca="1">MAX(1,OFFSET(控制台!$J$374,MATCH(C45,控制台!$B$374:$B$445,0)-1,0))</f>
        <v>12</v>
      </c>
      <c r="F45" s="1">
        <f ca="1">MAX(1,OFFSET(养成规划!$V$6,MATCH(C45,养成规划!$S$6:$S$77,0)-1,0))</f>
        <v>4</v>
      </c>
      <c r="G45" s="1">
        <f ca="1">MAX(9,OFFSET(控制台!$L$374,MATCH(C45,控制台!$B$374:$B$445,0)-1,0))</f>
        <v>42</v>
      </c>
      <c r="H45" s="1">
        <f ca="1">MAX(1,_xlfn.FLOOR.MATH(OFFSET(养成规划!$Y$6,MATCH(C45,养成规划!$B$6:$B$77,0)-1,0)/100))</f>
        <v>1</v>
      </c>
      <c r="I45" s="1">
        <f ca="1">MAX(1,MOD(OFFSET(养成规划!$Y$6,MATCH(C45,养成规划!$B$6:$B$77,0)-1,0),100))</f>
        <v>2</v>
      </c>
      <c r="J45" s="1" t="str">
        <f ca="1">OFFSET(养成规划!$Z$6,MATCH(C45,养成规划!$B$6:$B$77,0)-1,0)</f>
        <v>无</v>
      </c>
      <c r="K45" s="1">
        <f ca="1">OFFSET(养成规划!$AB$6,MATCH(C45,养成规划!$B$6:$B$77,0)-1,0)</f>
        <v>10</v>
      </c>
      <c r="L45" s="1">
        <f ca="1">OFFSET(养成规划!$AC$6,MATCH(C45,养成规划!$B$6:$B$77,0)-1,0)</f>
        <v>2</v>
      </c>
      <c r="M45" s="14">
        <f ca="1">OFFSET(控制台!$R$476,MATCH(C45,控制台!$B$476:$B$547,0)-1,0)</f>
        <v>0.05</v>
      </c>
      <c r="N45" s="14">
        <f ca="1">OFFSET(控制台!$S$476,MATCH(C45,控制台!$B$476:$B$547,0)-1,0)</f>
        <v>0.05</v>
      </c>
      <c r="O45" s="14">
        <f ca="1">OFFSET(控制台!$U$5057,MATCH(C45,控制台!$B$5057:$B$5128,0)-1,0)</f>
        <v>0</v>
      </c>
      <c r="P45" s="14">
        <f ca="1">OFFSET(控制台!$V$5057,MATCH(C45,控制台!$B$5057:$B$5128,0)-1,0)</f>
        <v>0</v>
      </c>
      <c r="Q45" s="14">
        <f ca="1">OFFSET(控制台!$T$5057,MATCH(C45,控制台!$B$5057:$B$5128,0)-1,0)</f>
        <v>0</v>
      </c>
      <c r="S45" s="1">
        <f>'206_副本挂机'!B45*100+'206_副本挂机'!C45*4</f>
        <v>520</v>
      </c>
      <c r="T45" s="1">
        <f ca="1">_xlfn.FLOOR.MATH('206_副本挂机'!L45)</f>
        <v>29</v>
      </c>
      <c r="U45" s="1">
        <f ca="1">MIN(OFFSET(控制台!$J$374,MATCH(T45,控制台!$B$374:$B$445,1)-1,0)+1,32)</f>
        <v>23</v>
      </c>
      <c r="W45" s="1">
        <f>控制台!B2404</f>
        <v>40</v>
      </c>
      <c r="X45" s="1">
        <f>_xlfn.FLOOR.MATH(控制台!C2404)</f>
        <v>133</v>
      </c>
    </row>
    <row r="46" spans="1:24">
      <c r="A46" s="1">
        <f>'107_兵卡等级'!B46</f>
        <v>41</v>
      </c>
      <c r="B46" s="1">
        <f ca="1">'107_兵卡等级'!L46</f>
        <v>3.4</v>
      </c>
      <c r="C46" s="1">
        <f ca="1">OFFSET(养成规划!$B$6,MATCH(B46,养成规划!$B$6:$B$77,1)-1,0)</f>
        <v>3</v>
      </c>
      <c r="D46" s="1">
        <f ca="1">MAX(3,OFFSET(养成规划!$X$6,MATCH(C46,养成规划!$B$6:$B$77,0)-1,0))</f>
        <v>5</v>
      </c>
      <c r="E46" s="1">
        <f ca="1">MAX(1,OFFSET(控制台!$J$374,MATCH(C46,控制台!$B$374:$B$445,0)-1,0))</f>
        <v>12</v>
      </c>
      <c r="F46" s="1">
        <f ca="1">MAX(1,OFFSET(养成规划!$V$6,MATCH(C46,养成规划!$S$6:$S$77,0)-1,0))</f>
        <v>4</v>
      </c>
      <c r="G46" s="1">
        <f ca="1">MAX(9,OFFSET(控制台!$L$374,MATCH(C46,控制台!$B$374:$B$445,0)-1,0))</f>
        <v>42</v>
      </c>
      <c r="H46" s="1">
        <f ca="1">MAX(1,_xlfn.FLOOR.MATH(OFFSET(养成规划!$Y$6,MATCH(C46,养成规划!$B$6:$B$77,0)-1,0)/100))</f>
        <v>1</v>
      </c>
      <c r="I46" s="1">
        <f ca="1">MAX(1,MOD(OFFSET(养成规划!$Y$6,MATCH(C46,养成规划!$B$6:$B$77,0)-1,0),100))</f>
        <v>2</v>
      </c>
      <c r="J46" s="1" t="str">
        <f ca="1">OFFSET(养成规划!$Z$6,MATCH(C46,养成规划!$B$6:$B$77,0)-1,0)</f>
        <v>无</v>
      </c>
      <c r="K46" s="1">
        <f ca="1">OFFSET(养成规划!$AB$6,MATCH(C46,养成规划!$B$6:$B$77,0)-1,0)</f>
        <v>10</v>
      </c>
      <c r="L46" s="1">
        <f ca="1">OFFSET(养成规划!$AC$6,MATCH(C46,养成规划!$B$6:$B$77,0)-1,0)</f>
        <v>2</v>
      </c>
      <c r="M46" s="14">
        <f ca="1">OFFSET(控制台!$R$476,MATCH(C46,控制台!$B$476:$B$547,0)-1,0)</f>
        <v>0.05</v>
      </c>
      <c r="N46" s="14">
        <f ca="1">OFFSET(控制台!$S$476,MATCH(C46,控制台!$B$476:$B$547,0)-1,0)</f>
        <v>0.05</v>
      </c>
      <c r="O46" s="14">
        <f ca="1">OFFSET(控制台!$U$5057,MATCH(C46,控制台!$B$5057:$B$5128,0)-1,0)</f>
        <v>0</v>
      </c>
      <c r="P46" s="14">
        <f ca="1">OFFSET(控制台!$V$5057,MATCH(C46,控制台!$B$5057:$B$5128,0)-1,0)</f>
        <v>0</v>
      </c>
      <c r="Q46" s="14">
        <f ca="1">OFFSET(控制台!$T$5057,MATCH(C46,控制台!$B$5057:$B$5128,0)-1,0)</f>
        <v>0</v>
      </c>
      <c r="S46" s="1">
        <f>'206_副本挂机'!B46*100+'206_副本挂机'!C46*4</f>
        <v>524</v>
      </c>
      <c r="T46" s="1">
        <f ca="1">_xlfn.FLOOR.MATH('206_副本挂机'!L46)</f>
        <v>30</v>
      </c>
      <c r="U46" s="1">
        <f ca="1">MIN(OFFSET(控制台!$J$374,MATCH(T46,控制台!$B$374:$B$445,1)-1,0)+1,32)</f>
        <v>24</v>
      </c>
      <c r="W46" s="1">
        <f>控制台!B2405</f>
        <v>41</v>
      </c>
      <c r="X46" s="1">
        <f>_xlfn.FLOOR.MATH(控制台!C2405)</f>
        <v>135</v>
      </c>
    </row>
    <row r="47" spans="1:24">
      <c r="A47" s="1">
        <f>'107_兵卡等级'!B47</f>
        <v>42</v>
      </c>
      <c r="B47" s="1">
        <f ca="1">'107_兵卡等级'!L47</f>
        <v>3.8</v>
      </c>
      <c r="C47" s="1">
        <f ca="1">OFFSET(养成规划!$B$6,MATCH(B47,养成规划!$B$6:$B$77,1)-1,0)</f>
        <v>3.5</v>
      </c>
      <c r="D47" s="1">
        <f ca="1">MAX(3,OFFSET(养成规划!$X$6,MATCH(C47,养成规划!$B$6:$B$77,0)-1,0))</f>
        <v>5</v>
      </c>
      <c r="E47" s="1">
        <f ca="1">MAX(1,OFFSET(控制台!$J$374,MATCH(C47,控制台!$B$374:$B$445,0)-1,0))</f>
        <v>12</v>
      </c>
      <c r="F47" s="1">
        <f ca="1">MAX(1,OFFSET(养成规划!$V$6,MATCH(C47,养成规划!$S$6:$S$77,0)-1,0))</f>
        <v>4</v>
      </c>
      <c r="G47" s="1">
        <f ca="1">MAX(9,OFFSET(控制台!$L$374,MATCH(C47,控制台!$B$374:$B$445,0)-1,0))</f>
        <v>42</v>
      </c>
      <c r="H47" s="1">
        <f ca="1">MAX(1,_xlfn.FLOOR.MATH(OFFSET(养成规划!$Y$6,MATCH(C47,养成规划!$B$6:$B$77,0)-1,0)/100))</f>
        <v>1</v>
      </c>
      <c r="I47" s="1">
        <f ca="1">MAX(1,MOD(OFFSET(养成规划!$Y$6,MATCH(C47,养成规划!$B$6:$B$77,0)-1,0),100))</f>
        <v>2</v>
      </c>
      <c r="J47" s="1" t="str">
        <f ca="1">OFFSET(养成规划!$Z$6,MATCH(C47,养成规划!$B$6:$B$77,0)-1,0)</f>
        <v>无</v>
      </c>
      <c r="K47" s="1">
        <f ca="1">OFFSET(养成规划!$AB$6,MATCH(C47,养成规划!$B$6:$B$77,0)-1,0)</f>
        <v>10</v>
      </c>
      <c r="L47" s="1">
        <f ca="1">OFFSET(养成规划!$AC$6,MATCH(C47,养成规划!$B$6:$B$77,0)-1,0)</f>
        <v>2</v>
      </c>
      <c r="M47" s="14">
        <f ca="1">OFFSET(控制台!$R$476,MATCH(C47,控制台!$B$476:$B$547,0)-1,0)</f>
        <v>0.05</v>
      </c>
      <c r="N47" s="14">
        <f ca="1">OFFSET(控制台!$S$476,MATCH(C47,控制台!$B$476:$B$547,0)-1,0)</f>
        <v>0.05</v>
      </c>
      <c r="O47" s="14">
        <f ca="1">OFFSET(控制台!$U$5057,MATCH(C47,控制台!$B$5057:$B$5128,0)-1,0)</f>
        <v>0</v>
      </c>
      <c r="P47" s="14">
        <f ca="1">OFFSET(控制台!$V$5057,MATCH(C47,控制台!$B$5057:$B$5128,0)-1,0)</f>
        <v>0</v>
      </c>
      <c r="Q47" s="14">
        <f ca="1">OFFSET(控制台!$T$5057,MATCH(C47,控制台!$B$5057:$B$5128,0)-1,0)</f>
        <v>0</v>
      </c>
      <c r="S47" s="1">
        <f>'206_副本挂机'!B47*100+'206_副本挂机'!C47*4</f>
        <v>528</v>
      </c>
      <c r="T47" s="1">
        <f ca="1">_xlfn.FLOOR.MATH('206_副本挂机'!L47)</f>
        <v>31</v>
      </c>
      <c r="U47" s="1">
        <f ca="1">MIN(OFFSET(控制台!$J$374,MATCH(T47,控制台!$B$374:$B$445,1)-1,0)+1,32)</f>
        <v>24</v>
      </c>
      <c r="W47" s="1">
        <f>控制台!B2406</f>
        <v>42</v>
      </c>
      <c r="X47" s="1">
        <f>_xlfn.FLOOR.MATH(控制台!C2406)</f>
        <v>137</v>
      </c>
    </row>
    <row r="48" spans="1:24">
      <c r="A48" s="1">
        <f>'107_兵卡等级'!B48</f>
        <v>43</v>
      </c>
      <c r="B48" s="1">
        <f ca="1">'107_兵卡等级'!L48</f>
        <v>4.2</v>
      </c>
      <c r="C48" s="1">
        <f ca="1">OFFSET(养成规划!$B$6,MATCH(B48,养成规划!$B$6:$B$77,1)-1,0)</f>
        <v>4</v>
      </c>
      <c r="D48" s="1">
        <f ca="1">MAX(3,OFFSET(养成规划!$X$6,MATCH(C48,养成规划!$B$6:$B$77,0)-1,0))</f>
        <v>5</v>
      </c>
      <c r="E48" s="1">
        <f ca="1">MAX(1,OFFSET(控制台!$J$374,MATCH(C48,控制台!$B$374:$B$445,0)-1,0))</f>
        <v>13</v>
      </c>
      <c r="F48" s="1">
        <f ca="1">MAX(1,OFFSET(养成规划!$V$6,MATCH(C48,养成规划!$S$6:$S$77,0)-1,0))</f>
        <v>4</v>
      </c>
      <c r="G48" s="1">
        <f ca="1">MAX(9,OFFSET(控制台!$L$374,MATCH(C48,控制台!$B$374:$B$445,0)-1,0))</f>
        <v>45</v>
      </c>
      <c r="H48" s="1">
        <f ca="1">MAX(1,_xlfn.FLOOR.MATH(OFFSET(养成规划!$Y$6,MATCH(C48,养成规划!$B$6:$B$77,0)-1,0)/100))</f>
        <v>1</v>
      </c>
      <c r="I48" s="1">
        <f ca="1">MAX(1,MOD(OFFSET(养成规划!$Y$6,MATCH(C48,养成规划!$B$6:$B$77,0)-1,0),100))</f>
        <v>2</v>
      </c>
      <c r="J48" s="1" t="str">
        <f ca="1">OFFSET(养成规划!$Z$6,MATCH(C48,养成规划!$B$6:$B$77,0)-1,0)</f>
        <v>无</v>
      </c>
      <c r="K48" s="1">
        <f ca="1">OFFSET(养成规划!$AB$6,MATCH(C48,养成规划!$B$6:$B$77,0)-1,0)</f>
        <v>20</v>
      </c>
      <c r="L48" s="1">
        <f ca="1">OFFSET(养成规划!$AC$6,MATCH(C48,养成规划!$B$6:$B$77,0)-1,0)</f>
        <v>2</v>
      </c>
      <c r="M48" s="14">
        <f ca="1">OFFSET(控制台!$R$476,MATCH(C48,控制台!$B$476:$B$547,0)-1,0)</f>
        <v>0.05</v>
      </c>
      <c r="N48" s="14">
        <f ca="1">OFFSET(控制台!$S$476,MATCH(C48,控制台!$B$476:$B$547,0)-1,0)</f>
        <v>0.05</v>
      </c>
      <c r="O48" s="14">
        <f ca="1">OFFSET(控制台!$U$5057,MATCH(C48,控制台!$B$5057:$B$5128,0)-1,0)</f>
        <v>0</v>
      </c>
      <c r="P48" s="14">
        <f ca="1">OFFSET(控制台!$V$5057,MATCH(C48,控制台!$B$5057:$B$5128,0)-1,0)</f>
        <v>0</v>
      </c>
      <c r="Q48" s="14">
        <f ca="1">OFFSET(控制台!$T$5057,MATCH(C48,控制台!$B$5057:$B$5128,0)-1,0)</f>
        <v>0</v>
      </c>
      <c r="S48" s="1">
        <f>'206_副本挂机'!B48*100+'206_副本挂机'!C48*4</f>
        <v>532</v>
      </c>
      <c r="T48" s="1">
        <f ca="1">_xlfn.FLOOR.MATH('206_副本挂机'!L48)</f>
        <v>32</v>
      </c>
      <c r="U48" s="1">
        <f ca="1">MIN(OFFSET(控制台!$J$374,MATCH(T48,控制台!$B$374:$B$445,1)-1,0)+1,32)</f>
        <v>24</v>
      </c>
      <c r="W48" s="1">
        <f>控制台!B2407</f>
        <v>43</v>
      </c>
      <c r="X48" s="1">
        <f>_xlfn.FLOOR.MATH(控制台!C2407)</f>
        <v>139</v>
      </c>
    </row>
    <row r="49" spans="1:24">
      <c r="A49" s="1">
        <f>'107_兵卡等级'!B49</f>
        <v>44</v>
      </c>
      <c r="B49" s="1">
        <f ca="1">'107_兵卡等级'!L49</f>
        <v>4.6</v>
      </c>
      <c r="C49" s="1">
        <f ca="1">OFFSET(养成规划!$B$6,MATCH(B49,养成规划!$B$6:$B$77,1)-1,0)</f>
        <v>4.5</v>
      </c>
      <c r="D49" s="1">
        <f ca="1">MAX(3,OFFSET(养成规划!$X$6,MATCH(C49,养成规划!$B$6:$B$77,0)-1,0))</f>
        <v>5</v>
      </c>
      <c r="E49" s="1">
        <f ca="1">MAX(1,OFFSET(控制台!$J$374,MATCH(C49,控制台!$B$374:$B$445,0)-1,0))</f>
        <v>13</v>
      </c>
      <c r="F49" s="1">
        <f ca="1">MAX(1,OFFSET(养成规划!$V$6,MATCH(C49,养成规划!$S$6:$S$77,0)-1,0))</f>
        <v>4</v>
      </c>
      <c r="G49" s="1">
        <f ca="1">MAX(9,OFFSET(控制台!$L$374,MATCH(C49,控制台!$B$374:$B$445,0)-1,0))</f>
        <v>45</v>
      </c>
      <c r="H49" s="1">
        <f ca="1">MAX(1,_xlfn.FLOOR.MATH(OFFSET(养成规划!$Y$6,MATCH(C49,养成规划!$B$6:$B$77,0)-1,0)/100))</f>
        <v>1</v>
      </c>
      <c r="I49" s="1">
        <f ca="1">MAX(1,MOD(OFFSET(养成规划!$Y$6,MATCH(C49,养成规划!$B$6:$B$77,0)-1,0),100))</f>
        <v>2</v>
      </c>
      <c r="J49" s="1" t="str">
        <f ca="1">OFFSET(养成规划!$Z$6,MATCH(C49,养成规划!$B$6:$B$77,0)-1,0)</f>
        <v>无</v>
      </c>
      <c r="K49" s="1">
        <f ca="1">OFFSET(养成规划!$AB$6,MATCH(C49,养成规划!$B$6:$B$77,0)-1,0)</f>
        <v>20</v>
      </c>
      <c r="L49" s="1">
        <f ca="1">OFFSET(养成规划!$AC$6,MATCH(C49,养成规划!$B$6:$B$77,0)-1,0)</f>
        <v>3</v>
      </c>
      <c r="M49" s="14">
        <f ca="1">OFFSET(控制台!$R$476,MATCH(C49,控制台!$B$476:$B$547,0)-1,0)</f>
        <v>0.05</v>
      </c>
      <c r="N49" s="14">
        <f ca="1">OFFSET(控制台!$S$476,MATCH(C49,控制台!$B$476:$B$547,0)-1,0)</f>
        <v>0.15</v>
      </c>
      <c r="O49" s="14">
        <f ca="1">OFFSET(控制台!$U$5057,MATCH(C49,控制台!$B$5057:$B$5128,0)-1,0)</f>
        <v>0</v>
      </c>
      <c r="P49" s="14">
        <f ca="1">OFFSET(控制台!$V$5057,MATCH(C49,控制台!$B$5057:$B$5128,0)-1,0)</f>
        <v>0</v>
      </c>
      <c r="Q49" s="14">
        <f ca="1">OFFSET(控制台!$T$5057,MATCH(C49,控制台!$B$5057:$B$5128,0)-1,0)</f>
        <v>0</v>
      </c>
      <c r="S49" s="1">
        <f>'206_副本挂机'!B49*100+'206_副本挂机'!C49*4</f>
        <v>536</v>
      </c>
      <c r="T49" s="1">
        <f ca="1">_xlfn.FLOOR.MATH('206_副本挂机'!L49)</f>
        <v>33</v>
      </c>
      <c r="U49" s="1">
        <f ca="1">MIN(OFFSET(控制台!$J$374,MATCH(T49,控制台!$B$374:$B$445,1)-1,0)+1,32)</f>
        <v>24</v>
      </c>
      <c r="W49" s="1">
        <f>控制台!B2408</f>
        <v>44</v>
      </c>
      <c r="X49" s="1">
        <f>_xlfn.FLOOR.MATH(控制台!C2408)</f>
        <v>141</v>
      </c>
    </row>
    <row r="50" spans="1:24">
      <c r="A50" s="1">
        <f>'107_兵卡等级'!B50</f>
        <v>45</v>
      </c>
      <c r="B50" s="1">
        <f ca="1">'107_兵卡等级'!L50</f>
        <v>5</v>
      </c>
      <c r="C50" s="1">
        <f ca="1">OFFSET(养成规划!$B$6,MATCH(B50,养成规划!$B$6:$B$77,1)-1,0)</f>
        <v>5</v>
      </c>
      <c r="D50" s="1">
        <f ca="1">MAX(3,OFFSET(养成规划!$X$6,MATCH(C50,养成规划!$B$6:$B$77,0)-1,0))</f>
        <v>5</v>
      </c>
      <c r="E50" s="1">
        <f ca="1">MAX(1,OFFSET(控制台!$J$374,MATCH(C50,控制台!$B$374:$B$445,0)-1,0))</f>
        <v>14</v>
      </c>
      <c r="F50" s="1">
        <f ca="1">MAX(1,OFFSET(养成规划!$V$6,MATCH(C50,养成规划!$S$6:$S$77,0)-1,0))</f>
        <v>4</v>
      </c>
      <c r="G50" s="1">
        <f ca="1">MAX(9,OFFSET(控制台!$L$374,MATCH(C50,控制台!$B$374:$B$445,0)-1,0))</f>
        <v>48</v>
      </c>
      <c r="H50" s="1">
        <f ca="1">MAX(1,_xlfn.FLOOR.MATH(OFFSET(养成规划!$Y$6,MATCH(C50,养成规划!$B$6:$B$77,0)-1,0)/100))</f>
        <v>1</v>
      </c>
      <c r="I50" s="1">
        <f ca="1">MAX(1,MOD(OFFSET(养成规划!$Y$6,MATCH(C50,养成规划!$B$6:$B$77,0)-1,0),100))</f>
        <v>3</v>
      </c>
      <c r="J50" s="1" t="str">
        <f ca="1">OFFSET(养成规划!$Z$6,MATCH(C50,养成规划!$B$6:$B$77,0)-1,0)</f>
        <v>无</v>
      </c>
      <c r="K50" s="1">
        <f ca="1">OFFSET(养成规划!$AB$6,MATCH(C50,养成规划!$B$6:$B$77,0)-1,0)</f>
        <v>20</v>
      </c>
      <c r="L50" s="1">
        <f ca="1">OFFSET(养成规划!$AC$6,MATCH(C50,养成规划!$B$6:$B$77,0)-1,0)</f>
        <v>3</v>
      </c>
      <c r="M50" s="14">
        <f ca="1">OFFSET(控制台!$R$476,MATCH(C50,控制台!$B$476:$B$547,0)-1,0)</f>
        <v>0.05</v>
      </c>
      <c r="N50" s="14">
        <f ca="1">OFFSET(控制台!$S$476,MATCH(C50,控制台!$B$476:$B$547,0)-1,0)</f>
        <v>0.15</v>
      </c>
      <c r="O50" s="14">
        <f ca="1">OFFSET(控制台!$U$5057,MATCH(C50,控制台!$B$5057:$B$5128,0)-1,0)</f>
        <v>0</v>
      </c>
      <c r="P50" s="14">
        <f ca="1">OFFSET(控制台!$V$5057,MATCH(C50,控制台!$B$5057:$B$5128,0)-1,0)</f>
        <v>0</v>
      </c>
      <c r="Q50" s="14">
        <f ca="1">OFFSET(控制台!$T$5057,MATCH(C50,控制台!$B$5057:$B$5128,0)-1,0)</f>
        <v>0</v>
      </c>
      <c r="S50" s="1">
        <f>'206_副本挂机'!B50*100+'206_副本挂机'!C50*4</f>
        <v>540</v>
      </c>
      <c r="T50" s="1">
        <f ca="1">_xlfn.FLOOR.MATH('206_副本挂机'!L50)</f>
        <v>35</v>
      </c>
      <c r="U50" s="1">
        <f ca="1">MIN(OFFSET(控制台!$J$374,MATCH(T50,控制台!$B$374:$B$445,1)-1,0)+1,32)</f>
        <v>24</v>
      </c>
      <c r="W50" s="1">
        <f>控制台!B2409</f>
        <v>45</v>
      </c>
      <c r="X50" s="1">
        <f>_xlfn.FLOOR.MATH(控制台!C2409)</f>
        <v>143</v>
      </c>
    </row>
    <row r="51" spans="1:24">
      <c r="A51" s="1">
        <f>'107_兵卡等级'!B51</f>
        <v>46</v>
      </c>
      <c r="B51" s="1">
        <f ca="1">'107_兵卡等级'!L51</f>
        <v>5.4</v>
      </c>
      <c r="C51" s="1">
        <f ca="1">OFFSET(养成规划!$B$6,MATCH(B51,养成规划!$B$6:$B$77,1)-1,0)</f>
        <v>5</v>
      </c>
      <c r="D51" s="1">
        <f ca="1">MAX(3,OFFSET(养成规划!$X$6,MATCH(C51,养成规划!$B$6:$B$77,0)-1,0))</f>
        <v>5</v>
      </c>
      <c r="E51" s="1">
        <f ca="1">MAX(1,OFFSET(控制台!$J$374,MATCH(C51,控制台!$B$374:$B$445,0)-1,0))</f>
        <v>14</v>
      </c>
      <c r="F51" s="1">
        <f ca="1">MAX(1,OFFSET(养成规划!$V$6,MATCH(C51,养成规划!$S$6:$S$77,0)-1,0))</f>
        <v>4</v>
      </c>
      <c r="G51" s="1">
        <f ca="1">MAX(9,OFFSET(控制台!$L$374,MATCH(C51,控制台!$B$374:$B$445,0)-1,0))</f>
        <v>48</v>
      </c>
      <c r="H51" s="1">
        <f ca="1">MAX(1,_xlfn.FLOOR.MATH(OFFSET(养成规划!$Y$6,MATCH(C51,养成规划!$B$6:$B$77,0)-1,0)/100))</f>
        <v>1</v>
      </c>
      <c r="I51" s="1">
        <f ca="1">MAX(1,MOD(OFFSET(养成规划!$Y$6,MATCH(C51,养成规划!$B$6:$B$77,0)-1,0),100))</f>
        <v>3</v>
      </c>
      <c r="J51" s="1" t="str">
        <f ca="1">OFFSET(养成规划!$Z$6,MATCH(C51,养成规划!$B$6:$B$77,0)-1,0)</f>
        <v>无</v>
      </c>
      <c r="K51" s="1">
        <f ca="1">OFFSET(养成规划!$AB$6,MATCH(C51,养成规划!$B$6:$B$77,0)-1,0)</f>
        <v>20</v>
      </c>
      <c r="L51" s="1">
        <f ca="1">OFFSET(养成规划!$AC$6,MATCH(C51,养成规划!$B$6:$B$77,0)-1,0)</f>
        <v>3</v>
      </c>
      <c r="M51" s="14">
        <f ca="1">OFFSET(控制台!$R$476,MATCH(C51,控制台!$B$476:$B$547,0)-1,0)</f>
        <v>0.05</v>
      </c>
      <c r="N51" s="14">
        <f ca="1">OFFSET(控制台!$S$476,MATCH(C51,控制台!$B$476:$B$547,0)-1,0)</f>
        <v>0.15</v>
      </c>
      <c r="O51" s="14">
        <f ca="1">OFFSET(控制台!$U$5057,MATCH(C51,控制台!$B$5057:$B$5128,0)-1,0)</f>
        <v>0</v>
      </c>
      <c r="P51" s="14">
        <f ca="1">OFFSET(控制台!$V$5057,MATCH(C51,控制台!$B$5057:$B$5128,0)-1,0)</f>
        <v>0</v>
      </c>
      <c r="Q51" s="14">
        <f ca="1">OFFSET(控制台!$T$5057,MATCH(C51,控制台!$B$5057:$B$5128,0)-1,0)</f>
        <v>0</v>
      </c>
      <c r="S51" s="1">
        <f>'206_副本挂机'!B51*100+'206_副本挂机'!C51*4</f>
        <v>604</v>
      </c>
      <c r="T51" s="1">
        <f ca="1">_xlfn.FLOOR.MATH('206_副本挂机'!L51)</f>
        <v>36</v>
      </c>
      <c r="U51" s="1">
        <f ca="1">MIN(OFFSET(控制台!$J$374,MATCH(T51,控制台!$B$374:$B$445,1)-1,0)+1,32)</f>
        <v>24</v>
      </c>
      <c r="W51" s="1">
        <f>控制台!B2410</f>
        <v>46</v>
      </c>
      <c r="X51" s="1">
        <f>_xlfn.FLOOR.MATH(控制台!C2410)</f>
        <v>147</v>
      </c>
    </row>
    <row r="52" spans="1:24">
      <c r="A52" s="1">
        <f>'107_兵卡等级'!B52</f>
        <v>47</v>
      </c>
      <c r="B52" s="1">
        <f ca="1">'107_兵卡等级'!L52</f>
        <v>5.8</v>
      </c>
      <c r="C52" s="1">
        <f ca="1">OFFSET(养成规划!$B$6,MATCH(B52,养成规划!$B$6:$B$77,1)-1,0)</f>
        <v>5.5</v>
      </c>
      <c r="D52" s="1">
        <f ca="1">MAX(3,OFFSET(养成规划!$X$6,MATCH(C52,养成规划!$B$6:$B$77,0)-1,0))</f>
        <v>5</v>
      </c>
      <c r="E52" s="1">
        <f ca="1">MAX(1,OFFSET(控制台!$J$374,MATCH(C52,控制台!$B$374:$B$445,0)-1,0))</f>
        <v>14</v>
      </c>
      <c r="F52" s="1">
        <f ca="1">MAX(1,OFFSET(养成规划!$V$6,MATCH(C52,养成规划!$S$6:$S$77,0)-1,0))</f>
        <v>4</v>
      </c>
      <c r="G52" s="1">
        <f ca="1">MAX(9,OFFSET(控制台!$L$374,MATCH(C52,控制台!$B$374:$B$445,0)-1,0))</f>
        <v>48</v>
      </c>
      <c r="H52" s="1">
        <f ca="1">MAX(1,_xlfn.FLOOR.MATH(OFFSET(养成规划!$Y$6,MATCH(C52,养成规划!$B$6:$B$77,0)-1,0)/100))</f>
        <v>1</v>
      </c>
      <c r="I52" s="1">
        <f ca="1">MAX(1,MOD(OFFSET(养成规划!$Y$6,MATCH(C52,养成规划!$B$6:$B$77,0)-1,0),100))</f>
        <v>3</v>
      </c>
      <c r="J52" s="1" t="str">
        <f ca="1">OFFSET(养成规划!$Z$6,MATCH(C52,养成规划!$B$6:$B$77,0)-1,0)</f>
        <v>无</v>
      </c>
      <c r="K52" s="1">
        <f ca="1">OFFSET(养成规划!$AB$6,MATCH(C52,养成规划!$B$6:$B$77,0)-1,0)</f>
        <v>20</v>
      </c>
      <c r="L52" s="1">
        <f ca="1">OFFSET(养成规划!$AC$6,MATCH(C52,养成规划!$B$6:$B$77,0)-1,0)</f>
        <v>3</v>
      </c>
      <c r="M52" s="14">
        <f ca="1">OFFSET(控制台!$R$476,MATCH(C52,控制台!$B$476:$B$547,0)-1,0)</f>
        <v>0.05</v>
      </c>
      <c r="N52" s="14">
        <f ca="1">OFFSET(控制台!$S$476,MATCH(C52,控制台!$B$476:$B$547,0)-1,0)</f>
        <v>0.15</v>
      </c>
      <c r="O52" s="14">
        <f ca="1">OFFSET(控制台!$U$5057,MATCH(C52,控制台!$B$5057:$B$5128,0)-1,0)</f>
        <v>0</v>
      </c>
      <c r="P52" s="14">
        <f ca="1">OFFSET(控制台!$V$5057,MATCH(C52,控制台!$B$5057:$B$5128,0)-1,0)</f>
        <v>0</v>
      </c>
      <c r="Q52" s="14">
        <f ca="1">OFFSET(控制台!$T$5057,MATCH(C52,控制台!$B$5057:$B$5128,0)-1,0)</f>
        <v>0</v>
      </c>
      <c r="S52" s="1">
        <f>'206_副本挂机'!B52*100+'206_副本挂机'!C52*4</f>
        <v>608</v>
      </c>
      <c r="T52" s="1">
        <f ca="1">_xlfn.FLOOR.MATH('206_副本挂机'!L52)</f>
        <v>38</v>
      </c>
      <c r="U52" s="1">
        <f ca="1">MIN(OFFSET(控制台!$J$374,MATCH(T52,控制台!$B$374:$B$445,1)-1,0)+1,32)</f>
        <v>24</v>
      </c>
      <c r="W52" s="1">
        <f>控制台!B2411</f>
        <v>47</v>
      </c>
      <c r="X52" s="1">
        <f>_xlfn.FLOOR.MATH(控制台!C2411)</f>
        <v>151</v>
      </c>
    </row>
    <row r="53" spans="1:24">
      <c r="A53" s="1">
        <f>'107_兵卡等级'!B53</f>
        <v>48</v>
      </c>
      <c r="B53" s="1">
        <f ca="1">'107_兵卡等级'!L53</f>
        <v>6.2</v>
      </c>
      <c r="C53" s="1">
        <f ca="1">OFFSET(养成规划!$B$6,MATCH(B53,养成规划!$B$6:$B$77,1)-1,0)</f>
        <v>6</v>
      </c>
      <c r="D53" s="1">
        <f ca="1">MAX(3,OFFSET(养成规划!$X$6,MATCH(C53,养成规划!$B$6:$B$77,0)-1,0))</f>
        <v>5</v>
      </c>
      <c r="E53" s="1">
        <f ca="1">MAX(1,OFFSET(控制台!$J$374,MATCH(C53,控制台!$B$374:$B$445,0)-1,0))</f>
        <v>14</v>
      </c>
      <c r="F53" s="1">
        <f ca="1">MAX(1,OFFSET(养成规划!$V$6,MATCH(C53,养成规划!$S$6:$S$77,0)-1,0))</f>
        <v>4</v>
      </c>
      <c r="G53" s="1">
        <f ca="1">MAX(9,OFFSET(控制台!$L$374,MATCH(C53,控制台!$B$374:$B$445,0)-1,0))</f>
        <v>48</v>
      </c>
      <c r="H53" s="1">
        <f ca="1">MAX(1,_xlfn.FLOOR.MATH(OFFSET(养成规划!$Y$6,MATCH(C53,养成规划!$B$6:$B$77,0)-1,0)/100))</f>
        <v>1</v>
      </c>
      <c r="I53" s="1">
        <f ca="1">MAX(1,MOD(OFFSET(养成规划!$Y$6,MATCH(C53,养成规划!$B$6:$B$77,0)-1,0),100))</f>
        <v>3</v>
      </c>
      <c r="J53" s="1" t="str">
        <f ca="1">OFFSET(养成规划!$Z$6,MATCH(C53,养成规划!$B$6:$B$77,0)-1,0)</f>
        <v>无</v>
      </c>
      <c r="K53" s="1">
        <f ca="1">OFFSET(养成规划!$AB$6,MATCH(C53,养成规划!$B$6:$B$77,0)-1,0)</f>
        <v>20</v>
      </c>
      <c r="L53" s="1">
        <f ca="1">OFFSET(养成规划!$AC$6,MATCH(C53,养成规划!$B$6:$B$77,0)-1,0)</f>
        <v>3</v>
      </c>
      <c r="M53" s="14">
        <f ca="1">OFFSET(控制台!$R$476,MATCH(C53,控制台!$B$476:$B$547,0)-1,0)</f>
        <v>0.05</v>
      </c>
      <c r="N53" s="14">
        <f ca="1">OFFSET(控制台!$S$476,MATCH(C53,控制台!$B$476:$B$547,0)-1,0)</f>
        <v>0.15</v>
      </c>
      <c r="O53" s="14">
        <f ca="1">OFFSET(控制台!$U$5057,MATCH(C53,控制台!$B$5057:$B$5128,0)-1,0)</f>
        <v>0</v>
      </c>
      <c r="P53" s="14">
        <f ca="1">OFFSET(控制台!$V$5057,MATCH(C53,控制台!$B$5057:$B$5128,0)-1,0)</f>
        <v>0</v>
      </c>
      <c r="Q53" s="14">
        <f ca="1">OFFSET(控制台!$T$5057,MATCH(C53,控制台!$B$5057:$B$5128,0)-1,0)</f>
        <v>0</v>
      </c>
      <c r="S53" s="1">
        <f>'206_副本挂机'!B53*100+'206_副本挂机'!C53*4</f>
        <v>612</v>
      </c>
      <c r="T53" s="1">
        <f ca="1">_xlfn.FLOOR.MATH('206_副本挂机'!L53)</f>
        <v>39</v>
      </c>
      <c r="U53" s="1">
        <f ca="1">MIN(OFFSET(控制台!$J$374,MATCH(T53,控制台!$B$374:$B$445,1)-1,0)+1,32)</f>
        <v>24</v>
      </c>
      <c r="W53" s="1">
        <f>控制台!B2412</f>
        <v>48</v>
      </c>
      <c r="X53" s="1">
        <f>_xlfn.FLOOR.MATH(控制台!C2412)</f>
        <v>155</v>
      </c>
    </row>
    <row r="54" spans="1:24">
      <c r="A54" s="1">
        <f>'107_兵卡等级'!B54</f>
        <v>49</v>
      </c>
      <c r="B54" s="1">
        <f ca="1">'107_兵卡等级'!L54</f>
        <v>6.6</v>
      </c>
      <c r="C54" s="1">
        <f ca="1">OFFSET(养成规划!$B$6,MATCH(B54,养成规划!$B$6:$B$77,1)-1,0)</f>
        <v>6.5</v>
      </c>
      <c r="D54" s="1">
        <f ca="1">MAX(3,OFFSET(养成规划!$X$6,MATCH(C54,养成规划!$B$6:$B$77,0)-1,0))</f>
        <v>5</v>
      </c>
      <c r="E54" s="1">
        <f ca="1">MAX(1,OFFSET(控制台!$J$374,MATCH(C54,控制台!$B$374:$B$445,0)-1,0))</f>
        <v>14</v>
      </c>
      <c r="F54" s="1">
        <f ca="1">MAX(1,OFFSET(养成规划!$V$6,MATCH(C54,养成规划!$S$6:$S$77,0)-1,0))</f>
        <v>4</v>
      </c>
      <c r="G54" s="1">
        <f ca="1">MAX(9,OFFSET(控制台!$L$374,MATCH(C54,控制台!$B$374:$B$445,0)-1,0))</f>
        <v>48</v>
      </c>
      <c r="H54" s="1">
        <f ca="1">MAX(1,_xlfn.FLOOR.MATH(OFFSET(养成规划!$Y$6,MATCH(C54,养成规划!$B$6:$B$77,0)-1,0)/100))</f>
        <v>1</v>
      </c>
      <c r="I54" s="1">
        <f ca="1">MAX(1,MOD(OFFSET(养成规划!$Y$6,MATCH(C54,养成规划!$B$6:$B$77,0)-1,0),100))</f>
        <v>3</v>
      </c>
      <c r="J54" s="1" t="str">
        <f ca="1">OFFSET(养成规划!$Z$6,MATCH(C54,养成规划!$B$6:$B$77,0)-1,0)</f>
        <v>无</v>
      </c>
      <c r="K54" s="1">
        <f ca="1">OFFSET(养成规划!$AB$6,MATCH(C54,养成规划!$B$6:$B$77,0)-1,0)</f>
        <v>20</v>
      </c>
      <c r="L54" s="1">
        <f ca="1">OFFSET(养成规划!$AC$6,MATCH(C54,养成规划!$B$6:$B$77,0)-1,0)</f>
        <v>3</v>
      </c>
      <c r="M54" s="14">
        <f ca="1">OFFSET(控制台!$R$476,MATCH(C54,控制台!$B$476:$B$547,0)-1,0)</f>
        <v>0.05</v>
      </c>
      <c r="N54" s="14">
        <f ca="1">OFFSET(控制台!$S$476,MATCH(C54,控制台!$B$476:$B$547,0)-1,0)</f>
        <v>0.15</v>
      </c>
      <c r="O54" s="14">
        <f ca="1">OFFSET(控制台!$U$5057,MATCH(C54,控制台!$B$5057:$B$5128,0)-1,0)</f>
        <v>0</v>
      </c>
      <c r="P54" s="14">
        <f ca="1">OFFSET(控制台!$V$5057,MATCH(C54,控制台!$B$5057:$B$5128,0)-1,0)</f>
        <v>0</v>
      </c>
      <c r="Q54" s="14">
        <f ca="1">OFFSET(控制台!$T$5057,MATCH(C54,控制台!$B$5057:$B$5128,0)-1,0)</f>
        <v>0</v>
      </c>
      <c r="S54" s="1">
        <f>'206_副本挂机'!B54*100+'206_副本挂机'!C54*4</f>
        <v>616</v>
      </c>
      <c r="T54" s="1">
        <f ca="1">_xlfn.FLOOR.MATH('206_副本挂机'!L54)</f>
        <v>41</v>
      </c>
      <c r="U54" s="1">
        <f ca="1">MIN(OFFSET(控制台!$J$374,MATCH(T54,控制台!$B$374:$B$445,1)-1,0)+1,32)</f>
        <v>25</v>
      </c>
      <c r="W54" s="1">
        <f>控制台!B2413</f>
        <v>49</v>
      </c>
      <c r="X54" s="1">
        <f>_xlfn.FLOOR.MATH(控制台!C2413)</f>
        <v>159</v>
      </c>
    </row>
    <row r="55" spans="1:24">
      <c r="A55" s="1">
        <f>'107_兵卡等级'!B55</f>
        <v>50</v>
      </c>
      <c r="B55" s="1">
        <f ca="1">'107_兵卡等级'!L55</f>
        <v>7</v>
      </c>
      <c r="C55" s="1">
        <f ca="1">OFFSET(养成规划!$B$6,MATCH(B55,养成规划!$B$6:$B$77,1)-1,0)</f>
        <v>7</v>
      </c>
      <c r="D55" s="1">
        <f ca="1">MAX(3,OFFSET(养成规划!$X$6,MATCH(C55,养成规划!$B$6:$B$77,0)-1,0))</f>
        <v>5.1</v>
      </c>
      <c r="E55" s="1">
        <f ca="1">MAX(1,OFFSET(控制台!$J$374,MATCH(C55,控制台!$B$374:$B$445,0)-1,0))</f>
        <v>15</v>
      </c>
      <c r="F55" s="1">
        <f ca="1">MAX(1,OFFSET(养成规划!$V$6,MATCH(C55,养成规划!$S$6:$S$77,0)-1,0))</f>
        <v>5</v>
      </c>
      <c r="G55" s="1">
        <f ca="1">MAX(9,OFFSET(控制台!$L$374,MATCH(C55,控制台!$B$374:$B$445,0)-1,0))</f>
        <v>51</v>
      </c>
      <c r="H55" s="1">
        <f ca="1">MAX(1,_xlfn.FLOOR.MATH(OFFSET(养成规划!$Y$6,MATCH(C55,养成规划!$B$6:$B$77,0)-1,0)/100))</f>
        <v>2</v>
      </c>
      <c r="I55" s="1">
        <f ca="1">MAX(1,MOD(OFFSET(养成规划!$Y$6,MATCH(C55,养成规划!$B$6:$B$77,0)-1,0),100))</f>
        <v>1</v>
      </c>
      <c r="J55" s="1" t="str">
        <f ca="1">OFFSET(养成规划!$Z$6,MATCH(C55,养成规划!$B$6:$B$77,0)-1,0)</f>
        <v>铜</v>
      </c>
      <c r="K55" s="1">
        <f ca="1">OFFSET(养成规划!$AB$6,MATCH(C55,养成规划!$B$6:$B$77,0)-1,0)</f>
        <v>20</v>
      </c>
      <c r="L55" s="1">
        <f ca="1">OFFSET(养成规划!$AC$6,MATCH(C55,养成规划!$B$6:$B$77,0)-1,0)</f>
        <v>4</v>
      </c>
      <c r="M55" s="14">
        <f ca="1">OFFSET(控制台!$R$476,MATCH(C55,控制台!$B$476:$B$547,0)-1,0)</f>
        <v>0.05</v>
      </c>
      <c r="N55" s="14">
        <f ca="1">OFFSET(控制台!$S$476,MATCH(C55,控制台!$B$476:$B$547,0)-1,0)</f>
        <v>0.15</v>
      </c>
      <c r="O55" s="14">
        <f ca="1">OFFSET(控制台!$U$5057,MATCH(C55,控制台!$B$5057:$B$5128,0)-1,0)</f>
        <v>0</v>
      </c>
      <c r="P55" s="14">
        <f ca="1">OFFSET(控制台!$V$5057,MATCH(C55,控制台!$B$5057:$B$5128,0)-1,0)</f>
        <v>0</v>
      </c>
      <c r="Q55" s="14">
        <f ca="1">OFFSET(控制台!$T$5057,MATCH(C55,控制台!$B$5057:$B$5128,0)-1,0)</f>
        <v>0</v>
      </c>
      <c r="S55" s="1">
        <f>'206_副本挂机'!B55*100+'206_副本挂机'!C55*4</f>
        <v>620</v>
      </c>
      <c r="T55" s="1">
        <f ca="1">_xlfn.FLOOR.MATH('206_副本挂机'!L55)</f>
        <v>42</v>
      </c>
      <c r="U55" s="1">
        <f ca="1">MIN(OFFSET(控制台!$J$374,MATCH(T55,控制台!$B$374:$B$445,1)-1,0)+1,32)</f>
        <v>25</v>
      </c>
      <c r="W55" s="1">
        <f>控制台!B2414</f>
        <v>50</v>
      </c>
      <c r="X55" s="1">
        <f>_xlfn.FLOOR.MATH(控制台!C2414)</f>
        <v>163</v>
      </c>
    </row>
    <row r="56" spans="1:21">
      <c r="A56" s="1">
        <f>'107_兵卡等级'!B56</f>
        <v>51</v>
      </c>
      <c r="B56" s="1">
        <f ca="1">'107_兵卡等级'!L56</f>
        <v>7.6</v>
      </c>
      <c r="C56" s="1">
        <f ca="1">OFFSET(养成规划!$B$6,MATCH(B56,养成规划!$B$6:$B$77,1)-1,0)</f>
        <v>7</v>
      </c>
      <c r="D56" s="1">
        <f ca="1">MAX(3,OFFSET(养成规划!$X$6,MATCH(C56,养成规划!$B$6:$B$77,0)-1,0))</f>
        <v>5.1</v>
      </c>
      <c r="E56" s="1">
        <f ca="1">MAX(1,OFFSET(控制台!$J$374,MATCH(C56,控制台!$B$374:$B$445,0)-1,0))</f>
        <v>15</v>
      </c>
      <c r="F56" s="1">
        <f ca="1">MAX(1,OFFSET(养成规划!$V$6,MATCH(C56,养成规划!$S$6:$S$77,0)-1,0))</f>
        <v>5</v>
      </c>
      <c r="G56" s="1">
        <f ca="1">MAX(9,OFFSET(控制台!$L$374,MATCH(C56,控制台!$B$374:$B$445,0)-1,0))</f>
        <v>51</v>
      </c>
      <c r="H56" s="1">
        <f ca="1">MAX(1,_xlfn.FLOOR.MATH(OFFSET(养成规划!$Y$6,MATCH(C56,养成规划!$B$6:$B$77,0)-1,0)/100))</f>
        <v>2</v>
      </c>
      <c r="I56" s="1">
        <f ca="1">MAX(1,MOD(OFFSET(养成规划!$Y$6,MATCH(C56,养成规划!$B$6:$B$77,0)-1,0),100))</f>
        <v>1</v>
      </c>
      <c r="J56" s="1" t="str">
        <f ca="1">OFFSET(养成规划!$Z$6,MATCH(C56,养成规划!$B$6:$B$77,0)-1,0)</f>
        <v>铜</v>
      </c>
      <c r="K56" s="1">
        <f ca="1">OFFSET(养成规划!$AB$6,MATCH(C56,养成规划!$B$6:$B$77,0)-1,0)</f>
        <v>20</v>
      </c>
      <c r="L56" s="1">
        <f ca="1">OFFSET(养成规划!$AC$6,MATCH(C56,养成规划!$B$6:$B$77,0)-1,0)</f>
        <v>4</v>
      </c>
      <c r="M56" s="14">
        <f ca="1">OFFSET(控制台!$R$476,MATCH(C56,控制台!$B$476:$B$547,0)-1,0)</f>
        <v>0.05</v>
      </c>
      <c r="N56" s="14">
        <f ca="1">OFFSET(控制台!$S$476,MATCH(C56,控制台!$B$476:$B$547,0)-1,0)</f>
        <v>0.15</v>
      </c>
      <c r="O56" s="14">
        <f ca="1">OFFSET(控制台!$U$5057,MATCH(C56,控制台!$B$5057:$B$5128,0)-1,0)</f>
        <v>0</v>
      </c>
      <c r="P56" s="14">
        <f ca="1">OFFSET(控制台!$V$5057,MATCH(C56,控制台!$B$5057:$B$5128,0)-1,0)</f>
        <v>0</v>
      </c>
      <c r="Q56" s="14">
        <f ca="1">OFFSET(控制台!$T$5057,MATCH(C56,控制台!$B$5057:$B$5128,0)-1,0)</f>
        <v>0</v>
      </c>
      <c r="S56" s="1">
        <f>'206_副本挂机'!B56*100+'206_副本挂机'!C56*4</f>
        <v>624</v>
      </c>
      <c r="T56" s="1">
        <f ca="1">_xlfn.FLOOR.MATH('206_副本挂机'!L56)</f>
        <v>44</v>
      </c>
      <c r="U56" s="1">
        <f ca="1">MIN(OFFSET(控制台!$J$374,MATCH(T56,控制台!$B$374:$B$445,1)-1,0)+1,32)</f>
        <v>25</v>
      </c>
    </row>
    <row r="57" spans="1:21">
      <c r="A57" s="1">
        <f>'107_兵卡等级'!B57</f>
        <v>52</v>
      </c>
      <c r="B57" s="1">
        <f ca="1">'107_兵卡等级'!L57</f>
        <v>8.2</v>
      </c>
      <c r="C57" s="1">
        <f ca="1">OFFSET(养成规划!$B$6,MATCH(B57,养成规划!$B$6:$B$77,1)-1,0)</f>
        <v>8</v>
      </c>
      <c r="D57" s="1">
        <f ca="1">MAX(3,OFFSET(养成规划!$X$6,MATCH(C57,养成规划!$B$6:$B$77,0)-1,0))</f>
        <v>5.1</v>
      </c>
      <c r="E57" s="1">
        <f ca="1">MAX(1,OFFSET(控制台!$J$374,MATCH(C57,控制台!$B$374:$B$445,0)-1,0))</f>
        <v>15</v>
      </c>
      <c r="F57" s="1">
        <f ca="1">MAX(1,OFFSET(养成规划!$V$6,MATCH(C57,养成规划!$S$6:$S$77,0)-1,0))</f>
        <v>5</v>
      </c>
      <c r="G57" s="1">
        <f ca="1">MAX(9,OFFSET(控制台!$L$374,MATCH(C57,控制台!$B$374:$B$445,0)-1,0))</f>
        <v>51</v>
      </c>
      <c r="H57" s="1">
        <f ca="1">MAX(1,_xlfn.FLOOR.MATH(OFFSET(养成规划!$Y$6,MATCH(C57,养成规划!$B$6:$B$77,0)-1,0)/100))</f>
        <v>2</v>
      </c>
      <c r="I57" s="1">
        <f ca="1">MAX(1,MOD(OFFSET(养成规划!$Y$6,MATCH(C57,养成规划!$B$6:$B$77,0)-1,0),100))</f>
        <v>1</v>
      </c>
      <c r="J57" s="1" t="str">
        <f ca="1">OFFSET(养成规划!$Z$6,MATCH(C57,养成规划!$B$6:$B$77,0)-1,0)</f>
        <v>铜</v>
      </c>
      <c r="K57" s="1">
        <f ca="1">OFFSET(养成规划!$AB$6,MATCH(C57,养成规划!$B$6:$B$77,0)-1,0)</f>
        <v>20</v>
      </c>
      <c r="L57" s="1">
        <f ca="1">OFFSET(养成规划!$AC$6,MATCH(C57,养成规划!$B$6:$B$77,0)-1,0)</f>
        <v>4</v>
      </c>
      <c r="M57" s="14">
        <f ca="1">OFFSET(控制台!$R$476,MATCH(C57,控制台!$B$476:$B$547,0)-1,0)</f>
        <v>0.05</v>
      </c>
      <c r="N57" s="14">
        <f ca="1">OFFSET(控制台!$S$476,MATCH(C57,控制台!$B$476:$B$547,0)-1,0)</f>
        <v>0.15</v>
      </c>
      <c r="O57" s="14">
        <f ca="1">OFFSET(控制台!$U$5057,MATCH(C57,控制台!$B$5057:$B$5128,0)-1,0)</f>
        <v>0</v>
      </c>
      <c r="P57" s="14">
        <f ca="1">OFFSET(控制台!$V$5057,MATCH(C57,控制台!$B$5057:$B$5128,0)-1,0)</f>
        <v>0</v>
      </c>
      <c r="Q57" s="14">
        <f ca="1">OFFSET(控制台!$T$5057,MATCH(C57,控制台!$B$5057:$B$5128,0)-1,0)</f>
        <v>0</v>
      </c>
      <c r="S57" s="1">
        <f>'206_副本挂机'!B57*100+'206_副本挂机'!C57*4</f>
        <v>628</v>
      </c>
      <c r="T57" s="1">
        <f ca="1">_xlfn.FLOOR.MATH('206_副本挂机'!L57)</f>
        <v>45</v>
      </c>
      <c r="U57" s="1">
        <f ca="1">MIN(OFFSET(控制台!$J$374,MATCH(T57,控制台!$B$374:$B$445,1)-1,0)+1,32)</f>
        <v>25</v>
      </c>
    </row>
    <row r="58" spans="1:21">
      <c r="A58" s="1">
        <f>'107_兵卡等级'!B58</f>
        <v>53</v>
      </c>
      <c r="B58" s="1">
        <f ca="1">'107_兵卡等级'!L58</f>
        <v>8.8</v>
      </c>
      <c r="C58" s="1">
        <f ca="1">OFFSET(养成规划!$B$6,MATCH(B58,养成规划!$B$6:$B$77,1)-1,0)</f>
        <v>8</v>
      </c>
      <c r="D58" s="1">
        <f ca="1">MAX(3,OFFSET(养成规划!$X$6,MATCH(C58,养成规划!$B$6:$B$77,0)-1,0))</f>
        <v>5.1</v>
      </c>
      <c r="E58" s="1">
        <f ca="1">MAX(1,OFFSET(控制台!$J$374,MATCH(C58,控制台!$B$374:$B$445,0)-1,0))</f>
        <v>15</v>
      </c>
      <c r="F58" s="1">
        <f ca="1">MAX(1,OFFSET(养成规划!$V$6,MATCH(C58,养成规划!$S$6:$S$77,0)-1,0))</f>
        <v>5</v>
      </c>
      <c r="G58" s="1">
        <f ca="1">MAX(9,OFFSET(控制台!$L$374,MATCH(C58,控制台!$B$374:$B$445,0)-1,0))</f>
        <v>51</v>
      </c>
      <c r="H58" s="1">
        <f ca="1">MAX(1,_xlfn.FLOOR.MATH(OFFSET(养成规划!$Y$6,MATCH(C58,养成规划!$B$6:$B$77,0)-1,0)/100))</f>
        <v>2</v>
      </c>
      <c r="I58" s="1">
        <f ca="1">MAX(1,MOD(OFFSET(养成规划!$Y$6,MATCH(C58,养成规划!$B$6:$B$77,0)-1,0),100))</f>
        <v>1</v>
      </c>
      <c r="J58" s="1" t="str">
        <f ca="1">OFFSET(养成规划!$Z$6,MATCH(C58,养成规划!$B$6:$B$77,0)-1,0)</f>
        <v>铜</v>
      </c>
      <c r="K58" s="1">
        <f ca="1">OFFSET(养成规划!$AB$6,MATCH(C58,养成规划!$B$6:$B$77,0)-1,0)</f>
        <v>20</v>
      </c>
      <c r="L58" s="1">
        <f ca="1">OFFSET(养成规划!$AC$6,MATCH(C58,养成规划!$B$6:$B$77,0)-1,0)</f>
        <v>4</v>
      </c>
      <c r="M58" s="14">
        <f ca="1">OFFSET(控制台!$R$476,MATCH(C58,控制台!$B$476:$B$547,0)-1,0)</f>
        <v>0.05</v>
      </c>
      <c r="N58" s="14">
        <f ca="1">OFFSET(控制台!$S$476,MATCH(C58,控制台!$B$476:$B$547,0)-1,0)</f>
        <v>0.15</v>
      </c>
      <c r="O58" s="14">
        <f ca="1">OFFSET(控制台!$U$5057,MATCH(C58,控制台!$B$5057:$B$5128,0)-1,0)</f>
        <v>0</v>
      </c>
      <c r="P58" s="14">
        <f ca="1">OFFSET(控制台!$V$5057,MATCH(C58,控制台!$B$5057:$B$5128,0)-1,0)</f>
        <v>0</v>
      </c>
      <c r="Q58" s="14">
        <f ca="1">OFFSET(控制台!$T$5057,MATCH(C58,控制台!$B$5057:$B$5128,0)-1,0)</f>
        <v>0</v>
      </c>
      <c r="S58" s="1">
        <f>'206_副本挂机'!B58*100+'206_副本挂机'!C58*4</f>
        <v>632</v>
      </c>
      <c r="T58" s="1">
        <f ca="1">_xlfn.FLOOR.MATH('206_副本挂机'!L58)</f>
        <v>47</v>
      </c>
      <c r="U58" s="1">
        <f ca="1">MIN(OFFSET(控制台!$J$374,MATCH(T58,控制台!$B$374:$B$445,1)-1,0)+1,32)</f>
        <v>25</v>
      </c>
    </row>
    <row r="59" spans="1:21">
      <c r="A59" s="1">
        <f>'107_兵卡等级'!B59</f>
        <v>54</v>
      </c>
      <c r="B59" s="1">
        <f ca="1">'107_兵卡等级'!L59</f>
        <v>9.4</v>
      </c>
      <c r="C59" s="1">
        <f ca="1">OFFSET(养成规划!$B$6,MATCH(B59,养成规划!$B$6:$B$77,1)-1,0)</f>
        <v>9</v>
      </c>
      <c r="D59" s="1">
        <f ca="1">MAX(3,OFFSET(养成规划!$X$6,MATCH(C59,养成规划!$B$6:$B$77,0)-1,0))</f>
        <v>5.1</v>
      </c>
      <c r="E59" s="1">
        <f ca="1">MAX(1,OFFSET(控制台!$J$374,MATCH(C59,控制台!$B$374:$B$445,0)-1,0))</f>
        <v>16</v>
      </c>
      <c r="F59" s="1">
        <f ca="1">MAX(1,OFFSET(养成规划!$V$6,MATCH(C59,养成规划!$S$6:$S$77,0)-1,0))</f>
        <v>5</v>
      </c>
      <c r="G59" s="1">
        <f ca="1">MAX(9,OFFSET(控制台!$L$374,MATCH(C59,控制台!$B$374:$B$445,0)-1,0))</f>
        <v>54</v>
      </c>
      <c r="H59" s="1">
        <f ca="1">MAX(1,_xlfn.FLOOR.MATH(OFFSET(养成规划!$Y$6,MATCH(C59,养成规划!$B$6:$B$77,0)-1,0)/100))</f>
        <v>2</v>
      </c>
      <c r="I59" s="1">
        <f ca="1">MAX(1,MOD(OFFSET(养成规划!$Y$6,MATCH(C59,养成规划!$B$6:$B$77,0)-1,0),100))</f>
        <v>1</v>
      </c>
      <c r="J59" s="1" t="str">
        <f ca="1">OFFSET(养成规划!$Z$6,MATCH(C59,养成规划!$B$6:$B$77,0)-1,0)</f>
        <v>铜</v>
      </c>
      <c r="K59" s="1">
        <f ca="1">OFFSET(养成规划!$AB$6,MATCH(C59,养成规划!$B$6:$B$77,0)-1,0)</f>
        <v>20</v>
      </c>
      <c r="L59" s="1">
        <f ca="1">OFFSET(养成规划!$AC$6,MATCH(C59,养成规划!$B$6:$B$77,0)-1,0)</f>
        <v>4</v>
      </c>
      <c r="M59" s="14">
        <f ca="1">OFFSET(控制台!$R$476,MATCH(C59,控制台!$B$476:$B$547,0)-1,0)</f>
        <v>0.05</v>
      </c>
      <c r="N59" s="14">
        <f ca="1">OFFSET(控制台!$S$476,MATCH(C59,控制台!$B$476:$B$547,0)-1,0)</f>
        <v>0.15</v>
      </c>
      <c r="O59" s="14">
        <f ca="1">OFFSET(控制台!$U$5057,MATCH(C59,控制台!$B$5057:$B$5128,0)-1,0)</f>
        <v>0</v>
      </c>
      <c r="P59" s="14">
        <f ca="1">OFFSET(控制台!$V$5057,MATCH(C59,控制台!$B$5057:$B$5128,0)-1,0)</f>
        <v>0</v>
      </c>
      <c r="Q59" s="14">
        <f ca="1">OFFSET(控制台!$T$5057,MATCH(C59,控制台!$B$5057:$B$5128,0)-1,0)</f>
        <v>0</v>
      </c>
      <c r="S59" s="1">
        <f>'206_副本挂机'!B59*100+'206_副本挂机'!C59*4</f>
        <v>636</v>
      </c>
      <c r="T59" s="1">
        <f ca="1">_xlfn.FLOOR.MATH('206_副本挂机'!L59)</f>
        <v>48</v>
      </c>
      <c r="U59" s="1">
        <f ca="1">MIN(OFFSET(控制台!$J$374,MATCH(T59,控制台!$B$374:$B$445,1)-1,0)+1,32)</f>
        <v>25</v>
      </c>
    </row>
    <row r="60" spans="1:21">
      <c r="A60" s="1">
        <f>'107_兵卡等级'!B60</f>
        <v>55</v>
      </c>
      <c r="B60" s="1">
        <f ca="1">'107_兵卡等级'!L60</f>
        <v>10</v>
      </c>
      <c r="C60" s="1">
        <f ca="1">OFFSET(养成规划!$B$6,MATCH(B60,养成规划!$B$6:$B$77,1)-1,0)</f>
        <v>10</v>
      </c>
      <c r="D60" s="1">
        <f ca="1">MAX(3,OFFSET(养成规划!$X$6,MATCH(C60,养成规划!$B$6:$B$77,0)-1,0))</f>
        <v>5.1</v>
      </c>
      <c r="E60" s="1">
        <f ca="1">MAX(1,OFFSET(控制台!$J$374,MATCH(C60,控制台!$B$374:$B$445,0)-1,0))</f>
        <v>16</v>
      </c>
      <c r="F60" s="1">
        <f ca="1">MAX(1,OFFSET(养成规划!$V$6,MATCH(C60,养成规划!$S$6:$S$77,0)-1,0))</f>
        <v>5</v>
      </c>
      <c r="G60" s="1">
        <f ca="1">MAX(9,OFFSET(控制台!$L$374,MATCH(C60,控制台!$B$374:$B$445,0)-1,0))</f>
        <v>54</v>
      </c>
      <c r="H60" s="1">
        <f ca="1">MAX(1,_xlfn.FLOOR.MATH(OFFSET(养成规划!$Y$6,MATCH(C60,养成规划!$B$6:$B$77,0)-1,0)/100))</f>
        <v>2</v>
      </c>
      <c r="I60" s="1">
        <f ca="1">MAX(1,MOD(OFFSET(养成规划!$Y$6,MATCH(C60,养成规划!$B$6:$B$77,0)-1,0),100))</f>
        <v>1</v>
      </c>
      <c r="J60" s="1" t="str">
        <f ca="1">OFFSET(养成规划!$Z$6,MATCH(C60,养成规划!$B$6:$B$77,0)-1,0)</f>
        <v>铜</v>
      </c>
      <c r="K60" s="1">
        <f ca="1">OFFSET(养成规划!$AB$6,MATCH(C60,养成规划!$B$6:$B$77,0)-1,0)</f>
        <v>30</v>
      </c>
      <c r="L60" s="1">
        <f ca="1">OFFSET(养成规划!$AC$6,MATCH(C60,养成规划!$B$6:$B$77,0)-1,0)</f>
        <v>4</v>
      </c>
      <c r="M60" s="14">
        <f ca="1">OFFSET(控制台!$R$476,MATCH(C60,控制台!$B$476:$B$547,0)-1,0)</f>
        <v>0.05</v>
      </c>
      <c r="N60" s="14">
        <f ca="1">OFFSET(控制台!$S$476,MATCH(C60,控制台!$B$476:$B$547,0)-1,0)</f>
        <v>0.15</v>
      </c>
      <c r="O60" s="14">
        <f ca="1">OFFSET(控制台!$U$5057,MATCH(C60,控制台!$B$5057:$B$5128,0)-1,0)</f>
        <v>0</v>
      </c>
      <c r="P60" s="14">
        <f ca="1">OFFSET(控制台!$V$5057,MATCH(C60,控制台!$B$5057:$B$5128,0)-1,0)</f>
        <v>0</v>
      </c>
      <c r="Q60" s="14">
        <f ca="1">OFFSET(控制台!$T$5057,MATCH(C60,控制台!$B$5057:$B$5128,0)-1,0)</f>
        <v>0</v>
      </c>
      <c r="S60" s="1">
        <f>'206_副本挂机'!B60*100+'206_副本挂机'!C60*4</f>
        <v>640</v>
      </c>
      <c r="T60" s="1">
        <f ca="1">_xlfn.FLOOR.MATH('206_副本挂机'!L60)</f>
        <v>50</v>
      </c>
      <c r="U60" s="1">
        <f ca="1">MIN(OFFSET(控制台!$J$374,MATCH(T60,控制台!$B$374:$B$445,1)-1,0)+1,32)</f>
        <v>26</v>
      </c>
    </row>
    <row r="61" spans="1:21">
      <c r="A61" s="1">
        <f>'107_兵卡等级'!B61</f>
        <v>56</v>
      </c>
      <c r="B61" s="1">
        <f ca="1">'107_兵卡等级'!L61</f>
        <v>10.6</v>
      </c>
      <c r="C61" s="1">
        <f ca="1">OFFSET(养成规划!$B$6,MATCH(B61,养成规划!$B$6:$B$77,1)-1,0)</f>
        <v>10</v>
      </c>
      <c r="D61" s="1">
        <f ca="1">MAX(3,OFFSET(养成规划!$X$6,MATCH(C61,养成规划!$B$6:$B$77,0)-1,0))</f>
        <v>5.1</v>
      </c>
      <c r="E61" s="1">
        <f ca="1">MAX(1,OFFSET(控制台!$J$374,MATCH(C61,控制台!$B$374:$B$445,0)-1,0))</f>
        <v>16</v>
      </c>
      <c r="F61" s="1">
        <f ca="1">MAX(1,OFFSET(养成规划!$V$6,MATCH(C61,养成规划!$S$6:$S$77,0)-1,0))</f>
        <v>5</v>
      </c>
      <c r="G61" s="1">
        <f ca="1">MAX(9,OFFSET(控制台!$L$374,MATCH(C61,控制台!$B$374:$B$445,0)-1,0))</f>
        <v>54</v>
      </c>
      <c r="H61" s="1">
        <f ca="1">MAX(1,_xlfn.FLOOR.MATH(OFFSET(养成规划!$Y$6,MATCH(C61,养成规划!$B$6:$B$77,0)-1,0)/100))</f>
        <v>2</v>
      </c>
      <c r="I61" s="1">
        <f ca="1">MAX(1,MOD(OFFSET(养成规划!$Y$6,MATCH(C61,养成规划!$B$6:$B$77,0)-1,0),100))</f>
        <v>1</v>
      </c>
      <c r="J61" s="1" t="str">
        <f ca="1">OFFSET(养成规划!$Z$6,MATCH(C61,养成规划!$B$6:$B$77,0)-1,0)</f>
        <v>铜</v>
      </c>
      <c r="K61" s="1">
        <f ca="1">OFFSET(养成规划!$AB$6,MATCH(C61,养成规划!$B$6:$B$77,0)-1,0)</f>
        <v>30</v>
      </c>
      <c r="L61" s="1">
        <f ca="1">OFFSET(养成规划!$AC$6,MATCH(C61,养成规划!$B$6:$B$77,0)-1,0)</f>
        <v>4</v>
      </c>
      <c r="M61" s="14">
        <f ca="1">OFFSET(控制台!$R$476,MATCH(C61,控制台!$B$476:$B$547,0)-1,0)</f>
        <v>0.05</v>
      </c>
      <c r="N61" s="14">
        <f ca="1">OFFSET(控制台!$S$476,MATCH(C61,控制台!$B$476:$B$547,0)-1,0)</f>
        <v>0.15</v>
      </c>
      <c r="O61" s="14">
        <f ca="1">OFFSET(控制台!$U$5057,MATCH(C61,控制台!$B$5057:$B$5128,0)-1,0)</f>
        <v>0</v>
      </c>
      <c r="P61" s="14">
        <f ca="1">OFFSET(控制台!$V$5057,MATCH(C61,控制台!$B$5057:$B$5128,0)-1,0)</f>
        <v>0</v>
      </c>
      <c r="Q61" s="14">
        <f ca="1">OFFSET(控制台!$T$5057,MATCH(C61,控制台!$B$5057:$B$5128,0)-1,0)</f>
        <v>0</v>
      </c>
      <c r="S61" s="1">
        <f>'206_副本挂机'!B61*100+'206_副本挂机'!C61*4</f>
        <v>704</v>
      </c>
      <c r="T61" s="1">
        <f ca="1">_xlfn.FLOOR.MATH('206_副本挂机'!L61)</f>
        <v>52</v>
      </c>
      <c r="U61" s="1">
        <f ca="1">MIN(OFFSET(控制台!$J$374,MATCH(T61,控制台!$B$374:$B$445,1)-1,0)+1,32)</f>
        <v>26</v>
      </c>
    </row>
    <row r="62" spans="1:21">
      <c r="A62" s="1">
        <f>'107_兵卡等级'!B62</f>
        <v>57</v>
      </c>
      <c r="B62" s="1">
        <f ca="1">'107_兵卡等级'!L62</f>
        <v>11.2</v>
      </c>
      <c r="C62" s="1">
        <f ca="1">OFFSET(养成规划!$B$6,MATCH(B62,养成规划!$B$6:$B$77,1)-1,0)</f>
        <v>11</v>
      </c>
      <c r="D62" s="1">
        <f ca="1">MAX(3,OFFSET(养成规划!$X$6,MATCH(C62,养成规划!$B$6:$B$77,0)-1,0))</f>
        <v>5.1</v>
      </c>
      <c r="E62" s="1">
        <f ca="1">MAX(1,OFFSET(控制台!$J$374,MATCH(C62,控制台!$B$374:$B$445,0)-1,0))</f>
        <v>17</v>
      </c>
      <c r="F62" s="1">
        <f ca="1">MAX(1,OFFSET(养成规划!$V$6,MATCH(C62,养成规划!$S$6:$S$77,0)-1,0))</f>
        <v>5</v>
      </c>
      <c r="G62" s="1">
        <f ca="1">MAX(9,OFFSET(控制台!$L$374,MATCH(C62,控制台!$B$374:$B$445,0)-1,0))</f>
        <v>57</v>
      </c>
      <c r="H62" s="1">
        <f ca="1">MAX(1,_xlfn.FLOOR.MATH(OFFSET(养成规划!$Y$6,MATCH(C62,养成规划!$B$6:$B$77,0)-1,0)/100))</f>
        <v>2</v>
      </c>
      <c r="I62" s="1">
        <f ca="1">MAX(1,MOD(OFFSET(养成规划!$Y$6,MATCH(C62,养成规划!$B$6:$B$77,0)-1,0),100))</f>
        <v>2</v>
      </c>
      <c r="J62" s="1" t="str">
        <f ca="1">OFFSET(养成规划!$Z$6,MATCH(C62,养成规划!$B$6:$B$77,0)-1,0)</f>
        <v>铜</v>
      </c>
      <c r="K62" s="1">
        <f ca="1">OFFSET(养成规划!$AB$6,MATCH(C62,养成规划!$B$6:$B$77,0)-1,0)</f>
        <v>30</v>
      </c>
      <c r="L62" s="1">
        <f ca="1">OFFSET(养成规划!$AC$6,MATCH(C62,养成规划!$B$6:$B$77,0)-1,0)</f>
        <v>4</v>
      </c>
      <c r="M62" s="14">
        <f ca="1">OFFSET(控制台!$R$476,MATCH(C62,控制台!$B$476:$B$547,0)-1,0)</f>
        <v>0.05</v>
      </c>
      <c r="N62" s="14">
        <f ca="1">OFFSET(控制台!$S$476,MATCH(C62,控制台!$B$476:$B$547,0)-1,0)</f>
        <v>0.15</v>
      </c>
      <c r="O62" s="14">
        <f ca="1">OFFSET(控制台!$U$5057,MATCH(C62,控制台!$B$5057:$B$5128,0)-1,0)</f>
        <v>0</v>
      </c>
      <c r="P62" s="14">
        <f ca="1">OFFSET(控制台!$V$5057,MATCH(C62,控制台!$B$5057:$B$5128,0)-1,0)</f>
        <v>0</v>
      </c>
      <c r="Q62" s="14">
        <f ca="1">OFFSET(控制台!$T$5057,MATCH(C62,控制台!$B$5057:$B$5128,0)-1,0)</f>
        <v>0</v>
      </c>
      <c r="S62" s="1">
        <f>'206_副本挂机'!B62*100+'206_副本挂机'!C62*4</f>
        <v>708</v>
      </c>
      <c r="T62" s="1">
        <f ca="1">_xlfn.FLOOR.MATH('206_副本挂机'!L62)</f>
        <v>55</v>
      </c>
      <c r="U62" s="1">
        <f ca="1">MIN(OFFSET(控制台!$J$374,MATCH(T62,控制台!$B$374:$B$445,1)-1,0)+1,32)</f>
        <v>26</v>
      </c>
    </row>
    <row r="63" spans="1:21">
      <c r="A63" s="1">
        <f>'107_兵卡等级'!B63</f>
        <v>58</v>
      </c>
      <c r="B63" s="1">
        <f ca="1">'107_兵卡等级'!L63</f>
        <v>11.8</v>
      </c>
      <c r="C63" s="1">
        <f ca="1">OFFSET(养成规划!$B$6,MATCH(B63,养成规划!$B$6:$B$77,1)-1,0)</f>
        <v>11</v>
      </c>
      <c r="D63" s="1">
        <f ca="1">MAX(3,OFFSET(养成规划!$X$6,MATCH(C63,养成规划!$B$6:$B$77,0)-1,0))</f>
        <v>5.1</v>
      </c>
      <c r="E63" s="1">
        <f ca="1">MAX(1,OFFSET(控制台!$J$374,MATCH(C63,控制台!$B$374:$B$445,0)-1,0))</f>
        <v>17</v>
      </c>
      <c r="F63" s="1">
        <f ca="1">MAX(1,OFFSET(养成规划!$V$6,MATCH(C63,养成规划!$S$6:$S$77,0)-1,0))</f>
        <v>5</v>
      </c>
      <c r="G63" s="1">
        <f ca="1">MAX(9,OFFSET(控制台!$L$374,MATCH(C63,控制台!$B$374:$B$445,0)-1,0))</f>
        <v>57</v>
      </c>
      <c r="H63" s="1">
        <f ca="1">MAX(1,_xlfn.FLOOR.MATH(OFFSET(养成规划!$Y$6,MATCH(C63,养成规划!$B$6:$B$77,0)-1,0)/100))</f>
        <v>2</v>
      </c>
      <c r="I63" s="1">
        <f ca="1">MAX(1,MOD(OFFSET(养成规划!$Y$6,MATCH(C63,养成规划!$B$6:$B$77,0)-1,0),100))</f>
        <v>2</v>
      </c>
      <c r="J63" s="1" t="str">
        <f ca="1">OFFSET(养成规划!$Z$6,MATCH(C63,养成规划!$B$6:$B$77,0)-1,0)</f>
        <v>铜</v>
      </c>
      <c r="K63" s="1">
        <f ca="1">OFFSET(养成规划!$AB$6,MATCH(C63,养成规划!$B$6:$B$77,0)-1,0)</f>
        <v>30</v>
      </c>
      <c r="L63" s="1">
        <f ca="1">OFFSET(养成规划!$AC$6,MATCH(C63,养成规划!$B$6:$B$77,0)-1,0)</f>
        <v>4</v>
      </c>
      <c r="M63" s="14">
        <f ca="1">OFFSET(控制台!$R$476,MATCH(C63,控制台!$B$476:$B$547,0)-1,0)</f>
        <v>0.05</v>
      </c>
      <c r="N63" s="14">
        <f ca="1">OFFSET(控制台!$S$476,MATCH(C63,控制台!$B$476:$B$547,0)-1,0)</f>
        <v>0.15</v>
      </c>
      <c r="O63" s="14">
        <f ca="1">OFFSET(控制台!$U$5057,MATCH(C63,控制台!$B$5057:$B$5128,0)-1,0)</f>
        <v>0</v>
      </c>
      <c r="P63" s="14">
        <f ca="1">OFFSET(控制台!$V$5057,MATCH(C63,控制台!$B$5057:$B$5128,0)-1,0)</f>
        <v>0</v>
      </c>
      <c r="Q63" s="14">
        <f ca="1">OFFSET(控制台!$T$5057,MATCH(C63,控制台!$B$5057:$B$5128,0)-1,0)</f>
        <v>0</v>
      </c>
      <c r="S63" s="1">
        <f>'206_副本挂机'!B63*100+'206_副本挂机'!C63*4</f>
        <v>712</v>
      </c>
      <c r="T63" s="1">
        <f ca="1">_xlfn.FLOOR.MATH('206_副本挂机'!L63)</f>
        <v>57</v>
      </c>
      <c r="U63" s="1">
        <f ca="1">MIN(OFFSET(控制台!$J$374,MATCH(T63,控制台!$B$374:$B$445,1)-1,0)+1,32)</f>
        <v>26</v>
      </c>
    </row>
    <row r="64" spans="1:21">
      <c r="A64" s="1">
        <f>'107_兵卡等级'!B64</f>
        <v>59</v>
      </c>
      <c r="B64" s="1">
        <f ca="1">'107_兵卡等级'!L64</f>
        <v>12.4</v>
      </c>
      <c r="C64" s="1">
        <f ca="1">OFFSET(养成规划!$B$6,MATCH(B64,养成规划!$B$6:$B$77,1)-1,0)</f>
        <v>12</v>
      </c>
      <c r="D64" s="1">
        <f ca="1">MAX(3,OFFSET(养成规划!$X$6,MATCH(C64,养成规划!$B$6:$B$77,0)-1,0))</f>
        <v>5.1</v>
      </c>
      <c r="E64" s="1">
        <f ca="1">MAX(1,OFFSET(控制台!$J$374,MATCH(C64,控制台!$B$374:$B$445,0)-1,0))</f>
        <v>17</v>
      </c>
      <c r="F64" s="1">
        <f ca="1">MAX(1,OFFSET(养成规划!$V$6,MATCH(C64,养成规划!$S$6:$S$77,0)-1,0))</f>
        <v>5</v>
      </c>
      <c r="G64" s="1">
        <f ca="1">MAX(9,OFFSET(控制台!$L$374,MATCH(C64,控制台!$B$374:$B$445,0)-1,0))</f>
        <v>57</v>
      </c>
      <c r="H64" s="1">
        <f ca="1">MAX(1,_xlfn.FLOOR.MATH(OFFSET(养成规划!$Y$6,MATCH(C64,养成规划!$B$6:$B$77,0)-1,0)/100))</f>
        <v>2</v>
      </c>
      <c r="I64" s="1">
        <f ca="1">MAX(1,MOD(OFFSET(养成规划!$Y$6,MATCH(C64,养成规划!$B$6:$B$77,0)-1,0),100))</f>
        <v>2</v>
      </c>
      <c r="J64" s="1" t="str">
        <f ca="1">OFFSET(养成规划!$Z$6,MATCH(C64,养成规划!$B$6:$B$77,0)-1,0)</f>
        <v>铜</v>
      </c>
      <c r="K64" s="1">
        <f ca="1">OFFSET(养成规划!$AB$6,MATCH(C64,养成规划!$B$6:$B$77,0)-1,0)</f>
        <v>30</v>
      </c>
      <c r="L64" s="1">
        <f ca="1">OFFSET(养成规划!$AC$6,MATCH(C64,养成规划!$B$6:$B$77,0)-1,0)</f>
        <v>4</v>
      </c>
      <c r="M64" s="14">
        <f ca="1">OFFSET(控制台!$R$476,MATCH(C64,控制台!$B$476:$B$547,0)-1,0)</f>
        <v>0.05</v>
      </c>
      <c r="N64" s="14">
        <f ca="1">OFFSET(控制台!$S$476,MATCH(C64,控制台!$B$476:$B$547,0)-1,0)</f>
        <v>0.15</v>
      </c>
      <c r="O64" s="14">
        <f ca="1">OFFSET(控制台!$U$5057,MATCH(C64,控制台!$B$5057:$B$5128,0)-1,0)</f>
        <v>0</v>
      </c>
      <c r="P64" s="14">
        <f ca="1">OFFSET(控制台!$V$5057,MATCH(C64,控制台!$B$5057:$B$5128,0)-1,0)</f>
        <v>0</v>
      </c>
      <c r="Q64" s="14">
        <f ca="1">OFFSET(控制台!$T$5057,MATCH(C64,控制台!$B$5057:$B$5128,0)-1,0)</f>
        <v>0</v>
      </c>
      <c r="S64" s="1">
        <f>'206_副本挂机'!B64*100+'206_副本挂机'!C64*4</f>
        <v>716</v>
      </c>
      <c r="T64" s="1">
        <f ca="1">_xlfn.FLOOR.MATH('206_副本挂机'!L64)</f>
        <v>60</v>
      </c>
      <c r="U64" s="1">
        <f ca="1">MIN(OFFSET(控制台!$J$374,MATCH(T64,控制台!$B$374:$B$445,1)-1,0)+1,32)</f>
        <v>27</v>
      </c>
    </row>
    <row r="65" spans="1:21">
      <c r="A65" s="1">
        <f>'107_兵卡等级'!B65</f>
        <v>60</v>
      </c>
      <c r="B65" s="1">
        <f ca="1">'107_兵卡等级'!L65</f>
        <v>13</v>
      </c>
      <c r="C65" s="1">
        <f ca="1">OFFSET(养成规划!$B$6,MATCH(B65,养成规划!$B$6:$B$77,1)-1,0)</f>
        <v>13</v>
      </c>
      <c r="D65" s="1">
        <f ca="1">MAX(3,OFFSET(养成规划!$X$6,MATCH(C65,养成规划!$B$6:$B$77,0)-1,0))</f>
        <v>5.1</v>
      </c>
      <c r="E65" s="1">
        <f ca="1">MAX(1,OFFSET(控制台!$J$374,MATCH(C65,控制台!$B$374:$B$445,0)-1,0))</f>
        <v>17</v>
      </c>
      <c r="F65" s="1">
        <f ca="1">MAX(1,OFFSET(养成规划!$V$6,MATCH(C65,养成规划!$S$6:$S$77,0)-1,0))</f>
        <v>5</v>
      </c>
      <c r="G65" s="1">
        <f ca="1">MAX(9,OFFSET(控制台!$L$374,MATCH(C65,控制台!$B$374:$B$445,0)-1,0))</f>
        <v>57</v>
      </c>
      <c r="H65" s="1">
        <f ca="1">MAX(1,_xlfn.FLOOR.MATH(OFFSET(养成规划!$Y$6,MATCH(C65,养成规划!$B$6:$B$77,0)-1,0)/100))</f>
        <v>2</v>
      </c>
      <c r="I65" s="1">
        <f ca="1">MAX(1,MOD(OFFSET(养成规划!$Y$6,MATCH(C65,养成规划!$B$6:$B$77,0)-1,0),100))</f>
        <v>2</v>
      </c>
      <c r="J65" s="1" t="str">
        <f ca="1">OFFSET(养成规划!$Z$6,MATCH(C65,养成规划!$B$6:$B$77,0)-1,0)</f>
        <v>铜</v>
      </c>
      <c r="K65" s="1">
        <f ca="1">OFFSET(养成规划!$AB$6,MATCH(C65,养成规划!$B$6:$B$77,0)-1,0)</f>
        <v>30</v>
      </c>
      <c r="L65" s="1">
        <f ca="1">OFFSET(养成规划!$AC$6,MATCH(C65,养成规划!$B$6:$B$77,0)-1,0)</f>
        <v>4</v>
      </c>
      <c r="M65" s="14">
        <f ca="1">OFFSET(控制台!$R$476,MATCH(C65,控制台!$B$476:$B$547,0)-1,0)</f>
        <v>0.05</v>
      </c>
      <c r="N65" s="14">
        <f ca="1">OFFSET(控制台!$S$476,MATCH(C65,控制台!$B$476:$B$547,0)-1,0)</f>
        <v>0.15</v>
      </c>
      <c r="O65" s="14">
        <f ca="1">OFFSET(控制台!$U$5057,MATCH(C65,控制台!$B$5057:$B$5128,0)-1,0)</f>
        <v>0</v>
      </c>
      <c r="P65" s="14">
        <f ca="1">OFFSET(控制台!$V$5057,MATCH(C65,控制台!$B$5057:$B$5128,0)-1,0)</f>
        <v>0</v>
      </c>
      <c r="Q65" s="14">
        <f ca="1">OFFSET(控制台!$T$5057,MATCH(C65,控制台!$B$5057:$B$5128,0)-1,0)</f>
        <v>0</v>
      </c>
      <c r="S65" s="1">
        <f>'206_副本挂机'!B65*100+'206_副本挂机'!C65*4</f>
        <v>720</v>
      </c>
      <c r="T65" s="1">
        <f ca="1">_xlfn.FLOOR.MATH('206_副本挂机'!L65)</f>
        <v>62</v>
      </c>
      <c r="U65" s="1">
        <f ca="1">MIN(OFFSET(控制台!$J$374,MATCH(T65,控制台!$B$374:$B$445,1)-1,0)+1,32)</f>
        <v>27</v>
      </c>
    </row>
    <row r="66" spans="1:21">
      <c r="A66" s="1">
        <f>'107_兵卡等级'!B66</f>
        <v>61</v>
      </c>
      <c r="B66" s="1">
        <f ca="1">'107_兵卡等级'!L66</f>
        <v>14.2</v>
      </c>
      <c r="C66" s="1">
        <f ca="1">OFFSET(养成规划!$B$6,MATCH(B66,养成规划!$B$6:$B$77,1)-1,0)</f>
        <v>14</v>
      </c>
      <c r="D66" s="1">
        <f ca="1">MAX(3,OFFSET(养成规划!$X$6,MATCH(C66,养成规划!$B$6:$B$77,0)-1,0))</f>
        <v>5.1</v>
      </c>
      <c r="E66" s="1">
        <f ca="1">MAX(1,OFFSET(控制台!$J$374,MATCH(C66,控制台!$B$374:$B$445,0)-1,0))</f>
        <v>18</v>
      </c>
      <c r="F66" s="1">
        <f ca="1">MAX(1,OFFSET(养成规划!$V$6,MATCH(C66,养成规划!$S$6:$S$77,0)-1,0))</f>
        <v>5</v>
      </c>
      <c r="G66" s="1">
        <f ca="1">MAX(9,OFFSET(控制台!$L$374,MATCH(C66,控制台!$B$374:$B$445,0)-1,0))</f>
        <v>60</v>
      </c>
      <c r="H66" s="1">
        <f ca="1">MAX(1,_xlfn.FLOOR.MATH(OFFSET(养成规划!$Y$6,MATCH(C66,养成规划!$B$6:$B$77,0)-1,0)/100))</f>
        <v>2</v>
      </c>
      <c r="I66" s="1">
        <f ca="1">MAX(1,MOD(OFFSET(养成规划!$Y$6,MATCH(C66,养成规划!$B$6:$B$77,0)-1,0),100))</f>
        <v>2</v>
      </c>
      <c r="J66" s="1" t="str">
        <f ca="1">OFFSET(养成规划!$Z$6,MATCH(C66,养成规划!$B$6:$B$77,0)-1,0)</f>
        <v>铜</v>
      </c>
      <c r="K66" s="1">
        <f ca="1">OFFSET(养成规划!$AB$6,MATCH(C66,养成规划!$B$6:$B$77,0)-1,0)</f>
        <v>30</v>
      </c>
      <c r="L66" s="1">
        <f ca="1">OFFSET(养成规划!$AC$6,MATCH(C66,养成规划!$B$6:$B$77,0)-1,0)</f>
        <v>5</v>
      </c>
      <c r="M66" s="14">
        <f ca="1">OFFSET(控制台!$R$476,MATCH(C66,控制台!$B$476:$B$547,0)-1,0)</f>
        <v>0.15</v>
      </c>
      <c r="N66" s="14">
        <f ca="1">OFFSET(控制台!$S$476,MATCH(C66,控制台!$B$476:$B$547,0)-1,0)</f>
        <v>0.15</v>
      </c>
      <c r="O66" s="14">
        <f ca="1">OFFSET(控制台!$U$5057,MATCH(C66,控制台!$B$5057:$B$5128,0)-1,0)</f>
        <v>0</v>
      </c>
      <c r="P66" s="14">
        <f ca="1">OFFSET(控制台!$V$5057,MATCH(C66,控制台!$B$5057:$B$5128,0)-1,0)</f>
        <v>0</v>
      </c>
      <c r="Q66" s="14">
        <f ca="1">OFFSET(控制台!$T$5057,MATCH(C66,控制台!$B$5057:$B$5128,0)-1,0)</f>
        <v>0</v>
      </c>
      <c r="S66" s="1">
        <f>'206_副本挂机'!B66*100+'206_副本挂机'!C66*4</f>
        <v>724</v>
      </c>
      <c r="T66" s="1">
        <f ca="1">_xlfn.FLOOR.MATH('206_副本挂机'!L66)</f>
        <v>65</v>
      </c>
      <c r="U66" s="1">
        <f ca="1">MIN(OFFSET(控制台!$J$374,MATCH(T66,控制台!$B$374:$B$445,1)-1,0)+1,32)</f>
        <v>27</v>
      </c>
    </row>
    <row r="67" spans="1:21">
      <c r="A67" s="1">
        <f>'107_兵卡等级'!B67</f>
        <v>62</v>
      </c>
      <c r="B67" s="1">
        <f ca="1">'107_兵卡等级'!L67</f>
        <v>15.4</v>
      </c>
      <c r="C67" s="1">
        <f ca="1">OFFSET(养成规划!$B$6,MATCH(B67,养成规划!$B$6:$B$77,1)-1,0)</f>
        <v>15</v>
      </c>
      <c r="D67" s="1">
        <f ca="1">MAX(3,OFFSET(养成规划!$X$6,MATCH(C67,养成规划!$B$6:$B$77,0)-1,0))</f>
        <v>5.1</v>
      </c>
      <c r="E67" s="1">
        <f ca="1">MAX(1,OFFSET(控制台!$J$374,MATCH(C67,控制台!$B$374:$B$445,0)-1,0))</f>
        <v>18</v>
      </c>
      <c r="F67" s="1">
        <f ca="1">MAX(1,OFFSET(养成规划!$V$6,MATCH(C67,养成规划!$S$6:$S$77,0)-1,0))</f>
        <v>5</v>
      </c>
      <c r="G67" s="1">
        <f ca="1">MAX(9,OFFSET(控制台!$L$374,MATCH(C67,控制台!$B$374:$B$445,0)-1,0))</f>
        <v>60</v>
      </c>
      <c r="H67" s="1">
        <f ca="1">MAX(1,_xlfn.FLOOR.MATH(OFFSET(养成规划!$Y$6,MATCH(C67,养成规划!$B$6:$B$77,0)-1,0)/100))</f>
        <v>2</v>
      </c>
      <c r="I67" s="1">
        <f ca="1">MAX(1,MOD(OFFSET(养成规划!$Y$6,MATCH(C67,养成规划!$B$6:$B$77,0)-1,0),100))</f>
        <v>2</v>
      </c>
      <c r="J67" s="1" t="str">
        <f ca="1">OFFSET(养成规划!$Z$6,MATCH(C67,养成规划!$B$6:$B$77,0)-1,0)</f>
        <v>铜</v>
      </c>
      <c r="K67" s="1">
        <f ca="1">OFFSET(养成规划!$AB$6,MATCH(C67,养成规划!$B$6:$B$77,0)-1,0)</f>
        <v>30</v>
      </c>
      <c r="L67" s="1">
        <f ca="1">OFFSET(养成规划!$AC$6,MATCH(C67,养成规划!$B$6:$B$77,0)-1,0)</f>
        <v>5</v>
      </c>
      <c r="M67" s="14">
        <f ca="1">OFFSET(控制台!$R$476,MATCH(C67,控制台!$B$476:$B$547,0)-1,0)</f>
        <v>0.15</v>
      </c>
      <c r="N67" s="14">
        <f ca="1">OFFSET(控制台!$S$476,MATCH(C67,控制台!$B$476:$B$547,0)-1,0)</f>
        <v>0.15</v>
      </c>
      <c r="O67" s="14">
        <f ca="1">OFFSET(控制台!$U$5057,MATCH(C67,控制台!$B$5057:$B$5128,0)-1,0)</f>
        <v>0</v>
      </c>
      <c r="P67" s="14">
        <f ca="1">OFFSET(控制台!$V$5057,MATCH(C67,控制台!$B$5057:$B$5128,0)-1,0)</f>
        <v>0</v>
      </c>
      <c r="Q67" s="14">
        <f ca="1">OFFSET(控制台!$T$5057,MATCH(C67,控制台!$B$5057:$B$5128,0)-1,0)</f>
        <v>0</v>
      </c>
      <c r="S67" s="1">
        <f>'206_副本挂机'!B67*100+'206_副本挂机'!C67*4</f>
        <v>728</v>
      </c>
      <c r="T67" s="1">
        <f ca="1">_xlfn.FLOOR.MATH('206_副本挂机'!L67)</f>
        <v>67</v>
      </c>
      <c r="U67" s="1">
        <f ca="1">MIN(OFFSET(控制台!$J$374,MATCH(T67,控制台!$B$374:$B$445,1)-1,0)+1,32)</f>
        <v>27</v>
      </c>
    </row>
    <row r="68" spans="1:21">
      <c r="A68" s="1">
        <f>'107_兵卡等级'!B68</f>
        <v>63</v>
      </c>
      <c r="B68" s="1">
        <f ca="1">'107_兵卡等级'!L68</f>
        <v>16.6</v>
      </c>
      <c r="C68" s="1">
        <f ca="1">OFFSET(养成规划!$B$6,MATCH(B68,养成规划!$B$6:$B$77,1)-1,0)</f>
        <v>16</v>
      </c>
      <c r="D68" s="1">
        <f ca="1">MAX(3,OFFSET(养成规划!$X$6,MATCH(C68,养成规划!$B$6:$B$77,0)-1,0))</f>
        <v>5.1</v>
      </c>
      <c r="E68" s="1">
        <f ca="1">MAX(1,OFFSET(控制台!$J$374,MATCH(C68,控制台!$B$374:$B$445,0)-1,0))</f>
        <v>18</v>
      </c>
      <c r="F68" s="1">
        <f ca="1">MAX(1,OFFSET(养成规划!$V$6,MATCH(C68,养成规划!$S$6:$S$77,0)-1,0))</f>
        <v>5</v>
      </c>
      <c r="G68" s="1">
        <f ca="1">MAX(9,OFFSET(控制台!$L$374,MATCH(C68,控制台!$B$374:$B$445,0)-1,0))</f>
        <v>60</v>
      </c>
      <c r="H68" s="1">
        <f ca="1">MAX(1,_xlfn.FLOOR.MATH(OFFSET(养成规划!$Y$6,MATCH(C68,养成规划!$B$6:$B$77,0)-1,0)/100))</f>
        <v>2</v>
      </c>
      <c r="I68" s="1">
        <f ca="1">MAX(1,MOD(OFFSET(养成规划!$Y$6,MATCH(C68,养成规划!$B$6:$B$77,0)-1,0),100))</f>
        <v>3</v>
      </c>
      <c r="J68" s="1" t="str">
        <f ca="1">OFFSET(养成规划!$Z$6,MATCH(C68,养成规划!$B$6:$B$77,0)-1,0)</f>
        <v>铜</v>
      </c>
      <c r="K68" s="1">
        <f ca="1">OFFSET(养成规划!$AB$6,MATCH(C68,养成规划!$B$6:$B$77,0)-1,0)</f>
        <v>30</v>
      </c>
      <c r="L68" s="1">
        <f ca="1">OFFSET(养成规划!$AC$6,MATCH(C68,养成规划!$B$6:$B$77,0)-1,0)</f>
        <v>5</v>
      </c>
      <c r="M68" s="14">
        <f ca="1">OFFSET(控制台!$R$476,MATCH(C68,控制台!$B$476:$B$547,0)-1,0)</f>
        <v>0.15</v>
      </c>
      <c r="N68" s="14">
        <f ca="1">OFFSET(控制台!$S$476,MATCH(C68,控制台!$B$476:$B$547,0)-1,0)</f>
        <v>0.15</v>
      </c>
      <c r="O68" s="14">
        <f ca="1">OFFSET(控制台!$U$5057,MATCH(C68,控制台!$B$5057:$B$5128,0)-1,0)</f>
        <v>0</v>
      </c>
      <c r="P68" s="14">
        <f ca="1">OFFSET(控制台!$V$5057,MATCH(C68,控制台!$B$5057:$B$5128,0)-1,0)</f>
        <v>0</v>
      </c>
      <c r="Q68" s="14">
        <f ca="1">OFFSET(控制台!$T$5057,MATCH(C68,控制台!$B$5057:$B$5128,0)-1,0)</f>
        <v>0</v>
      </c>
      <c r="S68" s="1">
        <f>'206_副本挂机'!B68*100+'206_副本挂机'!C68*4</f>
        <v>732</v>
      </c>
      <c r="T68" s="1">
        <f ca="1">_xlfn.FLOOR.MATH('206_副本挂机'!L68)</f>
        <v>70</v>
      </c>
      <c r="U68" s="1">
        <f ca="1">MIN(OFFSET(控制台!$J$374,MATCH(T68,控制台!$B$374:$B$445,1)-1,0)+1,32)</f>
        <v>27</v>
      </c>
    </row>
    <row r="69" spans="1:21">
      <c r="A69" s="1">
        <f>'107_兵卡等级'!B69</f>
        <v>64</v>
      </c>
      <c r="B69" s="1">
        <f ca="1">'107_兵卡等级'!L69</f>
        <v>17.8</v>
      </c>
      <c r="C69" s="1">
        <f ca="1">OFFSET(养成规划!$B$6,MATCH(B69,养成规划!$B$6:$B$77,1)-1,0)</f>
        <v>17</v>
      </c>
      <c r="D69" s="1">
        <f ca="1">MAX(3,OFFSET(养成规划!$X$6,MATCH(C69,养成规划!$B$6:$B$77,0)-1,0))</f>
        <v>5.1</v>
      </c>
      <c r="E69" s="1">
        <f ca="1">MAX(1,OFFSET(控制台!$J$374,MATCH(C69,控制台!$B$374:$B$445,0)-1,0))</f>
        <v>19</v>
      </c>
      <c r="F69" s="1">
        <f ca="1">MAX(1,OFFSET(养成规划!$V$6,MATCH(C69,养成规划!$S$6:$S$77,0)-1,0))</f>
        <v>5</v>
      </c>
      <c r="G69" s="1">
        <f ca="1">MAX(9,OFFSET(控制台!$L$374,MATCH(C69,控制台!$B$374:$B$445,0)-1,0))</f>
        <v>63</v>
      </c>
      <c r="H69" s="1">
        <f ca="1">MAX(1,_xlfn.FLOOR.MATH(OFFSET(养成规划!$Y$6,MATCH(C69,养成规划!$B$6:$B$77,0)-1,0)/100))</f>
        <v>2</v>
      </c>
      <c r="I69" s="1">
        <f ca="1">MAX(1,MOD(OFFSET(养成规划!$Y$6,MATCH(C69,养成规划!$B$6:$B$77,0)-1,0),100))</f>
        <v>3</v>
      </c>
      <c r="J69" s="1" t="str">
        <f ca="1">OFFSET(养成规划!$Z$6,MATCH(C69,养成规划!$B$6:$B$77,0)-1,0)</f>
        <v>铜</v>
      </c>
      <c r="K69" s="1">
        <f ca="1">OFFSET(养成规划!$AB$6,MATCH(C69,养成规划!$B$6:$B$77,0)-1,0)</f>
        <v>30</v>
      </c>
      <c r="L69" s="1">
        <f ca="1">OFFSET(养成规划!$AC$6,MATCH(C69,养成规划!$B$6:$B$77,0)-1,0)</f>
        <v>5</v>
      </c>
      <c r="M69" s="14">
        <f ca="1">OFFSET(控制台!$R$476,MATCH(C69,控制台!$B$476:$B$547,0)-1,0)</f>
        <v>0.15</v>
      </c>
      <c r="N69" s="14">
        <f ca="1">OFFSET(控制台!$S$476,MATCH(C69,控制台!$B$476:$B$547,0)-1,0)</f>
        <v>0.15</v>
      </c>
      <c r="O69" s="14">
        <f ca="1">OFFSET(控制台!$U$5057,MATCH(C69,控制台!$B$5057:$B$5128,0)-1,0)</f>
        <v>0</v>
      </c>
      <c r="P69" s="14">
        <f ca="1">OFFSET(控制台!$V$5057,MATCH(C69,控制台!$B$5057:$B$5128,0)-1,0)</f>
        <v>0</v>
      </c>
      <c r="Q69" s="14">
        <f ca="1">OFFSET(控制台!$T$5057,MATCH(C69,控制台!$B$5057:$B$5128,0)-1,0)</f>
        <v>0</v>
      </c>
      <c r="S69" s="1">
        <f>'206_副本挂机'!B69*100+'206_副本挂机'!C69*4</f>
        <v>736</v>
      </c>
      <c r="T69" s="1">
        <f ca="1">_xlfn.FLOOR.MATH('206_副本挂机'!L69)</f>
        <v>72</v>
      </c>
      <c r="U69" s="1">
        <f ca="1">MIN(OFFSET(控制台!$J$374,MATCH(T69,控制台!$B$374:$B$445,1)-1,0)+1,32)</f>
        <v>27</v>
      </c>
    </row>
    <row r="70" spans="1:21">
      <c r="A70" s="1">
        <f>'107_兵卡等级'!B70</f>
        <v>65</v>
      </c>
      <c r="B70" s="1">
        <f ca="1">'107_兵卡等级'!L70</f>
        <v>19</v>
      </c>
      <c r="C70" s="1">
        <f ca="1">OFFSET(养成规划!$B$6,MATCH(B70,养成规划!$B$6:$B$77,1)-1,0)</f>
        <v>19</v>
      </c>
      <c r="D70" s="1">
        <f ca="1">MAX(3,OFFSET(养成规划!$X$6,MATCH(C70,养成规划!$B$6:$B$77,0)-1,0))</f>
        <v>6</v>
      </c>
      <c r="E70" s="1">
        <f ca="1">MAX(1,OFFSET(控制台!$J$374,MATCH(C70,控制台!$B$374:$B$445,0)-1,0))</f>
        <v>19</v>
      </c>
      <c r="F70" s="1">
        <f ca="1">MAX(1,OFFSET(养成规划!$V$6,MATCH(C70,养成规划!$S$6:$S$77,0)-1,0))</f>
        <v>5</v>
      </c>
      <c r="G70" s="1">
        <f ca="1">MAX(9,OFFSET(控制台!$L$374,MATCH(C70,控制台!$B$374:$B$445,0)-1,0))</f>
        <v>63</v>
      </c>
      <c r="H70" s="1">
        <f ca="1">MAX(1,_xlfn.FLOOR.MATH(OFFSET(养成规划!$Y$6,MATCH(C70,养成规划!$B$6:$B$77,0)-1,0)/100))</f>
        <v>2</v>
      </c>
      <c r="I70" s="1">
        <f ca="1">MAX(1,MOD(OFFSET(养成规划!$Y$6,MATCH(C70,养成规划!$B$6:$B$77,0)-1,0),100))</f>
        <v>3</v>
      </c>
      <c r="J70" s="1" t="str">
        <f ca="1">OFFSET(养成规划!$Z$6,MATCH(C70,养成规划!$B$6:$B$77,0)-1,0)</f>
        <v>铜</v>
      </c>
      <c r="K70" s="1">
        <f ca="1">OFFSET(养成规划!$AB$6,MATCH(C70,养成规划!$B$6:$B$77,0)-1,0)</f>
        <v>30</v>
      </c>
      <c r="L70" s="1">
        <f ca="1">OFFSET(养成规划!$AC$6,MATCH(C70,养成规划!$B$6:$B$77,0)-1,0)</f>
        <v>5</v>
      </c>
      <c r="M70" s="14">
        <f ca="1">OFFSET(控制台!$R$476,MATCH(C70,控制台!$B$476:$B$547,0)-1,0)</f>
        <v>0.15</v>
      </c>
      <c r="N70" s="14">
        <f ca="1">OFFSET(控制台!$S$476,MATCH(C70,控制台!$B$476:$B$547,0)-1,0)</f>
        <v>0.15</v>
      </c>
      <c r="O70" s="14">
        <f ca="1">OFFSET(控制台!$U$5057,MATCH(C70,控制台!$B$5057:$B$5128,0)-1,0)</f>
        <v>0</v>
      </c>
      <c r="P70" s="14">
        <f ca="1">OFFSET(控制台!$V$5057,MATCH(C70,控制台!$B$5057:$B$5128,0)-1,0)</f>
        <v>0</v>
      </c>
      <c r="Q70" s="14">
        <f ca="1">OFFSET(控制台!$T$5057,MATCH(C70,控制台!$B$5057:$B$5128,0)-1,0)</f>
        <v>0</v>
      </c>
      <c r="S70" s="1">
        <f>'206_副本挂机'!B70*100+'206_副本挂机'!C70*4</f>
        <v>740</v>
      </c>
      <c r="T70" s="1">
        <f ca="1">_xlfn.FLOOR.MATH('206_副本挂机'!L70)</f>
        <v>75</v>
      </c>
      <c r="U70" s="1">
        <f ca="1">MIN(OFFSET(控制台!$J$374,MATCH(T70,控制台!$B$374:$B$445,1)-1,0)+1,32)</f>
        <v>27</v>
      </c>
    </row>
    <row r="71" spans="1:21">
      <c r="A71" s="1">
        <f>'107_兵卡等级'!B71</f>
        <v>66</v>
      </c>
      <c r="B71" s="1">
        <f ca="1">'107_兵卡等级'!L71</f>
        <v>20.2</v>
      </c>
      <c r="C71" s="1">
        <f ca="1">OFFSET(养成规划!$B$6,MATCH(B71,养成规划!$B$6:$B$77,1)-1,0)</f>
        <v>20</v>
      </c>
      <c r="D71" s="1">
        <f ca="1">MAX(3,OFFSET(养成规划!$X$6,MATCH(C71,养成规划!$B$6:$B$77,0)-1,0))</f>
        <v>6</v>
      </c>
      <c r="E71" s="1">
        <f ca="1">MAX(1,OFFSET(控制台!$J$374,MATCH(C71,控制台!$B$374:$B$445,0)-1,0))</f>
        <v>20</v>
      </c>
      <c r="F71" s="1">
        <f ca="1">MAX(1,OFFSET(养成规划!$V$6,MATCH(C71,养成规划!$S$6:$S$77,0)-1,0))</f>
        <v>5</v>
      </c>
      <c r="G71" s="1">
        <f ca="1">MAX(9,OFFSET(控制台!$L$374,MATCH(C71,控制台!$B$374:$B$445,0)-1,0))</f>
        <v>66</v>
      </c>
      <c r="H71" s="1">
        <f ca="1">MAX(1,_xlfn.FLOOR.MATH(OFFSET(养成规划!$Y$6,MATCH(C71,养成规划!$B$6:$B$77,0)-1,0)/100))</f>
        <v>2</v>
      </c>
      <c r="I71" s="1">
        <f ca="1">MAX(1,MOD(OFFSET(养成规划!$Y$6,MATCH(C71,养成规划!$B$6:$B$77,0)-1,0),100))</f>
        <v>3</v>
      </c>
      <c r="J71" s="1" t="str">
        <f ca="1">OFFSET(养成规划!$Z$6,MATCH(C71,养成规划!$B$6:$B$77,0)-1,0)</f>
        <v>银</v>
      </c>
      <c r="K71" s="1">
        <f ca="1">OFFSET(养成规划!$AB$6,MATCH(C71,养成规划!$B$6:$B$77,0)-1,0)</f>
        <v>30</v>
      </c>
      <c r="L71" s="1">
        <f ca="1">OFFSET(养成规划!$AC$6,MATCH(C71,养成规划!$B$6:$B$77,0)-1,0)</f>
        <v>5</v>
      </c>
      <c r="M71" s="14">
        <f ca="1">OFFSET(控制台!$R$476,MATCH(C71,控制台!$B$476:$B$547,0)-1,0)</f>
        <v>0.15</v>
      </c>
      <c r="N71" s="14">
        <f ca="1">OFFSET(控制台!$S$476,MATCH(C71,控制台!$B$476:$B$547,0)-1,0)</f>
        <v>0.15</v>
      </c>
      <c r="O71" s="14">
        <f ca="1">OFFSET(控制台!$U$5057,MATCH(C71,控制台!$B$5057:$B$5128,0)-1,0)</f>
        <v>0</v>
      </c>
      <c r="P71" s="14">
        <f ca="1">OFFSET(控制台!$V$5057,MATCH(C71,控制台!$B$5057:$B$5128,0)-1,0)</f>
        <v>0</v>
      </c>
      <c r="Q71" s="14">
        <f ca="1">OFFSET(控制台!$T$5057,MATCH(C71,控制台!$B$5057:$B$5128,0)-1,0)</f>
        <v>0</v>
      </c>
      <c r="S71" s="1">
        <f>'206_副本挂机'!B71*100+'206_副本挂机'!C71*4</f>
        <v>804</v>
      </c>
      <c r="T71" s="1">
        <f ca="1">_xlfn.FLOOR.MATH('206_副本挂机'!L71)</f>
        <v>79</v>
      </c>
      <c r="U71" s="1">
        <f ca="1">MIN(OFFSET(控制台!$J$374,MATCH(T71,控制台!$B$374:$B$445,1)-1,0)+1,32)</f>
        <v>27</v>
      </c>
    </row>
    <row r="72" spans="1:21">
      <c r="A72" s="1">
        <f>'107_兵卡等级'!B72</f>
        <v>67</v>
      </c>
      <c r="B72" s="1">
        <f ca="1">'107_兵卡等级'!L72</f>
        <v>21.4</v>
      </c>
      <c r="C72" s="1">
        <f ca="1">OFFSET(养成规划!$B$6,MATCH(B72,养成规划!$B$6:$B$77,1)-1,0)</f>
        <v>21</v>
      </c>
      <c r="D72" s="1">
        <f ca="1">MAX(3,OFFSET(养成规划!$X$6,MATCH(C72,养成规划!$B$6:$B$77,0)-1,0))</f>
        <v>6</v>
      </c>
      <c r="E72" s="1">
        <f ca="1">MAX(1,OFFSET(控制台!$J$374,MATCH(C72,控制台!$B$374:$B$445,0)-1,0))</f>
        <v>20</v>
      </c>
      <c r="F72" s="1">
        <f ca="1">MAX(1,OFFSET(养成规划!$V$6,MATCH(C72,养成规划!$S$6:$S$77,0)-1,0))</f>
        <v>5</v>
      </c>
      <c r="G72" s="1">
        <f ca="1">MAX(9,OFFSET(控制台!$L$374,MATCH(C72,控制台!$B$374:$B$445,0)-1,0))</f>
        <v>66</v>
      </c>
      <c r="H72" s="1">
        <f ca="1">MAX(1,_xlfn.FLOOR.MATH(OFFSET(养成规划!$Y$6,MATCH(C72,养成规划!$B$6:$B$77,0)-1,0)/100))</f>
        <v>2</v>
      </c>
      <c r="I72" s="1">
        <f ca="1">MAX(1,MOD(OFFSET(养成规划!$Y$6,MATCH(C72,养成规划!$B$6:$B$77,0)-1,0),100))</f>
        <v>4</v>
      </c>
      <c r="J72" s="1" t="str">
        <f ca="1">OFFSET(养成规划!$Z$6,MATCH(C72,养成规划!$B$6:$B$77,0)-1,0)</f>
        <v>银</v>
      </c>
      <c r="K72" s="1">
        <f ca="1">OFFSET(养成规划!$AB$6,MATCH(C72,养成规划!$B$6:$B$77,0)-1,0)</f>
        <v>30</v>
      </c>
      <c r="L72" s="1">
        <f ca="1">OFFSET(养成规划!$AC$6,MATCH(C72,养成规划!$B$6:$B$77,0)-1,0)</f>
        <v>5</v>
      </c>
      <c r="M72" s="14">
        <f ca="1">OFFSET(控制台!$R$476,MATCH(C72,控制台!$B$476:$B$547,0)-1,0)</f>
        <v>0.15</v>
      </c>
      <c r="N72" s="14">
        <f ca="1">OFFSET(控制台!$S$476,MATCH(C72,控制台!$B$476:$B$547,0)-1,0)</f>
        <v>0.15</v>
      </c>
      <c r="O72" s="14">
        <f ca="1">OFFSET(控制台!$U$5057,MATCH(C72,控制台!$B$5057:$B$5128,0)-1,0)</f>
        <v>0</v>
      </c>
      <c r="P72" s="14">
        <f ca="1">OFFSET(控制台!$V$5057,MATCH(C72,控制台!$B$5057:$B$5128,0)-1,0)</f>
        <v>0</v>
      </c>
      <c r="Q72" s="14">
        <f ca="1">OFFSET(控制台!$T$5057,MATCH(C72,控制台!$B$5057:$B$5128,0)-1,0)</f>
        <v>0</v>
      </c>
      <c r="S72" s="1">
        <f>'206_副本挂机'!B72*100+'206_副本挂机'!C72*4</f>
        <v>808</v>
      </c>
      <c r="T72" s="1">
        <f ca="1">_xlfn.FLOOR.MATH('206_副本挂机'!L72)</f>
        <v>84</v>
      </c>
      <c r="U72" s="1">
        <f ca="1">MIN(OFFSET(控制台!$J$374,MATCH(T72,控制台!$B$374:$B$445,1)-1,0)+1,32)</f>
        <v>27</v>
      </c>
    </row>
    <row r="73" spans="1:21">
      <c r="A73" s="1">
        <f>'107_兵卡等级'!B73</f>
        <v>68</v>
      </c>
      <c r="B73" s="1">
        <f ca="1">'107_兵卡等级'!L73</f>
        <v>22.6</v>
      </c>
      <c r="C73" s="1">
        <f ca="1">OFFSET(养成规划!$B$6,MATCH(B73,养成规划!$B$6:$B$77,1)-1,0)</f>
        <v>22</v>
      </c>
      <c r="D73" s="1">
        <f ca="1">MAX(3,OFFSET(养成规划!$X$6,MATCH(C73,养成规划!$B$6:$B$77,0)-1,0))</f>
        <v>6</v>
      </c>
      <c r="E73" s="1">
        <f ca="1">MAX(1,OFFSET(控制台!$J$374,MATCH(C73,控制台!$B$374:$B$445,0)-1,0))</f>
        <v>20</v>
      </c>
      <c r="F73" s="1">
        <f ca="1">MAX(1,OFFSET(养成规划!$V$6,MATCH(C73,养成规划!$S$6:$S$77,0)-1,0))</f>
        <v>5</v>
      </c>
      <c r="G73" s="1">
        <f ca="1">MAX(9,OFFSET(控制台!$L$374,MATCH(C73,控制台!$B$374:$B$445,0)-1,0))</f>
        <v>66</v>
      </c>
      <c r="H73" s="1">
        <f ca="1">MAX(1,_xlfn.FLOOR.MATH(OFFSET(养成规划!$Y$6,MATCH(C73,养成规划!$B$6:$B$77,0)-1,0)/100))</f>
        <v>2</v>
      </c>
      <c r="I73" s="1">
        <f ca="1">MAX(1,MOD(OFFSET(养成规划!$Y$6,MATCH(C73,养成规划!$B$6:$B$77,0)-1,0),100))</f>
        <v>4</v>
      </c>
      <c r="J73" s="1" t="str">
        <f ca="1">OFFSET(养成规划!$Z$6,MATCH(C73,养成规划!$B$6:$B$77,0)-1,0)</f>
        <v>银</v>
      </c>
      <c r="K73" s="1">
        <f ca="1">OFFSET(养成规划!$AB$6,MATCH(C73,养成规划!$B$6:$B$77,0)-1,0)</f>
        <v>30</v>
      </c>
      <c r="L73" s="1">
        <f ca="1">OFFSET(养成规划!$AC$6,MATCH(C73,养成规划!$B$6:$B$77,0)-1,0)</f>
        <v>5</v>
      </c>
      <c r="M73" s="14">
        <f ca="1">OFFSET(控制台!$R$476,MATCH(C73,控制台!$B$476:$B$547,0)-1,0)</f>
        <v>0.15</v>
      </c>
      <c r="N73" s="14">
        <f ca="1">OFFSET(控制台!$S$476,MATCH(C73,控制台!$B$476:$B$547,0)-1,0)</f>
        <v>0.15</v>
      </c>
      <c r="O73" s="14">
        <f ca="1">OFFSET(控制台!$U$5057,MATCH(C73,控制台!$B$5057:$B$5128,0)-1,0)</f>
        <v>0</v>
      </c>
      <c r="P73" s="14">
        <f ca="1">OFFSET(控制台!$V$5057,MATCH(C73,控制台!$B$5057:$B$5128,0)-1,0)</f>
        <v>0</v>
      </c>
      <c r="Q73" s="14">
        <f ca="1">OFFSET(控制台!$T$5057,MATCH(C73,控制台!$B$5057:$B$5128,0)-1,0)</f>
        <v>0</v>
      </c>
      <c r="S73" s="1">
        <f>'206_副本挂机'!B73*100+'206_副本挂机'!C73*4</f>
        <v>812</v>
      </c>
      <c r="T73" s="1">
        <f ca="1">_xlfn.FLOOR.MATH('206_副本挂机'!L73)</f>
        <v>88</v>
      </c>
      <c r="U73" s="1">
        <f ca="1">MIN(OFFSET(控制台!$J$374,MATCH(T73,控制台!$B$374:$B$445,1)-1,0)+1,32)</f>
        <v>27</v>
      </c>
    </row>
    <row r="74" spans="1:21">
      <c r="A74" s="1">
        <f>'107_兵卡等级'!B74</f>
        <v>69</v>
      </c>
      <c r="B74" s="1">
        <f ca="1">'107_兵卡等级'!L74</f>
        <v>23.8</v>
      </c>
      <c r="C74" s="1">
        <f ca="1">OFFSET(养成规划!$B$6,MATCH(B74,养成规划!$B$6:$B$77,1)-1,0)</f>
        <v>23</v>
      </c>
      <c r="D74" s="1">
        <f ca="1">MAX(3,OFFSET(养成规划!$X$6,MATCH(C74,养成规划!$B$6:$B$77,0)-1,0))</f>
        <v>6</v>
      </c>
      <c r="E74" s="1">
        <f ca="1">MAX(1,OFFSET(控制台!$J$374,MATCH(C74,控制台!$B$374:$B$445,0)-1,0))</f>
        <v>21</v>
      </c>
      <c r="F74" s="1">
        <f ca="1">MAX(1,OFFSET(养成规划!$V$6,MATCH(C74,养成规划!$S$6:$S$77,0)-1,0))</f>
        <v>5</v>
      </c>
      <c r="G74" s="1">
        <f ca="1">MAX(9,OFFSET(控制台!$L$374,MATCH(C74,控制台!$B$374:$B$445,0)-1,0))</f>
        <v>69</v>
      </c>
      <c r="H74" s="1">
        <f ca="1">MAX(1,_xlfn.FLOOR.MATH(OFFSET(养成规划!$Y$6,MATCH(C74,养成规划!$B$6:$B$77,0)-1,0)/100))</f>
        <v>2</v>
      </c>
      <c r="I74" s="1">
        <f ca="1">MAX(1,MOD(OFFSET(养成规划!$Y$6,MATCH(C74,养成规划!$B$6:$B$77,0)-1,0),100))</f>
        <v>4</v>
      </c>
      <c r="J74" s="1" t="str">
        <f ca="1">OFFSET(养成规划!$Z$6,MATCH(C74,养成规划!$B$6:$B$77,0)-1,0)</f>
        <v>银</v>
      </c>
      <c r="K74" s="1">
        <f ca="1">OFFSET(养成规划!$AB$6,MATCH(C74,养成规划!$B$6:$B$77,0)-1,0)</f>
        <v>30</v>
      </c>
      <c r="L74" s="1">
        <f ca="1">OFFSET(养成规划!$AC$6,MATCH(C74,养成规划!$B$6:$B$77,0)-1,0)</f>
        <v>5</v>
      </c>
      <c r="M74" s="14">
        <f ca="1">OFFSET(控制台!$R$476,MATCH(C74,控制台!$B$476:$B$547,0)-1,0)</f>
        <v>0.15</v>
      </c>
      <c r="N74" s="14">
        <f ca="1">OFFSET(控制台!$S$476,MATCH(C74,控制台!$B$476:$B$547,0)-1,0)</f>
        <v>0.15</v>
      </c>
      <c r="O74" s="14">
        <f ca="1">OFFSET(控制台!$U$5057,MATCH(C74,控制台!$B$5057:$B$5128,0)-1,0)</f>
        <v>0</v>
      </c>
      <c r="P74" s="14">
        <f ca="1">OFFSET(控制台!$V$5057,MATCH(C74,控制台!$B$5057:$B$5128,0)-1,0)</f>
        <v>0</v>
      </c>
      <c r="Q74" s="14">
        <f ca="1">OFFSET(控制台!$T$5057,MATCH(C74,控制台!$B$5057:$B$5128,0)-1,0)</f>
        <v>0</v>
      </c>
      <c r="S74" s="1">
        <f>'206_副本挂机'!B74*100+'206_副本挂机'!C74*4</f>
        <v>816</v>
      </c>
      <c r="T74" s="1">
        <f ca="1">_xlfn.FLOOR.MATH('206_副本挂机'!L74)</f>
        <v>93</v>
      </c>
      <c r="U74" s="1">
        <f ca="1">MIN(OFFSET(控制台!$J$374,MATCH(T74,控制台!$B$374:$B$445,1)-1,0)+1,32)</f>
        <v>28</v>
      </c>
    </row>
    <row r="75" spans="1:21">
      <c r="A75" s="1">
        <f>'107_兵卡等级'!B75</f>
        <v>70</v>
      </c>
      <c r="B75" s="1">
        <f ca="1">'107_兵卡等级'!L75</f>
        <v>25</v>
      </c>
      <c r="C75" s="1">
        <f ca="1">OFFSET(养成规划!$B$6,MATCH(B75,养成规划!$B$6:$B$77,1)-1,0)</f>
        <v>25</v>
      </c>
      <c r="D75" s="1">
        <f ca="1">MAX(3,OFFSET(养成规划!$X$6,MATCH(C75,养成规划!$B$6:$B$77,0)-1,0))</f>
        <v>6</v>
      </c>
      <c r="E75" s="1">
        <f ca="1">MAX(1,OFFSET(控制台!$J$374,MATCH(C75,控制台!$B$374:$B$445,0)-1,0))</f>
        <v>21</v>
      </c>
      <c r="F75" s="1">
        <f ca="1">MAX(1,OFFSET(养成规划!$V$6,MATCH(C75,养成规划!$S$6:$S$77,0)-1,0))</f>
        <v>5</v>
      </c>
      <c r="G75" s="1">
        <f ca="1">MAX(9,OFFSET(控制台!$L$374,MATCH(C75,控制台!$B$374:$B$445,0)-1,0))</f>
        <v>69</v>
      </c>
      <c r="H75" s="1">
        <f ca="1">MAX(1,_xlfn.FLOOR.MATH(OFFSET(养成规划!$Y$6,MATCH(C75,养成规划!$B$6:$B$77,0)-1,0)/100))</f>
        <v>2</v>
      </c>
      <c r="I75" s="1">
        <f ca="1">MAX(1,MOD(OFFSET(养成规划!$Y$6,MATCH(C75,养成规划!$B$6:$B$77,0)-1,0),100))</f>
        <v>4</v>
      </c>
      <c r="J75" s="1" t="str">
        <f ca="1">OFFSET(养成规划!$Z$6,MATCH(C75,养成规划!$B$6:$B$77,0)-1,0)</f>
        <v>银</v>
      </c>
      <c r="K75" s="1">
        <f ca="1">OFFSET(养成规划!$AB$6,MATCH(C75,养成规划!$B$6:$B$77,0)-1,0)</f>
        <v>30</v>
      </c>
      <c r="L75" s="1">
        <f ca="1">OFFSET(养成规划!$AC$6,MATCH(C75,养成规划!$B$6:$B$77,0)-1,0)</f>
        <v>5</v>
      </c>
      <c r="M75" s="14">
        <f ca="1">OFFSET(控制台!$R$476,MATCH(C75,控制台!$B$476:$B$547,0)-1,0)</f>
        <v>0.15</v>
      </c>
      <c r="N75" s="14">
        <f ca="1">OFFSET(控制台!$S$476,MATCH(C75,控制台!$B$476:$B$547,0)-1,0)</f>
        <v>0.15</v>
      </c>
      <c r="O75" s="14">
        <f ca="1">OFFSET(控制台!$U$5057,MATCH(C75,控制台!$B$5057:$B$5128,0)-1,0)</f>
        <v>0</v>
      </c>
      <c r="P75" s="14">
        <f ca="1">OFFSET(控制台!$V$5057,MATCH(C75,控制台!$B$5057:$B$5128,0)-1,0)</f>
        <v>0</v>
      </c>
      <c r="Q75" s="14">
        <f ca="1">OFFSET(控制台!$T$5057,MATCH(C75,控制台!$B$5057:$B$5128,0)-1,0)</f>
        <v>0.1</v>
      </c>
      <c r="S75" s="1">
        <f>'206_副本挂机'!B75*100+'206_副本挂机'!C75*4</f>
        <v>820</v>
      </c>
      <c r="T75" s="1">
        <f ca="1">_xlfn.FLOOR.MATH('206_副本挂机'!L75)</f>
        <v>97</v>
      </c>
      <c r="U75" s="1">
        <f ca="1">MIN(OFFSET(控制台!$J$374,MATCH(T75,控制台!$B$374:$B$445,1)-1,0)+1,32)</f>
        <v>28</v>
      </c>
    </row>
    <row r="76" spans="1:21">
      <c r="A76" s="1">
        <f>'107_兵卡等级'!B76</f>
        <v>71</v>
      </c>
      <c r="B76" s="1">
        <f ca="1">'107_兵卡等级'!L76</f>
        <v>26.5</v>
      </c>
      <c r="C76" s="1">
        <f ca="1">OFFSET(养成规划!$B$6,MATCH(B76,养成规划!$B$6:$B$77,1)-1,0)</f>
        <v>26</v>
      </c>
      <c r="D76" s="1">
        <f ca="1">MAX(3,OFFSET(养成规划!$X$6,MATCH(C76,养成规划!$B$6:$B$77,0)-1,0))</f>
        <v>6</v>
      </c>
      <c r="E76" s="1">
        <f ca="1">MAX(1,OFFSET(控制台!$J$374,MATCH(C76,控制台!$B$374:$B$445,0)-1,0))</f>
        <v>22</v>
      </c>
      <c r="F76" s="1">
        <f ca="1">MAX(1,OFFSET(养成规划!$V$6,MATCH(C76,养成规划!$S$6:$S$77,0)-1,0))</f>
        <v>5</v>
      </c>
      <c r="G76" s="1">
        <f ca="1">MAX(9,OFFSET(控制台!$L$374,MATCH(C76,控制台!$B$374:$B$445,0)-1,0))</f>
        <v>72</v>
      </c>
      <c r="H76" s="1">
        <f ca="1">MAX(1,_xlfn.FLOOR.MATH(OFFSET(养成规划!$Y$6,MATCH(C76,养成规划!$B$6:$B$77,0)-1,0)/100))</f>
        <v>2</v>
      </c>
      <c r="I76" s="1">
        <f ca="1">MAX(1,MOD(OFFSET(养成规划!$Y$6,MATCH(C76,养成规划!$B$6:$B$77,0)-1,0),100))</f>
        <v>4</v>
      </c>
      <c r="J76" s="1" t="str">
        <f ca="1">OFFSET(养成规划!$Z$6,MATCH(C76,养成规划!$B$6:$B$77,0)-1,0)</f>
        <v>银</v>
      </c>
      <c r="K76" s="1">
        <f ca="1">OFFSET(养成规划!$AB$6,MATCH(C76,养成规划!$B$6:$B$77,0)-1,0)</f>
        <v>30</v>
      </c>
      <c r="L76" s="1">
        <f ca="1">OFFSET(养成规划!$AC$6,MATCH(C76,养成规划!$B$6:$B$77,0)-1,0)</f>
        <v>5</v>
      </c>
      <c r="M76" s="14">
        <f ca="1">OFFSET(控制台!$R$476,MATCH(C76,控制台!$B$476:$B$547,0)-1,0)</f>
        <v>0.15</v>
      </c>
      <c r="N76" s="14">
        <f ca="1">OFFSET(控制台!$S$476,MATCH(C76,控制台!$B$476:$B$547,0)-1,0)</f>
        <v>0.15</v>
      </c>
      <c r="O76" s="14">
        <f ca="1">OFFSET(控制台!$U$5057,MATCH(C76,控制台!$B$5057:$B$5128,0)-1,0)</f>
        <v>0</v>
      </c>
      <c r="P76" s="14">
        <f ca="1">OFFSET(控制台!$V$5057,MATCH(C76,控制台!$B$5057:$B$5128,0)-1,0)</f>
        <v>0</v>
      </c>
      <c r="Q76" s="14">
        <f ca="1">OFFSET(控制台!$T$5057,MATCH(C76,控制台!$B$5057:$B$5128,0)-1,0)</f>
        <v>0.1</v>
      </c>
      <c r="S76" s="1">
        <f>'206_副本挂机'!B76*100+'206_副本挂机'!C76*4</f>
        <v>824</v>
      </c>
      <c r="T76" s="1">
        <f ca="1">_xlfn.FLOOR.MATH('206_副本挂机'!L76)</f>
        <v>102</v>
      </c>
      <c r="U76" s="1">
        <f ca="1">MIN(OFFSET(控制台!$J$374,MATCH(T76,控制台!$B$374:$B$445,1)-1,0)+1,32)</f>
        <v>28</v>
      </c>
    </row>
    <row r="77" spans="1:21">
      <c r="A77" s="1">
        <f>'107_兵卡等级'!B77</f>
        <v>72</v>
      </c>
      <c r="B77" s="1">
        <f ca="1">'107_兵卡等级'!L77</f>
        <v>28</v>
      </c>
      <c r="C77" s="1">
        <f ca="1">OFFSET(养成规划!$B$6,MATCH(B77,养成规划!$B$6:$B$77,1)-1,0)</f>
        <v>28</v>
      </c>
      <c r="D77" s="1">
        <f ca="1">MAX(3,OFFSET(养成规划!$X$6,MATCH(C77,养成规划!$B$6:$B$77,0)-1,0))</f>
        <v>6</v>
      </c>
      <c r="E77" s="1">
        <f ca="1">MAX(1,OFFSET(控制台!$J$374,MATCH(C77,控制台!$B$374:$B$445,0)-1,0))</f>
        <v>22</v>
      </c>
      <c r="F77" s="1">
        <f ca="1">MAX(1,OFFSET(养成规划!$V$6,MATCH(C77,养成规划!$S$6:$S$77,0)-1,0))</f>
        <v>5</v>
      </c>
      <c r="G77" s="1">
        <f ca="1">MAX(9,OFFSET(控制台!$L$374,MATCH(C77,控制台!$B$374:$B$445,0)-1,0))</f>
        <v>72</v>
      </c>
      <c r="H77" s="1">
        <f ca="1">MAX(1,_xlfn.FLOOR.MATH(OFFSET(养成规划!$Y$6,MATCH(C77,养成规划!$B$6:$B$77,0)-1,0)/100))</f>
        <v>2</v>
      </c>
      <c r="I77" s="1">
        <f ca="1">MAX(1,MOD(OFFSET(养成规划!$Y$6,MATCH(C77,养成规划!$B$6:$B$77,0)-1,0),100))</f>
        <v>5</v>
      </c>
      <c r="J77" s="1" t="str">
        <f ca="1">OFFSET(养成规划!$Z$6,MATCH(C77,养成规划!$B$6:$B$77,0)-1,0)</f>
        <v>银</v>
      </c>
      <c r="K77" s="1">
        <f ca="1">OFFSET(养成规划!$AB$6,MATCH(C77,养成规划!$B$6:$B$77,0)-1,0)</f>
        <v>30</v>
      </c>
      <c r="L77" s="1">
        <f ca="1">OFFSET(养成规划!$AC$6,MATCH(C77,养成规划!$B$6:$B$77,0)-1,0)</f>
        <v>5</v>
      </c>
      <c r="M77" s="14">
        <f ca="1">OFFSET(控制台!$R$476,MATCH(C77,控制台!$B$476:$B$547,0)-1,0)</f>
        <v>0.15</v>
      </c>
      <c r="N77" s="14">
        <f ca="1">OFFSET(控制台!$S$476,MATCH(C77,控制台!$B$476:$B$547,0)-1,0)</f>
        <v>0.15</v>
      </c>
      <c r="O77" s="14">
        <f ca="1">OFFSET(控制台!$U$5057,MATCH(C77,控制台!$B$5057:$B$5128,0)-1,0)</f>
        <v>0</v>
      </c>
      <c r="P77" s="14">
        <f ca="1">OFFSET(控制台!$V$5057,MATCH(C77,控制台!$B$5057:$B$5128,0)-1,0)</f>
        <v>0</v>
      </c>
      <c r="Q77" s="14">
        <f ca="1">OFFSET(控制台!$T$5057,MATCH(C77,控制台!$B$5057:$B$5128,0)-1,0)</f>
        <v>0.1</v>
      </c>
      <c r="S77" s="1">
        <f>'206_副本挂机'!B77*100+'206_副本挂机'!C77*4</f>
        <v>828</v>
      </c>
      <c r="T77" s="1">
        <f ca="1">_xlfn.FLOOR.MATH('206_副本挂机'!L77)</f>
        <v>106</v>
      </c>
      <c r="U77" s="1">
        <f ca="1">MIN(OFFSET(控制台!$J$374,MATCH(T77,控制台!$B$374:$B$445,1)-1,0)+1,32)</f>
        <v>28</v>
      </c>
    </row>
    <row r="78" spans="1:21">
      <c r="A78" s="1">
        <f>'107_兵卡等级'!B78</f>
        <v>73</v>
      </c>
      <c r="B78" s="1">
        <f ca="1">'107_兵卡等级'!L78</f>
        <v>29.5</v>
      </c>
      <c r="C78" s="1">
        <f ca="1">OFFSET(养成规划!$B$6,MATCH(B78,养成规划!$B$6:$B$77,1)-1,0)</f>
        <v>29</v>
      </c>
      <c r="D78" s="1">
        <f ca="1">MAX(3,OFFSET(养成规划!$X$6,MATCH(C78,养成规划!$B$6:$B$77,0)-1,0))</f>
        <v>6</v>
      </c>
      <c r="E78" s="1">
        <f ca="1">MAX(1,OFFSET(控制台!$J$374,MATCH(C78,控制台!$B$374:$B$445,0)-1,0))</f>
        <v>22</v>
      </c>
      <c r="F78" s="1">
        <f ca="1">MAX(1,OFFSET(养成规划!$V$6,MATCH(C78,养成规划!$S$6:$S$77,0)-1,0))</f>
        <v>5</v>
      </c>
      <c r="G78" s="1">
        <f ca="1">MAX(9,OFFSET(控制台!$L$374,MATCH(C78,控制台!$B$374:$B$445,0)-1,0))</f>
        <v>72</v>
      </c>
      <c r="H78" s="1">
        <f ca="1">MAX(1,_xlfn.FLOOR.MATH(OFFSET(养成规划!$Y$6,MATCH(C78,养成规划!$B$6:$B$77,0)-1,0)/100))</f>
        <v>3</v>
      </c>
      <c r="I78" s="1">
        <f ca="1">MAX(1,MOD(OFFSET(养成规划!$Y$6,MATCH(C78,养成规划!$B$6:$B$77,0)-1,0),100))</f>
        <v>1</v>
      </c>
      <c r="J78" s="1" t="str">
        <f ca="1">OFFSET(养成规划!$Z$6,MATCH(C78,养成规划!$B$6:$B$77,0)-1,0)</f>
        <v>银</v>
      </c>
      <c r="K78" s="1">
        <f ca="1">OFFSET(养成规划!$AB$6,MATCH(C78,养成规划!$B$6:$B$77,0)-1,0)</f>
        <v>30</v>
      </c>
      <c r="L78" s="1">
        <f ca="1">OFFSET(养成规划!$AC$6,MATCH(C78,养成规划!$B$6:$B$77,0)-1,0)</f>
        <v>6</v>
      </c>
      <c r="M78" s="14">
        <f ca="1">OFFSET(控制台!$R$476,MATCH(C78,控制台!$B$476:$B$547,0)-1,0)</f>
        <v>0.15</v>
      </c>
      <c r="N78" s="14">
        <f ca="1">OFFSET(控制台!$S$476,MATCH(C78,控制台!$B$476:$B$547,0)-1,0)</f>
        <v>0.15</v>
      </c>
      <c r="O78" s="14">
        <f ca="1">OFFSET(控制台!$U$5057,MATCH(C78,控制台!$B$5057:$B$5128,0)-1,0)</f>
        <v>0</v>
      </c>
      <c r="P78" s="14">
        <f ca="1">OFFSET(控制台!$V$5057,MATCH(C78,控制台!$B$5057:$B$5128,0)-1,0)</f>
        <v>0</v>
      </c>
      <c r="Q78" s="14">
        <f ca="1">OFFSET(控制台!$T$5057,MATCH(C78,控制台!$B$5057:$B$5128,0)-1,0)</f>
        <v>0.1</v>
      </c>
      <c r="S78" s="1">
        <f>'206_副本挂机'!B78*100+'206_副本挂机'!C78*4</f>
        <v>832</v>
      </c>
      <c r="T78" s="1">
        <f ca="1">_xlfn.FLOOR.MATH('206_副本挂机'!L78)</f>
        <v>111</v>
      </c>
      <c r="U78" s="1">
        <f ca="1">MIN(OFFSET(控制台!$J$374,MATCH(T78,控制台!$B$374:$B$445,1)-1,0)+1,32)</f>
        <v>28</v>
      </c>
    </row>
    <row r="79" spans="1:21">
      <c r="A79" s="1">
        <f>'107_兵卡等级'!B79</f>
        <v>74</v>
      </c>
      <c r="B79" s="1">
        <f ca="1">'107_兵卡等级'!L79</f>
        <v>31</v>
      </c>
      <c r="C79" s="1">
        <f ca="1">OFFSET(养成规划!$B$6,MATCH(B79,养成规划!$B$6:$B$77,1)-1,0)</f>
        <v>30</v>
      </c>
      <c r="D79" s="1">
        <f ca="1">MAX(3,OFFSET(养成规划!$X$6,MATCH(C79,养成规划!$B$6:$B$77,0)-1,0))</f>
        <v>6</v>
      </c>
      <c r="E79" s="1">
        <f ca="1">MAX(1,OFFSET(控制台!$J$374,MATCH(C79,控制台!$B$374:$B$445,0)-1,0))</f>
        <v>23</v>
      </c>
      <c r="F79" s="1">
        <f ca="1">MAX(1,OFFSET(养成规划!$V$6,MATCH(C79,养成规划!$S$6:$S$77,0)-1,0))</f>
        <v>5</v>
      </c>
      <c r="G79" s="1">
        <f ca="1">MAX(9,OFFSET(控制台!$L$374,MATCH(C79,控制台!$B$374:$B$445,0)-1,0))</f>
        <v>75</v>
      </c>
      <c r="H79" s="1">
        <f ca="1">MAX(1,_xlfn.FLOOR.MATH(OFFSET(养成规划!$Y$6,MATCH(C79,养成规划!$B$6:$B$77,0)-1,0)/100))</f>
        <v>3</v>
      </c>
      <c r="I79" s="1">
        <f ca="1">MAX(1,MOD(OFFSET(养成规划!$Y$6,MATCH(C79,养成规划!$B$6:$B$77,0)-1,0),100))</f>
        <v>2</v>
      </c>
      <c r="J79" s="1" t="str">
        <f ca="1">OFFSET(养成规划!$Z$6,MATCH(C79,养成规划!$B$6:$B$77,0)-1,0)</f>
        <v>银</v>
      </c>
      <c r="K79" s="1">
        <f ca="1">OFFSET(养成规划!$AB$6,MATCH(C79,养成规划!$B$6:$B$77,0)-1,0)</f>
        <v>40</v>
      </c>
      <c r="L79" s="1">
        <f ca="1">OFFSET(养成规划!$AC$6,MATCH(C79,养成规划!$B$6:$B$77,0)-1,0)</f>
        <v>6</v>
      </c>
      <c r="M79" s="14">
        <f ca="1">OFFSET(控制台!$R$476,MATCH(C79,控制台!$B$476:$B$547,0)-1,0)</f>
        <v>0.3</v>
      </c>
      <c r="N79" s="14">
        <f ca="1">OFFSET(控制台!$S$476,MATCH(C79,控制台!$B$476:$B$547,0)-1,0)</f>
        <v>0.3</v>
      </c>
      <c r="O79" s="14">
        <f ca="1">OFFSET(控制台!$U$5057,MATCH(C79,控制台!$B$5057:$B$5128,0)-1,0)</f>
        <v>0.05</v>
      </c>
      <c r="P79" s="14">
        <f ca="1">OFFSET(控制台!$V$5057,MATCH(C79,控制台!$B$5057:$B$5128,0)-1,0)</f>
        <v>0</v>
      </c>
      <c r="Q79" s="14">
        <f ca="1">OFFSET(控制台!$T$5057,MATCH(C79,控制台!$B$5057:$B$5128,0)-1,0)</f>
        <v>0.1</v>
      </c>
      <c r="S79" s="1">
        <f>'206_副本挂机'!B79*100+'206_副本挂机'!C79*4</f>
        <v>836</v>
      </c>
      <c r="T79" s="1">
        <f ca="1">_xlfn.FLOOR.MATH('206_副本挂机'!L79)</f>
        <v>115</v>
      </c>
      <c r="U79" s="1">
        <f ca="1">MIN(OFFSET(控制台!$J$374,MATCH(T79,控制台!$B$374:$B$445,1)-1,0)+1,32)</f>
        <v>28</v>
      </c>
    </row>
    <row r="80" spans="1:21">
      <c r="A80" s="1">
        <f>'107_兵卡等级'!B80</f>
        <v>75</v>
      </c>
      <c r="B80" s="1">
        <f ca="1">'107_兵卡等级'!L80</f>
        <v>32.5</v>
      </c>
      <c r="C80" s="1">
        <f ca="1">OFFSET(养成规划!$B$6,MATCH(B80,养成规划!$B$6:$B$77,1)-1,0)</f>
        <v>30</v>
      </c>
      <c r="D80" s="1">
        <f ca="1">MAX(3,OFFSET(养成规划!$X$6,MATCH(C80,养成规划!$B$6:$B$77,0)-1,0))</f>
        <v>6</v>
      </c>
      <c r="E80" s="1">
        <f ca="1">MAX(1,OFFSET(控制台!$J$374,MATCH(C80,控制台!$B$374:$B$445,0)-1,0))</f>
        <v>23</v>
      </c>
      <c r="F80" s="1">
        <f ca="1">MAX(1,OFFSET(养成规划!$V$6,MATCH(C80,养成规划!$S$6:$S$77,0)-1,0))</f>
        <v>5</v>
      </c>
      <c r="G80" s="1">
        <f ca="1">MAX(9,OFFSET(控制台!$L$374,MATCH(C80,控制台!$B$374:$B$445,0)-1,0))</f>
        <v>75</v>
      </c>
      <c r="H80" s="1">
        <f ca="1">MAX(1,_xlfn.FLOOR.MATH(OFFSET(养成规划!$Y$6,MATCH(C80,养成规划!$B$6:$B$77,0)-1,0)/100))</f>
        <v>3</v>
      </c>
      <c r="I80" s="1">
        <f ca="1">MAX(1,MOD(OFFSET(养成规划!$Y$6,MATCH(C80,养成规划!$B$6:$B$77,0)-1,0),100))</f>
        <v>2</v>
      </c>
      <c r="J80" s="1" t="str">
        <f ca="1">OFFSET(养成规划!$Z$6,MATCH(C80,养成规划!$B$6:$B$77,0)-1,0)</f>
        <v>银</v>
      </c>
      <c r="K80" s="1">
        <f ca="1">OFFSET(养成规划!$AB$6,MATCH(C80,养成规划!$B$6:$B$77,0)-1,0)</f>
        <v>40</v>
      </c>
      <c r="L80" s="1">
        <f ca="1">OFFSET(养成规划!$AC$6,MATCH(C80,养成规划!$B$6:$B$77,0)-1,0)</f>
        <v>6</v>
      </c>
      <c r="M80" s="14">
        <f ca="1">OFFSET(控制台!$R$476,MATCH(C80,控制台!$B$476:$B$547,0)-1,0)</f>
        <v>0.3</v>
      </c>
      <c r="N80" s="14">
        <f ca="1">OFFSET(控制台!$S$476,MATCH(C80,控制台!$B$476:$B$547,0)-1,0)</f>
        <v>0.3</v>
      </c>
      <c r="O80" s="14">
        <f ca="1">OFFSET(控制台!$U$5057,MATCH(C80,控制台!$B$5057:$B$5128,0)-1,0)</f>
        <v>0.05</v>
      </c>
      <c r="P80" s="14">
        <f ca="1">OFFSET(控制台!$V$5057,MATCH(C80,控制台!$B$5057:$B$5128,0)-1,0)</f>
        <v>0</v>
      </c>
      <c r="Q80" s="14">
        <f ca="1">OFFSET(控制台!$T$5057,MATCH(C80,控制台!$B$5057:$B$5128,0)-1,0)</f>
        <v>0.1</v>
      </c>
      <c r="S80" s="1">
        <f>'206_副本挂机'!B80*100+'206_副本挂机'!C80*4</f>
        <v>840</v>
      </c>
      <c r="T80" s="1">
        <f ca="1">_xlfn.FLOOR.MATH('206_副本挂机'!L80)</f>
        <v>120</v>
      </c>
      <c r="U80" s="1">
        <f ca="1">MIN(OFFSET(控制台!$J$374,MATCH(T80,控制台!$B$374:$B$445,1)-1,0)+1,32)</f>
        <v>29</v>
      </c>
    </row>
    <row r="81" spans="1:21">
      <c r="A81" s="1">
        <f>'107_兵卡等级'!B81</f>
        <v>76</v>
      </c>
      <c r="B81" s="1">
        <f ca="1">'107_兵卡等级'!L81</f>
        <v>34</v>
      </c>
      <c r="C81" s="1">
        <f ca="1">OFFSET(养成规划!$B$6,MATCH(B81,养成规划!$B$6:$B$77,1)-1,0)</f>
        <v>30</v>
      </c>
      <c r="D81" s="1">
        <f ca="1">MAX(3,OFFSET(养成规划!$X$6,MATCH(C81,养成规划!$B$6:$B$77,0)-1,0))</f>
        <v>6</v>
      </c>
      <c r="E81" s="1">
        <f ca="1">MAX(1,OFFSET(控制台!$J$374,MATCH(C81,控制台!$B$374:$B$445,0)-1,0))</f>
        <v>23</v>
      </c>
      <c r="F81" s="1">
        <f ca="1">MAX(1,OFFSET(养成规划!$V$6,MATCH(C81,养成规划!$S$6:$S$77,0)-1,0))</f>
        <v>5</v>
      </c>
      <c r="G81" s="1">
        <f ca="1">MAX(9,OFFSET(控制台!$L$374,MATCH(C81,控制台!$B$374:$B$445,0)-1,0))</f>
        <v>75</v>
      </c>
      <c r="H81" s="1">
        <f ca="1">MAX(1,_xlfn.FLOOR.MATH(OFFSET(养成规划!$Y$6,MATCH(C81,养成规划!$B$6:$B$77,0)-1,0)/100))</f>
        <v>3</v>
      </c>
      <c r="I81" s="1">
        <f ca="1">MAX(1,MOD(OFFSET(养成规划!$Y$6,MATCH(C81,养成规划!$B$6:$B$77,0)-1,0),100))</f>
        <v>2</v>
      </c>
      <c r="J81" s="1" t="str">
        <f ca="1">OFFSET(养成规划!$Z$6,MATCH(C81,养成规划!$B$6:$B$77,0)-1,0)</f>
        <v>银</v>
      </c>
      <c r="K81" s="1">
        <f ca="1">OFFSET(养成规划!$AB$6,MATCH(C81,养成规划!$B$6:$B$77,0)-1,0)</f>
        <v>40</v>
      </c>
      <c r="L81" s="1">
        <f ca="1">OFFSET(养成规划!$AC$6,MATCH(C81,养成规划!$B$6:$B$77,0)-1,0)</f>
        <v>6</v>
      </c>
      <c r="M81" s="14">
        <f ca="1">OFFSET(控制台!$R$476,MATCH(C81,控制台!$B$476:$B$547,0)-1,0)</f>
        <v>0.3</v>
      </c>
      <c r="N81" s="14">
        <f ca="1">OFFSET(控制台!$S$476,MATCH(C81,控制台!$B$476:$B$547,0)-1,0)</f>
        <v>0.3</v>
      </c>
      <c r="O81" s="14">
        <f ca="1">OFFSET(控制台!$U$5057,MATCH(C81,控制台!$B$5057:$B$5128,0)-1,0)</f>
        <v>0.05</v>
      </c>
      <c r="P81" s="14">
        <f ca="1">OFFSET(控制台!$V$5057,MATCH(C81,控制台!$B$5057:$B$5128,0)-1,0)</f>
        <v>0</v>
      </c>
      <c r="Q81" s="14">
        <f ca="1">OFFSET(控制台!$T$5057,MATCH(C81,控制台!$B$5057:$B$5128,0)-1,0)</f>
        <v>0.1</v>
      </c>
      <c r="S81" s="1">
        <f>'206_副本挂机'!B81*100+'206_副本挂机'!C81*4</f>
        <v>904</v>
      </c>
      <c r="T81" s="1">
        <f ca="1">_xlfn.FLOOR.MATH('206_副本挂机'!L81)</f>
        <v>126</v>
      </c>
      <c r="U81" s="1">
        <f ca="1">MIN(OFFSET(控制台!$J$374,MATCH(T81,控制台!$B$374:$B$445,1)-1,0)+1,32)</f>
        <v>29</v>
      </c>
    </row>
    <row r="82" spans="1:21">
      <c r="A82" s="1">
        <f>'107_兵卡等级'!B82</f>
        <v>77</v>
      </c>
      <c r="B82" s="1">
        <f ca="1">'107_兵卡等级'!L82</f>
        <v>35.5</v>
      </c>
      <c r="C82" s="1">
        <f ca="1">OFFSET(养成规划!$B$6,MATCH(B82,养成规划!$B$6:$B$77,1)-1,0)</f>
        <v>35</v>
      </c>
      <c r="D82" s="1">
        <f ca="1">MAX(3,OFFSET(养成规划!$X$6,MATCH(C82,养成规划!$B$6:$B$77,0)-1,0))</f>
        <v>6</v>
      </c>
      <c r="E82" s="1">
        <f ca="1">MAX(1,OFFSET(控制台!$J$374,MATCH(C82,控制台!$B$374:$B$445,0)-1,0))</f>
        <v>23</v>
      </c>
      <c r="F82" s="1">
        <f ca="1">MAX(1,OFFSET(养成规划!$V$6,MATCH(C82,养成规划!$S$6:$S$77,0)-1,0))</f>
        <v>5</v>
      </c>
      <c r="G82" s="1">
        <f ca="1">MAX(9,OFFSET(控制台!$L$374,MATCH(C82,控制台!$B$374:$B$445,0)-1,0))</f>
        <v>75</v>
      </c>
      <c r="H82" s="1">
        <f ca="1">MAX(1,_xlfn.FLOOR.MATH(OFFSET(养成规划!$Y$6,MATCH(C82,养成规划!$B$6:$B$77,0)-1,0)/100))</f>
        <v>3</v>
      </c>
      <c r="I82" s="1">
        <f ca="1">MAX(1,MOD(OFFSET(养成规划!$Y$6,MATCH(C82,养成规划!$B$6:$B$77,0)-1,0),100))</f>
        <v>3</v>
      </c>
      <c r="J82" s="1" t="str">
        <f ca="1">OFFSET(养成规划!$Z$6,MATCH(C82,养成规划!$B$6:$B$77,0)-1,0)</f>
        <v>银</v>
      </c>
      <c r="K82" s="1">
        <f ca="1">OFFSET(养成规划!$AB$6,MATCH(C82,养成规划!$B$6:$B$77,0)-1,0)</f>
        <v>40</v>
      </c>
      <c r="L82" s="1">
        <f ca="1">OFFSET(养成规划!$AC$6,MATCH(C82,养成规划!$B$6:$B$77,0)-1,0)</f>
        <v>6</v>
      </c>
      <c r="M82" s="14">
        <f ca="1">OFFSET(控制台!$R$476,MATCH(C82,控制台!$B$476:$B$547,0)-1,0)</f>
        <v>0.3</v>
      </c>
      <c r="N82" s="14">
        <f ca="1">OFFSET(控制台!$S$476,MATCH(C82,控制台!$B$476:$B$547,0)-1,0)</f>
        <v>0.3</v>
      </c>
      <c r="O82" s="14">
        <f ca="1">OFFSET(控制台!$U$5057,MATCH(C82,控制台!$B$5057:$B$5128,0)-1,0)</f>
        <v>0.05</v>
      </c>
      <c r="P82" s="14">
        <f ca="1">OFFSET(控制台!$V$5057,MATCH(C82,控制台!$B$5057:$B$5128,0)-1,0)</f>
        <v>0</v>
      </c>
      <c r="Q82" s="14">
        <f ca="1">OFFSET(控制台!$T$5057,MATCH(C82,控制台!$B$5057:$B$5128,0)-1,0)</f>
        <v>0.1</v>
      </c>
      <c r="S82" s="1">
        <f>'206_副本挂机'!B82*100+'206_副本挂机'!C82*4</f>
        <v>908</v>
      </c>
      <c r="T82" s="1">
        <f ca="1">_xlfn.FLOOR.MATH('206_副本挂机'!L82)</f>
        <v>132</v>
      </c>
      <c r="U82" s="1">
        <f ca="1">MIN(OFFSET(控制台!$J$374,MATCH(T82,控制台!$B$374:$B$445,1)-1,0)+1,32)</f>
        <v>29</v>
      </c>
    </row>
    <row r="83" spans="1:21">
      <c r="A83" s="1">
        <f>'107_兵卡等级'!B83</f>
        <v>78</v>
      </c>
      <c r="B83" s="1">
        <f ca="1">'107_兵卡等级'!L83</f>
        <v>37</v>
      </c>
      <c r="C83" s="1">
        <f ca="1">OFFSET(养成规划!$B$6,MATCH(B83,养成规划!$B$6:$B$77,1)-1,0)</f>
        <v>35</v>
      </c>
      <c r="D83" s="1">
        <f ca="1">MAX(3,OFFSET(养成规划!$X$6,MATCH(C83,养成规划!$B$6:$B$77,0)-1,0))</f>
        <v>6</v>
      </c>
      <c r="E83" s="1">
        <f ca="1">MAX(1,OFFSET(控制台!$J$374,MATCH(C83,控制台!$B$374:$B$445,0)-1,0))</f>
        <v>23</v>
      </c>
      <c r="F83" s="1">
        <f ca="1">MAX(1,OFFSET(养成规划!$V$6,MATCH(C83,养成规划!$S$6:$S$77,0)-1,0))</f>
        <v>5</v>
      </c>
      <c r="G83" s="1">
        <f ca="1">MAX(9,OFFSET(控制台!$L$374,MATCH(C83,控制台!$B$374:$B$445,0)-1,0))</f>
        <v>75</v>
      </c>
      <c r="H83" s="1">
        <f ca="1">MAX(1,_xlfn.FLOOR.MATH(OFFSET(养成规划!$Y$6,MATCH(C83,养成规划!$B$6:$B$77,0)-1,0)/100))</f>
        <v>3</v>
      </c>
      <c r="I83" s="1">
        <f ca="1">MAX(1,MOD(OFFSET(养成规划!$Y$6,MATCH(C83,养成规划!$B$6:$B$77,0)-1,0),100))</f>
        <v>3</v>
      </c>
      <c r="J83" s="1" t="str">
        <f ca="1">OFFSET(养成规划!$Z$6,MATCH(C83,养成规划!$B$6:$B$77,0)-1,0)</f>
        <v>银</v>
      </c>
      <c r="K83" s="1">
        <f ca="1">OFFSET(养成规划!$AB$6,MATCH(C83,养成规划!$B$6:$B$77,0)-1,0)</f>
        <v>40</v>
      </c>
      <c r="L83" s="1">
        <f ca="1">OFFSET(养成规划!$AC$6,MATCH(C83,养成规划!$B$6:$B$77,0)-1,0)</f>
        <v>6</v>
      </c>
      <c r="M83" s="14">
        <f ca="1">OFFSET(控制台!$R$476,MATCH(C83,控制台!$B$476:$B$547,0)-1,0)</f>
        <v>0.3</v>
      </c>
      <c r="N83" s="14">
        <f ca="1">OFFSET(控制台!$S$476,MATCH(C83,控制台!$B$476:$B$547,0)-1,0)</f>
        <v>0.3</v>
      </c>
      <c r="O83" s="14">
        <f ca="1">OFFSET(控制台!$U$5057,MATCH(C83,控制台!$B$5057:$B$5128,0)-1,0)</f>
        <v>0.05</v>
      </c>
      <c r="P83" s="14">
        <f ca="1">OFFSET(控制台!$V$5057,MATCH(C83,控制台!$B$5057:$B$5128,0)-1,0)</f>
        <v>0</v>
      </c>
      <c r="Q83" s="14">
        <f ca="1">OFFSET(控制台!$T$5057,MATCH(C83,控制台!$B$5057:$B$5128,0)-1,0)</f>
        <v>0.1</v>
      </c>
      <c r="S83" s="1">
        <f>'206_副本挂机'!B83*100+'206_副本挂机'!C83*4</f>
        <v>912</v>
      </c>
      <c r="T83" s="1">
        <f ca="1">_xlfn.FLOOR.MATH('206_副本挂机'!L83)</f>
        <v>138</v>
      </c>
      <c r="U83" s="1">
        <f ca="1">MIN(OFFSET(控制台!$J$374,MATCH(T83,控制台!$B$374:$B$445,1)-1,0)+1,32)</f>
        <v>29</v>
      </c>
    </row>
    <row r="84" spans="1:21">
      <c r="A84" s="1">
        <f>'107_兵卡等级'!B84</f>
        <v>79</v>
      </c>
      <c r="B84" s="1">
        <f ca="1">'107_兵卡等级'!L84</f>
        <v>38.5</v>
      </c>
      <c r="C84" s="1">
        <f ca="1">OFFSET(养成规划!$B$6,MATCH(B84,养成规划!$B$6:$B$77,1)-1,0)</f>
        <v>35</v>
      </c>
      <c r="D84" s="1">
        <f ca="1">MAX(3,OFFSET(养成规划!$X$6,MATCH(C84,养成规划!$B$6:$B$77,0)-1,0))</f>
        <v>6</v>
      </c>
      <c r="E84" s="1">
        <f ca="1">MAX(1,OFFSET(控制台!$J$374,MATCH(C84,控制台!$B$374:$B$445,0)-1,0))</f>
        <v>23</v>
      </c>
      <c r="F84" s="1">
        <f ca="1">MAX(1,OFFSET(养成规划!$V$6,MATCH(C84,养成规划!$S$6:$S$77,0)-1,0))</f>
        <v>5</v>
      </c>
      <c r="G84" s="1">
        <f ca="1">MAX(9,OFFSET(控制台!$L$374,MATCH(C84,控制台!$B$374:$B$445,0)-1,0))</f>
        <v>75</v>
      </c>
      <c r="H84" s="1">
        <f ca="1">MAX(1,_xlfn.FLOOR.MATH(OFFSET(养成规划!$Y$6,MATCH(C84,养成规划!$B$6:$B$77,0)-1,0)/100))</f>
        <v>3</v>
      </c>
      <c r="I84" s="1">
        <f ca="1">MAX(1,MOD(OFFSET(养成规划!$Y$6,MATCH(C84,养成规划!$B$6:$B$77,0)-1,0),100))</f>
        <v>3</v>
      </c>
      <c r="J84" s="1" t="str">
        <f ca="1">OFFSET(养成规划!$Z$6,MATCH(C84,养成规划!$B$6:$B$77,0)-1,0)</f>
        <v>银</v>
      </c>
      <c r="K84" s="1">
        <f ca="1">OFFSET(养成规划!$AB$6,MATCH(C84,养成规划!$B$6:$B$77,0)-1,0)</f>
        <v>40</v>
      </c>
      <c r="L84" s="1">
        <f ca="1">OFFSET(养成规划!$AC$6,MATCH(C84,养成规划!$B$6:$B$77,0)-1,0)</f>
        <v>6</v>
      </c>
      <c r="M84" s="14">
        <f ca="1">OFFSET(控制台!$R$476,MATCH(C84,控制台!$B$476:$B$547,0)-1,0)</f>
        <v>0.3</v>
      </c>
      <c r="N84" s="14">
        <f ca="1">OFFSET(控制台!$S$476,MATCH(C84,控制台!$B$476:$B$547,0)-1,0)</f>
        <v>0.3</v>
      </c>
      <c r="O84" s="14">
        <f ca="1">OFFSET(控制台!$U$5057,MATCH(C84,控制台!$B$5057:$B$5128,0)-1,0)</f>
        <v>0.05</v>
      </c>
      <c r="P84" s="14">
        <f ca="1">OFFSET(控制台!$V$5057,MATCH(C84,控制台!$B$5057:$B$5128,0)-1,0)</f>
        <v>0</v>
      </c>
      <c r="Q84" s="14">
        <f ca="1">OFFSET(控制台!$T$5057,MATCH(C84,控制台!$B$5057:$B$5128,0)-1,0)</f>
        <v>0.1</v>
      </c>
      <c r="S84" s="1">
        <f>'206_副本挂机'!B84*100+'206_副本挂机'!C84*4</f>
        <v>916</v>
      </c>
      <c r="T84" s="1">
        <f ca="1">_xlfn.FLOOR.MATH('206_副本挂机'!L84)</f>
        <v>144</v>
      </c>
      <c r="U84" s="1">
        <f ca="1">MIN(OFFSET(控制台!$J$374,MATCH(T84,控制台!$B$374:$B$445,1)-1,0)+1,32)</f>
        <v>29</v>
      </c>
    </row>
    <row r="85" spans="1:21">
      <c r="A85" s="1">
        <f>'107_兵卡等级'!B85</f>
        <v>80</v>
      </c>
      <c r="B85" s="1">
        <f ca="1">'107_兵卡等级'!L85</f>
        <v>40</v>
      </c>
      <c r="C85" s="1">
        <f ca="1">OFFSET(养成规划!$B$6,MATCH(B85,养成规划!$B$6:$B$77,1)-1,0)</f>
        <v>40</v>
      </c>
      <c r="D85" s="1">
        <f ca="1">MAX(3,OFFSET(养成规划!$X$6,MATCH(C85,养成规划!$B$6:$B$77,0)-1,0))</f>
        <v>6</v>
      </c>
      <c r="E85" s="1">
        <f ca="1">MAX(1,OFFSET(控制台!$J$374,MATCH(C85,控制台!$B$374:$B$445,0)-1,0))</f>
        <v>24</v>
      </c>
      <c r="F85" s="1">
        <f ca="1">MAX(1,OFFSET(养成规划!$V$6,MATCH(C85,养成规划!$S$6:$S$77,0)-1,0))</f>
        <v>5</v>
      </c>
      <c r="G85" s="1">
        <f ca="1">MAX(9,OFFSET(控制台!$L$374,MATCH(C85,控制台!$B$374:$B$445,0)-1,0))</f>
        <v>78</v>
      </c>
      <c r="H85" s="1">
        <f ca="1">MAX(1,_xlfn.FLOOR.MATH(OFFSET(养成规划!$Y$6,MATCH(C85,养成规划!$B$6:$B$77,0)-1,0)/100))</f>
        <v>3</v>
      </c>
      <c r="I85" s="1">
        <f ca="1">MAX(1,MOD(OFFSET(养成规划!$Y$6,MATCH(C85,养成规划!$B$6:$B$77,0)-1,0),100))</f>
        <v>3</v>
      </c>
      <c r="J85" s="1" t="str">
        <f ca="1">OFFSET(养成规划!$Z$6,MATCH(C85,养成规划!$B$6:$B$77,0)-1,0)</f>
        <v>银</v>
      </c>
      <c r="K85" s="1">
        <f ca="1">OFFSET(养成规划!$AB$6,MATCH(C85,养成规划!$B$6:$B$77,0)-1,0)</f>
        <v>40</v>
      </c>
      <c r="L85" s="1">
        <f ca="1">OFFSET(养成规划!$AC$6,MATCH(C85,养成规划!$B$6:$B$77,0)-1,0)</f>
        <v>6</v>
      </c>
      <c r="M85" s="14">
        <f ca="1">OFFSET(控制台!$R$476,MATCH(C85,控制台!$B$476:$B$547,0)-1,0)</f>
        <v>0.3</v>
      </c>
      <c r="N85" s="14">
        <f ca="1">OFFSET(控制台!$S$476,MATCH(C85,控制台!$B$476:$B$547,0)-1,0)</f>
        <v>0.3</v>
      </c>
      <c r="O85" s="14">
        <f ca="1">OFFSET(控制台!$U$5057,MATCH(C85,控制台!$B$5057:$B$5128,0)-1,0)</f>
        <v>0.05</v>
      </c>
      <c r="P85" s="14">
        <f ca="1">OFFSET(控制台!$V$5057,MATCH(C85,控制台!$B$5057:$B$5128,0)-1,0)</f>
        <v>0</v>
      </c>
      <c r="Q85" s="14">
        <f ca="1">OFFSET(控制台!$T$5057,MATCH(C85,控制台!$B$5057:$B$5128,0)-1,0)</f>
        <v>0.1</v>
      </c>
      <c r="S85" s="1">
        <f>'206_副本挂机'!B85*100+'206_副本挂机'!C85*4</f>
        <v>920</v>
      </c>
      <c r="T85" s="1">
        <f ca="1">_xlfn.FLOOR.MATH('206_副本挂机'!L85)</f>
        <v>150</v>
      </c>
      <c r="U85" s="1">
        <f ca="1">MIN(OFFSET(控制台!$J$374,MATCH(T85,控制台!$B$374:$B$445,1)-1,0)+1,32)</f>
        <v>29</v>
      </c>
    </row>
    <row r="86" spans="1:21">
      <c r="A86" s="1">
        <f>'107_兵卡等级'!B86</f>
        <v>81</v>
      </c>
      <c r="B86" s="1">
        <f ca="1">'107_兵卡等级'!L86</f>
        <v>41.5</v>
      </c>
      <c r="C86" s="1">
        <f ca="1">OFFSET(养成规划!$B$6,MATCH(B86,养成规划!$B$6:$B$77,1)-1,0)</f>
        <v>40</v>
      </c>
      <c r="D86" s="1">
        <f ca="1">MAX(3,OFFSET(养成规划!$X$6,MATCH(C86,养成规划!$B$6:$B$77,0)-1,0))</f>
        <v>6</v>
      </c>
      <c r="E86" s="1">
        <f ca="1">MAX(1,OFFSET(控制台!$J$374,MATCH(C86,控制台!$B$374:$B$445,0)-1,0))</f>
        <v>24</v>
      </c>
      <c r="F86" s="1">
        <f ca="1">MAX(1,OFFSET(养成规划!$V$6,MATCH(C86,养成规划!$S$6:$S$77,0)-1,0))</f>
        <v>5</v>
      </c>
      <c r="G86" s="1">
        <f ca="1">MAX(9,OFFSET(控制台!$L$374,MATCH(C86,控制台!$B$374:$B$445,0)-1,0))</f>
        <v>78</v>
      </c>
      <c r="H86" s="1">
        <f ca="1">MAX(1,_xlfn.FLOOR.MATH(OFFSET(养成规划!$Y$6,MATCH(C86,养成规划!$B$6:$B$77,0)-1,0)/100))</f>
        <v>3</v>
      </c>
      <c r="I86" s="1">
        <f ca="1">MAX(1,MOD(OFFSET(养成规划!$Y$6,MATCH(C86,养成规划!$B$6:$B$77,0)-1,0),100))</f>
        <v>3</v>
      </c>
      <c r="J86" s="1" t="str">
        <f ca="1">OFFSET(养成规划!$Z$6,MATCH(C86,养成规划!$B$6:$B$77,0)-1,0)</f>
        <v>银</v>
      </c>
      <c r="K86" s="1">
        <f ca="1">OFFSET(养成规划!$AB$6,MATCH(C86,养成规划!$B$6:$B$77,0)-1,0)</f>
        <v>40</v>
      </c>
      <c r="L86" s="1">
        <f ca="1">OFFSET(养成规划!$AC$6,MATCH(C86,养成规划!$B$6:$B$77,0)-1,0)</f>
        <v>6</v>
      </c>
      <c r="M86" s="14">
        <f ca="1">OFFSET(控制台!$R$476,MATCH(C86,控制台!$B$476:$B$547,0)-1,0)</f>
        <v>0.3</v>
      </c>
      <c r="N86" s="14">
        <f ca="1">OFFSET(控制台!$S$476,MATCH(C86,控制台!$B$476:$B$547,0)-1,0)</f>
        <v>0.3</v>
      </c>
      <c r="O86" s="14">
        <f ca="1">OFFSET(控制台!$U$5057,MATCH(C86,控制台!$B$5057:$B$5128,0)-1,0)</f>
        <v>0.05</v>
      </c>
      <c r="P86" s="14">
        <f ca="1">OFFSET(控制台!$V$5057,MATCH(C86,控制台!$B$5057:$B$5128,0)-1,0)</f>
        <v>0</v>
      </c>
      <c r="Q86" s="14">
        <f ca="1">OFFSET(控制台!$T$5057,MATCH(C86,控制台!$B$5057:$B$5128,0)-1,0)</f>
        <v>0.1</v>
      </c>
      <c r="S86" s="1">
        <f>'206_副本挂机'!B86*100+'206_副本挂机'!C86*4</f>
        <v>924</v>
      </c>
      <c r="T86" s="1">
        <f ca="1">_xlfn.FLOOR.MATH('206_副本挂机'!L86)</f>
        <v>156</v>
      </c>
      <c r="U86" s="1">
        <f ca="1">MIN(OFFSET(控制台!$J$374,MATCH(T86,控制台!$B$374:$B$445,1)-1,0)+1,32)</f>
        <v>29</v>
      </c>
    </row>
    <row r="87" spans="1:21">
      <c r="A87" s="1">
        <f>'107_兵卡等级'!B87</f>
        <v>82</v>
      </c>
      <c r="B87" s="1">
        <f ca="1">'107_兵卡等级'!L87</f>
        <v>43</v>
      </c>
      <c r="C87" s="1">
        <f ca="1">OFFSET(养成规划!$B$6,MATCH(B87,养成规划!$B$6:$B$77,1)-1,0)</f>
        <v>40</v>
      </c>
      <c r="D87" s="1">
        <f ca="1">MAX(3,OFFSET(养成规划!$X$6,MATCH(C87,养成规划!$B$6:$B$77,0)-1,0))</f>
        <v>6</v>
      </c>
      <c r="E87" s="1">
        <f ca="1">MAX(1,OFFSET(控制台!$J$374,MATCH(C87,控制台!$B$374:$B$445,0)-1,0))</f>
        <v>24</v>
      </c>
      <c r="F87" s="1">
        <f ca="1">MAX(1,OFFSET(养成规划!$V$6,MATCH(C87,养成规划!$S$6:$S$77,0)-1,0))</f>
        <v>5</v>
      </c>
      <c r="G87" s="1">
        <f ca="1">MAX(9,OFFSET(控制台!$L$374,MATCH(C87,控制台!$B$374:$B$445,0)-1,0))</f>
        <v>78</v>
      </c>
      <c r="H87" s="1">
        <f ca="1">MAX(1,_xlfn.FLOOR.MATH(OFFSET(养成规划!$Y$6,MATCH(C87,养成规划!$B$6:$B$77,0)-1,0)/100))</f>
        <v>3</v>
      </c>
      <c r="I87" s="1">
        <f ca="1">MAX(1,MOD(OFFSET(养成规划!$Y$6,MATCH(C87,养成规划!$B$6:$B$77,0)-1,0),100))</f>
        <v>3</v>
      </c>
      <c r="J87" s="1" t="str">
        <f ca="1">OFFSET(养成规划!$Z$6,MATCH(C87,养成规划!$B$6:$B$77,0)-1,0)</f>
        <v>银</v>
      </c>
      <c r="K87" s="1">
        <f ca="1">OFFSET(养成规划!$AB$6,MATCH(C87,养成规划!$B$6:$B$77,0)-1,0)</f>
        <v>40</v>
      </c>
      <c r="L87" s="1">
        <f ca="1">OFFSET(养成规划!$AC$6,MATCH(C87,养成规划!$B$6:$B$77,0)-1,0)</f>
        <v>6</v>
      </c>
      <c r="M87" s="14">
        <f ca="1">OFFSET(控制台!$R$476,MATCH(C87,控制台!$B$476:$B$547,0)-1,0)</f>
        <v>0.3</v>
      </c>
      <c r="N87" s="14">
        <f ca="1">OFFSET(控制台!$S$476,MATCH(C87,控制台!$B$476:$B$547,0)-1,0)</f>
        <v>0.3</v>
      </c>
      <c r="O87" s="14">
        <f ca="1">OFFSET(控制台!$U$5057,MATCH(C87,控制台!$B$5057:$B$5128,0)-1,0)</f>
        <v>0.05</v>
      </c>
      <c r="P87" s="14">
        <f ca="1">OFFSET(控制台!$V$5057,MATCH(C87,控制台!$B$5057:$B$5128,0)-1,0)</f>
        <v>0</v>
      </c>
      <c r="Q87" s="14">
        <f ca="1">OFFSET(控制台!$T$5057,MATCH(C87,控制台!$B$5057:$B$5128,0)-1,0)</f>
        <v>0.1</v>
      </c>
      <c r="S87" s="1">
        <f>'206_副本挂机'!B87*100+'206_副本挂机'!C87*4</f>
        <v>928</v>
      </c>
      <c r="T87" s="1">
        <f ca="1">_xlfn.FLOOR.MATH('206_副本挂机'!L87)</f>
        <v>162</v>
      </c>
      <c r="U87" s="1">
        <f ca="1">MIN(OFFSET(控制台!$J$374,MATCH(T87,控制台!$B$374:$B$445,1)-1,0)+1,32)</f>
        <v>29</v>
      </c>
    </row>
    <row r="88" spans="1:21">
      <c r="A88" s="1">
        <f>'107_兵卡等级'!B88</f>
        <v>83</v>
      </c>
      <c r="B88" s="1">
        <f ca="1">'107_兵卡等级'!L88</f>
        <v>44.5</v>
      </c>
      <c r="C88" s="1">
        <f ca="1">OFFSET(养成规划!$B$6,MATCH(B88,养成规划!$B$6:$B$77,1)-1,0)</f>
        <v>40</v>
      </c>
      <c r="D88" s="1">
        <f ca="1">MAX(3,OFFSET(养成规划!$X$6,MATCH(C88,养成规划!$B$6:$B$77,0)-1,0))</f>
        <v>6</v>
      </c>
      <c r="E88" s="1">
        <f ca="1">MAX(1,OFFSET(控制台!$J$374,MATCH(C88,控制台!$B$374:$B$445,0)-1,0))</f>
        <v>24</v>
      </c>
      <c r="F88" s="1">
        <f ca="1">MAX(1,OFFSET(养成规划!$V$6,MATCH(C88,养成规划!$S$6:$S$77,0)-1,0))</f>
        <v>5</v>
      </c>
      <c r="G88" s="1">
        <f ca="1">MAX(9,OFFSET(控制台!$L$374,MATCH(C88,控制台!$B$374:$B$445,0)-1,0))</f>
        <v>78</v>
      </c>
      <c r="H88" s="1">
        <f ca="1">MAX(1,_xlfn.FLOOR.MATH(OFFSET(养成规划!$Y$6,MATCH(C88,养成规划!$B$6:$B$77,0)-1,0)/100))</f>
        <v>3</v>
      </c>
      <c r="I88" s="1">
        <f ca="1">MAX(1,MOD(OFFSET(养成规划!$Y$6,MATCH(C88,养成规划!$B$6:$B$77,0)-1,0),100))</f>
        <v>3</v>
      </c>
      <c r="J88" s="1" t="str">
        <f ca="1">OFFSET(养成规划!$Z$6,MATCH(C88,养成规划!$B$6:$B$77,0)-1,0)</f>
        <v>银</v>
      </c>
      <c r="K88" s="1">
        <f ca="1">OFFSET(养成规划!$AB$6,MATCH(C88,养成规划!$B$6:$B$77,0)-1,0)</f>
        <v>40</v>
      </c>
      <c r="L88" s="1">
        <f ca="1">OFFSET(养成规划!$AC$6,MATCH(C88,养成规划!$B$6:$B$77,0)-1,0)</f>
        <v>6</v>
      </c>
      <c r="M88" s="14">
        <f ca="1">OFFSET(控制台!$R$476,MATCH(C88,控制台!$B$476:$B$547,0)-1,0)</f>
        <v>0.3</v>
      </c>
      <c r="N88" s="14">
        <f ca="1">OFFSET(控制台!$S$476,MATCH(C88,控制台!$B$476:$B$547,0)-1,0)</f>
        <v>0.3</v>
      </c>
      <c r="O88" s="14">
        <f ca="1">OFFSET(控制台!$U$5057,MATCH(C88,控制台!$B$5057:$B$5128,0)-1,0)</f>
        <v>0.05</v>
      </c>
      <c r="P88" s="14">
        <f ca="1">OFFSET(控制台!$V$5057,MATCH(C88,控制台!$B$5057:$B$5128,0)-1,0)</f>
        <v>0</v>
      </c>
      <c r="Q88" s="14">
        <f ca="1">OFFSET(控制台!$T$5057,MATCH(C88,控制台!$B$5057:$B$5128,0)-1,0)</f>
        <v>0.1</v>
      </c>
      <c r="S88" s="1">
        <f>'206_副本挂机'!B88*100+'206_副本挂机'!C88*4</f>
        <v>932</v>
      </c>
      <c r="T88" s="1">
        <f ca="1">_xlfn.FLOOR.MATH('206_副本挂机'!L88)</f>
        <v>168</v>
      </c>
      <c r="U88" s="1">
        <f ca="1">MIN(OFFSET(控制台!$J$374,MATCH(T88,控制台!$B$374:$B$445,1)-1,0)+1,32)</f>
        <v>29</v>
      </c>
    </row>
    <row r="89" spans="1:21">
      <c r="A89" s="1">
        <f>'107_兵卡等级'!B89</f>
        <v>84</v>
      </c>
      <c r="B89" s="1">
        <f ca="1">'107_兵卡等级'!L89</f>
        <v>46</v>
      </c>
      <c r="C89" s="1">
        <f ca="1">OFFSET(养成规划!$B$6,MATCH(B89,养成规划!$B$6:$B$77,1)-1,0)</f>
        <v>45</v>
      </c>
      <c r="D89" s="1">
        <f ca="1">MAX(3,OFFSET(养成规划!$X$6,MATCH(C89,养成规划!$B$6:$B$77,0)-1,0))</f>
        <v>6</v>
      </c>
      <c r="E89" s="1">
        <f ca="1">MAX(1,OFFSET(控制台!$J$374,MATCH(C89,控制台!$B$374:$B$445,0)-1,0))</f>
        <v>24</v>
      </c>
      <c r="F89" s="1">
        <f ca="1">MAX(1,OFFSET(养成规划!$V$6,MATCH(C89,养成规划!$S$6:$S$77,0)-1,0))</f>
        <v>5</v>
      </c>
      <c r="G89" s="1">
        <f ca="1">MAX(9,OFFSET(控制台!$L$374,MATCH(C89,控制台!$B$374:$B$445,0)-1,0))</f>
        <v>78</v>
      </c>
      <c r="H89" s="1">
        <f ca="1">MAX(1,_xlfn.FLOOR.MATH(OFFSET(养成规划!$Y$6,MATCH(C89,养成规划!$B$6:$B$77,0)-1,0)/100))</f>
        <v>3</v>
      </c>
      <c r="I89" s="1">
        <f ca="1">MAX(1,MOD(OFFSET(养成规划!$Y$6,MATCH(C89,养成规划!$B$6:$B$77,0)-1,0),100))</f>
        <v>4</v>
      </c>
      <c r="J89" s="1" t="str">
        <f ca="1">OFFSET(养成规划!$Z$6,MATCH(C89,养成规划!$B$6:$B$77,0)-1,0)</f>
        <v>银+</v>
      </c>
      <c r="K89" s="1">
        <f ca="1">OFFSET(养成规划!$AB$6,MATCH(C89,养成规划!$B$6:$B$77,0)-1,0)</f>
        <v>40</v>
      </c>
      <c r="L89" s="1">
        <f ca="1">OFFSET(养成规划!$AC$6,MATCH(C89,养成规划!$B$6:$B$77,0)-1,0)</f>
        <v>7</v>
      </c>
      <c r="M89" s="14">
        <f ca="1">OFFSET(控制台!$R$476,MATCH(C89,控制台!$B$476:$B$547,0)-1,0)</f>
        <v>0.3</v>
      </c>
      <c r="N89" s="14">
        <f ca="1">OFFSET(控制台!$S$476,MATCH(C89,控制台!$B$476:$B$547,0)-1,0)</f>
        <v>0.3</v>
      </c>
      <c r="O89" s="14">
        <f ca="1">OFFSET(控制台!$U$5057,MATCH(C89,控制台!$B$5057:$B$5128,0)-1,0)</f>
        <v>0.05</v>
      </c>
      <c r="P89" s="14">
        <f ca="1">OFFSET(控制台!$V$5057,MATCH(C89,控制台!$B$5057:$B$5128,0)-1,0)</f>
        <v>0.05</v>
      </c>
      <c r="Q89" s="14">
        <f ca="1">OFFSET(控制台!$T$5057,MATCH(C89,控制台!$B$5057:$B$5128,0)-1,0)</f>
        <v>0.1</v>
      </c>
      <c r="S89" s="1">
        <f>'206_副本挂机'!B89*100+'206_副本挂机'!C89*4</f>
        <v>936</v>
      </c>
      <c r="T89" s="1">
        <f ca="1">_xlfn.FLOOR.MATH('206_副本挂机'!L89)</f>
        <v>174</v>
      </c>
      <c r="U89" s="1">
        <f ca="1">MIN(OFFSET(控制台!$J$374,MATCH(T89,控制台!$B$374:$B$445,1)-1,0)+1,32)</f>
        <v>29</v>
      </c>
    </row>
    <row r="90" spans="1:21">
      <c r="A90" s="1">
        <f>'107_兵卡等级'!B90</f>
        <v>85</v>
      </c>
      <c r="B90" s="1">
        <f ca="1">'107_兵卡等级'!L90</f>
        <v>47.5</v>
      </c>
      <c r="C90" s="1">
        <f ca="1">OFFSET(养成规划!$B$6,MATCH(B90,养成规划!$B$6:$B$77,1)-1,0)</f>
        <v>45</v>
      </c>
      <c r="D90" s="1">
        <f ca="1">MAX(3,OFFSET(养成规划!$X$6,MATCH(C90,养成规划!$B$6:$B$77,0)-1,0))</f>
        <v>6</v>
      </c>
      <c r="E90" s="1">
        <f ca="1">MAX(1,OFFSET(控制台!$J$374,MATCH(C90,控制台!$B$374:$B$445,0)-1,0))</f>
        <v>24</v>
      </c>
      <c r="F90" s="1">
        <f ca="1">MAX(1,OFFSET(养成规划!$V$6,MATCH(C90,养成规划!$S$6:$S$77,0)-1,0))</f>
        <v>5</v>
      </c>
      <c r="G90" s="1">
        <f ca="1">MAX(9,OFFSET(控制台!$L$374,MATCH(C90,控制台!$B$374:$B$445,0)-1,0))</f>
        <v>78</v>
      </c>
      <c r="H90" s="1">
        <f ca="1">MAX(1,_xlfn.FLOOR.MATH(OFFSET(养成规划!$Y$6,MATCH(C90,养成规划!$B$6:$B$77,0)-1,0)/100))</f>
        <v>3</v>
      </c>
      <c r="I90" s="1">
        <f ca="1">MAX(1,MOD(OFFSET(养成规划!$Y$6,MATCH(C90,养成规划!$B$6:$B$77,0)-1,0),100))</f>
        <v>4</v>
      </c>
      <c r="J90" s="1" t="str">
        <f ca="1">OFFSET(养成规划!$Z$6,MATCH(C90,养成规划!$B$6:$B$77,0)-1,0)</f>
        <v>银+</v>
      </c>
      <c r="K90" s="1">
        <f ca="1">OFFSET(养成规划!$AB$6,MATCH(C90,养成规划!$B$6:$B$77,0)-1,0)</f>
        <v>40</v>
      </c>
      <c r="L90" s="1">
        <f ca="1">OFFSET(养成规划!$AC$6,MATCH(C90,养成规划!$B$6:$B$77,0)-1,0)</f>
        <v>7</v>
      </c>
      <c r="M90" s="14">
        <f ca="1">OFFSET(控制台!$R$476,MATCH(C90,控制台!$B$476:$B$547,0)-1,0)</f>
        <v>0.3</v>
      </c>
      <c r="N90" s="14">
        <f ca="1">OFFSET(控制台!$S$476,MATCH(C90,控制台!$B$476:$B$547,0)-1,0)</f>
        <v>0.3</v>
      </c>
      <c r="O90" s="14">
        <f ca="1">OFFSET(控制台!$U$5057,MATCH(C90,控制台!$B$5057:$B$5128,0)-1,0)</f>
        <v>0.05</v>
      </c>
      <c r="P90" s="14">
        <f ca="1">OFFSET(控制台!$V$5057,MATCH(C90,控制台!$B$5057:$B$5128,0)-1,0)</f>
        <v>0.05</v>
      </c>
      <c r="Q90" s="14">
        <f ca="1">OFFSET(控制台!$T$5057,MATCH(C90,控制台!$B$5057:$B$5128,0)-1,0)</f>
        <v>0.1</v>
      </c>
      <c r="S90" s="1">
        <f>'206_副本挂机'!B90*100+'206_副本挂机'!C90*4</f>
        <v>940</v>
      </c>
      <c r="T90" s="1">
        <f ca="1">_xlfn.FLOOR.MATH('206_副本挂机'!L90)</f>
        <v>180</v>
      </c>
      <c r="U90" s="1">
        <f ca="1">MIN(OFFSET(控制台!$J$374,MATCH(T90,控制台!$B$374:$B$445,1)-1,0)+1,32)</f>
        <v>30</v>
      </c>
    </row>
    <row r="91" spans="1:21">
      <c r="A91" s="1">
        <f>'107_兵卡等级'!B91</f>
        <v>86</v>
      </c>
      <c r="B91" s="1">
        <f ca="1">'107_兵卡等级'!L91</f>
        <v>49</v>
      </c>
      <c r="C91" s="1">
        <f ca="1">OFFSET(养成规划!$B$6,MATCH(B91,养成规划!$B$6:$B$77,1)-1,0)</f>
        <v>45</v>
      </c>
      <c r="D91" s="1">
        <f ca="1">MAX(3,OFFSET(养成规划!$X$6,MATCH(C91,养成规划!$B$6:$B$77,0)-1,0))</f>
        <v>6</v>
      </c>
      <c r="E91" s="1">
        <f ca="1">MAX(1,OFFSET(控制台!$J$374,MATCH(C91,控制台!$B$374:$B$445,0)-1,0))</f>
        <v>24</v>
      </c>
      <c r="F91" s="1">
        <f ca="1">MAX(1,OFFSET(养成规划!$V$6,MATCH(C91,养成规划!$S$6:$S$77,0)-1,0))</f>
        <v>5</v>
      </c>
      <c r="G91" s="1">
        <f ca="1">MAX(9,OFFSET(控制台!$L$374,MATCH(C91,控制台!$B$374:$B$445,0)-1,0))</f>
        <v>78</v>
      </c>
      <c r="H91" s="1">
        <f ca="1">MAX(1,_xlfn.FLOOR.MATH(OFFSET(养成规划!$Y$6,MATCH(C91,养成规划!$B$6:$B$77,0)-1,0)/100))</f>
        <v>3</v>
      </c>
      <c r="I91" s="1">
        <f ca="1">MAX(1,MOD(OFFSET(养成规划!$Y$6,MATCH(C91,养成规划!$B$6:$B$77,0)-1,0),100))</f>
        <v>4</v>
      </c>
      <c r="J91" s="1" t="str">
        <f ca="1">OFFSET(养成规划!$Z$6,MATCH(C91,养成规划!$B$6:$B$77,0)-1,0)</f>
        <v>银+</v>
      </c>
      <c r="K91" s="1">
        <f ca="1">OFFSET(养成规划!$AB$6,MATCH(C91,养成规划!$B$6:$B$77,0)-1,0)</f>
        <v>40</v>
      </c>
      <c r="L91" s="1">
        <f ca="1">OFFSET(养成规划!$AC$6,MATCH(C91,养成规划!$B$6:$B$77,0)-1,0)</f>
        <v>7</v>
      </c>
      <c r="M91" s="14">
        <f ca="1">OFFSET(控制台!$R$476,MATCH(C91,控制台!$B$476:$B$547,0)-1,0)</f>
        <v>0.3</v>
      </c>
      <c r="N91" s="14">
        <f ca="1">OFFSET(控制台!$S$476,MATCH(C91,控制台!$B$476:$B$547,0)-1,0)</f>
        <v>0.3</v>
      </c>
      <c r="O91" s="14">
        <f ca="1">OFFSET(控制台!$U$5057,MATCH(C91,控制台!$B$5057:$B$5128,0)-1,0)</f>
        <v>0.05</v>
      </c>
      <c r="P91" s="14">
        <f ca="1">OFFSET(控制台!$V$5057,MATCH(C91,控制台!$B$5057:$B$5128,0)-1,0)</f>
        <v>0.05</v>
      </c>
      <c r="Q91" s="14">
        <f ca="1">OFFSET(控制台!$T$5057,MATCH(C91,控制台!$B$5057:$B$5128,0)-1,0)</f>
        <v>0.1</v>
      </c>
      <c r="S91" s="1">
        <f>'206_副本挂机'!B91*100+'206_副本挂机'!C91*4</f>
        <v>1004</v>
      </c>
      <c r="T91" s="1">
        <f ca="1">_xlfn.FLOOR.MATH('206_副本挂机'!L91)</f>
        <v>186</v>
      </c>
      <c r="U91" s="1">
        <f ca="1">MIN(OFFSET(控制台!$J$374,MATCH(T91,控制台!$B$374:$B$445,1)-1,0)+1,32)</f>
        <v>30</v>
      </c>
    </row>
    <row r="92" spans="1:21">
      <c r="A92" s="1">
        <f>'107_兵卡等级'!B92</f>
        <v>87</v>
      </c>
      <c r="B92" s="1">
        <f ca="1">'107_兵卡等级'!L92</f>
        <v>50.5</v>
      </c>
      <c r="C92" s="1">
        <f ca="1">OFFSET(养成规划!$B$6,MATCH(B92,养成规划!$B$6:$B$77,1)-1,0)</f>
        <v>50</v>
      </c>
      <c r="D92" s="1">
        <f ca="1">MAX(3,OFFSET(养成规划!$X$6,MATCH(C92,养成规划!$B$6:$B$77,0)-1,0))</f>
        <v>6</v>
      </c>
      <c r="E92" s="1">
        <f ca="1">MAX(1,OFFSET(控制台!$J$374,MATCH(C92,控制台!$B$374:$B$445,0)-1,0))</f>
        <v>25</v>
      </c>
      <c r="F92" s="1">
        <f ca="1">MAX(1,OFFSET(养成规划!$V$6,MATCH(C92,养成规划!$S$6:$S$77,0)-1,0))</f>
        <v>5</v>
      </c>
      <c r="G92" s="1">
        <f ca="1">MAX(9,OFFSET(控制台!$L$374,MATCH(C92,控制台!$B$374:$B$445,0)-1,0))</f>
        <v>81</v>
      </c>
      <c r="H92" s="1">
        <f ca="1">MAX(1,_xlfn.FLOOR.MATH(OFFSET(养成规划!$Y$6,MATCH(C92,养成规划!$B$6:$B$77,0)-1,0)/100))</f>
        <v>3</v>
      </c>
      <c r="I92" s="1">
        <f ca="1">MAX(1,MOD(OFFSET(养成规划!$Y$6,MATCH(C92,养成规划!$B$6:$B$77,0)-1,0),100))</f>
        <v>4</v>
      </c>
      <c r="J92" s="1" t="str">
        <f ca="1">OFFSET(养成规划!$Z$6,MATCH(C92,养成规划!$B$6:$B$77,0)-1,0)</f>
        <v>银+</v>
      </c>
      <c r="K92" s="1">
        <f ca="1">OFFSET(养成规划!$AB$6,MATCH(C92,养成规划!$B$6:$B$77,0)-1,0)</f>
        <v>40</v>
      </c>
      <c r="L92" s="1">
        <f ca="1">OFFSET(养成规划!$AC$6,MATCH(C92,养成规划!$B$6:$B$77,0)-1,0)</f>
        <v>7</v>
      </c>
      <c r="M92" s="14">
        <f ca="1">OFFSET(控制台!$R$476,MATCH(C92,控制台!$B$476:$B$547,0)-1,0)</f>
        <v>0.3</v>
      </c>
      <c r="N92" s="14">
        <f ca="1">OFFSET(控制台!$S$476,MATCH(C92,控制台!$B$476:$B$547,0)-1,0)</f>
        <v>0.3</v>
      </c>
      <c r="O92" s="14">
        <f ca="1">OFFSET(控制台!$U$5057,MATCH(C92,控制台!$B$5057:$B$5128,0)-1,0)</f>
        <v>0.05</v>
      </c>
      <c r="P92" s="14">
        <f ca="1">OFFSET(控制台!$V$5057,MATCH(C92,控制台!$B$5057:$B$5128,0)-1,0)</f>
        <v>0.05</v>
      </c>
      <c r="Q92" s="14">
        <f ca="1">OFFSET(控制台!$T$5057,MATCH(C92,控制台!$B$5057:$B$5128,0)-1,0)</f>
        <v>0.1</v>
      </c>
      <c r="S92" s="1">
        <f>'206_副本挂机'!B92*100+'206_副本挂机'!C92*4</f>
        <v>1008</v>
      </c>
      <c r="T92" s="1">
        <f ca="1">_xlfn.FLOOR.MATH('206_副本挂机'!L92)</f>
        <v>192</v>
      </c>
      <c r="U92" s="1">
        <f ca="1">MIN(OFFSET(控制台!$J$374,MATCH(T92,控制台!$B$374:$B$445,1)-1,0)+1,32)</f>
        <v>30</v>
      </c>
    </row>
    <row r="93" spans="1:21">
      <c r="A93" s="1">
        <f>'107_兵卡等级'!B93</f>
        <v>88</v>
      </c>
      <c r="B93" s="1">
        <f ca="1">'107_兵卡等级'!L93</f>
        <v>52</v>
      </c>
      <c r="C93" s="1">
        <f ca="1">OFFSET(养成规划!$B$6,MATCH(B93,养成规划!$B$6:$B$77,1)-1,0)</f>
        <v>50</v>
      </c>
      <c r="D93" s="1">
        <f ca="1">MAX(3,OFFSET(养成规划!$X$6,MATCH(C93,养成规划!$B$6:$B$77,0)-1,0))</f>
        <v>6</v>
      </c>
      <c r="E93" s="1">
        <f ca="1">MAX(1,OFFSET(控制台!$J$374,MATCH(C93,控制台!$B$374:$B$445,0)-1,0))</f>
        <v>25</v>
      </c>
      <c r="F93" s="1">
        <f ca="1">MAX(1,OFFSET(养成规划!$V$6,MATCH(C93,养成规划!$S$6:$S$77,0)-1,0))</f>
        <v>5</v>
      </c>
      <c r="G93" s="1">
        <f ca="1">MAX(9,OFFSET(控制台!$L$374,MATCH(C93,控制台!$B$374:$B$445,0)-1,0))</f>
        <v>81</v>
      </c>
      <c r="H93" s="1">
        <f ca="1">MAX(1,_xlfn.FLOOR.MATH(OFFSET(养成规划!$Y$6,MATCH(C93,养成规划!$B$6:$B$77,0)-1,0)/100))</f>
        <v>3</v>
      </c>
      <c r="I93" s="1">
        <f ca="1">MAX(1,MOD(OFFSET(养成规划!$Y$6,MATCH(C93,养成规划!$B$6:$B$77,0)-1,0),100))</f>
        <v>4</v>
      </c>
      <c r="J93" s="1" t="str">
        <f ca="1">OFFSET(养成规划!$Z$6,MATCH(C93,养成规划!$B$6:$B$77,0)-1,0)</f>
        <v>银+</v>
      </c>
      <c r="K93" s="1">
        <f ca="1">OFFSET(养成规划!$AB$6,MATCH(C93,养成规划!$B$6:$B$77,0)-1,0)</f>
        <v>40</v>
      </c>
      <c r="L93" s="1">
        <f ca="1">OFFSET(养成规划!$AC$6,MATCH(C93,养成规划!$B$6:$B$77,0)-1,0)</f>
        <v>7</v>
      </c>
      <c r="M93" s="14">
        <f ca="1">OFFSET(控制台!$R$476,MATCH(C93,控制台!$B$476:$B$547,0)-1,0)</f>
        <v>0.3</v>
      </c>
      <c r="N93" s="14">
        <f ca="1">OFFSET(控制台!$S$476,MATCH(C93,控制台!$B$476:$B$547,0)-1,0)</f>
        <v>0.3</v>
      </c>
      <c r="O93" s="14">
        <f ca="1">OFFSET(控制台!$U$5057,MATCH(C93,控制台!$B$5057:$B$5128,0)-1,0)</f>
        <v>0.05</v>
      </c>
      <c r="P93" s="14">
        <f ca="1">OFFSET(控制台!$V$5057,MATCH(C93,控制台!$B$5057:$B$5128,0)-1,0)</f>
        <v>0.05</v>
      </c>
      <c r="Q93" s="14">
        <f ca="1">OFFSET(控制台!$T$5057,MATCH(C93,控制台!$B$5057:$B$5128,0)-1,0)</f>
        <v>0.1</v>
      </c>
      <c r="S93" s="1">
        <f>'206_副本挂机'!B93*100+'206_副本挂机'!C93*4</f>
        <v>1012</v>
      </c>
      <c r="T93" s="1">
        <f ca="1">_xlfn.FLOOR.MATH('206_副本挂机'!L93)</f>
        <v>198</v>
      </c>
      <c r="U93" s="1">
        <f ca="1">MIN(OFFSET(控制台!$J$374,MATCH(T93,控制台!$B$374:$B$445,1)-1,0)+1,32)</f>
        <v>30</v>
      </c>
    </row>
    <row r="94" spans="1:21">
      <c r="A94" s="1">
        <f>'107_兵卡等级'!B94</f>
        <v>89</v>
      </c>
      <c r="B94" s="1">
        <f ca="1">'107_兵卡等级'!L94</f>
        <v>53.5</v>
      </c>
      <c r="C94" s="1">
        <f ca="1">OFFSET(养成规划!$B$6,MATCH(B94,养成规划!$B$6:$B$77,1)-1,0)</f>
        <v>50</v>
      </c>
      <c r="D94" s="1">
        <f ca="1">MAX(3,OFFSET(养成规划!$X$6,MATCH(C94,养成规划!$B$6:$B$77,0)-1,0))</f>
        <v>6</v>
      </c>
      <c r="E94" s="1">
        <f ca="1">MAX(1,OFFSET(控制台!$J$374,MATCH(C94,控制台!$B$374:$B$445,0)-1,0))</f>
        <v>25</v>
      </c>
      <c r="F94" s="1">
        <f ca="1">MAX(1,OFFSET(养成规划!$V$6,MATCH(C94,养成规划!$S$6:$S$77,0)-1,0))</f>
        <v>5</v>
      </c>
      <c r="G94" s="1">
        <f ca="1">MAX(9,OFFSET(控制台!$L$374,MATCH(C94,控制台!$B$374:$B$445,0)-1,0))</f>
        <v>81</v>
      </c>
      <c r="H94" s="1">
        <f ca="1">MAX(1,_xlfn.FLOOR.MATH(OFFSET(养成规划!$Y$6,MATCH(C94,养成规划!$B$6:$B$77,0)-1,0)/100))</f>
        <v>3</v>
      </c>
      <c r="I94" s="1">
        <f ca="1">MAX(1,MOD(OFFSET(养成规划!$Y$6,MATCH(C94,养成规划!$B$6:$B$77,0)-1,0),100))</f>
        <v>4</v>
      </c>
      <c r="J94" s="1" t="str">
        <f ca="1">OFFSET(养成规划!$Z$6,MATCH(C94,养成规划!$B$6:$B$77,0)-1,0)</f>
        <v>银+</v>
      </c>
      <c r="K94" s="1">
        <f ca="1">OFFSET(养成规划!$AB$6,MATCH(C94,养成规划!$B$6:$B$77,0)-1,0)</f>
        <v>40</v>
      </c>
      <c r="L94" s="1">
        <f ca="1">OFFSET(养成规划!$AC$6,MATCH(C94,养成规划!$B$6:$B$77,0)-1,0)</f>
        <v>7</v>
      </c>
      <c r="M94" s="14">
        <f ca="1">OFFSET(控制台!$R$476,MATCH(C94,控制台!$B$476:$B$547,0)-1,0)</f>
        <v>0.3</v>
      </c>
      <c r="N94" s="14">
        <f ca="1">OFFSET(控制台!$S$476,MATCH(C94,控制台!$B$476:$B$547,0)-1,0)</f>
        <v>0.3</v>
      </c>
      <c r="O94" s="14">
        <f ca="1">OFFSET(控制台!$U$5057,MATCH(C94,控制台!$B$5057:$B$5128,0)-1,0)</f>
        <v>0.05</v>
      </c>
      <c r="P94" s="14">
        <f ca="1">OFFSET(控制台!$V$5057,MATCH(C94,控制台!$B$5057:$B$5128,0)-1,0)</f>
        <v>0.05</v>
      </c>
      <c r="Q94" s="14">
        <f ca="1">OFFSET(控制台!$T$5057,MATCH(C94,控制台!$B$5057:$B$5128,0)-1,0)</f>
        <v>0.1</v>
      </c>
      <c r="S94" s="1">
        <f>'206_副本挂机'!B94*100+'206_副本挂机'!C94*4</f>
        <v>1016</v>
      </c>
      <c r="T94" s="1">
        <f ca="1">_xlfn.FLOOR.MATH('206_副本挂机'!L94)</f>
        <v>204</v>
      </c>
      <c r="U94" s="1">
        <f ca="1">MIN(OFFSET(控制台!$J$374,MATCH(T94,控制台!$B$374:$B$445,1)-1,0)+1,32)</f>
        <v>30</v>
      </c>
    </row>
    <row r="95" spans="1:21">
      <c r="A95" s="1">
        <f>'107_兵卡等级'!B95</f>
        <v>90</v>
      </c>
      <c r="B95" s="1">
        <f ca="1">'107_兵卡等级'!L95</f>
        <v>55</v>
      </c>
      <c r="C95" s="1">
        <f ca="1">OFFSET(养成规划!$B$6,MATCH(B95,养成规划!$B$6:$B$77,1)-1,0)</f>
        <v>55</v>
      </c>
      <c r="D95" s="1">
        <f ca="1">MAX(3,OFFSET(养成规划!$X$6,MATCH(C95,养成规划!$B$6:$B$77,0)-1,0))</f>
        <v>6.1</v>
      </c>
      <c r="E95" s="1">
        <f ca="1">MAX(1,OFFSET(控制台!$J$374,MATCH(C95,控制台!$B$374:$B$445,0)-1,0))</f>
        <v>25</v>
      </c>
      <c r="F95" s="1">
        <f ca="1">MAX(1,OFFSET(养成规划!$V$6,MATCH(C95,养成规划!$S$6:$S$77,0)-1,0))</f>
        <v>5</v>
      </c>
      <c r="G95" s="1">
        <f ca="1">MAX(9,OFFSET(控制台!$L$374,MATCH(C95,控制台!$B$374:$B$445,0)-1,0))</f>
        <v>81</v>
      </c>
      <c r="H95" s="1">
        <f ca="1">MAX(1,_xlfn.FLOOR.MATH(OFFSET(养成规划!$Y$6,MATCH(C95,养成规划!$B$6:$B$77,0)-1,0)/100))</f>
        <v>3</v>
      </c>
      <c r="I95" s="1">
        <f ca="1">MAX(1,MOD(OFFSET(养成规划!$Y$6,MATCH(C95,养成规划!$B$6:$B$77,0)-1,0),100))</f>
        <v>4</v>
      </c>
      <c r="J95" s="1" t="str">
        <f ca="1">OFFSET(养成规划!$Z$6,MATCH(C95,养成规划!$B$6:$B$77,0)-1,0)</f>
        <v>银+</v>
      </c>
      <c r="K95" s="1">
        <f ca="1">OFFSET(养成规划!$AB$6,MATCH(C95,养成规划!$B$6:$B$77,0)-1,0)</f>
        <v>40</v>
      </c>
      <c r="L95" s="1">
        <f ca="1">OFFSET(养成规划!$AC$6,MATCH(C95,养成规划!$B$6:$B$77,0)-1,0)</f>
        <v>7</v>
      </c>
      <c r="M95" s="14">
        <f ca="1">OFFSET(控制台!$R$476,MATCH(C95,控制台!$B$476:$B$547,0)-1,0)</f>
        <v>0.3</v>
      </c>
      <c r="N95" s="14">
        <f ca="1">OFFSET(控制台!$S$476,MATCH(C95,控制台!$B$476:$B$547,0)-1,0)</f>
        <v>0.3</v>
      </c>
      <c r="O95" s="14">
        <f ca="1">OFFSET(控制台!$U$5057,MATCH(C95,控制台!$B$5057:$B$5128,0)-1,0)</f>
        <v>0.05</v>
      </c>
      <c r="P95" s="14">
        <f ca="1">OFFSET(控制台!$V$5057,MATCH(C95,控制台!$B$5057:$B$5128,0)-1,0)</f>
        <v>0.05</v>
      </c>
      <c r="Q95" s="14">
        <f ca="1">OFFSET(控制台!$T$5057,MATCH(C95,控制台!$B$5057:$B$5128,0)-1,0)</f>
        <v>0.1</v>
      </c>
      <c r="S95" s="1">
        <f>'206_副本挂机'!B95*100+'206_副本挂机'!C95*4</f>
        <v>1020</v>
      </c>
      <c r="T95" s="1">
        <f ca="1">_xlfn.FLOOR.MATH('206_副本挂机'!L95)</f>
        <v>210</v>
      </c>
      <c r="U95" s="1">
        <f ca="1">MIN(OFFSET(控制台!$J$374,MATCH(T95,控制台!$B$374:$B$445,1)-1,0)+1,32)</f>
        <v>30</v>
      </c>
    </row>
    <row r="96" spans="1:21">
      <c r="A96" s="1">
        <f>'107_兵卡等级'!B96</f>
        <v>91</v>
      </c>
      <c r="B96" s="1">
        <f ca="1">'107_兵卡等级'!L96</f>
        <v>56.5</v>
      </c>
      <c r="C96" s="1">
        <f ca="1">OFFSET(养成规划!$B$6,MATCH(B96,养成规划!$B$6:$B$77,1)-1,0)</f>
        <v>55</v>
      </c>
      <c r="D96" s="1">
        <f ca="1">MAX(3,OFFSET(养成规划!$X$6,MATCH(C96,养成规划!$B$6:$B$77,0)-1,0))</f>
        <v>6.1</v>
      </c>
      <c r="E96" s="1">
        <f ca="1">MAX(1,OFFSET(控制台!$J$374,MATCH(C96,控制台!$B$374:$B$445,0)-1,0))</f>
        <v>25</v>
      </c>
      <c r="F96" s="1">
        <f ca="1">MAX(1,OFFSET(养成规划!$V$6,MATCH(C96,养成规划!$S$6:$S$77,0)-1,0))</f>
        <v>5</v>
      </c>
      <c r="G96" s="1">
        <f ca="1">MAX(9,OFFSET(控制台!$L$374,MATCH(C96,控制台!$B$374:$B$445,0)-1,0))</f>
        <v>81</v>
      </c>
      <c r="H96" s="1">
        <f ca="1">MAX(1,_xlfn.FLOOR.MATH(OFFSET(养成规划!$Y$6,MATCH(C96,养成规划!$B$6:$B$77,0)-1,0)/100))</f>
        <v>3</v>
      </c>
      <c r="I96" s="1">
        <f ca="1">MAX(1,MOD(OFFSET(养成规划!$Y$6,MATCH(C96,养成规划!$B$6:$B$77,0)-1,0),100))</f>
        <v>4</v>
      </c>
      <c r="J96" s="1" t="str">
        <f ca="1">OFFSET(养成规划!$Z$6,MATCH(C96,养成规划!$B$6:$B$77,0)-1,0)</f>
        <v>银+</v>
      </c>
      <c r="K96" s="1">
        <f ca="1">OFFSET(养成规划!$AB$6,MATCH(C96,养成规划!$B$6:$B$77,0)-1,0)</f>
        <v>40</v>
      </c>
      <c r="L96" s="1">
        <f ca="1">OFFSET(养成规划!$AC$6,MATCH(C96,养成规划!$B$6:$B$77,0)-1,0)</f>
        <v>7</v>
      </c>
      <c r="M96" s="14">
        <f ca="1">OFFSET(控制台!$R$476,MATCH(C96,控制台!$B$476:$B$547,0)-1,0)</f>
        <v>0.3</v>
      </c>
      <c r="N96" s="14">
        <f ca="1">OFFSET(控制台!$S$476,MATCH(C96,控制台!$B$476:$B$547,0)-1,0)</f>
        <v>0.3</v>
      </c>
      <c r="O96" s="14">
        <f ca="1">OFFSET(控制台!$U$5057,MATCH(C96,控制台!$B$5057:$B$5128,0)-1,0)</f>
        <v>0.05</v>
      </c>
      <c r="P96" s="14">
        <f ca="1">OFFSET(控制台!$V$5057,MATCH(C96,控制台!$B$5057:$B$5128,0)-1,0)</f>
        <v>0.05</v>
      </c>
      <c r="Q96" s="14">
        <f ca="1">OFFSET(控制台!$T$5057,MATCH(C96,控制台!$B$5057:$B$5128,0)-1,0)</f>
        <v>0.1</v>
      </c>
      <c r="S96" s="1">
        <f>'206_副本挂机'!B96*100+'206_副本挂机'!C96*4</f>
        <v>1024</v>
      </c>
      <c r="T96" s="1">
        <f ca="1">_xlfn.FLOOR.MATH('206_副本挂机'!L96)</f>
        <v>216</v>
      </c>
      <c r="U96" s="1">
        <f ca="1">MIN(OFFSET(控制台!$J$374,MATCH(T96,控制台!$B$374:$B$445,1)-1,0)+1,32)</f>
        <v>30</v>
      </c>
    </row>
    <row r="97" spans="1:21">
      <c r="A97" s="1">
        <f>'107_兵卡等级'!B97</f>
        <v>92</v>
      </c>
      <c r="B97" s="1">
        <f ca="1">'107_兵卡等级'!L97</f>
        <v>58</v>
      </c>
      <c r="C97" s="1">
        <f ca="1">OFFSET(养成规划!$B$6,MATCH(B97,养成规划!$B$6:$B$77,1)-1,0)</f>
        <v>55</v>
      </c>
      <c r="D97" s="1">
        <f ca="1">MAX(3,OFFSET(养成规划!$X$6,MATCH(C97,养成规划!$B$6:$B$77,0)-1,0))</f>
        <v>6.1</v>
      </c>
      <c r="E97" s="1">
        <f ca="1">MAX(1,OFFSET(控制台!$J$374,MATCH(C97,控制台!$B$374:$B$445,0)-1,0))</f>
        <v>25</v>
      </c>
      <c r="F97" s="1">
        <f ca="1">MAX(1,OFFSET(养成规划!$V$6,MATCH(C97,养成规划!$S$6:$S$77,0)-1,0))</f>
        <v>5</v>
      </c>
      <c r="G97" s="1">
        <f ca="1">MAX(9,OFFSET(控制台!$L$374,MATCH(C97,控制台!$B$374:$B$445,0)-1,0))</f>
        <v>81</v>
      </c>
      <c r="H97" s="1">
        <f ca="1">MAX(1,_xlfn.FLOOR.MATH(OFFSET(养成规划!$Y$6,MATCH(C97,养成规划!$B$6:$B$77,0)-1,0)/100))</f>
        <v>3</v>
      </c>
      <c r="I97" s="1">
        <f ca="1">MAX(1,MOD(OFFSET(养成规划!$Y$6,MATCH(C97,养成规划!$B$6:$B$77,0)-1,0),100))</f>
        <v>4</v>
      </c>
      <c r="J97" s="1" t="str">
        <f ca="1">OFFSET(养成规划!$Z$6,MATCH(C97,养成规划!$B$6:$B$77,0)-1,0)</f>
        <v>银+</v>
      </c>
      <c r="K97" s="1">
        <f ca="1">OFFSET(养成规划!$AB$6,MATCH(C97,养成规划!$B$6:$B$77,0)-1,0)</f>
        <v>40</v>
      </c>
      <c r="L97" s="1">
        <f ca="1">OFFSET(养成规划!$AC$6,MATCH(C97,养成规划!$B$6:$B$77,0)-1,0)</f>
        <v>7</v>
      </c>
      <c r="M97" s="14">
        <f ca="1">OFFSET(控制台!$R$476,MATCH(C97,控制台!$B$476:$B$547,0)-1,0)</f>
        <v>0.3</v>
      </c>
      <c r="N97" s="14">
        <f ca="1">OFFSET(控制台!$S$476,MATCH(C97,控制台!$B$476:$B$547,0)-1,0)</f>
        <v>0.3</v>
      </c>
      <c r="O97" s="14">
        <f ca="1">OFFSET(控制台!$U$5057,MATCH(C97,控制台!$B$5057:$B$5128,0)-1,0)</f>
        <v>0.05</v>
      </c>
      <c r="P97" s="14">
        <f ca="1">OFFSET(控制台!$V$5057,MATCH(C97,控制台!$B$5057:$B$5128,0)-1,0)</f>
        <v>0.05</v>
      </c>
      <c r="Q97" s="14">
        <f ca="1">OFFSET(控制台!$T$5057,MATCH(C97,控制台!$B$5057:$B$5128,0)-1,0)</f>
        <v>0.1</v>
      </c>
      <c r="S97" s="1">
        <f>'206_副本挂机'!B97*100+'206_副本挂机'!C97*4</f>
        <v>1028</v>
      </c>
      <c r="T97" s="1">
        <f ca="1">_xlfn.FLOOR.MATH('206_副本挂机'!L97)</f>
        <v>222</v>
      </c>
      <c r="U97" s="1">
        <f ca="1">MIN(OFFSET(控制台!$J$374,MATCH(T97,控制台!$B$374:$B$445,1)-1,0)+1,32)</f>
        <v>30</v>
      </c>
    </row>
    <row r="98" spans="1:21">
      <c r="A98" s="1">
        <f>'107_兵卡等级'!B98</f>
        <v>93</v>
      </c>
      <c r="B98" s="1">
        <f ca="1">'107_兵卡等级'!L98</f>
        <v>59.5</v>
      </c>
      <c r="C98" s="1">
        <f ca="1">OFFSET(养成规划!$B$6,MATCH(B98,养成规划!$B$6:$B$77,1)-1,0)</f>
        <v>55</v>
      </c>
      <c r="D98" s="1">
        <f ca="1">MAX(3,OFFSET(养成规划!$X$6,MATCH(C98,养成规划!$B$6:$B$77,0)-1,0))</f>
        <v>6.1</v>
      </c>
      <c r="E98" s="1">
        <f ca="1">MAX(1,OFFSET(控制台!$J$374,MATCH(C98,控制台!$B$374:$B$445,0)-1,0))</f>
        <v>25</v>
      </c>
      <c r="F98" s="1">
        <f ca="1">MAX(1,OFFSET(养成规划!$V$6,MATCH(C98,养成规划!$S$6:$S$77,0)-1,0))</f>
        <v>5</v>
      </c>
      <c r="G98" s="1">
        <f ca="1">MAX(9,OFFSET(控制台!$L$374,MATCH(C98,控制台!$B$374:$B$445,0)-1,0))</f>
        <v>81</v>
      </c>
      <c r="H98" s="1">
        <f ca="1">MAX(1,_xlfn.FLOOR.MATH(OFFSET(养成规划!$Y$6,MATCH(C98,养成规划!$B$6:$B$77,0)-1,0)/100))</f>
        <v>3</v>
      </c>
      <c r="I98" s="1">
        <f ca="1">MAX(1,MOD(OFFSET(养成规划!$Y$6,MATCH(C98,养成规划!$B$6:$B$77,0)-1,0),100))</f>
        <v>4</v>
      </c>
      <c r="J98" s="1" t="str">
        <f ca="1">OFFSET(养成规划!$Z$6,MATCH(C98,养成规划!$B$6:$B$77,0)-1,0)</f>
        <v>银+</v>
      </c>
      <c r="K98" s="1">
        <f ca="1">OFFSET(养成规划!$AB$6,MATCH(C98,养成规划!$B$6:$B$77,0)-1,0)</f>
        <v>40</v>
      </c>
      <c r="L98" s="1">
        <f ca="1">OFFSET(养成规划!$AC$6,MATCH(C98,养成规划!$B$6:$B$77,0)-1,0)</f>
        <v>7</v>
      </c>
      <c r="M98" s="14">
        <f ca="1">OFFSET(控制台!$R$476,MATCH(C98,控制台!$B$476:$B$547,0)-1,0)</f>
        <v>0.3</v>
      </c>
      <c r="N98" s="14">
        <f ca="1">OFFSET(控制台!$S$476,MATCH(C98,控制台!$B$476:$B$547,0)-1,0)</f>
        <v>0.3</v>
      </c>
      <c r="O98" s="14">
        <f ca="1">OFFSET(控制台!$U$5057,MATCH(C98,控制台!$B$5057:$B$5128,0)-1,0)</f>
        <v>0.05</v>
      </c>
      <c r="P98" s="14">
        <f ca="1">OFFSET(控制台!$V$5057,MATCH(C98,控制台!$B$5057:$B$5128,0)-1,0)</f>
        <v>0.05</v>
      </c>
      <c r="Q98" s="14">
        <f ca="1">OFFSET(控制台!$T$5057,MATCH(C98,控制台!$B$5057:$B$5128,0)-1,0)</f>
        <v>0.1</v>
      </c>
      <c r="S98" s="1">
        <f>'206_副本挂机'!B98*100+'206_副本挂机'!C98*4</f>
        <v>1032</v>
      </c>
      <c r="T98" s="1">
        <f ca="1">_xlfn.FLOOR.MATH('206_副本挂机'!L98)</f>
        <v>228</v>
      </c>
      <c r="U98" s="1">
        <f ca="1">MIN(OFFSET(控制台!$J$374,MATCH(T98,控制台!$B$374:$B$445,1)-1,0)+1,32)</f>
        <v>30</v>
      </c>
    </row>
    <row r="99" spans="1:21">
      <c r="A99" s="1">
        <f>'107_兵卡等级'!B99</f>
        <v>94</v>
      </c>
      <c r="B99" s="1">
        <f ca="1">'107_兵卡等级'!L99</f>
        <v>61</v>
      </c>
      <c r="C99" s="1">
        <f ca="1">OFFSET(养成规划!$B$6,MATCH(B99,养成规划!$B$6:$B$77,1)-1,0)</f>
        <v>60</v>
      </c>
      <c r="D99" s="1">
        <f ca="1">MAX(3,OFFSET(养成规划!$X$6,MATCH(C99,养成规划!$B$6:$B$77,0)-1,0))</f>
        <v>6.1</v>
      </c>
      <c r="E99" s="1">
        <f ca="1">MAX(1,OFFSET(控制台!$J$374,MATCH(C99,控制台!$B$374:$B$445,0)-1,0))</f>
        <v>26</v>
      </c>
      <c r="F99" s="1">
        <f ca="1">MAX(1,OFFSET(养成规划!$V$6,MATCH(C99,养成规划!$S$6:$S$77,0)-1,0))</f>
        <v>5</v>
      </c>
      <c r="G99" s="1">
        <f ca="1">MAX(9,OFFSET(控制台!$L$374,MATCH(C99,控制台!$B$374:$B$445,0)-1,0))</f>
        <v>84</v>
      </c>
      <c r="H99" s="1">
        <f ca="1">MAX(1,_xlfn.FLOOR.MATH(OFFSET(养成规划!$Y$6,MATCH(C99,养成规划!$B$6:$B$77,0)-1,0)/100))</f>
        <v>3</v>
      </c>
      <c r="I99" s="1">
        <f ca="1">MAX(1,MOD(OFFSET(养成规划!$Y$6,MATCH(C99,养成规划!$B$6:$B$77,0)-1,0),100))</f>
        <v>5</v>
      </c>
      <c r="J99" s="1" t="str">
        <f ca="1">OFFSET(养成规划!$Z$6,MATCH(C99,养成规划!$B$6:$B$77,0)-1,0)</f>
        <v>银+</v>
      </c>
      <c r="K99" s="1">
        <f ca="1">OFFSET(养成规划!$AB$6,MATCH(C99,养成规划!$B$6:$B$77,0)-1,0)</f>
        <v>40</v>
      </c>
      <c r="L99" s="1">
        <f ca="1">OFFSET(养成规划!$AC$6,MATCH(C99,养成规划!$B$6:$B$77,0)-1,0)</f>
        <v>8</v>
      </c>
      <c r="M99" s="14">
        <f ca="1">OFFSET(控制台!$R$476,MATCH(C99,控制台!$B$476:$B$547,0)-1,0)</f>
        <v>0.3</v>
      </c>
      <c r="N99" s="14">
        <f ca="1">OFFSET(控制台!$S$476,MATCH(C99,控制台!$B$476:$B$547,0)-1,0)</f>
        <v>0.3</v>
      </c>
      <c r="O99" s="14">
        <f ca="1">OFFSET(控制台!$U$5057,MATCH(C99,控制台!$B$5057:$B$5128,0)-1,0)</f>
        <v>0.05</v>
      </c>
      <c r="P99" s="14">
        <f ca="1">OFFSET(控制台!$V$5057,MATCH(C99,控制台!$B$5057:$B$5128,0)-1,0)</f>
        <v>0.05</v>
      </c>
      <c r="Q99" s="14">
        <f ca="1">OFFSET(控制台!$T$5057,MATCH(C99,控制台!$B$5057:$B$5128,0)-1,0)</f>
        <v>0.1</v>
      </c>
      <c r="S99" s="1">
        <f>'206_副本挂机'!B99*100+'206_副本挂机'!C99*4</f>
        <v>1036</v>
      </c>
      <c r="T99" s="1">
        <f ca="1">_xlfn.FLOOR.MATH('206_副本挂机'!L99)</f>
        <v>234</v>
      </c>
      <c r="U99" s="1">
        <f ca="1">MIN(OFFSET(控制台!$J$374,MATCH(T99,控制台!$B$374:$B$445,1)-1,0)+1,32)</f>
        <v>30</v>
      </c>
    </row>
    <row r="100" spans="1:21">
      <c r="A100" s="1">
        <f>'107_兵卡等级'!B100</f>
        <v>95</v>
      </c>
      <c r="B100" s="1">
        <f ca="1">'107_兵卡等级'!L100</f>
        <v>62.5</v>
      </c>
      <c r="C100" s="1">
        <f ca="1">OFFSET(养成规划!$B$6,MATCH(B100,养成规划!$B$6:$B$77,1)-1,0)</f>
        <v>60</v>
      </c>
      <c r="D100" s="1">
        <f ca="1">MAX(3,OFFSET(养成规划!$X$6,MATCH(C100,养成规划!$B$6:$B$77,0)-1,0))</f>
        <v>6.1</v>
      </c>
      <c r="E100" s="1">
        <f ca="1">MAX(1,OFFSET(控制台!$J$374,MATCH(C100,控制台!$B$374:$B$445,0)-1,0))</f>
        <v>26</v>
      </c>
      <c r="F100" s="1">
        <f ca="1">MAX(1,OFFSET(养成规划!$V$6,MATCH(C100,养成规划!$S$6:$S$77,0)-1,0))</f>
        <v>5</v>
      </c>
      <c r="G100" s="1">
        <f ca="1">MAX(9,OFFSET(控制台!$L$374,MATCH(C100,控制台!$B$374:$B$445,0)-1,0))</f>
        <v>84</v>
      </c>
      <c r="H100" s="1">
        <f ca="1">MAX(1,_xlfn.FLOOR.MATH(OFFSET(养成规划!$Y$6,MATCH(C100,养成规划!$B$6:$B$77,0)-1,0)/100))</f>
        <v>3</v>
      </c>
      <c r="I100" s="1">
        <f ca="1">MAX(1,MOD(OFFSET(养成规划!$Y$6,MATCH(C100,养成规划!$B$6:$B$77,0)-1,0),100))</f>
        <v>5</v>
      </c>
      <c r="J100" s="1" t="str">
        <f ca="1">OFFSET(养成规划!$Z$6,MATCH(C100,养成规划!$B$6:$B$77,0)-1,0)</f>
        <v>银+</v>
      </c>
      <c r="K100" s="1">
        <f ca="1">OFFSET(养成规划!$AB$6,MATCH(C100,养成规划!$B$6:$B$77,0)-1,0)</f>
        <v>40</v>
      </c>
      <c r="L100" s="1">
        <f ca="1">OFFSET(养成规划!$AC$6,MATCH(C100,养成规划!$B$6:$B$77,0)-1,0)</f>
        <v>8</v>
      </c>
      <c r="M100" s="14">
        <f ca="1">OFFSET(控制台!$R$476,MATCH(C100,控制台!$B$476:$B$547,0)-1,0)</f>
        <v>0.3</v>
      </c>
      <c r="N100" s="14">
        <f ca="1">OFFSET(控制台!$S$476,MATCH(C100,控制台!$B$476:$B$547,0)-1,0)</f>
        <v>0.3</v>
      </c>
      <c r="O100" s="14">
        <f ca="1">OFFSET(控制台!$U$5057,MATCH(C100,控制台!$B$5057:$B$5128,0)-1,0)</f>
        <v>0.05</v>
      </c>
      <c r="P100" s="14">
        <f ca="1">OFFSET(控制台!$V$5057,MATCH(C100,控制台!$B$5057:$B$5128,0)-1,0)</f>
        <v>0.05</v>
      </c>
      <c r="Q100" s="14">
        <f ca="1">OFFSET(控制台!$T$5057,MATCH(C100,控制台!$B$5057:$B$5128,0)-1,0)</f>
        <v>0.1</v>
      </c>
      <c r="S100" s="1">
        <f>'206_副本挂机'!B100*100+'206_副本挂机'!C100*4</f>
        <v>1040</v>
      </c>
      <c r="T100" s="1">
        <f ca="1">_xlfn.FLOOR.MATH('206_副本挂机'!L100)</f>
        <v>240</v>
      </c>
      <c r="U100" s="1">
        <f ca="1">MIN(OFFSET(控制台!$J$374,MATCH(T100,控制台!$B$374:$B$445,1)-1,0)+1,32)</f>
        <v>31</v>
      </c>
    </row>
    <row r="101" spans="1:21">
      <c r="A101" s="1">
        <f>'107_兵卡等级'!B101</f>
        <v>96</v>
      </c>
      <c r="B101" s="1">
        <f ca="1">'107_兵卡等级'!L101</f>
        <v>64</v>
      </c>
      <c r="C101" s="1">
        <f ca="1">OFFSET(养成规划!$B$6,MATCH(B101,养成规划!$B$6:$B$77,1)-1,0)</f>
        <v>60</v>
      </c>
      <c r="D101" s="1">
        <f ca="1">MAX(3,OFFSET(养成规划!$X$6,MATCH(C101,养成规划!$B$6:$B$77,0)-1,0))</f>
        <v>6.1</v>
      </c>
      <c r="E101" s="1">
        <f ca="1">MAX(1,OFFSET(控制台!$J$374,MATCH(C101,控制台!$B$374:$B$445,0)-1,0))</f>
        <v>26</v>
      </c>
      <c r="F101" s="1">
        <f ca="1">MAX(1,OFFSET(养成规划!$V$6,MATCH(C101,养成规划!$S$6:$S$77,0)-1,0))</f>
        <v>5</v>
      </c>
      <c r="G101" s="1">
        <f ca="1">MAX(9,OFFSET(控制台!$L$374,MATCH(C101,控制台!$B$374:$B$445,0)-1,0))</f>
        <v>84</v>
      </c>
      <c r="H101" s="1">
        <f ca="1">MAX(1,_xlfn.FLOOR.MATH(OFFSET(养成规划!$Y$6,MATCH(C101,养成规划!$B$6:$B$77,0)-1,0)/100))</f>
        <v>3</v>
      </c>
      <c r="I101" s="1">
        <f ca="1">MAX(1,MOD(OFFSET(养成规划!$Y$6,MATCH(C101,养成规划!$B$6:$B$77,0)-1,0),100))</f>
        <v>5</v>
      </c>
      <c r="J101" s="1" t="str">
        <f ca="1">OFFSET(养成规划!$Z$6,MATCH(C101,养成规划!$B$6:$B$77,0)-1,0)</f>
        <v>银+</v>
      </c>
      <c r="K101" s="1">
        <f ca="1">OFFSET(养成规划!$AB$6,MATCH(C101,养成规划!$B$6:$B$77,0)-1,0)</f>
        <v>40</v>
      </c>
      <c r="L101" s="1">
        <f ca="1">OFFSET(养成规划!$AC$6,MATCH(C101,养成规划!$B$6:$B$77,0)-1,0)</f>
        <v>8</v>
      </c>
      <c r="M101" s="14">
        <f ca="1">OFFSET(控制台!$R$476,MATCH(C101,控制台!$B$476:$B$547,0)-1,0)</f>
        <v>0.3</v>
      </c>
      <c r="N101" s="14">
        <f ca="1">OFFSET(控制台!$S$476,MATCH(C101,控制台!$B$476:$B$547,0)-1,0)</f>
        <v>0.3</v>
      </c>
      <c r="O101" s="14">
        <f ca="1">OFFSET(控制台!$U$5057,MATCH(C101,控制台!$B$5057:$B$5128,0)-1,0)</f>
        <v>0.05</v>
      </c>
      <c r="P101" s="14">
        <f ca="1">OFFSET(控制台!$V$5057,MATCH(C101,控制台!$B$5057:$B$5128,0)-1,0)</f>
        <v>0.05</v>
      </c>
      <c r="Q101" s="14">
        <f ca="1">OFFSET(控制台!$T$5057,MATCH(C101,控制台!$B$5057:$B$5128,0)-1,0)</f>
        <v>0.1</v>
      </c>
      <c r="S101" s="1">
        <f>'206_副本挂机'!B101*100+'206_副本挂机'!C101*4</f>
        <v>1104</v>
      </c>
      <c r="T101" s="1">
        <f ca="1">_xlfn.FLOOR.MATH('206_副本挂机'!L101)</f>
        <v>246</v>
      </c>
      <c r="U101" s="1">
        <f ca="1">MIN(OFFSET(控制台!$J$374,MATCH(T101,控制台!$B$374:$B$445,1)-1,0)+1,32)</f>
        <v>31</v>
      </c>
    </row>
    <row r="102" spans="1:21">
      <c r="A102" s="1">
        <f>'107_兵卡等级'!B102</f>
        <v>97</v>
      </c>
      <c r="B102" s="1">
        <f ca="1">'107_兵卡等级'!L102</f>
        <v>65.5</v>
      </c>
      <c r="C102" s="1">
        <f ca="1">OFFSET(养成规划!$B$6,MATCH(B102,养成规划!$B$6:$B$77,1)-1,0)</f>
        <v>65</v>
      </c>
      <c r="D102" s="1">
        <f ca="1">MAX(3,OFFSET(养成规划!$X$6,MATCH(C102,养成规划!$B$6:$B$77,0)-1,0))</f>
        <v>6.1</v>
      </c>
      <c r="E102" s="1">
        <f ca="1">MAX(1,OFFSET(控制台!$J$374,MATCH(C102,控制台!$B$374:$B$445,0)-1,0))</f>
        <v>26</v>
      </c>
      <c r="F102" s="1">
        <f ca="1">MAX(1,OFFSET(养成规划!$V$6,MATCH(C102,养成规划!$S$6:$S$77,0)-1,0))</f>
        <v>5</v>
      </c>
      <c r="G102" s="1">
        <f ca="1">MAX(9,OFFSET(控制台!$L$374,MATCH(C102,控制台!$B$374:$B$445,0)-1,0))</f>
        <v>84</v>
      </c>
      <c r="H102" s="1">
        <f ca="1">MAX(1,_xlfn.FLOOR.MATH(OFFSET(养成规划!$Y$6,MATCH(C102,养成规划!$B$6:$B$77,0)-1,0)/100))</f>
        <v>3</v>
      </c>
      <c r="I102" s="1">
        <f ca="1">MAX(1,MOD(OFFSET(养成规划!$Y$6,MATCH(C102,养成规划!$B$6:$B$77,0)-1,0),100))</f>
        <v>5</v>
      </c>
      <c r="J102" s="1" t="str">
        <f ca="1">OFFSET(养成规划!$Z$6,MATCH(C102,养成规划!$B$6:$B$77,0)-1,0)</f>
        <v>银+</v>
      </c>
      <c r="K102" s="1">
        <f ca="1">OFFSET(养成规划!$AB$6,MATCH(C102,养成规划!$B$6:$B$77,0)-1,0)</f>
        <v>40</v>
      </c>
      <c r="L102" s="1">
        <f ca="1">OFFSET(养成规划!$AC$6,MATCH(C102,养成规划!$B$6:$B$77,0)-1,0)</f>
        <v>8</v>
      </c>
      <c r="M102" s="14">
        <f ca="1">OFFSET(控制台!$R$476,MATCH(C102,控制台!$B$476:$B$547,0)-1,0)</f>
        <v>0.3</v>
      </c>
      <c r="N102" s="14">
        <f ca="1">OFFSET(控制台!$S$476,MATCH(C102,控制台!$B$476:$B$547,0)-1,0)</f>
        <v>0.3</v>
      </c>
      <c r="O102" s="14">
        <f ca="1">OFFSET(控制台!$U$5057,MATCH(C102,控制台!$B$5057:$B$5128,0)-1,0)</f>
        <v>0.05</v>
      </c>
      <c r="P102" s="14">
        <f ca="1">OFFSET(控制台!$V$5057,MATCH(C102,控制台!$B$5057:$B$5128,0)-1,0)</f>
        <v>0.05</v>
      </c>
      <c r="Q102" s="14">
        <f ca="1">OFFSET(控制台!$T$5057,MATCH(C102,控制台!$B$5057:$B$5128,0)-1,0)</f>
        <v>0.1</v>
      </c>
      <c r="S102" s="1">
        <f>'206_副本挂机'!B102*100+'206_副本挂机'!C102*4</f>
        <v>1108</v>
      </c>
      <c r="T102" s="1">
        <f ca="1">_xlfn.FLOOR.MATH('206_副本挂机'!L102)</f>
        <v>252</v>
      </c>
      <c r="U102" s="1">
        <f ca="1">MIN(OFFSET(控制台!$J$374,MATCH(T102,控制台!$B$374:$B$445,1)-1,0)+1,32)</f>
        <v>31</v>
      </c>
    </row>
    <row r="103" spans="1:21">
      <c r="A103" s="1">
        <f>'107_兵卡等级'!B103</f>
        <v>98</v>
      </c>
      <c r="B103" s="1">
        <f ca="1">'107_兵卡等级'!L103</f>
        <v>67</v>
      </c>
      <c r="C103" s="1">
        <f ca="1">OFFSET(养成规划!$B$6,MATCH(B103,养成规划!$B$6:$B$77,1)-1,0)</f>
        <v>65</v>
      </c>
      <c r="D103" s="1">
        <f ca="1">MAX(3,OFFSET(养成规划!$X$6,MATCH(C103,养成规划!$B$6:$B$77,0)-1,0))</f>
        <v>6.1</v>
      </c>
      <c r="E103" s="1">
        <f ca="1">MAX(1,OFFSET(控制台!$J$374,MATCH(C103,控制台!$B$374:$B$445,0)-1,0))</f>
        <v>26</v>
      </c>
      <c r="F103" s="1">
        <f ca="1">MAX(1,OFFSET(养成规划!$V$6,MATCH(C103,养成规划!$S$6:$S$77,0)-1,0))</f>
        <v>5</v>
      </c>
      <c r="G103" s="1">
        <f ca="1">MAX(9,OFFSET(控制台!$L$374,MATCH(C103,控制台!$B$374:$B$445,0)-1,0))</f>
        <v>84</v>
      </c>
      <c r="H103" s="1">
        <f ca="1">MAX(1,_xlfn.FLOOR.MATH(OFFSET(养成规划!$Y$6,MATCH(C103,养成规划!$B$6:$B$77,0)-1,0)/100))</f>
        <v>3</v>
      </c>
      <c r="I103" s="1">
        <f ca="1">MAX(1,MOD(OFFSET(养成规划!$Y$6,MATCH(C103,养成规划!$B$6:$B$77,0)-1,0),100))</f>
        <v>5</v>
      </c>
      <c r="J103" s="1" t="str">
        <f ca="1">OFFSET(养成规划!$Z$6,MATCH(C103,养成规划!$B$6:$B$77,0)-1,0)</f>
        <v>银+</v>
      </c>
      <c r="K103" s="1">
        <f ca="1">OFFSET(养成规划!$AB$6,MATCH(C103,养成规划!$B$6:$B$77,0)-1,0)</f>
        <v>40</v>
      </c>
      <c r="L103" s="1">
        <f ca="1">OFFSET(养成规划!$AC$6,MATCH(C103,养成规划!$B$6:$B$77,0)-1,0)</f>
        <v>8</v>
      </c>
      <c r="M103" s="14">
        <f ca="1">OFFSET(控制台!$R$476,MATCH(C103,控制台!$B$476:$B$547,0)-1,0)</f>
        <v>0.3</v>
      </c>
      <c r="N103" s="14">
        <f ca="1">OFFSET(控制台!$S$476,MATCH(C103,控制台!$B$476:$B$547,0)-1,0)</f>
        <v>0.3</v>
      </c>
      <c r="O103" s="14">
        <f ca="1">OFFSET(控制台!$U$5057,MATCH(C103,控制台!$B$5057:$B$5128,0)-1,0)</f>
        <v>0.05</v>
      </c>
      <c r="P103" s="14">
        <f ca="1">OFFSET(控制台!$V$5057,MATCH(C103,控制台!$B$5057:$B$5128,0)-1,0)</f>
        <v>0.05</v>
      </c>
      <c r="Q103" s="14">
        <f ca="1">OFFSET(控制台!$T$5057,MATCH(C103,控制台!$B$5057:$B$5128,0)-1,0)</f>
        <v>0.1</v>
      </c>
      <c r="S103" s="1">
        <f>'206_副本挂机'!B103*100+'206_副本挂机'!C103*4</f>
        <v>1112</v>
      </c>
      <c r="T103" s="1">
        <f ca="1">_xlfn.FLOOR.MATH('206_副本挂机'!L103)</f>
        <v>258</v>
      </c>
      <c r="U103" s="1">
        <f ca="1">MIN(OFFSET(控制台!$J$374,MATCH(T103,控制台!$B$374:$B$445,1)-1,0)+1,32)</f>
        <v>31</v>
      </c>
    </row>
    <row r="104" spans="1:21">
      <c r="A104" s="1">
        <f>'107_兵卡等级'!B104</f>
        <v>99</v>
      </c>
      <c r="B104" s="1">
        <f ca="1">'107_兵卡等级'!L104</f>
        <v>68.5</v>
      </c>
      <c r="C104" s="1">
        <f ca="1">OFFSET(养成规划!$B$6,MATCH(B104,养成规划!$B$6:$B$77,1)-1,0)</f>
        <v>65</v>
      </c>
      <c r="D104" s="1">
        <f ca="1">MAX(3,OFFSET(养成规划!$X$6,MATCH(C104,养成规划!$B$6:$B$77,0)-1,0))</f>
        <v>6.1</v>
      </c>
      <c r="E104" s="1">
        <f ca="1">MAX(1,OFFSET(控制台!$J$374,MATCH(C104,控制台!$B$374:$B$445,0)-1,0))</f>
        <v>26</v>
      </c>
      <c r="F104" s="1">
        <f ca="1">MAX(1,OFFSET(养成规划!$V$6,MATCH(C104,养成规划!$S$6:$S$77,0)-1,0))</f>
        <v>5</v>
      </c>
      <c r="G104" s="1">
        <f ca="1">MAX(9,OFFSET(控制台!$L$374,MATCH(C104,控制台!$B$374:$B$445,0)-1,0))</f>
        <v>84</v>
      </c>
      <c r="H104" s="1">
        <f ca="1">MAX(1,_xlfn.FLOOR.MATH(OFFSET(养成规划!$Y$6,MATCH(C104,养成规划!$B$6:$B$77,0)-1,0)/100))</f>
        <v>3</v>
      </c>
      <c r="I104" s="1">
        <f ca="1">MAX(1,MOD(OFFSET(养成规划!$Y$6,MATCH(C104,养成规划!$B$6:$B$77,0)-1,0),100))</f>
        <v>5</v>
      </c>
      <c r="J104" s="1" t="str">
        <f ca="1">OFFSET(养成规划!$Z$6,MATCH(C104,养成规划!$B$6:$B$77,0)-1,0)</f>
        <v>银+</v>
      </c>
      <c r="K104" s="1">
        <f ca="1">OFFSET(养成规划!$AB$6,MATCH(C104,养成规划!$B$6:$B$77,0)-1,0)</f>
        <v>40</v>
      </c>
      <c r="L104" s="1">
        <f ca="1">OFFSET(养成规划!$AC$6,MATCH(C104,养成规划!$B$6:$B$77,0)-1,0)</f>
        <v>8</v>
      </c>
      <c r="M104" s="14">
        <f ca="1">OFFSET(控制台!$R$476,MATCH(C104,控制台!$B$476:$B$547,0)-1,0)</f>
        <v>0.3</v>
      </c>
      <c r="N104" s="14">
        <f ca="1">OFFSET(控制台!$S$476,MATCH(C104,控制台!$B$476:$B$547,0)-1,0)</f>
        <v>0.3</v>
      </c>
      <c r="O104" s="14">
        <f ca="1">OFFSET(控制台!$U$5057,MATCH(C104,控制台!$B$5057:$B$5128,0)-1,0)</f>
        <v>0.05</v>
      </c>
      <c r="P104" s="14">
        <f ca="1">OFFSET(控制台!$V$5057,MATCH(C104,控制台!$B$5057:$B$5128,0)-1,0)</f>
        <v>0.05</v>
      </c>
      <c r="Q104" s="14">
        <f ca="1">OFFSET(控制台!$T$5057,MATCH(C104,控制台!$B$5057:$B$5128,0)-1,0)</f>
        <v>0.1</v>
      </c>
      <c r="S104" s="1">
        <f>'206_副本挂机'!B104*100+'206_副本挂机'!C104*4</f>
        <v>1116</v>
      </c>
      <c r="T104" s="1">
        <f ca="1">_xlfn.FLOOR.MATH('206_副本挂机'!L104)</f>
        <v>264</v>
      </c>
      <c r="U104" s="1">
        <f ca="1">MIN(OFFSET(控制台!$J$374,MATCH(T104,控制台!$B$374:$B$445,1)-1,0)+1,32)</f>
        <v>31</v>
      </c>
    </row>
    <row r="105" spans="1:21">
      <c r="A105" s="1">
        <f>'107_兵卡等级'!B105</f>
        <v>100</v>
      </c>
      <c r="B105" s="1">
        <f ca="1">'107_兵卡等级'!L105</f>
        <v>70</v>
      </c>
      <c r="C105" s="1">
        <f ca="1">OFFSET(养成规划!$B$6,MATCH(B105,养成规划!$B$6:$B$77,1)-1,0)</f>
        <v>70</v>
      </c>
      <c r="D105" s="1">
        <f ca="1">MAX(3,OFFSET(养成规划!$X$6,MATCH(C105,养成规划!$B$6:$B$77,0)-1,0))</f>
        <v>6.1</v>
      </c>
      <c r="E105" s="1">
        <f ca="1">MAX(1,OFFSET(控制台!$J$374,MATCH(C105,控制台!$B$374:$B$445,0)-1,0))</f>
        <v>26</v>
      </c>
      <c r="F105" s="1">
        <f ca="1">MAX(1,OFFSET(养成规划!$V$6,MATCH(C105,养成规划!$S$6:$S$77,0)-1,0))</f>
        <v>5</v>
      </c>
      <c r="G105" s="1">
        <f ca="1">MAX(9,OFFSET(控制台!$L$374,MATCH(C105,控制台!$B$374:$B$445,0)-1,0))</f>
        <v>84</v>
      </c>
      <c r="H105" s="1">
        <f ca="1">MAX(1,_xlfn.FLOOR.MATH(OFFSET(养成规划!$Y$6,MATCH(C105,养成规划!$B$6:$B$77,0)-1,0)/100))</f>
        <v>3</v>
      </c>
      <c r="I105" s="1">
        <f ca="1">MAX(1,MOD(OFFSET(养成规划!$Y$6,MATCH(C105,养成规划!$B$6:$B$77,0)-1,0),100))</f>
        <v>5</v>
      </c>
      <c r="J105" s="1" t="str">
        <f ca="1">OFFSET(养成规划!$Z$6,MATCH(C105,养成规划!$B$6:$B$77,0)-1,0)</f>
        <v>银+</v>
      </c>
      <c r="K105" s="1">
        <f ca="1">OFFSET(养成规划!$AB$6,MATCH(C105,养成规划!$B$6:$B$77,0)-1,0)</f>
        <v>40</v>
      </c>
      <c r="L105" s="1">
        <f ca="1">OFFSET(养成规划!$AC$6,MATCH(C105,养成规划!$B$6:$B$77,0)-1,0)</f>
        <v>8</v>
      </c>
      <c r="M105" s="14">
        <f ca="1">OFFSET(控制台!$R$476,MATCH(C105,控制台!$B$476:$B$547,0)-1,0)</f>
        <v>0.3</v>
      </c>
      <c r="N105" s="14">
        <f ca="1">OFFSET(控制台!$S$476,MATCH(C105,控制台!$B$476:$B$547,0)-1,0)</f>
        <v>0.3</v>
      </c>
      <c r="O105" s="14">
        <f ca="1">OFFSET(控制台!$U$5057,MATCH(C105,控制台!$B$5057:$B$5128,0)-1,0)</f>
        <v>0.05</v>
      </c>
      <c r="P105" s="14">
        <f ca="1">OFFSET(控制台!$V$5057,MATCH(C105,控制台!$B$5057:$B$5128,0)-1,0)</f>
        <v>0.05</v>
      </c>
      <c r="Q105" s="14">
        <f ca="1">OFFSET(控制台!$T$5057,MATCH(C105,控制台!$B$5057:$B$5128,0)-1,0)</f>
        <v>0.1</v>
      </c>
      <c r="S105" s="1">
        <f>'206_副本挂机'!B105*100+'206_副本挂机'!C105*4</f>
        <v>1120</v>
      </c>
      <c r="T105" s="1">
        <f ca="1">_xlfn.FLOOR.MATH('206_副本挂机'!L105)</f>
        <v>270</v>
      </c>
      <c r="U105" s="1">
        <f ca="1">MIN(OFFSET(控制台!$J$374,MATCH(T105,控制台!$B$374:$B$445,1)-1,0)+1,32)</f>
        <v>31</v>
      </c>
    </row>
    <row r="106" spans="1:21">
      <c r="A106" s="1">
        <f>'107_兵卡等级'!B106</f>
        <v>101</v>
      </c>
      <c r="B106" s="1">
        <f ca="1">'107_兵卡等级'!L106</f>
        <v>72</v>
      </c>
      <c r="C106" s="1">
        <f ca="1">OFFSET(养成规划!$B$6,MATCH(B106,养成规划!$B$6:$B$77,1)-1,0)</f>
        <v>70</v>
      </c>
      <c r="D106" s="1">
        <f ca="1">MAX(3,OFFSET(养成规划!$X$6,MATCH(C106,养成规划!$B$6:$B$77,0)-1,0))</f>
        <v>6.1</v>
      </c>
      <c r="E106" s="1">
        <f ca="1">MAX(1,OFFSET(控制台!$J$374,MATCH(C106,控制台!$B$374:$B$445,0)-1,0))</f>
        <v>26</v>
      </c>
      <c r="F106" s="1">
        <f ca="1">MAX(1,OFFSET(养成规划!$V$6,MATCH(C106,养成规划!$S$6:$S$77,0)-1,0))</f>
        <v>5</v>
      </c>
      <c r="G106" s="1">
        <f ca="1">MAX(9,OFFSET(控制台!$L$374,MATCH(C106,控制台!$B$374:$B$445,0)-1,0))</f>
        <v>84</v>
      </c>
      <c r="H106" s="1">
        <f ca="1">MAX(1,_xlfn.FLOOR.MATH(OFFSET(养成规划!$Y$6,MATCH(C106,养成规划!$B$6:$B$77,0)-1,0)/100))</f>
        <v>3</v>
      </c>
      <c r="I106" s="1">
        <f ca="1">MAX(1,MOD(OFFSET(养成规划!$Y$6,MATCH(C106,养成规划!$B$6:$B$77,0)-1,0),100))</f>
        <v>5</v>
      </c>
      <c r="J106" s="1" t="str">
        <f ca="1">OFFSET(养成规划!$Z$6,MATCH(C106,养成规划!$B$6:$B$77,0)-1,0)</f>
        <v>银+</v>
      </c>
      <c r="K106" s="1">
        <f ca="1">OFFSET(养成规划!$AB$6,MATCH(C106,养成规划!$B$6:$B$77,0)-1,0)</f>
        <v>40</v>
      </c>
      <c r="L106" s="1">
        <f ca="1">OFFSET(养成规划!$AC$6,MATCH(C106,养成规划!$B$6:$B$77,0)-1,0)</f>
        <v>8</v>
      </c>
      <c r="M106" s="14">
        <f ca="1">OFFSET(控制台!$R$476,MATCH(C106,控制台!$B$476:$B$547,0)-1,0)</f>
        <v>0.3</v>
      </c>
      <c r="N106" s="14">
        <f ca="1">OFFSET(控制台!$S$476,MATCH(C106,控制台!$B$476:$B$547,0)-1,0)</f>
        <v>0.3</v>
      </c>
      <c r="O106" s="14">
        <f ca="1">OFFSET(控制台!$U$5057,MATCH(C106,控制台!$B$5057:$B$5128,0)-1,0)</f>
        <v>0.05</v>
      </c>
      <c r="P106" s="14">
        <f ca="1">OFFSET(控制台!$V$5057,MATCH(C106,控制台!$B$5057:$B$5128,0)-1,0)</f>
        <v>0.05</v>
      </c>
      <c r="Q106" s="14">
        <f ca="1">OFFSET(控制台!$T$5057,MATCH(C106,控制台!$B$5057:$B$5128,0)-1,0)</f>
        <v>0.1</v>
      </c>
      <c r="S106" s="1">
        <f>'206_副本挂机'!B106*100+'206_副本挂机'!C106*4</f>
        <v>1124</v>
      </c>
      <c r="T106" s="1">
        <f ca="1">_xlfn.FLOOR.MATH('206_副本挂机'!L106)</f>
        <v>276</v>
      </c>
      <c r="U106" s="1">
        <f ca="1">MIN(OFFSET(控制台!$J$374,MATCH(T106,控制台!$B$374:$B$445,1)-1,0)+1,32)</f>
        <v>31</v>
      </c>
    </row>
    <row r="107" spans="1:21">
      <c r="A107" s="1">
        <f>'107_兵卡等级'!B107</f>
        <v>102</v>
      </c>
      <c r="B107" s="1">
        <f ca="1">'107_兵卡等级'!L107</f>
        <v>74</v>
      </c>
      <c r="C107" s="1">
        <f ca="1">OFFSET(养成规划!$B$6,MATCH(B107,养成规划!$B$6:$B$77,1)-1,0)</f>
        <v>70</v>
      </c>
      <c r="D107" s="1">
        <f ca="1">MAX(3,OFFSET(养成规划!$X$6,MATCH(C107,养成规划!$B$6:$B$77,0)-1,0))</f>
        <v>6.1</v>
      </c>
      <c r="E107" s="1">
        <f ca="1">MAX(1,OFFSET(控制台!$J$374,MATCH(C107,控制台!$B$374:$B$445,0)-1,0))</f>
        <v>26</v>
      </c>
      <c r="F107" s="1">
        <f ca="1">MAX(1,OFFSET(养成规划!$V$6,MATCH(C107,养成规划!$S$6:$S$77,0)-1,0))</f>
        <v>5</v>
      </c>
      <c r="G107" s="1">
        <f ca="1">MAX(9,OFFSET(控制台!$L$374,MATCH(C107,控制台!$B$374:$B$445,0)-1,0))</f>
        <v>84</v>
      </c>
      <c r="H107" s="1">
        <f ca="1">MAX(1,_xlfn.FLOOR.MATH(OFFSET(养成规划!$Y$6,MATCH(C107,养成规划!$B$6:$B$77,0)-1,0)/100))</f>
        <v>3</v>
      </c>
      <c r="I107" s="1">
        <f ca="1">MAX(1,MOD(OFFSET(养成规划!$Y$6,MATCH(C107,养成规划!$B$6:$B$77,0)-1,0),100))</f>
        <v>5</v>
      </c>
      <c r="J107" s="1" t="str">
        <f ca="1">OFFSET(养成规划!$Z$6,MATCH(C107,养成规划!$B$6:$B$77,0)-1,0)</f>
        <v>银+</v>
      </c>
      <c r="K107" s="1">
        <f ca="1">OFFSET(养成规划!$AB$6,MATCH(C107,养成规划!$B$6:$B$77,0)-1,0)</f>
        <v>40</v>
      </c>
      <c r="L107" s="1">
        <f ca="1">OFFSET(养成规划!$AC$6,MATCH(C107,养成规划!$B$6:$B$77,0)-1,0)</f>
        <v>8</v>
      </c>
      <c r="M107" s="14">
        <f ca="1">OFFSET(控制台!$R$476,MATCH(C107,控制台!$B$476:$B$547,0)-1,0)</f>
        <v>0.3</v>
      </c>
      <c r="N107" s="14">
        <f ca="1">OFFSET(控制台!$S$476,MATCH(C107,控制台!$B$476:$B$547,0)-1,0)</f>
        <v>0.3</v>
      </c>
      <c r="O107" s="14">
        <f ca="1">OFFSET(控制台!$U$5057,MATCH(C107,控制台!$B$5057:$B$5128,0)-1,0)</f>
        <v>0.05</v>
      </c>
      <c r="P107" s="14">
        <f ca="1">OFFSET(控制台!$V$5057,MATCH(C107,控制台!$B$5057:$B$5128,0)-1,0)</f>
        <v>0.05</v>
      </c>
      <c r="Q107" s="14">
        <f ca="1">OFFSET(控制台!$T$5057,MATCH(C107,控制台!$B$5057:$B$5128,0)-1,0)</f>
        <v>0.1</v>
      </c>
      <c r="S107" s="1">
        <f>'206_副本挂机'!B107*100+'206_副本挂机'!C107*4</f>
        <v>1128</v>
      </c>
      <c r="T107" s="1">
        <f ca="1">_xlfn.FLOOR.MATH('206_副本挂机'!L107)</f>
        <v>282</v>
      </c>
      <c r="U107" s="1">
        <f ca="1">MIN(OFFSET(控制台!$J$374,MATCH(T107,控制台!$B$374:$B$445,1)-1,0)+1,32)</f>
        <v>31</v>
      </c>
    </row>
    <row r="108" spans="1:21">
      <c r="A108" s="1">
        <f>'107_兵卡等级'!B108</f>
        <v>103</v>
      </c>
      <c r="B108" s="1">
        <f ca="1">'107_兵卡等级'!L108</f>
        <v>76</v>
      </c>
      <c r="C108" s="1">
        <f ca="1">OFFSET(养成规划!$B$6,MATCH(B108,养成规划!$B$6:$B$77,1)-1,0)</f>
        <v>75</v>
      </c>
      <c r="D108" s="1">
        <f ca="1">MAX(3,OFFSET(养成规划!$X$6,MATCH(C108,养成规划!$B$6:$B$77,0)-1,0))</f>
        <v>6.1</v>
      </c>
      <c r="E108" s="1">
        <f ca="1">MAX(1,OFFSET(控制台!$J$374,MATCH(C108,控制台!$B$374:$B$445,0)-1,0))</f>
        <v>26</v>
      </c>
      <c r="F108" s="1">
        <f ca="1">MAX(1,OFFSET(养成规划!$V$6,MATCH(C108,养成规划!$S$6:$S$77,0)-1,0))</f>
        <v>5</v>
      </c>
      <c r="G108" s="1">
        <f ca="1">MAX(9,OFFSET(控制台!$L$374,MATCH(C108,控制台!$B$374:$B$445,0)-1,0))</f>
        <v>84</v>
      </c>
      <c r="H108" s="1">
        <f ca="1">MAX(1,_xlfn.FLOOR.MATH(OFFSET(养成规划!$Y$6,MATCH(C108,养成规划!$B$6:$B$77,0)-1,0)/100))</f>
        <v>3</v>
      </c>
      <c r="I108" s="1">
        <f ca="1">MAX(1,MOD(OFFSET(养成规划!$Y$6,MATCH(C108,养成规划!$B$6:$B$77,0)-1,0),100))</f>
        <v>5</v>
      </c>
      <c r="J108" s="1" t="str">
        <f ca="1">OFFSET(养成规划!$Z$6,MATCH(C108,养成规划!$B$6:$B$77,0)-1,0)</f>
        <v>银+</v>
      </c>
      <c r="K108" s="1">
        <f ca="1">OFFSET(养成规划!$AB$6,MATCH(C108,养成规划!$B$6:$B$77,0)-1,0)</f>
        <v>40</v>
      </c>
      <c r="L108" s="1">
        <f ca="1">OFFSET(养成规划!$AC$6,MATCH(C108,养成规划!$B$6:$B$77,0)-1,0)</f>
        <v>9</v>
      </c>
      <c r="M108" s="14">
        <f ca="1">OFFSET(控制台!$R$476,MATCH(C108,控制台!$B$476:$B$547,0)-1,0)</f>
        <v>0.3</v>
      </c>
      <c r="N108" s="14">
        <f ca="1">OFFSET(控制台!$S$476,MATCH(C108,控制台!$B$476:$B$547,0)-1,0)</f>
        <v>0.3</v>
      </c>
      <c r="O108" s="14">
        <f ca="1">OFFSET(控制台!$U$5057,MATCH(C108,控制台!$B$5057:$B$5128,0)-1,0)</f>
        <v>0.05</v>
      </c>
      <c r="P108" s="14">
        <f ca="1">OFFSET(控制台!$V$5057,MATCH(C108,控制台!$B$5057:$B$5128,0)-1,0)</f>
        <v>0.05</v>
      </c>
      <c r="Q108" s="14">
        <f ca="1">OFFSET(控制台!$T$5057,MATCH(C108,控制台!$B$5057:$B$5128,0)-1,0)</f>
        <v>0.1</v>
      </c>
      <c r="S108" s="1">
        <f>'206_副本挂机'!B108*100+'206_副本挂机'!C108*4</f>
        <v>1132</v>
      </c>
      <c r="T108" s="1">
        <f ca="1">_xlfn.FLOOR.MATH('206_副本挂机'!L108)</f>
        <v>288</v>
      </c>
      <c r="U108" s="1">
        <f ca="1">MIN(OFFSET(控制台!$J$374,MATCH(T108,控制台!$B$374:$B$445,1)-1,0)+1,32)</f>
        <v>31</v>
      </c>
    </row>
    <row r="109" spans="1:21">
      <c r="A109" s="1">
        <f>'107_兵卡等级'!B109</f>
        <v>104</v>
      </c>
      <c r="B109" s="1">
        <f ca="1">'107_兵卡等级'!L109</f>
        <v>78</v>
      </c>
      <c r="C109" s="1">
        <f ca="1">OFFSET(养成规划!$B$6,MATCH(B109,养成规划!$B$6:$B$77,1)-1,0)</f>
        <v>75</v>
      </c>
      <c r="D109" s="1">
        <f ca="1">MAX(3,OFFSET(养成规划!$X$6,MATCH(C109,养成规划!$B$6:$B$77,0)-1,0))</f>
        <v>6.1</v>
      </c>
      <c r="E109" s="1">
        <f ca="1">MAX(1,OFFSET(控制台!$J$374,MATCH(C109,控制台!$B$374:$B$445,0)-1,0))</f>
        <v>26</v>
      </c>
      <c r="F109" s="1">
        <f ca="1">MAX(1,OFFSET(养成规划!$V$6,MATCH(C109,养成规划!$S$6:$S$77,0)-1,0))</f>
        <v>5</v>
      </c>
      <c r="G109" s="1">
        <f ca="1">MAX(9,OFFSET(控制台!$L$374,MATCH(C109,控制台!$B$374:$B$445,0)-1,0))</f>
        <v>84</v>
      </c>
      <c r="H109" s="1">
        <f ca="1">MAX(1,_xlfn.FLOOR.MATH(OFFSET(养成规划!$Y$6,MATCH(C109,养成规划!$B$6:$B$77,0)-1,0)/100))</f>
        <v>3</v>
      </c>
      <c r="I109" s="1">
        <f ca="1">MAX(1,MOD(OFFSET(养成规划!$Y$6,MATCH(C109,养成规划!$B$6:$B$77,0)-1,0),100))</f>
        <v>5</v>
      </c>
      <c r="J109" s="1" t="str">
        <f ca="1">OFFSET(养成规划!$Z$6,MATCH(C109,养成规划!$B$6:$B$77,0)-1,0)</f>
        <v>银+</v>
      </c>
      <c r="K109" s="1">
        <f ca="1">OFFSET(养成规划!$AB$6,MATCH(C109,养成规划!$B$6:$B$77,0)-1,0)</f>
        <v>40</v>
      </c>
      <c r="L109" s="1">
        <f ca="1">OFFSET(养成规划!$AC$6,MATCH(C109,养成规划!$B$6:$B$77,0)-1,0)</f>
        <v>9</v>
      </c>
      <c r="M109" s="14">
        <f ca="1">OFFSET(控制台!$R$476,MATCH(C109,控制台!$B$476:$B$547,0)-1,0)</f>
        <v>0.3</v>
      </c>
      <c r="N109" s="14">
        <f ca="1">OFFSET(控制台!$S$476,MATCH(C109,控制台!$B$476:$B$547,0)-1,0)</f>
        <v>0.3</v>
      </c>
      <c r="O109" s="14">
        <f ca="1">OFFSET(控制台!$U$5057,MATCH(C109,控制台!$B$5057:$B$5128,0)-1,0)</f>
        <v>0.05</v>
      </c>
      <c r="P109" s="14">
        <f ca="1">OFFSET(控制台!$V$5057,MATCH(C109,控制台!$B$5057:$B$5128,0)-1,0)</f>
        <v>0.05</v>
      </c>
      <c r="Q109" s="14">
        <f ca="1">OFFSET(控制台!$T$5057,MATCH(C109,控制台!$B$5057:$B$5128,0)-1,0)</f>
        <v>0.1</v>
      </c>
      <c r="S109" s="1">
        <f>'206_副本挂机'!B109*100+'206_副本挂机'!C109*4</f>
        <v>1136</v>
      </c>
      <c r="T109" s="1">
        <f ca="1">_xlfn.FLOOR.MATH('206_副本挂机'!L109)</f>
        <v>294</v>
      </c>
      <c r="U109" s="1">
        <f ca="1">MIN(OFFSET(控制台!$J$374,MATCH(T109,控制台!$B$374:$B$445,1)-1,0)+1,32)</f>
        <v>31</v>
      </c>
    </row>
    <row r="110" spans="1:21">
      <c r="A110" s="1">
        <f>'107_兵卡等级'!B110</f>
        <v>105</v>
      </c>
      <c r="B110" s="1">
        <f ca="1">'107_兵卡等级'!L110</f>
        <v>80</v>
      </c>
      <c r="C110" s="1">
        <f ca="1">OFFSET(养成规划!$B$6,MATCH(B110,养成规划!$B$6:$B$77,1)-1,0)</f>
        <v>80</v>
      </c>
      <c r="D110" s="1">
        <f ca="1">MAX(3,OFFSET(养成规划!$X$6,MATCH(C110,养成规划!$B$6:$B$77,0)-1,0))</f>
        <v>6.1</v>
      </c>
      <c r="E110" s="1">
        <f ca="1">MAX(1,OFFSET(控制台!$J$374,MATCH(C110,控制台!$B$374:$B$445,0)-1,0))</f>
        <v>26</v>
      </c>
      <c r="F110" s="1">
        <f ca="1">MAX(1,OFFSET(养成规划!$V$6,MATCH(C110,养成规划!$S$6:$S$77,0)-1,0))</f>
        <v>5</v>
      </c>
      <c r="G110" s="1">
        <f ca="1">MAX(9,OFFSET(控制台!$L$374,MATCH(C110,控制台!$B$374:$B$445,0)-1,0))</f>
        <v>84</v>
      </c>
      <c r="H110" s="1">
        <f ca="1">MAX(1,_xlfn.FLOOR.MATH(OFFSET(养成规划!$Y$6,MATCH(C110,养成规划!$B$6:$B$77,0)-1,0)/100))</f>
        <v>3</v>
      </c>
      <c r="I110" s="1">
        <f ca="1">MAX(1,MOD(OFFSET(养成规划!$Y$6,MATCH(C110,养成规划!$B$6:$B$77,0)-1,0),100))</f>
        <v>5</v>
      </c>
      <c r="J110" s="1" t="str">
        <f ca="1">OFFSET(养成规划!$Z$6,MATCH(C110,养成规划!$B$6:$B$77,0)-1,0)</f>
        <v>银+</v>
      </c>
      <c r="K110" s="1">
        <f ca="1">OFFSET(养成规划!$AB$6,MATCH(C110,养成规划!$B$6:$B$77,0)-1,0)</f>
        <v>40</v>
      </c>
      <c r="L110" s="1">
        <f ca="1">OFFSET(养成规划!$AC$6,MATCH(C110,养成规划!$B$6:$B$77,0)-1,0)</f>
        <v>9</v>
      </c>
      <c r="M110" s="14">
        <f ca="1">OFFSET(控制台!$R$476,MATCH(C110,控制台!$B$476:$B$547,0)-1,0)</f>
        <v>0.3</v>
      </c>
      <c r="N110" s="14">
        <f ca="1">OFFSET(控制台!$S$476,MATCH(C110,控制台!$B$476:$B$547,0)-1,0)</f>
        <v>0.3</v>
      </c>
      <c r="O110" s="14">
        <f ca="1">OFFSET(控制台!$U$5057,MATCH(C110,控制台!$B$5057:$B$5128,0)-1,0)</f>
        <v>0.05</v>
      </c>
      <c r="P110" s="14">
        <f ca="1">OFFSET(控制台!$V$5057,MATCH(C110,控制台!$B$5057:$B$5128,0)-1,0)</f>
        <v>0.05</v>
      </c>
      <c r="Q110" s="14">
        <f ca="1">OFFSET(控制台!$T$5057,MATCH(C110,控制台!$B$5057:$B$5128,0)-1,0)</f>
        <v>0.1</v>
      </c>
      <c r="S110" s="1">
        <f>'206_副本挂机'!B110*100+'206_副本挂机'!C110*4</f>
        <v>1140</v>
      </c>
      <c r="T110" s="1">
        <f ca="1">_xlfn.FLOOR.MATH('206_副本挂机'!L110)</f>
        <v>300</v>
      </c>
      <c r="U110" s="1">
        <f ca="1">MIN(OFFSET(控制台!$J$374,MATCH(T110,控制台!$B$374:$B$445,1)-1,0)+1,32)</f>
        <v>32</v>
      </c>
    </row>
    <row r="111" spans="1:21">
      <c r="A111" s="1">
        <f>'107_兵卡等级'!B111</f>
        <v>106</v>
      </c>
      <c r="B111" s="1">
        <f ca="1">'107_兵卡等级'!L111</f>
        <v>82</v>
      </c>
      <c r="C111" s="1">
        <f ca="1">OFFSET(养成规划!$B$6,MATCH(B111,养成规划!$B$6:$B$77,1)-1,0)</f>
        <v>80</v>
      </c>
      <c r="D111" s="1">
        <f ca="1">MAX(3,OFFSET(养成规划!$X$6,MATCH(C111,养成规划!$B$6:$B$77,0)-1,0))</f>
        <v>6.1</v>
      </c>
      <c r="E111" s="1">
        <f ca="1">MAX(1,OFFSET(控制台!$J$374,MATCH(C111,控制台!$B$374:$B$445,0)-1,0))</f>
        <v>26</v>
      </c>
      <c r="F111" s="1">
        <f ca="1">MAX(1,OFFSET(养成规划!$V$6,MATCH(C111,养成规划!$S$6:$S$77,0)-1,0))</f>
        <v>5</v>
      </c>
      <c r="G111" s="1">
        <f ca="1">MAX(9,OFFSET(控制台!$L$374,MATCH(C111,控制台!$B$374:$B$445,0)-1,0))</f>
        <v>84</v>
      </c>
      <c r="H111" s="1">
        <f ca="1">MAX(1,_xlfn.FLOOR.MATH(OFFSET(养成规划!$Y$6,MATCH(C111,养成规划!$B$6:$B$77,0)-1,0)/100))</f>
        <v>3</v>
      </c>
      <c r="I111" s="1">
        <f ca="1">MAX(1,MOD(OFFSET(养成规划!$Y$6,MATCH(C111,养成规划!$B$6:$B$77,0)-1,0),100))</f>
        <v>5</v>
      </c>
      <c r="J111" s="1" t="str">
        <f ca="1">OFFSET(养成规划!$Z$6,MATCH(C111,养成规划!$B$6:$B$77,0)-1,0)</f>
        <v>银+</v>
      </c>
      <c r="K111" s="1">
        <f ca="1">OFFSET(养成规划!$AB$6,MATCH(C111,养成规划!$B$6:$B$77,0)-1,0)</f>
        <v>40</v>
      </c>
      <c r="L111" s="1">
        <f ca="1">OFFSET(养成规划!$AC$6,MATCH(C111,养成规划!$B$6:$B$77,0)-1,0)</f>
        <v>9</v>
      </c>
      <c r="M111" s="14">
        <f ca="1">OFFSET(控制台!$R$476,MATCH(C111,控制台!$B$476:$B$547,0)-1,0)</f>
        <v>0.3</v>
      </c>
      <c r="N111" s="14">
        <f ca="1">OFFSET(控制台!$S$476,MATCH(C111,控制台!$B$476:$B$547,0)-1,0)</f>
        <v>0.3</v>
      </c>
      <c r="O111" s="14">
        <f ca="1">OFFSET(控制台!$U$5057,MATCH(C111,控制台!$B$5057:$B$5128,0)-1,0)</f>
        <v>0.05</v>
      </c>
      <c r="P111" s="14">
        <f ca="1">OFFSET(控制台!$V$5057,MATCH(C111,控制台!$B$5057:$B$5128,0)-1,0)</f>
        <v>0.05</v>
      </c>
      <c r="Q111" s="14">
        <f ca="1">OFFSET(控制台!$T$5057,MATCH(C111,控制台!$B$5057:$B$5128,0)-1,0)</f>
        <v>0.1</v>
      </c>
      <c r="S111" s="1">
        <f>'206_副本挂机'!B111*100+'206_副本挂机'!C111*4</f>
        <v>1204</v>
      </c>
      <c r="T111" s="1">
        <f ca="1">_xlfn.FLOOR.MATH('206_副本挂机'!L111)</f>
        <v>306</v>
      </c>
      <c r="U111" s="1">
        <f ca="1">MIN(OFFSET(控制台!$J$374,MATCH(T111,控制台!$B$374:$B$445,1)-1,0)+1,32)</f>
        <v>32</v>
      </c>
    </row>
    <row r="112" spans="1:21">
      <c r="A112" s="1">
        <f>'107_兵卡等级'!B112</f>
        <v>107</v>
      </c>
      <c r="B112" s="1">
        <f ca="1">'107_兵卡等级'!L112</f>
        <v>84</v>
      </c>
      <c r="C112" s="1">
        <f ca="1">OFFSET(养成规划!$B$6,MATCH(B112,养成规划!$B$6:$B$77,1)-1,0)</f>
        <v>80</v>
      </c>
      <c r="D112" s="1">
        <f ca="1">MAX(3,OFFSET(养成规划!$X$6,MATCH(C112,养成规划!$B$6:$B$77,0)-1,0))</f>
        <v>6.1</v>
      </c>
      <c r="E112" s="1">
        <f ca="1">MAX(1,OFFSET(控制台!$J$374,MATCH(C112,控制台!$B$374:$B$445,0)-1,0))</f>
        <v>26</v>
      </c>
      <c r="F112" s="1">
        <f ca="1">MAX(1,OFFSET(养成规划!$V$6,MATCH(C112,养成规划!$S$6:$S$77,0)-1,0))</f>
        <v>5</v>
      </c>
      <c r="G112" s="1">
        <f ca="1">MAX(9,OFFSET(控制台!$L$374,MATCH(C112,控制台!$B$374:$B$445,0)-1,0))</f>
        <v>84</v>
      </c>
      <c r="H112" s="1">
        <f ca="1">MAX(1,_xlfn.FLOOR.MATH(OFFSET(养成规划!$Y$6,MATCH(C112,养成规划!$B$6:$B$77,0)-1,0)/100))</f>
        <v>3</v>
      </c>
      <c r="I112" s="1">
        <f ca="1">MAX(1,MOD(OFFSET(养成规划!$Y$6,MATCH(C112,养成规划!$B$6:$B$77,0)-1,0),100))</f>
        <v>5</v>
      </c>
      <c r="J112" s="1" t="str">
        <f ca="1">OFFSET(养成规划!$Z$6,MATCH(C112,养成规划!$B$6:$B$77,0)-1,0)</f>
        <v>银+</v>
      </c>
      <c r="K112" s="1">
        <f ca="1">OFFSET(养成规划!$AB$6,MATCH(C112,养成规划!$B$6:$B$77,0)-1,0)</f>
        <v>40</v>
      </c>
      <c r="L112" s="1">
        <f ca="1">OFFSET(养成规划!$AC$6,MATCH(C112,养成规划!$B$6:$B$77,0)-1,0)</f>
        <v>9</v>
      </c>
      <c r="M112" s="14">
        <f ca="1">OFFSET(控制台!$R$476,MATCH(C112,控制台!$B$476:$B$547,0)-1,0)</f>
        <v>0.3</v>
      </c>
      <c r="N112" s="14">
        <f ca="1">OFFSET(控制台!$S$476,MATCH(C112,控制台!$B$476:$B$547,0)-1,0)</f>
        <v>0.3</v>
      </c>
      <c r="O112" s="14">
        <f ca="1">OFFSET(控制台!$U$5057,MATCH(C112,控制台!$B$5057:$B$5128,0)-1,0)</f>
        <v>0.05</v>
      </c>
      <c r="P112" s="14">
        <f ca="1">OFFSET(控制台!$V$5057,MATCH(C112,控制台!$B$5057:$B$5128,0)-1,0)</f>
        <v>0.05</v>
      </c>
      <c r="Q112" s="14">
        <f ca="1">OFFSET(控制台!$T$5057,MATCH(C112,控制台!$B$5057:$B$5128,0)-1,0)</f>
        <v>0.1</v>
      </c>
      <c r="S112" s="1">
        <f>'206_副本挂机'!B112*100+'206_副本挂机'!C112*4</f>
        <v>1208</v>
      </c>
      <c r="T112" s="1">
        <f ca="1">_xlfn.FLOOR.MATH('206_副本挂机'!L112)</f>
        <v>312</v>
      </c>
      <c r="U112" s="1">
        <f ca="1">MIN(OFFSET(控制台!$J$374,MATCH(T112,控制台!$B$374:$B$445,1)-1,0)+1,32)</f>
        <v>32</v>
      </c>
    </row>
    <row r="113" spans="1:21">
      <c r="A113" s="1">
        <f>'107_兵卡等级'!B113</f>
        <v>108</v>
      </c>
      <c r="B113" s="1">
        <f ca="1">'107_兵卡等级'!L113</f>
        <v>86</v>
      </c>
      <c r="C113" s="1">
        <f ca="1">OFFSET(养成规划!$B$6,MATCH(B113,养成规划!$B$6:$B$77,1)-1,0)</f>
        <v>85</v>
      </c>
      <c r="D113" s="1">
        <f ca="1">MAX(3,OFFSET(养成规划!$X$6,MATCH(C113,养成规划!$B$6:$B$77,0)-1,0))</f>
        <v>6.1</v>
      </c>
      <c r="E113" s="1">
        <f ca="1">MAX(1,OFFSET(控制台!$J$374,MATCH(C113,控制台!$B$374:$B$445,0)-1,0))</f>
        <v>26</v>
      </c>
      <c r="F113" s="1">
        <f ca="1">MAX(1,OFFSET(养成规划!$V$6,MATCH(C113,养成规划!$S$6:$S$77,0)-1,0))</f>
        <v>5</v>
      </c>
      <c r="G113" s="1">
        <f ca="1">MAX(9,OFFSET(控制台!$L$374,MATCH(C113,控制台!$B$374:$B$445,0)-1,0))</f>
        <v>84</v>
      </c>
      <c r="H113" s="1">
        <f ca="1">MAX(1,_xlfn.FLOOR.MATH(OFFSET(养成规划!$Y$6,MATCH(C113,养成规划!$B$6:$B$77,0)-1,0)/100))</f>
        <v>3</v>
      </c>
      <c r="I113" s="1">
        <f ca="1">MAX(1,MOD(OFFSET(养成规划!$Y$6,MATCH(C113,养成规划!$B$6:$B$77,0)-1,0),100))</f>
        <v>6</v>
      </c>
      <c r="J113" s="1" t="str">
        <f ca="1">OFFSET(养成规划!$Z$6,MATCH(C113,养成规划!$B$6:$B$77,0)-1,0)</f>
        <v>银+</v>
      </c>
      <c r="K113" s="1">
        <f ca="1">OFFSET(养成规划!$AB$6,MATCH(C113,养成规划!$B$6:$B$77,0)-1,0)</f>
        <v>40</v>
      </c>
      <c r="L113" s="1">
        <f ca="1">OFFSET(养成规划!$AC$6,MATCH(C113,养成规划!$B$6:$B$77,0)-1,0)</f>
        <v>9</v>
      </c>
      <c r="M113" s="14">
        <f ca="1">OFFSET(控制台!$R$476,MATCH(C113,控制台!$B$476:$B$547,0)-1,0)</f>
        <v>0.3</v>
      </c>
      <c r="N113" s="14">
        <f ca="1">OFFSET(控制台!$S$476,MATCH(C113,控制台!$B$476:$B$547,0)-1,0)</f>
        <v>0.3</v>
      </c>
      <c r="O113" s="14">
        <f ca="1">OFFSET(控制台!$U$5057,MATCH(C113,控制台!$B$5057:$B$5128,0)-1,0)</f>
        <v>0.05</v>
      </c>
      <c r="P113" s="14">
        <f ca="1">OFFSET(控制台!$V$5057,MATCH(C113,控制台!$B$5057:$B$5128,0)-1,0)</f>
        <v>0.05</v>
      </c>
      <c r="Q113" s="14">
        <f ca="1">OFFSET(控制台!$T$5057,MATCH(C113,控制台!$B$5057:$B$5128,0)-1,0)</f>
        <v>0.1</v>
      </c>
      <c r="S113" s="1">
        <f>'206_副本挂机'!B113*100+'206_副本挂机'!C113*4</f>
        <v>1212</v>
      </c>
      <c r="T113" s="1">
        <f ca="1">_xlfn.FLOOR.MATH('206_副本挂机'!L113)</f>
        <v>318</v>
      </c>
      <c r="U113" s="1">
        <f ca="1">MIN(OFFSET(控制台!$J$374,MATCH(T113,控制台!$B$374:$B$445,1)-1,0)+1,32)</f>
        <v>32</v>
      </c>
    </row>
    <row r="114" spans="1:21">
      <c r="A114" s="1">
        <f>'107_兵卡等级'!B114</f>
        <v>109</v>
      </c>
      <c r="B114" s="1">
        <f ca="1">'107_兵卡等级'!L114</f>
        <v>88</v>
      </c>
      <c r="C114" s="1">
        <f ca="1">OFFSET(养成规划!$B$6,MATCH(B114,养成规划!$B$6:$B$77,1)-1,0)</f>
        <v>85</v>
      </c>
      <c r="D114" s="1">
        <f ca="1">MAX(3,OFFSET(养成规划!$X$6,MATCH(C114,养成规划!$B$6:$B$77,0)-1,0))</f>
        <v>6.1</v>
      </c>
      <c r="E114" s="1">
        <f ca="1">MAX(1,OFFSET(控制台!$J$374,MATCH(C114,控制台!$B$374:$B$445,0)-1,0))</f>
        <v>26</v>
      </c>
      <c r="F114" s="1">
        <f ca="1">MAX(1,OFFSET(养成规划!$V$6,MATCH(C114,养成规划!$S$6:$S$77,0)-1,0))</f>
        <v>5</v>
      </c>
      <c r="G114" s="1">
        <f ca="1">MAX(9,OFFSET(控制台!$L$374,MATCH(C114,控制台!$B$374:$B$445,0)-1,0))</f>
        <v>84</v>
      </c>
      <c r="H114" s="1">
        <f ca="1">MAX(1,_xlfn.FLOOR.MATH(OFFSET(养成规划!$Y$6,MATCH(C114,养成规划!$B$6:$B$77,0)-1,0)/100))</f>
        <v>3</v>
      </c>
      <c r="I114" s="1">
        <f ca="1">MAX(1,MOD(OFFSET(养成规划!$Y$6,MATCH(C114,养成规划!$B$6:$B$77,0)-1,0),100))</f>
        <v>6</v>
      </c>
      <c r="J114" s="1" t="str">
        <f ca="1">OFFSET(养成规划!$Z$6,MATCH(C114,养成规划!$B$6:$B$77,0)-1,0)</f>
        <v>银+</v>
      </c>
      <c r="K114" s="1">
        <f ca="1">OFFSET(养成规划!$AB$6,MATCH(C114,养成规划!$B$6:$B$77,0)-1,0)</f>
        <v>40</v>
      </c>
      <c r="L114" s="1">
        <f ca="1">OFFSET(养成规划!$AC$6,MATCH(C114,养成规划!$B$6:$B$77,0)-1,0)</f>
        <v>9</v>
      </c>
      <c r="M114" s="14">
        <f ca="1">OFFSET(控制台!$R$476,MATCH(C114,控制台!$B$476:$B$547,0)-1,0)</f>
        <v>0.3</v>
      </c>
      <c r="N114" s="14">
        <f ca="1">OFFSET(控制台!$S$476,MATCH(C114,控制台!$B$476:$B$547,0)-1,0)</f>
        <v>0.3</v>
      </c>
      <c r="O114" s="14">
        <f ca="1">OFFSET(控制台!$U$5057,MATCH(C114,控制台!$B$5057:$B$5128,0)-1,0)</f>
        <v>0.05</v>
      </c>
      <c r="P114" s="14">
        <f ca="1">OFFSET(控制台!$V$5057,MATCH(C114,控制台!$B$5057:$B$5128,0)-1,0)</f>
        <v>0.05</v>
      </c>
      <c r="Q114" s="14">
        <f ca="1">OFFSET(控制台!$T$5057,MATCH(C114,控制台!$B$5057:$B$5128,0)-1,0)</f>
        <v>0.1</v>
      </c>
      <c r="S114" s="1">
        <f>'206_副本挂机'!B114*100+'206_副本挂机'!C114*4</f>
        <v>1216</v>
      </c>
      <c r="T114" s="1">
        <f ca="1">_xlfn.FLOOR.MATH('206_副本挂机'!L114)</f>
        <v>324</v>
      </c>
      <c r="U114" s="1">
        <f ca="1">MIN(OFFSET(控制台!$J$374,MATCH(T114,控制台!$B$374:$B$445,1)-1,0)+1,32)</f>
        <v>32</v>
      </c>
    </row>
    <row r="115" spans="1:21">
      <c r="A115" s="1">
        <f>'107_兵卡等级'!B115</f>
        <v>110</v>
      </c>
      <c r="B115" s="1">
        <f ca="1">'107_兵卡等级'!L115</f>
        <v>90</v>
      </c>
      <c r="C115" s="1">
        <f ca="1">OFFSET(养成规划!$B$6,MATCH(B115,养成规划!$B$6:$B$77,1)-1,0)</f>
        <v>90</v>
      </c>
      <c r="D115" s="1">
        <f ca="1">MAX(3,OFFSET(养成规划!$X$6,MATCH(C115,养成规划!$B$6:$B$77,0)-1,0))</f>
        <v>6.1</v>
      </c>
      <c r="E115" s="1">
        <f ca="1">MAX(1,OFFSET(控制台!$J$374,MATCH(C115,控制台!$B$374:$B$445,0)-1,0))</f>
        <v>27</v>
      </c>
      <c r="F115" s="1">
        <f ca="1">MAX(1,OFFSET(养成规划!$V$6,MATCH(C115,养成规划!$S$6:$S$77,0)-1,0))</f>
        <v>5</v>
      </c>
      <c r="G115" s="1">
        <f ca="1">MAX(9,OFFSET(控制台!$L$374,MATCH(C115,控制台!$B$374:$B$445,0)-1,0))</f>
        <v>87</v>
      </c>
      <c r="H115" s="1">
        <f ca="1">MAX(1,_xlfn.FLOOR.MATH(OFFSET(养成规划!$Y$6,MATCH(C115,养成规划!$B$6:$B$77,0)-1,0)/100))</f>
        <v>3</v>
      </c>
      <c r="I115" s="1">
        <f ca="1">MAX(1,MOD(OFFSET(养成规划!$Y$6,MATCH(C115,养成规划!$B$6:$B$77,0)-1,0),100))</f>
        <v>6</v>
      </c>
      <c r="J115" s="1" t="str">
        <f ca="1">OFFSET(养成规划!$Z$6,MATCH(C115,养成规划!$B$6:$B$77,0)-1,0)</f>
        <v>银+</v>
      </c>
      <c r="K115" s="1">
        <f ca="1">OFFSET(养成规划!$AB$6,MATCH(C115,养成规划!$B$6:$B$77,0)-1,0)</f>
        <v>40</v>
      </c>
      <c r="L115" s="1">
        <f ca="1">OFFSET(养成规划!$AC$6,MATCH(C115,养成规划!$B$6:$B$77,0)-1,0)</f>
        <v>9</v>
      </c>
      <c r="M115" s="14">
        <f ca="1">OFFSET(控制台!$R$476,MATCH(C115,控制台!$B$476:$B$547,0)-1,0)</f>
        <v>0.3</v>
      </c>
      <c r="N115" s="14">
        <f ca="1">OFFSET(控制台!$S$476,MATCH(C115,控制台!$B$476:$B$547,0)-1,0)</f>
        <v>0.3</v>
      </c>
      <c r="O115" s="14">
        <f ca="1">OFFSET(控制台!$U$5057,MATCH(C115,控制台!$B$5057:$B$5128,0)-1,0)</f>
        <v>0.05</v>
      </c>
      <c r="P115" s="14">
        <f ca="1">OFFSET(控制台!$V$5057,MATCH(C115,控制台!$B$5057:$B$5128,0)-1,0)</f>
        <v>0.05</v>
      </c>
      <c r="Q115" s="14">
        <f ca="1">OFFSET(控制台!$T$5057,MATCH(C115,控制台!$B$5057:$B$5128,0)-1,0)</f>
        <v>0.1</v>
      </c>
      <c r="S115" s="1">
        <f>'206_副本挂机'!B115*100+'206_副本挂机'!C115*4</f>
        <v>1220</v>
      </c>
      <c r="T115" s="1">
        <f ca="1">_xlfn.FLOOR.MATH('206_副本挂机'!L115)</f>
        <v>330</v>
      </c>
      <c r="U115" s="1">
        <f ca="1">MIN(OFFSET(控制台!$J$374,MATCH(T115,控制台!$B$374:$B$445,1)-1,0)+1,32)</f>
        <v>32</v>
      </c>
    </row>
    <row r="116" spans="1:21">
      <c r="A116" s="1">
        <f>'107_兵卡等级'!B116</f>
        <v>111</v>
      </c>
      <c r="B116" s="1">
        <f ca="1">'107_兵卡等级'!L116</f>
        <v>93</v>
      </c>
      <c r="C116" s="1">
        <f ca="1">OFFSET(养成规划!$B$6,MATCH(B116,养成规划!$B$6:$B$77,1)-1,0)</f>
        <v>90</v>
      </c>
      <c r="D116" s="1">
        <f ca="1">MAX(3,OFFSET(养成规划!$X$6,MATCH(C116,养成规划!$B$6:$B$77,0)-1,0))</f>
        <v>6.1</v>
      </c>
      <c r="E116" s="1">
        <f ca="1">MAX(1,OFFSET(控制台!$J$374,MATCH(C116,控制台!$B$374:$B$445,0)-1,0))</f>
        <v>27</v>
      </c>
      <c r="F116" s="1">
        <f ca="1">MAX(1,OFFSET(养成规划!$V$6,MATCH(C116,养成规划!$S$6:$S$77,0)-1,0))</f>
        <v>5</v>
      </c>
      <c r="G116" s="1">
        <f ca="1">MAX(9,OFFSET(控制台!$L$374,MATCH(C116,控制台!$B$374:$B$445,0)-1,0))</f>
        <v>87</v>
      </c>
      <c r="H116" s="1">
        <f ca="1">MAX(1,_xlfn.FLOOR.MATH(OFFSET(养成规划!$Y$6,MATCH(C116,养成规划!$B$6:$B$77,0)-1,0)/100))</f>
        <v>3</v>
      </c>
      <c r="I116" s="1">
        <f ca="1">MAX(1,MOD(OFFSET(养成规划!$Y$6,MATCH(C116,养成规划!$B$6:$B$77,0)-1,0),100))</f>
        <v>6</v>
      </c>
      <c r="J116" s="1" t="str">
        <f ca="1">OFFSET(养成规划!$Z$6,MATCH(C116,养成规划!$B$6:$B$77,0)-1,0)</f>
        <v>银+</v>
      </c>
      <c r="K116" s="1">
        <f ca="1">OFFSET(养成规划!$AB$6,MATCH(C116,养成规划!$B$6:$B$77,0)-1,0)</f>
        <v>40</v>
      </c>
      <c r="L116" s="1">
        <f ca="1">OFFSET(养成规划!$AC$6,MATCH(C116,养成规划!$B$6:$B$77,0)-1,0)</f>
        <v>9</v>
      </c>
      <c r="M116" s="14">
        <f ca="1">OFFSET(控制台!$R$476,MATCH(C116,控制台!$B$476:$B$547,0)-1,0)</f>
        <v>0.3</v>
      </c>
      <c r="N116" s="14">
        <f ca="1">OFFSET(控制台!$S$476,MATCH(C116,控制台!$B$476:$B$547,0)-1,0)</f>
        <v>0.3</v>
      </c>
      <c r="O116" s="14">
        <f ca="1">OFFSET(控制台!$U$5057,MATCH(C116,控制台!$B$5057:$B$5128,0)-1,0)</f>
        <v>0.05</v>
      </c>
      <c r="P116" s="14">
        <f ca="1">OFFSET(控制台!$V$5057,MATCH(C116,控制台!$B$5057:$B$5128,0)-1,0)</f>
        <v>0.05</v>
      </c>
      <c r="Q116" s="14">
        <f ca="1">OFFSET(控制台!$T$5057,MATCH(C116,控制台!$B$5057:$B$5128,0)-1,0)</f>
        <v>0.1</v>
      </c>
      <c r="S116" s="1">
        <f>'206_副本挂机'!B116*100+'206_副本挂机'!C116*4</f>
        <v>1224</v>
      </c>
      <c r="T116" s="1">
        <f ca="1">_xlfn.FLOOR.MATH('206_副本挂机'!L116)</f>
        <v>336</v>
      </c>
      <c r="U116" s="1">
        <f ca="1">MIN(OFFSET(控制台!$J$374,MATCH(T116,控制台!$B$374:$B$445,1)-1,0)+1,32)</f>
        <v>32</v>
      </c>
    </row>
    <row r="117" spans="1:21">
      <c r="A117" s="1">
        <f>'107_兵卡等级'!B117</f>
        <v>112</v>
      </c>
      <c r="B117" s="1">
        <f ca="1">'107_兵卡等级'!L117</f>
        <v>96</v>
      </c>
      <c r="C117" s="1">
        <f ca="1">OFFSET(养成规划!$B$6,MATCH(B117,养成规划!$B$6:$B$77,1)-1,0)</f>
        <v>95</v>
      </c>
      <c r="D117" s="1">
        <f ca="1">MAX(3,OFFSET(养成规划!$X$6,MATCH(C117,养成规划!$B$6:$B$77,0)-1,0))</f>
        <v>6.1</v>
      </c>
      <c r="E117" s="1">
        <f ca="1">MAX(1,OFFSET(控制台!$J$374,MATCH(C117,控制台!$B$374:$B$445,0)-1,0))</f>
        <v>27</v>
      </c>
      <c r="F117" s="1">
        <f ca="1">MAX(1,OFFSET(养成规划!$V$6,MATCH(C117,养成规划!$S$6:$S$77,0)-1,0))</f>
        <v>5</v>
      </c>
      <c r="G117" s="1">
        <f ca="1">MAX(9,OFFSET(控制台!$L$374,MATCH(C117,控制台!$B$374:$B$445,0)-1,0))</f>
        <v>87</v>
      </c>
      <c r="H117" s="1">
        <f ca="1">MAX(1,_xlfn.FLOOR.MATH(OFFSET(养成规划!$Y$6,MATCH(C117,养成规划!$B$6:$B$77,0)-1,0)/100))</f>
        <v>3</v>
      </c>
      <c r="I117" s="1">
        <f ca="1">MAX(1,MOD(OFFSET(养成规划!$Y$6,MATCH(C117,养成规划!$B$6:$B$77,0)-1,0),100))</f>
        <v>6</v>
      </c>
      <c r="J117" s="1" t="str">
        <f ca="1">OFFSET(养成规划!$Z$6,MATCH(C117,养成规划!$B$6:$B$77,0)-1,0)</f>
        <v>银+</v>
      </c>
      <c r="K117" s="1">
        <f ca="1">OFFSET(养成规划!$AB$6,MATCH(C117,养成规划!$B$6:$B$77,0)-1,0)</f>
        <v>40</v>
      </c>
      <c r="L117" s="1">
        <f ca="1">OFFSET(养成规划!$AC$6,MATCH(C117,养成规划!$B$6:$B$77,0)-1,0)</f>
        <v>9</v>
      </c>
      <c r="M117" s="14">
        <f ca="1">OFFSET(控制台!$R$476,MATCH(C117,控制台!$B$476:$B$547,0)-1,0)</f>
        <v>0.3</v>
      </c>
      <c r="N117" s="14">
        <f ca="1">OFFSET(控制台!$S$476,MATCH(C117,控制台!$B$476:$B$547,0)-1,0)</f>
        <v>0.3</v>
      </c>
      <c r="O117" s="14">
        <f ca="1">OFFSET(控制台!$U$5057,MATCH(C117,控制台!$B$5057:$B$5128,0)-1,0)</f>
        <v>0.05</v>
      </c>
      <c r="P117" s="14">
        <f ca="1">OFFSET(控制台!$V$5057,MATCH(C117,控制台!$B$5057:$B$5128,0)-1,0)</f>
        <v>0.05</v>
      </c>
      <c r="Q117" s="14">
        <f ca="1">OFFSET(控制台!$T$5057,MATCH(C117,控制台!$B$5057:$B$5128,0)-1,0)</f>
        <v>0.1</v>
      </c>
      <c r="S117" s="1">
        <f>'206_副本挂机'!B117*100+'206_副本挂机'!C117*4</f>
        <v>1228</v>
      </c>
      <c r="T117" s="1">
        <f ca="1">_xlfn.FLOOR.MATH('206_副本挂机'!L117)</f>
        <v>342</v>
      </c>
      <c r="U117" s="1">
        <f ca="1">MIN(OFFSET(控制台!$J$374,MATCH(T117,控制台!$B$374:$B$445,1)-1,0)+1,32)</f>
        <v>32</v>
      </c>
    </row>
    <row r="118" spans="1:21">
      <c r="A118" s="1">
        <f>'107_兵卡等级'!B118</f>
        <v>113</v>
      </c>
      <c r="B118" s="1">
        <f ca="1">'107_兵卡等级'!L118</f>
        <v>99</v>
      </c>
      <c r="C118" s="1">
        <f ca="1">OFFSET(养成规划!$B$6,MATCH(B118,养成规划!$B$6:$B$77,1)-1,0)</f>
        <v>95</v>
      </c>
      <c r="D118" s="1">
        <f ca="1">MAX(3,OFFSET(养成规划!$X$6,MATCH(C118,养成规划!$B$6:$B$77,0)-1,0))</f>
        <v>6.1</v>
      </c>
      <c r="E118" s="1">
        <f ca="1">MAX(1,OFFSET(控制台!$J$374,MATCH(C118,控制台!$B$374:$B$445,0)-1,0))</f>
        <v>27</v>
      </c>
      <c r="F118" s="1">
        <f ca="1">MAX(1,OFFSET(养成规划!$V$6,MATCH(C118,养成规划!$S$6:$S$77,0)-1,0))</f>
        <v>5</v>
      </c>
      <c r="G118" s="1">
        <f ca="1">MAX(9,OFFSET(控制台!$L$374,MATCH(C118,控制台!$B$374:$B$445,0)-1,0))</f>
        <v>87</v>
      </c>
      <c r="H118" s="1">
        <f ca="1">MAX(1,_xlfn.FLOOR.MATH(OFFSET(养成规划!$Y$6,MATCH(C118,养成规划!$B$6:$B$77,0)-1,0)/100))</f>
        <v>3</v>
      </c>
      <c r="I118" s="1">
        <f ca="1">MAX(1,MOD(OFFSET(养成规划!$Y$6,MATCH(C118,养成规划!$B$6:$B$77,0)-1,0),100))</f>
        <v>6</v>
      </c>
      <c r="J118" s="1" t="str">
        <f ca="1">OFFSET(养成规划!$Z$6,MATCH(C118,养成规划!$B$6:$B$77,0)-1,0)</f>
        <v>银+</v>
      </c>
      <c r="K118" s="1">
        <f ca="1">OFFSET(养成规划!$AB$6,MATCH(C118,养成规划!$B$6:$B$77,0)-1,0)</f>
        <v>40</v>
      </c>
      <c r="L118" s="1">
        <f ca="1">OFFSET(养成规划!$AC$6,MATCH(C118,养成规划!$B$6:$B$77,0)-1,0)</f>
        <v>9</v>
      </c>
      <c r="M118" s="14">
        <f ca="1">OFFSET(控制台!$R$476,MATCH(C118,控制台!$B$476:$B$547,0)-1,0)</f>
        <v>0.3</v>
      </c>
      <c r="N118" s="14">
        <f ca="1">OFFSET(控制台!$S$476,MATCH(C118,控制台!$B$476:$B$547,0)-1,0)</f>
        <v>0.3</v>
      </c>
      <c r="O118" s="14">
        <f ca="1">OFFSET(控制台!$U$5057,MATCH(C118,控制台!$B$5057:$B$5128,0)-1,0)</f>
        <v>0.05</v>
      </c>
      <c r="P118" s="14">
        <f ca="1">OFFSET(控制台!$V$5057,MATCH(C118,控制台!$B$5057:$B$5128,0)-1,0)</f>
        <v>0.05</v>
      </c>
      <c r="Q118" s="14">
        <f ca="1">OFFSET(控制台!$T$5057,MATCH(C118,控制台!$B$5057:$B$5128,0)-1,0)</f>
        <v>0.1</v>
      </c>
      <c r="S118" s="1">
        <f>'206_副本挂机'!B118*100+'206_副本挂机'!C118*4</f>
        <v>1232</v>
      </c>
      <c r="T118" s="1">
        <f ca="1">_xlfn.FLOOR.MATH('206_副本挂机'!L118)</f>
        <v>348</v>
      </c>
      <c r="U118" s="1">
        <f ca="1">MIN(OFFSET(控制台!$J$374,MATCH(T118,控制台!$B$374:$B$445,1)-1,0)+1,32)</f>
        <v>32</v>
      </c>
    </row>
    <row r="119" spans="1:21">
      <c r="A119" s="1">
        <f>'107_兵卡等级'!B119</f>
        <v>114</v>
      </c>
      <c r="B119" s="1">
        <f ca="1">'107_兵卡等级'!L119</f>
        <v>102</v>
      </c>
      <c r="C119" s="1">
        <f ca="1">OFFSET(养成规划!$B$6,MATCH(B119,养成规划!$B$6:$B$77,1)-1,0)</f>
        <v>100</v>
      </c>
      <c r="D119" s="1">
        <f ca="1">MAX(3,OFFSET(养成规划!$X$6,MATCH(C119,养成规划!$B$6:$B$77,0)-1,0))</f>
        <v>6.1</v>
      </c>
      <c r="E119" s="1">
        <f ca="1">MAX(1,OFFSET(控制台!$J$374,MATCH(C119,控制台!$B$374:$B$445,0)-1,0))</f>
        <v>27</v>
      </c>
      <c r="F119" s="1">
        <f ca="1">MAX(1,OFFSET(养成规划!$V$6,MATCH(C119,养成规划!$S$6:$S$77,0)-1,0))</f>
        <v>5</v>
      </c>
      <c r="G119" s="1">
        <f ca="1">MAX(9,OFFSET(控制台!$L$374,MATCH(C119,控制台!$B$374:$B$445,0)-1,0))</f>
        <v>87</v>
      </c>
      <c r="H119" s="1">
        <f ca="1">MAX(1,_xlfn.FLOOR.MATH(OFFSET(养成规划!$Y$6,MATCH(C119,养成规划!$B$6:$B$77,0)-1,0)/100))</f>
        <v>3</v>
      </c>
      <c r="I119" s="1">
        <f ca="1">MAX(1,MOD(OFFSET(养成规划!$Y$6,MATCH(C119,养成规划!$B$6:$B$77,0)-1,0),100))</f>
        <v>6</v>
      </c>
      <c r="J119" s="1" t="str">
        <f ca="1">OFFSET(养成规划!$Z$6,MATCH(C119,养成规划!$B$6:$B$77,0)-1,0)</f>
        <v>银+</v>
      </c>
      <c r="K119" s="1">
        <f ca="1">OFFSET(养成规划!$AB$6,MATCH(C119,养成规划!$B$6:$B$77,0)-1,0)</f>
        <v>40</v>
      </c>
      <c r="L119" s="1">
        <f ca="1">OFFSET(养成规划!$AC$6,MATCH(C119,养成规划!$B$6:$B$77,0)-1,0)</f>
        <v>9</v>
      </c>
      <c r="M119" s="14">
        <f ca="1">OFFSET(控制台!$R$476,MATCH(C119,控制台!$B$476:$B$547,0)-1,0)</f>
        <v>0.3</v>
      </c>
      <c r="N119" s="14">
        <f ca="1">OFFSET(控制台!$S$476,MATCH(C119,控制台!$B$476:$B$547,0)-1,0)</f>
        <v>0.3</v>
      </c>
      <c r="O119" s="14">
        <f ca="1">OFFSET(控制台!$U$5057,MATCH(C119,控制台!$B$5057:$B$5128,0)-1,0)</f>
        <v>0.05</v>
      </c>
      <c r="P119" s="14">
        <f ca="1">OFFSET(控制台!$V$5057,MATCH(C119,控制台!$B$5057:$B$5128,0)-1,0)</f>
        <v>0.05</v>
      </c>
      <c r="Q119" s="14">
        <f ca="1">OFFSET(控制台!$T$5057,MATCH(C119,控制台!$B$5057:$B$5128,0)-1,0)</f>
        <v>0.1</v>
      </c>
      <c r="S119" s="1">
        <f>'206_副本挂机'!B119*100+'206_副本挂机'!C119*4</f>
        <v>1236</v>
      </c>
      <c r="T119" s="1">
        <f ca="1">_xlfn.FLOOR.MATH('206_副本挂机'!L119)</f>
        <v>354</v>
      </c>
      <c r="U119" s="1">
        <f ca="1">MIN(OFFSET(控制台!$J$374,MATCH(T119,控制台!$B$374:$B$445,1)-1,0)+1,32)</f>
        <v>32</v>
      </c>
    </row>
    <row r="120" spans="1:21">
      <c r="A120" s="1">
        <f>'107_兵卡等级'!B120</f>
        <v>115</v>
      </c>
      <c r="B120" s="1">
        <f ca="1">'107_兵卡等级'!L120</f>
        <v>105</v>
      </c>
      <c r="C120" s="1">
        <f ca="1">OFFSET(养成规划!$B$6,MATCH(B120,养成规划!$B$6:$B$77,1)-1,0)</f>
        <v>105</v>
      </c>
      <c r="D120" s="1">
        <f ca="1">MAX(3,OFFSET(养成规划!$X$6,MATCH(C120,养成规划!$B$6:$B$77,0)-1,0))</f>
        <v>6.1</v>
      </c>
      <c r="E120" s="1">
        <f ca="1">MAX(1,OFFSET(控制台!$J$374,MATCH(C120,控制台!$B$374:$B$445,0)-1,0))</f>
        <v>27</v>
      </c>
      <c r="F120" s="1">
        <f ca="1">MAX(1,OFFSET(养成规划!$V$6,MATCH(C120,养成规划!$S$6:$S$77,0)-1,0))</f>
        <v>5</v>
      </c>
      <c r="G120" s="1">
        <f ca="1">MAX(9,OFFSET(控制台!$L$374,MATCH(C120,控制台!$B$374:$B$445,0)-1,0))</f>
        <v>87</v>
      </c>
      <c r="H120" s="1">
        <f ca="1">MAX(1,_xlfn.FLOOR.MATH(OFFSET(养成规划!$Y$6,MATCH(C120,养成规划!$B$6:$B$77,0)-1,0)/100))</f>
        <v>3</v>
      </c>
      <c r="I120" s="1">
        <f ca="1">MAX(1,MOD(OFFSET(养成规划!$Y$6,MATCH(C120,养成规划!$B$6:$B$77,0)-1,0),100))</f>
        <v>6</v>
      </c>
      <c r="J120" s="1" t="str">
        <f ca="1">OFFSET(养成规划!$Z$6,MATCH(C120,养成规划!$B$6:$B$77,0)-1,0)</f>
        <v>银+</v>
      </c>
      <c r="K120" s="1">
        <f ca="1">OFFSET(养成规划!$AB$6,MATCH(C120,养成规划!$B$6:$B$77,0)-1,0)</f>
        <v>40</v>
      </c>
      <c r="L120" s="1">
        <f ca="1">OFFSET(养成规划!$AC$6,MATCH(C120,养成规划!$B$6:$B$77,0)-1,0)</f>
        <v>9</v>
      </c>
      <c r="M120" s="14">
        <f ca="1">OFFSET(控制台!$R$476,MATCH(C120,控制台!$B$476:$B$547,0)-1,0)</f>
        <v>0.3</v>
      </c>
      <c r="N120" s="14">
        <f ca="1">OFFSET(控制台!$S$476,MATCH(C120,控制台!$B$476:$B$547,0)-1,0)</f>
        <v>0.3</v>
      </c>
      <c r="O120" s="14">
        <f ca="1">OFFSET(控制台!$U$5057,MATCH(C120,控制台!$B$5057:$B$5128,0)-1,0)</f>
        <v>0.05</v>
      </c>
      <c r="P120" s="14">
        <f ca="1">OFFSET(控制台!$V$5057,MATCH(C120,控制台!$B$5057:$B$5128,0)-1,0)</f>
        <v>0.05</v>
      </c>
      <c r="Q120" s="14">
        <f ca="1">OFFSET(控制台!$T$5057,MATCH(C120,控制台!$B$5057:$B$5128,0)-1,0)</f>
        <v>0.25</v>
      </c>
      <c r="S120" s="1">
        <f>'206_副本挂机'!B120*100+'206_副本挂机'!C120*4</f>
        <v>1240</v>
      </c>
      <c r="T120" s="1">
        <f ca="1">_xlfn.FLOOR.MATH('206_副本挂机'!L120)</f>
        <v>360</v>
      </c>
      <c r="U120" s="1">
        <f ca="1">MIN(OFFSET(控制台!$J$374,MATCH(T120,控制台!$B$374:$B$445,1)-1,0)+1,32)</f>
        <v>32</v>
      </c>
    </row>
    <row r="121" spans="1:17">
      <c r="A121" s="1">
        <f>'107_兵卡等级'!B121</f>
        <v>116</v>
      </c>
      <c r="B121" s="1">
        <f ca="1">'107_兵卡等级'!L121</f>
        <v>108</v>
      </c>
      <c r="C121" s="1">
        <f ca="1">OFFSET(养成规划!$B$6,MATCH(B121,养成规划!$B$6:$B$77,1)-1,0)</f>
        <v>105</v>
      </c>
      <c r="D121" s="1">
        <f ca="1">MAX(3,OFFSET(养成规划!$X$6,MATCH(C121,养成规划!$B$6:$B$77,0)-1,0))</f>
        <v>6.1</v>
      </c>
      <c r="E121" s="1">
        <f ca="1">MAX(1,OFFSET(控制台!$J$374,MATCH(C121,控制台!$B$374:$B$445,0)-1,0))</f>
        <v>27</v>
      </c>
      <c r="F121" s="1">
        <f ca="1">MAX(1,OFFSET(养成规划!$V$6,MATCH(C121,养成规划!$S$6:$S$77,0)-1,0))</f>
        <v>5</v>
      </c>
      <c r="G121" s="1">
        <f ca="1">MAX(9,OFFSET(控制台!$L$374,MATCH(C121,控制台!$B$374:$B$445,0)-1,0))</f>
        <v>87</v>
      </c>
      <c r="H121" s="1">
        <f ca="1">MAX(1,_xlfn.FLOOR.MATH(OFFSET(养成规划!$Y$6,MATCH(C121,养成规划!$B$6:$B$77,0)-1,0)/100))</f>
        <v>3</v>
      </c>
      <c r="I121" s="1">
        <f ca="1">MAX(1,MOD(OFFSET(养成规划!$Y$6,MATCH(C121,养成规划!$B$6:$B$77,0)-1,0),100))</f>
        <v>6</v>
      </c>
      <c r="J121" s="1" t="str">
        <f ca="1">OFFSET(养成规划!$Z$6,MATCH(C121,养成规划!$B$6:$B$77,0)-1,0)</f>
        <v>银+</v>
      </c>
      <c r="K121" s="1">
        <f ca="1">OFFSET(养成规划!$AB$6,MATCH(C121,养成规划!$B$6:$B$77,0)-1,0)</f>
        <v>40</v>
      </c>
      <c r="L121" s="1">
        <f ca="1">OFFSET(养成规划!$AC$6,MATCH(C121,养成规划!$B$6:$B$77,0)-1,0)</f>
        <v>9</v>
      </c>
      <c r="M121" s="14">
        <f ca="1">OFFSET(控制台!$R$476,MATCH(C121,控制台!$B$476:$B$547,0)-1,0)</f>
        <v>0.3</v>
      </c>
      <c r="N121" s="14">
        <f ca="1">OFFSET(控制台!$S$476,MATCH(C121,控制台!$B$476:$B$547,0)-1,0)</f>
        <v>0.3</v>
      </c>
      <c r="O121" s="14">
        <f ca="1">OFFSET(控制台!$U$5057,MATCH(C121,控制台!$B$5057:$B$5128,0)-1,0)</f>
        <v>0.05</v>
      </c>
      <c r="P121" s="14">
        <f ca="1">OFFSET(控制台!$V$5057,MATCH(C121,控制台!$B$5057:$B$5128,0)-1,0)</f>
        <v>0.05</v>
      </c>
      <c r="Q121" s="14">
        <f ca="1">OFFSET(控制台!$T$5057,MATCH(C121,控制台!$B$5057:$B$5128,0)-1,0)</f>
        <v>0.25</v>
      </c>
    </row>
    <row r="122" spans="1:17">
      <c r="A122" s="1">
        <f>'107_兵卡等级'!B122</f>
        <v>117</v>
      </c>
      <c r="B122" s="1">
        <f ca="1">'107_兵卡等级'!L122</f>
        <v>111</v>
      </c>
      <c r="C122" s="1">
        <f ca="1">OFFSET(养成规划!$B$6,MATCH(B122,养成规划!$B$6:$B$77,1)-1,0)</f>
        <v>110</v>
      </c>
      <c r="D122" s="1">
        <f ca="1">MAX(3,OFFSET(养成规划!$X$6,MATCH(C122,养成规划!$B$6:$B$77,0)-1,0))</f>
        <v>6.1</v>
      </c>
      <c r="E122" s="1">
        <f ca="1">MAX(1,OFFSET(控制台!$J$374,MATCH(C122,控制台!$B$374:$B$445,0)-1,0))</f>
        <v>27</v>
      </c>
      <c r="F122" s="1">
        <f ca="1">MAX(1,OFFSET(养成规划!$V$6,MATCH(C122,养成规划!$S$6:$S$77,0)-1,0))</f>
        <v>5</v>
      </c>
      <c r="G122" s="1">
        <f ca="1">MAX(9,OFFSET(控制台!$L$374,MATCH(C122,控制台!$B$374:$B$445,0)-1,0))</f>
        <v>87</v>
      </c>
      <c r="H122" s="1">
        <f ca="1">MAX(1,_xlfn.FLOOR.MATH(OFFSET(养成规划!$Y$6,MATCH(C122,养成规划!$B$6:$B$77,0)-1,0)/100))</f>
        <v>3</v>
      </c>
      <c r="I122" s="1">
        <f ca="1">MAX(1,MOD(OFFSET(养成规划!$Y$6,MATCH(C122,养成规划!$B$6:$B$77,0)-1,0),100))</f>
        <v>6</v>
      </c>
      <c r="J122" s="1" t="str">
        <f ca="1">OFFSET(养成规划!$Z$6,MATCH(C122,养成规划!$B$6:$B$77,0)-1,0)</f>
        <v>银+</v>
      </c>
      <c r="K122" s="1">
        <f ca="1">OFFSET(养成规划!$AB$6,MATCH(C122,养成规划!$B$6:$B$77,0)-1,0)</f>
        <v>40</v>
      </c>
      <c r="L122" s="1">
        <f ca="1">OFFSET(养成规划!$AC$6,MATCH(C122,养成规划!$B$6:$B$77,0)-1,0)</f>
        <v>10</v>
      </c>
      <c r="M122" s="14">
        <f ca="1">OFFSET(控制台!$R$476,MATCH(C122,控制台!$B$476:$B$547,0)-1,0)</f>
        <v>0.3</v>
      </c>
      <c r="N122" s="14">
        <f ca="1">OFFSET(控制台!$S$476,MATCH(C122,控制台!$B$476:$B$547,0)-1,0)</f>
        <v>0.3</v>
      </c>
      <c r="O122" s="14">
        <f ca="1">OFFSET(控制台!$U$5057,MATCH(C122,控制台!$B$5057:$B$5128,0)-1,0)</f>
        <v>0.05</v>
      </c>
      <c r="P122" s="14">
        <f ca="1">OFFSET(控制台!$V$5057,MATCH(C122,控制台!$B$5057:$B$5128,0)-1,0)</f>
        <v>0.05</v>
      </c>
      <c r="Q122" s="14">
        <f ca="1">OFFSET(控制台!$T$5057,MATCH(C122,控制台!$B$5057:$B$5128,0)-1,0)</f>
        <v>0.25</v>
      </c>
    </row>
    <row r="123" spans="1:17">
      <c r="A123" s="1">
        <f>'107_兵卡等级'!B123</f>
        <v>118</v>
      </c>
      <c r="B123" s="1">
        <f ca="1">'107_兵卡等级'!L123</f>
        <v>114</v>
      </c>
      <c r="C123" s="1">
        <f ca="1">OFFSET(养成规划!$B$6,MATCH(B123,养成规划!$B$6:$B$77,1)-1,0)</f>
        <v>110</v>
      </c>
      <c r="D123" s="1">
        <f ca="1">MAX(3,OFFSET(养成规划!$X$6,MATCH(C123,养成规划!$B$6:$B$77,0)-1,0))</f>
        <v>6.1</v>
      </c>
      <c r="E123" s="1">
        <f ca="1">MAX(1,OFFSET(控制台!$J$374,MATCH(C123,控制台!$B$374:$B$445,0)-1,0))</f>
        <v>27</v>
      </c>
      <c r="F123" s="1">
        <f ca="1">MAX(1,OFFSET(养成规划!$V$6,MATCH(C123,养成规划!$S$6:$S$77,0)-1,0))</f>
        <v>5</v>
      </c>
      <c r="G123" s="1">
        <f ca="1">MAX(9,OFFSET(控制台!$L$374,MATCH(C123,控制台!$B$374:$B$445,0)-1,0))</f>
        <v>87</v>
      </c>
      <c r="H123" s="1">
        <f ca="1">MAX(1,_xlfn.FLOOR.MATH(OFFSET(养成规划!$Y$6,MATCH(C123,养成规划!$B$6:$B$77,0)-1,0)/100))</f>
        <v>3</v>
      </c>
      <c r="I123" s="1">
        <f ca="1">MAX(1,MOD(OFFSET(养成规划!$Y$6,MATCH(C123,养成规划!$B$6:$B$77,0)-1,0),100))</f>
        <v>6</v>
      </c>
      <c r="J123" s="1" t="str">
        <f ca="1">OFFSET(养成规划!$Z$6,MATCH(C123,养成规划!$B$6:$B$77,0)-1,0)</f>
        <v>银+</v>
      </c>
      <c r="K123" s="1">
        <f ca="1">OFFSET(养成规划!$AB$6,MATCH(C123,养成规划!$B$6:$B$77,0)-1,0)</f>
        <v>40</v>
      </c>
      <c r="L123" s="1">
        <f ca="1">OFFSET(养成规划!$AC$6,MATCH(C123,养成规划!$B$6:$B$77,0)-1,0)</f>
        <v>10</v>
      </c>
      <c r="M123" s="14">
        <f ca="1">OFFSET(控制台!$R$476,MATCH(C123,控制台!$B$476:$B$547,0)-1,0)</f>
        <v>0.3</v>
      </c>
      <c r="N123" s="14">
        <f ca="1">OFFSET(控制台!$S$476,MATCH(C123,控制台!$B$476:$B$547,0)-1,0)</f>
        <v>0.3</v>
      </c>
      <c r="O123" s="14">
        <f ca="1">OFFSET(控制台!$U$5057,MATCH(C123,控制台!$B$5057:$B$5128,0)-1,0)</f>
        <v>0.05</v>
      </c>
      <c r="P123" s="14">
        <f ca="1">OFFSET(控制台!$V$5057,MATCH(C123,控制台!$B$5057:$B$5128,0)-1,0)</f>
        <v>0.05</v>
      </c>
      <c r="Q123" s="14">
        <f ca="1">OFFSET(控制台!$T$5057,MATCH(C123,控制台!$B$5057:$B$5128,0)-1,0)</f>
        <v>0.25</v>
      </c>
    </row>
    <row r="124" spans="1:17">
      <c r="A124" s="1">
        <f>'107_兵卡等级'!B124</f>
        <v>119</v>
      </c>
      <c r="B124" s="1">
        <f ca="1">'107_兵卡等级'!L124</f>
        <v>117</v>
      </c>
      <c r="C124" s="1">
        <f ca="1">OFFSET(养成规划!$B$6,MATCH(B124,养成规划!$B$6:$B$77,1)-1,0)</f>
        <v>115</v>
      </c>
      <c r="D124" s="1">
        <f ca="1">MAX(3,OFFSET(养成规划!$X$6,MATCH(C124,养成规划!$B$6:$B$77,0)-1,0))</f>
        <v>6.1</v>
      </c>
      <c r="E124" s="1">
        <f ca="1">MAX(1,OFFSET(控制台!$J$374,MATCH(C124,控制台!$B$374:$B$445,0)-1,0))</f>
        <v>27</v>
      </c>
      <c r="F124" s="1">
        <f ca="1">MAX(1,OFFSET(养成规划!$V$6,MATCH(C124,养成规划!$S$6:$S$77,0)-1,0))</f>
        <v>5</v>
      </c>
      <c r="G124" s="1">
        <f ca="1">MAX(9,OFFSET(控制台!$L$374,MATCH(C124,控制台!$B$374:$B$445,0)-1,0))</f>
        <v>87</v>
      </c>
      <c r="H124" s="1">
        <f ca="1">MAX(1,_xlfn.FLOOR.MATH(OFFSET(养成规划!$Y$6,MATCH(C124,养成规划!$B$6:$B$77,0)-1,0)/100))</f>
        <v>3</v>
      </c>
      <c r="I124" s="1">
        <f ca="1">MAX(1,MOD(OFFSET(养成规划!$Y$6,MATCH(C124,养成规划!$B$6:$B$77,0)-1,0),100))</f>
        <v>7</v>
      </c>
      <c r="J124" s="1" t="str">
        <f ca="1">OFFSET(养成规划!$Z$6,MATCH(C124,养成规划!$B$6:$B$77,0)-1,0)</f>
        <v>金</v>
      </c>
      <c r="K124" s="1">
        <f ca="1">OFFSET(养成规划!$AB$6,MATCH(C124,养成规划!$B$6:$B$77,0)-1,0)</f>
        <v>40</v>
      </c>
      <c r="L124" s="1">
        <f ca="1">OFFSET(养成规划!$AC$6,MATCH(C124,养成规划!$B$6:$B$77,0)-1,0)</f>
        <v>10</v>
      </c>
      <c r="M124" s="14">
        <f ca="1">OFFSET(控制台!$R$476,MATCH(C124,控制台!$B$476:$B$547,0)-1,0)</f>
        <v>0.3</v>
      </c>
      <c r="N124" s="14">
        <f ca="1">OFFSET(控制台!$S$476,MATCH(C124,控制台!$B$476:$B$547,0)-1,0)</f>
        <v>0.3</v>
      </c>
      <c r="O124" s="14">
        <f ca="1">OFFSET(控制台!$U$5057,MATCH(C124,控制台!$B$5057:$B$5128,0)-1,0)</f>
        <v>0.05</v>
      </c>
      <c r="P124" s="14">
        <f ca="1">OFFSET(控制台!$V$5057,MATCH(C124,控制台!$B$5057:$B$5128,0)-1,0)</f>
        <v>0.05</v>
      </c>
      <c r="Q124" s="14">
        <f ca="1">OFFSET(控制台!$T$5057,MATCH(C124,控制台!$B$5057:$B$5128,0)-1,0)</f>
        <v>0.25</v>
      </c>
    </row>
    <row r="125" spans="1:17">
      <c r="A125" s="1">
        <f>'107_兵卡等级'!B125</f>
        <v>120</v>
      </c>
      <c r="B125" s="1">
        <f ca="1">'107_兵卡等级'!L125</f>
        <v>120</v>
      </c>
      <c r="C125" s="1">
        <f ca="1">OFFSET(养成规划!$B$6,MATCH(B125,养成规划!$B$6:$B$77,1)-1,0)</f>
        <v>120</v>
      </c>
      <c r="D125" s="1">
        <f ca="1">MAX(3,OFFSET(养成规划!$X$6,MATCH(C125,养成规划!$B$6:$B$77,0)-1,0))</f>
        <v>7</v>
      </c>
      <c r="E125" s="1">
        <f ca="1">MAX(1,OFFSET(控制台!$J$374,MATCH(C125,控制台!$B$374:$B$445,0)-1,0))</f>
        <v>28</v>
      </c>
      <c r="F125" s="1">
        <f ca="1">MAX(1,OFFSET(养成规划!$V$6,MATCH(C125,养成规划!$S$6:$S$77,0)-1,0))</f>
        <v>5</v>
      </c>
      <c r="G125" s="1">
        <f ca="1">MAX(9,OFFSET(控制台!$L$374,MATCH(C125,控制台!$B$374:$B$445,0)-1,0))</f>
        <v>90</v>
      </c>
      <c r="H125" s="1">
        <f ca="1">MAX(1,_xlfn.FLOOR.MATH(OFFSET(养成规划!$Y$6,MATCH(C125,养成规划!$B$6:$B$77,0)-1,0)/100))</f>
        <v>4</v>
      </c>
      <c r="I125" s="1">
        <f ca="1">MAX(1,MOD(OFFSET(养成规划!$Y$6,MATCH(C125,养成规划!$B$6:$B$77,0)-1,0),100))</f>
        <v>1</v>
      </c>
      <c r="J125" s="1" t="str">
        <f ca="1">OFFSET(养成规划!$Z$6,MATCH(C125,养成规划!$B$6:$B$77,0)-1,0)</f>
        <v>金</v>
      </c>
      <c r="K125" s="1">
        <f ca="1">OFFSET(养成规划!$AB$6,MATCH(C125,养成规划!$B$6:$B$77,0)-1,0)</f>
        <v>50</v>
      </c>
      <c r="L125" s="1">
        <f ca="1">OFFSET(养成规划!$AC$6,MATCH(C125,养成规划!$B$6:$B$77,0)-1,0)</f>
        <v>10</v>
      </c>
      <c r="M125" s="14">
        <f ca="1">OFFSET(控制台!$R$476,MATCH(C125,控制台!$B$476:$B$547,0)-1,0)</f>
        <v>0.3</v>
      </c>
      <c r="N125" s="14">
        <f ca="1">OFFSET(控制台!$S$476,MATCH(C125,控制台!$B$476:$B$547,0)-1,0)</f>
        <v>0.3</v>
      </c>
      <c r="O125" s="14">
        <f ca="1">OFFSET(控制台!$U$5057,MATCH(C125,控制台!$B$5057:$B$5128,0)-1,0)</f>
        <v>0.15</v>
      </c>
      <c r="P125" s="14">
        <f ca="1">OFFSET(控制台!$V$5057,MATCH(C125,控制台!$B$5057:$B$5128,0)-1,0)</f>
        <v>0.05</v>
      </c>
      <c r="Q125" s="14">
        <f ca="1">OFFSET(控制台!$T$5057,MATCH(C125,控制台!$B$5057:$B$5128,0)-1,0)</f>
        <v>0.25</v>
      </c>
    </row>
    <row r="126" spans="1:17">
      <c r="A126" s="1">
        <f>'107_兵卡等级'!B126</f>
        <v>121</v>
      </c>
      <c r="B126" s="1">
        <f ca="1">'107_兵卡等级'!L126</f>
        <v>123</v>
      </c>
      <c r="C126" s="1">
        <f ca="1">OFFSET(养成规划!$B$6,MATCH(B126,养成规划!$B$6:$B$77,1)-1,0)</f>
        <v>120</v>
      </c>
      <c r="D126" s="1">
        <f ca="1">MAX(3,OFFSET(养成规划!$X$6,MATCH(C126,养成规划!$B$6:$B$77,0)-1,0))</f>
        <v>7</v>
      </c>
      <c r="E126" s="1">
        <f ca="1">MAX(1,OFFSET(控制台!$J$374,MATCH(C126,控制台!$B$374:$B$445,0)-1,0))</f>
        <v>28</v>
      </c>
      <c r="F126" s="1">
        <f ca="1">MAX(1,OFFSET(养成规划!$V$6,MATCH(C126,养成规划!$S$6:$S$77,0)-1,0))</f>
        <v>5</v>
      </c>
      <c r="G126" s="1">
        <f ca="1">MAX(9,OFFSET(控制台!$L$374,MATCH(C126,控制台!$B$374:$B$445,0)-1,0))</f>
        <v>90</v>
      </c>
      <c r="H126" s="1">
        <f ca="1">MAX(1,_xlfn.FLOOR.MATH(OFFSET(养成规划!$Y$6,MATCH(C126,养成规划!$B$6:$B$77,0)-1,0)/100))</f>
        <v>4</v>
      </c>
      <c r="I126" s="1">
        <f ca="1">MAX(1,MOD(OFFSET(养成规划!$Y$6,MATCH(C126,养成规划!$B$6:$B$77,0)-1,0),100))</f>
        <v>1</v>
      </c>
      <c r="J126" s="1" t="str">
        <f ca="1">OFFSET(养成规划!$Z$6,MATCH(C126,养成规划!$B$6:$B$77,0)-1,0)</f>
        <v>金</v>
      </c>
      <c r="K126" s="1">
        <f ca="1">OFFSET(养成规划!$AB$6,MATCH(C126,养成规划!$B$6:$B$77,0)-1,0)</f>
        <v>50</v>
      </c>
      <c r="L126" s="1">
        <f ca="1">OFFSET(养成规划!$AC$6,MATCH(C126,养成规划!$B$6:$B$77,0)-1,0)</f>
        <v>10</v>
      </c>
      <c r="M126" s="14">
        <f ca="1">OFFSET(控制台!$R$476,MATCH(C126,控制台!$B$476:$B$547,0)-1,0)</f>
        <v>0.3</v>
      </c>
      <c r="N126" s="14">
        <f ca="1">OFFSET(控制台!$S$476,MATCH(C126,控制台!$B$476:$B$547,0)-1,0)</f>
        <v>0.3</v>
      </c>
      <c r="O126" s="14">
        <f ca="1">OFFSET(控制台!$U$5057,MATCH(C126,控制台!$B$5057:$B$5128,0)-1,0)</f>
        <v>0.15</v>
      </c>
      <c r="P126" s="14">
        <f ca="1">OFFSET(控制台!$V$5057,MATCH(C126,控制台!$B$5057:$B$5128,0)-1,0)</f>
        <v>0.05</v>
      </c>
      <c r="Q126" s="14">
        <f ca="1">OFFSET(控制台!$T$5057,MATCH(C126,控制台!$B$5057:$B$5128,0)-1,0)</f>
        <v>0.25</v>
      </c>
    </row>
    <row r="127" spans="1:17">
      <c r="A127" s="1">
        <f>'107_兵卡等级'!B127</f>
        <v>122</v>
      </c>
      <c r="B127" s="1">
        <f ca="1">'107_兵卡等级'!L127</f>
        <v>126</v>
      </c>
      <c r="C127" s="1">
        <f ca="1">OFFSET(养成规划!$B$6,MATCH(B127,养成规划!$B$6:$B$77,1)-1,0)</f>
        <v>120</v>
      </c>
      <c r="D127" s="1">
        <f ca="1">MAX(3,OFFSET(养成规划!$X$6,MATCH(C127,养成规划!$B$6:$B$77,0)-1,0))</f>
        <v>7</v>
      </c>
      <c r="E127" s="1">
        <f ca="1">MAX(1,OFFSET(控制台!$J$374,MATCH(C127,控制台!$B$374:$B$445,0)-1,0))</f>
        <v>28</v>
      </c>
      <c r="F127" s="1">
        <f ca="1">MAX(1,OFFSET(养成规划!$V$6,MATCH(C127,养成规划!$S$6:$S$77,0)-1,0))</f>
        <v>5</v>
      </c>
      <c r="G127" s="1">
        <f ca="1">MAX(9,OFFSET(控制台!$L$374,MATCH(C127,控制台!$B$374:$B$445,0)-1,0))</f>
        <v>90</v>
      </c>
      <c r="H127" s="1">
        <f ca="1">MAX(1,_xlfn.FLOOR.MATH(OFFSET(养成规划!$Y$6,MATCH(C127,养成规划!$B$6:$B$77,0)-1,0)/100))</f>
        <v>4</v>
      </c>
      <c r="I127" s="1">
        <f ca="1">MAX(1,MOD(OFFSET(养成规划!$Y$6,MATCH(C127,养成规划!$B$6:$B$77,0)-1,0),100))</f>
        <v>1</v>
      </c>
      <c r="J127" s="1" t="str">
        <f ca="1">OFFSET(养成规划!$Z$6,MATCH(C127,养成规划!$B$6:$B$77,0)-1,0)</f>
        <v>金</v>
      </c>
      <c r="K127" s="1">
        <f ca="1">OFFSET(养成规划!$AB$6,MATCH(C127,养成规划!$B$6:$B$77,0)-1,0)</f>
        <v>50</v>
      </c>
      <c r="L127" s="1">
        <f ca="1">OFFSET(养成规划!$AC$6,MATCH(C127,养成规划!$B$6:$B$77,0)-1,0)</f>
        <v>10</v>
      </c>
      <c r="M127" s="14">
        <f ca="1">OFFSET(控制台!$R$476,MATCH(C127,控制台!$B$476:$B$547,0)-1,0)</f>
        <v>0.3</v>
      </c>
      <c r="N127" s="14">
        <f ca="1">OFFSET(控制台!$S$476,MATCH(C127,控制台!$B$476:$B$547,0)-1,0)</f>
        <v>0.3</v>
      </c>
      <c r="O127" s="14">
        <f ca="1">OFFSET(控制台!$U$5057,MATCH(C127,控制台!$B$5057:$B$5128,0)-1,0)</f>
        <v>0.15</v>
      </c>
      <c r="P127" s="14">
        <f ca="1">OFFSET(控制台!$V$5057,MATCH(C127,控制台!$B$5057:$B$5128,0)-1,0)</f>
        <v>0.05</v>
      </c>
      <c r="Q127" s="14">
        <f ca="1">OFFSET(控制台!$T$5057,MATCH(C127,控制台!$B$5057:$B$5128,0)-1,0)</f>
        <v>0.25</v>
      </c>
    </row>
    <row r="128" spans="1:17">
      <c r="A128" s="1">
        <f>'107_兵卡等级'!B128</f>
        <v>123</v>
      </c>
      <c r="B128" s="1">
        <f ca="1">'107_兵卡等级'!L128</f>
        <v>129</v>
      </c>
      <c r="C128" s="1">
        <f ca="1">OFFSET(养成规划!$B$6,MATCH(B128,养成规划!$B$6:$B$77,1)-1,0)</f>
        <v>120</v>
      </c>
      <c r="D128" s="1">
        <f ca="1">MAX(3,OFFSET(养成规划!$X$6,MATCH(C128,养成规划!$B$6:$B$77,0)-1,0))</f>
        <v>7</v>
      </c>
      <c r="E128" s="1">
        <f ca="1">MAX(1,OFFSET(控制台!$J$374,MATCH(C128,控制台!$B$374:$B$445,0)-1,0))</f>
        <v>28</v>
      </c>
      <c r="F128" s="1">
        <f ca="1">MAX(1,OFFSET(养成规划!$V$6,MATCH(C128,养成规划!$S$6:$S$77,0)-1,0))</f>
        <v>5</v>
      </c>
      <c r="G128" s="1">
        <f ca="1">MAX(9,OFFSET(控制台!$L$374,MATCH(C128,控制台!$B$374:$B$445,0)-1,0))</f>
        <v>90</v>
      </c>
      <c r="H128" s="1">
        <f ca="1">MAX(1,_xlfn.FLOOR.MATH(OFFSET(养成规划!$Y$6,MATCH(C128,养成规划!$B$6:$B$77,0)-1,0)/100))</f>
        <v>4</v>
      </c>
      <c r="I128" s="1">
        <f ca="1">MAX(1,MOD(OFFSET(养成规划!$Y$6,MATCH(C128,养成规划!$B$6:$B$77,0)-1,0),100))</f>
        <v>1</v>
      </c>
      <c r="J128" s="1" t="str">
        <f ca="1">OFFSET(养成规划!$Z$6,MATCH(C128,养成规划!$B$6:$B$77,0)-1,0)</f>
        <v>金</v>
      </c>
      <c r="K128" s="1">
        <f ca="1">OFFSET(养成规划!$AB$6,MATCH(C128,养成规划!$B$6:$B$77,0)-1,0)</f>
        <v>50</v>
      </c>
      <c r="L128" s="1">
        <f ca="1">OFFSET(养成规划!$AC$6,MATCH(C128,养成规划!$B$6:$B$77,0)-1,0)</f>
        <v>10</v>
      </c>
      <c r="M128" s="14">
        <f ca="1">OFFSET(控制台!$R$476,MATCH(C128,控制台!$B$476:$B$547,0)-1,0)</f>
        <v>0.3</v>
      </c>
      <c r="N128" s="14">
        <f ca="1">OFFSET(控制台!$S$476,MATCH(C128,控制台!$B$476:$B$547,0)-1,0)</f>
        <v>0.3</v>
      </c>
      <c r="O128" s="14">
        <f ca="1">OFFSET(控制台!$U$5057,MATCH(C128,控制台!$B$5057:$B$5128,0)-1,0)</f>
        <v>0.15</v>
      </c>
      <c r="P128" s="14">
        <f ca="1">OFFSET(控制台!$V$5057,MATCH(C128,控制台!$B$5057:$B$5128,0)-1,0)</f>
        <v>0.05</v>
      </c>
      <c r="Q128" s="14">
        <f ca="1">OFFSET(控制台!$T$5057,MATCH(C128,控制台!$B$5057:$B$5128,0)-1,0)</f>
        <v>0.25</v>
      </c>
    </row>
    <row r="129" spans="1:17">
      <c r="A129" s="1">
        <f>'107_兵卡等级'!B129</f>
        <v>124</v>
      </c>
      <c r="B129" s="1">
        <f ca="1">'107_兵卡等级'!L129</f>
        <v>132</v>
      </c>
      <c r="C129" s="1">
        <f ca="1">OFFSET(养成规划!$B$6,MATCH(B129,养成规划!$B$6:$B$77,1)-1,0)</f>
        <v>120</v>
      </c>
      <c r="D129" s="1">
        <f ca="1">MAX(3,OFFSET(养成规划!$X$6,MATCH(C129,养成规划!$B$6:$B$77,0)-1,0))</f>
        <v>7</v>
      </c>
      <c r="E129" s="1">
        <f ca="1">MAX(1,OFFSET(控制台!$J$374,MATCH(C129,控制台!$B$374:$B$445,0)-1,0))</f>
        <v>28</v>
      </c>
      <c r="F129" s="1">
        <f ca="1">MAX(1,OFFSET(养成规划!$V$6,MATCH(C129,养成规划!$S$6:$S$77,0)-1,0))</f>
        <v>5</v>
      </c>
      <c r="G129" s="1">
        <f ca="1">MAX(9,OFFSET(控制台!$L$374,MATCH(C129,控制台!$B$374:$B$445,0)-1,0))</f>
        <v>90</v>
      </c>
      <c r="H129" s="1">
        <f ca="1">MAX(1,_xlfn.FLOOR.MATH(OFFSET(养成规划!$Y$6,MATCH(C129,养成规划!$B$6:$B$77,0)-1,0)/100))</f>
        <v>4</v>
      </c>
      <c r="I129" s="1">
        <f ca="1">MAX(1,MOD(OFFSET(养成规划!$Y$6,MATCH(C129,养成规划!$B$6:$B$77,0)-1,0),100))</f>
        <v>1</v>
      </c>
      <c r="J129" s="1" t="str">
        <f ca="1">OFFSET(养成规划!$Z$6,MATCH(C129,养成规划!$B$6:$B$77,0)-1,0)</f>
        <v>金</v>
      </c>
      <c r="K129" s="1">
        <f ca="1">OFFSET(养成规划!$AB$6,MATCH(C129,养成规划!$B$6:$B$77,0)-1,0)</f>
        <v>50</v>
      </c>
      <c r="L129" s="1">
        <f ca="1">OFFSET(养成规划!$AC$6,MATCH(C129,养成规划!$B$6:$B$77,0)-1,0)</f>
        <v>10</v>
      </c>
      <c r="M129" s="14">
        <f ca="1">OFFSET(控制台!$R$476,MATCH(C129,控制台!$B$476:$B$547,0)-1,0)</f>
        <v>0.3</v>
      </c>
      <c r="N129" s="14">
        <f ca="1">OFFSET(控制台!$S$476,MATCH(C129,控制台!$B$476:$B$547,0)-1,0)</f>
        <v>0.3</v>
      </c>
      <c r="O129" s="14">
        <f ca="1">OFFSET(控制台!$U$5057,MATCH(C129,控制台!$B$5057:$B$5128,0)-1,0)</f>
        <v>0.15</v>
      </c>
      <c r="P129" s="14">
        <f ca="1">OFFSET(控制台!$V$5057,MATCH(C129,控制台!$B$5057:$B$5128,0)-1,0)</f>
        <v>0.05</v>
      </c>
      <c r="Q129" s="14">
        <f ca="1">OFFSET(控制台!$T$5057,MATCH(C129,控制台!$B$5057:$B$5128,0)-1,0)</f>
        <v>0.25</v>
      </c>
    </row>
    <row r="130" spans="1:17">
      <c r="A130" s="1">
        <f>'107_兵卡等级'!B130</f>
        <v>125</v>
      </c>
      <c r="B130" s="1">
        <f ca="1">'107_兵卡等级'!L130</f>
        <v>135</v>
      </c>
      <c r="C130" s="1">
        <f ca="1">OFFSET(养成规划!$B$6,MATCH(B130,养成规划!$B$6:$B$77,1)-1,0)</f>
        <v>120</v>
      </c>
      <c r="D130" s="1">
        <f ca="1">MAX(3,OFFSET(养成规划!$X$6,MATCH(C130,养成规划!$B$6:$B$77,0)-1,0))</f>
        <v>7</v>
      </c>
      <c r="E130" s="1">
        <f ca="1">MAX(1,OFFSET(控制台!$J$374,MATCH(C130,控制台!$B$374:$B$445,0)-1,0))</f>
        <v>28</v>
      </c>
      <c r="F130" s="1">
        <f ca="1">MAX(1,OFFSET(养成规划!$V$6,MATCH(C130,养成规划!$S$6:$S$77,0)-1,0))</f>
        <v>5</v>
      </c>
      <c r="G130" s="1">
        <f ca="1">MAX(9,OFFSET(控制台!$L$374,MATCH(C130,控制台!$B$374:$B$445,0)-1,0))</f>
        <v>90</v>
      </c>
      <c r="H130" s="1">
        <f ca="1">MAX(1,_xlfn.FLOOR.MATH(OFFSET(养成规划!$Y$6,MATCH(C130,养成规划!$B$6:$B$77,0)-1,0)/100))</f>
        <v>4</v>
      </c>
      <c r="I130" s="1">
        <f ca="1">MAX(1,MOD(OFFSET(养成规划!$Y$6,MATCH(C130,养成规划!$B$6:$B$77,0)-1,0),100))</f>
        <v>1</v>
      </c>
      <c r="J130" s="1" t="str">
        <f ca="1">OFFSET(养成规划!$Z$6,MATCH(C130,养成规划!$B$6:$B$77,0)-1,0)</f>
        <v>金</v>
      </c>
      <c r="K130" s="1">
        <f ca="1">OFFSET(养成规划!$AB$6,MATCH(C130,养成规划!$B$6:$B$77,0)-1,0)</f>
        <v>50</v>
      </c>
      <c r="L130" s="1">
        <f ca="1">OFFSET(养成规划!$AC$6,MATCH(C130,养成规划!$B$6:$B$77,0)-1,0)</f>
        <v>10</v>
      </c>
      <c r="M130" s="14">
        <f ca="1">OFFSET(控制台!$R$476,MATCH(C130,控制台!$B$476:$B$547,0)-1,0)</f>
        <v>0.3</v>
      </c>
      <c r="N130" s="14">
        <f ca="1">OFFSET(控制台!$S$476,MATCH(C130,控制台!$B$476:$B$547,0)-1,0)</f>
        <v>0.3</v>
      </c>
      <c r="O130" s="14">
        <f ca="1">OFFSET(控制台!$U$5057,MATCH(C130,控制台!$B$5057:$B$5128,0)-1,0)</f>
        <v>0.15</v>
      </c>
      <c r="P130" s="14">
        <f ca="1">OFFSET(控制台!$V$5057,MATCH(C130,控制台!$B$5057:$B$5128,0)-1,0)</f>
        <v>0.05</v>
      </c>
      <c r="Q130" s="14">
        <f ca="1">OFFSET(控制台!$T$5057,MATCH(C130,控制台!$B$5057:$B$5128,0)-1,0)</f>
        <v>0.25</v>
      </c>
    </row>
    <row r="131" spans="1:17">
      <c r="A131" s="1">
        <f>'107_兵卡等级'!B131</f>
        <v>126</v>
      </c>
      <c r="B131" s="1">
        <f ca="1">'107_兵卡等级'!L131</f>
        <v>138</v>
      </c>
      <c r="C131" s="1">
        <f ca="1">OFFSET(养成规划!$B$6,MATCH(B131,养成规划!$B$6:$B$77,1)-1,0)</f>
        <v>120</v>
      </c>
      <c r="D131" s="1">
        <f ca="1">MAX(3,OFFSET(养成规划!$X$6,MATCH(C131,养成规划!$B$6:$B$77,0)-1,0))</f>
        <v>7</v>
      </c>
      <c r="E131" s="1">
        <f ca="1">MAX(1,OFFSET(控制台!$J$374,MATCH(C131,控制台!$B$374:$B$445,0)-1,0))</f>
        <v>28</v>
      </c>
      <c r="F131" s="1">
        <f ca="1">MAX(1,OFFSET(养成规划!$V$6,MATCH(C131,养成规划!$S$6:$S$77,0)-1,0))</f>
        <v>5</v>
      </c>
      <c r="G131" s="1">
        <f ca="1">MAX(9,OFFSET(控制台!$L$374,MATCH(C131,控制台!$B$374:$B$445,0)-1,0))</f>
        <v>90</v>
      </c>
      <c r="H131" s="1">
        <f ca="1">MAX(1,_xlfn.FLOOR.MATH(OFFSET(养成规划!$Y$6,MATCH(C131,养成规划!$B$6:$B$77,0)-1,0)/100))</f>
        <v>4</v>
      </c>
      <c r="I131" s="1">
        <f ca="1">MAX(1,MOD(OFFSET(养成规划!$Y$6,MATCH(C131,养成规划!$B$6:$B$77,0)-1,0),100))</f>
        <v>1</v>
      </c>
      <c r="J131" s="1" t="str">
        <f ca="1">OFFSET(养成规划!$Z$6,MATCH(C131,养成规划!$B$6:$B$77,0)-1,0)</f>
        <v>金</v>
      </c>
      <c r="K131" s="1">
        <f ca="1">OFFSET(养成规划!$AB$6,MATCH(C131,养成规划!$B$6:$B$77,0)-1,0)</f>
        <v>50</v>
      </c>
      <c r="L131" s="1">
        <f ca="1">OFFSET(养成规划!$AC$6,MATCH(C131,养成规划!$B$6:$B$77,0)-1,0)</f>
        <v>10</v>
      </c>
      <c r="M131" s="14">
        <f ca="1">OFFSET(控制台!$R$476,MATCH(C131,控制台!$B$476:$B$547,0)-1,0)</f>
        <v>0.3</v>
      </c>
      <c r="N131" s="14">
        <f ca="1">OFFSET(控制台!$S$476,MATCH(C131,控制台!$B$476:$B$547,0)-1,0)</f>
        <v>0.3</v>
      </c>
      <c r="O131" s="14">
        <f ca="1">OFFSET(控制台!$U$5057,MATCH(C131,控制台!$B$5057:$B$5128,0)-1,0)</f>
        <v>0.15</v>
      </c>
      <c r="P131" s="14">
        <f ca="1">OFFSET(控制台!$V$5057,MATCH(C131,控制台!$B$5057:$B$5128,0)-1,0)</f>
        <v>0.05</v>
      </c>
      <c r="Q131" s="14">
        <f ca="1">OFFSET(控制台!$T$5057,MATCH(C131,控制台!$B$5057:$B$5128,0)-1,0)</f>
        <v>0.25</v>
      </c>
    </row>
    <row r="132" spans="1:17">
      <c r="A132" s="1">
        <f>'107_兵卡等级'!B132</f>
        <v>127</v>
      </c>
      <c r="B132" s="1">
        <f ca="1">'107_兵卡等级'!L132</f>
        <v>141</v>
      </c>
      <c r="C132" s="1">
        <f ca="1">OFFSET(养成规划!$B$6,MATCH(B132,养成规划!$B$6:$B$77,1)-1,0)</f>
        <v>120</v>
      </c>
      <c r="D132" s="1">
        <f ca="1">MAX(3,OFFSET(养成规划!$X$6,MATCH(C132,养成规划!$B$6:$B$77,0)-1,0))</f>
        <v>7</v>
      </c>
      <c r="E132" s="1">
        <f ca="1">MAX(1,OFFSET(控制台!$J$374,MATCH(C132,控制台!$B$374:$B$445,0)-1,0))</f>
        <v>28</v>
      </c>
      <c r="F132" s="1">
        <f ca="1">MAX(1,OFFSET(养成规划!$V$6,MATCH(C132,养成规划!$S$6:$S$77,0)-1,0))</f>
        <v>5</v>
      </c>
      <c r="G132" s="1">
        <f ca="1">MAX(9,OFFSET(控制台!$L$374,MATCH(C132,控制台!$B$374:$B$445,0)-1,0))</f>
        <v>90</v>
      </c>
      <c r="H132" s="1">
        <f ca="1">MAX(1,_xlfn.FLOOR.MATH(OFFSET(养成规划!$Y$6,MATCH(C132,养成规划!$B$6:$B$77,0)-1,0)/100))</f>
        <v>4</v>
      </c>
      <c r="I132" s="1">
        <f ca="1">MAX(1,MOD(OFFSET(养成规划!$Y$6,MATCH(C132,养成规划!$B$6:$B$77,0)-1,0),100))</f>
        <v>1</v>
      </c>
      <c r="J132" s="1" t="str">
        <f ca="1">OFFSET(养成规划!$Z$6,MATCH(C132,养成规划!$B$6:$B$77,0)-1,0)</f>
        <v>金</v>
      </c>
      <c r="K132" s="1">
        <f ca="1">OFFSET(养成规划!$AB$6,MATCH(C132,养成规划!$B$6:$B$77,0)-1,0)</f>
        <v>50</v>
      </c>
      <c r="L132" s="1">
        <f ca="1">OFFSET(养成规划!$AC$6,MATCH(C132,养成规划!$B$6:$B$77,0)-1,0)</f>
        <v>10</v>
      </c>
      <c r="M132" s="14">
        <f ca="1">OFFSET(控制台!$R$476,MATCH(C132,控制台!$B$476:$B$547,0)-1,0)</f>
        <v>0.3</v>
      </c>
      <c r="N132" s="14">
        <f ca="1">OFFSET(控制台!$S$476,MATCH(C132,控制台!$B$476:$B$547,0)-1,0)</f>
        <v>0.3</v>
      </c>
      <c r="O132" s="14">
        <f ca="1">OFFSET(控制台!$U$5057,MATCH(C132,控制台!$B$5057:$B$5128,0)-1,0)</f>
        <v>0.15</v>
      </c>
      <c r="P132" s="14">
        <f ca="1">OFFSET(控制台!$V$5057,MATCH(C132,控制台!$B$5057:$B$5128,0)-1,0)</f>
        <v>0.05</v>
      </c>
      <c r="Q132" s="14">
        <f ca="1">OFFSET(控制台!$T$5057,MATCH(C132,控制台!$B$5057:$B$5128,0)-1,0)</f>
        <v>0.25</v>
      </c>
    </row>
    <row r="133" spans="1:17">
      <c r="A133" s="1">
        <f>'107_兵卡等级'!B133</f>
        <v>128</v>
      </c>
      <c r="B133" s="1">
        <f ca="1">'107_兵卡等级'!L133</f>
        <v>144</v>
      </c>
      <c r="C133" s="1">
        <f ca="1">OFFSET(养成规划!$B$6,MATCH(B133,养成规划!$B$6:$B$77,1)-1,0)</f>
        <v>120</v>
      </c>
      <c r="D133" s="1">
        <f ca="1">MAX(3,OFFSET(养成规划!$X$6,MATCH(C133,养成规划!$B$6:$B$77,0)-1,0))</f>
        <v>7</v>
      </c>
      <c r="E133" s="1">
        <f ca="1">MAX(1,OFFSET(控制台!$J$374,MATCH(C133,控制台!$B$374:$B$445,0)-1,0))</f>
        <v>28</v>
      </c>
      <c r="F133" s="1">
        <f ca="1">MAX(1,OFFSET(养成规划!$V$6,MATCH(C133,养成规划!$S$6:$S$77,0)-1,0))</f>
        <v>5</v>
      </c>
      <c r="G133" s="1">
        <f ca="1">MAX(9,OFFSET(控制台!$L$374,MATCH(C133,控制台!$B$374:$B$445,0)-1,0))</f>
        <v>90</v>
      </c>
      <c r="H133" s="1">
        <f ca="1">MAX(1,_xlfn.FLOOR.MATH(OFFSET(养成规划!$Y$6,MATCH(C133,养成规划!$B$6:$B$77,0)-1,0)/100))</f>
        <v>4</v>
      </c>
      <c r="I133" s="1">
        <f ca="1">MAX(1,MOD(OFFSET(养成规划!$Y$6,MATCH(C133,养成规划!$B$6:$B$77,0)-1,0),100))</f>
        <v>1</v>
      </c>
      <c r="J133" s="1" t="str">
        <f ca="1">OFFSET(养成规划!$Z$6,MATCH(C133,养成规划!$B$6:$B$77,0)-1,0)</f>
        <v>金</v>
      </c>
      <c r="K133" s="1">
        <f ca="1">OFFSET(养成规划!$AB$6,MATCH(C133,养成规划!$B$6:$B$77,0)-1,0)</f>
        <v>50</v>
      </c>
      <c r="L133" s="1">
        <f ca="1">OFFSET(养成规划!$AC$6,MATCH(C133,养成规划!$B$6:$B$77,0)-1,0)</f>
        <v>10</v>
      </c>
      <c r="M133" s="14">
        <f ca="1">OFFSET(控制台!$R$476,MATCH(C133,控制台!$B$476:$B$547,0)-1,0)</f>
        <v>0.3</v>
      </c>
      <c r="N133" s="14">
        <f ca="1">OFFSET(控制台!$S$476,MATCH(C133,控制台!$B$476:$B$547,0)-1,0)</f>
        <v>0.3</v>
      </c>
      <c r="O133" s="14">
        <f ca="1">OFFSET(控制台!$U$5057,MATCH(C133,控制台!$B$5057:$B$5128,0)-1,0)</f>
        <v>0.15</v>
      </c>
      <c r="P133" s="14">
        <f ca="1">OFFSET(控制台!$V$5057,MATCH(C133,控制台!$B$5057:$B$5128,0)-1,0)</f>
        <v>0.05</v>
      </c>
      <c r="Q133" s="14">
        <f ca="1">OFFSET(控制台!$T$5057,MATCH(C133,控制台!$B$5057:$B$5128,0)-1,0)</f>
        <v>0.25</v>
      </c>
    </row>
    <row r="134" spans="1:17">
      <c r="A134" s="1">
        <f>'107_兵卡等级'!B134</f>
        <v>129</v>
      </c>
      <c r="B134" s="1">
        <f ca="1">'107_兵卡等级'!L134</f>
        <v>147</v>
      </c>
      <c r="C134" s="1">
        <f ca="1">OFFSET(养成规划!$B$6,MATCH(B134,养成规划!$B$6:$B$77,1)-1,0)</f>
        <v>120</v>
      </c>
      <c r="D134" s="1">
        <f ca="1">MAX(3,OFFSET(养成规划!$X$6,MATCH(C134,养成规划!$B$6:$B$77,0)-1,0))</f>
        <v>7</v>
      </c>
      <c r="E134" s="1">
        <f ca="1">MAX(1,OFFSET(控制台!$J$374,MATCH(C134,控制台!$B$374:$B$445,0)-1,0))</f>
        <v>28</v>
      </c>
      <c r="F134" s="1">
        <f ca="1">MAX(1,OFFSET(养成规划!$V$6,MATCH(C134,养成规划!$S$6:$S$77,0)-1,0))</f>
        <v>5</v>
      </c>
      <c r="G134" s="1">
        <f ca="1">MAX(9,OFFSET(控制台!$L$374,MATCH(C134,控制台!$B$374:$B$445,0)-1,0))</f>
        <v>90</v>
      </c>
      <c r="H134" s="1">
        <f ca="1">MAX(1,_xlfn.FLOOR.MATH(OFFSET(养成规划!$Y$6,MATCH(C134,养成规划!$B$6:$B$77,0)-1,0)/100))</f>
        <v>4</v>
      </c>
      <c r="I134" s="1">
        <f ca="1">MAX(1,MOD(OFFSET(养成规划!$Y$6,MATCH(C134,养成规划!$B$6:$B$77,0)-1,0),100))</f>
        <v>1</v>
      </c>
      <c r="J134" s="1" t="str">
        <f ca="1">OFFSET(养成规划!$Z$6,MATCH(C134,养成规划!$B$6:$B$77,0)-1,0)</f>
        <v>金</v>
      </c>
      <c r="K134" s="1">
        <f ca="1">OFFSET(养成规划!$AB$6,MATCH(C134,养成规划!$B$6:$B$77,0)-1,0)</f>
        <v>50</v>
      </c>
      <c r="L134" s="1">
        <f ca="1">OFFSET(养成规划!$AC$6,MATCH(C134,养成规划!$B$6:$B$77,0)-1,0)</f>
        <v>10</v>
      </c>
      <c r="M134" s="14">
        <f ca="1">OFFSET(控制台!$R$476,MATCH(C134,控制台!$B$476:$B$547,0)-1,0)</f>
        <v>0.3</v>
      </c>
      <c r="N134" s="14">
        <f ca="1">OFFSET(控制台!$S$476,MATCH(C134,控制台!$B$476:$B$547,0)-1,0)</f>
        <v>0.3</v>
      </c>
      <c r="O134" s="14">
        <f ca="1">OFFSET(控制台!$U$5057,MATCH(C134,控制台!$B$5057:$B$5128,0)-1,0)</f>
        <v>0.15</v>
      </c>
      <c r="P134" s="14">
        <f ca="1">OFFSET(控制台!$V$5057,MATCH(C134,控制台!$B$5057:$B$5128,0)-1,0)</f>
        <v>0.05</v>
      </c>
      <c r="Q134" s="14">
        <f ca="1">OFFSET(控制台!$T$5057,MATCH(C134,控制台!$B$5057:$B$5128,0)-1,0)</f>
        <v>0.25</v>
      </c>
    </row>
    <row r="135" spans="1:17">
      <c r="A135" s="1">
        <f>'107_兵卡等级'!B135</f>
        <v>130</v>
      </c>
      <c r="B135" s="1">
        <f ca="1">'107_兵卡等级'!L135</f>
        <v>150</v>
      </c>
      <c r="C135" s="1">
        <f ca="1">OFFSET(养成规划!$B$6,MATCH(B135,养成规划!$B$6:$B$77,1)-1,0)</f>
        <v>150</v>
      </c>
      <c r="D135" s="1">
        <f ca="1">MAX(3,OFFSET(养成规划!$X$6,MATCH(C135,养成规划!$B$6:$B$77,0)-1,0))</f>
        <v>7</v>
      </c>
      <c r="E135" s="1">
        <f ca="1">MAX(1,OFFSET(控制台!$J$374,MATCH(C135,控制台!$B$374:$B$445,0)-1,0))</f>
        <v>28</v>
      </c>
      <c r="F135" s="1">
        <f ca="1">MAX(1,OFFSET(养成规划!$V$6,MATCH(C135,养成规划!$S$6:$S$77,0)-1,0))</f>
        <v>5</v>
      </c>
      <c r="G135" s="1">
        <f ca="1">MAX(9,OFFSET(控制台!$L$374,MATCH(C135,控制台!$B$374:$B$445,0)-1,0))</f>
        <v>90</v>
      </c>
      <c r="H135" s="1">
        <f ca="1">MAX(1,_xlfn.FLOOR.MATH(OFFSET(养成规划!$Y$6,MATCH(C135,养成规划!$B$6:$B$77,0)-1,0)/100))</f>
        <v>4</v>
      </c>
      <c r="I135" s="1">
        <f ca="1">MAX(1,MOD(OFFSET(养成规划!$Y$6,MATCH(C135,养成规划!$B$6:$B$77,0)-1,0),100))</f>
        <v>3</v>
      </c>
      <c r="J135" s="1" t="str">
        <f ca="1">OFFSET(养成规划!$Z$6,MATCH(C135,养成规划!$B$6:$B$77,0)-1,0)</f>
        <v>金</v>
      </c>
      <c r="K135" s="1">
        <f ca="1">OFFSET(养成规划!$AB$6,MATCH(C135,养成规划!$B$6:$B$77,0)-1,0)</f>
        <v>50</v>
      </c>
      <c r="L135" s="1">
        <f ca="1">OFFSET(养成规划!$AC$6,MATCH(C135,养成规划!$B$6:$B$77,0)-1,0)</f>
        <v>11</v>
      </c>
      <c r="M135" s="14">
        <f ca="1">OFFSET(控制台!$R$476,MATCH(C135,控制台!$B$476:$B$547,0)-1,0)</f>
        <v>0.3</v>
      </c>
      <c r="N135" s="14">
        <f ca="1">OFFSET(控制台!$S$476,MATCH(C135,控制台!$B$476:$B$547,0)-1,0)</f>
        <v>0.5</v>
      </c>
      <c r="O135" s="14">
        <f ca="1">OFFSET(控制台!$U$5057,MATCH(C135,控制台!$B$5057:$B$5128,0)-1,0)</f>
        <v>0.15</v>
      </c>
      <c r="P135" s="14">
        <f ca="1">OFFSET(控制台!$V$5057,MATCH(C135,控制台!$B$5057:$B$5128,0)-1,0)</f>
        <v>0.05</v>
      </c>
      <c r="Q135" s="14">
        <f ca="1">OFFSET(控制台!$T$5057,MATCH(C135,控制台!$B$5057:$B$5128,0)-1,0)</f>
        <v>0.25</v>
      </c>
    </row>
    <row r="136" spans="1:17">
      <c r="A136" s="1">
        <f>'107_兵卡等级'!B136</f>
        <v>131</v>
      </c>
      <c r="B136" s="1">
        <f ca="1">'107_兵卡等级'!L136</f>
        <v>153</v>
      </c>
      <c r="C136" s="1">
        <f ca="1">OFFSET(养成规划!$B$6,MATCH(B136,养成规划!$B$6:$B$77,1)-1,0)</f>
        <v>150</v>
      </c>
      <c r="D136" s="1">
        <f ca="1">MAX(3,OFFSET(养成规划!$X$6,MATCH(C136,养成规划!$B$6:$B$77,0)-1,0))</f>
        <v>7</v>
      </c>
      <c r="E136" s="1">
        <f ca="1">MAX(1,OFFSET(控制台!$J$374,MATCH(C136,控制台!$B$374:$B$445,0)-1,0))</f>
        <v>28</v>
      </c>
      <c r="F136" s="1">
        <f ca="1">MAX(1,OFFSET(养成规划!$V$6,MATCH(C136,养成规划!$S$6:$S$77,0)-1,0))</f>
        <v>5</v>
      </c>
      <c r="G136" s="1">
        <f ca="1">MAX(9,OFFSET(控制台!$L$374,MATCH(C136,控制台!$B$374:$B$445,0)-1,0))</f>
        <v>90</v>
      </c>
      <c r="H136" s="1">
        <f ca="1">MAX(1,_xlfn.FLOOR.MATH(OFFSET(养成规划!$Y$6,MATCH(C136,养成规划!$B$6:$B$77,0)-1,0)/100))</f>
        <v>4</v>
      </c>
      <c r="I136" s="1">
        <f ca="1">MAX(1,MOD(OFFSET(养成规划!$Y$6,MATCH(C136,养成规划!$B$6:$B$77,0)-1,0),100))</f>
        <v>3</v>
      </c>
      <c r="J136" s="1" t="str">
        <f ca="1">OFFSET(养成规划!$Z$6,MATCH(C136,养成规划!$B$6:$B$77,0)-1,0)</f>
        <v>金</v>
      </c>
      <c r="K136" s="1">
        <f ca="1">OFFSET(养成规划!$AB$6,MATCH(C136,养成规划!$B$6:$B$77,0)-1,0)</f>
        <v>50</v>
      </c>
      <c r="L136" s="1">
        <f ca="1">OFFSET(养成规划!$AC$6,MATCH(C136,养成规划!$B$6:$B$77,0)-1,0)</f>
        <v>11</v>
      </c>
      <c r="M136" s="14">
        <f ca="1">OFFSET(控制台!$R$476,MATCH(C136,控制台!$B$476:$B$547,0)-1,0)</f>
        <v>0.3</v>
      </c>
      <c r="N136" s="14">
        <f ca="1">OFFSET(控制台!$S$476,MATCH(C136,控制台!$B$476:$B$547,0)-1,0)</f>
        <v>0.5</v>
      </c>
      <c r="O136" s="14">
        <f ca="1">OFFSET(控制台!$U$5057,MATCH(C136,控制台!$B$5057:$B$5128,0)-1,0)</f>
        <v>0.15</v>
      </c>
      <c r="P136" s="14">
        <f ca="1">OFFSET(控制台!$V$5057,MATCH(C136,控制台!$B$5057:$B$5128,0)-1,0)</f>
        <v>0.05</v>
      </c>
      <c r="Q136" s="14">
        <f ca="1">OFFSET(控制台!$T$5057,MATCH(C136,控制台!$B$5057:$B$5128,0)-1,0)</f>
        <v>0.25</v>
      </c>
    </row>
    <row r="137" spans="1:17">
      <c r="A137" s="1">
        <f>'107_兵卡等级'!B137</f>
        <v>132</v>
      </c>
      <c r="B137" s="1">
        <f ca="1">'107_兵卡等级'!L137</f>
        <v>156</v>
      </c>
      <c r="C137" s="1">
        <f ca="1">OFFSET(养成规划!$B$6,MATCH(B137,养成规划!$B$6:$B$77,1)-1,0)</f>
        <v>150</v>
      </c>
      <c r="D137" s="1">
        <f ca="1">MAX(3,OFFSET(养成规划!$X$6,MATCH(C137,养成规划!$B$6:$B$77,0)-1,0))</f>
        <v>7</v>
      </c>
      <c r="E137" s="1">
        <f ca="1">MAX(1,OFFSET(控制台!$J$374,MATCH(C137,控制台!$B$374:$B$445,0)-1,0))</f>
        <v>28</v>
      </c>
      <c r="F137" s="1">
        <f ca="1">MAX(1,OFFSET(养成规划!$V$6,MATCH(C137,养成规划!$S$6:$S$77,0)-1,0))</f>
        <v>5</v>
      </c>
      <c r="G137" s="1">
        <f ca="1">MAX(9,OFFSET(控制台!$L$374,MATCH(C137,控制台!$B$374:$B$445,0)-1,0))</f>
        <v>90</v>
      </c>
      <c r="H137" s="1">
        <f ca="1">MAX(1,_xlfn.FLOOR.MATH(OFFSET(养成规划!$Y$6,MATCH(C137,养成规划!$B$6:$B$77,0)-1,0)/100))</f>
        <v>4</v>
      </c>
      <c r="I137" s="1">
        <f ca="1">MAX(1,MOD(OFFSET(养成规划!$Y$6,MATCH(C137,养成规划!$B$6:$B$77,0)-1,0),100))</f>
        <v>3</v>
      </c>
      <c r="J137" s="1" t="str">
        <f ca="1">OFFSET(养成规划!$Z$6,MATCH(C137,养成规划!$B$6:$B$77,0)-1,0)</f>
        <v>金</v>
      </c>
      <c r="K137" s="1">
        <f ca="1">OFFSET(养成规划!$AB$6,MATCH(C137,养成规划!$B$6:$B$77,0)-1,0)</f>
        <v>50</v>
      </c>
      <c r="L137" s="1">
        <f ca="1">OFFSET(养成规划!$AC$6,MATCH(C137,养成规划!$B$6:$B$77,0)-1,0)</f>
        <v>11</v>
      </c>
      <c r="M137" s="14">
        <f ca="1">OFFSET(控制台!$R$476,MATCH(C137,控制台!$B$476:$B$547,0)-1,0)</f>
        <v>0.3</v>
      </c>
      <c r="N137" s="14">
        <f ca="1">OFFSET(控制台!$S$476,MATCH(C137,控制台!$B$476:$B$547,0)-1,0)</f>
        <v>0.5</v>
      </c>
      <c r="O137" s="14">
        <f ca="1">OFFSET(控制台!$U$5057,MATCH(C137,控制台!$B$5057:$B$5128,0)-1,0)</f>
        <v>0.15</v>
      </c>
      <c r="P137" s="14">
        <f ca="1">OFFSET(控制台!$V$5057,MATCH(C137,控制台!$B$5057:$B$5128,0)-1,0)</f>
        <v>0.05</v>
      </c>
      <c r="Q137" s="14">
        <f ca="1">OFFSET(控制台!$T$5057,MATCH(C137,控制台!$B$5057:$B$5128,0)-1,0)</f>
        <v>0.25</v>
      </c>
    </row>
    <row r="138" spans="1:17">
      <c r="A138" s="1">
        <f>'107_兵卡等级'!B138</f>
        <v>133</v>
      </c>
      <c r="B138" s="1">
        <f ca="1">'107_兵卡等级'!L138</f>
        <v>159</v>
      </c>
      <c r="C138" s="1">
        <f ca="1">OFFSET(养成规划!$B$6,MATCH(B138,养成规划!$B$6:$B$77,1)-1,0)</f>
        <v>150</v>
      </c>
      <c r="D138" s="1">
        <f ca="1">MAX(3,OFFSET(养成规划!$X$6,MATCH(C138,养成规划!$B$6:$B$77,0)-1,0))</f>
        <v>7</v>
      </c>
      <c r="E138" s="1">
        <f ca="1">MAX(1,OFFSET(控制台!$J$374,MATCH(C138,控制台!$B$374:$B$445,0)-1,0))</f>
        <v>28</v>
      </c>
      <c r="F138" s="1">
        <f ca="1">MAX(1,OFFSET(养成规划!$V$6,MATCH(C138,养成规划!$S$6:$S$77,0)-1,0))</f>
        <v>5</v>
      </c>
      <c r="G138" s="1">
        <f ca="1">MAX(9,OFFSET(控制台!$L$374,MATCH(C138,控制台!$B$374:$B$445,0)-1,0))</f>
        <v>90</v>
      </c>
      <c r="H138" s="1">
        <f ca="1">MAX(1,_xlfn.FLOOR.MATH(OFFSET(养成规划!$Y$6,MATCH(C138,养成规划!$B$6:$B$77,0)-1,0)/100))</f>
        <v>4</v>
      </c>
      <c r="I138" s="1">
        <f ca="1">MAX(1,MOD(OFFSET(养成规划!$Y$6,MATCH(C138,养成规划!$B$6:$B$77,0)-1,0),100))</f>
        <v>3</v>
      </c>
      <c r="J138" s="1" t="str">
        <f ca="1">OFFSET(养成规划!$Z$6,MATCH(C138,养成规划!$B$6:$B$77,0)-1,0)</f>
        <v>金</v>
      </c>
      <c r="K138" s="1">
        <f ca="1">OFFSET(养成规划!$AB$6,MATCH(C138,养成规划!$B$6:$B$77,0)-1,0)</f>
        <v>50</v>
      </c>
      <c r="L138" s="1">
        <f ca="1">OFFSET(养成规划!$AC$6,MATCH(C138,养成规划!$B$6:$B$77,0)-1,0)</f>
        <v>11</v>
      </c>
      <c r="M138" s="14">
        <f ca="1">OFFSET(控制台!$R$476,MATCH(C138,控制台!$B$476:$B$547,0)-1,0)</f>
        <v>0.3</v>
      </c>
      <c r="N138" s="14">
        <f ca="1">OFFSET(控制台!$S$476,MATCH(C138,控制台!$B$476:$B$547,0)-1,0)</f>
        <v>0.5</v>
      </c>
      <c r="O138" s="14">
        <f ca="1">OFFSET(控制台!$U$5057,MATCH(C138,控制台!$B$5057:$B$5128,0)-1,0)</f>
        <v>0.15</v>
      </c>
      <c r="P138" s="14">
        <f ca="1">OFFSET(控制台!$V$5057,MATCH(C138,控制台!$B$5057:$B$5128,0)-1,0)</f>
        <v>0.05</v>
      </c>
      <c r="Q138" s="14">
        <f ca="1">OFFSET(控制台!$T$5057,MATCH(C138,控制台!$B$5057:$B$5128,0)-1,0)</f>
        <v>0.25</v>
      </c>
    </row>
    <row r="139" spans="1:17">
      <c r="A139" s="1">
        <f>'107_兵卡等级'!B139</f>
        <v>134</v>
      </c>
      <c r="B139" s="1">
        <f ca="1">'107_兵卡等级'!L139</f>
        <v>162</v>
      </c>
      <c r="C139" s="1">
        <f ca="1">OFFSET(养成规划!$B$6,MATCH(B139,养成规划!$B$6:$B$77,1)-1,0)</f>
        <v>150</v>
      </c>
      <c r="D139" s="1">
        <f ca="1">MAX(3,OFFSET(养成规划!$X$6,MATCH(C139,养成规划!$B$6:$B$77,0)-1,0))</f>
        <v>7</v>
      </c>
      <c r="E139" s="1">
        <f ca="1">MAX(1,OFFSET(控制台!$J$374,MATCH(C139,控制台!$B$374:$B$445,0)-1,0))</f>
        <v>28</v>
      </c>
      <c r="F139" s="1">
        <f ca="1">MAX(1,OFFSET(养成规划!$V$6,MATCH(C139,养成规划!$S$6:$S$77,0)-1,0))</f>
        <v>5</v>
      </c>
      <c r="G139" s="1">
        <f ca="1">MAX(9,OFFSET(控制台!$L$374,MATCH(C139,控制台!$B$374:$B$445,0)-1,0))</f>
        <v>90</v>
      </c>
      <c r="H139" s="1">
        <f ca="1">MAX(1,_xlfn.FLOOR.MATH(OFFSET(养成规划!$Y$6,MATCH(C139,养成规划!$B$6:$B$77,0)-1,0)/100))</f>
        <v>4</v>
      </c>
      <c r="I139" s="1">
        <f ca="1">MAX(1,MOD(OFFSET(养成规划!$Y$6,MATCH(C139,养成规划!$B$6:$B$77,0)-1,0),100))</f>
        <v>3</v>
      </c>
      <c r="J139" s="1" t="str">
        <f ca="1">OFFSET(养成规划!$Z$6,MATCH(C139,养成规划!$B$6:$B$77,0)-1,0)</f>
        <v>金</v>
      </c>
      <c r="K139" s="1">
        <f ca="1">OFFSET(养成规划!$AB$6,MATCH(C139,养成规划!$B$6:$B$77,0)-1,0)</f>
        <v>50</v>
      </c>
      <c r="L139" s="1">
        <f ca="1">OFFSET(养成规划!$AC$6,MATCH(C139,养成规划!$B$6:$B$77,0)-1,0)</f>
        <v>11</v>
      </c>
      <c r="M139" s="14">
        <f ca="1">OFFSET(控制台!$R$476,MATCH(C139,控制台!$B$476:$B$547,0)-1,0)</f>
        <v>0.3</v>
      </c>
      <c r="N139" s="14">
        <f ca="1">OFFSET(控制台!$S$476,MATCH(C139,控制台!$B$476:$B$547,0)-1,0)</f>
        <v>0.5</v>
      </c>
      <c r="O139" s="14">
        <f ca="1">OFFSET(控制台!$U$5057,MATCH(C139,控制台!$B$5057:$B$5128,0)-1,0)</f>
        <v>0.15</v>
      </c>
      <c r="P139" s="14">
        <f ca="1">OFFSET(控制台!$V$5057,MATCH(C139,控制台!$B$5057:$B$5128,0)-1,0)</f>
        <v>0.05</v>
      </c>
      <c r="Q139" s="14">
        <f ca="1">OFFSET(控制台!$T$5057,MATCH(C139,控制台!$B$5057:$B$5128,0)-1,0)</f>
        <v>0.25</v>
      </c>
    </row>
    <row r="140" spans="1:17">
      <c r="A140" s="1">
        <f>'107_兵卡等级'!B140</f>
        <v>135</v>
      </c>
      <c r="B140" s="1">
        <f ca="1">'107_兵卡等级'!L140</f>
        <v>165</v>
      </c>
      <c r="C140" s="1">
        <f ca="1">OFFSET(养成规划!$B$6,MATCH(B140,养成规划!$B$6:$B$77,1)-1,0)</f>
        <v>150</v>
      </c>
      <c r="D140" s="1">
        <f ca="1">MAX(3,OFFSET(养成规划!$X$6,MATCH(C140,养成规划!$B$6:$B$77,0)-1,0))</f>
        <v>7</v>
      </c>
      <c r="E140" s="1">
        <f ca="1">MAX(1,OFFSET(控制台!$J$374,MATCH(C140,控制台!$B$374:$B$445,0)-1,0))</f>
        <v>28</v>
      </c>
      <c r="F140" s="1">
        <f ca="1">MAX(1,OFFSET(养成规划!$V$6,MATCH(C140,养成规划!$S$6:$S$77,0)-1,0))</f>
        <v>5</v>
      </c>
      <c r="G140" s="1">
        <f ca="1">MAX(9,OFFSET(控制台!$L$374,MATCH(C140,控制台!$B$374:$B$445,0)-1,0))</f>
        <v>90</v>
      </c>
      <c r="H140" s="1">
        <f ca="1">MAX(1,_xlfn.FLOOR.MATH(OFFSET(养成规划!$Y$6,MATCH(C140,养成规划!$B$6:$B$77,0)-1,0)/100))</f>
        <v>4</v>
      </c>
      <c r="I140" s="1">
        <f ca="1">MAX(1,MOD(OFFSET(养成规划!$Y$6,MATCH(C140,养成规划!$B$6:$B$77,0)-1,0),100))</f>
        <v>3</v>
      </c>
      <c r="J140" s="1" t="str">
        <f ca="1">OFFSET(养成规划!$Z$6,MATCH(C140,养成规划!$B$6:$B$77,0)-1,0)</f>
        <v>金</v>
      </c>
      <c r="K140" s="1">
        <f ca="1">OFFSET(养成规划!$AB$6,MATCH(C140,养成规划!$B$6:$B$77,0)-1,0)</f>
        <v>50</v>
      </c>
      <c r="L140" s="1">
        <f ca="1">OFFSET(养成规划!$AC$6,MATCH(C140,养成规划!$B$6:$B$77,0)-1,0)</f>
        <v>11</v>
      </c>
      <c r="M140" s="14">
        <f ca="1">OFFSET(控制台!$R$476,MATCH(C140,控制台!$B$476:$B$547,0)-1,0)</f>
        <v>0.3</v>
      </c>
      <c r="N140" s="14">
        <f ca="1">OFFSET(控制台!$S$476,MATCH(C140,控制台!$B$476:$B$547,0)-1,0)</f>
        <v>0.5</v>
      </c>
      <c r="O140" s="14">
        <f ca="1">OFFSET(控制台!$U$5057,MATCH(C140,控制台!$B$5057:$B$5128,0)-1,0)</f>
        <v>0.15</v>
      </c>
      <c r="P140" s="14">
        <f ca="1">OFFSET(控制台!$V$5057,MATCH(C140,控制台!$B$5057:$B$5128,0)-1,0)</f>
        <v>0.05</v>
      </c>
      <c r="Q140" s="14">
        <f ca="1">OFFSET(控制台!$T$5057,MATCH(C140,控制台!$B$5057:$B$5128,0)-1,0)</f>
        <v>0.25</v>
      </c>
    </row>
    <row r="141" spans="1:17">
      <c r="A141" s="1">
        <f>'107_兵卡等级'!B141</f>
        <v>136</v>
      </c>
      <c r="B141" s="1">
        <f ca="1">'107_兵卡等级'!L141</f>
        <v>168</v>
      </c>
      <c r="C141" s="1">
        <f ca="1">OFFSET(养成规划!$B$6,MATCH(B141,养成规划!$B$6:$B$77,1)-1,0)</f>
        <v>150</v>
      </c>
      <c r="D141" s="1">
        <f ca="1">MAX(3,OFFSET(养成规划!$X$6,MATCH(C141,养成规划!$B$6:$B$77,0)-1,0))</f>
        <v>7</v>
      </c>
      <c r="E141" s="1">
        <f ca="1">MAX(1,OFFSET(控制台!$J$374,MATCH(C141,控制台!$B$374:$B$445,0)-1,0))</f>
        <v>28</v>
      </c>
      <c r="F141" s="1">
        <f ca="1">MAX(1,OFFSET(养成规划!$V$6,MATCH(C141,养成规划!$S$6:$S$77,0)-1,0))</f>
        <v>5</v>
      </c>
      <c r="G141" s="1">
        <f ca="1">MAX(9,OFFSET(控制台!$L$374,MATCH(C141,控制台!$B$374:$B$445,0)-1,0))</f>
        <v>90</v>
      </c>
      <c r="H141" s="1">
        <f ca="1">MAX(1,_xlfn.FLOOR.MATH(OFFSET(养成规划!$Y$6,MATCH(C141,养成规划!$B$6:$B$77,0)-1,0)/100))</f>
        <v>4</v>
      </c>
      <c r="I141" s="1">
        <f ca="1">MAX(1,MOD(OFFSET(养成规划!$Y$6,MATCH(C141,养成规划!$B$6:$B$77,0)-1,0),100))</f>
        <v>3</v>
      </c>
      <c r="J141" s="1" t="str">
        <f ca="1">OFFSET(养成规划!$Z$6,MATCH(C141,养成规划!$B$6:$B$77,0)-1,0)</f>
        <v>金</v>
      </c>
      <c r="K141" s="1">
        <f ca="1">OFFSET(养成规划!$AB$6,MATCH(C141,养成规划!$B$6:$B$77,0)-1,0)</f>
        <v>50</v>
      </c>
      <c r="L141" s="1">
        <f ca="1">OFFSET(养成规划!$AC$6,MATCH(C141,养成规划!$B$6:$B$77,0)-1,0)</f>
        <v>11</v>
      </c>
      <c r="M141" s="14">
        <f ca="1">OFFSET(控制台!$R$476,MATCH(C141,控制台!$B$476:$B$547,0)-1,0)</f>
        <v>0.3</v>
      </c>
      <c r="N141" s="14">
        <f ca="1">OFFSET(控制台!$S$476,MATCH(C141,控制台!$B$476:$B$547,0)-1,0)</f>
        <v>0.5</v>
      </c>
      <c r="O141" s="14">
        <f ca="1">OFFSET(控制台!$U$5057,MATCH(C141,控制台!$B$5057:$B$5128,0)-1,0)</f>
        <v>0.15</v>
      </c>
      <c r="P141" s="14">
        <f ca="1">OFFSET(控制台!$V$5057,MATCH(C141,控制台!$B$5057:$B$5128,0)-1,0)</f>
        <v>0.05</v>
      </c>
      <c r="Q141" s="14">
        <f ca="1">OFFSET(控制台!$T$5057,MATCH(C141,控制台!$B$5057:$B$5128,0)-1,0)</f>
        <v>0.25</v>
      </c>
    </row>
    <row r="142" spans="1:17">
      <c r="A142" s="1">
        <f>'107_兵卡等级'!B142</f>
        <v>137</v>
      </c>
      <c r="B142" s="1">
        <f ca="1">'107_兵卡等级'!L142</f>
        <v>171</v>
      </c>
      <c r="C142" s="1">
        <f ca="1">OFFSET(养成规划!$B$6,MATCH(B142,养成规划!$B$6:$B$77,1)-1,0)</f>
        <v>150</v>
      </c>
      <c r="D142" s="1">
        <f ca="1">MAX(3,OFFSET(养成规划!$X$6,MATCH(C142,养成规划!$B$6:$B$77,0)-1,0))</f>
        <v>7</v>
      </c>
      <c r="E142" s="1">
        <f ca="1">MAX(1,OFFSET(控制台!$J$374,MATCH(C142,控制台!$B$374:$B$445,0)-1,0))</f>
        <v>28</v>
      </c>
      <c r="F142" s="1">
        <f ca="1">MAX(1,OFFSET(养成规划!$V$6,MATCH(C142,养成规划!$S$6:$S$77,0)-1,0))</f>
        <v>5</v>
      </c>
      <c r="G142" s="1">
        <f ca="1">MAX(9,OFFSET(控制台!$L$374,MATCH(C142,控制台!$B$374:$B$445,0)-1,0))</f>
        <v>90</v>
      </c>
      <c r="H142" s="1">
        <f ca="1">MAX(1,_xlfn.FLOOR.MATH(OFFSET(养成规划!$Y$6,MATCH(C142,养成规划!$B$6:$B$77,0)-1,0)/100))</f>
        <v>4</v>
      </c>
      <c r="I142" s="1">
        <f ca="1">MAX(1,MOD(OFFSET(养成规划!$Y$6,MATCH(C142,养成规划!$B$6:$B$77,0)-1,0),100))</f>
        <v>3</v>
      </c>
      <c r="J142" s="1" t="str">
        <f ca="1">OFFSET(养成规划!$Z$6,MATCH(C142,养成规划!$B$6:$B$77,0)-1,0)</f>
        <v>金</v>
      </c>
      <c r="K142" s="1">
        <f ca="1">OFFSET(养成规划!$AB$6,MATCH(C142,养成规划!$B$6:$B$77,0)-1,0)</f>
        <v>50</v>
      </c>
      <c r="L142" s="1">
        <f ca="1">OFFSET(养成规划!$AC$6,MATCH(C142,养成规划!$B$6:$B$77,0)-1,0)</f>
        <v>11</v>
      </c>
      <c r="M142" s="14">
        <f ca="1">OFFSET(控制台!$R$476,MATCH(C142,控制台!$B$476:$B$547,0)-1,0)</f>
        <v>0.3</v>
      </c>
      <c r="N142" s="14">
        <f ca="1">OFFSET(控制台!$S$476,MATCH(C142,控制台!$B$476:$B$547,0)-1,0)</f>
        <v>0.5</v>
      </c>
      <c r="O142" s="14">
        <f ca="1">OFFSET(控制台!$U$5057,MATCH(C142,控制台!$B$5057:$B$5128,0)-1,0)</f>
        <v>0.15</v>
      </c>
      <c r="P142" s="14">
        <f ca="1">OFFSET(控制台!$V$5057,MATCH(C142,控制台!$B$5057:$B$5128,0)-1,0)</f>
        <v>0.05</v>
      </c>
      <c r="Q142" s="14">
        <f ca="1">OFFSET(控制台!$T$5057,MATCH(C142,控制台!$B$5057:$B$5128,0)-1,0)</f>
        <v>0.25</v>
      </c>
    </row>
    <row r="143" spans="1:17">
      <c r="A143" s="1">
        <f>'107_兵卡等级'!B143</f>
        <v>138</v>
      </c>
      <c r="B143" s="1">
        <f ca="1">'107_兵卡等级'!L143</f>
        <v>174</v>
      </c>
      <c r="C143" s="1">
        <f ca="1">OFFSET(养成规划!$B$6,MATCH(B143,养成规划!$B$6:$B$77,1)-1,0)</f>
        <v>150</v>
      </c>
      <c r="D143" s="1">
        <f ca="1">MAX(3,OFFSET(养成规划!$X$6,MATCH(C143,养成规划!$B$6:$B$77,0)-1,0))</f>
        <v>7</v>
      </c>
      <c r="E143" s="1">
        <f ca="1">MAX(1,OFFSET(控制台!$J$374,MATCH(C143,控制台!$B$374:$B$445,0)-1,0))</f>
        <v>28</v>
      </c>
      <c r="F143" s="1">
        <f ca="1">MAX(1,OFFSET(养成规划!$V$6,MATCH(C143,养成规划!$S$6:$S$77,0)-1,0))</f>
        <v>5</v>
      </c>
      <c r="G143" s="1">
        <f ca="1">MAX(9,OFFSET(控制台!$L$374,MATCH(C143,控制台!$B$374:$B$445,0)-1,0))</f>
        <v>90</v>
      </c>
      <c r="H143" s="1">
        <f ca="1">MAX(1,_xlfn.FLOOR.MATH(OFFSET(养成规划!$Y$6,MATCH(C143,养成规划!$B$6:$B$77,0)-1,0)/100))</f>
        <v>4</v>
      </c>
      <c r="I143" s="1">
        <f ca="1">MAX(1,MOD(OFFSET(养成规划!$Y$6,MATCH(C143,养成规划!$B$6:$B$77,0)-1,0),100))</f>
        <v>3</v>
      </c>
      <c r="J143" s="1" t="str">
        <f ca="1">OFFSET(养成规划!$Z$6,MATCH(C143,养成规划!$B$6:$B$77,0)-1,0)</f>
        <v>金</v>
      </c>
      <c r="K143" s="1">
        <f ca="1">OFFSET(养成规划!$AB$6,MATCH(C143,养成规划!$B$6:$B$77,0)-1,0)</f>
        <v>50</v>
      </c>
      <c r="L143" s="1">
        <f ca="1">OFFSET(养成规划!$AC$6,MATCH(C143,养成规划!$B$6:$B$77,0)-1,0)</f>
        <v>11</v>
      </c>
      <c r="M143" s="14">
        <f ca="1">OFFSET(控制台!$R$476,MATCH(C143,控制台!$B$476:$B$547,0)-1,0)</f>
        <v>0.3</v>
      </c>
      <c r="N143" s="14">
        <f ca="1">OFFSET(控制台!$S$476,MATCH(C143,控制台!$B$476:$B$547,0)-1,0)</f>
        <v>0.5</v>
      </c>
      <c r="O143" s="14">
        <f ca="1">OFFSET(控制台!$U$5057,MATCH(C143,控制台!$B$5057:$B$5128,0)-1,0)</f>
        <v>0.15</v>
      </c>
      <c r="P143" s="14">
        <f ca="1">OFFSET(控制台!$V$5057,MATCH(C143,控制台!$B$5057:$B$5128,0)-1,0)</f>
        <v>0.05</v>
      </c>
      <c r="Q143" s="14">
        <f ca="1">OFFSET(控制台!$T$5057,MATCH(C143,控制台!$B$5057:$B$5128,0)-1,0)</f>
        <v>0.25</v>
      </c>
    </row>
    <row r="144" spans="1:17">
      <c r="A144" s="1">
        <f>'107_兵卡等级'!B144</f>
        <v>139</v>
      </c>
      <c r="B144" s="1">
        <f ca="1">'107_兵卡等级'!L144</f>
        <v>177</v>
      </c>
      <c r="C144" s="1">
        <f ca="1">OFFSET(养成规划!$B$6,MATCH(B144,养成规划!$B$6:$B$77,1)-1,0)</f>
        <v>150</v>
      </c>
      <c r="D144" s="1">
        <f ca="1">MAX(3,OFFSET(养成规划!$X$6,MATCH(C144,养成规划!$B$6:$B$77,0)-1,0))</f>
        <v>7</v>
      </c>
      <c r="E144" s="1">
        <f ca="1">MAX(1,OFFSET(控制台!$J$374,MATCH(C144,控制台!$B$374:$B$445,0)-1,0))</f>
        <v>28</v>
      </c>
      <c r="F144" s="1">
        <f ca="1">MAX(1,OFFSET(养成规划!$V$6,MATCH(C144,养成规划!$S$6:$S$77,0)-1,0))</f>
        <v>5</v>
      </c>
      <c r="G144" s="1">
        <f ca="1">MAX(9,OFFSET(控制台!$L$374,MATCH(C144,控制台!$B$374:$B$445,0)-1,0))</f>
        <v>90</v>
      </c>
      <c r="H144" s="1">
        <f ca="1">MAX(1,_xlfn.FLOOR.MATH(OFFSET(养成规划!$Y$6,MATCH(C144,养成规划!$B$6:$B$77,0)-1,0)/100))</f>
        <v>4</v>
      </c>
      <c r="I144" s="1">
        <f ca="1">MAX(1,MOD(OFFSET(养成规划!$Y$6,MATCH(C144,养成规划!$B$6:$B$77,0)-1,0),100))</f>
        <v>3</v>
      </c>
      <c r="J144" s="1" t="str">
        <f ca="1">OFFSET(养成规划!$Z$6,MATCH(C144,养成规划!$B$6:$B$77,0)-1,0)</f>
        <v>金</v>
      </c>
      <c r="K144" s="1">
        <f ca="1">OFFSET(养成规划!$AB$6,MATCH(C144,养成规划!$B$6:$B$77,0)-1,0)</f>
        <v>50</v>
      </c>
      <c r="L144" s="1">
        <f ca="1">OFFSET(养成规划!$AC$6,MATCH(C144,养成规划!$B$6:$B$77,0)-1,0)</f>
        <v>11</v>
      </c>
      <c r="M144" s="14">
        <f ca="1">OFFSET(控制台!$R$476,MATCH(C144,控制台!$B$476:$B$547,0)-1,0)</f>
        <v>0.3</v>
      </c>
      <c r="N144" s="14">
        <f ca="1">OFFSET(控制台!$S$476,MATCH(C144,控制台!$B$476:$B$547,0)-1,0)</f>
        <v>0.5</v>
      </c>
      <c r="O144" s="14">
        <f ca="1">OFFSET(控制台!$U$5057,MATCH(C144,控制台!$B$5057:$B$5128,0)-1,0)</f>
        <v>0.15</v>
      </c>
      <c r="P144" s="14">
        <f ca="1">OFFSET(控制台!$V$5057,MATCH(C144,控制台!$B$5057:$B$5128,0)-1,0)</f>
        <v>0.05</v>
      </c>
      <c r="Q144" s="14">
        <f ca="1">OFFSET(控制台!$T$5057,MATCH(C144,控制台!$B$5057:$B$5128,0)-1,0)</f>
        <v>0.25</v>
      </c>
    </row>
    <row r="145" spans="1:17">
      <c r="A145" s="1">
        <f>'107_兵卡等级'!B145</f>
        <v>140</v>
      </c>
      <c r="B145" s="1">
        <f ca="1">'107_兵卡等级'!L145</f>
        <v>180</v>
      </c>
      <c r="C145" s="1">
        <f ca="1">OFFSET(养成规划!$B$6,MATCH(B145,养成规划!$B$6:$B$77,1)-1,0)</f>
        <v>180</v>
      </c>
      <c r="D145" s="1">
        <f ca="1">MAX(3,OFFSET(养成规划!$X$6,MATCH(C145,养成规划!$B$6:$B$77,0)-1,0))</f>
        <v>7</v>
      </c>
      <c r="E145" s="1">
        <f ca="1">MAX(1,OFFSET(控制台!$J$374,MATCH(C145,控制台!$B$374:$B$445,0)-1,0))</f>
        <v>29</v>
      </c>
      <c r="F145" s="1">
        <f ca="1">MAX(1,OFFSET(养成规划!$V$6,MATCH(C145,养成规划!$S$6:$S$77,0)-1,0))</f>
        <v>5</v>
      </c>
      <c r="G145" s="1">
        <f ca="1">MAX(9,OFFSET(控制台!$L$374,MATCH(C145,控制台!$B$374:$B$445,0)-1,0))</f>
        <v>93</v>
      </c>
      <c r="H145" s="1">
        <f ca="1">MAX(1,_xlfn.FLOOR.MATH(OFFSET(养成规划!$Y$6,MATCH(C145,养成规划!$B$6:$B$77,0)-1,0)/100))</f>
        <v>4</v>
      </c>
      <c r="I145" s="1">
        <f ca="1">MAX(1,MOD(OFFSET(养成规划!$Y$6,MATCH(C145,养成规划!$B$6:$B$77,0)-1,0),100))</f>
        <v>5</v>
      </c>
      <c r="J145" s="1" t="str">
        <f ca="1">OFFSET(养成规划!$Z$6,MATCH(C145,养成规划!$B$6:$B$77,0)-1,0)</f>
        <v>金</v>
      </c>
      <c r="K145" s="1">
        <f ca="1">OFFSET(养成规划!$AB$6,MATCH(C145,养成规划!$B$6:$B$77,0)-1,0)</f>
        <v>50</v>
      </c>
      <c r="L145" s="1">
        <f ca="1">OFFSET(养成规划!$AC$6,MATCH(C145,养成规划!$B$6:$B$77,0)-1,0)</f>
        <v>12</v>
      </c>
      <c r="M145" s="14">
        <f ca="1">OFFSET(控制台!$R$476,MATCH(C145,控制台!$B$476:$B$547,0)-1,0)</f>
        <v>0.3</v>
      </c>
      <c r="N145" s="14">
        <f ca="1">OFFSET(控制台!$S$476,MATCH(C145,控制台!$B$476:$B$547,0)-1,0)</f>
        <v>0.5</v>
      </c>
      <c r="O145" s="14">
        <f ca="1">OFFSET(控制台!$U$5057,MATCH(C145,控制台!$B$5057:$B$5128,0)-1,0)</f>
        <v>0.15</v>
      </c>
      <c r="P145" s="14">
        <f ca="1">OFFSET(控制台!$V$5057,MATCH(C145,控制台!$B$5057:$B$5128,0)-1,0)</f>
        <v>0.15</v>
      </c>
      <c r="Q145" s="14">
        <f ca="1">OFFSET(控制台!$T$5057,MATCH(C145,控制台!$B$5057:$B$5128,0)-1,0)</f>
        <v>0.25</v>
      </c>
    </row>
    <row r="146" spans="1:17">
      <c r="A146" s="1">
        <f>'107_兵卡等级'!B146</f>
        <v>141</v>
      </c>
      <c r="B146" s="1">
        <f ca="1">'107_兵卡等级'!L146</f>
        <v>183</v>
      </c>
      <c r="C146" s="1">
        <f ca="1">OFFSET(养成规划!$B$6,MATCH(B146,养成规划!$B$6:$B$77,1)-1,0)</f>
        <v>180</v>
      </c>
      <c r="D146" s="1">
        <f ca="1">MAX(3,OFFSET(养成规划!$X$6,MATCH(C146,养成规划!$B$6:$B$77,0)-1,0))</f>
        <v>7</v>
      </c>
      <c r="E146" s="1">
        <f ca="1">MAX(1,OFFSET(控制台!$J$374,MATCH(C146,控制台!$B$374:$B$445,0)-1,0))</f>
        <v>29</v>
      </c>
      <c r="F146" s="1">
        <f ca="1">MAX(1,OFFSET(养成规划!$V$6,MATCH(C146,养成规划!$S$6:$S$77,0)-1,0))</f>
        <v>5</v>
      </c>
      <c r="G146" s="1">
        <f ca="1">MAX(9,OFFSET(控制台!$L$374,MATCH(C146,控制台!$B$374:$B$445,0)-1,0))</f>
        <v>93</v>
      </c>
      <c r="H146" s="1">
        <f ca="1">MAX(1,_xlfn.FLOOR.MATH(OFFSET(养成规划!$Y$6,MATCH(C146,养成规划!$B$6:$B$77,0)-1,0)/100))</f>
        <v>4</v>
      </c>
      <c r="I146" s="1">
        <f ca="1">MAX(1,MOD(OFFSET(养成规划!$Y$6,MATCH(C146,养成规划!$B$6:$B$77,0)-1,0),100))</f>
        <v>5</v>
      </c>
      <c r="J146" s="1" t="str">
        <f ca="1">OFFSET(养成规划!$Z$6,MATCH(C146,养成规划!$B$6:$B$77,0)-1,0)</f>
        <v>金</v>
      </c>
      <c r="K146" s="1">
        <f ca="1">OFFSET(养成规划!$AB$6,MATCH(C146,养成规划!$B$6:$B$77,0)-1,0)</f>
        <v>50</v>
      </c>
      <c r="L146" s="1">
        <f ca="1">OFFSET(养成规划!$AC$6,MATCH(C146,养成规划!$B$6:$B$77,0)-1,0)</f>
        <v>12</v>
      </c>
      <c r="M146" s="14">
        <f ca="1">OFFSET(控制台!$R$476,MATCH(C146,控制台!$B$476:$B$547,0)-1,0)</f>
        <v>0.3</v>
      </c>
      <c r="N146" s="14">
        <f ca="1">OFFSET(控制台!$S$476,MATCH(C146,控制台!$B$476:$B$547,0)-1,0)</f>
        <v>0.5</v>
      </c>
      <c r="O146" s="14">
        <f ca="1">OFFSET(控制台!$U$5057,MATCH(C146,控制台!$B$5057:$B$5128,0)-1,0)</f>
        <v>0.15</v>
      </c>
      <c r="P146" s="14">
        <f ca="1">OFFSET(控制台!$V$5057,MATCH(C146,控制台!$B$5057:$B$5128,0)-1,0)</f>
        <v>0.15</v>
      </c>
      <c r="Q146" s="14">
        <f ca="1">OFFSET(控制台!$T$5057,MATCH(C146,控制台!$B$5057:$B$5128,0)-1,0)</f>
        <v>0.25</v>
      </c>
    </row>
    <row r="147" spans="1:17">
      <c r="A147" s="1">
        <f>'107_兵卡等级'!B147</f>
        <v>142</v>
      </c>
      <c r="B147" s="1">
        <f ca="1">'107_兵卡等级'!L147</f>
        <v>186</v>
      </c>
      <c r="C147" s="1">
        <f ca="1">OFFSET(养成规划!$B$6,MATCH(B147,养成规划!$B$6:$B$77,1)-1,0)</f>
        <v>180</v>
      </c>
      <c r="D147" s="1">
        <f ca="1">MAX(3,OFFSET(养成规划!$X$6,MATCH(C147,养成规划!$B$6:$B$77,0)-1,0))</f>
        <v>7</v>
      </c>
      <c r="E147" s="1">
        <f ca="1">MAX(1,OFFSET(控制台!$J$374,MATCH(C147,控制台!$B$374:$B$445,0)-1,0))</f>
        <v>29</v>
      </c>
      <c r="F147" s="1">
        <f ca="1">MAX(1,OFFSET(养成规划!$V$6,MATCH(C147,养成规划!$S$6:$S$77,0)-1,0))</f>
        <v>5</v>
      </c>
      <c r="G147" s="1">
        <f ca="1">MAX(9,OFFSET(控制台!$L$374,MATCH(C147,控制台!$B$374:$B$445,0)-1,0))</f>
        <v>93</v>
      </c>
      <c r="H147" s="1">
        <f ca="1">MAX(1,_xlfn.FLOOR.MATH(OFFSET(养成规划!$Y$6,MATCH(C147,养成规划!$B$6:$B$77,0)-1,0)/100))</f>
        <v>4</v>
      </c>
      <c r="I147" s="1">
        <f ca="1">MAX(1,MOD(OFFSET(养成规划!$Y$6,MATCH(C147,养成规划!$B$6:$B$77,0)-1,0),100))</f>
        <v>5</v>
      </c>
      <c r="J147" s="1" t="str">
        <f ca="1">OFFSET(养成规划!$Z$6,MATCH(C147,养成规划!$B$6:$B$77,0)-1,0)</f>
        <v>金</v>
      </c>
      <c r="K147" s="1">
        <f ca="1">OFFSET(养成规划!$AB$6,MATCH(C147,养成规划!$B$6:$B$77,0)-1,0)</f>
        <v>50</v>
      </c>
      <c r="L147" s="1">
        <f ca="1">OFFSET(养成规划!$AC$6,MATCH(C147,养成规划!$B$6:$B$77,0)-1,0)</f>
        <v>12</v>
      </c>
      <c r="M147" s="14">
        <f ca="1">OFFSET(控制台!$R$476,MATCH(C147,控制台!$B$476:$B$547,0)-1,0)</f>
        <v>0.3</v>
      </c>
      <c r="N147" s="14">
        <f ca="1">OFFSET(控制台!$S$476,MATCH(C147,控制台!$B$476:$B$547,0)-1,0)</f>
        <v>0.5</v>
      </c>
      <c r="O147" s="14">
        <f ca="1">OFFSET(控制台!$U$5057,MATCH(C147,控制台!$B$5057:$B$5128,0)-1,0)</f>
        <v>0.15</v>
      </c>
      <c r="P147" s="14">
        <f ca="1">OFFSET(控制台!$V$5057,MATCH(C147,控制台!$B$5057:$B$5128,0)-1,0)</f>
        <v>0.15</v>
      </c>
      <c r="Q147" s="14">
        <f ca="1">OFFSET(控制台!$T$5057,MATCH(C147,控制台!$B$5057:$B$5128,0)-1,0)</f>
        <v>0.25</v>
      </c>
    </row>
    <row r="148" spans="1:17">
      <c r="A148" s="1">
        <f>'107_兵卡等级'!B148</f>
        <v>143</v>
      </c>
      <c r="B148" s="1">
        <f ca="1">'107_兵卡等级'!L148</f>
        <v>189</v>
      </c>
      <c r="C148" s="1">
        <f ca="1">OFFSET(养成规划!$B$6,MATCH(B148,养成规划!$B$6:$B$77,1)-1,0)</f>
        <v>180</v>
      </c>
      <c r="D148" s="1">
        <f ca="1">MAX(3,OFFSET(养成规划!$X$6,MATCH(C148,养成规划!$B$6:$B$77,0)-1,0))</f>
        <v>7</v>
      </c>
      <c r="E148" s="1">
        <f ca="1">MAX(1,OFFSET(控制台!$J$374,MATCH(C148,控制台!$B$374:$B$445,0)-1,0))</f>
        <v>29</v>
      </c>
      <c r="F148" s="1">
        <f ca="1">MAX(1,OFFSET(养成规划!$V$6,MATCH(C148,养成规划!$S$6:$S$77,0)-1,0))</f>
        <v>5</v>
      </c>
      <c r="G148" s="1">
        <f ca="1">MAX(9,OFFSET(控制台!$L$374,MATCH(C148,控制台!$B$374:$B$445,0)-1,0))</f>
        <v>93</v>
      </c>
      <c r="H148" s="1">
        <f ca="1">MAX(1,_xlfn.FLOOR.MATH(OFFSET(养成规划!$Y$6,MATCH(C148,养成规划!$B$6:$B$77,0)-1,0)/100))</f>
        <v>4</v>
      </c>
      <c r="I148" s="1">
        <f ca="1">MAX(1,MOD(OFFSET(养成规划!$Y$6,MATCH(C148,养成规划!$B$6:$B$77,0)-1,0),100))</f>
        <v>5</v>
      </c>
      <c r="J148" s="1" t="str">
        <f ca="1">OFFSET(养成规划!$Z$6,MATCH(C148,养成规划!$B$6:$B$77,0)-1,0)</f>
        <v>金</v>
      </c>
      <c r="K148" s="1">
        <f ca="1">OFFSET(养成规划!$AB$6,MATCH(C148,养成规划!$B$6:$B$77,0)-1,0)</f>
        <v>50</v>
      </c>
      <c r="L148" s="1">
        <f ca="1">OFFSET(养成规划!$AC$6,MATCH(C148,养成规划!$B$6:$B$77,0)-1,0)</f>
        <v>12</v>
      </c>
      <c r="M148" s="14">
        <f ca="1">OFFSET(控制台!$R$476,MATCH(C148,控制台!$B$476:$B$547,0)-1,0)</f>
        <v>0.3</v>
      </c>
      <c r="N148" s="14">
        <f ca="1">OFFSET(控制台!$S$476,MATCH(C148,控制台!$B$476:$B$547,0)-1,0)</f>
        <v>0.5</v>
      </c>
      <c r="O148" s="14">
        <f ca="1">OFFSET(控制台!$U$5057,MATCH(C148,控制台!$B$5057:$B$5128,0)-1,0)</f>
        <v>0.15</v>
      </c>
      <c r="P148" s="14">
        <f ca="1">OFFSET(控制台!$V$5057,MATCH(C148,控制台!$B$5057:$B$5128,0)-1,0)</f>
        <v>0.15</v>
      </c>
      <c r="Q148" s="14">
        <f ca="1">OFFSET(控制台!$T$5057,MATCH(C148,控制台!$B$5057:$B$5128,0)-1,0)</f>
        <v>0.25</v>
      </c>
    </row>
    <row r="149" spans="1:17">
      <c r="A149" s="1">
        <f>'107_兵卡等级'!B149</f>
        <v>144</v>
      </c>
      <c r="B149" s="1">
        <f ca="1">'107_兵卡等级'!L149</f>
        <v>192</v>
      </c>
      <c r="C149" s="1">
        <f ca="1">OFFSET(养成规划!$B$6,MATCH(B149,养成规划!$B$6:$B$77,1)-1,0)</f>
        <v>180</v>
      </c>
      <c r="D149" s="1">
        <f ca="1">MAX(3,OFFSET(养成规划!$X$6,MATCH(C149,养成规划!$B$6:$B$77,0)-1,0))</f>
        <v>7</v>
      </c>
      <c r="E149" s="1">
        <f ca="1">MAX(1,OFFSET(控制台!$J$374,MATCH(C149,控制台!$B$374:$B$445,0)-1,0))</f>
        <v>29</v>
      </c>
      <c r="F149" s="1">
        <f ca="1">MAX(1,OFFSET(养成规划!$V$6,MATCH(C149,养成规划!$S$6:$S$77,0)-1,0))</f>
        <v>5</v>
      </c>
      <c r="G149" s="1">
        <f ca="1">MAX(9,OFFSET(控制台!$L$374,MATCH(C149,控制台!$B$374:$B$445,0)-1,0))</f>
        <v>93</v>
      </c>
      <c r="H149" s="1">
        <f ca="1">MAX(1,_xlfn.FLOOR.MATH(OFFSET(养成规划!$Y$6,MATCH(C149,养成规划!$B$6:$B$77,0)-1,0)/100))</f>
        <v>4</v>
      </c>
      <c r="I149" s="1">
        <f ca="1">MAX(1,MOD(OFFSET(养成规划!$Y$6,MATCH(C149,养成规划!$B$6:$B$77,0)-1,0),100))</f>
        <v>5</v>
      </c>
      <c r="J149" s="1" t="str">
        <f ca="1">OFFSET(养成规划!$Z$6,MATCH(C149,养成规划!$B$6:$B$77,0)-1,0)</f>
        <v>金</v>
      </c>
      <c r="K149" s="1">
        <f ca="1">OFFSET(养成规划!$AB$6,MATCH(C149,养成规划!$B$6:$B$77,0)-1,0)</f>
        <v>50</v>
      </c>
      <c r="L149" s="1">
        <f ca="1">OFFSET(养成规划!$AC$6,MATCH(C149,养成规划!$B$6:$B$77,0)-1,0)</f>
        <v>12</v>
      </c>
      <c r="M149" s="14">
        <f ca="1">OFFSET(控制台!$R$476,MATCH(C149,控制台!$B$476:$B$547,0)-1,0)</f>
        <v>0.3</v>
      </c>
      <c r="N149" s="14">
        <f ca="1">OFFSET(控制台!$S$476,MATCH(C149,控制台!$B$476:$B$547,0)-1,0)</f>
        <v>0.5</v>
      </c>
      <c r="O149" s="14">
        <f ca="1">OFFSET(控制台!$U$5057,MATCH(C149,控制台!$B$5057:$B$5128,0)-1,0)</f>
        <v>0.15</v>
      </c>
      <c r="P149" s="14">
        <f ca="1">OFFSET(控制台!$V$5057,MATCH(C149,控制台!$B$5057:$B$5128,0)-1,0)</f>
        <v>0.15</v>
      </c>
      <c r="Q149" s="14">
        <f ca="1">OFFSET(控制台!$T$5057,MATCH(C149,控制台!$B$5057:$B$5128,0)-1,0)</f>
        <v>0.25</v>
      </c>
    </row>
    <row r="150" spans="1:17">
      <c r="A150" s="1">
        <f>'107_兵卡等级'!B150</f>
        <v>145</v>
      </c>
      <c r="B150" s="1">
        <f ca="1">'107_兵卡等级'!L150</f>
        <v>195</v>
      </c>
      <c r="C150" s="1">
        <f ca="1">OFFSET(养成规划!$B$6,MATCH(B150,养成规划!$B$6:$B$77,1)-1,0)</f>
        <v>180</v>
      </c>
      <c r="D150" s="1">
        <f ca="1">MAX(3,OFFSET(养成规划!$X$6,MATCH(C150,养成规划!$B$6:$B$77,0)-1,0))</f>
        <v>7</v>
      </c>
      <c r="E150" s="1">
        <f ca="1">MAX(1,OFFSET(控制台!$J$374,MATCH(C150,控制台!$B$374:$B$445,0)-1,0))</f>
        <v>29</v>
      </c>
      <c r="F150" s="1">
        <f ca="1">MAX(1,OFFSET(养成规划!$V$6,MATCH(C150,养成规划!$S$6:$S$77,0)-1,0))</f>
        <v>5</v>
      </c>
      <c r="G150" s="1">
        <f ca="1">MAX(9,OFFSET(控制台!$L$374,MATCH(C150,控制台!$B$374:$B$445,0)-1,0))</f>
        <v>93</v>
      </c>
      <c r="H150" s="1">
        <f ca="1">MAX(1,_xlfn.FLOOR.MATH(OFFSET(养成规划!$Y$6,MATCH(C150,养成规划!$B$6:$B$77,0)-1,0)/100))</f>
        <v>4</v>
      </c>
      <c r="I150" s="1">
        <f ca="1">MAX(1,MOD(OFFSET(养成规划!$Y$6,MATCH(C150,养成规划!$B$6:$B$77,0)-1,0),100))</f>
        <v>5</v>
      </c>
      <c r="J150" s="1" t="str">
        <f ca="1">OFFSET(养成规划!$Z$6,MATCH(C150,养成规划!$B$6:$B$77,0)-1,0)</f>
        <v>金</v>
      </c>
      <c r="K150" s="1">
        <f ca="1">OFFSET(养成规划!$AB$6,MATCH(C150,养成规划!$B$6:$B$77,0)-1,0)</f>
        <v>50</v>
      </c>
      <c r="L150" s="1">
        <f ca="1">OFFSET(养成规划!$AC$6,MATCH(C150,养成规划!$B$6:$B$77,0)-1,0)</f>
        <v>12</v>
      </c>
      <c r="M150" s="14">
        <f ca="1">OFFSET(控制台!$R$476,MATCH(C150,控制台!$B$476:$B$547,0)-1,0)</f>
        <v>0.3</v>
      </c>
      <c r="N150" s="14">
        <f ca="1">OFFSET(控制台!$S$476,MATCH(C150,控制台!$B$476:$B$547,0)-1,0)</f>
        <v>0.5</v>
      </c>
      <c r="O150" s="14">
        <f ca="1">OFFSET(控制台!$U$5057,MATCH(C150,控制台!$B$5057:$B$5128,0)-1,0)</f>
        <v>0.15</v>
      </c>
      <c r="P150" s="14">
        <f ca="1">OFFSET(控制台!$V$5057,MATCH(C150,控制台!$B$5057:$B$5128,0)-1,0)</f>
        <v>0.15</v>
      </c>
      <c r="Q150" s="14">
        <f ca="1">OFFSET(控制台!$T$5057,MATCH(C150,控制台!$B$5057:$B$5128,0)-1,0)</f>
        <v>0.25</v>
      </c>
    </row>
    <row r="151" spans="1:17">
      <c r="A151" s="1">
        <f>'107_兵卡等级'!B151</f>
        <v>146</v>
      </c>
      <c r="B151" s="1">
        <f ca="1">'107_兵卡等级'!L151</f>
        <v>198</v>
      </c>
      <c r="C151" s="1">
        <f ca="1">OFFSET(养成规划!$B$6,MATCH(B151,养成规划!$B$6:$B$77,1)-1,0)</f>
        <v>180</v>
      </c>
      <c r="D151" s="1">
        <f ca="1">MAX(3,OFFSET(养成规划!$X$6,MATCH(C151,养成规划!$B$6:$B$77,0)-1,0))</f>
        <v>7</v>
      </c>
      <c r="E151" s="1">
        <f ca="1">MAX(1,OFFSET(控制台!$J$374,MATCH(C151,控制台!$B$374:$B$445,0)-1,0))</f>
        <v>29</v>
      </c>
      <c r="F151" s="1">
        <f ca="1">MAX(1,OFFSET(养成规划!$V$6,MATCH(C151,养成规划!$S$6:$S$77,0)-1,0))</f>
        <v>5</v>
      </c>
      <c r="G151" s="1">
        <f ca="1">MAX(9,OFFSET(控制台!$L$374,MATCH(C151,控制台!$B$374:$B$445,0)-1,0))</f>
        <v>93</v>
      </c>
      <c r="H151" s="1">
        <f ca="1">MAX(1,_xlfn.FLOOR.MATH(OFFSET(养成规划!$Y$6,MATCH(C151,养成规划!$B$6:$B$77,0)-1,0)/100))</f>
        <v>4</v>
      </c>
      <c r="I151" s="1">
        <f ca="1">MAX(1,MOD(OFFSET(养成规划!$Y$6,MATCH(C151,养成规划!$B$6:$B$77,0)-1,0),100))</f>
        <v>5</v>
      </c>
      <c r="J151" s="1" t="str">
        <f ca="1">OFFSET(养成规划!$Z$6,MATCH(C151,养成规划!$B$6:$B$77,0)-1,0)</f>
        <v>金</v>
      </c>
      <c r="K151" s="1">
        <f ca="1">OFFSET(养成规划!$AB$6,MATCH(C151,养成规划!$B$6:$B$77,0)-1,0)</f>
        <v>50</v>
      </c>
      <c r="L151" s="1">
        <f ca="1">OFFSET(养成规划!$AC$6,MATCH(C151,养成规划!$B$6:$B$77,0)-1,0)</f>
        <v>12</v>
      </c>
      <c r="M151" s="14">
        <f ca="1">OFFSET(控制台!$R$476,MATCH(C151,控制台!$B$476:$B$547,0)-1,0)</f>
        <v>0.3</v>
      </c>
      <c r="N151" s="14">
        <f ca="1">OFFSET(控制台!$S$476,MATCH(C151,控制台!$B$476:$B$547,0)-1,0)</f>
        <v>0.5</v>
      </c>
      <c r="O151" s="14">
        <f ca="1">OFFSET(控制台!$U$5057,MATCH(C151,控制台!$B$5057:$B$5128,0)-1,0)</f>
        <v>0.15</v>
      </c>
      <c r="P151" s="14">
        <f ca="1">OFFSET(控制台!$V$5057,MATCH(C151,控制台!$B$5057:$B$5128,0)-1,0)</f>
        <v>0.15</v>
      </c>
      <c r="Q151" s="14">
        <f ca="1">OFFSET(控制台!$T$5057,MATCH(C151,控制台!$B$5057:$B$5128,0)-1,0)</f>
        <v>0.25</v>
      </c>
    </row>
    <row r="152" spans="1:17">
      <c r="A152" s="1">
        <f>'107_兵卡等级'!B152</f>
        <v>147</v>
      </c>
      <c r="B152" s="1">
        <f ca="1">'107_兵卡等级'!L152</f>
        <v>201</v>
      </c>
      <c r="C152" s="1">
        <f ca="1">OFFSET(养成规划!$B$6,MATCH(B152,养成规划!$B$6:$B$77,1)-1,0)</f>
        <v>180</v>
      </c>
      <c r="D152" s="1">
        <f ca="1">MAX(3,OFFSET(养成规划!$X$6,MATCH(C152,养成规划!$B$6:$B$77,0)-1,0))</f>
        <v>7</v>
      </c>
      <c r="E152" s="1">
        <f ca="1">MAX(1,OFFSET(控制台!$J$374,MATCH(C152,控制台!$B$374:$B$445,0)-1,0))</f>
        <v>29</v>
      </c>
      <c r="F152" s="1">
        <f ca="1">MAX(1,OFFSET(养成规划!$V$6,MATCH(C152,养成规划!$S$6:$S$77,0)-1,0))</f>
        <v>5</v>
      </c>
      <c r="G152" s="1">
        <f ca="1">MAX(9,OFFSET(控制台!$L$374,MATCH(C152,控制台!$B$374:$B$445,0)-1,0))</f>
        <v>93</v>
      </c>
      <c r="H152" s="1">
        <f ca="1">MAX(1,_xlfn.FLOOR.MATH(OFFSET(养成规划!$Y$6,MATCH(C152,养成规划!$B$6:$B$77,0)-1,0)/100))</f>
        <v>4</v>
      </c>
      <c r="I152" s="1">
        <f ca="1">MAX(1,MOD(OFFSET(养成规划!$Y$6,MATCH(C152,养成规划!$B$6:$B$77,0)-1,0),100))</f>
        <v>5</v>
      </c>
      <c r="J152" s="1" t="str">
        <f ca="1">OFFSET(养成规划!$Z$6,MATCH(C152,养成规划!$B$6:$B$77,0)-1,0)</f>
        <v>金</v>
      </c>
      <c r="K152" s="1">
        <f ca="1">OFFSET(养成规划!$AB$6,MATCH(C152,养成规划!$B$6:$B$77,0)-1,0)</f>
        <v>50</v>
      </c>
      <c r="L152" s="1">
        <f ca="1">OFFSET(养成规划!$AC$6,MATCH(C152,养成规划!$B$6:$B$77,0)-1,0)</f>
        <v>12</v>
      </c>
      <c r="M152" s="14">
        <f ca="1">OFFSET(控制台!$R$476,MATCH(C152,控制台!$B$476:$B$547,0)-1,0)</f>
        <v>0.3</v>
      </c>
      <c r="N152" s="14">
        <f ca="1">OFFSET(控制台!$S$476,MATCH(C152,控制台!$B$476:$B$547,0)-1,0)</f>
        <v>0.5</v>
      </c>
      <c r="O152" s="14">
        <f ca="1">OFFSET(控制台!$U$5057,MATCH(C152,控制台!$B$5057:$B$5128,0)-1,0)</f>
        <v>0.15</v>
      </c>
      <c r="P152" s="14">
        <f ca="1">OFFSET(控制台!$V$5057,MATCH(C152,控制台!$B$5057:$B$5128,0)-1,0)</f>
        <v>0.15</v>
      </c>
      <c r="Q152" s="14">
        <f ca="1">OFFSET(控制台!$T$5057,MATCH(C152,控制台!$B$5057:$B$5128,0)-1,0)</f>
        <v>0.25</v>
      </c>
    </row>
    <row r="153" spans="1:17">
      <c r="A153" s="1">
        <f>'107_兵卡等级'!B153</f>
        <v>148</v>
      </c>
      <c r="B153" s="1">
        <f ca="1">'107_兵卡等级'!L153</f>
        <v>204</v>
      </c>
      <c r="C153" s="1">
        <f ca="1">OFFSET(养成规划!$B$6,MATCH(B153,养成规划!$B$6:$B$77,1)-1,0)</f>
        <v>180</v>
      </c>
      <c r="D153" s="1">
        <f ca="1">MAX(3,OFFSET(养成规划!$X$6,MATCH(C153,养成规划!$B$6:$B$77,0)-1,0))</f>
        <v>7</v>
      </c>
      <c r="E153" s="1">
        <f ca="1">MAX(1,OFFSET(控制台!$J$374,MATCH(C153,控制台!$B$374:$B$445,0)-1,0))</f>
        <v>29</v>
      </c>
      <c r="F153" s="1">
        <f ca="1">MAX(1,OFFSET(养成规划!$V$6,MATCH(C153,养成规划!$S$6:$S$77,0)-1,0))</f>
        <v>5</v>
      </c>
      <c r="G153" s="1">
        <f ca="1">MAX(9,OFFSET(控制台!$L$374,MATCH(C153,控制台!$B$374:$B$445,0)-1,0))</f>
        <v>93</v>
      </c>
      <c r="H153" s="1">
        <f ca="1">MAX(1,_xlfn.FLOOR.MATH(OFFSET(养成规划!$Y$6,MATCH(C153,养成规划!$B$6:$B$77,0)-1,0)/100))</f>
        <v>4</v>
      </c>
      <c r="I153" s="1">
        <f ca="1">MAX(1,MOD(OFFSET(养成规划!$Y$6,MATCH(C153,养成规划!$B$6:$B$77,0)-1,0),100))</f>
        <v>5</v>
      </c>
      <c r="J153" s="1" t="str">
        <f ca="1">OFFSET(养成规划!$Z$6,MATCH(C153,养成规划!$B$6:$B$77,0)-1,0)</f>
        <v>金</v>
      </c>
      <c r="K153" s="1">
        <f ca="1">OFFSET(养成规划!$AB$6,MATCH(C153,养成规划!$B$6:$B$77,0)-1,0)</f>
        <v>50</v>
      </c>
      <c r="L153" s="1">
        <f ca="1">OFFSET(养成规划!$AC$6,MATCH(C153,养成规划!$B$6:$B$77,0)-1,0)</f>
        <v>12</v>
      </c>
      <c r="M153" s="14">
        <f ca="1">OFFSET(控制台!$R$476,MATCH(C153,控制台!$B$476:$B$547,0)-1,0)</f>
        <v>0.3</v>
      </c>
      <c r="N153" s="14">
        <f ca="1">OFFSET(控制台!$S$476,MATCH(C153,控制台!$B$476:$B$547,0)-1,0)</f>
        <v>0.5</v>
      </c>
      <c r="O153" s="14">
        <f ca="1">OFFSET(控制台!$U$5057,MATCH(C153,控制台!$B$5057:$B$5128,0)-1,0)</f>
        <v>0.15</v>
      </c>
      <c r="P153" s="14">
        <f ca="1">OFFSET(控制台!$V$5057,MATCH(C153,控制台!$B$5057:$B$5128,0)-1,0)</f>
        <v>0.15</v>
      </c>
      <c r="Q153" s="14">
        <f ca="1">OFFSET(控制台!$T$5057,MATCH(C153,控制台!$B$5057:$B$5128,0)-1,0)</f>
        <v>0.25</v>
      </c>
    </row>
    <row r="154" spans="1:17">
      <c r="A154" s="1">
        <f>'107_兵卡等级'!B154</f>
        <v>149</v>
      </c>
      <c r="B154" s="1">
        <f ca="1">'107_兵卡等级'!L154</f>
        <v>207</v>
      </c>
      <c r="C154" s="1">
        <f ca="1">OFFSET(养成规划!$B$6,MATCH(B154,养成规划!$B$6:$B$77,1)-1,0)</f>
        <v>180</v>
      </c>
      <c r="D154" s="1">
        <f ca="1">MAX(3,OFFSET(养成规划!$X$6,MATCH(C154,养成规划!$B$6:$B$77,0)-1,0))</f>
        <v>7</v>
      </c>
      <c r="E154" s="1">
        <f ca="1">MAX(1,OFFSET(控制台!$J$374,MATCH(C154,控制台!$B$374:$B$445,0)-1,0))</f>
        <v>29</v>
      </c>
      <c r="F154" s="1">
        <f ca="1">MAX(1,OFFSET(养成规划!$V$6,MATCH(C154,养成规划!$S$6:$S$77,0)-1,0))</f>
        <v>5</v>
      </c>
      <c r="G154" s="1">
        <f ca="1">MAX(9,OFFSET(控制台!$L$374,MATCH(C154,控制台!$B$374:$B$445,0)-1,0))</f>
        <v>93</v>
      </c>
      <c r="H154" s="1">
        <f ca="1">MAX(1,_xlfn.FLOOR.MATH(OFFSET(养成规划!$Y$6,MATCH(C154,养成规划!$B$6:$B$77,0)-1,0)/100))</f>
        <v>4</v>
      </c>
      <c r="I154" s="1">
        <f ca="1">MAX(1,MOD(OFFSET(养成规划!$Y$6,MATCH(C154,养成规划!$B$6:$B$77,0)-1,0),100))</f>
        <v>5</v>
      </c>
      <c r="J154" s="1" t="str">
        <f ca="1">OFFSET(养成规划!$Z$6,MATCH(C154,养成规划!$B$6:$B$77,0)-1,0)</f>
        <v>金</v>
      </c>
      <c r="K154" s="1">
        <f ca="1">OFFSET(养成规划!$AB$6,MATCH(C154,养成规划!$B$6:$B$77,0)-1,0)</f>
        <v>50</v>
      </c>
      <c r="L154" s="1">
        <f ca="1">OFFSET(养成规划!$AC$6,MATCH(C154,养成规划!$B$6:$B$77,0)-1,0)</f>
        <v>12</v>
      </c>
      <c r="M154" s="14">
        <f ca="1">OFFSET(控制台!$R$476,MATCH(C154,控制台!$B$476:$B$547,0)-1,0)</f>
        <v>0.3</v>
      </c>
      <c r="N154" s="14">
        <f ca="1">OFFSET(控制台!$S$476,MATCH(C154,控制台!$B$476:$B$547,0)-1,0)</f>
        <v>0.5</v>
      </c>
      <c r="O154" s="14">
        <f ca="1">OFFSET(控制台!$U$5057,MATCH(C154,控制台!$B$5057:$B$5128,0)-1,0)</f>
        <v>0.15</v>
      </c>
      <c r="P154" s="14">
        <f ca="1">OFFSET(控制台!$V$5057,MATCH(C154,控制台!$B$5057:$B$5128,0)-1,0)</f>
        <v>0.15</v>
      </c>
      <c r="Q154" s="14">
        <f ca="1">OFFSET(控制台!$T$5057,MATCH(C154,控制台!$B$5057:$B$5128,0)-1,0)</f>
        <v>0.25</v>
      </c>
    </row>
    <row r="155" spans="1:17">
      <c r="A155" s="1">
        <f>'107_兵卡等级'!B155</f>
        <v>150</v>
      </c>
      <c r="B155" s="1">
        <f ca="1">'107_兵卡等级'!L155</f>
        <v>210</v>
      </c>
      <c r="C155" s="1">
        <f ca="1">OFFSET(养成规划!$B$6,MATCH(B155,养成规划!$B$6:$B$77,1)-1,0)</f>
        <v>210</v>
      </c>
      <c r="D155" s="1">
        <f ca="1">MAX(3,OFFSET(养成规划!$X$6,MATCH(C155,养成规划!$B$6:$B$77,0)-1,0))</f>
        <v>7.1</v>
      </c>
      <c r="E155" s="1">
        <f ca="1">MAX(1,OFFSET(控制台!$J$374,MATCH(C155,控制台!$B$374:$B$445,0)-1,0))</f>
        <v>29</v>
      </c>
      <c r="F155" s="1">
        <f ca="1">MAX(1,OFFSET(养成规划!$V$6,MATCH(C155,养成规划!$S$6:$S$77,0)-1,0))</f>
        <v>5</v>
      </c>
      <c r="G155" s="1">
        <f ca="1">MAX(9,OFFSET(控制台!$L$374,MATCH(C155,控制台!$B$374:$B$445,0)-1,0))</f>
        <v>93</v>
      </c>
      <c r="H155" s="1">
        <f ca="1">MAX(1,_xlfn.FLOOR.MATH(OFFSET(养成规划!$Y$6,MATCH(C155,养成规划!$B$6:$B$77,0)-1,0)/100))</f>
        <v>4</v>
      </c>
      <c r="I155" s="1">
        <f ca="1">MAX(1,MOD(OFFSET(养成规划!$Y$6,MATCH(C155,养成规划!$B$6:$B$77,0)-1,0),100))</f>
        <v>6</v>
      </c>
      <c r="J155" s="1" t="str">
        <f ca="1">OFFSET(养成规划!$Z$6,MATCH(C155,养成规划!$B$6:$B$77,0)-1,0)</f>
        <v>金+</v>
      </c>
      <c r="K155" s="1">
        <f ca="1">OFFSET(养成规划!$AB$6,MATCH(C155,养成规划!$B$6:$B$77,0)-1,0)</f>
        <v>50</v>
      </c>
      <c r="L155" s="1">
        <f ca="1">OFFSET(养成规划!$AC$6,MATCH(C155,养成规划!$B$6:$B$77,0)-1,0)</f>
        <v>12</v>
      </c>
      <c r="M155" s="14">
        <f ca="1">OFFSET(控制台!$R$476,MATCH(C155,控制台!$B$476:$B$547,0)-1,0)</f>
        <v>0.5</v>
      </c>
      <c r="N155" s="14">
        <f ca="1">OFFSET(控制台!$S$476,MATCH(C155,控制台!$B$476:$B$547,0)-1,0)</f>
        <v>0.5</v>
      </c>
      <c r="O155" s="14">
        <f ca="1">OFFSET(控制台!$U$5057,MATCH(C155,控制台!$B$5057:$B$5128,0)-1,0)</f>
        <v>0.15</v>
      </c>
      <c r="P155" s="14">
        <f ca="1">OFFSET(控制台!$V$5057,MATCH(C155,控制台!$B$5057:$B$5128,0)-1,0)</f>
        <v>0.15</v>
      </c>
      <c r="Q155" s="14">
        <f ca="1">OFFSET(控制台!$T$5057,MATCH(C155,控制台!$B$5057:$B$5128,0)-1,0)</f>
        <v>0.25</v>
      </c>
    </row>
    <row r="156" spans="1:17">
      <c r="A156" s="1">
        <f>'107_兵卡等级'!B156</f>
        <v>151</v>
      </c>
      <c r="B156" s="1">
        <f ca="1">'107_兵卡等级'!L156</f>
        <v>213</v>
      </c>
      <c r="C156" s="1">
        <f ca="1">OFFSET(养成规划!$B$6,MATCH(B156,养成规划!$B$6:$B$77,1)-1,0)</f>
        <v>210</v>
      </c>
      <c r="D156" s="1">
        <f ca="1">MAX(3,OFFSET(养成规划!$X$6,MATCH(C156,养成规划!$B$6:$B$77,0)-1,0))</f>
        <v>7.1</v>
      </c>
      <c r="E156" s="1">
        <f ca="1">MAX(1,OFFSET(控制台!$J$374,MATCH(C156,控制台!$B$374:$B$445,0)-1,0))</f>
        <v>29</v>
      </c>
      <c r="F156" s="1">
        <f ca="1">MAX(1,OFFSET(养成规划!$V$6,MATCH(C156,养成规划!$S$6:$S$77,0)-1,0))</f>
        <v>5</v>
      </c>
      <c r="G156" s="1">
        <f ca="1">MAX(9,OFFSET(控制台!$L$374,MATCH(C156,控制台!$B$374:$B$445,0)-1,0))</f>
        <v>93</v>
      </c>
      <c r="H156" s="1">
        <f ca="1">MAX(1,_xlfn.FLOOR.MATH(OFFSET(养成规划!$Y$6,MATCH(C156,养成规划!$B$6:$B$77,0)-1,0)/100))</f>
        <v>4</v>
      </c>
      <c r="I156" s="1">
        <f ca="1">MAX(1,MOD(OFFSET(养成规划!$Y$6,MATCH(C156,养成规划!$B$6:$B$77,0)-1,0),100))</f>
        <v>6</v>
      </c>
      <c r="J156" s="1" t="str">
        <f ca="1">OFFSET(养成规划!$Z$6,MATCH(C156,养成规划!$B$6:$B$77,0)-1,0)</f>
        <v>金+</v>
      </c>
      <c r="K156" s="1">
        <f ca="1">OFFSET(养成规划!$AB$6,MATCH(C156,养成规划!$B$6:$B$77,0)-1,0)</f>
        <v>50</v>
      </c>
      <c r="L156" s="1">
        <f ca="1">OFFSET(养成规划!$AC$6,MATCH(C156,养成规划!$B$6:$B$77,0)-1,0)</f>
        <v>12</v>
      </c>
      <c r="M156" s="14">
        <f ca="1">OFFSET(控制台!$R$476,MATCH(C156,控制台!$B$476:$B$547,0)-1,0)</f>
        <v>0.5</v>
      </c>
      <c r="N156" s="14">
        <f ca="1">OFFSET(控制台!$S$476,MATCH(C156,控制台!$B$476:$B$547,0)-1,0)</f>
        <v>0.5</v>
      </c>
      <c r="O156" s="14">
        <f ca="1">OFFSET(控制台!$U$5057,MATCH(C156,控制台!$B$5057:$B$5128,0)-1,0)</f>
        <v>0.15</v>
      </c>
      <c r="P156" s="14">
        <f ca="1">OFFSET(控制台!$V$5057,MATCH(C156,控制台!$B$5057:$B$5128,0)-1,0)</f>
        <v>0.15</v>
      </c>
      <c r="Q156" s="14">
        <f ca="1">OFFSET(控制台!$T$5057,MATCH(C156,控制台!$B$5057:$B$5128,0)-1,0)</f>
        <v>0.25</v>
      </c>
    </row>
    <row r="157" spans="1:17">
      <c r="A157" s="1">
        <f>'107_兵卡等级'!B157</f>
        <v>152</v>
      </c>
      <c r="B157" s="1">
        <f ca="1">'107_兵卡等级'!L157</f>
        <v>216</v>
      </c>
      <c r="C157" s="1">
        <f ca="1">OFFSET(养成规划!$B$6,MATCH(B157,养成规划!$B$6:$B$77,1)-1,0)</f>
        <v>210</v>
      </c>
      <c r="D157" s="1">
        <f ca="1">MAX(3,OFFSET(养成规划!$X$6,MATCH(C157,养成规划!$B$6:$B$77,0)-1,0))</f>
        <v>7.1</v>
      </c>
      <c r="E157" s="1">
        <f ca="1">MAX(1,OFFSET(控制台!$J$374,MATCH(C157,控制台!$B$374:$B$445,0)-1,0))</f>
        <v>29</v>
      </c>
      <c r="F157" s="1">
        <f ca="1">MAX(1,OFFSET(养成规划!$V$6,MATCH(C157,养成规划!$S$6:$S$77,0)-1,0))</f>
        <v>5</v>
      </c>
      <c r="G157" s="1">
        <f ca="1">MAX(9,OFFSET(控制台!$L$374,MATCH(C157,控制台!$B$374:$B$445,0)-1,0))</f>
        <v>93</v>
      </c>
      <c r="H157" s="1">
        <f ca="1">MAX(1,_xlfn.FLOOR.MATH(OFFSET(养成规划!$Y$6,MATCH(C157,养成规划!$B$6:$B$77,0)-1,0)/100))</f>
        <v>4</v>
      </c>
      <c r="I157" s="1">
        <f ca="1">MAX(1,MOD(OFFSET(养成规划!$Y$6,MATCH(C157,养成规划!$B$6:$B$77,0)-1,0),100))</f>
        <v>6</v>
      </c>
      <c r="J157" s="1" t="str">
        <f ca="1">OFFSET(养成规划!$Z$6,MATCH(C157,养成规划!$B$6:$B$77,0)-1,0)</f>
        <v>金+</v>
      </c>
      <c r="K157" s="1">
        <f ca="1">OFFSET(养成规划!$AB$6,MATCH(C157,养成规划!$B$6:$B$77,0)-1,0)</f>
        <v>50</v>
      </c>
      <c r="L157" s="1">
        <f ca="1">OFFSET(养成规划!$AC$6,MATCH(C157,养成规划!$B$6:$B$77,0)-1,0)</f>
        <v>12</v>
      </c>
      <c r="M157" s="14">
        <f ca="1">OFFSET(控制台!$R$476,MATCH(C157,控制台!$B$476:$B$547,0)-1,0)</f>
        <v>0.5</v>
      </c>
      <c r="N157" s="14">
        <f ca="1">OFFSET(控制台!$S$476,MATCH(C157,控制台!$B$476:$B$547,0)-1,0)</f>
        <v>0.5</v>
      </c>
      <c r="O157" s="14">
        <f ca="1">OFFSET(控制台!$U$5057,MATCH(C157,控制台!$B$5057:$B$5128,0)-1,0)</f>
        <v>0.15</v>
      </c>
      <c r="P157" s="14">
        <f ca="1">OFFSET(控制台!$V$5057,MATCH(C157,控制台!$B$5057:$B$5128,0)-1,0)</f>
        <v>0.15</v>
      </c>
      <c r="Q157" s="14">
        <f ca="1">OFFSET(控制台!$T$5057,MATCH(C157,控制台!$B$5057:$B$5128,0)-1,0)</f>
        <v>0.25</v>
      </c>
    </row>
    <row r="158" spans="1:17">
      <c r="A158" s="1">
        <f>'107_兵卡等级'!B158</f>
        <v>153</v>
      </c>
      <c r="B158" s="1">
        <f ca="1">'107_兵卡等级'!L158</f>
        <v>219</v>
      </c>
      <c r="C158" s="1">
        <f ca="1">OFFSET(养成规划!$B$6,MATCH(B158,养成规划!$B$6:$B$77,1)-1,0)</f>
        <v>210</v>
      </c>
      <c r="D158" s="1">
        <f ca="1">MAX(3,OFFSET(养成规划!$X$6,MATCH(C158,养成规划!$B$6:$B$77,0)-1,0))</f>
        <v>7.1</v>
      </c>
      <c r="E158" s="1">
        <f ca="1">MAX(1,OFFSET(控制台!$J$374,MATCH(C158,控制台!$B$374:$B$445,0)-1,0))</f>
        <v>29</v>
      </c>
      <c r="F158" s="1">
        <f ca="1">MAX(1,OFFSET(养成规划!$V$6,MATCH(C158,养成规划!$S$6:$S$77,0)-1,0))</f>
        <v>5</v>
      </c>
      <c r="G158" s="1">
        <f ca="1">MAX(9,OFFSET(控制台!$L$374,MATCH(C158,控制台!$B$374:$B$445,0)-1,0))</f>
        <v>93</v>
      </c>
      <c r="H158" s="1">
        <f ca="1">MAX(1,_xlfn.FLOOR.MATH(OFFSET(养成规划!$Y$6,MATCH(C158,养成规划!$B$6:$B$77,0)-1,0)/100))</f>
        <v>4</v>
      </c>
      <c r="I158" s="1">
        <f ca="1">MAX(1,MOD(OFFSET(养成规划!$Y$6,MATCH(C158,养成规划!$B$6:$B$77,0)-1,0),100))</f>
        <v>6</v>
      </c>
      <c r="J158" s="1" t="str">
        <f ca="1">OFFSET(养成规划!$Z$6,MATCH(C158,养成规划!$B$6:$B$77,0)-1,0)</f>
        <v>金+</v>
      </c>
      <c r="K158" s="1">
        <f ca="1">OFFSET(养成规划!$AB$6,MATCH(C158,养成规划!$B$6:$B$77,0)-1,0)</f>
        <v>50</v>
      </c>
      <c r="L158" s="1">
        <f ca="1">OFFSET(养成规划!$AC$6,MATCH(C158,养成规划!$B$6:$B$77,0)-1,0)</f>
        <v>12</v>
      </c>
      <c r="M158" s="14">
        <f ca="1">OFFSET(控制台!$R$476,MATCH(C158,控制台!$B$476:$B$547,0)-1,0)</f>
        <v>0.5</v>
      </c>
      <c r="N158" s="14">
        <f ca="1">OFFSET(控制台!$S$476,MATCH(C158,控制台!$B$476:$B$547,0)-1,0)</f>
        <v>0.5</v>
      </c>
      <c r="O158" s="14">
        <f ca="1">OFFSET(控制台!$U$5057,MATCH(C158,控制台!$B$5057:$B$5128,0)-1,0)</f>
        <v>0.15</v>
      </c>
      <c r="P158" s="14">
        <f ca="1">OFFSET(控制台!$V$5057,MATCH(C158,控制台!$B$5057:$B$5128,0)-1,0)</f>
        <v>0.15</v>
      </c>
      <c r="Q158" s="14">
        <f ca="1">OFFSET(控制台!$T$5057,MATCH(C158,控制台!$B$5057:$B$5128,0)-1,0)</f>
        <v>0.25</v>
      </c>
    </row>
    <row r="159" spans="1:17">
      <c r="A159" s="1">
        <f>'107_兵卡等级'!B159</f>
        <v>154</v>
      </c>
      <c r="B159" s="1">
        <f ca="1">'107_兵卡等级'!L159</f>
        <v>222</v>
      </c>
      <c r="C159" s="1">
        <f ca="1">OFFSET(养成规划!$B$6,MATCH(B159,养成规划!$B$6:$B$77,1)-1,0)</f>
        <v>210</v>
      </c>
      <c r="D159" s="1">
        <f ca="1">MAX(3,OFFSET(养成规划!$X$6,MATCH(C159,养成规划!$B$6:$B$77,0)-1,0))</f>
        <v>7.1</v>
      </c>
      <c r="E159" s="1">
        <f ca="1">MAX(1,OFFSET(控制台!$J$374,MATCH(C159,控制台!$B$374:$B$445,0)-1,0))</f>
        <v>29</v>
      </c>
      <c r="F159" s="1">
        <f ca="1">MAX(1,OFFSET(养成规划!$V$6,MATCH(C159,养成规划!$S$6:$S$77,0)-1,0))</f>
        <v>5</v>
      </c>
      <c r="G159" s="1">
        <f ca="1">MAX(9,OFFSET(控制台!$L$374,MATCH(C159,控制台!$B$374:$B$445,0)-1,0))</f>
        <v>93</v>
      </c>
      <c r="H159" s="1">
        <f ca="1">MAX(1,_xlfn.FLOOR.MATH(OFFSET(养成规划!$Y$6,MATCH(C159,养成规划!$B$6:$B$77,0)-1,0)/100))</f>
        <v>4</v>
      </c>
      <c r="I159" s="1">
        <f ca="1">MAX(1,MOD(OFFSET(养成规划!$Y$6,MATCH(C159,养成规划!$B$6:$B$77,0)-1,0),100))</f>
        <v>6</v>
      </c>
      <c r="J159" s="1" t="str">
        <f ca="1">OFFSET(养成规划!$Z$6,MATCH(C159,养成规划!$B$6:$B$77,0)-1,0)</f>
        <v>金+</v>
      </c>
      <c r="K159" s="1">
        <f ca="1">OFFSET(养成规划!$AB$6,MATCH(C159,养成规划!$B$6:$B$77,0)-1,0)</f>
        <v>50</v>
      </c>
      <c r="L159" s="1">
        <f ca="1">OFFSET(养成规划!$AC$6,MATCH(C159,养成规划!$B$6:$B$77,0)-1,0)</f>
        <v>12</v>
      </c>
      <c r="M159" s="14">
        <f ca="1">OFFSET(控制台!$R$476,MATCH(C159,控制台!$B$476:$B$547,0)-1,0)</f>
        <v>0.5</v>
      </c>
      <c r="N159" s="14">
        <f ca="1">OFFSET(控制台!$S$476,MATCH(C159,控制台!$B$476:$B$547,0)-1,0)</f>
        <v>0.5</v>
      </c>
      <c r="O159" s="14">
        <f ca="1">OFFSET(控制台!$U$5057,MATCH(C159,控制台!$B$5057:$B$5128,0)-1,0)</f>
        <v>0.15</v>
      </c>
      <c r="P159" s="14">
        <f ca="1">OFFSET(控制台!$V$5057,MATCH(C159,控制台!$B$5057:$B$5128,0)-1,0)</f>
        <v>0.15</v>
      </c>
      <c r="Q159" s="14">
        <f ca="1">OFFSET(控制台!$T$5057,MATCH(C159,控制台!$B$5057:$B$5128,0)-1,0)</f>
        <v>0.25</v>
      </c>
    </row>
    <row r="160" spans="1:17">
      <c r="A160" s="1">
        <f>'107_兵卡等级'!B160</f>
        <v>155</v>
      </c>
      <c r="B160" s="1">
        <f ca="1">'107_兵卡等级'!L160</f>
        <v>225</v>
      </c>
      <c r="C160" s="1">
        <f ca="1">OFFSET(养成规划!$B$6,MATCH(B160,养成规划!$B$6:$B$77,1)-1,0)</f>
        <v>210</v>
      </c>
      <c r="D160" s="1">
        <f ca="1">MAX(3,OFFSET(养成规划!$X$6,MATCH(C160,养成规划!$B$6:$B$77,0)-1,0))</f>
        <v>7.1</v>
      </c>
      <c r="E160" s="1">
        <f ca="1">MAX(1,OFFSET(控制台!$J$374,MATCH(C160,控制台!$B$374:$B$445,0)-1,0))</f>
        <v>29</v>
      </c>
      <c r="F160" s="1">
        <f ca="1">MAX(1,OFFSET(养成规划!$V$6,MATCH(C160,养成规划!$S$6:$S$77,0)-1,0))</f>
        <v>5</v>
      </c>
      <c r="G160" s="1">
        <f ca="1">MAX(9,OFFSET(控制台!$L$374,MATCH(C160,控制台!$B$374:$B$445,0)-1,0))</f>
        <v>93</v>
      </c>
      <c r="H160" s="1">
        <f ca="1">MAX(1,_xlfn.FLOOR.MATH(OFFSET(养成规划!$Y$6,MATCH(C160,养成规划!$B$6:$B$77,0)-1,0)/100))</f>
        <v>4</v>
      </c>
      <c r="I160" s="1">
        <f ca="1">MAX(1,MOD(OFFSET(养成规划!$Y$6,MATCH(C160,养成规划!$B$6:$B$77,0)-1,0),100))</f>
        <v>6</v>
      </c>
      <c r="J160" s="1" t="str">
        <f ca="1">OFFSET(养成规划!$Z$6,MATCH(C160,养成规划!$B$6:$B$77,0)-1,0)</f>
        <v>金+</v>
      </c>
      <c r="K160" s="1">
        <f ca="1">OFFSET(养成规划!$AB$6,MATCH(C160,养成规划!$B$6:$B$77,0)-1,0)</f>
        <v>50</v>
      </c>
      <c r="L160" s="1">
        <f ca="1">OFFSET(养成规划!$AC$6,MATCH(C160,养成规划!$B$6:$B$77,0)-1,0)</f>
        <v>12</v>
      </c>
      <c r="M160" s="14">
        <f ca="1">OFFSET(控制台!$R$476,MATCH(C160,控制台!$B$476:$B$547,0)-1,0)</f>
        <v>0.5</v>
      </c>
      <c r="N160" s="14">
        <f ca="1">OFFSET(控制台!$S$476,MATCH(C160,控制台!$B$476:$B$547,0)-1,0)</f>
        <v>0.5</v>
      </c>
      <c r="O160" s="14">
        <f ca="1">OFFSET(控制台!$U$5057,MATCH(C160,控制台!$B$5057:$B$5128,0)-1,0)</f>
        <v>0.15</v>
      </c>
      <c r="P160" s="14">
        <f ca="1">OFFSET(控制台!$V$5057,MATCH(C160,控制台!$B$5057:$B$5128,0)-1,0)</f>
        <v>0.15</v>
      </c>
      <c r="Q160" s="14">
        <f ca="1">OFFSET(控制台!$T$5057,MATCH(C160,控制台!$B$5057:$B$5128,0)-1,0)</f>
        <v>0.25</v>
      </c>
    </row>
    <row r="161" spans="1:17">
      <c r="A161" s="1">
        <f>'107_兵卡等级'!B161</f>
        <v>156</v>
      </c>
      <c r="B161" s="1">
        <f ca="1">'107_兵卡等级'!L161</f>
        <v>228</v>
      </c>
      <c r="C161" s="1">
        <f ca="1">OFFSET(养成规划!$B$6,MATCH(B161,养成规划!$B$6:$B$77,1)-1,0)</f>
        <v>210</v>
      </c>
      <c r="D161" s="1">
        <f ca="1">MAX(3,OFFSET(养成规划!$X$6,MATCH(C161,养成规划!$B$6:$B$77,0)-1,0))</f>
        <v>7.1</v>
      </c>
      <c r="E161" s="1">
        <f ca="1">MAX(1,OFFSET(控制台!$J$374,MATCH(C161,控制台!$B$374:$B$445,0)-1,0))</f>
        <v>29</v>
      </c>
      <c r="F161" s="1">
        <f ca="1">MAX(1,OFFSET(养成规划!$V$6,MATCH(C161,养成规划!$S$6:$S$77,0)-1,0))</f>
        <v>5</v>
      </c>
      <c r="G161" s="1">
        <f ca="1">MAX(9,OFFSET(控制台!$L$374,MATCH(C161,控制台!$B$374:$B$445,0)-1,0))</f>
        <v>93</v>
      </c>
      <c r="H161" s="1">
        <f ca="1">MAX(1,_xlfn.FLOOR.MATH(OFFSET(养成规划!$Y$6,MATCH(C161,养成规划!$B$6:$B$77,0)-1,0)/100))</f>
        <v>4</v>
      </c>
      <c r="I161" s="1">
        <f ca="1">MAX(1,MOD(OFFSET(养成规划!$Y$6,MATCH(C161,养成规划!$B$6:$B$77,0)-1,0),100))</f>
        <v>6</v>
      </c>
      <c r="J161" s="1" t="str">
        <f ca="1">OFFSET(养成规划!$Z$6,MATCH(C161,养成规划!$B$6:$B$77,0)-1,0)</f>
        <v>金+</v>
      </c>
      <c r="K161" s="1">
        <f ca="1">OFFSET(养成规划!$AB$6,MATCH(C161,养成规划!$B$6:$B$77,0)-1,0)</f>
        <v>50</v>
      </c>
      <c r="L161" s="1">
        <f ca="1">OFFSET(养成规划!$AC$6,MATCH(C161,养成规划!$B$6:$B$77,0)-1,0)</f>
        <v>12</v>
      </c>
      <c r="M161" s="14">
        <f ca="1">OFFSET(控制台!$R$476,MATCH(C161,控制台!$B$476:$B$547,0)-1,0)</f>
        <v>0.5</v>
      </c>
      <c r="N161" s="14">
        <f ca="1">OFFSET(控制台!$S$476,MATCH(C161,控制台!$B$476:$B$547,0)-1,0)</f>
        <v>0.5</v>
      </c>
      <c r="O161" s="14">
        <f ca="1">OFFSET(控制台!$U$5057,MATCH(C161,控制台!$B$5057:$B$5128,0)-1,0)</f>
        <v>0.15</v>
      </c>
      <c r="P161" s="14">
        <f ca="1">OFFSET(控制台!$V$5057,MATCH(C161,控制台!$B$5057:$B$5128,0)-1,0)</f>
        <v>0.15</v>
      </c>
      <c r="Q161" s="14">
        <f ca="1">OFFSET(控制台!$T$5057,MATCH(C161,控制台!$B$5057:$B$5128,0)-1,0)</f>
        <v>0.25</v>
      </c>
    </row>
    <row r="162" spans="1:17">
      <c r="A162" s="1">
        <f>'107_兵卡等级'!B162</f>
        <v>157</v>
      </c>
      <c r="B162" s="1">
        <f ca="1">'107_兵卡等级'!L162</f>
        <v>231</v>
      </c>
      <c r="C162" s="1">
        <f ca="1">OFFSET(养成规划!$B$6,MATCH(B162,养成规划!$B$6:$B$77,1)-1,0)</f>
        <v>210</v>
      </c>
      <c r="D162" s="1">
        <f ca="1">MAX(3,OFFSET(养成规划!$X$6,MATCH(C162,养成规划!$B$6:$B$77,0)-1,0))</f>
        <v>7.1</v>
      </c>
      <c r="E162" s="1">
        <f ca="1">MAX(1,OFFSET(控制台!$J$374,MATCH(C162,控制台!$B$374:$B$445,0)-1,0))</f>
        <v>29</v>
      </c>
      <c r="F162" s="1">
        <f ca="1">MAX(1,OFFSET(养成规划!$V$6,MATCH(C162,养成规划!$S$6:$S$77,0)-1,0))</f>
        <v>5</v>
      </c>
      <c r="G162" s="1">
        <f ca="1">MAX(9,OFFSET(控制台!$L$374,MATCH(C162,控制台!$B$374:$B$445,0)-1,0))</f>
        <v>93</v>
      </c>
      <c r="H162" s="1">
        <f ca="1">MAX(1,_xlfn.FLOOR.MATH(OFFSET(养成规划!$Y$6,MATCH(C162,养成规划!$B$6:$B$77,0)-1,0)/100))</f>
        <v>4</v>
      </c>
      <c r="I162" s="1">
        <f ca="1">MAX(1,MOD(OFFSET(养成规划!$Y$6,MATCH(C162,养成规划!$B$6:$B$77,0)-1,0),100))</f>
        <v>6</v>
      </c>
      <c r="J162" s="1" t="str">
        <f ca="1">OFFSET(养成规划!$Z$6,MATCH(C162,养成规划!$B$6:$B$77,0)-1,0)</f>
        <v>金+</v>
      </c>
      <c r="K162" s="1">
        <f ca="1">OFFSET(养成规划!$AB$6,MATCH(C162,养成规划!$B$6:$B$77,0)-1,0)</f>
        <v>50</v>
      </c>
      <c r="L162" s="1">
        <f ca="1">OFFSET(养成规划!$AC$6,MATCH(C162,养成规划!$B$6:$B$77,0)-1,0)</f>
        <v>12</v>
      </c>
      <c r="M162" s="14">
        <f ca="1">OFFSET(控制台!$R$476,MATCH(C162,控制台!$B$476:$B$547,0)-1,0)</f>
        <v>0.5</v>
      </c>
      <c r="N162" s="14">
        <f ca="1">OFFSET(控制台!$S$476,MATCH(C162,控制台!$B$476:$B$547,0)-1,0)</f>
        <v>0.5</v>
      </c>
      <c r="O162" s="14">
        <f ca="1">OFFSET(控制台!$U$5057,MATCH(C162,控制台!$B$5057:$B$5128,0)-1,0)</f>
        <v>0.15</v>
      </c>
      <c r="P162" s="14">
        <f ca="1">OFFSET(控制台!$V$5057,MATCH(C162,控制台!$B$5057:$B$5128,0)-1,0)</f>
        <v>0.15</v>
      </c>
      <c r="Q162" s="14">
        <f ca="1">OFFSET(控制台!$T$5057,MATCH(C162,控制台!$B$5057:$B$5128,0)-1,0)</f>
        <v>0.25</v>
      </c>
    </row>
    <row r="163" spans="1:17">
      <c r="A163" s="1">
        <f>'107_兵卡等级'!B163</f>
        <v>158</v>
      </c>
      <c r="B163" s="1">
        <f ca="1">'107_兵卡等级'!L163</f>
        <v>234</v>
      </c>
      <c r="C163" s="1">
        <f ca="1">OFFSET(养成规划!$B$6,MATCH(B163,养成规划!$B$6:$B$77,1)-1,0)</f>
        <v>210</v>
      </c>
      <c r="D163" s="1">
        <f ca="1">MAX(3,OFFSET(养成规划!$X$6,MATCH(C163,养成规划!$B$6:$B$77,0)-1,0))</f>
        <v>7.1</v>
      </c>
      <c r="E163" s="1">
        <f ca="1">MAX(1,OFFSET(控制台!$J$374,MATCH(C163,控制台!$B$374:$B$445,0)-1,0))</f>
        <v>29</v>
      </c>
      <c r="F163" s="1">
        <f ca="1">MAX(1,OFFSET(养成规划!$V$6,MATCH(C163,养成规划!$S$6:$S$77,0)-1,0))</f>
        <v>5</v>
      </c>
      <c r="G163" s="1">
        <f ca="1">MAX(9,OFFSET(控制台!$L$374,MATCH(C163,控制台!$B$374:$B$445,0)-1,0))</f>
        <v>93</v>
      </c>
      <c r="H163" s="1">
        <f ca="1">MAX(1,_xlfn.FLOOR.MATH(OFFSET(养成规划!$Y$6,MATCH(C163,养成规划!$B$6:$B$77,0)-1,0)/100))</f>
        <v>4</v>
      </c>
      <c r="I163" s="1">
        <f ca="1">MAX(1,MOD(OFFSET(养成规划!$Y$6,MATCH(C163,养成规划!$B$6:$B$77,0)-1,0),100))</f>
        <v>6</v>
      </c>
      <c r="J163" s="1" t="str">
        <f ca="1">OFFSET(养成规划!$Z$6,MATCH(C163,养成规划!$B$6:$B$77,0)-1,0)</f>
        <v>金+</v>
      </c>
      <c r="K163" s="1">
        <f ca="1">OFFSET(养成规划!$AB$6,MATCH(C163,养成规划!$B$6:$B$77,0)-1,0)</f>
        <v>50</v>
      </c>
      <c r="L163" s="1">
        <f ca="1">OFFSET(养成规划!$AC$6,MATCH(C163,养成规划!$B$6:$B$77,0)-1,0)</f>
        <v>12</v>
      </c>
      <c r="M163" s="14">
        <f ca="1">OFFSET(控制台!$R$476,MATCH(C163,控制台!$B$476:$B$547,0)-1,0)</f>
        <v>0.5</v>
      </c>
      <c r="N163" s="14">
        <f ca="1">OFFSET(控制台!$S$476,MATCH(C163,控制台!$B$476:$B$547,0)-1,0)</f>
        <v>0.5</v>
      </c>
      <c r="O163" s="14">
        <f ca="1">OFFSET(控制台!$U$5057,MATCH(C163,控制台!$B$5057:$B$5128,0)-1,0)</f>
        <v>0.15</v>
      </c>
      <c r="P163" s="14">
        <f ca="1">OFFSET(控制台!$V$5057,MATCH(C163,控制台!$B$5057:$B$5128,0)-1,0)</f>
        <v>0.15</v>
      </c>
      <c r="Q163" s="14">
        <f ca="1">OFFSET(控制台!$T$5057,MATCH(C163,控制台!$B$5057:$B$5128,0)-1,0)</f>
        <v>0.25</v>
      </c>
    </row>
    <row r="164" spans="1:17">
      <c r="A164" s="1">
        <f>'107_兵卡等级'!B164</f>
        <v>159</v>
      </c>
      <c r="B164" s="1">
        <f ca="1">'107_兵卡等级'!L164</f>
        <v>237</v>
      </c>
      <c r="C164" s="1">
        <f ca="1">OFFSET(养成规划!$B$6,MATCH(B164,养成规划!$B$6:$B$77,1)-1,0)</f>
        <v>210</v>
      </c>
      <c r="D164" s="1">
        <f ca="1">MAX(3,OFFSET(养成规划!$X$6,MATCH(C164,养成规划!$B$6:$B$77,0)-1,0))</f>
        <v>7.1</v>
      </c>
      <c r="E164" s="1">
        <f ca="1">MAX(1,OFFSET(控制台!$J$374,MATCH(C164,控制台!$B$374:$B$445,0)-1,0))</f>
        <v>29</v>
      </c>
      <c r="F164" s="1">
        <f ca="1">MAX(1,OFFSET(养成规划!$V$6,MATCH(C164,养成规划!$S$6:$S$77,0)-1,0))</f>
        <v>5</v>
      </c>
      <c r="G164" s="1">
        <f ca="1">MAX(9,OFFSET(控制台!$L$374,MATCH(C164,控制台!$B$374:$B$445,0)-1,0))</f>
        <v>93</v>
      </c>
      <c r="H164" s="1">
        <f ca="1">MAX(1,_xlfn.FLOOR.MATH(OFFSET(养成规划!$Y$6,MATCH(C164,养成规划!$B$6:$B$77,0)-1,0)/100))</f>
        <v>4</v>
      </c>
      <c r="I164" s="1">
        <f ca="1">MAX(1,MOD(OFFSET(养成规划!$Y$6,MATCH(C164,养成规划!$B$6:$B$77,0)-1,0),100))</f>
        <v>6</v>
      </c>
      <c r="J164" s="1" t="str">
        <f ca="1">OFFSET(养成规划!$Z$6,MATCH(C164,养成规划!$B$6:$B$77,0)-1,0)</f>
        <v>金+</v>
      </c>
      <c r="K164" s="1">
        <f ca="1">OFFSET(养成规划!$AB$6,MATCH(C164,养成规划!$B$6:$B$77,0)-1,0)</f>
        <v>50</v>
      </c>
      <c r="L164" s="1">
        <f ca="1">OFFSET(养成规划!$AC$6,MATCH(C164,养成规划!$B$6:$B$77,0)-1,0)</f>
        <v>12</v>
      </c>
      <c r="M164" s="14">
        <f ca="1">OFFSET(控制台!$R$476,MATCH(C164,控制台!$B$476:$B$547,0)-1,0)</f>
        <v>0.5</v>
      </c>
      <c r="N164" s="14">
        <f ca="1">OFFSET(控制台!$S$476,MATCH(C164,控制台!$B$476:$B$547,0)-1,0)</f>
        <v>0.5</v>
      </c>
      <c r="O164" s="14">
        <f ca="1">OFFSET(控制台!$U$5057,MATCH(C164,控制台!$B$5057:$B$5128,0)-1,0)</f>
        <v>0.15</v>
      </c>
      <c r="P164" s="14">
        <f ca="1">OFFSET(控制台!$V$5057,MATCH(C164,控制台!$B$5057:$B$5128,0)-1,0)</f>
        <v>0.15</v>
      </c>
      <c r="Q164" s="14">
        <f ca="1">OFFSET(控制台!$T$5057,MATCH(C164,控制台!$B$5057:$B$5128,0)-1,0)</f>
        <v>0.25</v>
      </c>
    </row>
    <row r="165" spans="1:17">
      <c r="A165" s="1">
        <f>'107_兵卡等级'!B165</f>
        <v>160</v>
      </c>
      <c r="B165" s="1">
        <f ca="1">'107_兵卡等级'!L165</f>
        <v>240</v>
      </c>
      <c r="C165" s="1">
        <f ca="1">OFFSET(养成规划!$B$6,MATCH(B165,养成规划!$B$6:$B$77,1)-1,0)</f>
        <v>240</v>
      </c>
      <c r="D165" s="1">
        <f ca="1">MAX(3,OFFSET(养成规划!$X$6,MATCH(C165,养成规划!$B$6:$B$77,0)-1,0))</f>
        <v>7.1</v>
      </c>
      <c r="E165" s="1">
        <f ca="1">MAX(1,OFFSET(控制台!$J$374,MATCH(C165,控制台!$B$374:$B$445,0)-1,0))</f>
        <v>30</v>
      </c>
      <c r="F165" s="1">
        <f ca="1">MAX(1,OFFSET(养成规划!$V$6,MATCH(C165,养成规划!$S$6:$S$77,0)-1,0))</f>
        <v>5</v>
      </c>
      <c r="G165" s="1">
        <f ca="1">MAX(9,OFFSET(控制台!$L$374,MATCH(C165,控制台!$B$374:$B$445,0)-1,0))</f>
        <v>96</v>
      </c>
      <c r="H165" s="1">
        <f ca="1">MAX(1,_xlfn.FLOOR.MATH(OFFSET(养成规划!$Y$6,MATCH(C165,养成规划!$B$6:$B$77,0)-1,0)/100))</f>
        <v>4</v>
      </c>
      <c r="I165" s="1">
        <f ca="1">MAX(1,MOD(OFFSET(养成规划!$Y$6,MATCH(C165,养成规划!$B$6:$B$77,0)-1,0),100))</f>
        <v>7</v>
      </c>
      <c r="J165" s="1" t="str">
        <f ca="1">OFFSET(养成规划!$Z$6,MATCH(C165,养成规划!$B$6:$B$77,0)-1,0)</f>
        <v>金+</v>
      </c>
      <c r="K165" s="1">
        <f ca="1">OFFSET(养成规划!$AB$6,MATCH(C165,养成规划!$B$6:$B$77,0)-1,0)</f>
        <v>50</v>
      </c>
      <c r="L165" s="1">
        <f ca="1">OFFSET(养成规划!$AC$6,MATCH(C165,养成规划!$B$6:$B$77,0)-1,0)</f>
        <v>13</v>
      </c>
      <c r="M165" s="14">
        <f ca="1">OFFSET(控制台!$R$476,MATCH(C165,控制台!$B$476:$B$547,0)-1,0)</f>
        <v>0.5</v>
      </c>
      <c r="N165" s="14">
        <f ca="1">OFFSET(控制台!$S$476,MATCH(C165,控制台!$B$476:$B$547,0)-1,0)</f>
        <v>0.5</v>
      </c>
      <c r="O165" s="14">
        <f ca="1">OFFSET(控制台!$U$5057,MATCH(C165,控制台!$B$5057:$B$5128,0)-1,0)</f>
        <v>0.15</v>
      </c>
      <c r="P165" s="14">
        <f ca="1">OFFSET(控制台!$V$5057,MATCH(C165,控制台!$B$5057:$B$5128,0)-1,0)</f>
        <v>0.15</v>
      </c>
      <c r="Q165" s="14">
        <f ca="1">OFFSET(控制台!$T$5057,MATCH(C165,控制台!$B$5057:$B$5128,0)-1,0)</f>
        <v>0.25</v>
      </c>
    </row>
    <row r="166" spans="1:17">
      <c r="A166" s="1">
        <f>'107_兵卡等级'!B166</f>
        <v>161</v>
      </c>
      <c r="B166" s="1">
        <f ca="1">'107_兵卡等级'!L166</f>
        <v>243</v>
      </c>
      <c r="C166" s="1">
        <f ca="1">OFFSET(养成规划!$B$6,MATCH(B166,养成规划!$B$6:$B$77,1)-1,0)</f>
        <v>240</v>
      </c>
      <c r="D166" s="1">
        <f ca="1">MAX(3,OFFSET(养成规划!$X$6,MATCH(C166,养成规划!$B$6:$B$77,0)-1,0))</f>
        <v>7.1</v>
      </c>
      <c r="E166" s="1">
        <f ca="1">MAX(1,OFFSET(控制台!$J$374,MATCH(C166,控制台!$B$374:$B$445,0)-1,0))</f>
        <v>30</v>
      </c>
      <c r="F166" s="1">
        <f ca="1">MAX(1,OFFSET(养成规划!$V$6,MATCH(C166,养成规划!$S$6:$S$77,0)-1,0))</f>
        <v>5</v>
      </c>
      <c r="G166" s="1">
        <f ca="1">MAX(9,OFFSET(控制台!$L$374,MATCH(C166,控制台!$B$374:$B$445,0)-1,0))</f>
        <v>96</v>
      </c>
      <c r="H166" s="1">
        <f ca="1">MAX(1,_xlfn.FLOOR.MATH(OFFSET(养成规划!$Y$6,MATCH(C166,养成规划!$B$6:$B$77,0)-1,0)/100))</f>
        <v>4</v>
      </c>
      <c r="I166" s="1">
        <f ca="1">MAX(1,MOD(OFFSET(养成规划!$Y$6,MATCH(C166,养成规划!$B$6:$B$77,0)-1,0),100))</f>
        <v>7</v>
      </c>
      <c r="J166" s="1" t="str">
        <f ca="1">OFFSET(养成规划!$Z$6,MATCH(C166,养成规划!$B$6:$B$77,0)-1,0)</f>
        <v>金+</v>
      </c>
      <c r="K166" s="1">
        <f ca="1">OFFSET(养成规划!$AB$6,MATCH(C166,养成规划!$B$6:$B$77,0)-1,0)</f>
        <v>50</v>
      </c>
      <c r="L166" s="1">
        <f ca="1">OFFSET(养成规划!$AC$6,MATCH(C166,养成规划!$B$6:$B$77,0)-1,0)</f>
        <v>13</v>
      </c>
      <c r="M166" s="14">
        <f ca="1">OFFSET(控制台!$R$476,MATCH(C166,控制台!$B$476:$B$547,0)-1,0)</f>
        <v>0.5</v>
      </c>
      <c r="N166" s="14">
        <f ca="1">OFFSET(控制台!$S$476,MATCH(C166,控制台!$B$476:$B$547,0)-1,0)</f>
        <v>0.5</v>
      </c>
      <c r="O166" s="14">
        <f ca="1">OFFSET(控制台!$U$5057,MATCH(C166,控制台!$B$5057:$B$5128,0)-1,0)</f>
        <v>0.15</v>
      </c>
      <c r="P166" s="14">
        <f ca="1">OFFSET(控制台!$V$5057,MATCH(C166,控制台!$B$5057:$B$5128,0)-1,0)</f>
        <v>0.15</v>
      </c>
      <c r="Q166" s="14">
        <f ca="1">OFFSET(控制台!$T$5057,MATCH(C166,控制台!$B$5057:$B$5128,0)-1,0)</f>
        <v>0.25</v>
      </c>
    </row>
    <row r="167" spans="1:17">
      <c r="A167" s="1">
        <f>'107_兵卡等级'!B167</f>
        <v>162</v>
      </c>
      <c r="B167" s="1">
        <f ca="1">'107_兵卡等级'!L167</f>
        <v>246</v>
      </c>
      <c r="C167" s="1">
        <f ca="1">OFFSET(养成规划!$B$6,MATCH(B167,养成规划!$B$6:$B$77,1)-1,0)</f>
        <v>240</v>
      </c>
      <c r="D167" s="1">
        <f ca="1">MAX(3,OFFSET(养成规划!$X$6,MATCH(C167,养成规划!$B$6:$B$77,0)-1,0))</f>
        <v>7.1</v>
      </c>
      <c r="E167" s="1">
        <f ca="1">MAX(1,OFFSET(控制台!$J$374,MATCH(C167,控制台!$B$374:$B$445,0)-1,0))</f>
        <v>30</v>
      </c>
      <c r="F167" s="1">
        <f ca="1">MAX(1,OFFSET(养成规划!$V$6,MATCH(C167,养成规划!$S$6:$S$77,0)-1,0))</f>
        <v>5</v>
      </c>
      <c r="G167" s="1">
        <f ca="1">MAX(9,OFFSET(控制台!$L$374,MATCH(C167,控制台!$B$374:$B$445,0)-1,0))</f>
        <v>96</v>
      </c>
      <c r="H167" s="1">
        <f ca="1">MAX(1,_xlfn.FLOOR.MATH(OFFSET(养成规划!$Y$6,MATCH(C167,养成规划!$B$6:$B$77,0)-1,0)/100))</f>
        <v>4</v>
      </c>
      <c r="I167" s="1">
        <f ca="1">MAX(1,MOD(OFFSET(养成规划!$Y$6,MATCH(C167,养成规划!$B$6:$B$77,0)-1,0),100))</f>
        <v>7</v>
      </c>
      <c r="J167" s="1" t="str">
        <f ca="1">OFFSET(养成规划!$Z$6,MATCH(C167,养成规划!$B$6:$B$77,0)-1,0)</f>
        <v>金+</v>
      </c>
      <c r="K167" s="1">
        <f ca="1">OFFSET(养成规划!$AB$6,MATCH(C167,养成规划!$B$6:$B$77,0)-1,0)</f>
        <v>50</v>
      </c>
      <c r="L167" s="1">
        <f ca="1">OFFSET(养成规划!$AC$6,MATCH(C167,养成规划!$B$6:$B$77,0)-1,0)</f>
        <v>13</v>
      </c>
      <c r="M167" s="14">
        <f ca="1">OFFSET(控制台!$R$476,MATCH(C167,控制台!$B$476:$B$547,0)-1,0)</f>
        <v>0.5</v>
      </c>
      <c r="N167" s="14">
        <f ca="1">OFFSET(控制台!$S$476,MATCH(C167,控制台!$B$476:$B$547,0)-1,0)</f>
        <v>0.5</v>
      </c>
      <c r="O167" s="14">
        <f ca="1">OFFSET(控制台!$U$5057,MATCH(C167,控制台!$B$5057:$B$5128,0)-1,0)</f>
        <v>0.15</v>
      </c>
      <c r="P167" s="14">
        <f ca="1">OFFSET(控制台!$V$5057,MATCH(C167,控制台!$B$5057:$B$5128,0)-1,0)</f>
        <v>0.15</v>
      </c>
      <c r="Q167" s="14">
        <f ca="1">OFFSET(控制台!$T$5057,MATCH(C167,控制台!$B$5057:$B$5128,0)-1,0)</f>
        <v>0.25</v>
      </c>
    </row>
    <row r="168" spans="1:17">
      <c r="A168" s="1">
        <f>'107_兵卡等级'!B168</f>
        <v>163</v>
      </c>
      <c r="B168" s="1">
        <f ca="1">'107_兵卡等级'!L168</f>
        <v>249</v>
      </c>
      <c r="C168" s="1">
        <f ca="1">OFFSET(养成规划!$B$6,MATCH(B168,养成规划!$B$6:$B$77,1)-1,0)</f>
        <v>240</v>
      </c>
      <c r="D168" s="1">
        <f ca="1">MAX(3,OFFSET(养成规划!$X$6,MATCH(C168,养成规划!$B$6:$B$77,0)-1,0))</f>
        <v>7.1</v>
      </c>
      <c r="E168" s="1">
        <f ca="1">MAX(1,OFFSET(控制台!$J$374,MATCH(C168,控制台!$B$374:$B$445,0)-1,0))</f>
        <v>30</v>
      </c>
      <c r="F168" s="1">
        <f ca="1">MAX(1,OFFSET(养成规划!$V$6,MATCH(C168,养成规划!$S$6:$S$77,0)-1,0))</f>
        <v>5</v>
      </c>
      <c r="G168" s="1">
        <f ca="1">MAX(9,OFFSET(控制台!$L$374,MATCH(C168,控制台!$B$374:$B$445,0)-1,0))</f>
        <v>96</v>
      </c>
      <c r="H168" s="1">
        <f ca="1">MAX(1,_xlfn.FLOOR.MATH(OFFSET(养成规划!$Y$6,MATCH(C168,养成规划!$B$6:$B$77,0)-1,0)/100))</f>
        <v>4</v>
      </c>
      <c r="I168" s="1">
        <f ca="1">MAX(1,MOD(OFFSET(养成规划!$Y$6,MATCH(C168,养成规划!$B$6:$B$77,0)-1,0),100))</f>
        <v>7</v>
      </c>
      <c r="J168" s="1" t="str">
        <f ca="1">OFFSET(养成规划!$Z$6,MATCH(C168,养成规划!$B$6:$B$77,0)-1,0)</f>
        <v>金+</v>
      </c>
      <c r="K168" s="1">
        <f ca="1">OFFSET(养成规划!$AB$6,MATCH(C168,养成规划!$B$6:$B$77,0)-1,0)</f>
        <v>50</v>
      </c>
      <c r="L168" s="1">
        <f ca="1">OFFSET(养成规划!$AC$6,MATCH(C168,养成规划!$B$6:$B$77,0)-1,0)</f>
        <v>13</v>
      </c>
      <c r="M168" s="14">
        <f ca="1">OFFSET(控制台!$R$476,MATCH(C168,控制台!$B$476:$B$547,0)-1,0)</f>
        <v>0.5</v>
      </c>
      <c r="N168" s="14">
        <f ca="1">OFFSET(控制台!$S$476,MATCH(C168,控制台!$B$476:$B$547,0)-1,0)</f>
        <v>0.5</v>
      </c>
      <c r="O168" s="14">
        <f ca="1">OFFSET(控制台!$U$5057,MATCH(C168,控制台!$B$5057:$B$5128,0)-1,0)</f>
        <v>0.15</v>
      </c>
      <c r="P168" s="14">
        <f ca="1">OFFSET(控制台!$V$5057,MATCH(C168,控制台!$B$5057:$B$5128,0)-1,0)</f>
        <v>0.15</v>
      </c>
      <c r="Q168" s="14">
        <f ca="1">OFFSET(控制台!$T$5057,MATCH(C168,控制台!$B$5057:$B$5128,0)-1,0)</f>
        <v>0.25</v>
      </c>
    </row>
    <row r="169" spans="1:17">
      <c r="A169" s="1">
        <f>'107_兵卡等级'!B169</f>
        <v>164</v>
      </c>
      <c r="B169" s="1">
        <f ca="1">'107_兵卡等级'!L169</f>
        <v>252</v>
      </c>
      <c r="C169" s="1">
        <f ca="1">OFFSET(养成规划!$B$6,MATCH(B169,养成规划!$B$6:$B$77,1)-1,0)</f>
        <v>240</v>
      </c>
      <c r="D169" s="1">
        <f ca="1">MAX(3,OFFSET(养成规划!$X$6,MATCH(C169,养成规划!$B$6:$B$77,0)-1,0))</f>
        <v>7.1</v>
      </c>
      <c r="E169" s="1">
        <f ca="1">MAX(1,OFFSET(控制台!$J$374,MATCH(C169,控制台!$B$374:$B$445,0)-1,0))</f>
        <v>30</v>
      </c>
      <c r="F169" s="1">
        <f ca="1">MAX(1,OFFSET(养成规划!$V$6,MATCH(C169,养成规划!$S$6:$S$77,0)-1,0))</f>
        <v>5</v>
      </c>
      <c r="G169" s="1">
        <f ca="1">MAX(9,OFFSET(控制台!$L$374,MATCH(C169,控制台!$B$374:$B$445,0)-1,0))</f>
        <v>96</v>
      </c>
      <c r="H169" s="1">
        <f ca="1">MAX(1,_xlfn.FLOOR.MATH(OFFSET(养成规划!$Y$6,MATCH(C169,养成规划!$B$6:$B$77,0)-1,0)/100))</f>
        <v>4</v>
      </c>
      <c r="I169" s="1">
        <f ca="1">MAX(1,MOD(OFFSET(养成规划!$Y$6,MATCH(C169,养成规划!$B$6:$B$77,0)-1,0),100))</f>
        <v>7</v>
      </c>
      <c r="J169" s="1" t="str">
        <f ca="1">OFFSET(养成规划!$Z$6,MATCH(C169,养成规划!$B$6:$B$77,0)-1,0)</f>
        <v>金+</v>
      </c>
      <c r="K169" s="1">
        <f ca="1">OFFSET(养成规划!$AB$6,MATCH(C169,养成规划!$B$6:$B$77,0)-1,0)</f>
        <v>50</v>
      </c>
      <c r="L169" s="1">
        <f ca="1">OFFSET(养成规划!$AC$6,MATCH(C169,养成规划!$B$6:$B$77,0)-1,0)</f>
        <v>13</v>
      </c>
      <c r="M169" s="14">
        <f ca="1">OFFSET(控制台!$R$476,MATCH(C169,控制台!$B$476:$B$547,0)-1,0)</f>
        <v>0.5</v>
      </c>
      <c r="N169" s="14">
        <f ca="1">OFFSET(控制台!$S$476,MATCH(C169,控制台!$B$476:$B$547,0)-1,0)</f>
        <v>0.5</v>
      </c>
      <c r="O169" s="14">
        <f ca="1">OFFSET(控制台!$U$5057,MATCH(C169,控制台!$B$5057:$B$5128,0)-1,0)</f>
        <v>0.15</v>
      </c>
      <c r="P169" s="14">
        <f ca="1">OFFSET(控制台!$V$5057,MATCH(C169,控制台!$B$5057:$B$5128,0)-1,0)</f>
        <v>0.15</v>
      </c>
      <c r="Q169" s="14">
        <f ca="1">OFFSET(控制台!$T$5057,MATCH(C169,控制台!$B$5057:$B$5128,0)-1,0)</f>
        <v>0.25</v>
      </c>
    </row>
    <row r="170" spans="1:17">
      <c r="A170" s="1">
        <f>'107_兵卡等级'!B170</f>
        <v>165</v>
      </c>
      <c r="B170" s="1">
        <f ca="1">'107_兵卡等级'!L170</f>
        <v>255</v>
      </c>
      <c r="C170" s="1">
        <f ca="1">OFFSET(养成规划!$B$6,MATCH(B170,养成规划!$B$6:$B$77,1)-1,0)</f>
        <v>240</v>
      </c>
      <c r="D170" s="1">
        <f ca="1">MAX(3,OFFSET(养成规划!$X$6,MATCH(C170,养成规划!$B$6:$B$77,0)-1,0))</f>
        <v>7.1</v>
      </c>
      <c r="E170" s="1">
        <f ca="1">MAX(1,OFFSET(控制台!$J$374,MATCH(C170,控制台!$B$374:$B$445,0)-1,0))</f>
        <v>30</v>
      </c>
      <c r="F170" s="1">
        <f ca="1">MAX(1,OFFSET(养成规划!$V$6,MATCH(C170,养成规划!$S$6:$S$77,0)-1,0))</f>
        <v>5</v>
      </c>
      <c r="G170" s="1">
        <f ca="1">MAX(9,OFFSET(控制台!$L$374,MATCH(C170,控制台!$B$374:$B$445,0)-1,0))</f>
        <v>96</v>
      </c>
      <c r="H170" s="1">
        <f ca="1">MAX(1,_xlfn.FLOOR.MATH(OFFSET(养成规划!$Y$6,MATCH(C170,养成规划!$B$6:$B$77,0)-1,0)/100))</f>
        <v>4</v>
      </c>
      <c r="I170" s="1">
        <f ca="1">MAX(1,MOD(OFFSET(养成规划!$Y$6,MATCH(C170,养成规划!$B$6:$B$77,0)-1,0),100))</f>
        <v>7</v>
      </c>
      <c r="J170" s="1" t="str">
        <f ca="1">OFFSET(养成规划!$Z$6,MATCH(C170,养成规划!$B$6:$B$77,0)-1,0)</f>
        <v>金+</v>
      </c>
      <c r="K170" s="1">
        <f ca="1">OFFSET(养成规划!$AB$6,MATCH(C170,养成规划!$B$6:$B$77,0)-1,0)</f>
        <v>50</v>
      </c>
      <c r="L170" s="1">
        <f ca="1">OFFSET(养成规划!$AC$6,MATCH(C170,养成规划!$B$6:$B$77,0)-1,0)</f>
        <v>13</v>
      </c>
      <c r="M170" s="14">
        <f ca="1">OFFSET(控制台!$R$476,MATCH(C170,控制台!$B$476:$B$547,0)-1,0)</f>
        <v>0.5</v>
      </c>
      <c r="N170" s="14">
        <f ca="1">OFFSET(控制台!$S$476,MATCH(C170,控制台!$B$476:$B$547,0)-1,0)</f>
        <v>0.5</v>
      </c>
      <c r="O170" s="14">
        <f ca="1">OFFSET(控制台!$U$5057,MATCH(C170,控制台!$B$5057:$B$5128,0)-1,0)</f>
        <v>0.15</v>
      </c>
      <c r="P170" s="14">
        <f ca="1">OFFSET(控制台!$V$5057,MATCH(C170,控制台!$B$5057:$B$5128,0)-1,0)</f>
        <v>0.15</v>
      </c>
      <c r="Q170" s="14">
        <f ca="1">OFFSET(控制台!$T$5057,MATCH(C170,控制台!$B$5057:$B$5128,0)-1,0)</f>
        <v>0.25</v>
      </c>
    </row>
    <row r="171" spans="1:17">
      <c r="A171" s="1">
        <f>'107_兵卡等级'!B171</f>
        <v>166</v>
      </c>
      <c r="B171" s="1">
        <f ca="1">'107_兵卡等级'!L171</f>
        <v>258</v>
      </c>
      <c r="C171" s="1">
        <f ca="1">OFFSET(养成规划!$B$6,MATCH(B171,养成规划!$B$6:$B$77,1)-1,0)</f>
        <v>240</v>
      </c>
      <c r="D171" s="1">
        <f ca="1">MAX(3,OFFSET(养成规划!$X$6,MATCH(C171,养成规划!$B$6:$B$77,0)-1,0))</f>
        <v>7.1</v>
      </c>
      <c r="E171" s="1">
        <f ca="1">MAX(1,OFFSET(控制台!$J$374,MATCH(C171,控制台!$B$374:$B$445,0)-1,0))</f>
        <v>30</v>
      </c>
      <c r="F171" s="1">
        <f ca="1">MAX(1,OFFSET(养成规划!$V$6,MATCH(C171,养成规划!$S$6:$S$77,0)-1,0))</f>
        <v>5</v>
      </c>
      <c r="G171" s="1">
        <f ca="1">MAX(9,OFFSET(控制台!$L$374,MATCH(C171,控制台!$B$374:$B$445,0)-1,0))</f>
        <v>96</v>
      </c>
      <c r="H171" s="1">
        <f ca="1">MAX(1,_xlfn.FLOOR.MATH(OFFSET(养成规划!$Y$6,MATCH(C171,养成规划!$B$6:$B$77,0)-1,0)/100))</f>
        <v>4</v>
      </c>
      <c r="I171" s="1">
        <f ca="1">MAX(1,MOD(OFFSET(养成规划!$Y$6,MATCH(C171,养成规划!$B$6:$B$77,0)-1,0),100))</f>
        <v>7</v>
      </c>
      <c r="J171" s="1" t="str">
        <f ca="1">OFFSET(养成规划!$Z$6,MATCH(C171,养成规划!$B$6:$B$77,0)-1,0)</f>
        <v>金+</v>
      </c>
      <c r="K171" s="1">
        <f ca="1">OFFSET(养成规划!$AB$6,MATCH(C171,养成规划!$B$6:$B$77,0)-1,0)</f>
        <v>50</v>
      </c>
      <c r="L171" s="1">
        <f ca="1">OFFSET(养成规划!$AC$6,MATCH(C171,养成规划!$B$6:$B$77,0)-1,0)</f>
        <v>13</v>
      </c>
      <c r="M171" s="14">
        <f ca="1">OFFSET(控制台!$R$476,MATCH(C171,控制台!$B$476:$B$547,0)-1,0)</f>
        <v>0.5</v>
      </c>
      <c r="N171" s="14">
        <f ca="1">OFFSET(控制台!$S$476,MATCH(C171,控制台!$B$476:$B$547,0)-1,0)</f>
        <v>0.5</v>
      </c>
      <c r="O171" s="14">
        <f ca="1">OFFSET(控制台!$U$5057,MATCH(C171,控制台!$B$5057:$B$5128,0)-1,0)</f>
        <v>0.15</v>
      </c>
      <c r="P171" s="14">
        <f ca="1">OFFSET(控制台!$V$5057,MATCH(C171,控制台!$B$5057:$B$5128,0)-1,0)</f>
        <v>0.15</v>
      </c>
      <c r="Q171" s="14">
        <f ca="1">OFFSET(控制台!$T$5057,MATCH(C171,控制台!$B$5057:$B$5128,0)-1,0)</f>
        <v>0.25</v>
      </c>
    </row>
    <row r="172" spans="1:17">
      <c r="A172" s="1">
        <f>'107_兵卡等级'!B172</f>
        <v>167</v>
      </c>
      <c r="B172" s="1">
        <f ca="1">'107_兵卡等级'!L172</f>
        <v>261</v>
      </c>
      <c r="C172" s="1">
        <f ca="1">OFFSET(养成规划!$B$6,MATCH(B172,养成规划!$B$6:$B$77,1)-1,0)</f>
        <v>240</v>
      </c>
      <c r="D172" s="1">
        <f ca="1">MAX(3,OFFSET(养成规划!$X$6,MATCH(C172,养成规划!$B$6:$B$77,0)-1,0))</f>
        <v>7.1</v>
      </c>
      <c r="E172" s="1">
        <f ca="1">MAX(1,OFFSET(控制台!$J$374,MATCH(C172,控制台!$B$374:$B$445,0)-1,0))</f>
        <v>30</v>
      </c>
      <c r="F172" s="1">
        <f ca="1">MAX(1,OFFSET(养成规划!$V$6,MATCH(C172,养成规划!$S$6:$S$77,0)-1,0))</f>
        <v>5</v>
      </c>
      <c r="G172" s="1">
        <f ca="1">MAX(9,OFFSET(控制台!$L$374,MATCH(C172,控制台!$B$374:$B$445,0)-1,0))</f>
        <v>96</v>
      </c>
      <c r="H172" s="1">
        <f ca="1">MAX(1,_xlfn.FLOOR.MATH(OFFSET(养成规划!$Y$6,MATCH(C172,养成规划!$B$6:$B$77,0)-1,0)/100))</f>
        <v>4</v>
      </c>
      <c r="I172" s="1">
        <f ca="1">MAX(1,MOD(OFFSET(养成规划!$Y$6,MATCH(C172,养成规划!$B$6:$B$77,0)-1,0),100))</f>
        <v>7</v>
      </c>
      <c r="J172" s="1" t="str">
        <f ca="1">OFFSET(养成规划!$Z$6,MATCH(C172,养成规划!$B$6:$B$77,0)-1,0)</f>
        <v>金+</v>
      </c>
      <c r="K172" s="1">
        <f ca="1">OFFSET(养成规划!$AB$6,MATCH(C172,养成规划!$B$6:$B$77,0)-1,0)</f>
        <v>50</v>
      </c>
      <c r="L172" s="1">
        <f ca="1">OFFSET(养成规划!$AC$6,MATCH(C172,养成规划!$B$6:$B$77,0)-1,0)</f>
        <v>13</v>
      </c>
      <c r="M172" s="14">
        <f ca="1">OFFSET(控制台!$R$476,MATCH(C172,控制台!$B$476:$B$547,0)-1,0)</f>
        <v>0.5</v>
      </c>
      <c r="N172" s="14">
        <f ca="1">OFFSET(控制台!$S$476,MATCH(C172,控制台!$B$476:$B$547,0)-1,0)</f>
        <v>0.5</v>
      </c>
      <c r="O172" s="14">
        <f ca="1">OFFSET(控制台!$U$5057,MATCH(C172,控制台!$B$5057:$B$5128,0)-1,0)</f>
        <v>0.15</v>
      </c>
      <c r="P172" s="14">
        <f ca="1">OFFSET(控制台!$V$5057,MATCH(C172,控制台!$B$5057:$B$5128,0)-1,0)</f>
        <v>0.15</v>
      </c>
      <c r="Q172" s="14">
        <f ca="1">OFFSET(控制台!$T$5057,MATCH(C172,控制台!$B$5057:$B$5128,0)-1,0)</f>
        <v>0.25</v>
      </c>
    </row>
    <row r="173" spans="1:17">
      <c r="A173" s="1">
        <f>'107_兵卡等级'!B173</f>
        <v>168</v>
      </c>
      <c r="B173" s="1">
        <f ca="1">'107_兵卡等级'!L173</f>
        <v>264</v>
      </c>
      <c r="C173" s="1">
        <f ca="1">OFFSET(养成规划!$B$6,MATCH(B173,养成规划!$B$6:$B$77,1)-1,0)</f>
        <v>240</v>
      </c>
      <c r="D173" s="1">
        <f ca="1">MAX(3,OFFSET(养成规划!$X$6,MATCH(C173,养成规划!$B$6:$B$77,0)-1,0))</f>
        <v>7.1</v>
      </c>
      <c r="E173" s="1">
        <f ca="1">MAX(1,OFFSET(控制台!$J$374,MATCH(C173,控制台!$B$374:$B$445,0)-1,0))</f>
        <v>30</v>
      </c>
      <c r="F173" s="1">
        <f ca="1">MAX(1,OFFSET(养成规划!$V$6,MATCH(C173,养成规划!$S$6:$S$77,0)-1,0))</f>
        <v>5</v>
      </c>
      <c r="G173" s="1">
        <f ca="1">MAX(9,OFFSET(控制台!$L$374,MATCH(C173,控制台!$B$374:$B$445,0)-1,0))</f>
        <v>96</v>
      </c>
      <c r="H173" s="1">
        <f ca="1">MAX(1,_xlfn.FLOOR.MATH(OFFSET(养成规划!$Y$6,MATCH(C173,养成规划!$B$6:$B$77,0)-1,0)/100))</f>
        <v>4</v>
      </c>
      <c r="I173" s="1">
        <f ca="1">MAX(1,MOD(OFFSET(养成规划!$Y$6,MATCH(C173,养成规划!$B$6:$B$77,0)-1,0),100))</f>
        <v>7</v>
      </c>
      <c r="J173" s="1" t="str">
        <f ca="1">OFFSET(养成规划!$Z$6,MATCH(C173,养成规划!$B$6:$B$77,0)-1,0)</f>
        <v>金+</v>
      </c>
      <c r="K173" s="1">
        <f ca="1">OFFSET(养成规划!$AB$6,MATCH(C173,养成规划!$B$6:$B$77,0)-1,0)</f>
        <v>50</v>
      </c>
      <c r="L173" s="1">
        <f ca="1">OFFSET(养成规划!$AC$6,MATCH(C173,养成规划!$B$6:$B$77,0)-1,0)</f>
        <v>13</v>
      </c>
      <c r="M173" s="14">
        <f ca="1">OFFSET(控制台!$R$476,MATCH(C173,控制台!$B$476:$B$547,0)-1,0)</f>
        <v>0.5</v>
      </c>
      <c r="N173" s="14">
        <f ca="1">OFFSET(控制台!$S$476,MATCH(C173,控制台!$B$476:$B$547,0)-1,0)</f>
        <v>0.5</v>
      </c>
      <c r="O173" s="14">
        <f ca="1">OFFSET(控制台!$U$5057,MATCH(C173,控制台!$B$5057:$B$5128,0)-1,0)</f>
        <v>0.15</v>
      </c>
      <c r="P173" s="14">
        <f ca="1">OFFSET(控制台!$V$5057,MATCH(C173,控制台!$B$5057:$B$5128,0)-1,0)</f>
        <v>0.15</v>
      </c>
      <c r="Q173" s="14">
        <f ca="1">OFFSET(控制台!$T$5057,MATCH(C173,控制台!$B$5057:$B$5128,0)-1,0)</f>
        <v>0.25</v>
      </c>
    </row>
    <row r="174" spans="1:17">
      <c r="A174" s="1">
        <f>'107_兵卡等级'!B174</f>
        <v>169</v>
      </c>
      <c r="B174" s="1">
        <f ca="1">'107_兵卡等级'!L174</f>
        <v>267</v>
      </c>
      <c r="C174" s="1">
        <f ca="1">OFFSET(养成规划!$B$6,MATCH(B174,养成规划!$B$6:$B$77,1)-1,0)</f>
        <v>240</v>
      </c>
      <c r="D174" s="1">
        <f ca="1">MAX(3,OFFSET(养成规划!$X$6,MATCH(C174,养成规划!$B$6:$B$77,0)-1,0))</f>
        <v>7.1</v>
      </c>
      <c r="E174" s="1">
        <f ca="1">MAX(1,OFFSET(控制台!$J$374,MATCH(C174,控制台!$B$374:$B$445,0)-1,0))</f>
        <v>30</v>
      </c>
      <c r="F174" s="1">
        <f ca="1">MAX(1,OFFSET(养成规划!$V$6,MATCH(C174,养成规划!$S$6:$S$77,0)-1,0))</f>
        <v>5</v>
      </c>
      <c r="G174" s="1">
        <f ca="1">MAX(9,OFFSET(控制台!$L$374,MATCH(C174,控制台!$B$374:$B$445,0)-1,0))</f>
        <v>96</v>
      </c>
      <c r="H174" s="1">
        <f ca="1">MAX(1,_xlfn.FLOOR.MATH(OFFSET(养成规划!$Y$6,MATCH(C174,养成规划!$B$6:$B$77,0)-1,0)/100))</f>
        <v>4</v>
      </c>
      <c r="I174" s="1">
        <f ca="1">MAX(1,MOD(OFFSET(养成规划!$Y$6,MATCH(C174,养成规划!$B$6:$B$77,0)-1,0),100))</f>
        <v>7</v>
      </c>
      <c r="J174" s="1" t="str">
        <f ca="1">OFFSET(养成规划!$Z$6,MATCH(C174,养成规划!$B$6:$B$77,0)-1,0)</f>
        <v>金+</v>
      </c>
      <c r="K174" s="1">
        <f ca="1">OFFSET(养成规划!$AB$6,MATCH(C174,养成规划!$B$6:$B$77,0)-1,0)</f>
        <v>50</v>
      </c>
      <c r="L174" s="1">
        <f ca="1">OFFSET(养成规划!$AC$6,MATCH(C174,养成规划!$B$6:$B$77,0)-1,0)</f>
        <v>13</v>
      </c>
      <c r="M174" s="14">
        <f ca="1">OFFSET(控制台!$R$476,MATCH(C174,控制台!$B$476:$B$547,0)-1,0)</f>
        <v>0.5</v>
      </c>
      <c r="N174" s="14">
        <f ca="1">OFFSET(控制台!$S$476,MATCH(C174,控制台!$B$476:$B$547,0)-1,0)</f>
        <v>0.5</v>
      </c>
      <c r="O174" s="14">
        <f ca="1">OFFSET(控制台!$U$5057,MATCH(C174,控制台!$B$5057:$B$5128,0)-1,0)</f>
        <v>0.15</v>
      </c>
      <c r="P174" s="14">
        <f ca="1">OFFSET(控制台!$V$5057,MATCH(C174,控制台!$B$5057:$B$5128,0)-1,0)</f>
        <v>0.15</v>
      </c>
      <c r="Q174" s="14">
        <f ca="1">OFFSET(控制台!$T$5057,MATCH(C174,控制台!$B$5057:$B$5128,0)-1,0)</f>
        <v>0.25</v>
      </c>
    </row>
    <row r="175" spans="1:17">
      <c r="A175" s="1">
        <f>'107_兵卡等级'!B175</f>
        <v>170</v>
      </c>
      <c r="B175" s="1">
        <f ca="1">'107_兵卡等级'!L175</f>
        <v>270</v>
      </c>
      <c r="C175" s="1">
        <f ca="1">OFFSET(养成规划!$B$6,MATCH(B175,养成规划!$B$6:$B$77,1)-1,0)</f>
        <v>270</v>
      </c>
      <c r="D175" s="1">
        <f ca="1">MAX(3,OFFSET(养成规划!$X$6,MATCH(C175,养成规划!$B$6:$B$77,0)-1,0))</f>
        <v>7.1</v>
      </c>
      <c r="E175" s="1">
        <f ca="1">MAX(1,OFFSET(控制台!$J$374,MATCH(C175,控制台!$B$374:$B$445,0)-1,0))</f>
        <v>30</v>
      </c>
      <c r="F175" s="1">
        <f ca="1">MAX(1,OFFSET(养成规划!$V$6,MATCH(C175,养成规划!$S$6:$S$77,0)-1,0))</f>
        <v>5</v>
      </c>
      <c r="G175" s="1">
        <f ca="1">MAX(9,OFFSET(控制台!$L$374,MATCH(C175,控制台!$B$374:$B$445,0)-1,0))</f>
        <v>96</v>
      </c>
      <c r="H175" s="1">
        <f ca="1">MAX(1,_xlfn.FLOOR.MATH(OFFSET(养成规划!$Y$6,MATCH(C175,养成规划!$B$6:$B$77,0)-1,0)/100))</f>
        <v>4</v>
      </c>
      <c r="I175" s="1">
        <f ca="1">MAX(1,MOD(OFFSET(养成规划!$Y$6,MATCH(C175,养成规划!$B$6:$B$77,0)-1,0),100))</f>
        <v>8</v>
      </c>
      <c r="J175" s="1" t="str">
        <f ca="1">OFFSET(养成规划!$Z$6,MATCH(C175,养成规划!$B$6:$B$77,0)-1,0)</f>
        <v>金+</v>
      </c>
      <c r="K175" s="1">
        <f ca="1">OFFSET(养成规划!$AB$6,MATCH(C175,养成规划!$B$6:$B$77,0)-1,0)</f>
        <v>50</v>
      </c>
      <c r="L175" s="1">
        <f ca="1">OFFSET(养成规划!$AC$6,MATCH(C175,养成规划!$B$6:$B$77,0)-1,0)</f>
        <v>13</v>
      </c>
      <c r="M175" s="14">
        <f ca="1">OFFSET(控制台!$R$476,MATCH(C175,控制台!$B$476:$B$547,0)-1,0)</f>
        <v>0.5</v>
      </c>
      <c r="N175" s="14">
        <f ca="1">OFFSET(控制台!$S$476,MATCH(C175,控制台!$B$476:$B$547,0)-1,0)</f>
        <v>0.5</v>
      </c>
      <c r="O175" s="14">
        <f ca="1">OFFSET(控制台!$U$5057,MATCH(C175,控制台!$B$5057:$B$5128,0)-1,0)</f>
        <v>0.15</v>
      </c>
      <c r="P175" s="14">
        <f ca="1">OFFSET(控制台!$V$5057,MATCH(C175,控制台!$B$5057:$B$5128,0)-1,0)</f>
        <v>0.15</v>
      </c>
      <c r="Q175" s="14">
        <f ca="1">OFFSET(控制台!$T$5057,MATCH(C175,控制台!$B$5057:$B$5128,0)-1,0)</f>
        <v>0.25</v>
      </c>
    </row>
    <row r="176" spans="1:17">
      <c r="A176" s="1">
        <f>'107_兵卡等级'!B176</f>
        <v>171</v>
      </c>
      <c r="B176" s="1">
        <f ca="1">'107_兵卡等级'!L176</f>
        <v>273</v>
      </c>
      <c r="C176" s="1">
        <f ca="1">OFFSET(养成规划!$B$6,MATCH(B176,养成规划!$B$6:$B$77,1)-1,0)</f>
        <v>270</v>
      </c>
      <c r="D176" s="1">
        <f ca="1">MAX(3,OFFSET(养成规划!$X$6,MATCH(C176,养成规划!$B$6:$B$77,0)-1,0))</f>
        <v>7.1</v>
      </c>
      <c r="E176" s="1">
        <f ca="1">MAX(1,OFFSET(控制台!$J$374,MATCH(C176,控制台!$B$374:$B$445,0)-1,0))</f>
        <v>30</v>
      </c>
      <c r="F176" s="1">
        <f ca="1">MAX(1,OFFSET(养成规划!$V$6,MATCH(C176,养成规划!$S$6:$S$77,0)-1,0))</f>
        <v>5</v>
      </c>
      <c r="G176" s="1">
        <f ca="1">MAX(9,OFFSET(控制台!$L$374,MATCH(C176,控制台!$B$374:$B$445,0)-1,0))</f>
        <v>96</v>
      </c>
      <c r="H176" s="1">
        <f ca="1">MAX(1,_xlfn.FLOOR.MATH(OFFSET(养成规划!$Y$6,MATCH(C176,养成规划!$B$6:$B$77,0)-1,0)/100))</f>
        <v>4</v>
      </c>
      <c r="I176" s="1">
        <f ca="1">MAX(1,MOD(OFFSET(养成规划!$Y$6,MATCH(C176,养成规划!$B$6:$B$77,0)-1,0),100))</f>
        <v>8</v>
      </c>
      <c r="J176" s="1" t="str">
        <f ca="1">OFFSET(养成规划!$Z$6,MATCH(C176,养成规划!$B$6:$B$77,0)-1,0)</f>
        <v>金+</v>
      </c>
      <c r="K176" s="1">
        <f ca="1">OFFSET(养成规划!$AB$6,MATCH(C176,养成规划!$B$6:$B$77,0)-1,0)</f>
        <v>50</v>
      </c>
      <c r="L176" s="1">
        <f ca="1">OFFSET(养成规划!$AC$6,MATCH(C176,养成规划!$B$6:$B$77,0)-1,0)</f>
        <v>13</v>
      </c>
      <c r="M176" s="14">
        <f ca="1">OFFSET(控制台!$R$476,MATCH(C176,控制台!$B$476:$B$547,0)-1,0)</f>
        <v>0.5</v>
      </c>
      <c r="N176" s="14">
        <f ca="1">OFFSET(控制台!$S$476,MATCH(C176,控制台!$B$476:$B$547,0)-1,0)</f>
        <v>0.5</v>
      </c>
      <c r="O176" s="14">
        <f ca="1">OFFSET(控制台!$U$5057,MATCH(C176,控制台!$B$5057:$B$5128,0)-1,0)</f>
        <v>0.15</v>
      </c>
      <c r="P176" s="14">
        <f ca="1">OFFSET(控制台!$V$5057,MATCH(C176,控制台!$B$5057:$B$5128,0)-1,0)</f>
        <v>0.15</v>
      </c>
      <c r="Q176" s="14">
        <f ca="1">OFFSET(控制台!$T$5057,MATCH(C176,控制台!$B$5057:$B$5128,0)-1,0)</f>
        <v>0.25</v>
      </c>
    </row>
    <row r="177" spans="1:17">
      <c r="A177" s="1">
        <f>'107_兵卡等级'!B177</f>
        <v>172</v>
      </c>
      <c r="B177" s="1">
        <f ca="1">'107_兵卡等级'!L177</f>
        <v>276</v>
      </c>
      <c r="C177" s="1">
        <f ca="1">OFFSET(养成规划!$B$6,MATCH(B177,养成规划!$B$6:$B$77,1)-1,0)</f>
        <v>270</v>
      </c>
      <c r="D177" s="1">
        <f ca="1">MAX(3,OFFSET(养成规划!$X$6,MATCH(C177,养成规划!$B$6:$B$77,0)-1,0))</f>
        <v>7.1</v>
      </c>
      <c r="E177" s="1">
        <f ca="1">MAX(1,OFFSET(控制台!$J$374,MATCH(C177,控制台!$B$374:$B$445,0)-1,0))</f>
        <v>30</v>
      </c>
      <c r="F177" s="1">
        <f ca="1">MAX(1,OFFSET(养成规划!$V$6,MATCH(C177,养成规划!$S$6:$S$77,0)-1,0))</f>
        <v>5</v>
      </c>
      <c r="G177" s="1">
        <f ca="1">MAX(9,OFFSET(控制台!$L$374,MATCH(C177,控制台!$B$374:$B$445,0)-1,0))</f>
        <v>96</v>
      </c>
      <c r="H177" s="1">
        <f ca="1">MAX(1,_xlfn.FLOOR.MATH(OFFSET(养成规划!$Y$6,MATCH(C177,养成规划!$B$6:$B$77,0)-1,0)/100))</f>
        <v>4</v>
      </c>
      <c r="I177" s="1">
        <f ca="1">MAX(1,MOD(OFFSET(养成规划!$Y$6,MATCH(C177,养成规划!$B$6:$B$77,0)-1,0),100))</f>
        <v>8</v>
      </c>
      <c r="J177" s="1" t="str">
        <f ca="1">OFFSET(养成规划!$Z$6,MATCH(C177,养成规划!$B$6:$B$77,0)-1,0)</f>
        <v>金+</v>
      </c>
      <c r="K177" s="1">
        <f ca="1">OFFSET(养成规划!$AB$6,MATCH(C177,养成规划!$B$6:$B$77,0)-1,0)</f>
        <v>50</v>
      </c>
      <c r="L177" s="1">
        <f ca="1">OFFSET(养成规划!$AC$6,MATCH(C177,养成规划!$B$6:$B$77,0)-1,0)</f>
        <v>13</v>
      </c>
      <c r="M177" s="14">
        <f ca="1">OFFSET(控制台!$R$476,MATCH(C177,控制台!$B$476:$B$547,0)-1,0)</f>
        <v>0.5</v>
      </c>
      <c r="N177" s="14">
        <f ca="1">OFFSET(控制台!$S$476,MATCH(C177,控制台!$B$476:$B$547,0)-1,0)</f>
        <v>0.5</v>
      </c>
      <c r="O177" s="14">
        <f ca="1">OFFSET(控制台!$U$5057,MATCH(C177,控制台!$B$5057:$B$5128,0)-1,0)</f>
        <v>0.15</v>
      </c>
      <c r="P177" s="14">
        <f ca="1">OFFSET(控制台!$V$5057,MATCH(C177,控制台!$B$5057:$B$5128,0)-1,0)</f>
        <v>0.15</v>
      </c>
      <c r="Q177" s="14">
        <f ca="1">OFFSET(控制台!$T$5057,MATCH(C177,控制台!$B$5057:$B$5128,0)-1,0)</f>
        <v>0.25</v>
      </c>
    </row>
    <row r="178" spans="1:17">
      <c r="A178" s="1">
        <f>'107_兵卡等级'!B178</f>
        <v>173</v>
      </c>
      <c r="B178" s="1">
        <f ca="1">'107_兵卡等级'!L178</f>
        <v>279</v>
      </c>
      <c r="C178" s="1">
        <f ca="1">OFFSET(养成规划!$B$6,MATCH(B178,养成规划!$B$6:$B$77,1)-1,0)</f>
        <v>270</v>
      </c>
      <c r="D178" s="1">
        <f ca="1">MAX(3,OFFSET(养成规划!$X$6,MATCH(C178,养成规划!$B$6:$B$77,0)-1,0))</f>
        <v>7.1</v>
      </c>
      <c r="E178" s="1">
        <f ca="1">MAX(1,OFFSET(控制台!$J$374,MATCH(C178,控制台!$B$374:$B$445,0)-1,0))</f>
        <v>30</v>
      </c>
      <c r="F178" s="1">
        <f ca="1">MAX(1,OFFSET(养成规划!$V$6,MATCH(C178,养成规划!$S$6:$S$77,0)-1,0))</f>
        <v>5</v>
      </c>
      <c r="G178" s="1">
        <f ca="1">MAX(9,OFFSET(控制台!$L$374,MATCH(C178,控制台!$B$374:$B$445,0)-1,0))</f>
        <v>96</v>
      </c>
      <c r="H178" s="1">
        <f ca="1">MAX(1,_xlfn.FLOOR.MATH(OFFSET(养成规划!$Y$6,MATCH(C178,养成规划!$B$6:$B$77,0)-1,0)/100))</f>
        <v>4</v>
      </c>
      <c r="I178" s="1">
        <f ca="1">MAX(1,MOD(OFFSET(养成规划!$Y$6,MATCH(C178,养成规划!$B$6:$B$77,0)-1,0),100))</f>
        <v>8</v>
      </c>
      <c r="J178" s="1" t="str">
        <f ca="1">OFFSET(养成规划!$Z$6,MATCH(C178,养成规划!$B$6:$B$77,0)-1,0)</f>
        <v>金+</v>
      </c>
      <c r="K178" s="1">
        <f ca="1">OFFSET(养成规划!$AB$6,MATCH(C178,养成规划!$B$6:$B$77,0)-1,0)</f>
        <v>50</v>
      </c>
      <c r="L178" s="1">
        <f ca="1">OFFSET(养成规划!$AC$6,MATCH(C178,养成规划!$B$6:$B$77,0)-1,0)</f>
        <v>13</v>
      </c>
      <c r="M178" s="14">
        <f ca="1">OFFSET(控制台!$R$476,MATCH(C178,控制台!$B$476:$B$547,0)-1,0)</f>
        <v>0.5</v>
      </c>
      <c r="N178" s="14">
        <f ca="1">OFFSET(控制台!$S$476,MATCH(C178,控制台!$B$476:$B$547,0)-1,0)</f>
        <v>0.5</v>
      </c>
      <c r="O178" s="14">
        <f ca="1">OFFSET(控制台!$U$5057,MATCH(C178,控制台!$B$5057:$B$5128,0)-1,0)</f>
        <v>0.15</v>
      </c>
      <c r="P178" s="14">
        <f ca="1">OFFSET(控制台!$V$5057,MATCH(C178,控制台!$B$5057:$B$5128,0)-1,0)</f>
        <v>0.15</v>
      </c>
      <c r="Q178" s="14">
        <f ca="1">OFFSET(控制台!$T$5057,MATCH(C178,控制台!$B$5057:$B$5128,0)-1,0)</f>
        <v>0.25</v>
      </c>
    </row>
    <row r="179" spans="1:17">
      <c r="A179" s="1">
        <f>'107_兵卡等级'!B179</f>
        <v>174</v>
      </c>
      <c r="B179" s="1">
        <f ca="1">'107_兵卡等级'!L179</f>
        <v>282</v>
      </c>
      <c r="C179" s="1">
        <f ca="1">OFFSET(养成规划!$B$6,MATCH(B179,养成规划!$B$6:$B$77,1)-1,0)</f>
        <v>270</v>
      </c>
      <c r="D179" s="1">
        <f ca="1">MAX(3,OFFSET(养成规划!$X$6,MATCH(C179,养成规划!$B$6:$B$77,0)-1,0))</f>
        <v>7.1</v>
      </c>
      <c r="E179" s="1">
        <f ca="1">MAX(1,OFFSET(控制台!$J$374,MATCH(C179,控制台!$B$374:$B$445,0)-1,0))</f>
        <v>30</v>
      </c>
      <c r="F179" s="1">
        <f ca="1">MAX(1,OFFSET(养成规划!$V$6,MATCH(C179,养成规划!$S$6:$S$77,0)-1,0))</f>
        <v>5</v>
      </c>
      <c r="G179" s="1">
        <f ca="1">MAX(9,OFFSET(控制台!$L$374,MATCH(C179,控制台!$B$374:$B$445,0)-1,0))</f>
        <v>96</v>
      </c>
      <c r="H179" s="1">
        <f ca="1">MAX(1,_xlfn.FLOOR.MATH(OFFSET(养成规划!$Y$6,MATCH(C179,养成规划!$B$6:$B$77,0)-1,0)/100))</f>
        <v>4</v>
      </c>
      <c r="I179" s="1">
        <f ca="1">MAX(1,MOD(OFFSET(养成规划!$Y$6,MATCH(C179,养成规划!$B$6:$B$77,0)-1,0),100))</f>
        <v>8</v>
      </c>
      <c r="J179" s="1" t="str">
        <f ca="1">OFFSET(养成规划!$Z$6,MATCH(C179,养成规划!$B$6:$B$77,0)-1,0)</f>
        <v>金+</v>
      </c>
      <c r="K179" s="1">
        <f ca="1">OFFSET(养成规划!$AB$6,MATCH(C179,养成规划!$B$6:$B$77,0)-1,0)</f>
        <v>50</v>
      </c>
      <c r="L179" s="1">
        <f ca="1">OFFSET(养成规划!$AC$6,MATCH(C179,养成规划!$B$6:$B$77,0)-1,0)</f>
        <v>13</v>
      </c>
      <c r="M179" s="14">
        <f ca="1">OFFSET(控制台!$R$476,MATCH(C179,控制台!$B$476:$B$547,0)-1,0)</f>
        <v>0.5</v>
      </c>
      <c r="N179" s="14">
        <f ca="1">OFFSET(控制台!$S$476,MATCH(C179,控制台!$B$476:$B$547,0)-1,0)</f>
        <v>0.5</v>
      </c>
      <c r="O179" s="14">
        <f ca="1">OFFSET(控制台!$U$5057,MATCH(C179,控制台!$B$5057:$B$5128,0)-1,0)</f>
        <v>0.15</v>
      </c>
      <c r="P179" s="14">
        <f ca="1">OFFSET(控制台!$V$5057,MATCH(C179,控制台!$B$5057:$B$5128,0)-1,0)</f>
        <v>0.15</v>
      </c>
      <c r="Q179" s="14">
        <f ca="1">OFFSET(控制台!$T$5057,MATCH(C179,控制台!$B$5057:$B$5128,0)-1,0)</f>
        <v>0.25</v>
      </c>
    </row>
    <row r="180" spans="1:17">
      <c r="A180" s="1">
        <f>'107_兵卡等级'!B180</f>
        <v>175</v>
      </c>
      <c r="B180" s="1">
        <f ca="1">'107_兵卡等级'!L180</f>
        <v>285</v>
      </c>
      <c r="C180" s="1">
        <f ca="1">OFFSET(养成规划!$B$6,MATCH(B180,养成规划!$B$6:$B$77,1)-1,0)</f>
        <v>270</v>
      </c>
      <c r="D180" s="1">
        <f ca="1">MAX(3,OFFSET(养成规划!$X$6,MATCH(C180,养成规划!$B$6:$B$77,0)-1,0))</f>
        <v>7.1</v>
      </c>
      <c r="E180" s="1">
        <f ca="1">MAX(1,OFFSET(控制台!$J$374,MATCH(C180,控制台!$B$374:$B$445,0)-1,0))</f>
        <v>30</v>
      </c>
      <c r="F180" s="1">
        <f ca="1">MAX(1,OFFSET(养成规划!$V$6,MATCH(C180,养成规划!$S$6:$S$77,0)-1,0))</f>
        <v>5</v>
      </c>
      <c r="G180" s="1">
        <f ca="1">MAX(9,OFFSET(控制台!$L$374,MATCH(C180,控制台!$B$374:$B$445,0)-1,0))</f>
        <v>96</v>
      </c>
      <c r="H180" s="1">
        <f ca="1">MAX(1,_xlfn.FLOOR.MATH(OFFSET(养成规划!$Y$6,MATCH(C180,养成规划!$B$6:$B$77,0)-1,0)/100))</f>
        <v>4</v>
      </c>
      <c r="I180" s="1">
        <f ca="1">MAX(1,MOD(OFFSET(养成规划!$Y$6,MATCH(C180,养成规划!$B$6:$B$77,0)-1,0),100))</f>
        <v>8</v>
      </c>
      <c r="J180" s="1" t="str">
        <f ca="1">OFFSET(养成规划!$Z$6,MATCH(C180,养成规划!$B$6:$B$77,0)-1,0)</f>
        <v>金+</v>
      </c>
      <c r="K180" s="1">
        <f ca="1">OFFSET(养成规划!$AB$6,MATCH(C180,养成规划!$B$6:$B$77,0)-1,0)</f>
        <v>50</v>
      </c>
      <c r="L180" s="1">
        <f ca="1">OFFSET(养成规划!$AC$6,MATCH(C180,养成规划!$B$6:$B$77,0)-1,0)</f>
        <v>13</v>
      </c>
      <c r="M180" s="14">
        <f ca="1">OFFSET(控制台!$R$476,MATCH(C180,控制台!$B$476:$B$547,0)-1,0)</f>
        <v>0.5</v>
      </c>
      <c r="N180" s="14">
        <f ca="1">OFFSET(控制台!$S$476,MATCH(C180,控制台!$B$476:$B$547,0)-1,0)</f>
        <v>0.5</v>
      </c>
      <c r="O180" s="14">
        <f ca="1">OFFSET(控制台!$U$5057,MATCH(C180,控制台!$B$5057:$B$5128,0)-1,0)</f>
        <v>0.15</v>
      </c>
      <c r="P180" s="14">
        <f ca="1">OFFSET(控制台!$V$5057,MATCH(C180,控制台!$B$5057:$B$5128,0)-1,0)</f>
        <v>0.15</v>
      </c>
      <c r="Q180" s="14">
        <f ca="1">OFFSET(控制台!$T$5057,MATCH(C180,控制台!$B$5057:$B$5128,0)-1,0)</f>
        <v>0.25</v>
      </c>
    </row>
    <row r="181" spans="1:17">
      <c r="A181" s="1">
        <f>'107_兵卡等级'!B181</f>
        <v>176</v>
      </c>
      <c r="B181" s="1">
        <f ca="1">'107_兵卡等级'!L181</f>
        <v>288</v>
      </c>
      <c r="C181" s="1">
        <f ca="1">OFFSET(养成规划!$B$6,MATCH(B181,养成规划!$B$6:$B$77,1)-1,0)</f>
        <v>270</v>
      </c>
      <c r="D181" s="1">
        <f ca="1">MAX(3,OFFSET(养成规划!$X$6,MATCH(C181,养成规划!$B$6:$B$77,0)-1,0))</f>
        <v>7.1</v>
      </c>
      <c r="E181" s="1">
        <f ca="1">MAX(1,OFFSET(控制台!$J$374,MATCH(C181,控制台!$B$374:$B$445,0)-1,0))</f>
        <v>30</v>
      </c>
      <c r="F181" s="1">
        <f ca="1">MAX(1,OFFSET(养成规划!$V$6,MATCH(C181,养成规划!$S$6:$S$77,0)-1,0))</f>
        <v>5</v>
      </c>
      <c r="G181" s="1">
        <f ca="1">MAX(9,OFFSET(控制台!$L$374,MATCH(C181,控制台!$B$374:$B$445,0)-1,0))</f>
        <v>96</v>
      </c>
      <c r="H181" s="1">
        <f ca="1">MAX(1,_xlfn.FLOOR.MATH(OFFSET(养成规划!$Y$6,MATCH(C181,养成规划!$B$6:$B$77,0)-1,0)/100))</f>
        <v>4</v>
      </c>
      <c r="I181" s="1">
        <f ca="1">MAX(1,MOD(OFFSET(养成规划!$Y$6,MATCH(C181,养成规划!$B$6:$B$77,0)-1,0),100))</f>
        <v>8</v>
      </c>
      <c r="J181" s="1" t="str">
        <f ca="1">OFFSET(养成规划!$Z$6,MATCH(C181,养成规划!$B$6:$B$77,0)-1,0)</f>
        <v>金+</v>
      </c>
      <c r="K181" s="1">
        <f ca="1">OFFSET(养成规划!$AB$6,MATCH(C181,养成规划!$B$6:$B$77,0)-1,0)</f>
        <v>50</v>
      </c>
      <c r="L181" s="1">
        <f ca="1">OFFSET(养成规划!$AC$6,MATCH(C181,养成规划!$B$6:$B$77,0)-1,0)</f>
        <v>13</v>
      </c>
      <c r="M181" s="14">
        <f ca="1">OFFSET(控制台!$R$476,MATCH(C181,控制台!$B$476:$B$547,0)-1,0)</f>
        <v>0.5</v>
      </c>
      <c r="N181" s="14">
        <f ca="1">OFFSET(控制台!$S$476,MATCH(C181,控制台!$B$476:$B$547,0)-1,0)</f>
        <v>0.5</v>
      </c>
      <c r="O181" s="14">
        <f ca="1">OFFSET(控制台!$U$5057,MATCH(C181,控制台!$B$5057:$B$5128,0)-1,0)</f>
        <v>0.15</v>
      </c>
      <c r="P181" s="14">
        <f ca="1">OFFSET(控制台!$V$5057,MATCH(C181,控制台!$B$5057:$B$5128,0)-1,0)</f>
        <v>0.15</v>
      </c>
      <c r="Q181" s="14">
        <f ca="1">OFFSET(控制台!$T$5057,MATCH(C181,控制台!$B$5057:$B$5128,0)-1,0)</f>
        <v>0.25</v>
      </c>
    </row>
    <row r="182" spans="1:17">
      <c r="A182" s="1">
        <f>'107_兵卡等级'!B182</f>
        <v>177</v>
      </c>
      <c r="B182" s="1">
        <f ca="1">'107_兵卡等级'!L182</f>
        <v>291</v>
      </c>
      <c r="C182" s="1">
        <f ca="1">OFFSET(养成规划!$B$6,MATCH(B182,养成规划!$B$6:$B$77,1)-1,0)</f>
        <v>270</v>
      </c>
      <c r="D182" s="1">
        <f ca="1">MAX(3,OFFSET(养成规划!$X$6,MATCH(C182,养成规划!$B$6:$B$77,0)-1,0))</f>
        <v>7.1</v>
      </c>
      <c r="E182" s="1">
        <f ca="1">MAX(1,OFFSET(控制台!$J$374,MATCH(C182,控制台!$B$374:$B$445,0)-1,0))</f>
        <v>30</v>
      </c>
      <c r="F182" s="1">
        <f ca="1">MAX(1,OFFSET(养成规划!$V$6,MATCH(C182,养成规划!$S$6:$S$77,0)-1,0))</f>
        <v>5</v>
      </c>
      <c r="G182" s="1">
        <f ca="1">MAX(9,OFFSET(控制台!$L$374,MATCH(C182,控制台!$B$374:$B$445,0)-1,0))</f>
        <v>96</v>
      </c>
      <c r="H182" s="1">
        <f ca="1">MAX(1,_xlfn.FLOOR.MATH(OFFSET(养成规划!$Y$6,MATCH(C182,养成规划!$B$6:$B$77,0)-1,0)/100))</f>
        <v>4</v>
      </c>
      <c r="I182" s="1">
        <f ca="1">MAX(1,MOD(OFFSET(养成规划!$Y$6,MATCH(C182,养成规划!$B$6:$B$77,0)-1,0),100))</f>
        <v>8</v>
      </c>
      <c r="J182" s="1" t="str">
        <f ca="1">OFFSET(养成规划!$Z$6,MATCH(C182,养成规划!$B$6:$B$77,0)-1,0)</f>
        <v>金+</v>
      </c>
      <c r="K182" s="1">
        <f ca="1">OFFSET(养成规划!$AB$6,MATCH(C182,养成规划!$B$6:$B$77,0)-1,0)</f>
        <v>50</v>
      </c>
      <c r="L182" s="1">
        <f ca="1">OFFSET(养成规划!$AC$6,MATCH(C182,养成规划!$B$6:$B$77,0)-1,0)</f>
        <v>13</v>
      </c>
      <c r="M182" s="14">
        <f ca="1">OFFSET(控制台!$R$476,MATCH(C182,控制台!$B$476:$B$547,0)-1,0)</f>
        <v>0.5</v>
      </c>
      <c r="N182" s="14">
        <f ca="1">OFFSET(控制台!$S$476,MATCH(C182,控制台!$B$476:$B$547,0)-1,0)</f>
        <v>0.5</v>
      </c>
      <c r="O182" s="14">
        <f ca="1">OFFSET(控制台!$U$5057,MATCH(C182,控制台!$B$5057:$B$5128,0)-1,0)</f>
        <v>0.15</v>
      </c>
      <c r="P182" s="14">
        <f ca="1">OFFSET(控制台!$V$5057,MATCH(C182,控制台!$B$5057:$B$5128,0)-1,0)</f>
        <v>0.15</v>
      </c>
      <c r="Q182" s="14">
        <f ca="1">OFFSET(控制台!$T$5057,MATCH(C182,控制台!$B$5057:$B$5128,0)-1,0)</f>
        <v>0.25</v>
      </c>
    </row>
    <row r="183" spans="1:17">
      <c r="A183" s="1">
        <f>'107_兵卡等级'!B183</f>
        <v>178</v>
      </c>
      <c r="B183" s="1">
        <f ca="1">'107_兵卡等级'!L183</f>
        <v>294</v>
      </c>
      <c r="C183" s="1">
        <f ca="1">OFFSET(养成规划!$B$6,MATCH(B183,养成规划!$B$6:$B$77,1)-1,0)</f>
        <v>270</v>
      </c>
      <c r="D183" s="1">
        <f ca="1">MAX(3,OFFSET(养成规划!$X$6,MATCH(C183,养成规划!$B$6:$B$77,0)-1,0))</f>
        <v>7.1</v>
      </c>
      <c r="E183" s="1">
        <f ca="1">MAX(1,OFFSET(控制台!$J$374,MATCH(C183,控制台!$B$374:$B$445,0)-1,0))</f>
        <v>30</v>
      </c>
      <c r="F183" s="1">
        <f ca="1">MAX(1,OFFSET(养成规划!$V$6,MATCH(C183,养成规划!$S$6:$S$77,0)-1,0))</f>
        <v>5</v>
      </c>
      <c r="G183" s="1">
        <f ca="1">MAX(9,OFFSET(控制台!$L$374,MATCH(C183,控制台!$B$374:$B$445,0)-1,0))</f>
        <v>96</v>
      </c>
      <c r="H183" s="1">
        <f ca="1">MAX(1,_xlfn.FLOOR.MATH(OFFSET(养成规划!$Y$6,MATCH(C183,养成规划!$B$6:$B$77,0)-1,0)/100))</f>
        <v>4</v>
      </c>
      <c r="I183" s="1">
        <f ca="1">MAX(1,MOD(OFFSET(养成规划!$Y$6,MATCH(C183,养成规划!$B$6:$B$77,0)-1,0),100))</f>
        <v>8</v>
      </c>
      <c r="J183" s="1" t="str">
        <f ca="1">OFFSET(养成规划!$Z$6,MATCH(C183,养成规划!$B$6:$B$77,0)-1,0)</f>
        <v>金+</v>
      </c>
      <c r="K183" s="1">
        <f ca="1">OFFSET(养成规划!$AB$6,MATCH(C183,养成规划!$B$6:$B$77,0)-1,0)</f>
        <v>50</v>
      </c>
      <c r="L183" s="1">
        <f ca="1">OFFSET(养成规划!$AC$6,MATCH(C183,养成规划!$B$6:$B$77,0)-1,0)</f>
        <v>13</v>
      </c>
      <c r="M183" s="14">
        <f ca="1">OFFSET(控制台!$R$476,MATCH(C183,控制台!$B$476:$B$547,0)-1,0)</f>
        <v>0.5</v>
      </c>
      <c r="N183" s="14">
        <f ca="1">OFFSET(控制台!$S$476,MATCH(C183,控制台!$B$476:$B$547,0)-1,0)</f>
        <v>0.5</v>
      </c>
      <c r="O183" s="14">
        <f ca="1">OFFSET(控制台!$U$5057,MATCH(C183,控制台!$B$5057:$B$5128,0)-1,0)</f>
        <v>0.15</v>
      </c>
      <c r="P183" s="14">
        <f ca="1">OFFSET(控制台!$V$5057,MATCH(C183,控制台!$B$5057:$B$5128,0)-1,0)</f>
        <v>0.15</v>
      </c>
      <c r="Q183" s="14">
        <f ca="1">OFFSET(控制台!$T$5057,MATCH(C183,控制台!$B$5057:$B$5128,0)-1,0)</f>
        <v>0.25</v>
      </c>
    </row>
    <row r="184" spans="1:17">
      <c r="A184" s="1">
        <f>'107_兵卡等级'!B184</f>
        <v>179</v>
      </c>
      <c r="B184" s="1">
        <f ca="1">'107_兵卡等级'!L184</f>
        <v>297</v>
      </c>
      <c r="C184" s="1">
        <f ca="1">OFFSET(养成规划!$B$6,MATCH(B184,养成规划!$B$6:$B$77,1)-1,0)</f>
        <v>270</v>
      </c>
      <c r="D184" s="1">
        <f ca="1">MAX(3,OFFSET(养成规划!$X$6,MATCH(C184,养成规划!$B$6:$B$77,0)-1,0))</f>
        <v>7.1</v>
      </c>
      <c r="E184" s="1">
        <f ca="1">MAX(1,OFFSET(控制台!$J$374,MATCH(C184,控制台!$B$374:$B$445,0)-1,0))</f>
        <v>30</v>
      </c>
      <c r="F184" s="1">
        <f ca="1">MAX(1,OFFSET(养成规划!$V$6,MATCH(C184,养成规划!$S$6:$S$77,0)-1,0))</f>
        <v>5</v>
      </c>
      <c r="G184" s="1">
        <f ca="1">MAX(9,OFFSET(控制台!$L$374,MATCH(C184,控制台!$B$374:$B$445,0)-1,0))</f>
        <v>96</v>
      </c>
      <c r="H184" s="1">
        <f ca="1">MAX(1,_xlfn.FLOOR.MATH(OFFSET(养成规划!$Y$6,MATCH(C184,养成规划!$B$6:$B$77,0)-1,0)/100))</f>
        <v>4</v>
      </c>
      <c r="I184" s="1">
        <f ca="1">MAX(1,MOD(OFFSET(养成规划!$Y$6,MATCH(C184,养成规划!$B$6:$B$77,0)-1,0),100))</f>
        <v>8</v>
      </c>
      <c r="J184" s="1" t="str">
        <f ca="1">OFFSET(养成规划!$Z$6,MATCH(C184,养成规划!$B$6:$B$77,0)-1,0)</f>
        <v>金+</v>
      </c>
      <c r="K184" s="1">
        <f ca="1">OFFSET(养成规划!$AB$6,MATCH(C184,养成规划!$B$6:$B$77,0)-1,0)</f>
        <v>50</v>
      </c>
      <c r="L184" s="1">
        <f ca="1">OFFSET(养成规划!$AC$6,MATCH(C184,养成规划!$B$6:$B$77,0)-1,0)</f>
        <v>13</v>
      </c>
      <c r="M184" s="14">
        <f ca="1">OFFSET(控制台!$R$476,MATCH(C184,控制台!$B$476:$B$547,0)-1,0)</f>
        <v>0.5</v>
      </c>
      <c r="N184" s="14">
        <f ca="1">OFFSET(控制台!$S$476,MATCH(C184,控制台!$B$476:$B$547,0)-1,0)</f>
        <v>0.5</v>
      </c>
      <c r="O184" s="14">
        <f ca="1">OFFSET(控制台!$U$5057,MATCH(C184,控制台!$B$5057:$B$5128,0)-1,0)</f>
        <v>0.15</v>
      </c>
      <c r="P184" s="14">
        <f ca="1">OFFSET(控制台!$V$5057,MATCH(C184,控制台!$B$5057:$B$5128,0)-1,0)</f>
        <v>0.15</v>
      </c>
      <c r="Q184" s="14">
        <f ca="1">OFFSET(控制台!$T$5057,MATCH(C184,控制台!$B$5057:$B$5128,0)-1,0)</f>
        <v>0.25</v>
      </c>
    </row>
    <row r="185" spans="1:17">
      <c r="A185" s="1">
        <f>'107_兵卡等级'!B185</f>
        <v>180</v>
      </c>
      <c r="B185" s="1">
        <f ca="1">'107_兵卡等级'!L185</f>
        <v>300</v>
      </c>
      <c r="C185" s="1">
        <f ca="1">OFFSET(养成规划!$B$6,MATCH(B185,养成规划!$B$6:$B$77,1)-1,0)</f>
        <v>300</v>
      </c>
      <c r="D185" s="1">
        <f ca="1">MAX(3,OFFSET(养成规划!$X$6,MATCH(C185,养成规划!$B$6:$B$77,0)-1,0))</f>
        <v>7.1</v>
      </c>
      <c r="E185" s="1">
        <f ca="1">MAX(1,OFFSET(控制台!$J$374,MATCH(C185,控制台!$B$374:$B$445,0)-1,0))</f>
        <v>31</v>
      </c>
      <c r="F185" s="1">
        <f ca="1">MAX(1,OFFSET(养成规划!$V$6,MATCH(C185,养成规划!$S$6:$S$77,0)-1,0))</f>
        <v>5</v>
      </c>
      <c r="G185" s="1">
        <f ca="1">MAX(9,OFFSET(控制台!$L$374,MATCH(C185,控制台!$B$374:$B$445,0)-1,0))</f>
        <v>99</v>
      </c>
      <c r="H185" s="1">
        <f ca="1">MAX(1,_xlfn.FLOOR.MATH(OFFSET(养成规划!$Y$6,MATCH(C185,养成规划!$B$6:$B$77,0)-1,0)/100))</f>
        <v>4</v>
      </c>
      <c r="I185" s="1">
        <f ca="1">MAX(1,MOD(OFFSET(养成规划!$Y$6,MATCH(C185,养成规划!$B$6:$B$77,0)-1,0),100))</f>
        <v>9</v>
      </c>
      <c r="J185" s="1" t="str">
        <f ca="1">OFFSET(养成规划!$Z$6,MATCH(C185,养成规划!$B$6:$B$77,0)-1,0)</f>
        <v>金+</v>
      </c>
      <c r="K185" s="1">
        <f ca="1">OFFSET(养成规划!$AB$6,MATCH(C185,养成规划!$B$6:$B$77,0)-1,0)</f>
        <v>50</v>
      </c>
      <c r="L185" s="1">
        <f ca="1">OFFSET(养成规划!$AC$6,MATCH(C185,养成规划!$B$6:$B$77,0)-1,0)</f>
        <v>14</v>
      </c>
      <c r="M185" s="14">
        <f ca="1">OFFSET(控制台!$R$476,MATCH(C185,控制台!$B$476:$B$547,0)-1,0)</f>
        <v>0.5</v>
      </c>
      <c r="N185" s="14">
        <f ca="1">OFFSET(控制台!$S$476,MATCH(C185,控制台!$B$476:$B$547,0)-1,0)</f>
        <v>0.5</v>
      </c>
      <c r="O185" s="14">
        <f ca="1">OFFSET(控制台!$U$5057,MATCH(C185,控制台!$B$5057:$B$5128,0)-1,0)</f>
        <v>0.15</v>
      </c>
      <c r="P185" s="14">
        <f ca="1">OFFSET(控制台!$V$5057,MATCH(C185,控制台!$B$5057:$B$5128,0)-1,0)</f>
        <v>0.15</v>
      </c>
      <c r="Q185" s="14">
        <f ca="1">OFFSET(控制台!$T$5057,MATCH(C185,控制台!$B$5057:$B$5128,0)-1,0)</f>
        <v>0.25</v>
      </c>
    </row>
    <row r="186" spans="1:17">
      <c r="A186" s="1">
        <f>'107_兵卡等级'!B186</f>
        <v>181</v>
      </c>
      <c r="B186" s="1">
        <f ca="1">'107_兵卡等级'!L186</f>
        <v>303</v>
      </c>
      <c r="C186" s="1">
        <f ca="1">OFFSET(养成规划!$B$6,MATCH(B186,养成规划!$B$6:$B$77,1)-1,0)</f>
        <v>300</v>
      </c>
      <c r="D186" s="1">
        <f ca="1">MAX(3,OFFSET(养成规划!$X$6,MATCH(C186,养成规划!$B$6:$B$77,0)-1,0))</f>
        <v>7.1</v>
      </c>
      <c r="E186" s="1">
        <f ca="1">MAX(1,OFFSET(控制台!$J$374,MATCH(C186,控制台!$B$374:$B$445,0)-1,0))</f>
        <v>31</v>
      </c>
      <c r="F186" s="1">
        <f ca="1">MAX(1,OFFSET(养成规划!$V$6,MATCH(C186,养成规划!$S$6:$S$77,0)-1,0))</f>
        <v>5</v>
      </c>
      <c r="G186" s="1">
        <f ca="1">MAX(9,OFFSET(控制台!$L$374,MATCH(C186,控制台!$B$374:$B$445,0)-1,0))</f>
        <v>99</v>
      </c>
      <c r="H186" s="1">
        <f ca="1">MAX(1,_xlfn.FLOOR.MATH(OFFSET(养成规划!$Y$6,MATCH(C186,养成规划!$B$6:$B$77,0)-1,0)/100))</f>
        <v>4</v>
      </c>
      <c r="I186" s="1">
        <f ca="1">MAX(1,MOD(OFFSET(养成规划!$Y$6,MATCH(C186,养成规划!$B$6:$B$77,0)-1,0),100))</f>
        <v>9</v>
      </c>
      <c r="J186" s="1" t="str">
        <f ca="1">OFFSET(养成规划!$Z$6,MATCH(C186,养成规划!$B$6:$B$77,0)-1,0)</f>
        <v>金+</v>
      </c>
      <c r="K186" s="1">
        <f ca="1">OFFSET(养成规划!$AB$6,MATCH(C186,养成规划!$B$6:$B$77,0)-1,0)</f>
        <v>50</v>
      </c>
      <c r="L186" s="1">
        <f ca="1">OFFSET(养成规划!$AC$6,MATCH(C186,养成规划!$B$6:$B$77,0)-1,0)</f>
        <v>14</v>
      </c>
      <c r="M186" s="14">
        <f ca="1">OFFSET(控制台!$R$476,MATCH(C186,控制台!$B$476:$B$547,0)-1,0)</f>
        <v>0.5</v>
      </c>
      <c r="N186" s="14">
        <f ca="1">OFFSET(控制台!$S$476,MATCH(C186,控制台!$B$476:$B$547,0)-1,0)</f>
        <v>0.5</v>
      </c>
      <c r="O186" s="14">
        <f ca="1">OFFSET(控制台!$U$5057,MATCH(C186,控制台!$B$5057:$B$5128,0)-1,0)</f>
        <v>0.15</v>
      </c>
      <c r="P186" s="14">
        <f ca="1">OFFSET(控制台!$V$5057,MATCH(C186,控制台!$B$5057:$B$5128,0)-1,0)</f>
        <v>0.15</v>
      </c>
      <c r="Q186" s="14">
        <f ca="1">OFFSET(控制台!$T$5057,MATCH(C186,控制台!$B$5057:$B$5128,0)-1,0)</f>
        <v>0.25</v>
      </c>
    </row>
    <row r="187" spans="1:17">
      <c r="A187" s="1">
        <f>'107_兵卡等级'!B187</f>
        <v>182</v>
      </c>
      <c r="B187" s="1">
        <f ca="1">'107_兵卡等级'!L187</f>
        <v>306</v>
      </c>
      <c r="C187" s="1">
        <f ca="1">OFFSET(养成规划!$B$6,MATCH(B187,养成规划!$B$6:$B$77,1)-1,0)</f>
        <v>300</v>
      </c>
      <c r="D187" s="1">
        <f ca="1">MAX(3,OFFSET(养成规划!$X$6,MATCH(C187,养成规划!$B$6:$B$77,0)-1,0))</f>
        <v>7.1</v>
      </c>
      <c r="E187" s="1">
        <f ca="1">MAX(1,OFFSET(控制台!$J$374,MATCH(C187,控制台!$B$374:$B$445,0)-1,0))</f>
        <v>31</v>
      </c>
      <c r="F187" s="1">
        <f ca="1">MAX(1,OFFSET(养成规划!$V$6,MATCH(C187,养成规划!$S$6:$S$77,0)-1,0))</f>
        <v>5</v>
      </c>
      <c r="G187" s="1">
        <f ca="1">MAX(9,OFFSET(控制台!$L$374,MATCH(C187,控制台!$B$374:$B$445,0)-1,0))</f>
        <v>99</v>
      </c>
      <c r="H187" s="1">
        <f ca="1">MAX(1,_xlfn.FLOOR.MATH(OFFSET(养成规划!$Y$6,MATCH(C187,养成规划!$B$6:$B$77,0)-1,0)/100))</f>
        <v>4</v>
      </c>
      <c r="I187" s="1">
        <f ca="1">MAX(1,MOD(OFFSET(养成规划!$Y$6,MATCH(C187,养成规划!$B$6:$B$77,0)-1,0),100))</f>
        <v>9</v>
      </c>
      <c r="J187" s="1" t="str">
        <f ca="1">OFFSET(养成规划!$Z$6,MATCH(C187,养成规划!$B$6:$B$77,0)-1,0)</f>
        <v>金+</v>
      </c>
      <c r="K187" s="1">
        <f ca="1">OFFSET(养成规划!$AB$6,MATCH(C187,养成规划!$B$6:$B$77,0)-1,0)</f>
        <v>50</v>
      </c>
      <c r="L187" s="1">
        <f ca="1">OFFSET(养成规划!$AC$6,MATCH(C187,养成规划!$B$6:$B$77,0)-1,0)</f>
        <v>14</v>
      </c>
      <c r="M187" s="14">
        <f ca="1">OFFSET(控制台!$R$476,MATCH(C187,控制台!$B$476:$B$547,0)-1,0)</f>
        <v>0.5</v>
      </c>
      <c r="N187" s="14">
        <f ca="1">OFFSET(控制台!$S$476,MATCH(C187,控制台!$B$476:$B$547,0)-1,0)</f>
        <v>0.5</v>
      </c>
      <c r="O187" s="14">
        <f ca="1">OFFSET(控制台!$U$5057,MATCH(C187,控制台!$B$5057:$B$5128,0)-1,0)</f>
        <v>0.15</v>
      </c>
      <c r="P187" s="14">
        <f ca="1">OFFSET(控制台!$V$5057,MATCH(C187,控制台!$B$5057:$B$5128,0)-1,0)</f>
        <v>0.15</v>
      </c>
      <c r="Q187" s="14">
        <f ca="1">OFFSET(控制台!$T$5057,MATCH(C187,控制台!$B$5057:$B$5128,0)-1,0)</f>
        <v>0.25</v>
      </c>
    </row>
    <row r="188" spans="1:17">
      <c r="A188" s="1">
        <f>'107_兵卡等级'!B188</f>
        <v>183</v>
      </c>
      <c r="B188" s="1">
        <f ca="1">'107_兵卡等级'!L188</f>
        <v>309</v>
      </c>
      <c r="C188" s="1">
        <f ca="1">OFFSET(养成规划!$B$6,MATCH(B188,养成规划!$B$6:$B$77,1)-1,0)</f>
        <v>300</v>
      </c>
      <c r="D188" s="1">
        <f ca="1">MAX(3,OFFSET(养成规划!$X$6,MATCH(C188,养成规划!$B$6:$B$77,0)-1,0))</f>
        <v>7.1</v>
      </c>
      <c r="E188" s="1">
        <f ca="1">MAX(1,OFFSET(控制台!$J$374,MATCH(C188,控制台!$B$374:$B$445,0)-1,0))</f>
        <v>31</v>
      </c>
      <c r="F188" s="1">
        <f ca="1">MAX(1,OFFSET(养成规划!$V$6,MATCH(C188,养成规划!$S$6:$S$77,0)-1,0))</f>
        <v>5</v>
      </c>
      <c r="G188" s="1">
        <f ca="1">MAX(9,OFFSET(控制台!$L$374,MATCH(C188,控制台!$B$374:$B$445,0)-1,0))</f>
        <v>99</v>
      </c>
      <c r="H188" s="1">
        <f ca="1">MAX(1,_xlfn.FLOOR.MATH(OFFSET(养成规划!$Y$6,MATCH(C188,养成规划!$B$6:$B$77,0)-1,0)/100))</f>
        <v>4</v>
      </c>
      <c r="I188" s="1">
        <f ca="1">MAX(1,MOD(OFFSET(养成规划!$Y$6,MATCH(C188,养成规划!$B$6:$B$77,0)-1,0),100))</f>
        <v>9</v>
      </c>
      <c r="J188" s="1" t="str">
        <f ca="1">OFFSET(养成规划!$Z$6,MATCH(C188,养成规划!$B$6:$B$77,0)-1,0)</f>
        <v>金+</v>
      </c>
      <c r="K188" s="1">
        <f ca="1">OFFSET(养成规划!$AB$6,MATCH(C188,养成规划!$B$6:$B$77,0)-1,0)</f>
        <v>50</v>
      </c>
      <c r="L188" s="1">
        <f ca="1">OFFSET(养成规划!$AC$6,MATCH(C188,养成规划!$B$6:$B$77,0)-1,0)</f>
        <v>14</v>
      </c>
      <c r="M188" s="14">
        <f ca="1">OFFSET(控制台!$R$476,MATCH(C188,控制台!$B$476:$B$547,0)-1,0)</f>
        <v>0.5</v>
      </c>
      <c r="N188" s="14">
        <f ca="1">OFFSET(控制台!$S$476,MATCH(C188,控制台!$B$476:$B$547,0)-1,0)</f>
        <v>0.5</v>
      </c>
      <c r="O188" s="14">
        <f ca="1">OFFSET(控制台!$U$5057,MATCH(C188,控制台!$B$5057:$B$5128,0)-1,0)</f>
        <v>0.15</v>
      </c>
      <c r="P188" s="14">
        <f ca="1">OFFSET(控制台!$V$5057,MATCH(C188,控制台!$B$5057:$B$5128,0)-1,0)</f>
        <v>0.15</v>
      </c>
      <c r="Q188" s="14">
        <f ca="1">OFFSET(控制台!$T$5057,MATCH(C188,控制台!$B$5057:$B$5128,0)-1,0)</f>
        <v>0.25</v>
      </c>
    </row>
    <row r="189" spans="1:17">
      <c r="A189" s="1">
        <f>'107_兵卡等级'!B189</f>
        <v>184</v>
      </c>
      <c r="B189" s="1">
        <f ca="1">'107_兵卡等级'!L189</f>
        <v>312</v>
      </c>
      <c r="C189" s="1">
        <f ca="1">OFFSET(养成规划!$B$6,MATCH(B189,养成规划!$B$6:$B$77,1)-1,0)</f>
        <v>300</v>
      </c>
      <c r="D189" s="1">
        <f ca="1">MAX(3,OFFSET(养成规划!$X$6,MATCH(C189,养成规划!$B$6:$B$77,0)-1,0))</f>
        <v>7.1</v>
      </c>
      <c r="E189" s="1">
        <f ca="1">MAX(1,OFFSET(控制台!$J$374,MATCH(C189,控制台!$B$374:$B$445,0)-1,0))</f>
        <v>31</v>
      </c>
      <c r="F189" s="1">
        <f ca="1">MAX(1,OFFSET(养成规划!$V$6,MATCH(C189,养成规划!$S$6:$S$77,0)-1,0))</f>
        <v>5</v>
      </c>
      <c r="G189" s="1">
        <f ca="1">MAX(9,OFFSET(控制台!$L$374,MATCH(C189,控制台!$B$374:$B$445,0)-1,0))</f>
        <v>99</v>
      </c>
      <c r="H189" s="1">
        <f ca="1">MAX(1,_xlfn.FLOOR.MATH(OFFSET(养成规划!$Y$6,MATCH(C189,养成规划!$B$6:$B$77,0)-1,0)/100))</f>
        <v>4</v>
      </c>
      <c r="I189" s="1">
        <f ca="1">MAX(1,MOD(OFFSET(养成规划!$Y$6,MATCH(C189,养成规划!$B$6:$B$77,0)-1,0),100))</f>
        <v>9</v>
      </c>
      <c r="J189" s="1" t="str">
        <f ca="1">OFFSET(养成规划!$Z$6,MATCH(C189,养成规划!$B$6:$B$77,0)-1,0)</f>
        <v>金+</v>
      </c>
      <c r="K189" s="1">
        <f ca="1">OFFSET(养成规划!$AB$6,MATCH(C189,养成规划!$B$6:$B$77,0)-1,0)</f>
        <v>50</v>
      </c>
      <c r="L189" s="1">
        <f ca="1">OFFSET(养成规划!$AC$6,MATCH(C189,养成规划!$B$6:$B$77,0)-1,0)</f>
        <v>14</v>
      </c>
      <c r="M189" s="14">
        <f ca="1">OFFSET(控制台!$R$476,MATCH(C189,控制台!$B$476:$B$547,0)-1,0)</f>
        <v>0.5</v>
      </c>
      <c r="N189" s="14">
        <f ca="1">OFFSET(控制台!$S$476,MATCH(C189,控制台!$B$476:$B$547,0)-1,0)</f>
        <v>0.5</v>
      </c>
      <c r="O189" s="14">
        <f ca="1">OFFSET(控制台!$U$5057,MATCH(C189,控制台!$B$5057:$B$5128,0)-1,0)</f>
        <v>0.15</v>
      </c>
      <c r="P189" s="14">
        <f ca="1">OFFSET(控制台!$V$5057,MATCH(C189,控制台!$B$5057:$B$5128,0)-1,0)</f>
        <v>0.15</v>
      </c>
      <c r="Q189" s="14">
        <f ca="1">OFFSET(控制台!$T$5057,MATCH(C189,控制台!$B$5057:$B$5128,0)-1,0)</f>
        <v>0.25</v>
      </c>
    </row>
    <row r="190" spans="1:17">
      <c r="A190" s="1">
        <f>'107_兵卡等级'!B190</f>
        <v>185</v>
      </c>
      <c r="B190" s="1">
        <f ca="1">'107_兵卡等级'!L190</f>
        <v>315</v>
      </c>
      <c r="C190" s="1">
        <f ca="1">OFFSET(养成规划!$B$6,MATCH(B190,养成规划!$B$6:$B$77,1)-1,0)</f>
        <v>300</v>
      </c>
      <c r="D190" s="1">
        <f ca="1">MAX(3,OFFSET(养成规划!$X$6,MATCH(C190,养成规划!$B$6:$B$77,0)-1,0))</f>
        <v>7.1</v>
      </c>
      <c r="E190" s="1">
        <f ca="1">MAX(1,OFFSET(控制台!$J$374,MATCH(C190,控制台!$B$374:$B$445,0)-1,0))</f>
        <v>31</v>
      </c>
      <c r="F190" s="1">
        <f ca="1">MAX(1,OFFSET(养成规划!$V$6,MATCH(C190,养成规划!$S$6:$S$77,0)-1,0))</f>
        <v>5</v>
      </c>
      <c r="G190" s="1">
        <f ca="1">MAX(9,OFFSET(控制台!$L$374,MATCH(C190,控制台!$B$374:$B$445,0)-1,0))</f>
        <v>99</v>
      </c>
      <c r="H190" s="1">
        <f ca="1">MAX(1,_xlfn.FLOOR.MATH(OFFSET(养成规划!$Y$6,MATCH(C190,养成规划!$B$6:$B$77,0)-1,0)/100))</f>
        <v>4</v>
      </c>
      <c r="I190" s="1">
        <f ca="1">MAX(1,MOD(OFFSET(养成规划!$Y$6,MATCH(C190,养成规划!$B$6:$B$77,0)-1,0),100))</f>
        <v>9</v>
      </c>
      <c r="J190" s="1" t="str">
        <f ca="1">OFFSET(养成规划!$Z$6,MATCH(C190,养成规划!$B$6:$B$77,0)-1,0)</f>
        <v>金+</v>
      </c>
      <c r="K190" s="1">
        <f ca="1">OFFSET(养成规划!$AB$6,MATCH(C190,养成规划!$B$6:$B$77,0)-1,0)</f>
        <v>50</v>
      </c>
      <c r="L190" s="1">
        <f ca="1">OFFSET(养成规划!$AC$6,MATCH(C190,养成规划!$B$6:$B$77,0)-1,0)</f>
        <v>14</v>
      </c>
      <c r="M190" s="14">
        <f ca="1">OFFSET(控制台!$R$476,MATCH(C190,控制台!$B$476:$B$547,0)-1,0)</f>
        <v>0.5</v>
      </c>
      <c r="N190" s="14">
        <f ca="1">OFFSET(控制台!$S$476,MATCH(C190,控制台!$B$476:$B$547,0)-1,0)</f>
        <v>0.5</v>
      </c>
      <c r="O190" s="14">
        <f ca="1">OFFSET(控制台!$U$5057,MATCH(C190,控制台!$B$5057:$B$5128,0)-1,0)</f>
        <v>0.15</v>
      </c>
      <c r="P190" s="14">
        <f ca="1">OFFSET(控制台!$V$5057,MATCH(C190,控制台!$B$5057:$B$5128,0)-1,0)</f>
        <v>0.15</v>
      </c>
      <c r="Q190" s="14">
        <f ca="1">OFFSET(控制台!$T$5057,MATCH(C190,控制台!$B$5057:$B$5128,0)-1,0)</f>
        <v>0.25</v>
      </c>
    </row>
    <row r="191" spans="1:17">
      <c r="A191" s="1">
        <f>'107_兵卡等级'!B191</f>
        <v>186</v>
      </c>
      <c r="B191" s="1">
        <f ca="1">'107_兵卡等级'!L191</f>
        <v>318</v>
      </c>
      <c r="C191" s="1">
        <f ca="1">OFFSET(养成规划!$B$6,MATCH(B191,养成规划!$B$6:$B$77,1)-1,0)</f>
        <v>300</v>
      </c>
      <c r="D191" s="1">
        <f ca="1">MAX(3,OFFSET(养成规划!$X$6,MATCH(C191,养成规划!$B$6:$B$77,0)-1,0))</f>
        <v>7.1</v>
      </c>
      <c r="E191" s="1">
        <f ca="1">MAX(1,OFFSET(控制台!$J$374,MATCH(C191,控制台!$B$374:$B$445,0)-1,0))</f>
        <v>31</v>
      </c>
      <c r="F191" s="1">
        <f ca="1">MAX(1,OFFSET(养成规划!$V$6,MATCH(C191,养成规划!$S$6:$S$77,0)-1,0))</f>
        <v>5</v>
      </c>
      <c r="G191" s="1">
        <f ca="1">MAX(9,OFFSET(控制台!$L$374,MATCH(C191,控制台!$B$374:$B$445,0)-1,0))</f>
        <v>99</v>
      </c>
      <c r="H191" s="1">
        <f ca="1">MAX(1,_xlfn.FLOOR.MATH(OFFSET(养成规划!$Y$6,MATCH(C191,养成规划!$B$6:$B$77,0)-1,0)/100))</f>
        <v>4</v>
      </c>
      <c r="I191" s="1">
        <f ca="1">MAX(1,MOD(OFFSET(养成规划!$Y$6,MATCH(C191,养成规划!$B$6:$B$77,0)-1,0),100))</f>
        <v>9</v>
      </c>
      <c r="J191" s="1" t="str">
        <f ca="1">OFFSET(养成规划!$Z$6,MATCH(C191,养成规划!$B$6:$B$77,0)-1,0)</f>
        <v>金+</v>
      </c>
      <c r="K191" s="1">
        <f ca="1">OFFSET(养成规划!$AB$6,MATCH(C191,养成规划!$B$6:$B$77,0)-1,0)</f>
        <v>50</v>
      </c>
      <c r="L191" s="1">
        <f ca="1">OFFSET(养成规划!$AC$6,MATCH(C191,养成规划!$B$6:$B$77,0)-1,0)</f>
        <v>14</v>
      </c>
      <c r="M191" s="14">
        <f ca="1">OFFSET(控制台!$R$476,MATCH(C191,控制台!$B$476:$B$547,0)-1,0)</f>
        <v>0.5</v>
      </c>
      <c r="N191" s="14">
        <f ca="1">OFFSET(控制台!$S$476,MATCH(C191,控制台!$B$476:$B$547,0)-1,0)</f>
        <v>0.5</v>
      </c>
      <c r="O191" s="14">
        <f ca="1">OFFSET(控制台!$U$5057,MATCH(C191,控制台!$B$5057:$B$5128,0)-1,0)</f>
        <v>0.15</v>
      </c>
      <c r="P191" s="14">
        <f ca="1">OFFSET(控制台!$V$5057,MATCH(C191,控制台!$B$5057:$B$5128,0)-1,0)</f>
        <v>0.15</v>
      </c>
      <c r="Q191" s="14">
        <f ca="1">OFFSET(控制台!$T$5057,MATCH(C191,控制台!$B$5057:$B$5128,0)-1,0)</f>
        <v>0.25</v>
      </c>
    </row>
    <row r="192" spans="1:17">
      <c r="A192" s="1">
        <f>'107_兵卡等级'!B192</f>
        <v>187</v>
      </c>
      <c r="B192" s="1">
        <f ca="1">'107_兵卡等级'!L192</f>
        <v>321</v>
      </c>
      <c r="C192" s="1">
        <f ca="1">OFFSET(养成规划!$B$6,MATCH(B192,养成规划!$B$6:$B$77,1)-1,0)</f>
        <v>300</v>
      </c>
      <c r="D192" s="1">
        <f ca="1">MAX(3,OFFSET(养成规划!$X$6,MATCH(C192,养成规划!$B$6:$B$77,0)-1,0))</f>
        <v>7.1</v>
      </c>
      <c r="E192" s="1">
        <f ca="1">MAX(1,OFFSET(控制台!$J$374,MATCH(C192,控制台!$B$374:$B$445,0)-1,0))</f>
        <v>31</v>
      </c>
      <c r="F192" s="1">
        <f ca="1">MAX(1,OFFSET(养成规划!$V$6,MATCH(C192,养成规划!$S$6:$S$77,0)-1,0))</f>
        <v>5</v>
      </c>
      <c r="G192" s="1">
        <f ca="1">MAX(9,OFFSET(控制台!$L$374,MATCH(C192,控制台!$B$374:$B$445,0)-1,0))</f>
        <v>99</v>
      </c>
      <c r="H192" s="1">
        <f ca="1">MAX(1,_xlfn.FLOOR.MATH(OFFSET(养成规划!$Y$6,MATCH(C192,养成规划!$B$6:$B$77,0)-1,0)/100))</f>
        <v>4</v>
      </c>
      <c r="I192" s="1">
        <f ca="1">MAX(1,MOD(OFFSET(养成规划!$Y$6,MATCH(C192,养成规划!$B$6:$B$77,0)-1,0),100))</f>
        <v>9</v>
      </c>
      <c r="J192" s="1" t="str">
        <f ca="1">OFFSET(养成规划!$Z$6,MATCH(C192,养成规划!$B$6:$B$77,0)-1,0)</f>
        <v>金+</v>
      </c>
      <c r="K192" s="1">
        <f ca="1">OFFSET(养成规划!$AB$6,MATCH(C192,养成规划!$B$6:$B$77,0)-1,0)</f>
        <v>50</v>
      </c>
      <c r="L192" s="1">
        <f ca="1">OFFSET(养成规划!$AC$6,MATCH(C192,养成规划!$B$6:$B$77,0)-1,0)</f>
        <v>14</v>
      </c>
      <c r="M192" s="14">
        <f ca="1">OFFSET(控制台!$R$476,MATCH(C192,控制台!$B$476:$B$547,0)-1,0)</f>
        <v>0.5</v>
      </c>
      <c r="N192" s="14">
        <f ca="1">OFFSET(控制台!$S$476,MATCH(C192,控制台!$B$476:$B$547,0)-1,0)</f>
        <v>0.5</v>
      </c>
      <c r="O192" s="14">
        <f ca="1">OFFSET(控制台!$U$5057,MATCH(C192,控制台!$B$5057:$B$5128,0)-1,0)</f>
        <v>0.15</v>
      </c>
      <c r="P192" s="14">
        <f ca="1">OFFSET(控制台!$V$5057,MATCH(C192,控制台!$B$5057:$B$5128,0)-1,0)</f>
        <v>0.15</v>
      </c>
      <c r="Q192" s="14">
        <f ca="1">OFFSET(控制台!$T$5057,MATCH(C192,控制台!$B$5057:$B$5128,0)-1,0)</f>
        <v>0.25</v>
      </c>
    </row>
    <row r="193" spans="1:17">
      <c r="A193" s="1">
        <f>'107_兵卡等级'!B193</f>
        <v>188</v>
      </c>
      <c r="B193" s="1">
        <f ca="1">'107_兵卡等级'!L193</f>
        <v>324</v>
      </c>
      <c r="C193" s="1">
        <f ca="1">OFFSET(养成规划!$B$6,MATCH(B193,养成规划!$B$6:$B$77,1)-1,0)</f>
        <v>300</v>
      </c>
      <c r="D193" s="1">
        <f ca="1">MAX(3,OFFSET(养成规划!$X$6,MATCH(C193,养成规划!$B$6:$B$77,0)-1,0))</f>
        <v>7.1</v>
      </c>
      <c r="E193" s="1">
        <f ca="1">MAX(1,OFFSET(控制台!$J$374,MATCH(C193,控制台!$B$374:$B$445,0)-1,0))</f>
        <v>31</v>
      </c>
      <c r="F193" s="1">
        <f ca="1">MAX(1,OFFSET(养成规划!$V$6,MATCH(C193,养成规划!$S$6:$S$77,0)-1,0))</f>
        <v>5</v>
      </c>
      <c r="G193" s="1">
        <f ca="1">MAX(9,OFFSET(控制台!$L$374,MATCH(C193,控制台!$B$374:$B$445,0)-1,0))</f>
        <v>99</v>
      </c>
      <c r="H193" s="1">
        <f ca="1">MAX(1,_xlfn.FLOOR.MATH(OFFSET(养成规划!$Y$6,MATCH(C193,养成规划!$B$6:$B$77,0)-1,0)/100))</f>
        <v>4</v>
      </c>
      <c r="I193" s="1">
        <f ca="1">MAX(1,MOD(OFFSET(养成规划!$Y$6,MATCH(C193,养成规划!$B$6:$B$77,0)-1,0),100))</f>
        <v>9</v>
      </c>
      <c r="J193" s="1" t="str">
        <f ca="1">OFFSET(养成规划!$Z$6,MATCH(C193,养成规划!$B$6:$B$77,0)-1,0)</f>
        <v>金+</v>
      </c>
      <c r="K193" s="1">
        <f ca="1">OFFSET(养成规划!$AB$6,MATCH(C193,养成规划!$B$6:$B$77,0)-1,0)</f>
        <v>50</v>
      </c>
      <c r="L193" s="1">
        <f ca="1">OFFSET(养成规划!$AC$6,MATCH(C193,养成规划!$B$6:$B$77,0)-1,0)</f>
        <v>14</v>
      </c>
      <c r="M193" s="14">
        <f ca="1">OFFSET(控制台!$R$476,MATCH(C193,控制台!$B$476:$B$547,0)-1,0)</f>
        <v>0.5</v>
      </c>
      <c r="N193" s="14">
        <f ca="1">OFFSET(控制台!$S$476,MATCH(C193,控制台!$B$476:$B$547,0)-1,0)</f>
        <v>0.5</v>
      </c>
      <c r="O193" s="14">
        <f ca="1">OFFSET(控制台!$U$5057,MATCH(C193,控制台!$B$5057:$B$5128,0)-1,0)</f>
        <v>0.15</v>
      </c>
      <c r="P193" s="14">
        <f ca="1">OFFSET(控制台!$V$5057,MATCH(C193,控制台!$B$5057:$B$5128,0)-1,0)</f>
        <v>0.15</v>
      </c>
      <c r="Q193" s="14">
        <f ca="1">OFFSET(控制台!$T$5057,MATCH(C193,控制台!$B$5057:$B$5128,0)-1,0)</f>
        <v>0.25</v>
      </c>
    </row>
    <row r="194" spans="1:17">
      <c r="A194" s="1">
        <f>'107_兵卡等级'!B194</f>
        <v>189</v>
      </c>
      <c r="B194" s="1">
        <f ca="1">'107_兵卡等级'!L194</f>
        <v>327</v>
      </c>
      <c r="C194" s="1">
        <f ca="1">OFFSET(养成规划!$B$6,MATCH(B194,养成规划!$B$6:$B$77,1)-1,0)</f>
        <v>300</v>
      </c>
      <c r="D194" s="1">
        <f ca="1">MAX(3,OFFSET(养成规划!$X$6,MATCH(C194,养成规划!$B$6:$B$77,0)-1,0))</f>
        <v>7.1</v>
      </c>
      <c r="E194" s="1">
        <f ca="1">MAX(1,OFFSET(控制台!$J$374,MATCH(C194,控制台!$B$374:$B$445,0)-1,0))</f>
        <v>31</v>
      </c>
      <c r="F194" s="1">
        <f ca="1">MAX(1,OFFSET(养成规划!$V$6,MATCH(C194,养成规划!$S$6:$S$77,0)-1,0))</f>
        <v>5</v>
      </c>
      <c r="G194" s="1">
        <f ca="1">MAX(9,OFFSET(控制台!$L$374,MATCH(C194,控制台!$B$374:$B$445,0)-1,0))</f>
        <v>99</v>
      </c>
      <c r="H194" s="1">
        <f ca="1">MAX(1,_xlfn.FLOOR.MATH(OFFSET(养成规划!$Y$6,MATCH(C194,养成规划!$B$6:$B$77,0)-1,0)/100))</f>
        <v>4</v>
      </c>
      <c r="I194" s="1">
        <f ca="1">MAX(1,MOD(OFFSET(养成规划!$Y$6,MATCH(C194,养成规划!$B$6:$B$77,0)-1,0),100))</f>
        <v>9</v>
      </c>
      <c r="J194" s="1" t="str">
        <f ca="1">OFFSET(养成规划!$Z$6,MATCH(C194,养成规划!$B$6:$B$77,0)-1,0)</f>
        <v>金+</v>
      </c>
      <c r="K194" s="1">
        <f ca="1">OFFSET(养成规划!$AB$6,MATCH(C194,养成规划!$B$6:$B$77,0)-1,0)</f>
        <v>50</v>
      </c>
      <c r="L194" s="1">
        <f ca="1">OFFSET(养成规划!$AC$6,MATCH(C194,养成规划!$B$6:$B$77,0)-1,0)</f>
        <v>14</v>
      </c>
      <c r="M194" s="14">
        <f ca="1">OFFSET(控制台!$R$476,MATCH(C194,控制台!$B$476:$B$547,0)-1,0)</f>
        <v>0.5</v>
      </c>
      <c r="N194" s="14">
        <f ca="1">OFFSET(控制台!$S$476,MATCH(C194,控制台!$B$476:$B$547,0)-1,0)</f>
        <v>0.5</v>
      </c>
      <c r="O194" s="14">
        <f ca="1">OFFSET(控制台!$U$5057,MATCH(C194,控制台!$B$5057:$B$5128,0)-1,0)</f>
        <v>0.15</v>
      </c>
      <c r="P194" s="14">
        <f ca="1">OFFSET(控制台!$V$5057,MATCH(C194,控制台!$B$5057:$B$5128,0)-1,0)</f>
        <v>0.15</v>
      </c>
      <c r="Q194" s="14">
        <f ca="1">OFFSET(控制台!$T$5057,MATCH(C194,控制台!$B$5057:$B$5128,0)-1,0)</f>
        <v>0.25</v>
      </c>
    </row>
    <row r="195" spans="1:17">
      <c r="A195" s="1">
        <f>'107_兵卡等级'!B195</f>
        <v>190</v>
      </c>
      <c r="B195" s="1">
        <f ca="1">'107_兵卡等级'!L195</f>
        <v>330</v>
      </c>
      <c r="C195" s="1">
        <f ca="1">OFFSET(养成规划!$B$6,MATCH(B195,养成规划!$B$6:$B$77,1)-1,0)</f>
        <v>330</v>
      </c>
      <c r="D195" s="1">
        <f ca="1">MAX(3,OFFSET(养成规划!$X$6,MATCH(C195,养成规划!$B$6:$B$77,0)-1,0))</f>
        <v>7.1</v>
      </c>
      <c r="E195" s="1">
        <f ca="1">MAX(1,OFFSET(控制台!$J$374,MATCH(C195,控制台!$B$374:$B$445,0)-1,0))</f>
        <v>31</v>
      </c>
      <c r="F195" s="1">
        <f ca="1">MAX(1,OFFSET(养成规划!$V$6,MATCH(C195,养成规划!$S$6:$S$77,0)-1,0))</f>
        <v>5</v>
      </c>
      <c r="G195" s="1">
        <f ca="1">MAX(9,OFFSET(控制台!$L$374,MATCH(C195,控制台!$B$374:$B$445,0)-1,0))</f>
        <v>99</v>
      </c>
      <c r="H195" s="1">
        <f ca="1">MAX(1,_xlfn.FLOOR.MATH(OFFSET(养成规划!$Y$6,MATCH(C195,养成规划!$B$6:$B$77,0)-1,0)/100))</f>
        <v>4</v>
      </c>
      <c r="I195" s="1">
        <f ca="1">MAX(1,MOD(OFFSET(养成规划!$Y$6,MATCH(C195,养成规划!$B$6:$B$77,0)-1,0),100))</f>
        <v>9</v>
      </c>
      <c r="J195" s="1" t="str">
        <f ca="1">OFFSET(养成规划!$Z$6,MATCH(C195,养成规划!$B$6:$B$77,0)-1,0)</f>
        <v>金+</v>
      </c>
      <c r="K195" s="1">
        <f ca="1">OFFSET(养成规划!$AB$6,MATCH(C195,养成规划!$B$6:$B$77,0)-1,0)</f>
        <v>50</v>
      </c>
      <c r="L195" s="1">
        <f ca="1">OFFSET(养成规划!$AC$6,MATCH(C195,养成规划!$B$6:$B$77,0)-1,0)</f>
        <v>14</v>
      </c>
      <c r="M195" s="14">
        <f ca="1">OFFSET(控制台!$R$476,MATCH(C195,控制台!$B$476:$B$547,0)-1,0)</f>
        <v>0.75</v>
      </c>
      <c r="N195" s="14">
        <f ca="1">OFFSET(控制台!$S$476,MATCH(C195,控制台!$B$476:$B$547,0)-1,0)</f>
        <v>0.75</v>
      </c>
      <c r="O195" s="14">
        <f ca="1">OFFSET(控制台!$U$5057,MATCH(C195,控制台!$B$5057:$B$5128,0)-1,0)</f>
        <v>0.15</v>
      </c>
      <c r="P195" s="14">
        <f ca="1">OFFSET(控制台!$V$5057,MATCH(C195,控制台!$B$5057:$B$5128,0)-1,0)</f>
        <v>0.15</v>
      </c>
      <c r="Q195" s="14">
        <f ca="1">OFFSET(控制台!$T$5057,MATCH(C195,控制台!$B$5057:$B$5128,0)-1,0)</f>
        <v>0.25</v>
      </c>
    </row>
    <row r="196" spans="1:17">
      <c r="A196" s="1">
        <f>'107_兵卡等级'!B196</f>
        <v>191</v>
      </c>
      <c r="B196" s="1">
        <f ca="1">'107_兵卡等级'!L196</f>
        <v>333</v>
      </c>
      <c r="C196" s="1">
        <f ca="1">OFFSET(养成规划!$B$6,MATCH(B196,养成规划!$B$6:$B$77,1)-1,0)</f>
        <v>330</v>
      </c>
      <c r="D196" s="1">
        <f ca="1">MAX(3,OFFSET(养成规划!$X$6,MATCH(C196,养成规划!$B$6:$B$77,0)-1,0))</f>
        <v>7.1</v>
      </c>
      <c r="E196" s="1">
        <f ca="1">MAX(1,OFFSET(控制台!$J$374,MATCH(C196,控制台!$B$374:$B$445,0)-1,0))</f>
        <v>31</v>
      </c>
      <c r="F196" s="1">
        <f ca="1">MAX(1,OFFSET(养成规划!$V$6,MATCH(C196,养成规划!$S$6:$S$77,0)-1,0))</f>
        <v>5</v>
      </c>
      <c r="G196" s="1">
        <f ca="1">MAX(9,OFFSET(控制台!$L$374,MATCH(C196,控制台!$B$374:$B$445,0)-1,0))</f>
        <v>99</v>
      </c>
      <c r="H196" s="1">
        <f ca="1">MAX(1,_xlfn.FLOOR.MATH(OFFSET(养成规划!$Y$6,MATCH(C196,养成规划!$B$6:$B$77,0)-1,0)/100))</f>
        <v>4</v>
      </c>
      <c r="I196" s="1">
        <f ca="1">MAX(1,MOD(OFFSET(养成规划!$Y$6,MATCH(C196,养成规划!$B$6:$B$77,0)-1,0),100))</f>
        <v>9</v>
      </c>
      <c r="J196" s="1" t="str">
        <f ca="1">OFFSET(养成规划!$Z$6,MATCH(C196,养成规划!$B$6:$B$77,0)-1,0)</f>
        <v>金+</v>
      </c>
      <c r="K196" s="1">
        <f ca="1">OFFSET(养成规划!$AB$6,MATCH(C196,养成规划!$B$6:$B$77,0)-1,0)</f>
        <v>50</v>
      </c>
      <c r="L196" s="1">
        <f ca="1">OFFSET(养成规划!$AC$6,MATCH(C196,养成规划!$B$6:$B$77,0)-1,0)</f>
        <v>14</v>
      </c>
      <c r="M196" s="14">
        <f ca="1">OFFSET(控制台!$R$476,MATCH(C196,控制台!$B$476:$B$547,0)-1,0)</f>
        <v>0.75</v>
      </c>
      <c r="N196" s="14">
        <f ca="1">OFFSET(控制台!$S$476,MATCH(C196,控制台!$B$476:$B$547,0)-1,0)</f>
        <v>0.75</v>
      </c>
      <c r="O196" s="14">
        <f ca="1">OFFSET(控制台!$U$5057,MATCH(C196,控制台!$B$5057:$B$5128,0)-1,0)</f>
        <v>0.15</v>
      </c>
      <c r="P196" s="14">
        <f ca="1">OFFSET(控制台!$V$5057,MATCH(C196,控制台!$B$5057:$B$5128,0)-1,0)</f>
        <v>0.15</v>
      </c>
      <c r="Q196" s="14">
        <f ca="1">OFFSET(控制台!$T$5057,MATCH(C196,控制台!$B$5057:$B$5128,0)-1,0)</f>
        <v>0.25</v>
      </c>
    </row>
    <row r="197" spans="1:17">
      <c r="A197" s="1">
        <f>'107_兵卡等级'!B197</f>
        <v>192</v>
      </c>
      <c r="B197" s="1">
        <f ca="1">'107_兵卡等级'!L197</f>
        <v>336</v>
      </c>
      <c r="C197" s="1">
        <f ca="1">OFFSET(养成规划!$B$6,MATCH(B197,养成规划!$B$6:$B$77,1)-1,0)</f>
        <v>330</v>
      </c>
      <c r="D197" s="1">
        <f ca="1">MAX(3,OFFSET(养成规划!$X$6,MATCH(C197,养成规划!$B$6:$B$77,0)-1,0))</f>
        <v>7.1</v>
      </c>
      <c r="E197" s="1">
        <f ca="1">MAX(1,OFFSET(控制台!$J$374,MATCH(C197,控制台!$B$374:$B$445,0)-1,0))</f>
        <v>31</v>
      </c>
      <c r="F197" s="1">
        <f ca="1">MAX(1,OFFSET(养成规划!$V$6,MATCH(C197,养成规划!$S$6:$S$77,0)-1,0))</f>
        <v>5</v>
      </c>
      <c r="G197" s="1">
        <f ca="1">MAX(9,OFFSET(控制台!$L$374,MATCH(C197,控制台!$B$374:$B$445,0)-1,0))</f>
        <v>99</v>
      </c>
      <c r="H197" s="1">
        <f ca="1">MAX(1,_xlfn.FLOOR.MATH(OFFSET(养成规划!$Y$6,MATCH(C197,养成规划!$B$6:$B$77,0)-1,0)/100))</f>
        <v>4</v>
      </c>
      <c r="I197" s="1">
        <f ca="1">MAX(1,MOD(OFFSET(养成规划!$Y$6,MATCH(C197,养成规划!$B$6:$B$77,0)-1,0),100))</f>
        <v>9</v>
      </c>
      <c r="J197" s="1" t="str">
        <f ca="1">OFFSET(养成规划!$Z$6,MATCH(C197,养成规划!$B$6:$B$77,0)-1,0)</f>
        <v>金+</v>
      </c>
      <c r="K197" s="1">
        <f ca="1">OFFSET(养成规划!$AB$6,MATCH(C197,养成规划!$B$6:$B$77,0)-1,0)</f>
        <v>50</v>
      </c>
      <c r="L197" s="1">
        <f ca="1">OFFSET(养成规划!$AC$6,MATCH(C197,养成规划!$B$6:$B$77,0)-1,0)</f>
        <v>14</v>
      </c>
      <c r="M197" s="14">
        <f ca="1">OFFSET(控制台!$R$476,MATCH(C197,控制台!$B$476:$B$547,0)-1,0)</f>
        <v>0.75</v>
      </c>
      <c r="N197" s="14">
        <f ca="1">OFFSET(控制台!$S$476,MATCH(C197,控制台!$B$476:$B$547,0)-1,0)</f>
        <v>0.75</v>
      </c>
      <c r="O197" s="14">
        <f ca="1">OFFSET(控制台!$U$5057,MATCH(C197,控制台!$B$5057:$B$5128,0)-1,0)</f>
        <v>0.15</v>
      </c>
      <c r="P197" s="14">
        <f ca="1">OFFSET(控制台!$V$5057,MATCH(C197,控制台!$B$5057:$B$5128,0)-1,0)</f>
        <v>0.15</v>
      </c>
      <c r="Q197" s="14">
        <f ca="1">OFFSET(控制台!$T$5057,MATCH(C197,控制台!$B$5057:$B$5128,0)-1,0)</f>
        <v>0.25</v>
      </c>
    </row>
    <row r="198" spans="1:17">
      <c r="A198" s="1">
        <f>'107_兵卡等级'!B198</f>
        <v>193</v>
      </c>
      <c r="B198" s="1">
        <f ca="1">'107_兵卡等级'!L198</f>
        <v>339</v>
      </c>
      <c r="C198" s="1">
        <f ca="1">OFFSET(养成规划!$B$6,MATCH(B198,养成规划!$B$6:$B$77,1)-1,0)</f>
        <v>330</v>
      </c>
      <c r="D198" s="1">
        <f ca="1">MAX(3,OFFSET(养成规划!$X$6,MATCH(C198,养成规划!$B$6:$B$77,0)-1,0))</f>
        <v>7.1</v>
      </c>
      <c r="E198" s="1">
        <f ca="1">MAX(1,OFFSET(控制台!$J$374,MATCH(C198,控制台!$B$374:$B$445,0)-1,0))</f>
        <v>31</v>
      </c>
      <c r="F198" s="1">
        <f ca="1">MAX(1,OFFSET(养成规划!$V$6,MATCH(C198,养成规划!$S$6:$S$77,0)-1,0))</f>
        <v>5</v>
      </c>
      <c r="G198" s="1">
        <f ca="1">MAX(9,OFFSET(控制台!$L$374,MATCH(C198,控制台!$B$374:$B$445,0)-1,0))</f>
        <v>99</v>
      </c>
      <c r="H198" s="1">
        <f ca="1">MAX(1,_xlfn.FLOOR.MATH(OFFSET(养成规划!$Y$6,MATCH(C198,养成规划!$B$6:$B$77,0)-1,0)/100))</f>
        <v>4</v>
      </c>
      <c r="I198" s="1">
        <f ca="1">MAX(1,MOD(OFFSET(养成规划!$Y$6,MATCH(C198,养成规划!$B$6:$B$77,0)-1,0),100))</f>
        <v>9</v>
      </c>
      <c r="J198" s="1" t="str">
        <f ca="1">OFFSET(养成规划!$Z$6,MATCH(C198,养成规划!$B$6:$B$77,0)-1,0)</f>
        <v>金+</v>
      </c>
      <c r="K198" s="1">
        <f ca="1">OFFSET(养成规划!$AB$6,MATCH(C198,养成规划!$B$6:$B$77,0)-1,0)</f>
        <v>50</v>
      </c>
      <c r="L198" s="1">
        <f ca="1">OFFSET(养成规划!$AC$6,MATCH(C198,养成规划!$B$6:$B$77,0)-1,0)</f>
        <v>14</v>
      </c>
      <c r="M198" s="14">
        <f ca="1">OFFSET(控制台!$R$476,MATCH(C198,控制台!$B$476:$B$547,0)-1,0)</f>
        <v>0.75</v>
      </c>
      <c r="N198" s="14">
        <f ca="1">OFFSET(控制台!$S$476,MATCH(C198,控制台!$B$476:$B$547,0)-1,0)</f>
        <v>0.75</v>
      </c>
      <c r="O198" s="14">
        <f ca="1">OFFSET(控制台!$U$5057,MATCH(C198,控制台!$B$5057:$B$5128,0)-1,0)</f>
        <v>0.15</v>
      </c>
      <c r="P198" s="14">
        <f ca="1">OFFSET(控制台!$V$5057,MATCH(C198,控制台!$B$5057:$B$5128,0)-1,0)</f>
        <v>0.15</v>
      </c>
      <c r="Q198" s="14">
        <f ca="1">OFFSET(控制台!$T$5057,MATCH(C198,控制台!$B$5057:$B$5128,0)-1,0)</f>
        <v>0.25</v>
      </c>
    </row>
    <row r="199" spans="1:17">
      <c r="A199" s="1">
        <f>'107_兵卡等级'!B199</f>
        <v>194</v>
      </c>
      <c r="B199" s="1">
        <f ca="1">'107_兵卡等级'!L199</f>
        <v>342</v>
      </c>
      <c r="C199" s="1">
        <f ca="1">OFFSET(养成规划!$B$6,MATCH(B199,养成规划!$B$6:$B$77,1)-1,0)</f>
        <v>330</v>
      </c>
      <c r="D199" s="1">
        <f ca="1">MAX(3,OFFSET(养成规划!$X$6,MATCH(C199,养成规划!$B$6:$B$77,0)-1,0))</f>
        <v>7.1</v>
      </c>
      <c r="E199" s="1">
        <f ca="1">MAX(1,OFFSET(控制台!$J$374,MATCH(C199,控制台!$B$374:$B$445,0)-1,0))</f>
        <v>31</v>
      </c>
      <c r="F199" s="1">
        <f ca="1">MAX(1,OFFSET(养成规划!$V$6,MATCH(C199,养成规划!$S$6:$S$77,0)-1,0))</f>
        <v>5</v>
      </c>
      <c r="G199" s="1">
        <f ca="1">MAX(9,OFFSET(控制台!$L$374,MATCH(C199,控制台!$B$374:$B$445,0)-1,0))</f>
        <v>99</v>
      </c>
      <c r="H199" s="1">
        <f ca="1">MAX(1,_xlfn.FLOOR.MATH(OFFSET(养成规划!$Y$6,MATCH(C199,养成规划!$B$6:$B$77,0)-1,0)/100))</f>
        <v>4</v>
      </c>
      <c r="I199" s="1">
        <f ca="1">MAX(1,MOD(OFFSET(养成规划!$Y$6,MATCH(C199,养成规划!$B$6:$B$77,0)-1,0),100))</f>
        <v>9</v>
      </c>
      <c r="J199" s="1" t="str">
        <f ca="1">OFFSET(养成规划!$Z$6,MATCH(C199,养成规划!$B$6:$B$77,0)-1,0)</f>
        <v>金+</v>
      </c>
      <c r="K199" s="1">
        <f ca="1">OFFSET(养成规划!$AB$6,MATCH(C199,养成规划!$B$6:$B$77,0)-1,0)</f>
        <v>50</v>
      </c>
      <c r="L199" s="1">
        <f ca="1">OFFSET(养成规划!$AC$6,MATCH(C199,养成规划!$B$6:$B$77,0)-1,0)</f>
        <v>14</v>
      </c>
      <c r="M199" s="14">
        <f ca="1">OFFSET(控制台!$R$476,MATCH(C199,控制台!$B$476:$B$547,0)-1,0)</f>
        <v>0.75</v>
      </c>
      <c r="N199" s="14">
        <f ca="1">OFFSET(控制台!$S$476,MATCH(C199,控制台!$B$476:$B$547,0)-1,0)</f>
        <v>0.75</v>
      </c>
      <c r="O199" s="14">
        <f ca="1">OFFSET(控制台!$U$5057,MATCH(C199,控制台!$B$5057:$B$5128,0)-1,0)</f>
        <v>0.15</v>
      </c>
      <c r="P199" s="14">
        <f ca="1">OFFSET(控制台!$V$5057,MATCH(C199,控制台!$B$5057:$B$5128,0)-1,0)</f>
        <v>0.15</v>
      </c>
      <c r="Q199" s="14">
        <f ca="1">OFFSET(控制台!$T$5057,MATCH(C199,控制台!$B$5057:$B$5128,0)-1,0)</f>
        <v>0.25</v>
      </c>
    </row>
    <row r="200" spans="1:17">
      <c r="A200" s="1">
        <f>'107_兵卡等级'!B200</f>
        <v>195</v>
      </c>
      <c r="B200" s="1">
        <f ca="1">'107_兵卡等级'!L200</f>
        <v>345</v>
      </c>
      <c r="C200" s="1">
        <f ca="1">OFFSET(养成规划!$B$6,MATCH(B200,养成规划!$B$6:$B$77,1)-1,0)</f>
        <v>330</v>
      </c>
      <c r="D200" s="1">
        <f ca="1">MAX(3,OFFSET(养成规划!$X$6,MATCH(C200,养成规划!$B$6:$B$77,0)-1,0))</f>
        <v>7.1</v>
      </c>
      <c r="E200" s="1">
        <f ca="1">MAX(1,OFFSET(控制台!$J$374,MATCH(C200,控制台!$B$374:$B$445,0)-1,0))</f>
        <v>31</v>
      </c>
      <c r="F200" s="1">
        <f ca="1">MAX(1,OFFSET(养成规划!$V$6,MATCH(C200,养成规划!$S$6:$S$77,0)-1,0))</f>
        <v>5</v>
      </c>
      <c r="G200" s="1">
        <f ca="1">MAX(9,OFFSET(控制台!$L$374,MATCH(C200,控制台!$B$374:$B$445,0)-1,0))</f>
        <v>99</v>
      </c>
      <c r="H200" s="1">
        <f ca="1">MAX(1,_xlfn.FLOOR.MATH(OFFSET(养成规划!$Y$6,MATCH(C200,养成规划!$B$6:$B$77,0)-1,0)/100))</f>
        <v>4</v>
      </c>
      <c r="I200" s="1">
        <f ca="1">MAX(1,MOD(OFFSET(养成规划!$Y$6,MATCH(C200,养成规划!$B$6:$B$77,0)-1,0),100))</f>
        <v>9</v>
      </c>
      <c r="J200" s="1" t="str">
        <f ca="1">OFFSET(养成规划!$Z$6,MATCH(C200,养成规划!$B$6:$B$77,0)-1,0)</f>
        <v>金+</v>
      </c>
      <c r="K200" s="1">
        <f ca="1">OFFSET(养成规划!$AB$6,MATCH(C200,养成规划!$B$6:$B$77,0)-1,0)</f>
        <v>50</v>
      </c>
      <c r="L200" s="1">
        <f ca="1">OFFSET(养成规划!$AC$6,MATCH(C200,养成规划!$B$6:$B$77,0)-1,0)</f>
        <v>14</v>
      </c>
      <c r="M200" s="14">
        <f ca="1">OFFSET(控制台!$R$476,MATCH(C200,控制台!$B$476:$B$547,0)-1,0)</f>
        <v>0.75</v>
      </c>
      <c r="N200" s="14">
        <f ca="1">OFFSET(控制台!$S$476,MATCH(C200,控制台!$B$476:$B$547,0)-1,0)</f>
        <v>0.75</v>
      </c>
      <c r="O200" s="14">
        <f ca="1">OFFSET(控制台!$U$5057,MATCH(C200,控制台!$B$5057:$B$5128,0)-1,0)</f>
        <v>0.15</v>
      </c>
      <c r="P200" s="14">
        <f ca="1">OFFSET(控制台!$V$5057,MATCH(C200,控制台!$B$5057:$B$5128,0)-1,0)</f>
        <v>0.15</v>
      </c>
      <c r="Q200" s="14">
        <f ca="1">OFFSET(控制台!$T$5057,MATCH(C200,控制台!$B$5057:$B$5128,0)-1,0)</f>
        <v>0.25</v>
      </c>
    </row>
    <row r="201" spans="1:17">
      <c r="A201" s="1">
        <f>'107_兵卡等级'!B201</f>
        <v>196</v>
      </c>
      <c r="B201" s="1">
        <f ca="1">'107_兵卡等级'!L201</f>
        <v>348</v>
      </c>
      <c r="C201" s="1">
        <f ca="1">OFFSET(养成规划!$B$6,MATCH(B201,养成规划!$B$6:$B$77,1)-1,0)</f>
        <v>330</v>
      </c>
      <c r="D201" s="1">
        <f ca="1">MAX(3,OFFSET(养成规划!$X$6,MATCH(C201,养成规划!$B$6:$B$77,0)-1,0))</f>
        <v>7.1</v>
      </c>
      <c r="E201" s="1">
        <f ca="1">MAX(1,OFFSET(控制台!$J$374,MATCH(C201,控制台!$B$374:$B$445,0)-1,0))</f>
        <v>31</v>
      </c>
      <c r="F201" s="1">
        <f ca="1">MAX(1,OFFSET(养成规划!$V$6,MATCH(C201,养成规划!$S$6:$S$77,0)-1,0))</f>
        <v>5</v>
      </c>
      <c r="G201" s="1">
        <f ca="1">MAX(9,OFFSET(控制台!$L$374,MATCH(C201,控制台!$B$374:$B$445,0)-1,0))</f>
        <v>99</v>
      </c>
      <c r="H201" s="1">
        <f ca="1">MAX(1,_xlfn.FLOOR.MATH(OFFSET(养成规划!$Y$6,MATCH(C201,养成规划!$B$6:$B$77,0)-1,0)/100))</f>
        <v>4</v>
      </c>
      <c r="I201" s="1">
        <f ca="1">MAX(1,MOD(OFFSET(养成规划!$Y$6,MATCH(C201,养成规划!$B$6:$B$77,0)-1,0),100))</f>
        <v>9</v>
      </c>
      <c r="J201" s="1" t="str">
        <f ca="1">OFFSET(养成规划!$Z$6,MATCH(C201,养成规划!$B$6:$B$77,0)-1,0)</f>
        <v>金+</v>
      </c>
      <c r="K201" s="1">
        <f ca="1">OFFSET(养成规划!$AB$6,MATCH(C201,养成规划!$B$6:$B$77,0)-1,0)</f>
        <v>50</v>
      </c>
      <c r="L201" s="1">
        <f ca="1">OFFSET(养成规划!$AC$6,MATCH(C201,养成规划!$B$6:$B$77,0)-1,0)</f>
        <v>14</v>
      </c>
      <c r="M201" s="14">
        <f ca="1">OFFSET(控制台!$R$476,MATCH(C201,控制台!$B$476:$B$547,0)-1,0)</f>
        <v>0.75</v>
      </c>
      <c r="N201" s="14">
        <f ca="1">OFFSET(控制台!$S$476,MATCH(C201,控制台!$B$476:$B$547,0)-1,0)</f>
        <v>0.75</v>
      </c>
      <c r="O201" s="14">
        <f ca="1">OFFSET(控制台!$U$5057,MATCH(C201,控制台!$B$5057:$B$5128,0)-1,0)</f>
        <v>0.15</v>
      </c>
      <c r="P201" s="14">
        <f ca="1">OFFSET(控制台!$V$5057,MATCH(C201,控制台!$B$5057:$B$5128,0)-1,0)</f>
        <v>0.15</v>
      </c>
      <c r="Q201" s="14">
        <f ca="1">OFFSET(控制台!$T$5057,MATCH(C201,控制台!$B$5057:$B$5128,0)-1,0)</f>
        <v>0.25</v>
      </c>
    </row>
    <row r="202" spans="1:17">
      <c r="A202" s="1">
        <f>'107_兵卡等级'!B202</f>
        <v>197</v>
      </c>
      <c r="B202" s="1">
        <f ca="1">'107_兵卡等级'!L202</f>
        <v>351</v>
      </c>
      <c r="C202" s="1">
        <f ca="1">OFFSET(养成规划!$B$6,MATCH(B202,养成规划!$B$6:$B$77,1)-1,0)</f>
        <v>330</v>
      </c>
      <c r="D202" s="1">
        <f ca="1">MAX(3,OFFSET(养成规划!$X$6,MATCH(C202,养成规划!$B$6:$B$77,0)-1,0))</f>
        <v>7.1</v>
      </c>
      <c r="E202" s="1">
        <f ca="1">MAX(1,OFFSET(控制台!$J$374,MATCH(C202,控制台!$B$374:$B$445,0)-1,0))</f>
        <v>31</v>
      </c>
      <c r="F202" s="1">
        <f ca="1">MAX(1,OFFSET(养成规划!$V$6,MATCH(C202,养成规划!$S$6:$S$77,0)-1,0))</f>
        <v>5</v>
      </c>
      <c r="G202" s="1">
        <f ca="1">MAX(9,OFFSET(控制台!$L$374,MATCH(C202,控制台!$B$374:$B$445,0)-1,0))</f>
        <v>99</v>
      </c>
      <c r="H202" s="1">
        <f ca="1">MAX(1,_xlfn.FLOOR.MATH(OFFSET(养成规划!$Y$6,MATCH(C202,养成规划!$B$6:$B$77,0)-1,0)/100))</f>
        <v>4</v>
      </c>
      <c r="I202" s="1">
        <f ca="1">MAX(1,MOD(OFFSET(养成规划!$Y$6,MATCH(C202,养成规划!$B$6:$B$77,0)-1,0),100))</f>
        <v>9</v>
      </c>
      <c r="J202" s="1" t="str">
        <f ca="1">OFFSET(养成规划!$Z$6,MATCH(C202,养成规划!$B$6:$B$77,0)-1,0)</f>
        <v>金+</v>
      </c>
      <c r="K202" s="1">
        <f ca="1">OFFSET(养成规划!$AB$6,MATCH(C202,养成规划!$B$6:$B$77,0)-1,0)</f>
        <v>50</v>
      </c>
      <c r="L202" s="1">
        <f ca="1">OFFSET(养成规划!$AC$6,MATCH(C202,养成规划!$B$6:$B$77,0)-1,0)</f>
        <v>14</v>
      </c>
      <c r="M202" s="14">
        <f ca="1">OFFSET(控制台!$R$476,MATCH(C202,控制台!$B$476:$B$547,0)-1,0)</f>
        <v>0.75</v>
      </c>
      <c r="N202" s="14">
        <f ca="1">OFFSET(控制台!$S$476,MATCH(C202,控制台!$B$476:$B$547,0)-1,0)</f>
        <v>0.75</v>
      </c>
      <c r="O202" s="14">
        <f ca="1">OFFSET(控制台!$U$5057,MATCH(C202,控制台!$B$5057:$B$5128,0)-1,0)</f>
        <v>0.15</v>
      </c>
      <c r="P202" s="14">
        <f ca="1">OFFSET(控制台!$V$5057,MATCH(C202,控制台!$B$5057:$B$5128,0)-1,0)</f>
        <v>0.15</v>
      </c>
      <c r="Q202" s="14">
        <f ca="1">OFFSET(控制台!$T$5057,MATCH(C202,控制台!$B$5057:$B$5128,0)-1,0)</f>
        <v>0.25</v>
      </c>
    </row>
    <row r="203" spans="1:17">
      <c r="A203" s="1">
        <f>'107_兵卡等级'!B203</f>
        <v>198</v>
      </c>
      <c r="B203" s="1">
        <f ca="1">'107_兵卡等级'!L203</f>
        <v>354</v>
      </c>
      <c r="C203" s="1">
        <f ca="1">OFFSET(养成规划!$B$6,MATCH(B203,养成规划!$B$6:$B$77,1)-1,0)</f>
        <v>330</v>
      </c>
      <c r="D203" s="1">
        <f ca="1">MAX(3,OFFSET(养成规划!$X$6,MATCH(C203,养成规划!$B$6:$B$77,0)-1,0))</f>
        <v>7.1</v>
      </c>
      <c r="E203" s="1">
        <f ca="1">MAX(1,OFFSET(控制台!$J$374,MATCH(C203,控制台!$B$374:$B$445,0)-1,0))</f>
        <v>31</v>
      </c>
      <c r="F203" s="1">
        <f ca="1">MAX(1,OFFSET(养成规划!$V$6,MATCH(C203,养成规划!$S$6:$S$77,0)-1,0))</f>
        <v>5</v>
      </c>
      <c r="G203" s="1">
        <f ca="1">MAX(9,OFFSET(控制台!$L$374,MATCH(C203,控制台!$B$374:$B$445,0)-1,0))</f>
        <v>99</v>
      </c>
      <c r="H203" s="1">
        <f ca="1">MAX(1,_xlfn.FLOOR.MATH(OFFSET(养成规划!$Y$6,MATCH(C203,养成规划!$B$6:$B$77,0)-1,0)/100))</f>
        <v>4</v>
      </c>
      <c r="I203" s="1">
        <f ca="1">MAX(1,MOD(OFFSET(养成规划!$Y$6,MATCH(C203,养成规划!$B$6:$B$77,0)-1,0),100))</f>
        <v>9</v>
      </c>
      <c r="J203" s="1" t="str">
        <f ca="1">OFFSET(养成规划!$Z$6,MATCH(C203,养成规划!$B$6:$B$77,0)-1,0)</f>
        <v>金+</v>
      </c>
      <c r="K203" s="1">
        <f ca="1">OFFSET(养成规划!$AB$6,MATCH(C203,养成规划!$B$6:$B$77,0)-1,0)</f>
        <v>50</v>
      </c>
      <c r="L203" s="1">
        <f ca="1">OFFSET(养成规划!$AC$6,MATCH(C203,养成规划!$B$6:$B$77,0)-1,0)</f>
        <v>14</v>
      </c>
      <c r="M203" s="14">
        <f ca="1">OFFSET(控制台!$R$476,MATCH(C203,控制台!$B$476:$B$547,0)-1,0)</f>
        <v>0.75</v>
      </c>
      <c r="N203" s="14">
        <f ca="1">OFFSET(控制台!$S$476,MATCH(C203,控制台!$B$476:$B$547,0)-1,0)</f>
        <v>0.75</v>
      </c>
      <c r="O203" s="14">
        <f ca="1">OFFSET(控制台!$U$5057,MATCH(C203,控制台!$B$5057:$B$5128,0)-1,0)</f>
        <v>0.15</v>
      </c>
      <c r="P203" s="14">
        <f ca="1">OFFSET(控制台!$V$5057,MATCH(C203,控制台!$B$5057:$B$5128,0)-1,0)</f>
        <v>0.15</v>
      </c>
      <c r="Q203" s="14">
        <f ca="1">OFFSET(控制台!$T$5057,MATCH(C203,控制台!$B$5057:$B$5128,0)-1,0)</f>
        <v>0.25</v>
      </c>
    </row>
    <row r="204" spans="1:17">
      <c r="A204" s="1">
        <f>'107_兵卡等级'!B204</f>
        <v>199</v>
      </c>
      <c r="B204" s="1">
        <f ca="1">'107_兵卡等级'!L204</f>
        <v>357</v>
      </c>
      <c r="C204" s="1">
        <f ca="1">OFFSET(养成规划!$B$6,MATCH(B204,养成规划!$B$6:$B$77,1)-1,0)</f>
        <v>330</v>
      </c>
      <c r="D204" s="1">
        <f ca="1">MAX(3,OFFSET(养成规划!$X$6,MATCH(C204,养成规划!$B$6:$B$77,0)-1,0))</f>
        <v>7.1</v>
      </c>
      <c r="E204" s="1">
        <f ca="1">MAX(1,OFFSET(控制台!$J$374,MATCH(C204,控制台!$B$374:$B$445,0)-1,0))</f>
        <v>31</v>
      </c>
      <c r="F204" s="1">
        <f ca="1">MAX(1,OFFSET(养成规划!$V$6,MATCH(C204,养成规划!$S$6:$S$77,0)-1,0))</f>
        <v>5</v>
      </c>
      <c r="G204" s="1">
        <f ca="1">MAX(9,OFFSET(控制台!$L$374,MATCH(C204,控制台!$B$374:$B$445,0)-1,0))</f>
        <v>99</v>
      </c>
      <c r="H204" s="1">
        <f ca="1">MAX(1,_xlfn.FLOOR.MATH(OFFSET(养成规划!$Y$6,MATCH(C204,养成规划!$B$6:$B$77,0)-1,0)/100))</f>
        <v>4</v>
      </c>
      <c r="I204" s="1">
        <f ca="1">MAX(1,MOD(OFFSET(养成规划!$Y$6,MATCH(C204,养成规划!$B$6:$B$77,0)-1,0),100))</f>
        <v>9</v>
      </c>
      <c r="J204" s="1" t="str">
        <f ca="1">OFFSET(养成规划!$Z$6,MATCH(C204,养成规划!$B$6:$B$77,0)-1,0)</f>
        <v>金+</v>
      </c>
      <c r="K204" s="1">
        <f ca="1">OFFSET(养成规划!$AB$6,MATCH(C204,养成规划!$B$6:$B$77,0)-1,0)</f>
        <v>50</v>
      </c>
      <c r="L204" s="1">
        <f ca="1">OFFSET(养成规划!$AC$6,MATCH(C204,养成规划!$B$6:$B$77,0)-1,0)</f>
        <v>14</v>
      </c>
      <c r="M204" s="14">
        <f ca="1">OFFSET(控制台!$R$476,MATCH(C204,控制台!$B$476:$B$547,0)-1,0)</f>
        <v>0.75</v>
      </c>
      <c r="N204" s="14">
        <f ca="1">OFFSET(控制台!$S$476,MATCH(C204,控制台!$B$476:$B$547,0)-1,0)</f>
        <v>0.75</v>
      </c>
      <c r="O204" s="14">
        <f ca="1">OFFSET(控制台!$U$5057,MATCH(C204,控制台!$B$5057:$B$5128,0)-1,0)</f>
        <v>0.15</v>
      </c>
      <c r="P204" s="14">
        <f ca="1">OFFSET(控制台!$V$5057,MATCH(C204,控制台!$B$5057:$B$5128,0)-1,0)</f>
        <v>0.15</v>
      </c>
      <c r="Q204" s="14">
        <f ca="1">OFFSET(控制台!$T$5057,MATCH(C204,控制台!$B$5057:$B$5128,0)-1,0)</f>
        <v>0.25</v>
      </c>
    </row>
    <row r="205" spans="1:17">
      <c r="A205" s="1">
        <f>'107_兵卡等级'!B205</f>
        <v>200</v>
      </c>
      <c r="B205" s="1">
        <f ca="1">'107_兵卡等级'!L205</f>
        <v>360</v>
      </c>
      <c r="C205" s="1">
        <f ca="1">OFFSET(养成规划!$B$6,MATCH(B205,养成规划!$B$6:$B$77,1)-1,0)</f>
        <v>360</v>
      </c>
      <c r="D205" s="1">
        <f ca="1">MAX(3,OFFSET(养成规划!$X$6,MATCH(C205,养成规划!$B$6:$B$77,0)-1,0))</f>
        <v>7.2</v>
      </c>
      <c r="E205" s="1">
        <f ca="1">MAX(1,OFFSET(控制台!$J$374,MATCH(C205,控制台!$B$374:$B$445,0)-1,0))</f>
        <v>32</v>
      </c>
      <c r="F205" s="1">
        <f ca="1">MAX(1,OFFSET(养成规划!$V$6,MATCH(C205,养成规划!$S$6:$S$77,0)-1,0))</f>
        <v>5</v>
      </c>
      <c r="G205" s="1">
        <f ca="1">MAX(9,OFFSET(控制台!$L$374,MATCH(C205,控制台!$B$374:$B$445,0)-1,0))</f>
        <v>102</v>
      </c>
      <c r="H205" s="1">
        <f ca="1">MAX(1,_xlfn.FLOOR.MATH(OFFSET(养成规划!$Y$6,MATCH(C205,养成规划!$B$6:$B$77,0)-1,0)/100))</f>
        <v>4</v>
      </c>
      <c r="I205" s="1">
        <f ca="1">MAX(1,MOD(OFFSET(养成规划!$Y$6,MATCH(C205,养成规划!$B$6:$B$77,0)-1,0),100))</f>
        <v>10</v>
      </c>
      <c r="J205" s="1" t="str">
        <f ca="1">OFFSET(养成规划!$Z$6,MATCH(C205,养成规划!$B$6:$B$77,0)-1,0)</f>
        <v>金++</v>
      </c>
      <c r="K205" s="1">
        <f ca="1">OFFSET(养成规划!$AB$6,MATCH(C205,养成规划!$B$6:$B$77,0)-1,0)</f>
        <v>60</v>
      </c>
      <c r="L205" s="1">
        <f ca="1">OFFSET(养成规划!$AC$6,MATCH(C205,养成规划!$B$6:$B$77,0)-1,0)</f>
        <v>15</v>
      </c>
      <c r="M205" s="14">
        <f ca="1">OFFSET(控制台!$R$476,MATCH(C205,控制台!$B$476:$B$547,0)-1,0)</f>
        <v>0.75</v>
      </c>
      <c r="N205" s="14">
        <f ca="1">OFFSET(控制台!$S$476,MATCH(C205,控制台!$B$476:$B$547,0)-1,0)</f>
        <v>0.75</v>
      </c>
      <c r="O205" s="14">
        <f ca="1">OFFSET(控制台!$U$5057,MATCH(C205,控制台!$B$5057:$B$5128,0)-1,0)</f>
        <v>0.15</v>
      </c>
      <c r="P205" s="14">
        <f ca="1">OFFSET(控制台!$V$5057,MATCH(C205,控制台!$B$5057:$B$5128,0)-1,0)</f>
        <v>0.15</v>
      </c>
      <c r="Q205" s="14">
        <f ca="1">OFFSET(控制台!$T$5057,MATCH(C205,控制台!$B$5057:$B$5128,0)-1,0)</f>
        <v>0.25</v>
      </c>
    </row>
  </sheetData>
  <hyperlinks>
    <hyperlink ref="A1" location="目录及说明!A1" display="返回目录及说明"/>
  </hyperlinks>
  <pageMargins left="0.699305555555556" right="0.699305555555556" top="0.75" bottom="0.75" header="0.3" footer="0.3"/>
  <pageSetup paperSize="9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2">
    <tabColor theme="9" tint="0.599993896298105"/>
  </sheetPr>
  <dimension ref="A1:U492"/>
  <sheetViews>
    <sheetView topLeftCell="H1" workbookViewId="0">
      <selection activeCell="Q44" sqref="Q44"/>
    </sheetView>
  </sheetViews>
  <sheetFormatPr defaultColWidth="8.70967741935484" defaultRowHeight="13.1"/>
  <cols>
    <col min="1" max="1" width="9.62903225806452" style="1" customWidth="1"/>
    <col min="2" max="2" width="13.25" style="1" customWidth="1"/>
    <col min="3" max="3" width="14.5" style="1" customWidth="1"/>
    <col min="4" max="4" width="12" style="1" customWidth="1"/>
    <col min="5" max="9" width="14.5" style="1" customWidth="1"/>
    <col min="10" max="10" width="35.6290322580645" style="1" customWidth="1"/>
    <col min="11" max="11" width="14.5" style="1" customWidth="1"/>
    <col min="12" max="12" width="10.75" style="1" customWidth="1"/>
    <col min="13" max="14" width="13.25" style="1" customWidth="1"/>
    <col min="15" max="15" width="30.3790322580645" style="1" customWidth="1"/>
    <col min="16" max="16" width="20" style="1" customWidth="1"/>
    <col min="17" max="18" width="9.62903225806452" style="1" customWidth="1"/>
    <col min="19" max="19" width="18.75" style="1" customWidth="1"/>
    <col min="20" max="20" width="12.25" style="1" customWidth="1"/>
    <col min="21" max="16384" width="9.62903225806452" style="1"/>
  </cols>
  <sheetData>
    <row r="1" spans="1:11">
      <c r="A1" s="3">
        <v>2</v>
      </c>
      <c r="E1" s="4"/>
      <c r="G1" s="4"/>
      <c r="K1" s="5"/>
    </row>
    <row r="2" spans="5:11">
      <c r="E2" s="4"/>
      <c r="G2" s="4"/>
      <c r="K2" s="5"/>
    </row>
    <row r="3" s="2" customFormat="1" spans="1:1">
      <c r="A3" s="2" t="s">
        <v>2662</v>
      </c>
    </row>
    <row r="4" spans="5:11">
      <c r="E4" s="4"/>
      <c r="G4" s="4"/>
      <c r="K4" s="5"/>
    </row>
    <row r="5" spans="1:15">
      <c r="A5" s="1" t="s">
        <v>138</v>
      </c>
      <c r="B5" s="1" t="s">
        <v>2663</v>
      </c>
      <c r="C5" s="5" t="s">
        <v>863</v>
      </c>
      <c r="D5" s="1" t="s">
        <v>728</v>
      </c>
      <c r="E5" s="1" t="s">
        <v>729</v>
      </c>
      <c r="F5" s="1" t="s">
        <v>730</v>
      </c>
      <c r="G5" s="1" t="s">
        <v>2238</v>
      </c>
      <c r="H5" s="5" t="s">
        <v>864</v>
      </c>
      <c r="I5" s="1" t="s">
        <v>773</v>
      </c>
      <c r="J5" s="1" t="s">
        <v>928</v>
      </c>
      <c r="K5" s="15" t="s">
        <v>2664</v>
      </c>
      <c r="L5" s="17" t="s">
        <v>2227</v>
      </c>
      <c r="M5" s="1" t="s">
        <v>2665</v>
      </c>
      <c r="N5" s="1" t="s">
        <v>2666</v>
      </c>
      <c r="O5" s="1" t="s">
        <v>820</v>
      </c>
    </row>
    <row r="6" spans="1:16">
      <c r="A6" s="1">
        <v>0</v>
      </c>
      <c r="B6" s="1">
        <f>控制台!$E$284*控制台!F301*1000000</f>
        <v>0</v>
      </c>
      <c r="C6" s="5">
        <f>B6</f>
        <v>0</v>
      </c>
      <c r="D6" s="1">
        <f>B6/3*控制台!$H$101</f>
        <v>0</v>
      </c>
      <c r="E6" s="1">
        <f>B6/3*控制台!$I$101</f>
        <v>0</v>
      </c>
      <c r="F6" s="1">
        <f>B6/3*控制台!$J$101</f>
        <v>0</v>
      </c>
      <c r="G6" s="1">
        <f>控制台!$E$280*控制台!H301*24*60</f>
        <v>0</v>
      </c>
      <c r="H6" s="5">
        <f>G6</f>
        <v>0</v>
      </c>
      <c r="I6" s="14">
        <f ca="1">OFFSET(控制台!$W$301,MATCH(A6,控制台!$B$301:$B$333,0)-1,0)</f>
        <v>0</v>
      </c>
      <c r="J6" s="1">
        <f ca="1">G6*(1+I6)</f>
        <v>0</v>
      </c>
      <c r="K6" s="15">
        <f>_xlfn.FLOOR.MATH(B6/控制台!$E$4400)</f>
        <v>0</v>
      </c>
      <c r="L6" s="17">
        <f>K6</f>
        <v>0</v>
      </c>
      <c r="M6" s="24">
        <f>C6/1000000*总规划!$G$105</f>
        <v>0</v>
      </c>
      <c r="N6" s="24">
        <f>H6/60/24*总规划!$G$106</f>
        <v>0</v>
      </c>
      <c r="O6" s="8">
        <f>M6*控制台!$E$182+N6*控制台!$E$183</f>
        <v>0</v>
      </c>
      <c r="P6" s="8"/>
    </row>
    <row r="7" spans="1:16">
      <c r="A7" s="1">
        <v>1</v>
      </c>
      <c r="B7" s="1">
        <f>控制台!$E$284*控制台!F302*1000000</f>
        <v>64800</v>
      </c>
      <c r="C7" s="5">
        <f>C6+B7</f>
        <v>64800</v>
      </c>
      <c r="D7" s="1">
        <f>B7/3*控制台!$H$101</f>
        <v>21600</v>
      </c>
      <c r="E7" s="1">
        <f>B7/3*控制台!$I$101</f>
        <v>25920</v>
      </c>
      <c r="F7" s="1">
        <f>B7/3*控制台!$J$101</f>
        <v>17280</v>
      </c>
      <c r="G7" s="1">
        <f>控制台!$E$280*控制台!H302*24*60</f>
        <v>55.296</v>
      </c>
      <c r="H7" s="5">
        <f>G7</f>
        <v>55.296</v>
      </c>
      <c r="I7" s="14">
        <f ca="1">OFFSET(控制台!$W$301,MATCH(A7,控制台!$B$301:$B$333,0)-1,0)</f>
        <v>0</v>
      </c>
      <c r="J7" s="1">
        <f ca="1">G7*(1+I7)</f>
        <v>55.296</v>
      </c>
      <c r="K7" s="15">
        <f>_xlfn.FLOOR.MATH(B7/控制台!$E$4400)</f>
        <v>259</v>
      </c>
      <c r="L7" s="17">
        <f>L6+K7</f>
        <v>259</v>
      </c>
      <c r="M7" s="24">
        <f>C7/1000000*总规划!$G$105</f>
        <v>0.027</v>
      </c>
      <c r="N7" s="24">
        <f>H7/60/24*总规划!$G$106</f>
        <v>0.06</v>
      </c>
      <c r="O7" s="8">
        <f>M7*控制台!$E$182+N7*控制台!$E$183</f>
        <v>163.5</v>
      </c>
      <c r="P7" s="8"/>
    </row>
    <row r="8" spans="1:16">
      <c r="A8" s="1">
        <v>2</v>
      </c>
      <c r="B8" s="1">
        <f>控制台!$E$284*控制台!F303*1000000</f>
        <v>129600</v>
      </c>
      <c r="C8" s="5">
        <f>C7+B8</f>
        <v>194400</v>
      </c>
      <c r="D8" s="1">
        <f>B8/3*控制台!$H$101</f>
        <v>43200</v>
      </c>
      <c r="E8" s="1">
        <f>B8/3*控制台!$I$101</f>
        <v>51840</v>
      </c>
      <c r="F8" s="1">
        <f>B8/3*控制台!$J$101</f>
        <v>34560</v>
      </c>
      <c r="G8" s="1">
        <f>控制台!$E$280*控制台!H303*24*60</f>
        <v>110.592</v>
      </c>
      <c r="H8" s="5">
        <f>H7+G8</f>
        <v>165.888</v>
      </c>
      <c r="I8" s="14">
        <f ca="1">OFFSET(控制台!$W$301,MATCH(A8,控制台!$B$301:$B$333,0)-1,0)</f>
        <v>0</v>
      </c>
      <c r="J8" s="1">
        <f ca="1" t="shared" ref="J8:J38" si="0">G8*(1+I8)</f>
        <v>110.592</v>
      </c>
      <c r="K8" s="15">
        <f>_xlfn.FLOOR.MATH(B8/控制台!$E$4400)</f>
        <v>518</v>
      </c>
      <c r="L8" s="17">
        <f t="shared" ref="L8:L38" si="1">L7+K8</f>
        <v>777</v>
      </c>
      <c r="M8" s="24">
        <f>C8/1000000*总规划!$G$105</f>
        <v>0.081</v>
      </c>
      <c r="N8" s="24">
        <f>H8/60/24*总规划!$G$106</f>
        <v>0.18</v>
      </c>
      <c r="O8" s="8">
        <f>M8*控制台!$E$182+N8*控制台!$E$183</f>
        <v>490.5</v>
      </c>
      <c r="P8" s="8"/>
    </row>
    <row r="9" spans="1:16">
      <c r="A9" s="1">
        <v>3</v>
      </c>
      <c r="B9" s="1">
        <f>控制台!$E$284*控制台!F304*1000000</f>
        <v>194400</v>
      </c>
      <c r="C9" s="5">
        <f t="shared" ref="C9:C38" si="2">C8+B9</f>
        <v>388800</v>
      </c>
      <c r="D9" s="1">
        <f>B9/3*控制台!$H$101</f>
        <v>64800</v>
      </c>
      <c r="E9" s="1">
        <f>B9/3*控制台!$I$101</f>
        <v>77760</v>
      </c>
      <c r="F9" s="1">
        <f>B9/3*控制台!$J$101</f>
        <v>51840</v>
      </c>
      <c r="G9" s="1">
        <f>控制台!$E$280*控制台!H304*24*60</f>
        <v>165.888</v>
      </c>
      <c r="H9" s="5">
        <f t="shared" ref="H9:H38" si="3">H8+G9</f>
        <v>331.776</v>
      </c>
      <c r="I9" s="14">
        <f ca="1">OFFSET(控制台!$W$301,MATCH(A9,控制台!$B$301:$B$333,0)-1,0)</f>
        <v>0</v>
      </c>
      <c r="J9" s="1">
        <f ca="1" t="shared" si="0"/>
        <v>165.888</v>
      </c>
      <c r="K9" s="15">
        <f>_xlfn.FLOOR.MATH(B9/控制台!$E$4400)</f>
        <v>777</v>
      </c>
      <c r="L9" s="17">
        <f t="shared" si="1"/>
        <v>1554</v>
      </c>
      <c r="M9" s="24">
        <f>C9/1000000*总规划!$G$105</f>
        <v>0.162</v>
      </c>
      <c r="N9" s="24">
        <f>H9/60/24*总规划!$G$106</f>
        <v>0.36</v>
      </c>
      <c r="O9" s="8">
        <f>M9*控制台!$E$182+N9*控制台!$E$183</f>
        <v>981</v>
      </c>
      <c r="P9" s="8"/>
    </row>
    <row r="10" spans="1:16">
      <c r="A10" s="1">
        <v>4</v>
      </c>
      <c r="B10" s="1">
        <f>控制台!$E$284*控制台!F305*1000000</f>
        <v>259200</v>
      </c>
      <c r="C10" s="5">
        <f t="shared" si="2"/>
        <v>648000</v>
      </c>
      <c r="D10" s="1">
        <f>B10/3*控制台!$H$101</f>
        <v>86400</v>
      </c>
      <c r="E10" s="1">
        <f>B10/3*控制台!$I$101</f>
        <v>103680</v>
      </c>
      <c r="F10" s="1">
        <f>B10/3*控制台!$J$101</f>
        <v>69120</v>
      </c>
      <c r="G10" s="1">
        <f>控制台!$E$280*控制台!H305*24*60</f>
        <v>276.48</v>
      </c>
      <c r="H10" s="5">
        <f t="shared" si="3"/>
        <v>608.256</v>
      </c>
      <c r="I10" s="14">
        <f ca="1">OFFSET(控制台!$W$301,MATCH(A10,控制台!$B$301:$B$333,0)-1,0)</f>
        <v>0</v>
      </c>
      <c r="J10" s="1">
        <f ca="1" t="shared" si="0"/>
        <v>276.48</v>
      </c>
      <c r="K10" s="15">
        <f>_xlfn.FLOOR.MATH(B10/控制台!$E$4400)</f>
        <v>1036</v>
      </c>
      <c r="L10" s="17">
        <f t="shared" si="1"/>
        <v>2590</v>
      </c>
      <c r="M10" s="24">
        <f>C10/1000000*总规划!$G$105</f>
        <v>0.27</v>
      </c>
      <c r="N10" s="24">
        <f>H10/60/24*总规划!$G$106</f>
        <v>0.66</v>
      </c>
      <c r="O10" s="8">
        <f>M10*控制台!$E$182+N10*控制台!$E$183</f>
        <v>1785</v>
      </c>
      <c r="P10" s="8"/>
    </row>
    <row r="11" spans="1:16">
      <c r="A11" s="1">
        <v>5</v>
      </c>
      <c r="B11" s="1">
        <f>控制台!$E$284*控制台!F306*1000000</f>
        <v>432000</v>
      </c>
      <c r="C11" s="5">
        <f t="shared" si="2"/>
        <v>1080000</v>
      </c>
      <c r="D11" s="1">
        <f>B11/3*控制台!$H$101</f>
        <v>144000</v>
      </c>
      <c r="E11" s="1">
        <f>B11/3*控制台!$I$101</f>
        <v>172800</v>
      </c>
      <c r="F11" s="1">
        <f>B11/3*控制台!$J$101</f>
        <v>115200</v>
      </c>
      <c r="G11" s="1">
        <f>控制台!$E$280*控制台!H306*24*60</f>
        <v>442.368</v>
      </c>
      <c r="H11" s="5">
        <f t="shared" si="3"/>
        <v>1050.624</v>
      </c>
      <c r="I11" s="14">
        <f ca="1">OFFSET(控制台!$W$301,MATCH(A11,控制台!$B$301:$B$333,0)-1,0)</f>
        <v>0</v>
      </c>
      <c r="J11" s="1">
        <f ca="1" t="shared" si="0"/>
        <v>442.368</v>
      </c>
      <c r="K11" s="15">
        <f>_xlfn.FLOOR.MATH(B11/控制台!$E$4400)</f>
        <v>1728</v>
      </c>
      <c r="L11" s="17">
        <f t="shared" si="1"/>
        <v>4318</v>
      </c>
      <c r="M11" s="24">
        <f>C11/1000000*总规划!$G$105</f>
        <v>0.45</v>
      </c>
      <c r="N11" s="24">
        <f>H11/60/24*总规划!$G$106</f>
        <v>1.14</v>
      </c>
      <c r="O11" s="8">
        <f>M11*控制台!$E$182+N11*控制台!$E$183</f>
        <v>3075</v>
      </c>
      <c r="P11" s="8"/>
    </row>
    <row r="12" spans="1:16">
      <c r="A12" s="1">
        <v>6</v>
      </c>
      <c r="B12" s="1">
        <f>控制台!$E$284*控制台!F307*1000000</f>
        <v>864000</v>
      </c>
      <c r="C12" s="5">
        <f t="shared" si="2"/>
        <v>1944000</v>
      </c>
      <c r="D12" s="1">
        <f>B12/3*控制台!$H$101</f>
        <v>288000</v>
      </c>
      <c r="E12" s="1">
        <f>B12/3*控制台!$I$101</f>
        <v>345600</v>
      </c>
      <c r="F12" s="1">
        <f>B12/3*控制台!$J$101</f>
        <v>230400</v>
      </c>
      <c r="G12" s="1">
        <f>控制台!$E$280*控制台!H307*24*60</f>
        <v>829.44</v>
      </c>
      <c r="H12" s="5">
        <f t="shared" si="3"/>
        <v>1880.064</v>
      </c>
      <c r="I12" s="14">
        <f ca="1">OFFSET(控制台!$W$301,MATCH(A12,控制台!$B$301:$B$333,0)-1,0)</f>
        <v>0</v>
      </c>
      <c r="J12" s="1">
        <f ca="1" t="shared" si="0"/>
        <v>829.44</v>
      </c>
      <c r="K12" s="15">
        <f>_xlfn.FLOOR.MATH(B12/控制台!$E$4400)</f>
        <v>3456</v>
      </c>
      <c r="L12" s="17">
        <f t="shared" si="1"/>
        <v>7774</v>
      </c>
      <c r="M12" s="24">
        <f>C12/1000000*总规划!$G$105</f>
        <v>0.81</v>
      </c>
      <c r="N12" s="24">
        <f>H12/60/24*总规划!$G$106</f>
        <v>2.04</v>
      </c>
      <c r="O12" s="8">
        <f>M12*控制台!$E$182+N12*控制台!$E$183</f>
        <v>5505</v>
      </c>
      <c r="P12" s="8"/>
    </row>
    <row r="13" spans="1:16">
      <c r="A13" s="1">
        <v>7</v>
      </c>
      <c r="B13" s="1">
        <f>控制台!$E$284*控制台!F308*1000000</f>
        <v>1296000</v>
      </c>
      <c r="C13" s="5">
        <f t="shared" si="2"/>
        <v>3240000</v>
      </c>
      <c r="D13" s="1">
        <f>B13/3*控制台!$H$101</f>
        <v>432000</v>
      </c>
      <c r="E13" s="1">
        <f>B13/3*控制台!$I$101</f>
        <v>518400</v>
      </c>
      <c r="F13" s="1">
        <f>B13/3*控制台!$J$101</f>
        <v>345600</v>
      </c>
      <c r="G13" s="1">
        <f>控制台!$E$280*控制台!H308*24*60</f>
        <v>1658.88</v>
      </c>
      <c r="H13" s="5">
        <f t="shared" si="3"/>
        <v>3538.944</v>
      </c>
      <c r="I13" s="14">
        <f ca="1">OFFSET(控制台!$W$301,MATCH(A13,控制台!$B$301:$B$333,0)-1,0)</f>
        <v>0</v>
      </c>
      <c r="J13" s="1">
        <f ca="1" t="shared" si="0"/>
        <v>1658.88</v>
      </c>
      <c r="K13" s="15">
        <f>_xlfn.FLOOR.MATH(B13/控制台!$E$4400)</f>
        <v>5184</v>
      </c>
      <c r="L13" s="17">
        <f t="shared" si="1"/>
        <v>12958</v>
      </c>
      <c r="M13" s="24">
        <f>C13/1000000*总规划!$G$105</f>
        <v>1.35</v>
      </c>
      <c r="N13" s="24">
        <f>H13/60/24*总规划!$G$106</f>
        <v>3.84</v>
      </c>
      <c r="O13" s="8">
        <f>M13*控制台!$E$182+N13*控制台!$E$183</f>
        <v>10275</v>
      </c>
      <c r="P13" s="8"/>
    </row>
    <row r="14" spans="1:16">
      <c r="A14" s="1">
        <v>8</v>
      </c>
      <c r="B14" s="1">
        <f>控制台!$E$284*控制台!F309*1000000</f>
        <v>1728000</v>
      </c>
      <c r="C14" s="5">
        <f t="shared" si="2"/>
        <v>4968000</v>
      </c>
      <c r="D14" s="1">
        <f>B14/3*控制台!$H$101</f>
        <v>576000</v>
      </c>
      <c r="E14" s="1">
        <f>B14/3*控制台!$I$101</f>
        <v>691200</v>
      </c>
      <c r="F14" s="1">
        <f>B14/3*控制台!$J$101</f>
        <v>460800</v>
      </c>
      <c r="G14" s="1">
        <f>控制台!$E$280*控制台!H309*24*60</f>
        <v>2211.84</v>
      </c>
      <c r="H14" s="5">
        <f t="shared" si="3"/>
        <v>5750.784</v>
      </c>
      <c r="I14" s="14">
        <f ca="1">OFFSET(控制台!$W$301,MATCH(A14,控制台!$B$301:$B$333,0)-1,0)</f>
        <v>0</v>
      </c>
      <c r="J14" s="1">
        <f ca="1" t="shared" si="0"/>
        <v>2211.84</v>
      </c>
      <c r="K14" s="15">
        <f>_xlfn.FLOOR.MATH(B14/控制台!$E$4400)</f>
        <v>6912</v>
      </c>
      <c r="L14" s="17">
        <f t="shared" si="1"/>
        <v>19870</v>
      </c>
      <c r="M14" s="24">
        <f>C14/1000000*总规划!$G$105</f>
        <v>2.07</v>
      </c>
      <c r="N14" s="24">
        <f>H14/60/24*总规划!$G$106</f>
        <v>6.24</v>
      </c>
      <c r="O14" s="8">
        <f>M14*控制台!$E$182+N14*控制台!$E$183</f>
        <v>16635</v>
      </c>
      <c r="P14" s="8"/>
    </row>
    <row r="15" spans="1:16">
      <c r="A15" s="1">
        <v>9</v>
      </c>
      <c r="B15" s="1">
        <f>控制台!$E$284*控制台!F310*1000000</f>
        <v>2160000</v>
      </c>
      <c r="C15" s="5">
        <f t="shared" si="2"/>
        <v>7128000</v>
      </c>
      <c r="D15" s="1">
        <f>B15/3*控制台!$H$101</f>
        <v>720000</v>
      </c>
      <c r="E15" s="1">
        <f>B15/3*控制台!$I$101</f>
        <v>864000</v>
      </c>
      <c r="F15" s="1">
        <f>B15/3*控制台!$J$101</f>
        <v>576000</v>
      </c>
      <c r="G15" s="1">
        <f>控制台!$E$280*控制台!H310*24*60</f>
        <v>2764.8</v>
      </c>
      <c r="H15" s="5">
        <f t="shared" si="3"/>
        <v>8515.584</v>
      </c>
      <c r="I15" s="14">
        <f ca="1">OFFSET(控制台!$W$301,MATCH(A15,控制台!$B$301:$B$333,0)-1,0)</f>
        <v>0</v>
      </c>
      <c r="J15" s="1">
        <f ca="1" t="shared" si="0"/>
        <v>2764.8</v>
      </c>
      <c r="K15" s="15">
        <f>_xlfn.FLOOR.MATH(B15/控制台!$E$4400)</f>
        <v>8640</v>
      </c>
      <c r="L15" s="17">
        <f t="shared" si="1"/>
        <v>28510</v>
      </c>
      <c r="M15" s="24">
        <f>C15/1000000*总规划!$G$105</f>
        <v>2.97</v>
      </c>
      <c r="N15" s="24">
        <f>H15/60/24*总规划!$G$106</f>
        <v>9.24</v>
      </c>
      <c r="O15" s="8">
        <f>M15*控制台!$E$182+N15*控制台!$E$183</f>
        <v>24585</v>
      </c>
      <c r="P15" s="8"/>
    </row>
    <row r="16" spans="1:16">
      <c r="A16" s="1">
        <v>10</v>
      </c>
      <c r="B16" s="1">
        <f>控制台!$E$284*控制台!F311*1000000</f>
        <v>3024000</v>
      </c>
      <c r="C16" s="5">
        <f t="shared" si="2"/>
        <v>10152000</v>
      </c>
      <c r="D16" s="1">
        <f>B16/3*控制台!$H$101</f>
        <v>1008000</v>
      </c>
      <c r="E16" s="1">
        <f>B16/3*控制台!$I$101</f>
        <v>1209600</v>
      </c>
      <c r="F16" s="1">
        <f>B16/3*控制台!$J$101</f>
        <v>806400</v>
      </c>
      <c r="G16" s="1">
        <f>控制台!$E$280*控制台!H311*24*60</f>
        <v>3317.76</v>
      </c>
      <c r="H16" s="5">
        <f t="shared" si="3"/>
        <v>11833.344</v>
      </c>
      <c r="I16" s="14">
        <f ca="1">OFFSET(控制台!$W$301,MATCH(A16,控制台!$B$301:$B$333,0)-1,0)</f>
        <v>0</v>
      </c>
      <c r="J16" s="1">
        <f ca="1" t="shared" si="0"/>
        <v>3317.76</v>
      </c>
      <c r="K16" s="15">
        <f>_xlfn.FLOOR.MATH(B16/控制台!$E$4400)</f>
        <v>12096</v>
      </c>
      <c r="L16" s="17">
        <f t="shared" si="1"/>
        <v>40606</v>
      </c>
      <c r="M16" s="24">
        <f>C16/1000000*总规划!$G$105</f>
        <v>4.23</v>
      </c>
      <c r="N16" s="24">
        <f>H16/60/24*总规划!$G$106</f>
        <v>12.84</v>
      </c>
      <c r="O16" s="8">
        <f>M16*控制台!$E$182+N16*控制台!$E$183</f>
        <v>34215</v>
      </c>
      <c r="P16" s="8"/>
    </row>
    <row r="17" spans="1:16">
      <c r="A17" s="1">
        <v>11</v>
      </c>
      <c r="B17" s="1">
        <f>控制台!$E$284*控制台!F312*1000000</f>
        <v>3888000</v>
      </c>
      <c r="C17" s="5">
        <f t="shared" si="2"/>
        <v>14040000</v>
      </c>
      <c r="D17" s="1">
        <f>B17/3*控制台!$H$101</f>
        <v>1296000</v>
      </c>
      <c r="E17" s="1">
        <f>B17/3*控制台!$I$101</f>
        <v>1555200</v>
      </c>
      <c r="F17" s="1">
        <f>B17/3*控制台!$J$101</f>
        <v>1036800</v>
      </c>
      <c r="G17" s="1">
        <f>控制台!$E$280*控制台!H312*24*60</f>
        <v>3870.72</v>
      </c>
      <c r="H17" s="5">
        <f t="shared" si="3"/>
        <v>15704.064</v>
      </c>
      <c r="I17" s="14">
        <f ca="1">OFFSET(控制台!$W$301,MATCH(A17,控制台!$B$301:$B$333,0)-1,0)</f>
        <v>0</v>
      </c>
      <c r="J17" s="1">
        <f ca="1" t="shared" si="0"/>
        <v>3870.72</v>
      </c>
      <c r="K17" s="15">
        <f>_xlfn.FLOOR.MATH(B17/控制台!$E$4400)</f>
        <v>15552</v>
      </c>
      <c r="L17" s="17">
        <f t="shared" si="1"/>
        <v>56158</v>
      </c>
      <c r="M17" s="24">
        <f>C17/1000000*总规划!$G$105</f>
        <v>5.85</v>
      </c>
      <c r="N17" s="24">
        <f>H17/60/24*总规划!$G$106</f>
        <v>17.04</v>
      </c>
      <c r="O17" s="8">
        <f>M17*控制台!$E$182+N17*控制台!$E$183</f>
        <v>45525</v>
      </c>
      <c r="P17" s="8"/>
    </row>
    <row r="18" spans="1:16">
      <c r="A18" s="1">
        <v>12</v>
      </c>
      <c r="B18" s="1">
        <f>控制台!$E$284*控制台!F313*1000000</f>
        <v>4320000</v>
      </c>
      <c r="C18" s="5">
        <f t="shared" si="2"/>
        <v>18360000</v>
      </c>
      <c r="D18" s="1">
        <f>B18/3*控制台!$H$101</f>
        <v>1440000</v>
      </c>
      <c r="E18" s="1">
        <f>B18/3*控制台!$I$101</f>
        <v>1728000</v>
      </c>
      <c r="F18" s="1">
        <f>B18/3*控制台!$J$101</f>
        <v>1152000</v>
      </c>
      <c r="G18" s="1">
        <f>控制台!$E$280*控制台!H313*24*60</f>
        <v>4423.68</v>
      </c>
      <c r="H18" s="5">
        <f t="shared" si="3"/>
        <v>20127.744</v>
      </c>
      <c r="I18" s="14">
        <f ca="1">OFFSET(控制台!$W$301,MATCH(A18,控制台!$B$301:$B$333,0)-1,0)</f>
        <v>0.1</v>
      </c>
      <c r="J18" s="1">
        <f ca="1" t="shared" si="0"/>
        <v>4866.048</v>
      </c>
      <c r="K18" s="15">
        <f>_xlfn.FLOOR.MATH(B18/控制台!$E$4400)</f>
        <v>17280</v>
      </c>
      <c r="L18" s="17">
        <f t="shared" si="1"/>
        <v>73438</v>
      </c>
      <c r="M18" s="24">
        <f>C18/1000000*总规划!$G$105</f>
        <v>7.65</v>
      </c>
      <c r="N18" s="24">
        <f>H18/60/24*总规划!$G$106</f>
        <v>21.84</v>
      </c>
      <c r="O18" s="8">
        <f>M18*控制台!$E$182+N18*控制台!$E$183</f>
        <v>58425</v>
      </c>
      <c r="P18" s="8"/>
    </row>
    <row r="19" spans="1:16">
      <c r="A19" s="1">
        <v>13</v>
      </c>
      <c r="B19" s="1">
        <f>控制台!$E$284*控制台!F314*1000000</f>
        <v>6480000</v>
      </c>
      <c r="C19" s="5">
        <f t="shared" si="2"/>
        <v>24840000</v>
      </c>
      <c r="D19" s="1">
        <f>B19/3*控制台!$H$101</f>
        <v>2160000</v>
      </c>
      <c r="E19" s="1">
        <f>B19/3*控制台!$I$101</f>
        <v>2592000</v>
      </c>
      <c r="F19" s="1">
        <f>B19/3*控制台!$J$101</f>
        <v>1728000</v>
      </c>
      <c r="G19" s="1">
        <f>控制台!$E$280*控制台!H314*24*60</f>
        <v>5529.6</v>
      </c>
      <c r="H19" s="5">
        <f t="shared" si="3"/>
        <v>25657.344</v>
      </c>
      <c r="I19" s="14">
        <f ca="1">OFFSET(控制台!$W$301,MATCH(A19,控制台!$B$301:$B$333,0)-1,0)</f>
        <v>0.1</v>
      </c>
      <c r="J19" s="1">
        <f ca="1" t="shared" si="0"/>
        <v>6082.56</v>
      </c>
      <c r="K19" s="15">
        <f>_xlfn.FLOOR.MATH(B19/控制台!$E$4400)</f>
        <v>25920</v>
      </c>
      <c r="L19" s="17">
        <f t="shared" si="1"/>
        <v>99358</v>
      </c>
      <c r="M19" s="24">
        <f>C19/1000000*总规划!$G$105</f>
        <v>10.35</v>
      </c>
      <c r="N19" s="24">
        <f>H19/60/24*总规划!$G$106</f>
        <v>27.84</v>
      </c>
      <c r="O19" s="8">
        <f>M19*控制台!$E$182+N19*控制台!$E$183</f>
        <v>74775</v>
      </c>
      <c r="P19" s="8"/>
    </row>
    <row r="20" spans="1:16">
      <c r="A20" s="1">
        <v>14</v>
      </c>
      <c r="B20" s="1">
        <f>控制台!$E$284*控制台!F315*1000000</f>
        <v>12960000</v>
      </c>
      <c r="C20" s="5">
        <f t="shared" si="2"/>
        <v>37800000</v>
      </c>
      <c r="D20" s="1">
        <f>B20/3*控制台!$H$101</f>
        <v>4320000</v>
      </c>
      <c r="E20" s="1">
        <f>B20/3*控制台!$I$101</f>
        <v>5184000</v>
      </c>
      <c r="F20" s="1">
        <f>B20/3*控制台!$J$101</f>
        <v>3456000</v>
      </c>
      <c r="G20" s="1">
        <f>控制台!$E$280*控制台!H315*24*60</f>
        <v>8294.4</v>
      </c>
      <c r="H20" s="5">
        <f t="shared" si="3"/>
        <v>33951.744</v>
      </c>
      <c r="I20" s="14">
        <f ca="1">OFFSET(控制台!$W$301,MATCH(A20,控制台!$B$301:$B$333,0)-1,0)</f>
        <v>0.1</v>
      </c>
      <c r="J20" s="1">
        <f ca="1" t="shared" si="0"/>
        <v>9123.84</v>
      </c>
      <c r="K20" s="15">
        <f>_xlfn.FLOOR.MATH(B20/控制台!$E$4400)</f>
        <v>51840</v>
      </c>
      <c r="L20" s="17">
        <f t="shared" si="1"/>
        <v>151198</v>
      </c>
      <c r="M20" s="24">
        <f>C20/1000000*总规划!$G$105</f>
        <v>15.75</v>
      </c>
      <c r="N20" s="24">
        <f>H20/60/24*总规划!$G$106</f>
        <v>36.84</v>
      </c>
      <c r="O20" s="8">
        <f>M20*控制台!$E$182+N20*控制台!$E$183</f>
        <v>99975</v>
      </c>
      <c r="P20" s="8"/>
    </row>
    <row r="21" spans="1:16">
      <c r="A21" s="1">
        <v>15</v>
      </c>
      <c r="B21" s="1">
        <f>控制台!$E$284*控制台!F316*1000000</f>
        <v>21600000</v>
      </c>
      <c r="C21" s="5">
        <f t="shared" si="2"/>
        <v>59400000</v>
      </c>
      <c r="D21" s="1">
        <f>B21/3*控制台!$H$101</f>
        <v>7200000</v>
      </c>
      <c r="E21" s="1">
        <f>B21/3*控制台!$I$101</f>
        <v>8640000</v>
      </c>
      <c r="F21" s="1">
        <f>B21/3*控制台!$J$101</f>
        <v>5760000</v>
      </c>
      <c r="G21" s="1">
        <f>控制台!$E$280*控制台!H316*24*60</f>
        <v>11059.2</v>
      </c>
      <c r="H21" s="5">
        <f t="shared" si="3"/>
        <v>45010.944</v>
      </c>
      <c r="I21" s="14">
        <f ca="1">OFFSET(控制台!$W$301,MATCH(A21,控制台!$B$301:$B$333,0)-1,0)</f>
        <v>0.1</v>
      </c>
      <c r="J21" s="1">
        <f ca="1" t="shared" si="0"/>
        <v>12165.12</v>
      </c>
      <c r="K21" s="15">
        <f>_xlfn.FLOOR.MATH(B21/控制台!$E$4400)</f>
        <v>86400</v>
      </c>
      <c r="L21" s="17">
        <f t="shared" si="1"/>
        <v>237598</v>
      </c>
      <c r="M21" s="24">
        <f>C21/1000000*总规划!$G$105</f>
        <v>24.75</v>
      </c>
      <c r="N21" s="24">
        <f>H21/60/24*总规划!$G$106</f>
        <v>48.84</v>
      </c>
      <c r="O21" s="8">
        <f>M21*控制台!$E$182+N21*控制台!$E$183</f>
        <v>134475</v>
      </c>
      <c r="P21" s="8"/>
    </row>
    <row r="22" spans="1:16">
      <c r="A22" s="1">
        <v>16</v>
      </c>
      <c r="B22" s="1">
        <f>控制台!$E$284*控制台!F317*1000000</f>
        <v>25920000</v>
      </c>
      <c r="C22" s="5">
        <f t="shared" si="2"/>
        <v>85320000</v>
      </c>
      <c r="D22" s="1">
        <f>B22/3*控制台!$H$101</f>
        <v>8640000</v>
      </c>
      <c r="E22" s="1">
        <f>B22/3*控制台!$I$101</f>
        <v>10368000</v>
      </c>
      <c r="F22" s="1">
        <f>B22/3*控制台!$J$101</f>
        <v>6912000</v>
      </c>
      <c r="G22" s="1">
        <f>控制台!$E$280*控制台!H317*24*60</f>
        <v>13824</v>
      </c>
      <c r="H22" s="5">
        <f t="shared" si="3"/>
        <v>58834.944</v>
      </c>
      <c r="I22" s="14">
        <f ca="1">OFFSET(控制台!$W$301,MATCH(A22,控制台!$B$301:$B$333,0)-1,0)</f>
        <v>0.1</v>
      </c>
      <c r="J22" s="1">
        <f ca="1" t="shared" si="0"/>
        <v>15206.4</v>
      </c>
      <c r="K22" s="15">
        <f>_xlfn.FLOOR.MATH(B22/控制台!$E$4400)</f>
        <v>103680</v>
      </c>
      <c r="L22" s="17">
        <f t="shared" si="1"/>
        <v>341278</v>
      </c>
      <c r="M22" s="24">
        <f>C22/1000000*总规划!$G$105</f>
        <v>35.55</v>
      </c>
      <c r="N22" s="24">
        <f>H22/60/24*总规划!$G$106</f>
        <v>63.84</v>
      </c>
      <c r="O22" s="8">
        <f>M22*控制台!$E$182+N22*控制台!$E$183</f>
        <v>177375</v>
      </c>
      <c r="P22" s="8"/>
    </row>
    <row r="23" spans="1:16">
      <c r="A23" s="1">
        <v>17</v>
      </c>
      <c r="B23" s="1">
        <f>控制台!$E$284*控制台!F318*1000000</f>
        <v>30240000</v>
      </c>
      <c r="C23" s="5">
        <f t="shared" si="2"/>
        <v>115560000</v>
      </c>
      <c r="D23" s="1">
        <f>B23/3*控制台!$H$101</f>
        <v>10080000</v>
      </c>
      <c r="E23" s="1">
        <f>B23/3*控制台!$I$101</f>
        <v>12096000</v>
      </c>
      <c r="F23" s="1">
        <f>B23/3*控制台!$J$101</f>
        <v>8064000</v>
      </c>
      <c r="G23" s="1">
        <f>控制台!$E$280*控制台!H318*24*60</f>
        <v>16588.8</v>
      </c>
      <c r="H23" s="5">
        <f t="shared" si="3"/>
        <v>75423.744</v>
      </c>
      <c r="I23" s="14">
        <f ca="1">OFFSET(控制台!$W$301,MATCH(A23,控制台!$B$301:$B$333,0)-1,0)</f>
        <v>0.1</v>
      </c>
      <c r="J23" s="1">
        <f ca="1" t="shared" si="0"/>
        <v>18247.68</v>
      </c>
      <c r="K23" s="15">
        <f>_xlfn.FLOOR.MATH(B23/控制台!$E$4400)</f>
        <v>120960</v>
      </c>
      <c r="L23" s="17">
        <f t="shared" si="1"/>
        <v>462238</v>
      </c>
      <c r="M23" s="24">
        <f>C23/1000000*总规划!$G$105</f>
        <v>48.15</v>
      </c>
      <c r="N23" s="24">
        <f>H23/60/24*总规划!$G$106</f>
        <v>81.84</v>
      </c>
      <c r="O23" s="8">
        <f>M23*控制台!$E$182+N23*控制台!$E$183</f>
        <v>228675</v>
      </c>
      <c r="P23" s="8"/>
    </row>
    <row r="24" spans="1:16">
      <c r="A24" s="1">
        <v>18</v>
      </c>
      <c r="B24" s="1">
        <f>控制台!$E$284*控制台!F319*1000000</f>
        <v>47520000</v>
      </c>
      <c r="C24" s="5">
        <f t="shared" si="2"/>
        <v>163080000</v>
      </c>
      <c r="D24" s="1">
        <f>B24/3*控制台!$H$101</f>
        <v>15840000</v>
      </c>
      <c r="E24" s="1">
        <f>B24/3*控制台!$I$101</f>
        <v>19008000</v>
      </c>
      <c r="F24" s="1">
        <f>B24/3*控制台!$J$101</f>
        <v>12672000</v>
      </c>
      <c r="G24" s="1">
        <f>控制台!$E$280*控制台!H319*24*60</f>
        <v>19353.6</v>
      </c>
      <c r="H24" s="5">
        <f t="shared" si="3"/>
        <v>94777.344</v>
      </c>
      <c r="I24" s="14">
        <f ca="1">OFFSET(控制台!$W$301,MATCH(A24,控制台!$B$301:$B$333,0)-1,0)</f>
        <v>0.1</v>
      </c>
      <c r="J24" s="1">
        <f ca="1" t="shared" si="0"/>
        <v>21288.96</v>
      </c>
      <c r="K24" s="15">
        <f>_xlfn.FLOOR.MATH(B24/控制台!$E$4400)</f>
        <v>190080</v>
      </c>
      <c r="L24" s="17">
        <f t="shared" si="1"/>
        <v>652318</v>
      </c>
      <c r="M24" s="24">
        <f>C24/1000000*总规划!$G$105</f>
        <v>67.95</v>
      </c>
      <c r="N24" s="24">
        <f>H24/60/24*总规划!$G$106</f>
        <v>102.84</v>
      </c>
      <c r="O24" s="8">
        <f>M24*控制台!$E$182+N24*控制台!$E$183</f>
        <v>291075</v>
      </c>
      <c r="P24" s="8"/>
    </row>
    <row r="25" spans="1:16">
      <c r="A25" s="1">
        <v>19</v>
      </c>
      <c r="B25" s="1">
        <f>控制台!$E$284*控制台!F320*1000000</f>
        <v>54000000</v>
      </c>
      <c r="C25" s="5">
        <f t="shared" si="2"/>
        <v>217080000</v>
      </c>
      <c r="D25" s="1">
        <f>B25/3*控制台!$H$101</f>
        <v>18000000</v>
      </c>
      <c r="E25" s="1">
        <f>B25/3*控制台!$I$101</f>
        <v>21600000</v>
      </c>
      <c r="F25" s="1">
        <f>B25/3*控制台!$J$101</f>
        <v>14400000</v>
      </c>
      <c r="G25" s="1">
        <f>控制台!$E$280*控制台!H320*24*60</f>
        <v>22118.4</v>
      </c>
      <c r="H25" s="5">
        <f t="shared" si="3"/>
        <v>116895.744</v>
      </c>
      <c r="I25" s="14">
        <f ca="1">OFFSET(控制台!$W$301,MATCH(A25,控制台!$B$301:$B$333,0)-1,0)</f>
        <v>0.1</v>
      </c>
      <c r="J25" s="1">
        <f ca="1" t="shared" si="0"/>
        <v>24330.24</v>
      </c>
      <c r="K25" s="15">
        <f>_xlfn.FLOOR.MATH(B25/控制台!$E$4400)</f>
        <v>216000</v>
      </c>
      <c r="L25" s="17">
        <f t="shared" si="1"/>
        <v>868318</v>
      </c>
      <c r="M25" s="24">
        <f>C25/1000000*总规划!$G$105</f>
        <v>90.45</v>
      </c>
      <c r="N25" s="24">
        <f>H25/60/24*总规划!$G$106</f>
        <v>126.84</v>
      </c>
      <c r="O25" s="8">
        <f>M25*控制台!$E$182+N25*控制台!$E$183</f>
        <v>362325</v>
      </c>
      <c r="P25" s="8"/>
    </row>
    <row r="26" spans="1:16">
      <c r="A26" s="1">
        <v>20</v>
      </c>
      <c r="B26" s="1">
        <f>控制台!$E$284*控制台!F321*1000000</f>
        <v>60480000</v>
      </c>
      <c r="C26" s="5">
        <f t="shared" si="2"/>
        <v>277560000</v>
      </c>
      <c r="D26" s="1">
        <f>B26/3*控制台!$H$101</f>
        <v>20160000</v>
      </c>
      <c r="E26" s="1">
        <f>B26/3*控制台!$I$101</f>
        <v>24192000</v>
      </c>
      <c r="F26" s="1">
        <f>B26/3*控制台!$J$101</f>
        <v>16128000</v>
      </c>
      <c r="G26" s="1">
        <f>控制台!$E$280*控制台!H321*24*60</f>
        <v>24883.2</v>
      </c>
      <c r="H26" s="5">
        <f t="shared" si="3"/>
        <v>141778.944</v>
      </c>
      <c r="I26" s="14">
        <f ca="1">OFFSET(控制台!$W$301,MATCH(A26,控制台!$B$301:$B$333,0)-1,0)</f>
        <v>0.35</v>
      </c>
      <c r="J26" s="1">
        <f ca="1" t="shared" si="0"/>
        <v>33592.32</v>
      </c>
      <c r="K26" s="15">
        <f>_xlfn.FLOOR.MATH(B26/控制台!$E$4400)</f>
        <v>241920</v>
      </c>
      <c r="L26" s="17">
        <f t="shared" si="1"/>
        <v>1110238</v>
      </c>
      <c r="M26" s="24">
        <f>C26/1000000*总规划!$G$105</f>
        <v>115.65</v>
      </c>
      <c r="N26" s="24">
        <f>H26/60/24*总规划!$G$106</f>
        <v>153.84</v>
      </c>
      <c r="O26" s="8">
        <f>M26*控制台!$E$182+N26*控制台!$E$183</f>
        <v>442425</v>
      </c>
      <c r="P26" s="8"/>
    </row>
    <row r="27" spans="1:16">
      <c r="A27" s="1">
        <v>21</v>
      </c>
      <c r="B27" s="1">
        <f>控制台!$E$284*控制台!F322*1000000</f>
        <v>66960000</v>
      </c>
      <c r="C27" s="5">
        <f t="shared" si="2"/>
        <v>344520000</v>
      </c>
      <c r="D27" s="1">
        <f>B27/3*控制台!$H$101</f>
        <v>22320000</v>
      </c>
      <c r="E27" s="1">
        <f>B27/3*控制台!$I$101</f>
        <v>26784000</v>
      </c>
      <c r="F27" s="1">
        <f>B27/3*控制台!$J$101</f>
        <v>17856000</v>
      </c>
      <c r="G27" s="1">
        <f>控制台!$E$280*控制台!H322*24*60</f>
        <v>27648</v>
      </c>
      <c r="H27" s="5">
        <f t="shared" si="3"/>
        <v>169426.944</v>
      </c>
      <c r="I27" s="14">
        <f ca="1">OFFSET(控制台!$W$301,MATCH(A27,控制台!$B$301:$B$333,0)-1,0)</f>
        <v>0.35</v>
      </c>
      <c r="J27" s="1">
        <f ca="1" t="shared" si="0"/>
        <v>37324.8</v>
      </c>
      <c r="K27" s="15">
        <f>_xlfn.FLOOR.MATH(B27/控制台!$E$4400)</f>
        <v>267840</v>
      </c>
      <c r="L27" s="17">
        <f t="shared" si="1"/>
        <v>1378078</v>
      </c>
      <c r="M27" s="24">
        <f>C27/1000000*总规划!$G$105</f>
        <v>143.55</v>
      </c>
      <c r="N27" s="24">
        <f>H27/60/24*总规划!$G$106</f>
        <v>183.84</v>
      </c>
      <c r="O27" s="8">
        <f>M27*控制台!$E$182+N27*控制台!$E$183</f>
        <v>531375</v>
      </c>
      <c r="P27" s="8"/>
    </row>
    <row r="28" spans="1:16">
      <c r="A28" s="1">
        <v>22</v>
      </c>
      <c r="B28" s="1">
        <f>控制台!$E$284*控制台!F323*1000000</f>
        <v>71280000</v>
      </c>
      <c r="C28" s="5">
        <f t="shared" si="2"/>
        <v>415800000</v>
      </c>
      <c r="D28" s="1">
        <f>B28/3*控制台!$H$101</f>
        <v>23760000</v>
      </c>
      <c r="E28" s="1">
        <f>B28/3*控制台!$I$101</f>
        <v>28512000</v>
      </c>
      <c r="F28" s="1">
        <f>B28/3*控制台!$J$101</f>
        <v>19008000</v>
      </c>
      <c r="G28" s="1">
        <f>控制台!$E$280*控制台!H323*24*60</f>
        <v>30412.8</v>
      </c>
      <c r="H28" s="5">
        <f t="shared" si="3"/>
        <v>199839.744</v>
      </c>
      <c r="I28" s="14">
        <f ca="1">OFFSET(控制台!$W$301,MATCH(A28,控制台!$B$301:$B$333,0)-1,0)</f>
        <v>0.35</v>
      </c>
      <c r="J28" s="1">
        <f ca="1" t="shared" si="0"/>
        <v>41057.28</v>
      </c>
      <c r="K28" s="15">
        <f>_xlfn.FLOOR.MATH(B28/控制台!$E$4400)</f>
        <v>285120</v>
      </c>
      <c r="L28" s="17">
        <f t="shared" si="1"/>
        <v>1663198</v>
      </c>
      <c r="M28" s="24">
        <f>C28/1000000*总规划!$G$105</f>
        <v>173.25</v>
      </c>
      <c r="N28" s="24">
        <f>H28/60/24*总规划!$G$106</f>
        <v>216.84</v>
      </c>
      <c r="O28" s="8">
        <f>M28*控制台!$E$182+N28*控制台!$E$183</f>
        <v>628725</v>
      </c>
      <c r="P28" s="8"/>
    </row>
    <row r="29" spans="1:16">
      <c r="A29" s="1">
        <v>23</v>
      </c>
      <c r="B29" s="1">
        <f>控制台!$E$284*控制台!F324*1000000</f>
        <v>97200000</v>
      </c>
      <c r="C29" s="5">
        <f t="shared" si="2"/>
        <v>513000000</v>
      </c>
      <c r="D29" s="1">
        <f>B29/3*控制台!$H$101</f>
        <v>32400000</v>
      </c>
      <c r="E29" s="1">
        <f>B29/3*控制台!$I$101</f>
        <v>38880000</v>
      </c>
      <c r="F29" s="1">
        <f>B29/3*控制台!$J$101</f>
        <v>25920000</v>
      </c>
      <c r="G29" s="1">
        <f>控制台!$E$280*控制台!H324*24*60</f>
        <v>33177.6</v>
      </c>
      <c r="H29" s="5">
        <f t="shared" si="3"/>
        <v>233017.344</v>
      </c>
      <c r="I29" s="14">
        <f ca="1">OFFSET(控制台!$W$301,MATCH(A29,控制台!$B$301:$B$333,0)-1,0)</f>
        <v>0.4</v>
      </c>
      <c r="J29" s="1">
        <f ca="1" t="shared" si="0"/>
        <v>46448.64</v>
      </c>
      <c r="K29" s="15">
        <f>_xlfn.FLOOR.MATH(B29/控制台!$E$4400)</f>
        <v>388800</v>
      </c>
      <c r="L29" s="17">
        <f t="shared" si="1"/>
        <v>2051998</v>
      </c>
      <c r="M29" s="24">
        <f>C29/1000000*总规划!$G$105</f>
        <v>213.75</v>
      </c>
      <c r="N29" s="24">
        <f>H29/60/24*总规划!$G$106</f>
        <v>252.84</v>
      </c>
      <c r="O29" s="8">
        <f>M29*控制台!$E$182+N29*控制台!$E$183</f>
        <v>738975</v>
      </c>
      <c r="P29" s="8"/>
    </row>
    <row r="30" spans="1:16">
      <c r="A30" s="1">
        <v>24</v>
      </c>
      <c r="B30" s="1">
        <f>控制台!$E$284*控制台!F325*1000000</f>
        <v>237600000</v>
      </c>
      <c r="C30" s="5">
        <f t="shared" si="2"/>
        <v>750600000</v>
      </c>
      <c r="D30" s="1">
        <f>B30/3*控制台!$H$101</f>
        <v>79200000</v>
      </c>
      <c r="E30" s="1">
        <f>B30/3*控制台!$I$101</f>
        <v>95040000</v>
      </c>
      <c r="F30" s="1">
        <f>B30/3*控制台!$J$101</f>
        <v>63360000</v>
      </c>
      <c r="G30" s="1">
        <f>控制台!$E$280*控制台!H325*24*60</f>
        <v>55296</v>
      </c>
      <c r="H30" s="5">
        <f t="shared" si="3"/>
        <v>288313.344</v>
      </c>
      <c r="I30" s="14">
        <f ca="1">OFFSET(控制台!$W$301,MATCH(A30,控制台!$B$301:$B$333,0)-1,0)</f>
        <v>0.4</v>
      </c>
      <c r="J30" s="1">
        <f ca="1" t="shared" si="0"/>
        <v>77414.4</v>
      </c>
      <c r="K30" s="15">
        <f>_xlfn.FLOOR.MATH(B30/控制台!$E$4400)</f>
        <v>950400</v>
      </c>
      <c r="L30" s="17">
        <f t="shared" si="1"/>
        <v>3002398</v>
      </c>
      <c r="M30" s="24">
        <f>C30/1000000*总规划!$G$105</f>
        <v>312.75</v>
      </c>
      <c r="N30" s="24">
        <f>H30/60/24*总规划!$G$106</f>
        <v>312.84</v>
      </c>
      <c r="O30" s="8">
        <f>M30*控制台!$E$182+N30*控制台!$E$183</f>
        <v>938475</v>
      </c>
      <c r="P30" s="8"/>
    </row>
    <row r="31" spans="1:16">
      <c r="A31" s="1">
        <v>25</v>
      </c>
      <c r="B31" s="1">
        <f>控制台!$E$284*控制台!F326*1000000</f>
        <v>302400000</v>
      </c>
      <c r="C31" s="5">
        <f t="shared" si="2"/>
        <v>1053000000</v>
      </c>
      <c r="D31" s="1">
        <f>B31/3*控制台!$H$101</f>
        <v>100800000</v>
      </c>
      <c r="E31" s="1">
        <f>B31/3*控制台!$I$101</f>
        <v>120960000</v>
      </c>
      <c r="F31" s="1">
        <f>B31/3*控制台!$J$101</f>
        <v>80640000</v>
      </c>
      <c r="G31" s="1">
        <f>控制台!$E$280*控制台!H326*24*60</f>
        <v>82944</v>
      </c>
      <c r="H31" s="5">
        <f t="shared" si="3"/>
        <v>371257.344</v>
      </c>
      <c r="I31" s="14">
        <f ca="1">OFFSET(控制台!$W$301,MATCH(A31,控制台!$B$301:$B$333,0)-1,0)</f>
        <v>0.4</v>
      </c>
      <c r="J31" s="1">
        <f ca="1" t="shared" si="0"/>
        <v>116121.6</v>
      </c>
      <c r="K31" s="15">
        <f>_xlfn.FLOOR.MATH(B31/控制台!$E$4400)</f>
        <v>1209600</v>
      </c>
      <c r="L31" s="17">
        <f t="shared" si="1"/>
        <v>4211998</v>
      </c>
      <c r="M31" s="24">
        <f>C31/1000000*总规划!$G$105</f>
        <v>438.75</v>
      </c>
      <c r="N31" s="24">
        <f>H31/60/24*总规划!$G$106</f>
        <v>402.84</v>
      </c>
      <c r="O31" s="8">
        <f>M31*控制台!$E$182+N31*控制台!$E$183</f>
        <v>1226475</v>
      </c>
      <c r="P31" s="8"/>
    </row>
    <row r="32" spans="1:16">
      <c r="A32" s="1">
        <v>26</v>
      </c>
      <c r="B32" s="1">
        <f>控制台!$E$284*控制台!F327*1000000</f>
        <v>345600000</v>
      </c>
      <c r="C32" s="5">
        <f t="shared" si="2"/>
        <v>1398600000</v>
      </c>
      <c r="D32" s="1">
        <f>B32/3*控制台!$H$101</f>
        <v>115200000</v>
      </c>
      <c r="E32" s="1">
        <f>B32/3*控制台!$I$101</f>
        <v>138240000</v>
      </c>
      <c r="F32" s="1">
        <f>B32/3*控制台!$J$101</f>
        <v>92160000</v>
      </c>
      <c r="G32" s="1">
        <f>控制台!$E$280*控制台!H327*24*60</f>
        <v>110592</v>
      </c>
      <c r="H32" s="5">
        <f t="shared" si="3"/>
        <v>481849.344</v>
      </c>
      <c r="I32" s="14">
        <f ca="1">OFFSET(控制台!$W$301,MATCH(A32,控制台!$B$301:$B$333,0)-1,0)</f>
        <v>0.4</v>
      </c>
      <c r="J32" s="1">
        <f ca="1" t="shared" si="0"/>
        <v>154828.8</v>
      </c>
      <c r="K32" s="15">
        <f>_xlfn.FLOOR.MATH(B32/控制台!$E$4400)</f>
        <v>1382400</v>
      </c>
      <c r="L32" s="17">
        <f t="shared" si="1"/>
        <v>5594398</v>
      </c>
      <c r="M32" s="24">
        <f>C32/1000000*总规划!$G$105</f>
        <v>582.75</v>
      </c>
      <c r="N32" s="24">
        <f>H32/60/24*总规划!$G$106</f>
        <v>522.84</v>
      </c>
      <c r="O32" s="8">
        <f>M32*控制台!$E$182+N32*控制台!$E$183</f>
        <v>1598475</v>
      </c>
      <c r="P32" s="8"/>
    </row>
    <row r="33" spans="1:16">
      <c r="A33" s="1">
        <v>27</v>
      </c>
      <c r="B33" s="1">
        <f>控制台!$E$284*控制台!F328*1000000</f>
        <v>864000000</v>
      </c>
      <c r="C33" s="5">
        <f t="shared" si="2"/>
        <v>2262600000</v>
      </c>
      <c r="D33" s="1">
        <f>B33/3*控制台!$H$101</f>
        <v>288000000</v>
      </c>
      <c r="E33" s="1">
        <f>B33/3*控制台!$I$101</f>
        <v>345600000</v>
      </c>
      <c r="F33" s="1">
        <f>B33/3*控制台!$J$101</f>
        <v>230400000</v>
      </c>
      <c r="G33" s="1">
        <f>控制台!$E$280*控制台!H328*24*60</f>
        <v>221184</v>
      </c>
      <c r="H33" s="5">
        <f t="shared" si="3"/>
        <v>703033.344</v>
      </c>
      <c r="I33" s="14">
        <f ca="1">OFFSET(控制台!$W$301,MATCH(A33,控制台!$B$301:$B$333,0)-1,0)</f>
        <v>0.55</v>
      </c>
      <c r="J33" s="1">
        <f ca="1" t="shared" si="0"/>
        <v>342835.2</v>
      </c>
      <c r="K33" s="15">
        <f>_xlfn.FLOOR.MATH(B33/控制台!$E$4400)</f>
        <v>3456000</v>
      </c>
      <c r="L33" s="17">
        <f t="shared" si="1"/>
        <v>9050398</v>
      </c>
      <c r="M33" s="24">
        <f>C33/1000000*总规划!$G$105</f>
        <v>942.75</v>
      </c>
      <c r="N33" s="24">
        <f>H33/60/24*总规划!$G$106</f>
        <v>762.84</v>
      </c>
      <c r="O33" s="8">
        <f>M33*控制台!$E$182+N33*控制台!$E$183</f>
        <v>2378475</v>
      </c>
      <c r="P33" s="8"/>
    </row>
    <row r="34" spans="1:16">
      <c r="A34" s="1">
        <v>28</v>
      </c>
      <c r="B34" s="1">
        <f>控制台!$E$284*控制台!F329*1000000</f>
        <v>1080000000</v>
      </c>
      <c r="C34" s="5">
        <f t="shared" si="2"/>
        <v>3342600000</v>
      </c>
      <c r="D34" s="1">
        <f>B34/3*控制台!$H$101</f>
        <v>360000000</v>
      </c>
      <c r="E34" s="1">
        <f>B34/3*控制台!$I$101</f>
        <v>432000000</v>
      </c>
      <c r="F34" s="1">
        <f>B34/3*控制台!$J$101</f>
        <v>288000000</v>
      </c>
      <c r="G34" s="1">
        <f>控制台!$E$280*控制台!H329*24*60</f>
        <v>331776</v>
      </c>
      <c r="H34" s="5">
        <f t="shared" si="3"/>
        <v>1034809.344</v>
      </c>
      <c r="I34" s="14">
        <f ca="1">OFFSET(控制台!$W$301,MATCH(A34,控制台!$B$301:$B$333,0)-1,0)</f>
        <v>0.8</v>
      </c>
      <c r="J34" s="1">
        <f ca="1" t="shared" si="0"/>
        <v>597196.8</v>
      </c>
      <c r="K34" s="15">
        <f>_xlfn.FLOOR.MATH(B34/控制台!$E$4400)</f>
        <v>4320000</v>
      </c>
      <c r="L34" s="17">
        <f t="shared" si="1"/>
        <v>13370398</v>
      </c>
      <c r="M34" s="24">
        <f>C34/1000000*总规划!$G$105</f>
        <v>1392.75</v>
      </c>
      <c r="N34" s="24">
        <f>H34/60/24*总规划!$G$106</f>
        <v>1122.84</v>
      </c>
      <c r="O34" s="8">
        <f>M34*控制台!$E$182+N34*控制台!$E$183</f>
        <v>3503475</v>
      </c>
      <c r="P34" s="8"/>
    </row>
    <row r="35" spans="1:16">
      <c r="A35" s="1">
        <v>29</v>
      </c>
      <c r="B35" s="1">
        <f>控制台!$E$284*控制台!F330*1000000</f>
        <v>2052000000</v>
      </c>
      <c r="C35" s="5">
        <f t="shared" si="2"/>
        <v>5394600000</v>
      </c>
      <c r="D35" s="1">
        <f>B35/3*控制台!$H$101</f>
        <v>684000000</v>
      </c>
      <c r="E35" s="1">
        <f>B35/3*控制台!$I$101</f>
        <v>820800000</v>
      </c>
      <c r="F35" s="1">
        <f>B35/3*控制台!$J$101</f>
        <v>547200000</v>
      </c>
      <c r="G35" s="1">
        <f>控制台!$E$280*控制台!H330*24*60</f>
        <v>525312</v>
      </c>
      <c r="H35" s="5">
        <f t="shared" si="3"/>
        <v>1560121.344</v>
      </c>
      <c r="I35" s="14">
        <f ca="1">OFFSET(控制台!$W$301,MATCH(A35,控制台!$B$301:$B$333,0)-1,0)</f>
        <v>0.85</v>
      </c>
      <c r="J35" s="1">
        <f ca="1" t="shared" si="0"/>
        <v>971827.2</v>
      </c>
      <c r="K35" s="15">
        <f>_xlfn.FLOOR.MATH(B35/控制台!$E$4400)</f>
        <v>8208000</v>
      </c>
      <c r="L35" s="17">
        <f t="shared" si="1"/>
        <v>21578398</v>
      </c>
      <c r="M35" s="24">
        <f>C35/1000000*总规划!$G$105</f>
        <v>2247.75</v>
      </c>
      <c r="N35" s="24">
        <f>H35/60/24*总规划!$G$106</f>
        <v>1692.84</v>
      </c>
      <c r="O35" s="8">
        <f>M35*控制台!$E$182+N35*控制台!$E$183</f>
        <v>5355975</v>
      </c>
      <c r="P35" s="8"/>
    </row>
    <row r="36" spans="1:16">
      <c r="A36" s="1">
        <v>30</v>
      </c>
      <c r="B36" s="1">
        <f>控制台!$E$284*控制台!F331*1000000</f>
        <v>2073600000</v>
      </c>
      <c r="C36" s="5">
        <f t="shared" si="2"/>
        <v>7468200000</v>
      </c>
      <c r="D36" s="1">
        <f>B36/3*控制台!$H$101</f>
        <v>691200000</v>
      </c>
      <c r="E36" s="1">
        <f>B36/3*控制台!$I$101</f>
        <v>829440000</v>
      </c>
      <c r="F36" s="1">
        <f>B36/3*控制台!$J$101</f>
        <v>552960000</v>
      </c>
      <c r="G36" s="1">
        <f>控制台!$E$280*控制台!H331*24*60</f>
        <v>536371.2</v>
      </c>
      <c r="H36" s="5">
        <f t="shared" si="3"/>
        <v>2096492.544</v>
      </c>
      <c r="I36" s="14">
        <f ca="1">OFFSET(控制台!$W$301,MATCH(A36,控制台!$B$301:$B$333,0)-1,0)</f>
        <v>0.85</v>
      </c>
      <c r="J36" s="1">
        <f ca="1" t="shared" si="0"/>
        <v>992286.72</v>
      </c>
      <c r="K36" s="15">
        <f>_xlfn.FLOOR.MATH(B36/控制台!$E$4400)</f>
        <v>8294400</v>
      </c>
      <c r="L36" s="17">
        <f t="shared" si="1"/>
        <v>29872798</v>
      </c>
      <c r="M36" s="24">
        <f>C36/1000000*总规划!$G$105</f>
        <v>3111.75</v>
      </c>
      <c r="N36" s="24">
        <f>H36/60/24*总规划!$G$106</f>
        <v>2274.84</v>
      </c>
      <c r="O36" s="8">
        <f>M36*控制台!$E$182+N36*控制台!$E$183</f>
        <v>7242975</v>
      </c>
      <c r="P36" s="8"/>
    </row>
    <row r="37" spans="1:16">
      <c r="A37" s="1">
        <v>31</v>
      </c>
      <c r="B37" s="1">
        <f>控制台!$E$284*控制台!F332*1000000</f>
        <v>2116800000</v>
      </c>
      <c r="C37" s="5">
        <f t="shared" si="2"/>
        <v>9585000000</v>
      </c>
      <c r="D37" s="1">
        <f>B37/3*控制台!$H$101</f>
        <v>705600000</v>
      </c>
      <c r="E37" s="1">
        <f>B37/3*控制台!$I$101</f>
        <v>846720000</v>
      </c>
      <c r="F37" s="1">
        <f>B37/3*控制台!$J$101</f>
        <v>564480000</v>
      </c>
      <c r="G37" s="1">
        <f>控制台!$E$280*控制台!H332*24*60</f>
        <v>547430.4</v>
      </c>
      <c r="H37" s="5">
        <f t="shared" si="3"/>
        <v>2643922.944</v>
      </c>
      <c r="I37" s="14">
        <f ca="1">OFFSET(控制台!$W$301,MATCH(A37,控制台!$B$301:$B$333,0)-1,0)</f>
        <v>0.85</v>
      </c>
      <c r="J37" s="1">
        <f ca="1" t="shared" si="0"/>
        <v>1012746.24</v>
      </c>
      <c r="K37" s="15">
        <f>_xlfn.FLOOR.MATH(B37/控制台!$E$4400)</f>
        <v>8467200</v>
      </c>
      <c r="L37" s="17">
        <f t="shared" si="1"/>
        <v>38339998</v>
      </c>
      <c r="M37" s="24">
        <f>C37/1000000*总规划!$G$105</f>
        <v>3993.75</v>
      </c>
      <c r="N37" s="24">
        <f>H37/60/24*总规划!$G$106</f>
        <v>2868.84</v>
      </c>
      <c r="O37" s="8">
        <f>M37*控制台!$E$182+N37*控制台!$E$183</f>
        <v>9168975</v>
      </c>
      <c r="P37" s="8"/>
    </row>
    <row r="38" spans="1:16">
      <c r="A38" s="1">
        <v>32</v>
      </c>
      <c r="B38" s="1">
        <f>控制台!$E$284*控制台!F333*1000000</f>
        <v>2160000000</v>
      </c>
      <c r="C38" s="5">
        <f t="shared" si="2"/>
        <v>11745000000</v>
      </c>
      <c r="D38" s="1">
        <f>B38/3*控制台!$H$101</f>
        <v>720000000</v>
      </c>
      <c r="E38" s="1">
        <f>B38/3*控制台!$I$101</f>
        <v>864000000</v>
      </c>
      <c r="F38" s="1">
        <f>B38/3*控制台!$J$101</f>
        <v>576000000</v>
      </c>
      <c r="G38" s="1">
        <f>控制台!$E$280*控制台!H333*24*60</f>
        <v>552960</v>
      </c>
      <c r="H38" s="5">
        <f t="shared" si="3"/>
        <v>3196882.944</v>
      </c>
      <c r="I38" s="14">
        <f ca="1">OFFSET(控制台!$W$301,MATCH(A38,控制台!$B$301:$B$333,0)-1,0)</f>
        <v>0.9</v>
      </c>
      <c r="J38" s="1">
        <f ca="1" t="shared" si="0"/>
        <v>1050624</v>
      </c>
      <c r="K38" s="15">
        <f>_xlfn.FLOOR.MATH(B38/控制台!$E$4400)</f>
        <v>8640000</v>
      </c>
      <c r="L38" s="17">
        <f t="shared" si="1"/>
        <v>46979998</v>
      </c>
      <c r="M38" s="24">
        <f>C38/1000000*总规划!$G$105</f>
        <v>4893.75</v>
      </c>
      <c r="N38" s="24">
        <f>H38/60/24*总规划!$G$106</f>
        <v>3468.84</v>
      </c>
      <c r="O38" s="8">
        <f>M38*控制台!$E$182+N38*控制台!$E$183</f>
        <v>11118975</v>
      </c>
      <c r="P38" s="8"/>
    </row>
    <row r="40" s="2" customFormat="1" spans="1:1">
      <c r="A40" s="2" t="s">
        <v>2667</v>
      </c>
    </row>
    <row r="42" spans="1:18">
      <c r="A42" s="1" t="s">
        <v>138</v>
      </c>
      <c r="B42" s="1" t="s">
        <v>139</v>
      </c>
      <c r="C42" s="1" t="s">
        <v>728</v>
      </c>
      <c r="D42" s="1" t="s">
        <v>729</v>
      </c>
      <c r="E42" s="1" t="s">
        <v>730</v>
      </c>
      <c r="F42" s="1" t="s">
        <v>2668</v>
      </c>
      <c r="G42" s="1" t="s">
        <v>2669</v>
      </c>
      <c r="H42" s="1" t="s">
        <v>2670</v>
      </c>
      <c r="I42" s="1" t="s">
        <v>2671</v>
      </c>
      <c r="J42" s="4" t="s">
        <v>2672</v>
      </c>
      <c r="K42" s="1" t="s">
        <v>822</v>
      </c>
      <c r="L42" s="1" t="s">
        <v>823</v>
      </c>
      <c r="M42" s="1" t="s">
        <v>824</v>
      </c>
      <c r="N42" s="1" t="s">
        <v>825</v>
      </c>
      <c r="O42" s="4" t="s">
        <v>140</v>
      </c>
      <c r="P42" s="4" t="s">
        <v>141</v>
      </c>
      <c r="Q42" s="4" t="s">
        <v>2673</v>
      </c>
      <c r="R42" s="4" t="s">
        <v>2674</v>
      </c>
    </row>
    <row r="43" spans="1:21">
      <c r="A43" s="1">
        <v>0</v>
      </c>
      <c r="B43" s="1" t="s">
        <v>142</v>
      </c>
      <c r="C43" s="1">
        <f>_xlfn.FLOOR.MATH(D7/控制台!$H$291*控制台!$C$289)</f>
        <v>4050</v>
      </c>
      <c r="D43" s="1">
        <f>_xlfn.FLOOR.MATH(E7/控制台!$H$291*控制台!$C$289)</f>
        <v>4860</v>
      </c>
      <c r="E43" s="1">
        <f>_xlfn.FLOOR.MATH(F7/控制台!$H$291*控制台!$C$289)</f>
        <v>3240</v>
      </c>
      <c r="F43" s="1">
        <f ca="1">_xlfn.FLOOR.MATH(J7*60/控制台!$H$291*控制台!$C$289)</f>
        <v>622</v>
      </c>
      <c r="G43" s="1">
        <f>IFERROR(_xlfn.FLOOR.MATH(C43,POWER(10,MAX(0,INT(LOG10(C43)-2)))),"")</f>
        <v>4050</v>
      </c>
      <c r="H43" s="1">
        <f>IFERROR(_xlfn.FLOOR.MATH(D43,POWER(10,MAX(0,INT(LOG10(D43)-2)))),"")</f>
        <v>4860</v>
      </c>
      <c r="I43" s="1">
        <f>IFERROR(_xlfn.FLOOR.MATH(E43,POWER(10,MAX(0,INT(LOG10(E43)-2)))),"")</f>
        <v>3240</v>
      </c>
      <c r="J43" s="4" t="str">
        <f>IF(G43="","",IF(H43="",G43,IF(I43="",CONCATENATE(G43,";",H43),CONCATENATE(G43,";",H43,";",I43))))</f>
        <v>4050;4860;3240</v>
      </c>
      <c r="K43" s="1">
        <f ca="1">IFERROR(_xlfn.FLOOR.MATH($F43*控制台!K338/(控制台!O338*60)),"")</f>
        <v>10</v>
      </c>
      <c r="L43" s="1" t="str">
        <f ca="1">IFERROR(_xlfn.FLOOR.MATH($F43*控制台!L338/(控制台!P338*60)),"")</f>
        <v/>
      </c>
      <c r="M43" s="1" t="str">
        <f ca="1">IFERROR(_xlfn.FLOOR.MATH($F43*控制台!M338/(控制台!Q338*60)),"")</f>
        <v/>
      </c>
      <c r="N43" s="1" t="str">
        <f ca="1">IFERROR(_xlfn.FLOOR.MATH($F43*控制台!N338/(控制台!R338*60)),"")</f>
        <v/>
      </c>
      <c r="O43" s="6" t="s">
        <v>143</v>
      </c>
      <c r="P43" s="6">
        <v>2</v>
      </c>
      <c r="Q43" s="6">
        <v>0</v>
      </c>
      <c r="R43" s="4">
        <f>_xlfn.FLOOR.MATH(O6/控制台!$H$291*控制台!$C$289,5)</f>
        <v>0</v>
      </c>
      <c r="S43" s="1" t="s">
        <v>143</v>
      </c>
      <c r="T43" s="1">
        <v>2</v>
      </c>
      <c r="U43" s="1">
        <f>IF(AND(O43=S43,P43=T43),1,0)</f>
        <v>1</v>
      </c>
    </row>
    <row r="44" spans="1:21">
      <c r="A44" s="1">
        <v>1</v>
      </c>
      <c r="B44" s="1" t="s">
        <v>142</v>
      </c>
      <c r="C44" s="1">
        <f>_xlfn.FLOOR.MATH(D8/控制台!$H$291*控制台!$C$289)</f>
        <v>8100</v>
      </c>
      <c r="D44" s="1">
        <f>_xlfn.FLOOR.MATH(E8/控制台!$H$291*控制台!$C$289)</f>
        <v>9720</v>
      </c>
      <c r="E44" s="1">
        <f>_xlfn.FLOOR.MATH(F8/控制台!$H$291*控制台!$C$289)</f>
        <v>6480</v>
      </c>
      <c r="F44" s="1">
        <f ca="1">_xlfn.FLOOR.MATH(J8*60/控制台!$H$291*控制台!$C$289)</f>
        <v>1244</v>
      </c>
      <c r="G44" s="1">
        <f>IFERROR(_xlfn.FLOOR.MATH(C44,POWER(10,MAX(0,INT(LOG10(C44)-2)))),"")</f>
        <v>8100</v>
      </c>
      <c r="H44" s="1">
        <f>IFERROR(_xlfn.FLOOR.MATH(D44,POWER(10,MAX(0,INT(LOG10(D44)-2)))),"")</f>
        <v>9720</v>
      </c>
      <c r="I44" s="1">
        <f>IFERROR(_xlfn.FLOOR.MATH(E44,POWER(10,MAX(0,INT(LOG10(E44)-2)))),"")</f>
        <v>6480</v>
      </c>
      <c r="J44" s="4" t="str">
        <f t="shared" ref="J44:J107" si="4">IF(G44="","",IF(H44="",G44,IF(I44="",CONCATENATE(G44,";",H44),CONCATENATE(G44,";",H44,";",I44))))</f>
        <v>8100;9720;6480</v>
      </c>
      <c r="K44" s="1">
        <f ca="1">IFERROR(_xlfn.FLOOR.MATH($F44*控制台!K339/(控制台!O339*60)),"")</f>
        <v>20</v>
      </c>
      <c r="L44" s="1" t="str">
        <f ca="1">IFERROR(_xlfn.FLOOR.MATH($F44*控制台!L339/(控制台!P339*60)),"")</f>
        <v/>
      </c>
      <c r="M44" s="1" t="str">
        <f ca="1">IFERROR(_xlfn.FLOOR.MATH($F44*控制台!M339/(控制台!Q339*60)),"")</f>
        <v/>
      </c>
      <c r="N44" s="1" t="str">
        <f ca="1">IFERROR(_xlfn.FLOOR.MATH($F44*控制台!N339/(控制台!R339*60)),"")</f>
        <v/>
      </c>
      <c r="O44" s="6" t="s">
        <v>143</v>
      </c>
      <c r="P44" s="6">
        <v>2</v>
      </c>
      <c r="Q44" s="6">
        <v>45</v>
      </c>
      <c r="R44" s="4">
        <f>_xlfn.FLOOR.MATH(O7/控制台!$H$291*控制台!$C$289,5)</f>
        <v>30</v>
      </c>
      <c r="S44" s="1" t="s">
        <v>143</v>
      </c>
      <c r="T44" s="1">
        <v>2</v>
      </c>
      <c r="U44" s="1">
        <f t="shared" ref="U44:U107" si="5">IF(AND(O44=S44,P44=T44),1,0)</f>
        <v>1</v>
      </c>
    </row>
    <row r="45" spans="1:21">
      <c r="A45" s="1">
        <v>2</v>
      </c>
      <c r="B45" s="1" t="s">
        <v>142</v>
      </c>
      <c r="C45" s="1">
        <f>_xlfn.FLOOR.MATH(D9/控制台!$H$291*控制台!$C$289)</f>
        <v>12150</v>
      </c>
      <c r="D45" s="1">
        <f>_xlfn.FLOOR.MATH(E9/控制台!$H$291*控制台!$C$289)</f>
        <v>14580</v>
      </c>
      <c r="E45" s="1">
        <f>_xlfn.FLOOR.MATH(F9/控制台!$H$291*控制台!$C$289)</f>
        <v>9720</v>
      </c>
      <c r="F45" s="1">
        <f ca="1">_xlfn.FLOOR.MATH(J9*60/控制台!$H$291*控制台!$C$289)</f>
        <v>1866</v>
      </c>
      <c r="G45" s="1">
        <f>IFERROR(_xlfn.FLOOR.MATH(C45,POWER(10,MAX(0,INT(LOG10(C45)-2)))),"")</f>
        <v>12100</v>
      </c>
      <c r="H45" s="1">
        <f>IFERROR(_xlfn.FLOOR.MATH(D45,POWER(10,MAX(0,INT(LOG10(D45)-2)))),"")</f>
        <v>14500</v>
      </c>
      <c r="I45" s="1">
        <f>IFERROR(_xlfn.FLOOR.MATH(E45,POWER(10,MAX(0,INT(LOG10(E45)-2)))),"")</f>
        <v>9720</v>
      </c>
      <c r="J45" s="4" t="str">
        <f t="shared" si="4"/>
        <v>12100;14500;9720</v>
      </c>
      <c r="K45" s="1">
        <f ca="1">IFERROR(_xlfn.FLOOR.MATH($F45*控制台!K340/(控制台!O340*60)),"")</f>
        <v>6</v>
      </c>
      <c r="L45" s="1">
        <f ca="1">IFERROR(_xlfn.FLOOR.MATH($F45*控制台!L340/(控制台!P340*60)),"")</f>
        <v>6</v>
      </c>
      <c r="M45" s="1" t="str">
        <f ca="1">IFERROR(_xlfn.FLOOR.MATH($F45*控制台!M340/(控制台!Q340*60)),"")</f>
        <v/>
      </c>
      <c r="N45" s="1" t="str">
        <f ca="1">IFERROR(_xlfn.FLOOR.MATH($F45*控制台!N340/(控制台!R340*60)),"")</f>
        <v/>
      </c>
      <c r="O45" s="6" t="s">
        <v>143</v>
      </c>
      <c r="P45" s="6">
        <v>4</v>
      </c>
      <c r="Q45" s="6">
        <v>95</v>
      </c>
      <c r="R45" s="4">
        <f>_xlfn.FLOOR.MATH(O8/控制台!$H$291*控制台!$C$289,5)</f>
        <v>90</v>
      </c>
      <c r="S45" s="1" t="s">
        <v>143</v>
      </c>
      <c r="T45" s="1">
        <v>4</v>
      </c>
      <c r="U45" s="1">
        <f t="shared" si="5"/>
        <v>1</v>
      </c>
    </row>
    <row r="46" spans="1:21">
      <c r="A46" s="1">
        <v>3</v>
      </c>
      <c r="B46" s="1" t="s">
        <v>142</v>
      </c>
      <c r="C46" s="1">
        <f>_xlfn.FLOOR.MATH(D10/控制台!$H$291*控制台!$C$289)</f>
        <v>16200</v>
      </c>
      <c r="D46" s="1">
        <f>_xlfn.FLOOR.MATH(E10/控制台!$H$291*控制台!$C$289)</f>
        <v>19440</v>
      </c>
      <c r="E46" s="1">
        <f>_xlfn.FLOOR.MATH(F10/控制台!$H$291*控制台!$C$289)</f>
        <v>12960</v>
      </c>
      <c r="F46" s="1">
        <f ca="1">_xlfn.FLOOR.MATH(J10*60/控制台!$H$291*控制台!$C$289)</f>
        <v>3110</v>
      </c>
      <c r="G46" s="1">
        <f>IFERROR(_xlfn.FLOOR.MATH(C46,POWER(10,MAX(0,INT(LOG10(C46)-2)))),"")</f>
        <v>16200</v>
      </c>
      <c r="H46" s="1">
        <f>IFERROR(_xlfn.FLOOR.MATH(D46,POWER(10,MAX(0,INT(LOG10(D46)-2)))),"")</f>
        <v>19400</v>
      </c>
      <c r="I46" s="1">
        <f>IFERROR(_xlfn.FLOOR.MATH(E46,POWER(10,MAX(0,INT(LOG10(E46)-2)))),"")</f>
        <v>12900</v>
      </c>
      <c r="J46" s="4" t="str">
        <f t="shared" si="4"/>
        <v>16200;19400;12900</v>
      </c>
      <c r="K46" s="1">
        <f ca="1">IFERROR(_xlfn.FLOOR.MATH($F46*控制台!K341/(控制台!O341*60)),"")</f>
        <v>11</v>
      </c>
      <c r="L46" s="1">
        <f ca="1">IFERROR(_xlfn.FLOOR.MATH($F46*控制台!L341/(控制台!P341*60)),"")</f>
        <v>10</v>
      </c>
      <c r="M46" s="1" t="str">
        <f ca="1">IFERROR(_xlfn.FLOOR.MATH($F46*控制台!M341/(控制台!Q341*60)),"")</f>
        <v/>
      </c>
      <c r="N46" s="1" t="str">
        <f ca="1">IFERROR(_xlfn.FLOOR.MATH($F46*控制台!N341/(控制台!R341*60)),"")</f>
        <v/>
      </c>
      <c r="O46" s="6" t="s">
        <v>147</v>
      </c>
      <c r="P46" s="6">
        <v>1</v>
      </c>
      <c r="Q46" s="6">
        <v>145</v>
      </c>
      <c r="R46" s="4">
        <f>_xlfn.FLOOR.MATH(O9/控制台!$H$291*控制台!$C$289,5)</f>
        <v>180</v>
      </c>
      <c r="S46" s="1" t="s">
        <v>147</v>
      </c>
      <c r="T46" s="1">
        <v>1</v>
      </c>
      <c r="U46" s="1">
        <f t="shared" si="5"/>
        <v>1</v>
      </c>
    </row>
    <row r="47" spans="1:21">
      <c r="A47" s="1">
        <v>4</v>
      </c>
      <c r="B47" s="1" t="s">
        <v>142</v>
      </c>
      <c r="C47" s="1">
        <f>_xlfn.FLOOR.MATH(D11/控制台!$H$291*控制台!$C$289)</f>
        <v>27000</v>
      </c>
      <c r="D47" s="1">
        <f>_xlfn.FLOOR.MATH(E11/控制台!$H$291*控制台!$C$289)</f>
        <v>32400</v>
      </c>
      <c r="E47" s="1">
        <f>_xlfn.FLOOR.MATH(F11/控制台!$H$291*控制台!$C$289)</f>
        <v>21600</v>
      </c>
      <c r="F47" s="1">
        <f ca="1">_xlfn.FLOOR.MATH(J11*60/控制台!$H$291*控制台!$C$289)</f>
        <v>4976</v>
      </c>
      <c r="G47" s="1">
        <f>IFERROR(_xlfn.FLOOR.MATH(C47,POWER(10,MAX(0,INT(LOG10(C47)-2)))),"")</f>
        <v>27000</v>
      </c>
      <c r="H47" s="1">
        <f>IFERROR(_xlfn.FLOOR.MATH(D47,POWER(10,MAX(0,INT(LOG10(D47)-2)))),"")</f>
        <v>32400</v>
      </c>
      <c r="I47" s="1">
        <f>IFERROR(_xlfn.FLOOR.MATH(E47,POWER(10,MAX(0,INT(LOG10(E47)-2)))),"")</f>
        <v>21600</v>
      </c>
      <c r="J47" s="4" t="str">
        <f t="shared" si="4"/>
        <v>27000;32400;21600</v>
      </c>
      <c r="K47" s="1">
        <f ca="1">IFERROR(_xlfn.FLOOR.MATH($F47*控制台!K342/(控制台!O342*60)),"")</f>
        <v>18</v>
      </c>
      <c r="L47" s="1">
        <f ca="1">IFERROR(_xlfn.FLOOR.MATH($F47*控制台!L342/(控制台!P342*60)),"")</f>
        <v>16</v>
      </c>
      <c r="M47" s="1" t="str">
        <f ca="1">IFERROR(_xlfn.FLOOR.MATH($F47*控制台!M342/(控制台!Q342*60)),"")</f>
        <v/>
      </c>
      <c r="N47" s="1" t="str">
        <f ca="1">IFERROR(_xlfn.FLOOR.MATH($F47*控制台!N342/(控制台!R342*60)),"")</f>
        <v/>
      </c>
      <c r="O47" s="6" t="s">
        <v>144</v>
      </c>
      <c r="P47" s="6" t="s">
        <v>149</v>
      </c>
      <c r="Q47" s="6">
        <v>190</v>
      </c>
      <c r="R47" s="4">
        <f>_xlfn.FLOOR.MATH(O10/控制台!$H$291*控制台!$C$289,5)</f>
        <v>330</v>
      </c>
      <c r="S47" s="1" t="s">
        <v>144</v>
      </c>
      <c r="T47" s="1" t="s">
        <v>149</v>
      </c>
      <c r="U47" s="1">
        <f t="shared" si="5"/>
        <v>1</v>
      </c>
    </row>
    <row r="48" spans="1:21">
      <c r="A48" s="1">
        <v>5</v>
      </c>
      <c r="B48" s="1" t="s">
        <v>142</v>
      </c>
      <c r="C48" s="1">
        <f>_xlfn.FLOOR.MATH(D12/控制台!$H$291*控制台!$C$289)</f>
        <v>54000</v>
      </c>
      <c r="D48" s="1">
        <f>_xlfn.FLOOR.MATH(E12/控制台!$H$291*控制台!$C$289)</f>
        <v>64800</v>
      </c>
      <c r="E48" s="1">
        <f>_xlfn.FLOOR.MATH(F12/控制台!$H$291*控制台!$C$289)</f>
        <v>43200</v>
      </c>
      <c r="F48" s="1">
        <f ca="1">_xlfn.FLOOR.MATH(J12*60/控制台!$H$291*控制台!$C$289)</f>
        <v>9331</v>
      </c>
      <c r="G48" s="1">
        <f>IFERROR(_xlfn.FLOOR.MATH(C48,POWER(10,MAX(0,INT(LOG10(C48)-2)))),"")</f>
        <v>54000</v>
      </c>
      <c r="H48" s="1">
        <f>IFERROR(_xlfn.FLOOR.MATH(D48,POWER(10,MAX(0,INT(LOG10(D48)-2)))),"")</f>
        <v>64800</v>
      </c>
      <c r="I48" s="1">
        <f>IFERROR(_xlfn.FLOOR.MATH(E48,POWER(10,MAX(0,INT(LOG10(E48)-2)))),"")</f>
        <v>43200</v>
      </c>
      <c r="J48" s="4" t="str">
        <f t="shared" si="4"/>
        <v>54000;64800;43200</v>
      </c>
      <c r="K48" s="1">
        <f ca="1">IFERROR(_xlfn.FLOOR.MATH($F48*控制台!K343/(控制台!O343*60)),"")</f>
        <v>34</v>
      </c>
      <c r="L48" s="1">
        <f ca="1">IFERROR(_xlfn.FLOOR.MATH($F48*控制台!L343/(控制台!P343*60)),"")</f>
        <v>30</v>
      </c>
      <c r="M48" s="1" t="str">
        <f ca="1">IFERROR(_xlfn.FLOOR.MATH($F48*控制台!M343/(控制台!Q343*60)),"")</f>
        <v/>
      </c>
      <c r="N48" s="1" t="str">
        <f ca="1">IFERROR(_xlfn.FLOOR.MATH($F48*控制台!N343/(控制台!R343*60)),"")</f>
        <v/>
      </c>
      <c r="O48" s="6" t="s">
        <v>144</v>
      </c>
      <c r="P48" s="6" t="s">
        <v>151</v>
      </c>
      <c r="Q48" s="6">
        <v>320</v>
      </c>
      <c r="R48" s="4">
        <f>_xlfn.FLOOR.MATH(O11/控制台!$H$291*控制台!$C$289,5)</f>
        <v>575</v>
      </c>
      <c r="S48" s="1" t="s">
        <v>144</v>
      </c>
      <c r="T48" s="1" t="s">
        <v>151</v>
      </c>
      <c r="U48" s="1">
        <f t="shared" si="5"/>
        <v>1</v>
      </c>
    </row>
    <row r="49" spans="1:21">
      <c r="A49" s="1">
        <v>6</v>
      </c>
      <c r="B49" s="1" t="s">
        <v>142</v>
      </c>
      <c r="C49" s="1">
        <f>_xlfn.FLOOR.MATH(D13/控制台!$H$291*控制台!$C$289)</f>
        <v>81000</v>
      </c>
      <c r="D49" s="1">
        <f>_xlfn.FLOOR.MATH(E13/控制台!$H$291*控制台!$C$289)</f>
        <v>97200</v>
      </c>
      <c r="E49" s="1">
        <f>_xlfn.FLOOR.MATH(F13/控制台!$H$291*控制台!$C$289)</f>
        <v>64800</v>
      </c>
      <c r="F49" s="1">
        <f ca="1">_xlfn.FLOOR.MATH(J13*60/控制台!$H$291*控制台!$C$289)</f>
        <v>18662</v>
      </c>
      <c r="G49" s="1">
        <f>IFERROR(_xlfn.FLOOR.MATH(C49,POWER(10,MAX(0,INT(LOG10(C49)-2)))),"")</f>
        <v>81000</v>
      </c>
      <c r="H49" s="1">
        <f>IFERROR(_xlfn.FLOOR.MATH(D49,POWER(10,MAX(0,INT(LOG10(D49)-2)))),"")</f>
        <v>97200</v>
      </c>
      <c r="I49" s="1">
        <f>IFERROR(_xlfn.FLOOR.MATH(E49,POWER(10,MAX(0,INT(LOG10(E49)-2)))),"")</f>
        <v>64800</v>
      </c>
      <c r="J49" s="4" t="str">
        <f t="shared" si="4"/>
        <v>81000;97200;64800</v>
      </c>
      <c r="K49" s="1">
        <f ca="1">IFERROR(_xlfn.FLOOR.MATH($F49*控制台!K344/(控制台!O344*60)),"")</f>
        <v>15</v>
      </c>
      <c r="L49" s="1">
        <f ca="1">IFERROR(_xlfn.FLOOR.MATH($F49*控制台!L344/(控制台!P344*60)),"")</f>
        <v>13</v>
      </c>
      <c r="M49" s="1">
        <f ca="1">IFERROR(_xlfn.FLOOR.MATH($F49*控制台!M344/(控制台!Q344*60)),"")</f>
        <v>11</v>
      </c>
      <c r="N49" s="1" t="str">
        <f ca="1">IFERROR(_xlfn.FLOOR.MATH($F49*控制台!N344/(控制台!R344*60)),"")</f>
        <v/>
      </c>
      <c r="O49" s="6" t="s">
        <v>154</v>
      </c>
      <c r="P49" s="6">
        <v>1</v>
      </c>
      <c r="Q49" s="4">
        <f>_xlfn.FLOOR.MATH(K12/控制台!$H$291*控制台!$C$289,5)</f>
        <v>645</v>
      </c>
      <c r="R49" s="4">
        <f>_xlfn.FLOOR.MATH(O12/控制台!$H$291*控制台!$C$289,5)</f>
        <v>1030</v>
      </c>
      <c r="S49" s="1" t="s">
        <v>154</v>
      </c>
      <c r="T49" s="1">
        <v>1</v>
      </c>
      <c r="U49" s="1">
        <f t="shared" si="5"/>
        <v>1</v>
      </c>
    </row>
    <row r="50" spans="1:21">
      <c r="A50" s="1">
        <v>7</v>
      </c>
      <c r="B50" s="1" t="s">
        <v>142</v>
      </c>
      <c r="C50" s="1">
        <f>_xlfn.FLOOR.MATH(D14/控制台!$H$291*控制台!$C$289)</f>
        <v>108000</v>
      </c>
      <c r="D50" s="1">
        <f>_xlfn.FLOOR.MATH(E14/控制台!$H$291*控制台!$C$289)</f>
        <v>129600</v>
      </c>
      <c r="E50" s="1">
        <f>_xlfn.FLOOR.MATH(F14/控制台!$H$291*控制台!$C$289)</f>
        <v>86400</v>
      </c>
      <c r="F50" s="1">
        <f ca="1">_xlfn.FLOOR.MATH(J14*60/控制台!$H$291*控制台!$C$289)</f>
        <v>24883</v>
      </c>
      <c r="G50" s="1">
        <f>IFERROR(_xlfn.FLOOR.MATH(C50,POWER(10,MAX(0,INT(LOG10(C50)-2)))),"")</f>
        <v>108000</v>
      </c>
      <c r="H50" s="1">
        <f>IFERROR(_xlfn.FLOOR.MATH(D50,POWER(10,MAX(0,INT(LOG10(D50)-2)))),"")</f>
        <v>129000</v>
      </c>
      <c r="I50" s="1">
        <f>IFERROR(_xlfn.FLOOR.MATH(E50,POWER(10,MAX(0,INT(LOG10(E50)-2)))),"")</f>
        <v>86400</v>
      </c>
      <c r="J50" s="4" t="str">
        <f t="shared" si="4"/>
        <v>108000;129000;86400</v>
      </c>
      <c r="K50" s="1">
        <f ca="1">IFERROR(_xlfn.FLOOR.MATH($F50*控制台!K345/(控制台!O345*60)),"")</f>
        <v>21</v>
      </c>
      <c r="L50" s="1">
        <f ca="1">IFERROR(_xlfn.FLOOR.MATH($F50*控制台!L345/(控制台!P345*60)),"")</f>
        <v>18</v>
      </c>
      <c r="M50" s="1">
        <f ca="1">IFERROR(_xlfn.FLOOR.MATH($F50*控制台!M345/(控制台!Q345*60)),"")</f>
        <v>15</v>
      </c>
      <c r="N50" s="1" t="str">
        <f ca="1">IFERROR(_xlfn.FLOOR.MATH($F50*控制台!N345/(控制台!R345*60)),"")</f>
        <v/>
      </c>
      <c r="O50" s="6" t="s">
        <v>154</v>
      </c>
      <c r="P50" s="6">
        <v>3</v>
      </c>
      <c r="Q50" s="4">
        <f>_xlfn.FLOOR.MATH(K13/控制台!$H$291*控制台!$C$289,5)</f>
        <v>970</v>
      </c>
      <c r="R50" s="4">
        <f>_xlfn.FLOOR.MATH(O13/控制台!$H$291*控制台!$C$289,5)</f>
        <v>1925</v>
      </c>
      <c r="S50" s="1" t="s">
        <v>154</v>
      </c>
      <c r="T50" s="1">
        <v>3</v>
      </c>
      <c r="U50" s="1">
        <f t="shared" si="5"/>
        <v>1</v>
      </c>
    </row>
    <row r="51" spans="1:21">
      <c r="A51" s="1">
        <v>8</v>
      </c>
      <c r="B51" s="1" t="s">
        <v>142</v>
      </c>
      <c r="C51" s="1">
        <f>_xlfn.FLOOR.MATH(D15/控制台!$H$291*控制台!$C$289)</f>
        <v>135000</v>
      </c>
      <c r="D51" s="1">
        <f>_xlfn.FLOOR.MATH(E15/控制台!$H$291*控制台!$C$289)</f>
        <v>162000</v>
      </c>
      <c r="E51" s="1">
        <f>_xlfn.FLOOR.MATH(F15/控制台!$H$291*控制台!$C$289)</f>
        <v>108000</v>
      </c>
      <c r="F51" s="1">
        <f ca="1">_xlfn.FLOOR.MATH(J15*60/控制台!$H$291*控制台!$C$289)</f>
        <v>31104</v>
      </c>
      <c r="G51" s="1">
        <f>IFERROR(_xlfn.FLOOR.MATH(C51,POWER(10,MAX(0,INT(LOG10(C51)-2)))),"")</f>
        <v>135000</v>
      </c>
      <c r="H51" s="1">
        <f>IFERROR(_xlfn.FLOOR.MATH(D51,POWER(10,MAX(0,INT(LOG10(D51)-2)))),"")</f>
        <v>162000</v>
      </c>
      <c r="I51" s="1">
        <f>IFERROR(_xlfn.FLOOR.MATH(E51,POWER(10,MAX(0,INT(LOG10(E51)-2)))),"")</f>
        <v>108000</v>
      </c>
      <c r="J51" s="4" t="str">
        <f t="shared" si="4"/>
        <v>135000;162000;108000</v>
      </c>
      <c r="K51" s="1">
        <f ca="1">IFERROR(_xlfn.FLOOR.MATH($F51*控制台!K346/(控制台!O346*60)),"")</f>
        <v>26</v>
      </c>
      <c r="L51" s="1">
        <f ca="1">IFERROR(_xlfn.FLOOR.MATH($F51*控制台!L346/(控制台!P346*60)),"")</f>
        <v>23</v>
      </c>
      <c r="M51" s="1">
        <f ca="1">IFERROR(_xlfn.FLOOR.MATH($F51*控制台!M346/(控制台!Q346*60)),"")</f>
        <v>19</v>
      </c>
      <c r="N51" s="1" t="str">
        <f ca="1">IFERROR(_xlfn.FLOOR.MATH($F51*控制台!N346/(控制台!R346*60)),"")</f>
        <v/>
      </c>
      <c r="O51" s="4" t="str">
        <f ca="1">控制台!W346</f>
        <v>board;brick;cement</v>
      </c>
      <c r="P51" s="4" t="str">
        <f ca="1" t="shared" ref="P51:P108" si="6">IF(K51="","",IF(L51="",K51,IF(M51="",CONCATENATE(K51,";",L51),IF(N51="",CONCATENATE(K51,";",L51,";",M51),CONCATENATE(K51,";",L51,";",M51,";",N51)))))</f>
        <v>26;23;19</v>
      </c>
      <c r="Q51" s="4">
        <f>_xlfn.FLOOR.MATH(K14/控制台!$H$291*控制台!$C$289,5)</f>
        <v>1295</v>
      </c>
      <c r="R51" s="4">
        <f>_xlfn.FLOOR.MATH(O14/控制台!$H$291*控制台!$C$289,5)</f>
        <v>3115</v>
      </c>
      <c r="S51" s="1" t="s">
        <v>152</v>
      </c>
      <c r="T51" s="1" t="s">
        <v>2675</v>
      </c>
      <c r="U51" s="1">
        <f ca="1" t="shared" si="5"/>
        <v>1</v>
      </c>
    </row>
    <row r="52" spans="1:21">
      <c r="A52" s="1">
        <v>9</v>
      </c>
      <c r="B52" s="1" t="s">
        <v>142</v>
      </c>
      <c r="C52" s="1">
        <f>_xlfn.FLOOR.MATH(D16/控制台!$H$291*控制台!$C$289)</f>
        <v>189000</v>
      </c>
      <c r="D52" s="1">
        <f>_xlfn.FLOOR.MATH(E16/控制台!$H$291*控制台!$C$289)</f>
        <v>226800</v>
      </c>
      <c r="E52" s="1">
        <f>_xlfn.FLOOR.MATH(F16/控制台!$H$291*控制台!$C$289)</f>
        <v>151200</v>
      </c>
      <c r="F52" s="1">
        <f ca="1">_xlfn.FLOOR.MATH(J16*60/控制台!$H$291*控制台!$C$289)</f>
        <v>37324</v>
      </c>
      <c r="G52" s="1">
        <f>IFERROR(_xlfn.FLOOR.MATH(C52,POWER(10,MAX(0,INT(LOG10(C52)-2)))),"")</f>
        <v>189000</v>
      </c>
      <c r="H52" s="1">
        <f>IFERROR(_xlfn.FLOOR.MATH(D52,POWER(10,MAX(0,INT(LOG10(D52)-2)))),"")</f>
        <v>226000</v>
      </c>
      <c r="I52" s="1">
        <f>IFERROR(_xlfn.FLOOR.MATH(E52,POWER(10,MAX(0,INT(LOG10(E52)-2)))),"")</f>
        <v>151000</v>
      </c>
      <c r="J52" s="4" t="str">
        <f t="shared" si="4"/>
        <v>189000;226000;151000</v>
      </c>
      <c r="K52" s="1">
        <f ca="1">IFERROR(_xlfn.FLOOR.MATH($F52*控制台!K347/(控制台!O347*60)),"")</f>
        <v>31</v>
      </c>
      <c r="L52" s="1">
        <f ca="1">IFERROR(_xlfn.FLOOR.MATH($F52*控制台!L347/(控制台!P347*60)),"")</f>
        <v>27</v>
      </c>
      <c r="M52" s="1">
        <f ca="1">IFERROR(_xlfn.FLOOR.MATH($F52*控制台!M347/(控制台!Q347*60)),"")</f>
        <v>23</v>
      </c>
      <c r="N52" s="1" t="str">
        <f ca="1">IFERROR(_xlfn.FLOOR.MATH($F52*控制台!N347/(控制台!R347*60)),"")</f>
        <v/>
      </c>
      <c r="O52" s="4" t="str">
        <f ca="1">控制台!W347</f>
        <v>board;brick;cement</v>
      </c>
      <c r="P52" s="4" t="str">
        <f ca="1" t="shared" si="6"/>
        <v>31;27;23</v>
      </c>
      <c r="Q52" s="4">
        <f>_xlfn.FLOOR.MATH(K15/控制台!$H$291*控制台!$C$289,5)</f>
        <v>1620</v>
      </c>
      <c r="R52" s="4">
        <f>_xlfn.FLOOR.MATH(O15/控制台!$H$291*控制台!$C$289,5)</f>
        <v>4605</v>
      </c>
      <c r="S52" s="1" t="s">
        <v>152</v>
      </c>
      <c r="T52" s="1" t="s">
        <v>2676</v>
      </c>
      <c r="U52" s="1">
        <f ca="1" t="shared" si="5"/>
        <v>1</v>
      </c>
    </row>
    <row r="53" spans="1:21">
      <c r="A53" s="1">
        <v>10</v>
      </c>
      <c r="B53" s="1" t="s">
        <v>142</v>
      </c>
      <c r="C53" s="1">
        <f>_xlfn.FLOOR.MATH(D17/控制台!$H$291*控制台!$C$289)</f>
        <v>243000</v>
      </c>
      <c r="D53" s="1">
        <f>_xlfn.FLOOR.MATH(E17/控制台!$H$291*控制台!$C$289)</f>
        <v>291600</v>
      </c>
      <c r="E53" s="1">
        <f>_xlfn.FLOOR.MATH(F17/控制台!$H$291*控制台!$C$289)</f>
        <v>194400</v>
      </c>
      <c r="F53" s="1">
        <f ca="1">_xlfn.FLOOR.MATH(J17*60/控制台!$H$291*控制台!$C$289)</f>
        <v>43545</v>
      </c>
      <c r="G53" s="1">
        <f>IFERROR(_xlfn.FLOOR.MATH(C53,POWER(10,MAX(0,INT(LOG10(C53)-2)))),"")</f>
        <v>243000</v>
      </c>
      <c r="H53" s="1">
        <f>IFERROR(_xlfn.FLOOR.MATH(D53,POWER(10,MAX(0,INT(LOG10(D53)-2)))),"")</f>
        <v>291000</v>
      </c>
      <c r="I53" s="1">
        <f>IFERROR(_xlfn.FLOOR.MATH(E53,POWER(10,MAX(0,INT(LOG10(E53)-2)))),"")</f>
        <v>194000</v>
      </c>
      <c r="J53" s="4" t="str">
        <f t="shared" si="4"/>
        <v>243000;291000;194000</v>
      </c>
      <c r="K53" s="1">
        <f ca="1">IFERROR(_xlfn.FLOOR.MATH($F53*控制台!K348/(控制台!O348*60)),"")</f>
        <v>37</v>
      </c>
      <c r="L53" s="1">
        <f ca="1">IFERROR(_xlfn.FLOOR.MATH($F53*控制台!L348/(控制台!P348*60)),"")</f>
        <v>32</v>
      </c>
      <c r="M53" s="1">
        <f ca="1">IFERROR(_xlfn.FLOOR.MATH($F53*控制台!M348/(控制台!Q348*60)),"")</f>
        <v>27</v>
      </c>
      <c r="N53" s="1" t="str">
        <f ca="1">IFERROR(_xlfn.FLOOR.MATH($F53*控制台!N348/(控制台!R348*60)),"")</f>
        <v/>
      </c>
      <c r="O53" s="4" t="str">
        <f ca="1">控制台!W348</f>
        <v>board;brick;cement</v>
      </c>
      <c r="P53" s="4" t="str">
        <f ca="1" t="shared" si="6"/>
        <v>37;32;27</v>
      </c>
      <c r="Q53" s="4">
        <f>_xlfn.FLOOR.MATH(K16/控制台!$H$291*控制台!$C$289,5)</f>
        <v>2265</v>
      </c>
      <c r="R53" s="4">
        <f>_xlfn.FLOOR.MATH(O16/控制台!$H$291*控制台!$C$289,5)</f>
        <v>6415</v>
      </c>
      <c r="S53" s="1" t="s">
        <v>152</v>
      </c>
      <c r="T53" s="1" t="s">
        <v>2677</v>
      </c>
      <c r="U53" s="1">
        <f ca="1" t="shared" si="5"/>
        <v>1</v>
      </c>
    </row>
    <row r="54" spans="1:21">
      <c r="A54" s="1">
        <v>11</v>
      </c>
      <c r="B54" s="1" t="s">
        <v>142</v>
      </c>
      <c r="C54" s="1">
        <f>_xlfn.FLOOR.MATH(D18/控制台!$H$291*控制台!$C$289)</f>
        <v>270000</v>
      </c>
      <c r="D54" s="1">
        <f>_xlfn.FLOOR.MATH(E18/控制台!$H$291*控制台!$C$289)</f>
        <v>324000</v>
      </c>
      <c r="E54" s="1">
        <f>_xlfn.FLOOR.MATH(F18/控制台!$H$291*控制台!$C$289)</f>
        <v>216000</v>
      </c>
      <c r="F54" s="1">
        <f ca="1">_xlfn.FLOOR.MATH(J18*60/控制台!$H$291*控制台!$C$289)</f>
        <v>54743</v>
      </c>
      <c r="G54" s="1">
        <f>IFERROR(_xlfn.FLOOR.MATH(C54,POWER(10,MAX(0,INT(LOG10(C54)-2)))),"")</f>
        <v>270000</v>
      </c>
      <c r="H54" s="1">
        <f>IFERROR(_xlfn.FLOOR.MATH(D54,POWER(10,MAX(0,INT(LOG10(D54)-2)))),"")</f>
        <v>324000</v>
      </c>
      <c r="I54" s="1">
        <f>IFERROR(_xlfn.FLOOR.MATH(E54,POWER(10,MAX(0,INT(LOG10(E54)-2)))),"")</f>
        <v>216000</v>
      </c>
      <c r="J54" s="4" t="str">
        <f t="shared" si="4"/>
        <v>270000;324000;216000</v>
      </c>
      <c r="K54" s="1">
        <f ca="1">IFERROR(_xlfn.FLOOR.MATH($F54*控制台!K349/(控制台!O349*60)),"")</f>
        <v>46</v>
      </c>
      <c r="L54" s="1">
        <f ca="1">IFERROR(_xlfn.FLOOR.MATH($F54*控制台!L349/(控制台!P349*60)),"")</f>
        <v>40</v>
      </c>
      <c r="M54" s="1">
        <f ca="1">IFERROR(_xlfn.FLOOR.MATH($F54*控制台!M349/(控制台!Q349*60)),"")</f>
        <v>35</v>
      </c>
      <c r="N54" s="1" t="str">
        <f ca="1">IFERROR(_xlfn.FLOOR.MATH($F54*控制台!N349/(控制台!R349*60)),"")</f>
        <v/>
      </c>
      <c r="O54" s="4" t="str">
        <f ca="1">控制台!W349</f>
        <v>board;brick;cement</v>
      </c>
      <c r="P54" s="4" t="str">
        <f ca="1" t="shared" si="6"/>
        <v>46;40;35</v>
      </c>
      <c r="Q54" s="4">
        <f>_xlfn.FLOOR.MATH(K17/控制台!$H$291*控制台!$C$289,5)</f>
        <v>2915</v>
      </c>
      <c r="R54" s="4">
        <f>_xlfn.FLOOR.MATH(O17/控制台!$H$291*控制台!$C$289,5)</f>
        <v>8535</v>
      </c>
      <c r="S54" s="1" t="s">
        <v>152</v>
      </c>
      <c r="T54" s="1" t="s">
        <v>2678</v>
      </c>
      <c r="U54" s="1">
        <f ca="1" t="shared" si="5"/>
        <v>1</v>
      </c>
    </row>
    <row r="55" spans="1:21">
      <c r="A55" s="1">
        <v>12</v>
      </c>
      <c r="B55" s="1" t="s">
        <v>142</v>
      </c>
      <c r="C55" s="1">
        <f>_xlfn.FLOOR.MATH(D19/控制台!$H$291*控制台!$C$289)</f>
        <v>405000</v>
      </c>
      <c r="D55" s="1">
        <f>_xlfn.FLOOR.MATH(E19/控制台!$H$291*控制台!$C$289)</f>
        <v>486000</v>
      </c>
      <c r="E55" s="1">
        <f>_xlfn.FLOOR.MATH(F19/控制台!$H$291*控制台!$C$289)</f>
        <v>324000</v>
      </c>
      <c r="F55" s="1">
        <f ca="1">_xlfn.FLOOR.MATH(J19*60/控制台!$H$291*控制台!$C$289)</f>
        <v>68428</v>
      </c>
      <c r="G55" s="1">
        <f>IFERROR(_xlfn.FLOOR.MATH(C55,POWER(10,MAX(0,INT(LOG10(C55)-2)))),"")</f>
        <v>405000</v>
      </c>
      <c r="H55" s="1">
        <f>IFERROR(_xlfn.FLOOR.MATH(D55,POWER(10,MAX(0,INT(LOG10(D55)-2)))),"")</f>
        <v>486000</v>
      </c>
      <c r="I55" s="1">
        <f>IFERROR(_xlfn.FLOOR.MATH(E55,POWER(10,MAX(0,INT(LOG10(E55)-2)))),"")</f>
        <v>324000</v>
      </c>
      <c r="J55" s="4" t="str">
        <f t="shared" si="4"/>
        <v>405000;486000;324000</v>
      </c>
      <c r="K55" s="1">
        <f ca="1">IFERROR(_xlfn.FLOOR.MATH($F55*控制台!K350/(控制台!O350*60)),"")</f>
        <v>58</v>
      </c>
      <c r="L55" s="1">
        <f ca="1">IFERROR(_xlfn.FLOOR.MATH($F55*控制台!L350/(控制台!P350*60)),"")</f>
        <v>51</v>
      </c>
      <c r="M55" s="1">
        <f ca="1">IFERROR(_xlfn.FLOOR.MATH($F55*控制台!M350/(控制台!Q350*60)),"")</f>
        <v>43</v>
      </c>
      <c r="N55" s="1" t="str">
        <f ca="1">IFERROR(_xlfn.FLOOR.MATH($F55*控制台!N350/(控制台!R350*60)),"")</f>
        <v/>
      </c>
      <c r="O55" s="4" t="str">
        <f ca="1">控制台!W350</f>
        <v>board;brick;cement</v>
      </c>
      <c r="P55" s="4" t="str">
        <f ca="1" t="shared" si="6"/>
        <v>58;51;43</v>
      </c>
      <c r="Q55" s="4">
        <f>_xlfn.FLOOR.MATH(K18/控制台!$H$291*控制台!$C$289,5)</f>
        <v>3240</v>
      </c>
      <c r="R55" s="4">
        <f>_xlfn.FLOOR.MATH(O18/控制台!$H$291*控制台!$C$289,5)</f>
        <v>10950</v>
      </c>
      <c r="S55" s="1" t="s">
        <v>152</v>
      </c>
      <c r="T55" s="1" t="s">
        <v>2679</v>
      </c>
      <c r="U55" s="1">
        <f ca="1" t="shared" si="5"/>
        <v>1</v>
      </c>
    </row>
    <row r="56" spans="1:21">
      <c r="A56" s="1">
        <v>13</v>
      </c>
      <c r="B56" s="1" t="s">
        <v>142</v>
      </c>
      <c r="C56" s="1">
        <f>_xlfn.FLOOR.MATH(D20/控制台!$H$291*控制台!$C$289)</f>
        <v>810000</v>
      </c>
      <c r="D56" s="1">
        <f>_xlfn.FLOOR.MATH(E20/控制台!$H$291*控制台!$C$289)</f>
        <v>972000</v>
      </c>
      <c r="E56" s="1">
        <f>_xlfn.FLOOR.MATH(F20/控制台!$H$291*控制台!$C$289)</f>
        <v>648000</v>
      </c>
      <c r="F56" s="1">
        <f ca="1">_xlfn.FLOOR.MATH(J20*60/控制台!$H$291*控制台!$C$289)</f>
        <v>102643</v>
      </c>
      <c r="G56" s="1">
        <f>IFERROR(_xlfn.FLOOR.MATH(C56,POWER(10,MAX(0,INT(LOG10(C56)-2)))),"")</f>
        <v>810000</v>
      </c>
      <c r="H56" s="1">
        <f>IFERROR(_xlfn.FLOOR.MATH(D56,POWER(10,MAX(0,INT(LOG10(D56)-2)))),"")</f>
        <v>972000</v>
      </c>
      <c r="I56" s="1">
        <f>IFERROR(_xlfn.FLOOR.MATH(E56,POWER(10,MAX(0,INT(LOG10(E56)-2)))),"")</f>
        <v>648000</v>
      </c>
      <c r="J56" s="4" t="str">
        <f t="shared" si="4"/>
        <v>810000;972000;648000</v>
      </c>
      <c r="K56" s="1">
        <f ca="1">IFERROR(_xlfn.FLOOR.MATH($F56*控制台!K351/(控制台!O351*60)),"")</f>
        <v>47</v>
      </c>
      <c r="L56" s="1">
        <f ca="1">IFERROR(_xlfn.FLOOR.MATH($F56*控制台!L351/(控制台!P351*60)),"")</f>
        <v>35</v>
      </c>
      <c r="M56" s="1">
        <f ca="1">IFERROR(_xlfn.FLOOR.MATH($F56*控制台!M351/(控制台!Q351*60)),"")</f>
        <v>27</v>
      </c>
      <c r="N56" s="1" t="str">
        <f ca="1">IFERROR(_xlfn.FLOOR.MATH($F56*控制台!N351/(控制台!R351*60)),"")</f>
        <v/>
      </c>
      <c r="O56" s="4" t="str">
        <f ca="1">控制台!W351</f>
        <v>board;cement;steel</v>
      </c>
      <c r="P56" s="4" t="str">
        <f ca="1" t="shared" si="6"/>
        <v>47;35;27</v>
      </c>
      <c r="Q56" s="4">
        <f>_xlfn.FLOOR.MATH(K19/控制台!$H$291*控制台!$C$289,5)</f>
        <v>4860</v>
      </c>
      <c r="R56" s="4">
        <f>_xlfn.FLOOR.MATH(O19/控制台!$H$291*控制台!$C$289,5)</f>
        <v>14020</v>
      </c>
      <c r="S56" s="1" t="s">
        <v>2680</v>
      </c>
      <c r="T56" s="1" t="s">
        <v>2681</v>
      </c>
      <c r="U56" s="1">
        <f ca="1" t="shared" si="5"/>
        <v>1</v>
      </c>
    </row>
    <row r="57" spans="1:21">
      <c r="A57" s="1">
        <v>14</v>
      </c>
      <c r="B57" s="1" t="s">
        <v>142</v>
      </c>
      <c r="C57" s="1">
        <f>_xlfn.FLOOR.MATH(D21/控制台!$H$291*控制台!$C$289)</f>
        <v>1350000</v>
      </c>
      <c r="D57" s="1">
        <f>_xlfn.FLOOR.MATH(E21/控制台!$H$291*控制台!$C$289)</f>
        <v>1620000</v>
      </c>
      <c r="E57" s="1">
        <f>_xlfn.FLOOR.MATH(F21/控制台!$H$291*控制台!$C$289)</f>
        <v>1080000</v>
      </c>
      <c r="F57" s="1">
        <f ca="1">_xlfn.FLOOR.MATH(J21*60/控制台!$H$291*控制台!$C$289)</f>
        <v>136857</v>
      </c>
      <c r="G57" s="1">
        <f>IFERROR(_xlfn.FLOOR.MATH(C57,POWER(10,MAX(0,INT(LOG10(C57)-2)))),"")</f>
        <v>1350000</v>
      </c>
      <c r="H57" s="1">
        <f>IFERROR(_xlfn.FLOOR.MATH(D57,POWER(10,MAX(0,INT(LOG10(D57)-2)))),"")</f>
        <v>1620000</v>
      </c>
      <c r="I57" s="1">
        <f>IFERROR(_xlfn.FLOOR.MATH(E57,POWER(10,MAX(0,INT(LOG10(E57)-2)))),"")</f>
        <v>1080000</v>
      </c>
      <c r="J57" s="4" t="str">
        <f t="shared" si="4"/>
        <v>1350000;1620000;1080000</v>
      </c>
      <c r="K57" s="1">
        <f ca="1">IFERROR(_xlfn.FLOOR.MATH($F57*控制台!K352/(控制台!O352*60)),"")</f>
        <v>51</v>
      </c>
      <c r="L57" s="1">
        <f ca="1">IFERROR(_xlfn.FLOOR.MATH($F57*控制台!L352/(控制台!P352*60)),"")</f>
        <v>44</v>
      </c>
      <c r="M57" s="1">
        <f ca="1">IFERROR(_xlfn.FLOOR.MATH($F57*控制台!M352/(控制台!Q352*60)),"")</f>
        <v>33</v>
      </c>
      <c r="N57" s="1" t="str">
        <f ca="1">IFERROR(_xlfn.FLOOR.MATH($F57*控制台!N352/(控制台!R352*60)),"")</f>
        <v/>
      </c>
      <c r="O57" s="4" t="str">
        <f ca="1">控制台!W352</f>
        <v>brick;cement;steel</v>
      </c>
      <c r="P57" s="4" t="str">
        <f ca="1" t="shared" si="6"/>
        <v>51;44;33</v>
      </c>
      <c r="Q57" s="4">
        <f>_xlfn.FLOOR.MATH(K20/控制台!$H$291*控制台!$C$289,5)</f>
        <v>9720</v>
      </c>
      <c r="R57" s="4">
        <f>_xlfn.FLOOR.MATH(O20/控制台!$H$291*控制台!$C$289,5)</f>
        <v>18745</v>
      </c>
      <c r="S57" s="1" t="s">
        <v>2682</v>
      </c>
      <c r="T57" s="1" t="s">
        <v>2683</v>
      </c>
      <c r="U57" s="1">
        <f ca="1" t="shared" si="5"/>
        <v>1</v>
      </c>
    </row>
    <row r="58" spans="1:21">
      <c r="A58" s="1">
        <v>15</v>
      </c>
      <c r="B58" s="1" t="s">
        <v>142</v>
      </c>
      <c r="C58" s="1">
        <f>_xlfn.FLOOR.MATH(D22/控制台!$H$291*控制台!$C$289)</f>
        <v>1620000</v>
      </c>
      <c r="D58" s="1">
        <f>_xlfn.FLOOR.MATH(E22/控制台!$H$291*控制台!$C$289)</f>
        <v>1944000</v>
      </c>
      <c r="E58" s="1">
        <f>_xlfn.FLOOR.MATH(F22/控制台!$H$291*控制台!$C$289)</f>
        <v>1296000</v>
      </c>
      <c r="F58" s="1">
        <f ca="1">_xlfn.FLOOR.MATH(J22*60/控制台!$H$291*控制台!$C$289)</f>
        <v>171072</v>
      </c>
      <c r="G58" s="1">
        <f>IFERROR(_xlfn.FLOOR.MATH(C58,POWER(10,MAX(0,INT(LOG10(C58)-2)))),"")</f>
        <v>1620000</v>
      </c>
      <c r="H58" s="1">
        <f>IFERROR(_xlfn.FLOOR.MATH(D58,POWER(10,MAX(0,INT(LOG10(D58)-2)))),"")</f>
        <v>1940000</v>
      </c>
      <c r="I58" s="1">
        <f>IFERROR(_xlfn.FLOOR.MATH(E58,POWER(10,MAX(0,INT(LOG10(E58)-2)))),"")</f>
        <v>1290000</v>
      </c>
      <c r="J58" s="4" t="str">
        <f t="shared" si="4"/>
        <v>1620000;1940000;1290000</v>
      </c>
      <c r="K58" s="1">
        <f ca="1">IFERROR(_xlfn.FLOOR.MATH($F58*控制台!K353/(控制台!O353*60)),"")</f>
        <v>116</v>
      </c>
      <c r="L58" s="1">
        <f ca="1">IFERROR(_xlfn.FLOOR.MATH($F58*控制台!L353/(控制台!P353*60)),"")</f>
        <v>101</v>
      </c>
      <c r="M58" s="1">
        <f ca="1">IFERROR(_xlfn.FLOOR.MATH($F58*控制台!M353/(控制台!Q353*60)),"")</f>
        <v>66</v>
      </c>
      <c r="N58" s="1" t="str">
        <f ca="1">IFERROR(_xlfn.FLOOR.MATH($F58*控制台!N353/(控制台!R353*60)),"")</f>
        <v/>
      </c>
      <c r="O58" s="4" t="str">
        <f ca="1">控制台!W353</f>
        <v>board;brick;steel</v>
      </c>
      <c r="P58" s="4" t="str">
        <f ca="1" t="shared" si="6"/>
        <v>116;101;66</v>
      </c>
      <c r="Q58" s="4">
        <f>_xlfn.FLOOR.MATH(K21/控制台!$H$291*控制台!$C$289,5)</f>
        <v>16200</v>
      </c>
      <c r="R58" s="4">
        <f>_xlfn.FLOOR.MATH(O21/控制台!$H$291*控制台!$C$289,5)</f>
        <v>25210</v>
      </c>
      <c r="S58" s="1" t="s">
        <v>2684</v>
      </c>
      <c r="T58" s="1" t="s">
        <v>2685</v>
      </c>
      <c r="U58" s="1">
        <f ca="1" t="shared" si="5"/>
        <v>1</v>
      </c>
    </row>
    <row r="59" spans="1:21">
      <c r="A59" s="1">
        <v>16</v>
      </c>
      <c r="B59" s="1" t="s">
        <v>142</v>
      </c>
      <c r="C59" s="1">
        <f>_xlfn.FLOOR.MATH(D23/控制台!$H$291*控制台!$C$289)</f>
        <v>1890000</v>
      </c>
      <c r="D59" s="1">
        <f>_xlfn.FLOOR.MATH(E23/控制台!$H$291*控制台!$C$289)</f>
        <v>2268000</v>
      </c>
      <c r="E59" s="1">
        <f>_xlfn.FLOOR.MATH(F23/控制台!$H$291*控制台!$C$289)</f>
        <v>1512000</v>
      </c>
      <c r="F59" s="1">
        <f ca="1">_xlfn.FLOOR.MATH(J23*60/控制台!$H$291*控制台!$C$289)</f>
        <v>205286</v>
      </c>
      <c r="G59" s="1">
        <f>IFERROR(_xlfn.FLOOR.MATH(C59,POWER(10,MAX(0,INT(LOG10(C59)-2)))),"")</f>
        <v>1890000</v>
      </c>
      <c r="H59" s="1">
        <f>IFERROR(_xlfn.FLOOR.MATH(D59,POWER(10,MAX(0,INT(LOG10(D59)-2)))),"")</f>
        <v>2260000</v>
      </c>
      <c r="I59" s="1">
        <f>IFERROR(_xlfn.FLOOR.MATH(E59,POWER(10,MAX(0,INT(LOG10(E59)-2)))),"")</f>
        <v>1510000</v>
      </c>
      <c r="J59" s="4" t="str">
        <f t="shared" si="4"/>
        <v>1890000;2260000;1510000</v>
      </c>
      <c r="K59" s="1">
        <f ca="1">IFERROR(_xlfn.FLOOR.MATH($F59*控制台!K354/(控制台!O354*60)),"")</f>
        <v>77</v>
      </c>
      <c r="L59" s="1">
        <f ca="1">IFERROR(_xlfn.FLOOR.MATH($F59*控制台!L354/(控制台!P354*60)),"")</f>
        <v>66</v>
      </c>
      <c r="M59" s="1">
        <f ca="1">IFERROR(_xlfn.FLOOR.MATH($F59*控制台!M354/(控制台!Q354*60)),"")</f>
        <v>50</v>
      </c>
      <c r="N59" s="1" t="str">
        <f ca="1">IFERROR(_xlfn.FLOOR.MATH($F59*控制台!N354/(控制台!R354*60)),"")</f>
        <v/>
      </c>
      <c r="O59" s="4" t="str">
        <f ca="1">控制台!W354</f>
        <v>brick;cement;steel</v>
      </c>
      <c r="P59" s="4" t="str">
        <f ca="1" t="shared" si="6"/>
        <v>77;66;50</v>
      </c>
      <c r="Q59" s="4">
        <f>_xlfn.FLOOR.MATH(K22/控制台!$H$291*控制台!$C$289,5)</f>
        <v>19440</v>
      </c>
      <c r="R59" s="4">
        <f>_xlfn.FLOOR.MATH(O22/控制台!$H$291*控制台!$C$289,5)</f>
        <v>33255</v>
      </c>
      <c r="S59" s="1" t="s">
        <v>2682</v>
      </c>
      <c r="T59" s="1" t="s">
        <v>2686</v>
      </c>
      <c r="U59" s="1">
        <f ca="1" t="shared" si="5"/>
        <v>1</v>
      </c>
    </row>
    <row r="60" spans="1:21">
      <c r="A60" s="1">
        <v>17</v>
      </c>
      <c r="B60" s="1" t="s">
        <v>142</v>
      </c>
      <c r="C60" s="1">
        <f>_xlfn.FLOOR.MATH(D24/控制台!$H$291*控制台!$C$289)</f>
        <v>2970000</v>
      </c>
      <c r="D60" s="1">
        <f>_xlfn.FLOOR.MATH(E24/控制台!$H$291*控制台!$C$289)</f>
        <v>3564000</v>
      </c>
      <c r="E60" s="1">
        <f>_xlfn.FLOOR.MATH(F24/控制台!$H$291*控制台!$C$289)</f>
        <v>2376000</v>
      </c>
      <c r="F60" s="1">
        <f ca="1">_xlfn.FLOOR.MATH(J24*60/控制台!$H$291*控制台!$C$289)</f>
        <v>239500</v>
      </c>
      <c r="G60" s="1">
        <f>IFERROR(_xlfn.FLOOR.MATH(C60,POWER(10,MAX(0,INT(LOG10(C60)-2)))),"")</f>
        <v>2970000</v>
      </c>
      <c r="H60" s="1">
        <f>IFERROR(_xlfn.FLOOR.MATH(D60,POWER(10,MAX(0,INT(LOG10(D60)-2)))),"")</f>
        <v>3560000</v>
      </c>
      <c r="I60" s="1">
        <f>IFERROR(_xlfn.FLOOR.MATH(E60,POWER(10,MAX(0,INT(LOG10(E60)-2)))),"")</f>
        <v>2370000</v>
      </c>
      <c r="J60" s="4" t="str">
        <f t="shared" si="4"/>
        <v>2970000;3560000;2370000</v>
      </c>
      <c r="K60" s="1">
        <f ca="1">IFERROR(_xlfn.FLOOR.MATH($F60*控制台!K355/(控制台!O355*60)),"")</f>
        <v>110</v>
      </c>
      <c r="L60" s="1">
        <f ca="1">IFERROR(_xlfn.FLOOR.MATH($F60*控制台!L355/(控制台!P355*60)),"")</f>
        <v>83</v>
      </c>
      <c r="M60" s="1">
        <f ca="1">IFERROR(_xlfn.FLOOR.MATH($F60*控制台!M355/(控制台!Q355*60)),"")</f>
        <v>63</v>
      </c>
      <c r="N60" s="1" t="str">
        <f ca="1">IFERROR(_xlfn.FLOOR.MATH($F60*控制台!N355/(控制台!R355*60)),"")</f>
        <v/>
      </c>
      <c r="O60" s="4" t="str">
        <f ca="1">控制台!W355</f>
        <v>board;cement;steel</v>
      </c>
      <c r="P60" s="4" t="str">
        <f ca="1" t="shared" si="6"/>
        <v>110;83;63</v>
      </c>
      <c r="Q60" s="4">
        <f>_xlfn.FLOOR.MATH(K23/控制台!$H$291*控制台!$C$289,5)</f>
        <v>22680</v>
      </c>
      <c r="R60" s="4">
        <f>_xlfn.FLOOR.MATH(O23/控制台!$H$291*控制台!$C$289,5)</f>
        <v>42875</v>
      </c>
      <c r="S60" s="1" t="s">
        <v>2680</v>
      </c>
      <c r="T60" s="1" t="s">
        <v>2687</v>
      </c>
      <c r="U60" s="1">
        <f ca="1" t="shared" si="5"/>
        <v>1</v>
      </c>
    </row>
    <row r="61" spans="1:21">
      <c r="A61" s="1">
        <v>18</v>
      </c>
      <c r="B61" s="1" t="s">
        <v>142</v>
      </c>
      <c r="C61" s="1">
        <f>_xlfn.FLOOR.MATH(D25/控制台!$H$291*控制台!$C$289)</f>
        <v>3375000</v>
      </c>
      <c r="D61" s="1">
        <f>_xlfn.FLOOR.MATH(E25/控制台!$H$291*控制台!$C$289)</f>
        <v>4050000</v>
      </c>
      <c r="E61" s="1">
        <f>_xlfn.FLOOR.MATH(F25/控制台!$H$291*控制台!$C$289)</f>
        <v>2700000</v>
      </c>
      <c r="F61" s="1">
        <f ca="1">_xlfn.FLOOR.MATH(J25*60/控制台!$H$291*控制台!$C$289)</f>
        <v>273715</v>
      </c>
      <c r="G61" s="1">
        <f>IFERROR(_xlfn.FLOOR.MATH(C61,POWER(10,MAX(0,INT(LOG10(C61)-2)))),"")</f>
        <v>3370000</v>
      </c>
      <c r="H61" s="1">
        <f>IFERROR(_xlfn.FLOOR.MATH(D61,POWER(10,MAX(0,INT(LOG10(D61)-2)))),"")</f>
        <v>4050000</v>
      </c>
      <c r="I61" s="1">
        <f>IFERROR(_xlfn.FLOOR.MATH(E61,POWER(10,MAX(0,INT(LOG10(E61)-2)))),"")</f>
        <v>2700000</v>
      </c>
      <c r="J61" s="4" t="str">
        <f t="shared" si="4"/>
        <v>3370000;4050000;2700000</v>
      </c>
      <c r="K61" s="1">
        <f ca="1">IFERROR(_xlfn.FLOOR.MATH($F61*控制台!K356/(控制台!O356*60)),"")</f>
        <v>103</v>
      </c>
      <c r="L61" s="1">
        <f ca="1">IFERROR(_xlfn.FLOOR.MATH($F61*控制台!L356/(控制台!P356*60)),"")</f>
        <v>88</v>
      </c>
      <c r="M61" s="1">
        <f ca="1">IFERROR(_xlfn.FLOOR.MATH($F61*控制台!M356/(控制台!Q356*60)),"")</f>
        <v>67</v>
      </c>
      <c r="N61" s="1" t="str">
        <f ca="1">IFERROR(_xlfn.FLOOR.MATH($F61*控制台!N356/(控制台!R356*60)),"")</f>
        <v/>
      </c>
      <c r="O61" s="4" t="str">
        <f ca="1">控制台!W356</f>
        <v>brick;cement;steel</v>
      </c>
      <c r="P61" s="4" t="str">
        <f ca="1" t="shared" si="6"/>
        <v>103;88;67</v>
      </c>
      <c r="Q61" s="4">
        <f>_xlfn.FLOOR.MATH(K24/控制台!$H$291*控制台!$C$289,5)</f>
        <v>35640</v>
      </c>
      <c r="R61" s="4">
        <f>_xlfn.FLOOR.MATH(O24/控制台!$H$291*控制台!$C$289,5)</f>
        <v>54575</v>
      </c>
      <c r="S61" s="1" t="s">
        <v>2682</v>
      </c>
      <c r="T61" s="1" t="s">
        <v>2688</v>
      </c>
      <c r="U61" s="1">
        <f ca="1" t="shared" si="5"/>
        <v>1</v>
      </c>
    </row>
    <row r="62" spans="1:21">
      <c r="A62" s="1">
        <v>19</v>
      </c>
      <c r="B62" s="1" t="s">
        <v>142</v>
      </c>
      <c r="C62" s="1">
        <f>_xlfn.FLOOR.MATH(D26/控制台!$H$291*控制台!$C$289)</f>
        <v>3780000</v>
      </c>
      <c r="D62" s="1">
        <f>_xlfn.FLOOR.MATH(E26/控制台!$H$291*控制台!$C$289)</f>
        <v>4536000</v>
      </c>
      <c r="E62" s="1">
        <f>_xlfn.FLOOR.MATH(F26/控制台!$H$291*控制台!$C$289)</f>
        <v>3024000</v>
      </c>
      <c r="F62" s="1">
        <f ca="1">_xlfn.FLOOR.MATH(J26*60/控制台!$H$291*控制台!$C$289)</f>
        <v>377913</v>
      </c>
      <c r="G62" s="1">
        <f>IFERROR(_xlfn.FLOOR.MATH(C62,POWER(10,MAX(0,INT(LOG10(C62)-2)))),"")</f>
        <v>3780000</v>
      </c>
      <c r="H62" s="1">
        <f>IFERROR(_xlfn.FLOOR.MATH(D62,POWER(10,MAX(0,INT(LOG10(D62)-2)))),"")</f>
        <v>4530000</v>
      </c>
      <c r="I62" s="1">
        <f>IFERROR(_xlfn.FLOOR.MATH(E62,POWER(10,MAX(0,INT(LOG10(E62)-2)))),"")</f>
        <v>3020000</v>
      </c>
      <c r="J62" s="4" t="str">
        <f t="shared" si="4"/>
        <v>3780000;4530000;3020000</v>
      </c>
      <c r="K62" s="1">
        <f ca="1">IFERROR(_xlfn.FLOOR.MATH($F62*控制台!K357/(控制台!O357*60)),"")</f>
        <v>159</v>
      </c>
      <c r="L62" s="1">
        <f ca="1">IFERROR(_xlfn.FLOOR.MATH($F62*控制台!L357/(控制台!P357*60)),"")</f>
        <v>139</v>
      </c>
      <c r="M62" s="1">
        <f ca="1">IFERROR(_xlfn.FLOOR.MATH($F62*控制台!M357/(控制台!Q357*60)),"")</f>
        <v>119</v>
      </c>
      <c r="N62" s="1">
        <f ca="1">IFERROR(_xlfn.FLOOR.MATH($F62*控制台!N357/(控制台!R357*60)),"")</f>
        <v>91</v>
      </c>
      <c r="O62" s="4" t="str">
        <f ca="1">控制台!W357</f>
        <v>board;brick;cement;steel</v>
      </c>
      <c r="P62" s="4" t="str">
        <f ca="1" t="shared" si="6"/>
        <v>159;139;119;91</v>
      </c>
      <c r="Q62" s="4">
        <f>_xlfn.FLOOR.MATH(K25/控制台!$H$291*控制台!$C$289,5)</f>
        <v>40500</v>
      </c>
      <c r="R62" s="4">
        <f>_xlfn.FLOOR.MATH(O25/控制台!$H$291*控制台!$C$289,5)</f>
        <v>67935</v>
      </c>
      <c r="S62" s="1" t="s">
        <v>2689</v>
      </c>
      <c r="T62" s="1" t="s">
        <v>2690</v>
      </c>
      <c r="U62" s="1">
        <f ca="1" t="shared" si="5"/>
        <v>1</v>
      </c>
    </row>
    <row r="63" spans="1:21">
      <c r="A63" s="1">
        <v>20</v>
      </c>
      <c r="B63" s="1" t="s">
        <v>142</v>
      </c>
      <c r="C63" s="1">
        <f>_xlfn.FLOOR.MATH(D27/控制台!$H$291*控制台!$C$289)</f>
        <v>4185000</v>
      </c>
      <c r="D63" s="1">
        <f>_xlfn.FLOOR.MATH(E27/控制台!$H$291*控制台!$C$289)</f>
        <v>5022000</v>
      </c>
      <c r="E63" s="1">
        <f>_xlfn.FLOOR.MATH(F27/控制台!$H$291*控制台!$C$289)</f>
        <v>3348000</v>
      </c>
      <c r="F63" s="1">
        <f ca="1">_xlfn.FLOOR.MATH(J27*60/控制台!$H$291*控制台!$C$289)</f>
        <v>419904</v>
      </c>
      <c r="G63" s="1">
        <f>IFERROR(_xlfn.FLOOR.MATH(C63,POWER(10,MAX(0,INT(LOG10(C63)-2)))),"")</f>
        <v>4180000</v>
      </c>
      <c r="H63" s="1">
        <f>IFERROR(_xlfn.FLOOR.MATH(D63,POWER(10,MAX(0,INT(LOG10(D63)-2)))),"")</f>
        <v>5020000</v>
      </c>
      <c r="I63" s="1">
        <f>IFERROR(_xlfn.FLOOR.MATH(E63,POWER(10,MAX(0,INT(LOG10(E63)-2)))),"")</f>
        <v>3340000</v>
      </c>
      <c r="J63" s="4" t="str">
        <f t="shared" si="4"/>
        <v>4180000;5020000;3340000</v>
      </c>
      <c r="K63" s="1">
        <f ca="1">IFERROR(_xlfn.FLOOR.MATH($F63*控制台!K358/(控制台!O358*60)),"")</f>
        <v>96</v>
      </c>
      <c r="L63" s="1">
        <f ca="1">IFERROR(_xlfn.FLOOR.MATH($F63*控制台!L358/(控制台!P358*60)),"")</f>
        <v>82</v>
      </c>
      <c r="M63" s="1">
        <f ca="1">IFERROR(_xlfn.FLOOR.MATH($F63*控制台!M358/(控制台!Q358*60)),"")</f>
        <v>62</v>
      </c>
      <c r="N63" s="1">
        <f ca="1">IFERROR(_xlfn.FLOOR.MATH($F63*控制台!N358/(控制台!R358*60)),"")</f>
        <v>55</v>
      </c>
      <c r="O63" s="4" t="str">
        <f ca="1">控制台!W358</f>
        <v>brick;cement;steel;pitch</v>
      </c>
      <c r="P63" s="4" t="str">
        <f ca="1" t="shared" si="6"/>
        <v>96;82;62;55</v>
      </c>
      <c r="Q63" s="4">
        <f>_xlfn.FLOOR.MATH(K26/控制台!$H$291*控制台!$C$289,5)</f>
        <v>45360</v>
      </c>
      <c r="R63" s="4">
        <f>_xlfn.FLOOR.MATH(O26/控制台!$H$291*控制台!$C$289,5)</f>
        <v>82950</v>
      </c>
      <c r="S63" s="1" t="s">
        <v>2691</v>
      </c>
      <c r="T63" s="1" t="s">
        <v>2692</v>
      </c>
      <c r="U63" s="1">
        <f ca="1" t="shared" si="5"/>
        <v>1</v>
      </c>
    </row>
    <row r="64" spans="1:21">
      <c r="A64" s="1">
        <v>21</v>
      </c>
      <c r="B64" s="1" t="s">
        <v>142</v>
      </c>
      <c r="C64" s="1">
        <f>_xlfn.FLOOR.MATH(D28/控制台!$H$291*控制台!$C$289)</f>
        <v>4455000</v>
      </c>
      <c r="D64" s="1">
        <f>_xlfn.FLOOR.MATH(E28/控制台!$H$291*控制台!$C$289)</f>
        <v>5346000</v>
      </c>
      <c r="E64" s="1">
        <f>_xlfn.FLOOR.MATH(F28/控制台!$H$291*控制台!$C$289)</f>
        <v>3564000</v>
      </c>
      <c r="F64" s="1">
        <f ca="1">_xlfn.FLOOR.MATH(J28*60/控制台!$H$291*控制台!$C$289)</f>
        <v>461894</v>
      </c>
      <c r="G64" s="1">
        <f>IFERROR(_xlfn.FLOOR.MATH(C64,POWER(10,MAX(0,INT(LOG10(C64)-2)))),"")</f>
        <v>4450000</v>
      </c>
      <c r="H64" s="1">
        <f>IFERROR(_xlfn.FLOOR.MATH(D64,POWER(10,MAX(0,INT(LOG10(D64)-2)))),"")</f>
        <v>5340000</v>
      </c>
      <c r="I64" s="1">
        <f>IFERROR(_xlfn.FLOOR.MATH(E64,POWER(10,MAX(0,INT(LOG10(E64)-2)))),"")</f>
        <v>3560000</v>
      </c>
      <c r="J64" s="4" t="str">
        <f t="shared" si="4"/>
        <v>4450000;5340000;3560000</v>
      </c>
      <c r="K64" s="1">
        <f ca="1">IFERROR(_xlfn.FLOOR.MATH($F64*控制台!K359/(控制台!O359*60)),"")</f>
        <v>155</v>
      </c>
      <c r="L64" s="1">
        <f ca="1">IFERROR(_xlfn.FLOOR.MATH($F64*控制台!L359/(控制台!P359*60)),"")</f>
        <v>136</v>
      </c>
      <c r="M64" s="1">
        <f ca="1">IFERROR(_xlfn.FLOOR.MATH($F64*控制台!M359/(控制台!Q359*60)),"")</f>
        <v>88</v>
      </c>
      <c r="N64" s="1">
        <f ca="1">IFERROR(_xlfn.FLOOR.MATH($F64*控制台!N359/(控制台!R359*60)),"")</f>
        <v>77</v>
      </c>
      <c r="O64" s="4" t="str">
        <f ca="1">控制台!W359</f>
        <v>board;brick;steel;pitch</v>
      </c>
      <c r="P64" s="4" t="str">
        <f ca="1" t="shared" si="6"/>
        <v>155;136;88;77</v>
      </c>
      <c r="Q64" s="4">
        <f>_xlfn.FLOOR.MATH(K27/控制台!$H$291*控制台!$C$289,5)</f>
        <v>50220</v>
      </c>
      <c r="R64" s="4">
        <f>_xlfn.FLOOR.MATH(O27/控制台!$H$291*控制台!$C$289,5)</f>
        <v>99630</v>
      </c>
      <c r="S64" s="1" t="s">
        <v>2693</v>
      </c>
      <c r="T64" s="1" t="s">
        <v>2694</v>
      </c>
      <c r="U64" s="1">
        <f ca="1" t="shared" si="5"/>
        <v>1</v>
      </c>
    </row>
    <row r="65" spans="1:21">
      <c r="A65" s="1">
        <v>22</v>
      </c>
      <c r="B65" s="1" t="s">
        <v>142</v>
      </c>
      <c r="C65" s="1">
        <f>_xlfn.FLOOR.MATH(D29/控制台!$H$291*控制台!$C$289)</f>
        <v>6075000</v>
      </c>
      <c r="D65" s="1">
        <f>_xlfn.FLOOR.MATH(E29/控制台!$H$291*控制台!$C$289)</f>
        <v>7290000</v>
      </c>
      <c r="E65" s="1">
        <f>_xlfn.FLOOR.MATH(F29/控制台!$H$291*控制台!$C$289)</f>
        <v>4860000</v>
      </c>
      <c r="F65" s="1">
        <f ca="1">_xlfn.FLOOR.MATH(J29*60/控制台!$H$291*控制台!$C$289)</f>
        <v>522547</v>
      </c>
      <c r="G65" s="1">
        <f>IFERROR(_xlfn.FLOOR.MATH(C65,POWER(10,MAX(0,INT(LOG10(C65)-2)))),"")</f>
        <v>6070000</v>
      </c>
      <c r="H65" s="1">
        <f>IFERROR(_xlfn.FLOOR.MATH(D65,POWER(10,MAX(0,INT(LOG10(D65)-2)))),"")</f>
        <v>7290000</v>
      </c>
      <c r="I65" s="1">
        <f>IFERROR(_xlfn.FLOOR.MATH(E65,POWER(10,MAX(0,INT(LOG10(E65)-2)))),"")</f>
        <v>4860000</v>
      </c>
      <c r="J65" s="4" t="str">
        <f t="shared" si="4"/>
        <v>6070000;7290000;4860000</v>
      </c>
      <c r="K65" s="1">
        <f ca="1">IFERROR(_xlfn.FLOOR.MATH($F65*控制台!K360/(控制台!O360*60)),"")</f>
        <v>120</v>
      </c>
      <c r="L65" s="1">
        <f ca="1">IFERROR(_xlfn.FLOOR.MATH($F65*控制台!L360/(控制台!P360*60)),"")</f>
        <v>102</v>
      </c>
      <c r="M65" s="1">
        <f ca="1">IFERROR(_xlfn.FLOOR.MATH($F65*控制台!M360/(控制台!Q360*60)),"")</f>
        <v>78</v>
      </c>
      <c r="N65" s="1">
        <f ca="1">IFERROR(_xlfn.FLOOR.MATH($F65*控制台!N360/(控制台!R360*60)),"")</f>
        <v>68</v>
      </c>
      <c r="O65" s="4" t="str">
        <f ca="1">控制台!W360</f>
        <v>brick;cement;steel;pitch</v>
      </c>
      <c r="P65" s="4" t="str">
        <f ca="1" t="shared" si="6"/>
        <v>120;102;78;68</v>
      </c>
      <c r="Q65" s="4">
        <f>_xlfn.FLOOR.MATH(K28/控制台!$H$291*控制台!$C$289,5)</f>
        <v>53460</v>
      </c>
      <c r="R65" s="4">
        <f>_xlfn.FLOOR.MATH(O28/控制台!$H$291*控制台!$C$289,5)</f>
        <v>117885</v>
      </c>
      <c r="S65" s="1" t="s">
        <v>2691</v>
      </c>
      <c r="T65" s="1" t="s">
        <v>2695</v>
      </c>
      <c r="U65" s="1">
        <f ca="1" t="shared" si="5"/>
        <v>1</v>
      </c>
    </row>
    <row r="66" spans="1:21">
      <c r="A66" s="1">
        <v>23</v>
      </c>
      <c r="B66" s="1" t="s">
        <v>142</v>
      </c>
      <c r="C66" s="1">
        <f>_xlfn.FLOOR.MATH(D30/控制台!$H$291*控制台!$C$289)</f>
        <v>14850000</v>
      </c>
      <c r="D66" s="1">
        <f>_xlfn.FLOOR.MATH(E30/控制台!$H$291*控制台!$C$289)</f>
        <v>17820000</v>
      </c>
      <c r="E66" s="1">
        <f>_xlfn.FLOOR.MATH(F30/控制台!$H$291*控制台!$C$289)</f>
        <v>11880000</v>
      </c>
      <c r="F66" s="1">
        <f ca="1">_xlfn.FLOOR.MATH(J30*60/控制台!$H$291*控制台!$C$289)</f>
        <v>870912</v>
      </c>
      <c r="G66" s="1">
        <f>IFERROR(_xlfn.FLOOR.MATH(C66,POWER(10,MAX(0,INT(LOG10(C66)-2)))),"")</f>
        <v>14800000</v>
      </c>
      <c r="H66" s="1">
        <f>IFERROR(_xlfn.FLOOR.MATH(D66,POWER(10,MAX(0,INT(LOG10(D66)-2)))),"")</f>
        <v>17800000</v>
      </c>
      <c r="I66" s="1">
        <f>IFERROR(_xlfn.FLOOR.MATH(E66,POWER(10,MAX(0,INT(LOG10(E66)-2)))),"")</f>
        <v>11800000</v>
      </c>
      <c r="J66" s="4" t="str">
        <f t="shared" si="4"/>
        <v>14800000;17800000;11800000</v>
      </c>
      <c r="K66" s="1">
        <f ca="1">IFERROR(_xlfn.FLOOR.MATH($F66*控制台!K361/(控制台!O361*60)),"")</f>
        <v>237</v>
      </c>
      <c r="L66" s="1">
        <f ca="1">IFERROR(_xlfn.FLOOR.MATH($F66*控制台!L361/(控制台!P361*60)),"")</f>
        <v>178</v>
      </c>
      <c r="M66" s="1">
        <f ca="1">IFERROR(_xlfn.FLOOR.MATH($F66*控制台!M361/(控制台!Q361*60)),"")</f>
        <v>135</v>
      </c>
      <c r="N66" s="1">
        <f ca="1">IFERROR(_xlfn.FLOOR.MATH($F66*控制台!N361/(控制台!R361*60)),"")</f>
        <v>118</v>
      </c>
      <c r="O66" s="4" t="str">
        <f ca="1">控制台!W361</f>
        <v>board;cement;steel;pitch</v>
      </c>
      <c r="P66" s="4" t="str">
        <f ca="1" t="shared" si="6"/>
        <v>237;178;135;118</v>
      </c>
      <c r="Q66" s="4">
        <f>_xlfn.FLOOR.MATH(K29/控制台!$H$291*控制台!$C$289,5)</f>
        <v>72900</v>
      </c>
      <c r="R66" s="4">
        <f>_xlfn.FLOOR.MATH(O29/控制台!$H$291*控制台!$C$289,5)</f>
        <v>138555</v>
      </c>
      <c r="S66" s="1" t="s">
        <v>2696</v>
      </c>
      <c r="T66" s="1" t="s">
        <v>2697</v>
      </c>
      <c r="U66" s="1">
        <f ca="1" t="shared" si="5"/>
        <v>1</v>
      </c>
    </row>
    <row r="67" spans="1:21">
      <c r="A67" s="1">
        <v>24</v>
      </c>
      <c r="B67" s="1" t="s">
        <v>142</v>
      </c>
      <c r="C67" s="1">
        <f>_xlfn.FLOOR.MATH(D31/控制台!$H$291*控制台!$C$289)</f>
        <v>18900000</v>
      </c>
      <c r="D67" s="1">
        <f>_xlfn.FLOOR.MATH(E31/控制台!$H$291*控制台!$C$289)</f>
        <v>22680000</v>
      </c>
      <c r="E67" s="1">
        <f>_xlfn.FLOOR.MATH(F31/控制台!$H$291*控制台!$C$289)</f>
        <v>15120000</v>
      </c>
      <c r="F67" s="1">
        <f ca="1">_xlfn.FLOOR.MATH(J31*60/控制台!$H$291*控制台!$C$289)</f>
        <v>1306368</v>
      </c>
      <c r="G67" s="1">
        <f>IFERROR(_xlfn.FLOOR.MATH(C67,POWER(10,MAX(0,INT(LOG10(C67)-2)))),"")</f>
        <v>18900000</v>
      </c>
      <c r="H67" s="1">
        <f>IFERROR(_xlfn.FLOOR.MATH(D67,POWER(10,MAX(0,INT(LOG10(D67)-2)))),"")</f>
        <v>22600000</v>
      </c>
      <c r="I67" s="1">
        <f>IFERROR(_xlfn.FLOOR.MATH(E67,POWER(10,MAX(0,INT(LOG10(E67)-2)))),"")</f>
        <v>15100000</v>
      </c>
      <c r="J67" s="4" t="str">
        <f t="shared" si="4"/>
        <v>18900000;22600000;15100000</v>
      </c>
      <c r="K67" s="1">
        <f ca="1">IFERROR(_xlfn.FLOOR.MATH($F67*控制台!K362/(控制台!O362*60)),"")</f>
        <v>300</v>
      </c>
      <c r="L67" s="1">
        <f ca="1">IFERROR(_xlfn.FLOOR.MATH($F67*控制台!L362/(控制台!P362*60)),"")</f>
        <v>257</v>
      </c>
      <c r="M67" s="1">
        <f ca="1">IFERROR(_xlfn.FLOOR.MATH($F67*控制台!M362/(控制台!Q362*60)),"")</f>
        <v>195</v>
      </c>
      <c r="N67" s="1">
        <f ca="1">IFERROR(_xlfn.FLOOR.MATH($F67*控制台!N362/(控制台!R362*60)),"")</f>
        <v>171</v>
      </c>
      <c r="O67" s="4" t="str">
        <f ca="1">控制台!W362</f>
        <v>brick;cement;steel;pitch</v>
      </c>
      <c r="P67" s="4" t="str">
        <f ca="1" t="shared" si="6"/>
        <v>300;257;195;171</v>
      </c>
      <c r="Q67" s="4">
        <f>_xlfn.FLOOR.MATH(K30/控制台!$H$291*控制台!$C$289,5)</f>
        <v>178200</v>
      </c>
      <c r="R67" s="4">
        <f>_xlfn.FLOOR.MATH(O30/控制台!$H$291*控制台!$C$289,5)</f>
        <v>175960</v>
      </c>
      <c r="S67" s="1" t="s">
        <v>2691</v>
      </c>
      <c r="T67" s="1" t="s">
        <v>2698</v>
      </c>
      <c r="U67" s="1">
        <f ca="1" t="shared" si="5"/>
        <v>1</v>
      </c>
    </row>
    <row r="68" spans="1:21">
      <c r="A68" s="1">
        <v>25</v>
      </c>
      <c r="B68" s="1" t="s">
        <v>142</v>
      </c>
      <c r="C68" s="1">
        <f>_xlfn.FLOOR.MATH(D32/控制台!$H$291*控制台!$C$289)</f>
        <v>21600000</v>
      </c>
      <c r="D68" s="1">
        <f>_xlfn.FLOOR.MATH(E32/控制台!$H$291*控制台!$C$289)</f>
        <v>25920000</v>
      </c>
      <c r="E68" s="1">
        <f>_xlfn.FLOOR.MATH(F32/控制台!$H$291*控制台!$C$289)</f>
        <v>17280000</v>
      </c>
      <c r="F68" s="1">
        <f ca="1">_xlfn.FLOOR.MATH(J32*60/控制台!$H$291*控制台!$C$289)</f>
        <v>1741824</v>
      </c>
      <c r="G68" s="1">
        <f>IFERROR(_xlfn.FLOOR.MATH(C68,POWER(10,MAX(0,INT(LOG10(C68)-2)))),"")</f>
        <v>21600000</v>
      </c>
      <c r="H68" s="1">
        <f>IFERROR(_xlfn.FLOOR.MATH(D68,POWER(10,MAX(0,INT(LOG10(D68)-2)))),"")</f>
        <v>25900000</v>
      </c>
      <c r="I68" s="1">
        <f>IFERROR(_xlfn.FLOOR.MATH(E68,POWER(10,MAX(0,INT(LOG10(E68)-2)))),"")</f>
        <v>17200000</v>
      </c>
      <c r="J68" s="4" t="str">
        <f t="shared" si="4"/>
        <v>21600000;25900000;17200000</v>
      </c>
      <c r="K68" s="1">
        <f ca="1">IFERROR(_xlfn.FLOOR.MATH($F68*控制台!K363/(控制台!O363*60)),"")</f>
        <v>475</v>
      </c>
      <c r="L68" s="1">
        <f ca="1">IFERROR(_xlfn.FLOOR.MATH($F68*控制台!L363/(控制台!P363*60)),"")</f>
        <v>356</v>
      </c>
      <c r="M68" s="1">
        <f ca="1">IFERROR(_xlfn.FLOOR.MATH($F68*控制台!M363/(控制台!Q363*60)),"")</f>
        <v>271</v>
      </c>
      <c r="N68" s="1">
        <f ca="1">IFERROR(_xlfn.FLOOR.MATH($F68*控制台!N363/(控制台!R363*60)),"")</f>
        <v>237</v>
      </c>
      <c r="O68" s="4" t="str">
        <f ca="1">控制台!W363</f>
        <v>board;cement;steel;pitch</v>
      </c>
      <c r="P68" s="4" t="str">
        <f ca="1" t="shared" si="6"/>
        <v>475;356;271;237</v>
      </c>
      <c r="Q68" s="4">
        <f>_xlfn.FLOOR.MATH(K31/控制台!$H$291*控制台!$C$289,5)</f>
        <v>226800</v>
      </c>
      <c r="R68" s="4">
        <f>_xlfn.FLOOR.MATH(O31/控制台!$H$291*控制台!$C$289,5)</f>
        <v>229960</v>
      </c>
      <c r="S68" s="1" t="s">
        <v>2696</v>
      </c>
      <c r="T68" s="1" t="s">
        <v>2699</v>
      </c>
      <c r="U68" s="1">
        <f ca="1" t="shared" si="5"/>
        <v>1</v>
      </c>
    </row>
    <row r="69" spans="1:21">
      <c r="A69" s="1">
        <v>26</v>
      </c>
      <c r="B69" s="1" t="s">
        <v>142</v>
      </c>
      <c r="C69" s="1">
        <f>_xlfn.FLOOR.MATH(D33/控制台!$H$291*控制台!$C$289)</f>
        <v>54000000</v>
      </c>
      <c r="D69" s="1">
        <f>_xlfn.FLOOR.MATH(E33/控制台!$H$291*控制台!$C$289)</f>
        <v>64800000</v>
      </c>
      <c r="E69" s="1">
        <f>_xlfn.FLOOR.MATH(F33/控制台!$H$291*控制台!$C$289)</f>
        <v>43200000</v>
      </c>
      <c r="F69" s="1">
        <f ca="1">_xlfn.FLOOR.MATH(J33*60/控制台!$H$291*控制台!$C$289)</f>
        <v>3856896</v>
      </c>
      <c r="G69" s="1">
        <f>IFERROR(_xlfn.FLOOR.MATH(C69,POWER(10,MAX(0,INT(LOG10(C69)-2)))),"")</f>
        <v>54000000</v>
      </c>
      <c r="H69" s="1">
        <f>IFERROR(_xlfn.FLOOR.MATH(D69,POWER(10,MAX(0,INT(LOG10(D69)-2)))),"")</f>
        <v>64800000</v>
      </c>
      <c r="I69" s="1">
        <f>IFERROR(_xlfn.FLOOR.MATH(E69,POWER(10,MAX(0,INT(LOG10(E69)-2)))),"")</f>
        <v>43200000</v>
      </c>
      <c r="J69" s="4" t="str">
        <f t="shared" si="4"/>
        <v>54000000;64800000;43200000</v>
      </c>
      <c r="K69" s="1">
        <f ca="1">IFERROR(_xlfn.FLOOR.MATH($F69*控制台!K364/(控制台!O364*60)),"")</f>
        <v>885</v>
      </c>
      <c r="L69" s="1">
        <f ca="1">IFERROR(_xlfn.FLOOR.MATH($F69*控制台!L364/(控制台!P364*60)),"")</f>
        <v>759</v>
      </c>
      <c r="M69" s="1">
        <f ca="1">IFERROR(_xlfn.FLOOR.MATH($F69*控制台!M364/(控制台!Q364*60)),"")</f>
        <v>578</v>
      </c>
      <c r="N69" s="1">
        <f ca="1">IFERROR(_xlfn.FLOOR.MATH($F69*控制台!N364/(控制台!R364*60)),"")</f>
        <v>506</v>
      </c>
      <c r="O69" s="4" t="str">
        <f ca="1">控制台!W364</f>
        <v>brick;cement;steel;pitch</v>
      </c>
      <c r="P69" s="4" t="str">
        <f ca="1" t="shared" si="6"/>
        <v>885;759;578;506</v>
      </c>
      <c r="Q69" s="4">
        <f>_xlfn.FLOOR.MATH(K32/控制台!$H$291*控制台!$C$289,5)</f>
        <v>259200</v>
      </c>
      <c r="R69" s="4">
        <f>_xlfn.FLOOR.MATH(O32/控制台!$H$291*控制台!$C$289,5)</f>
        <v>299710</v>
      </c>
      <c r="S69" s="1" t="s">
        <v>2691</v>
      </c>
      <c r="T69" s="1" t="s">
        <v>2700</v>
      </c>
      <c r="U69" s="1">
        <f ca="1" t="shared" si="5"/>
        <v>1</v>
      </c>
    </row>
    <row r="70" spans="1:21">
      <c r="A70" s="1">
        <v>27</v>
      </c>
      <c r="B70" s="1" t="s">
        <v>142</v>
      </c>
      <c r="C70" s="1">
        <f>_xlfn.FLOOR.MATH(D34/控制台!$H$291*控制台!$C$289)</f>
        <v>67500000</v>
      </c>
      <c r="D70" s="1">
        <f>_xlfn.FLOOR.MATH(E34/控制台!$H$291*控制台!$C$289)</f>
        <v>81000000</v>
      </c>
      <c r="E70" s="1">
        <f>_xlfn.FLOOR.MATH(F34/控制台!$H$291*控制台!$C$289)</f>
        <v>54000000</v>
      </c>
      <c r="F70" s="1">
        <f ca="1">_xlfn.FLOOR.MATH(J34*60/控制台!$H$291*控制台!$C$289)</f>
        <v>6718464</v>
      </c>
      <c r="G70" s="1">
        <f>IFERROR(_xlfn.FLOOR.MATH(C70,POWER(10,MAX(0,INT(LOG10(C70)-2)))),"")</f>
        <v>67500000</v>
      </c>
      <c r="H70" s="1">
        <f>IFERROR(_xlfn.FLOOR.MATH(D70,POWER(10,MAX(0,INT(LOG10(D70)-2)))),"")</f>
        <v>81000000</v>
      </c>
      <c r="I70" s="1">
        <f>IFERROR(_xlfn.FLOOR.MATH(E70,POWER(10,MAX(0,INT(LOG10(E70)-2)))),"")</f>
        <v>54000000</v>
      </c>
      <c r="J70" s="4" t="str">
        <f t="shared" si="4"/>
        <v>67500000;81000000;54000000</v>
      </c>
      <c r="K70" s="1">
        <f ca="1">IFERROR(_xlfn.FLOOR.MATH($F70*控制台!K365/(控制台!O365*60)),"")</f>
        <v>763</v>
      </c>
      <c r="L70" s="1">
        <f ca="1">IFERROR(_xlfn.FLOOR.MATH($F70*控制台!L365/(控制台!P365*60)),"")</f>
        <v>581</v>
      </c>
      <c r="M70" s="1">
        <f ca="1">IFERROR(_xlfn.FLOOR.MATH($F70*控制台!M365/(控制台!Q365*60)),"")</f>
        <v>508</v>
      </c>
      <c r="N70" s="1">
        <f ca="1">IFERROR(_xlfn.FLOOR.MATH($F70*控制台!N365/(控制台!R365*60)),"")</f>
        <v>462</v>
      </c>
      <c r="O70" s="4" t="str">
        <f ca="1">控制台!W365</f>
        <v>cement;steel;pitch;concrete</v>
      </c>
      <c r="P70" s="4" t="str">
        <f ca="1" t="shared" si="6"/>
        <v>763;581;508;462</v>
      </c>
      <c r="Q70" s="4">
        <f>_xlfn.FLOOR.MATH(K33/控制台!$H$291*控制台!$C$289,5)</f>
        <v>648000</v>
      </c>
      <c r="R70" s="4">
        <f>_xlfn.FLOOR.MATH(O33/控制台!$H$291*控制台!$C$289,5)</f>
        <v>445960</v>
      </c>
      <c r="S70" s="1" t="s">
        <v>2701</v>
      </c>
      <c r="T70" s="1" t="s">
        <v>2702</v>
      </c>
      <c r="U70" s="1">
        <f ca="1" t="shared" si="5"/>
        <v>1</v>
      </c>
    </row>
    <row r="71" spans="1:21">
      <c r="A71" s="1">
        <v>28</v>
      </c>
      <c r="B71" s="1" t="s">
        <v>142</v>
      </c>
      <c r="C71" s="1">
        <f>_xlfn.FLOOR.MATH(D35/控制台!$H$291*控制台!$C$289)</f>
        <v>128250000</v>
      </c>
      <c r="D71" s="1">
        <f>_xlfn.FLOOR.MATH(E35/控制台!$H$291*控制台!$C$289)</f>
        <v>153900000</v>
      </c>
      <c r="E71" s="1">
        <f>_xlfn.FLOOR.MATH(F35/控制台!$H$291*控制台!$C$289)</f>
        <v>102600000</v>
      </c>
      <c r="F71" s="1">
        <f ca="1">_xlfn.FLOOR.MATH(J35*60/控制台!$H$291*控制台!$C$289)</f>
        <v>10933056</v>
      </c>
      <c r="G71" s="1">
        <f>IFERROR(_xlfn.FLOOR.MATH(C71,POWER(10,MAX(0,INT(LOG10(C71)-2)))),"")</f>
        <v>128000000</v>
      </c>
      <c r="H71" s="1">
        <f>IFERROR(_xlfn.FLOOR.MATH(D71,POWER(10,MAX(0,INT(LOG10(D71)-2)))),"")</f>
        <v>153000000</v>
      </c>
      <c r="I71" s="1">
        <f>IFERROR(_xlfn.FLOOR.MATH(E71,POWER(10,MAX(0,INT(LOG10(E71)-2)))),"")</f>
        <v>102000000</v>
      </c>
      <c r="J71" s="4" t="str">
        <f t="shared" si="4"/>
        <v>128000000;153000000;102000000</v>
      </c>
      <c r="K71" s="1">
        <f ca="1">IFERROR(_xlfn.FLOOR.MATH($F71*控制台!K366/(控制台!O366*60)),"")</f>
        <v>1801</v>
      </c>
      <c r="L71" s="1">
        <f ca="1">IFERROR(_xlfn.FLOOR.MATH($F71*控制台!L366/(控制台!P366*60)),"")</f>
        <v>1544</v>
      </c>
      <c r="M71" s="1">
        <f ca="1">IFERROR(_xlfn.FLOOR.MATH($F71*控制台!M366/(控制台!Q366*60)),"")</f>
        <v>1176</v>
      </c>
      <c r="N71" s="1">
        <f ca="1">IFERROR(_xlfn.FLOOR.MATH($F71*控制台!N366/(控制台!R366*60)),"")</f>
        <v>935</v>
      </c>
      <c r="O71" s="4" t="str">
        <f ca="1">控制台!W366</f>
        <v>brick;cement;steel;concrete</v>
      </c>
      <c r="P71" s="4" t="str">
        <f ca="1" t="shared" si="6"/>
        <v>1801;1544;1176;935</v>
      </c>
      <c r="Q71" s="4">
        <f>_xlfn.FLOOR.MATH(K34/控制台!$H$291*控制台!$C$289,5)</f>
        <v>810000</v>
      </c>
      <c r="R71" s="4">
        <f>_xlfn.FLOOR.MATH(O34/控制台!$H$291*控制台!$C$289,5)</f>
        <v>656900</v>
      </c>
      <c r="S71" s="1" t="s">
        <v>2703</v>
      </c>
      <c r="T71" s="1" t="s">
        <v>2704</v>
      </c>
      <c r="U71" s="1">
        <f ca="1" t="shared" si="5"/>
        <v>1</v>
      </c>
    </row>
    <row r="72" spans="1:21">
      <c r="A72" s="1">
        <v>29</v>
      </c>
      <c r="B72" s="1" t="s">
        <v>142</v>
      </c>
      <c r="C72" s="1">
        <f>_xlfn.FLOOR.MATH(D36/控制台!$H$291*控制台!$C$289)</f>
        <v>129600000</v>
      </c>
      <c r="D72" s="1">
        <f>_xlfn.FLOOR.MATH(E36/控制台!$H$291*控制台!$C$289)</f>
        <v>155520000</v>
      </c>
      <c r="E72" s="1">
        <f>_xlfn.FLOOR.MATH(F36/控制台!$H$291*控制台!$C$289)</f>
        <v>103680000</v>
      </c>
      <c r="F72" s="1">
        <f ca="1">_xlfn.FLOOR.MATH(J36*60/控制台!$H$291*控制台!$C$289)</f>
        <v>11163225</v>
      </c>
      <c r="G72" s="1">
        <f>IFERROR(_xlfn.FLOOR.MATH(C72,POWER(10,MAX(0,INT(LOG10(C72)-2)))),"")</f>
        <v>129000000</v>
      </c>
      <c r="H72" s="1">
        <f>IFERROR(_xlfn.FLOOR.MATH(D72,POWER(10,MAX(0,INT(LOG10(D72)-2)))),"")</f>
        <v>155000000</v>
      </c>
      <c r="I72" s="1">
        <f>IFERROR(_xlfn.FLOOR.MATH(E72,POWER(10,MAX(0,INT(LOG10(E72)-2)))),"")</f>
        <v>103000000</v>
      </c>
      <c r="J72" s="4" t="str">
        <f t="shared" si="4"/>
        <v>129000000;155000000;103000000</v>
      </c>
      <c r="K72" s="1">
        <f ca="1">IFERROR(_xlfn.FLOOR.MATH($F72*控制台!K367/(控制台!O367*60)),"")</f>
        <v>2044</v>
      </c>
      <c r="L72" s="1">
        <f ca="1">IFERROR(_xlfn.FLOOR.MATH($F72*控制台!L367/(控制台!P367*60)),"")</f>
        <v>1533</v>
      </c>
      <c r="M72" s="1">
        <f ca="1">IFERROR(_xlfn.FLOOR.MATH($F72*控制台!M367/(控制台!Q367*60)),"")</f>
        <v>1022</v>
      </c>
      <c r="N72" s="1">
        <f ca="1">IFERROR(_xlfn.FLOOR.MATH($F72*控制台!N367/(控制台!R367*60)),"")</f>
        <v>929</v>
      </c>
      <c r="O72" s="4" t="str">
        <f ca="1">控制台!W367</f>
        <v>board;cement;pitch;concrete</v>
      </c>
      <c r="P72" s="4" t="str">
        <f ca="1" t="shared" si="6"/>
        <v>2044;1533;1022;929</v>
      </c>
      <c r="Q72" s="4">
        <f>_xlfn.FLOOR.MATH(K35/控制台!$H$291*控制台!$C$289,5)</f>
        <v>1539000</v>
      </c>
      <c r="R72" s="4">
        <f>_xlfn.FLOOR.MATH(O35/控制台!$H$291*控制台!$C$289,5)</f>
        <v>1004245</v>
      </c>
      <c r="S72" s="1" t="s">
        <v>2705</v>
      </c>
      <c r="T72" s="1" t="s">
        <v>2706</v>
      </c>
      <c r="U72" s="1">
        <f ca="1" t="shared" si="5"/>
        <v>1</v>
      </c>
    </row>
    <row r="73" spans="1:21">
      <c r="A73" s="1">
        <v>30</v>
      </c>
      <c r="B73" s="1" t="s">
        <v>142</v>
      </c>
      <c r="C73" s="1">
        <f>_xlfn.FLOOR.MATH(D37/控制台!$H$291*控制台!$C$289)</f>
        <v>132300000</v>
      </c>
      <c r="D73" s="1">
        <f>_xlfn.FLOOR.MATH(E37/控制台!$H$291*控制台!$C$289)</f>
        <v>158760000</v>
      </c>
      <c r="E73" s="1">
        <f>_xlfn.FLOOR.MATH(F37/控制台!$H$291*控制台!$C$289)</f>
        <v>105840000</v>
      </c>
      <c r="F73" s="1">
        <f ca="1">_xlfn.FLOOR.MATH(J37*60/控制台!$H$291*控制台!$C$289)</f>
        <v>11393395</v>
      </c>
      <c r="G73" s="1">
        <f>IFERROR(_xlfn.FLOOR.MATH(C73,POWER(10,MAX(0,INT(LOG10(C73)-2)))),"")</f>
        <v>132000000</v>
      </c>
      <c r="H73" s="1">
        <f>IFERROR(_xlfn.FLOOR.MATH(D73,POWER(10,MAX(0,INT(LOG10(D73)-2)))),"")</f>
        <v>158000000</v>
      </c>
      <c r="I73" s="1">
        <f>IFERROR(_xlfn.FLOOR.MATH(E73,POWER(10,MAX(0,INT(LOG10(E73)-2)))),"")</f>
        <v>105000000</v>
      </c>
      <c r="J73" s="4" t="str">
        <f t="shared" si="4"/>
        <v>132000000;158000000;105000000</v>
      </c>
      <c r="K73" s="1">
        <f ca="1">IFERROR(_xlfn.FLOOR.MATH($F73*控制台!K368/(控制台!O368*60)),"")</f>
        <v>1686</v>
      </c>
      <c r="L73" s="1">
        <f ca="1">IFERROR(_xlfn.FLOOR.MATH($F73*控制台!L368/(控制台!P368*60)),"")</f>
        <v>1101</v>
      </c>
      <c r="M73" s="1">
        <f ca="1">IFERROR(_xlfn.FLOOR.MATH($F73*控制台!M368/(控制台!Q368*60)),"")</f>
        <v>963</v>
      </c>
      <c r="N73" s="1">
        <f ca="1">IFERROR(_xlfn.FLOOR.MATH($F73*控制台!N368/(控制台!R368*60)),"")</f>
        <v>876</v>
      </c>
      <c r="O73" s="4" t="str">
        <f ca="1">控制台!W368</f>
        <v>brick;steel;pitch;concrete</v>
      </c>
      <c r="P73" s="4" t="str">
        <f ca="1" t="shared" si="6"/>
        <v>1686;1101;963;876</v>
      </c>
      <c r="Q73" s="4">
        <f>_xlfn.FLOOR.MATH(K36/控制台!$H$291*控制台!$C$289,5)</f>
        <v>1555200</v>
      </c>
      <c r="R73" s="4">
        <f>_xlfn.FLOOR.MATH(O36/控制台!$H$291*控制台!$C$289,5)</f>
        <v>1358055</v>
      </c>
      <c r="S73" s="1" t="s">
        <v>2707</v>
      </c>
      <c r="T73" s="1" t="s">
        <v>2708</v>
      </c>
      <c r="U73" s="1">
        <f ca="1" t="shared" si="5"/>
        <v>1</v>
      </c>
    </row>
    <row r="74" spans="1:21">
      <c r="A74" s="1">
        <v>31</v>
      </c>
      <c r="B74" s="1" t="s">
        <v>142</v>
      </c>
      <c r="C74" s="1">
        <f>_xlfn.FLOOR.MATH(D38/控制台!$H$291*控制台!$C$289)</f>
        <v>135000000</v>
      </c>
      <c r="D74" s="1">
        <f>_xlfn.FLOOR.MATH(E38/控制台!$H$291*控制台!$C$289)</f>
        <v>162000000</v>
      </c>
      <c r="E74" s="1">
        <f>_xlfn.FLOOR.MATH(F38/控制台!$H$291*控制台!$C$289)</f>
        <v>108000000</v>
      </c>
      <c r="F74" s="1">
        <f ca="1">_xlfn.FLOOR.MATH(J38*60/控制台!$H$291*控制台!$C$289)</f>
        <v>11819520</v>
      </c>
      <c r="G74" s="1">
        <f>IFERROR(_xlfn.FLOOR.MATH(C74,POWER(10,MAX(0,INT(LOG10(C74)-2)))),"")</f>
        <v>135000000</v>
      </c>
      <c r="H74" s="1">
        <f>IFERROR(_xlfn.FLOOR.MATH(D74,POWER(10,MAX(0,INT(LOG10(D74)-2)))),"")</f>
        <v>162000000</v>
      </c>
      <c r="I74" s="1">
        <f>IFERROR(_xlfn.FLOOR.MATH(E74,POWER(10,MAX(0,INT(LOG10(E74)-2)))),"")</f>
        <v>108000000</v>
      </c>
      <c r="J74" s="4" t="str">
        <f t="shared" si="4"/>
        <v>135000000;162000000;108000000</v>
      </c>
      <c r="K74" s="1">
        <f ca="1">IFERROR(_xlfn.FLOOR.MATH($F74*控制台!K369/(控制台!O369*60)),"")</f>
        <v>1343</v>
      </c>
      <c r="L74" s="1">
        <f ca="1">IFERROR(_xlfn.FLOOR.MATH($F74*控制台!L369/(控制台!P369*60)),"")</f>
        <v>1023</v>
      </c>
      <c r="M74" s="1">
        <f ca="1">IFERROR(_xlfn.FLOOR.MATH($F74*控制台!M369/(控制台!Q369*60)),"")</f>
        <v>895</v>
      </c>
      <c r="N74" s="1">
        <f ca="1">IFERROR(_xlfn.FLOOR.MATH($F74*控制台!N369/(控制台!R369*60)),"")</f>
        <v>814</v>
      </c>
      <c r="O74" s="4" t="str">
        <f ca="1">控制台!W369</f>
        <v>cement;steel;pitch;concrete</v>
      </c>
      <c r="P74" s="4" t="str">
        <f ca="1" t="shared" si="6"/>
        <v>1343;1023;895;814</v>
      </c>
      <c r="Q74" s="4">
        <f>_xlfn.FLOOR.MATH(K37/控制台!$H$291*控制台!$C$289,5)</f>
        <v>1587600</v>
      </c>
      <c r="R74" s="4">
        <f>_xlfn.FLOOR.MATH(O37/控制台!$H$291*控制台!$C$289,5)</f>
        <v>1719180</v>
      </c>
      <c r="S74" s="1" t="s">
        <v>2701</v>
      </c>
      <c r="T74" s="1" t="s">
        <v>2709</v>
      </c>
      <c r="U74" s="1">
        <f ca="1" t="shared" si="5"/>
        <v>1</v>
      </c>
    </row>
    <row r="75" spans="1:21">
      <c r="A75" s="1">
        <v>32</v>
      </c>
      <c r="B75" s="1" t="s">
        <v>142</v>
      </c>
      <c r="G75" s="1" t="str">
        <f>IFERROR(_xlfn.FLOOR.MATH(C75,POWER(10,MAX(0,INT(LOG10(C75)-2)))),"")</f>
        <v/>
      </c>
      <c r="H75" s="1" t="str">
        <f>IFERROR(_xlfn.FLOOR.MATH(D75,POWER(10,MAX(0,INT(LOG10(D75)-2)))),"")</f>
        <v/>
      </c>
      <c r="I75" s="1" t="str">
        <f>IFERROR(_xlfn.FLOOR.MATH(E75,POWER(10,MAX(0,INT(LOG10(E75)-2)))),"")</f>
        <v/>
      </c>
      <c r="J75" s="4" t="str">
        <f t="shared" si="4"/>
        <v/>
      </c>
      <c r="O75" s="4"/>
      <c r="P75" s="4" t="str">
        <f t="shared" si="6"/>
        <v/>
      </c>
      <c r="Q75" s="4">
        <f>_xlfn.FLOOR.MATH(K38/控制台!$H$291*控制台!$C$289,5)</f>
        <v>1620000</v>
      </c>
      <c r="R75" s="4">
        <f>_xlfn.FLOOR.MATH(O38/控制台!$H$291*控制台!$C$289,5)</f>
        <v>2084805</v>
      </c>
      <c r="U75" s="1">
        <f t="shared" si="5"/>
        <v>1</v>
      </c>
    </row>
    <row r="76" spans="1:21">
      <c r="A76" s="1">
        <v>0</v>
      </c>
      <c r="B76" s="1" t="s">
        <v>156</v>
      </c>
      <c r="C76" s="1">
        <f>_xlfn.FLOOR.MATH(D7/控制台!$H$291*控制台!$D$289)</f>
        <v>2700</v>
      </c>
      <c r="D76" s="1">
        <f>_xlfn.FLOOR.MATH(E7/控制台!$H$291*控制台!$D$289)</f>
        <v>3240</v>
      </c>
      <c r="E76" s="1">
        <f>_xlfn.FLOOR.MATH(F7/控制台!$H$291*控制台!$D$289)</f>
        <v>2160</v>
      </c>
      <c r="F76" s="1">
        <f ca="1">_xlfn.FLOOR.MATH(J7*60/控制台!$H$291*控制台!$D$289)</f>
        <v>414</v>
      </c>
      <c r="G76" s="1">
        <f>IFERROR(_xlfn.FLOOR.MATH(C76,POWER(10,MAX(0,INT(LOG10(C76)-2)))),"")</f>
        <v>2700</v>
      </c>
      <c r="H76" s="1">
        <f>IFERROR(_xlfn.FLOOR.MATH(D76,POWER(10,MAX(0,INT(LOG10(D76)-2)))),"")</f>
        <v>3240</v>
      </c>
      <c r="I76" s="1">
        <f>IFERROR(_xlfn.FLOOR.MATH(E76,POWER(10,MAX(0,INT(LOG10(E76)-2)))),"")</f>
        <v>2160</v>
      </c>
      <c r="J76" s="4" t="str">
        <f t="shared" si="4"/>
        <v>2700;3240;2160</v>
      </c>
      <c r="K76" s="1">
        <f ca="1">IFERROR(_xlfn.FLOOR.MATH($F76*控制台!K338/(控制台!O338*60)),"")</f>
        <v>6</v>
      </c>
      <c r="L76" s="1" t="str">
        <f ca="1">IFERROR(_xlfn.FLOOR.MATH($F76*控制台!L338/(控制台!P338*60)),"")</f>
        <v/>
      </c>
      <c r="M76" s="1" t="str">
        <f ca="1">IFERROR(_xlfn.FLOOR.MATH($F76*控制台!M338/(控制台!Q338*60)),"")</f>
        <v/>
      </c>
      <c r="N76" s="1" t="str">
        <f ca="1">IFERROR(_xlfn.FLOOR.MATH($F76*控制台!N338/(控制台!R338*60)),"")</f>
        <v/>
      </c>
      <c r="O76" s="6" t="s">
        <v>143</v>
      </c>
      <c r="P76" s="6">
        <v>1</v>
      </c>
      <c r="Q76" s="6">
        <v>0</v>
      </c>
      <c r="R76" s="4">
        <f>_xlfn.FLOOR.MATH(O6/控制台!$H$291*控制台!$D$289,5)</f>
        <v>0</v>
      </c>
      <c r="S76" s="1" t="s">
        <v>143</v>
      </c>
      <c r="T76" s="1">
        <v>1</v>
      </c>
      <c r="U76" s="1">
        <f t="shared" si="5"/>
        <v>1</v>
      </c>
    </row>
    <row r="77" spans="1:21">
      <c r="A77" s="1">
        <v>1</v>
      </c>
      <c r="B77" s="1" t="s">
        <v>156</v>
      </c>
      <c r="C77" s="1">
        <f>_xlfn.FLOOR.MATH(D8/控制台!$H$291*控制台!$D$289)</f>
        <v>5400</v>
      </c>
      <c r="D77" s="1">
        <f>_xlfn.FLOOR.MATH(E8/控制台!$H$291*控制台!$D$289)</f>
        <v>6480</v>
      </c>
      <c r="E77" s="1">
        <f>_xlfn.FLOOR.MATH(F8/控制台!$H$291*控制台!$D$289)</f>
        <v>4320</v>
      </c>
      <c r="F77" s="1">
        <f ca="1">_xlfn.FLOOR.MATH(J8*60/控制台!$H$291*控制台!$D$289)</f>
        <v>829</v>
      </c>
      <c r="G77" s="1">
        <f>IFERROR(_xlfn.FLOOR.MATH(C77,POWER(10,MAX(0,INT(LOG10(C77)-2)))),"")</f>
        <v>5400</v>
      </c>
      <c r="H77" s="1">
        <f>IFERROR(_xlfn.FLOOR.MATH(D77,POWER(10,MAX(0,INT(LOG10(D77)-2)))),"")</f>
        <v>6480</v>
      </c>
      <c r="I77" s="1">
        <f>IFERROR(_xlfn.FLOOR.MATH(E77,POWER(10,MAX(0,INT(LOG10(E77)-2)))),"")</f>
        <v>4320</v>
      </c>
      <c r="J77" s="4" t="str">
        <f t="shared" si="4"/>
        <v>5400;6480;4320</v>
      </c>
      <c r="K77" s="1">
        <f ca="1">IFERROR(_xlfn.FLOOR.MATH($F77*控制台!K339/(控制台!O339*60)),"")</f>
        <v>13</v>
      </c>
      <c r="L77" s="1" t="str">
        <f ca="1">IFERROR(_xlfn.FLOOR.MATH($F77*控制台!L339/(控制台!P339*60)),"")</f>
        <v/>
      </c>
      <c r="M77" s="1" t="str">
        <f ca="1">IFERROR(_xlfn.FLOOR.MATH($F77*控制台!M339/(控制台!Q339*60)),"")</f>
        <v/>
      </c>
      <c r="N77" s="1" t="str">
        <f ca="1">IFERROR(_xlfn.FLOOR.MATH($F77*控制台!N339/(控制台!R339*60)),"")</f>
        <v/>
      </c>
      <c r="O77" s="6" t="s">
        <v>143</v>
      </c>
      <c r="P77" s="6">
        <v>3</v>
      </c>
      <c r="Q77" s="6">
        <v>10</v>
      </c>
      <c r="R77" s="4">
        <f>_xlfn.FLOOR.MATH(O7/控制台!$H$291*控制台!$D$289,5)</f>
        <v>20</v>
      </c>
      <c r="S77" s="1" t="s">
        <v>143</v>
      </c>
      <c r="T77" s="1">
        <v>3</v>
      </c>
      <c r="U77" s="1">
        <f t="shared" si="5"/>
        <v>1</v>
      </c>
    </row>
    <row r="78" spans="1:21">
      <c r="A78" s="1">
        <v>2</v>
      </c>
      <c r="B78" s="1" t="s">
        <v>156</v>
      </c>
      <c r="C78" s="1">
        <f>_xlfn.FLOOR.MATH(D9/控制台!$H$291*控制台!$D$289)</f>
        <v>8100</v>
      </c>
      <c r="D78" s="1">
        <f>_xlfn.FLOOR.MATH(E9/控制台!$H$291*控制台!$D$289)</f>
        <v>9720</v>
      </c>
      <c r="E78" s="1">
        <f>_xlfn.FLOOR.MATH(F9/控制台!$H$291*控制台!$D$289)</f>
        <v>6480</v>
      </c>
      <c r="F78" s="1">
        <f ca="1">_xlfn.FLOOR.MATH(J9*60/控制台!$H$291*控制台!$D$289)</f>
        <v>1244</v>
      </c>
      <c r="G78" s="1">
        <f>IFERROR(_xlfn.FLOOR.MATH(C78,POWER(10,MAX(0,INT(LOG10(C78)-2)))),"")</f>
        <v>8100</v>
      </c>
      <c r="H78" s="1">
        <f>IFERROR(_xlfn.FLOOR.MATH(D78,POWER(10,MAX(0,INT(LOG10(D78)-2)))),"")</f>
        <v>9720</v>
      </c>
      <c r="I78" s="1">
        <f>IFERROR(_xlfn.FLOOR.MATH(E78,POWER(10,MAX(0,INT(LOG10(E78)-2)))),"")</f>
        <v>6480</v>
      </c>
      <c r="J78" s="4" t="str">
        <f t="shared" si="4"/>
        <v>8100;9720;6480</v>
      </c>
      <c r="K78" s="1">
        <f ca="1">IFERROR(_xlfn.FLOOR.MATH($F78*控制台!K340/(控制台!O340*60)),"")</f>
        <v>4</v>
      </c>
      <c r="L78" s="1">
        <f ca="1">IFERROR(_xlfn.FLOOR.MATH($F78*控制台!L340/(控制台!P340*60)),"")</f>
        <v>4</v>
      </c>
      <c r="M78" s="1" t="str">
        <f ca="1">IFERROR(_xlfn.FLOOR.MATH($F78*控制台!M340/(控制台!Q340*60)),"")</f>
        <v/>
      </c>
      <c r="N78" s="1" t="str">
        <f ca="1">IFERROR(_xlfn.FLOOR.MATH($F78*控制台!N340/(控制台!R340*60)),"")</f>
        <v/>
      </c>
      <c r="O78" s="6" t="s">
        <v>147</v>
      </c>
      <c r="P78" s="6">
        <v>2</v>
      </c>
      <c r="Q78" s="6">
        <v>30</v>
      </c>
      <c r="R78" s="4">
        <f>_xlfn.FLOOR.MATH(O8/控制台!$H$291*控制台!$D$289,5)</f>
        <v>60</v>
      </c>
      <c r="S78" s="1" t="s">
        <v>147</v>
      </c>
      <c r="T78" s="1">
        <v>2</v>
      </c>
      <c r="U78" s="1">
        <f t="shared" si="5"/>
        <v>1</v>
      </c>
    </row>
    <row r="79" spans="1:21">
      <c r="A79" s="1">
        <v>3</v>
      </c>
      <c r="B79" s="1" t="s">
        <v>156</v>
      </c>
      <c r="C79" s="1">
        <f>_xlfn.FLOOR.MATH(D10/控制台!$H$291*控制台!$D$289)</f>
        <v>10800</v>
      </c>
      <c r="D79" s="1">
        <f>_xlfn.FLOOR.MATH(E10/控制台!$H$291*控制台!$D$289)</f>
        <v>12960</v>
      </c>
      <c r="E79" s="1">
        <f>_xlfn.FLOOR.MATH(F10/控制台!$H$291*控制台!$D$289)</f>
        <v>8640</v>
      </c>
      <c r="F79" s="1">
        <f ca="1">_xlfn.FLOOR.MATH(J10*60/控制台!$H$291*控制台!$D$289)</f>
        <v>2073</v>
      </c>
      <c r="G79" s="1">
        <f>IFERROR(_xlfn.FLOOR.MATH(C79,POWER(10,MAX(0,INT(LOG10(C79)-2)))),"")</f>
        <v>10800</v>
      </c>
      <c r="H79" s="1">
        <f>IFERROR(_xlfn.FLOOR.MATH(D79,POWER(10,MAX(0,INT(LOG10(D79)-2)))),"")</f>
        <v>12900</v>
      </c>
      <c r="I79" s="1">
        <f>IFERROR(_xlfn.FLOOR.MATH(E79,POWER(10,MAX(0,INT(LOG10(E79)-2)))),"")</f>
        <v>8640</v>
      </c>
      <c r="J79" s="4" t="str">
        <f t="shared" si="4"/>
        <v>10800;12900;8640</v>
      </c>
      <c r="K79" s="1">
        <f ca="1">IFERROR(_xlfn.FLOOR.MATH($F79*控制台!K341/(控制台!O341*60)),"")</f>
        <v>7</v>
      </c>
      <c r="L79" s="1">
        <f ca="1">IFERROR(_xlfn.FLOOR.MATH($F79*控制台!L341/(控制台!P341*60)),"")</f>
        <v>6</v>
      </c>
      <c r="M79" s="1" t="str">
        <f ca="1">IFERROR(_xlfn.FLOOR.MATH($F79*控制台!M341/(控制台!Q341*60)),"")</f>
        <v/>
      </c>
      <c r="N79" s="1" t="str">
        <f ca="1">IFERROR(_xlfn.FLOOR.MATH($F79*控制台!N341/(控制台!R341*60)),"")</f>
        <v/>
      </c>
      <c r="O79" s="6" t="s">
        <v>147</v>
      </c>
      <c r="P79" s="6">
        <v>2</v>
      </c>
      <c r="Q79" s="6">
        <v>50</v>
      </c>
      <c r="R79" s="4">
        <f>_xlfn.FLOOR.MATH(O9/控制台!$H$291*控制台!$D$289,5)</f>
        <v>120</v>
      </c>
      <c r="S79" s="1" t="s">
        <v>147</v>
      </c>
      <c r="T79" s="1">
        <v>2</v>
      </c>
      <c r="U79" s="1">
        <f t="shared" si="5"/>
        <v>1</v>
      </c>
    </row>
    <row r="80" spans="1:21">
      <c r="A80" s="1">
        <v>4</v>
      </c>
      <c r="B80" s="1" t="s">
        <v>156</v>
      </c>
      <c r="C80" s="1">
        <f>_xlfn.FLOOR.MATH(D11/控制台!$H$291*控制台!$D$289)</f>
        <v>18000</v>
      </c>
      <c r="D80" s="1">
        <f>_xlfn.FLOOR.MATH(E11/控制台!$H$291*控制台!$D$289)</f>
        <v>21600</v>
      </c>
      <c r="E80" s="1">
        <f>_xlfn.FLOOR.MATH(F11/控制台!$H$291*控制台!$D$289)</f>
        <v>14400</v>
      </c>
      <c r="F80" s="1">
        <f ca="1">_xlfn.FLOOR.MATH(J11*60/控制台!$H$291*控制台!$D$289)</f>
        <v>3317</v>
      </c>
      <c r="G80" s="1">
        <f>IFERROR(_xlfn.FLOOR.MATH(C80,POWER(10,MAX(0,INT(LOG10(C80)-2)))),"")</f>
        <v>18000</v>
      </c>
      <c r="H80" s="1">
        <f>IFERROR(_xlfn.FLOOR.MATH(D80,POWER(10,MAX(0,INT(LOG10(D80)-2)))),"")</f>
        <v>21600</v>
      </c>
      <c r="I80" s="1">
        <f>IFERROR(_xlfn.FLOOR.MATH(E80,POWER(10,MAX(0,INT(LOG10(E80)-2)))),"")</f>
        <v>14400</v>
      </c>
      <c r="J80" s="4" t="str">
        <f t="shared" si="4"/>
        <v>18000;21600;14400</v>
      </c>
      <c r="K80" s="1">
        <f ca="1">IFERROR(_xlfn.FLOOR.MATH($F80*控制台!K342/(控制台!O342*60)),"")</f>
        <v>12</v>
      </c>
      <c r="L80" s="1">
        <f ca="1">IFERROR(_xlfn.FLOOR.MATH($F80*控制台!L342/(控制台!P342*60)),"")</f>
        <v>10</v>
      </c>
      <c r="M80" s="1" t="str">
        <f ca="1">IFERROR(_xlfn.FLOOR.MATH($F80*控制台!M342/(控制台!Q342*60)),"")</f>
        <v/>
      </c>
      <c r="N80" s="1" t="str">
        <f ca="1">IFERROR(_xlfn.FLOOR.MATH($F80*控制台!N342/(控制台!R342*60)),"")</f>
        <v/>
      </c>
      <c r="O80" s="6" t="s">
        <v>152</v>
      </c>
      <c r="P80" s="6" t="s">
        <v>160</v>
      </c>
      <c r="Q80" s="6">
        <v>125</v>
      </c>
      <c r="R80" s="4">
        <f>_xlfn.FLOOR.MATH(O10/控制台!$H$291*控制台!$D$289,5)</f>
        <v>220</v>
      </c>
      <c r="S80" s="1" t="s">
        <v>152</v>
      </c>
      <c r="T80" s="1" t="s">
        <v>160</v>
      </c>
      <c r="U80" s="1">
        <f t="shared" si="5"/>
        <v>1</v>
      </c>
    </row>
    <row r="81" spans="1:21">
      <c r="A81" s="1">
        <v>5</v>
      </c>
      <c r="B81" s="1" t="s">
        <v>156</v>
      </c>
      <c r="C81" s="1">
        <f>_xlfn.FLOOR.MATH(D12/控制台!$H$291*控制台!$D$289)</f>
        <v>36000</v>
      </c>
      <c r="D81" s="1">
        <f>_xlfn.FLOOR.MATH(E12/控制台!$H$291*控制台!$D$289)</f>
        <v>43200</v>
      </c>
      <c r="E81" s="1">
        <f>_xlfn.FLOOR.MATH(F12/控制台!$H$291*控制台!$D$289)</f>
        <v>28800</v>
      </c>
      <c r="F81" s="1">
        <f ca="1">_xlfn.FLOOR.MATH(J12*60/控制台!$H$291*控制台!$D$289)</f>
        <v>6220</v>
      </c>
      <c r="G81" s="1">
        <f>IFERROR(_xlfn.FLOOR.MATH(C81,POWER(10,MAX(0,INT(LOG10(C81)-2)))),"")</f>
        <v>36000</v>
      </c>
      <c r="H81" s="1">
        <f>IFERROR(_xlfn.FLOOR.MATH(D81,POWER(10,MAX(0,INT(LOG10(D81)-2)))),"")</f>
        <v>43200</v>
      </c>
      <c r="I81" s="1">
        <f>IFERROR(_xlfn.FLOOR.MATH(E81,POWER(10,MAX(0,INT(LOG10(E81)-2)))),"")</f>
        <v>28800</v>
      </c>
      <c r="J81" s="4" t="str">
        <f t="shared" si="4"/>
        <v>36000;43200;28800</v>
      </c>
      <c r="K81" s="1">
        <f ca="1">IFERROR(_xlfn.FLOOR.MATH($F81*控制台!K343/(控制台!O343*60)),"")</f>
        <v>23</v>
      </c>
      <c r="L81" s="1">
        <f ca="1">IFERROR(_xlfn.FLOOR.MATH($F81*控制台!L343/(控制台!P343*60)),"")</f>
        <v>20</v>
      </c>
      <c r="M81" s="1" t="str">
        <f ca="1">IFERROR(_xlfn.FLOOR.MATH($F81*控制台!M343/(控制台!Q343*60)),"")</f>
        <v/>
      </c>
      <c r="N81" s="1" t="str">
        <f ca="1">IFERROR(_xlfn.FLOOR.MATH($F81*控制台!N343/(控制台!R343*60)),"")</f>
        <v/>
      </c>
      <c r="O81" s="6" t="s">
        <v>144</v>
      </c>
      <c r="P81" s="6" t="s">
        <v>162</v>
      </c>
      <c r="Q81" s="6">
        <v>215</v>
      </c>
      <c r="R81" s="4">
        <f>_xlfn.FLOOR.MATH(O11/控制台!$H$291*控制台!$D$289,5)</f>
        <v>380</v>
      </c>
      <c r="S81" s="1" t="s">
        <v>144</v>
      </c>
      <c r="T81" s="1" t="s">
        <v>162</v>
      </c>
      <c r="U81" s="1">
        <f t="shared" si="5"/>
        <v>1</v>
      </c>
    </row>
    <row r="82" spans="1:21">
      <c r="A82" s="1">
        <v>6</v>
      </c>
      <c r="B82" s="1" t="s">
        <v>156</v>
      </c>
      <c r="C82" s="1">
        <f>_xlfn.FLOOR.MATH(D13/控制台!$H$291*控制台!$D$289)</f>
        <v>54000</v>
      </c>
      <c r="D82" s="1">
        <f>_xlfn.FLOOR.MATH(E13/控制台!$H$291*控制台!$D$289)</f>
        <v>64800</v>
      </c>
      <c r="E82" s="1">
        <f>_xlfn.FLOOR.MATH(F13/控制台!$H$291*控制台!$D$289)</f>
        <v>43200</v>
      </c>
      <c r="F82" s="1">
        <f ca="1">_xlfn.FLOOR.MATH(J13*60/控制台!$H$291*控制台!$D$289)</f>
        <v>12441</v>
      </c>
      <c r="G82" s="1">
        <f>IFERROR(_xlfn.FLOOR.MATH(C82,POWER(10,MAX(0,INT(LOG10(C82)-2)))),"")</f>
        <v>54000</v>
      </c>
      <c r="H82" s="1">
        <f>IFERROR(_xlfn.FLOOR.MATH(D82,POWER(10,MAX(0,INT(LOG10(D82)-2)))),"")</f>
        <v>64800</v>
      </c>
      <c r="I82" s="1">
        <f>IFERROR(_xlfn.FLOOR.MATH(E82,POWER(10,MAX(0,INT(LOG10(E82)-2)))),"")</f>
        <v>43200</v>
      </c>
      <c r="J82" s="4" t="str">
        <f t="shared" si="4"/>
        <v>54000;64800;43200</v>
      </c>
      <c r="K82" s="1">
        <f ca="1">IFERROR(_xlfn.FLOOR.MATH($F82*控制台!K344/(控制台!O344*60)),"")</f>
        <v>10</v>
      </c>
      <c r="L82" s="1">
        <f ca="1">IFERROR(_xlfn.FLOOR.MATH($F82*控制台!L344/(控制台!P344*60)),"")</f>
        <v>9</v>
      </c>
      <c r="M82" s="1">
        <f ca="1">IFERROR(_xlfn.FLOOR.MATH($F82*控制台!M344/(控制台!Q344*60)),"")</f>
        <v>7</v>
      </c>
      <c r="N82" s="1" t="str">
        <f ca="1">IFERROR(_xlfn.FLOOR.MATH($F82*控制台!N344/(控制台!R344*60)),"")</f>
        <v/>
      </c>
      <c r="O82" s="4" t="str">
        <f ca="1">控制台!W344</f>
        <v>board;brick;cement</v>
      </c>
      <c r="P82" s="4" t="str">
        <f ca="1" t="shared" si="6"/>
        <v>10;9;7</v>
      </c>
      <c r="Q82" s="4">
        <f>_xlfn.FLOOR.MATH(K12/控制台!$H$291*控制台!$D$289,5)</f>
        <v>430</v>
      </c>
      <c r="R82" s="4">
        <f>_xlfn.FLOOR.MATH(O12/控制台!$H$291*控制台!$D$289,5)</f>
        <v>685</v>
      </c>
      <c r="S82" s="1" t="s">
        <v>152</v>
      </c>
      <c r="T82" s="1" t="s">
        <v>2710</v>
      </c>
      <c r="U82" s="1">
        <f ca="1" t="shared" si="5"/>
        <v>1</v>
      </c>
    </row>
    <row r="83" spans="1:21">
      <c r="A83" s="1">
        <v>7</v>
      </c>
      <c r="B83" s="1" t="s">
        <v>156</v>
      </c>
      <c r="C83" s="1">
        <f>_xlfn.FLOOR.MATH(D14/控制台!$H$291*控制台!$D$289)</f>
        <v>72000</v>
      </c>
      <c r="D83" s="1">
        <f>_xlfn.FLOOR.MATH(E14/控制台!$H$291*控制台!$D$289)</f>
        <v>86400</v>
      </c>
      <c r="E83" s="1">
        <f>_xlfn.FLOOR.MATH(F14/控制台!$H$291*控制台!$D$289)</f>
        <v>57600</v>
      </c>
      <c r="F83" s="1">
        <f ca="1">_xlfn.FLOOR.MATH(J14*60/控制台!$H$291*控制台!$D$289)</f>
        <v>16588</v>
      </c>
      <c r="G83" s="1">
        <f>IFERROR(_xlfn.FLOOR.MATH(C83,POWER(10,MAX(0,INT(LOG10(C83)-2)))),"")</f>
        <v>72000</v>
      </c>
      <c r="H83" s="1">
        <f>IFERROR(_xlfn.FLOOR.MATH(D83,POWER(10,MAX(0,INT(LOG10(D83)-2)))),"")</f>
        <v>86400</v>
      </c>
      <c r="I83" s="1">
        <f>IFERROR(_xlfn.FLOOR.MATH(E83,POWER(10,MAX(0,INT(LOG10(E83)-2)))),"")</f>
        <v>57600</v>
      </c>
      <c r="J83" s="4" t="str">
        <f t="shared" si="4"/>
        <v>72000;86400;57600</v>
      </c>
      <c r="K83" s="1">
        <f ca="1">IFERROR(_xlfn.FLOOR.MATH($F83*控制台!K345/(控制台!O345*60)),"")</f>
        <v>14</v>
      </c>
      <c r="L83" s="1">
        <f ca="1">IFERROR(_xlfn.FLOOR.MATH($F83*控制台!L345/(控制台!P345*60)),"")</f>
        <v>12</v>
      </c>
      <c r="M83" s="1">
        <f ca="1">IFERROR(_xlfn.FLOOR.MATH($F83*控制台!M345/(控制台!Q345*60)),"")</f>
        <v>10</v>
      </c>
      <c r="N83" s="1" t="str">
        <f ca="1">IFERROR(_xlfn.FLOOR.MATH($F83*控制台!N345/(控制台!R345*60)),"")</f>
        <v/>
      </c>
      <c r="O83" s="4" t="str">
        <f ca="1">控制台!W345</f>
        <v>board;brick;cement</v>
      </c>
      <c r="P83" s="4" t="str">
        <f ca="1" t="shared" si="6"/>
        <v>14;12;10</v>
      </c>
      <c r="Q83" s="4">
        <f>_xlfn.FLOOR.MATH(K13/控制台!$H$291*控制台!$D$289,5)</f>
        <v>645</v>
      </c>
      <c r="R83" s="4">
        <f>_xlfn.FLOOR.MATH(O13/控制台!$H$291*控制台!$D$289,5)</f>
        <v>1280</v>
      </c>
      <c r="S83" s="1" t="s">
        <v>152</v>
      </c>
      <c r="T83" s="1" t="s">
        <v>2711</v>
      </c>
      <c r="U83" s="1">
        <f ca="1" t="shared" si="5"/>
        <v>1</v>
      </c>
    </row>
    <row r="84" spans="1:21">
      <c r="A84" s="1">
        <v>8</v>
      </c>
      <c r="B84" s="1" t="s">
        <v>156</v>
      </c>
      <c r="C84" s="1">
        <f>_xlfn.FLOOR.MATH(D15/控制台!$H$291*控制台!$D$289)</f>
        <v>90000</v>
      </c>
      <c r="D84" s="1">
        <f>_xlfn.FLOOR.MATH(E15/控制台!$H$291*控制台!$D$289)</f>
        <v>108000</v>
      </c>
      <c r="E84" s="1">
        <f>_xlfn.FLOOR.MATH(F15/控制台!$H$291*控制台!$D$289)</f>
        <v>72000</v>
      </c>
      <c r="F84" s="1">
        <f ca="1">_xlfn.FLOOR.MATH(J15*60/控制台!$H$291*控制台!$D$289)</f>
        <v>20736</v>
      </c>
      <c r="G84" s="1">
        <f>IFERROR(_xlfn.FLOOR.MATH(C84,POWER(10,MAX(0,INT(LOG10(C84)-2)))),"")</f>
        <v>90000</v>
      </c>
      <c r="H84" s="1">
        <f>IFERROR(_xlfn.FLOOR.MATH(D84,POWER(10,MAX(0,INT(LOG10(D84)-2)))),"")</f>
        <v>108000</v>
      </c>
      <c r="I84" s="1">
        <f>IFERROR(_xlfn.FLOOR.MATH(E84,POWER(10,MAX(0,INT(LOG10(E84)-2)))),"")</f>
        <v>72000</v>
      </c>
      <c r="J84" s="4" t="str">
        <f t="shared" si="4"/>
        <v>90000;108000;72000</v>
      </c>
      <c r="K84" s="1">
        <f ca="1">IFERROR(_xlfn.FLOOR.MATH($F84*控制台!K346/(控制台!O346*60)),"")</f>
        <v>17</v>
      </c>
      <c r="L84" s="1">
        <f ca="1">IFERROR(_xlfn.FLOOR.MATH($F84*控制台!L346/(控制台!P346*60)),"")</f>
        <v>15</v>
      </c>
      <c r="M84" s="1">
        <f ca="1">IFERROR(_xlfn.FLOOR.MATH($F84*控制台!M346/(控制台!Q346*60)),"")</f>
        <v>13</v>
      </c>
      <c r="N84" s="1" t="str">
        <f ca="1">IFERROR(_xlfn.FLOOR.MATH($F84*控制台!N346/(控制台!R346*60)),"")</f>
        <v/>
      </c>
      <c r="O84" s="4" t="str">
        <f ca="1">控制台!W346</f>
        <v>board;brick;cement</v>
      </c>
      <c r="P84" s="4" t="str">
        <f ca="1" t="shared" si="6"/>
        <v>17;15;13</v>
      </c>
      <c r="Q84" s="4">
        <f>_xlfn.FLOOR.MATH(K14/控制台!$H$291*控制台!$D$289,5)</f>
        <v>860</v>
      </c>
      <c r="R84" s="4">
        <f>_xlfn.FLOOR.MATH(O14/控制台!$H$291*控制台!$D$289,5)</f>
        <v>2075</v>
      </c>
      <c r="S84" s="1" t="s">
        <v>152</v>
      </c>
      <c r="T84" s="1" t="s">
        <v>2712</v>
      </c>
      <c r="U84" s="1">
        <f ca="1" t="shared" si="5"/>
        <v>1</v>
      </c>
    </row>
    <row r="85" spans="1:21">
      <c r="A85" s="1">
        <v>9</v>
      </c>
      <c r="B85" s="1" t="s">
        <v>156</v>
      </c>
      <c r="C85" s="1">
        <f>_xlfn.FLOOR.MATH(D16/控制台!$H$291*控制台!$D$289)</f>
        <v>126000</v>
      </c>
      <c r="D85" s="1">
        <f>_xlfn.FLOOR.MATH(E16/控制台!$H$291*控制台!$D$289)</f>
        <v>151200</v>
      </c>
      <c r="E85" s="1">
        <f>_xlfn.FLOOR.MATH(F16/控制台!$H$291*控制台!$D$289)</f>
        <v>100800</v>
      </c>
      <c r="F85" s="1">
        <f ca="1">_xlfn.FLOOR.MATH(J16*60/控制台!$H$291*控制台!$D$289)</f>
        <v>24883</v>
      </c>
      <c r="G85" s="1">
        <f>IFERROR(_xlfn.FLOOR.MATH(C85,POWER(10,MAX(0,INT(LOG10(C85)-2)))),"")</f>
        <v>126000</v>
      </c>
      <c r="H85" s="1">
        <f>IFERROR(_xlfn.FLOOR.MATH(D85,POWER(10,MAX(0,INT(LOG10(D85)-2)))),"")</f>
        <v>151000</v>
      </c>
      <c r="I85" s="1">
        <f>IFERROR(_xlfn.FLOOR.MATH(E85,POWER(10,MAX(0,INT(LOG10(E85)-2)))),"")</f>
        <v>100000</v>
      </c>
      <c r="J85" s="4" t="str">
        <f t="shared" si="4"/>
        <v>126000;151000;100000</v>
      </c>
      <c r="K85" s="1">
        <f ca="1">IFERROR(_xlfn.FLOOR.MATH($F85*控制台!K347/(控制台!O347*60)),"")</f>
        <v>21</v>
      </c>
      <c r="L85" s="1">
        <f ca="1">IFERROR(_xlfn.FLOOR.MATH($F85*控制台!L347/(控制台!P347*60)),"")</f>
        <v>18</v>
      </c>
      <c r="M85" s="1">
        <f ca="1">IFERROR(_xlfn.FLOOR.MATH($F85*控制台!M347/(控制台!Q347*60)),"")</f>
        <v>15</v>
      </c>
      <c r="N85" s="1" t="str">
        <f ca="1">IFERROR(_xlfn.FLOOR.MATH($F85*控制台!N347/(控制台!R347*60)),"")</f>
        <v/>
      </c>
      <c r="O85" s="4" t="str">
        <f ca="1">控制台!W347</f>
        <v>board;brick;cement</v>
      </c>
      <c r="P85" s="4" t="str">
        <f ca="1" t="shared" si="6"/>
        <v>21;18;15</v>
      </c>
      <c r="Q85" s="4">
        <f>_xlfn.FLOOR.MATH(K15/控制台!$H$291*控制台!$D$289,5)</f>
        <v>1080</v>
      </c>
      <c r="R85" s="4">
        <f>_xlfn.FLOOR.MATH(O15/控制台!$H$291*控制台!$D$289,5)</f>
        <v>3070</v>
      </c>
      <c r="S85" s="1" t="s">
        <v>152</v>
      </c>
      <c r="T85" s="1" t="s">
        <v>155</v>
      </c>
      <c r="U85" s="1">
        <f ca="1" t="shared" si="5"/>
        <v>1</v>
      </c>
    </row>
    <row r="86" spans="1:21">
      <c r="A86" s="1">
        <v>10</v>
      </c>
      <c r="B86" s="1" t="s">
        <v>156</v>
      </c>
      <c r="C86" s="1">
        <f>_xlfn.FLOOR.MATH(D17/控制台!$H$291*控制台!$D$289)</f>
        <v>162000</v>
      </c>
      <c r="D86" s="1">
        <f>_xlfn.FLOOR.MATH(E17/控制台!$H$291*控制台!$D$289)</f>
        <v>194400</v>
      </c>
      <c r="E86" s="1">
        <f>_xlfn.FLOOR.MATH(F17/控制台!$H$291*控制台!$D$289)</f>
        <v>129600</v>
      </c>
      <c r="F86" s="1">
        <f ca="1">_xlfn.FLOOR.MATH(J17*60/控制台!$H$291*控制台!$D$289)</f>
        <v>29030</v>
      </c>
      <c r="G86" s="1">
        <f>IFERROR(_xlfn.FLOOR.MATH(C86,POWER(10,MAX(0,INT(LOG10(C86)-2)))),"")</f>
        <v>162000</v>
      </c>
      <c r="H86" s="1">
        <f>IFERROR(_xlfn.FLOOR.MATH(D86,POWER(10,MAX(0,INT(LOG10(D86)-2)))),"")</f>
        <v>194000</v>
      </c>
      <c r="I86" s="1">
        <f>IFERROR(_xlfn.FLOOR.MATH(E86,POWER(10,MAX(0,INT(LOG10(E86)-2)))),"")</f>
        <v>129000</v>
      </c>
      <c r="J86" s="4" t="str">
        <f t="shared" si="4"/>
        <v>162000;194000;129000</v>
      </c>
      <c r="K86" s="1">
        <f ca="1">IFERROR(_xlfn.FLOOR.MATH($F86*控制台!K348/(控制台!O348*60)),"")</f>
        <v>24</v>
      </c>
      <c r="L86" s="1">
        <f ca="1">IFERROR(_xlfn.FLOOR.MATH($F86*控制台!L348/(控制台!P348*60)),"")</f>
        <v>21</v>
      </c>
      <c r="M86" s="1">
        <f ca="1">IFERROR(_xlfn.FLOOR.MATH($F86*控制台!M348/(控制台!Q348*60)),"")</f>
        <v>18</v>
      </c>
      <c r="N86" s="1" t="str">
        <f ca="1">IFERROR(_xlfn.FLOOR.MATH($F86*控制台!N348/(控制台!R348*60)),"")</f>
        <v/>
      </c>
      <c r="O86" s="4" t="str">
        <f ca="1">控制台!W348</f>
        <v>board;brick;cement</v>
      </c>
      <c r="P86" s="4" t="str">
        <f ca="1" t="shared" si="6"/>
        <v>24;21;18</v>
      </c>
      <c r="Q86" s="4">
        <f>_xlfn.FLOOR.MATH(K16/控制台!$H$291*控制台!$D$289,5)</f>
        <v>1510</v>
      </c>
      <c r="R86" s="4">
        <f>_xlfn.FLOOR.MATH(O16/控制台!$H$291*控制台!$D$289,5)</f>
        <v>4275</v>
      </c>
      <c r="S86" s="1" t="s">
        <v>152</v>
      </c>
      <c r="T86" s="1" t="s">
        <v>2713</v>
      </c>
      <c r="U86" s="1">
        <f ca="1" t="shared" si="5"/>
        <v>1</v>
      </c>
    </row>
    <row r="87" spans="1:21">
      <c r="A87" s="1">
        <v>11</v>
      </c>
      <c r="B87" s="1" t="s">
        <v>156</v>
      </c>
      <c r="C87" s="1">
        <f>_xlfn.FLOOR.MATH(D18/控制台!$H$291*控制台!$D$289)</f>
        <v>180000</v>
      </c>
      <c r="D87" s="1">
        <f>_xlfn.FLOOR.MATH(E18/控制台!$H$291*控制台!$D$289)</f>
        <v>216000</v>
      </c>
      <c r="E87" s="1">
        <f>_xlfn.FLOOR.MATH(F18/控制台!$H$291*控制台!$D$289)</f>
        <v>144000</v>
      </c>
      <c r="F87" s="1">
        <f ca="1">_xlfn.FLOOR.MATH(J18*60/控制台!$H$291*控制台!$D$289)</f>
        <v>36495</v>
      </c>
      <c r="G87" s="1">
        <f>IFERROR(_xlfn.FLOOR.MATH(C87,POWER(10,MAX(0,INT(LOG10(C87)-2)))),"")</f>
        <v>180000</v>
      </c>
      <c r="H87" s="1">
        <f>IFERROR(_xlfn.FLOOR.MATH(D87,POWER(10,MAX(0,INT(LOG10(D87)-2)))),"")</f>
        <v>216000</v>
      </c>
      <c r="I87" s="1">
        <f>IFERROR(_xlfn.FLOOR.MATH(E87,POWER(10,MAX(0,INT(LOG10(E87)-2)))),"")</f>
        <v>144000</v>
      </c>
      <c r="J87" s="4" t="str">
        <f t="shared" si="4"/>
        <v>180000;216000;144000</v>
      </c>
      <c r="K87" s="1">
        <f ca="1">IFERROR(_xlfn.FLOOR.MATH($F87*控制台!K349/(控制台!O349*60)),"")</f>
        <v>31</v>
      </c>
      <c r="L87" s="1">
        <f ca="1">IFERROR(_xlfn.FLOOR.MATH($F87*控制台!L349/(控制台!P349*60)),"")</f>
        <v>27</v>
      </c>
      <c r="M87" s="1">
        <f ca="1">IFERROR(_xlfn.FLOOR.MATH($F87*控制台!M349/(控制台!Q349*60)),"")</f>
        <v>23</v>
      </c>
      <c r="N87" s="1" t="str">
        <f ca="1">IFERROR(_xlfn.FLOOR.MATH($F87*控制台!N349/(控制台!R349*60)),"")</f>
        <v/>
      </c>
      <c r="O87" s="4" t="str">
        <f ca="1">控制台!W349</f>
        <v>board;brick;cement</v>
      </c>
      <c r="P87" s="4" t="str">
        <f ca="1" t="shared" si="6"/>
        <v>31;27;23</v>
      </c>
      <c r="Q87" s="4">
        <f>_xlfn.FLOOR.MATH(K17/控制台!$H$291*控制台!$D$289,5)</f>
        <v>1940</v>
      </c>
      <c r="R87" s="4">
        <f>_xlfn.FLOOR.MATH(O17/控制台!$H$291*控制台!$D$289,5)</f>
        <v>5690</v>
      </c>
      <c r="S87" s="1" t="s">
        <v>152</v>
      </c>
      <c r="T87" s="1" t="s">
        <v>2676</v>
      </c>
      <c r="U87" s="1">
        <f ca="1" t="shared" si="5"/>
        <v>1</v>
      </c>
    </row>
    <row r="88" spans="1:21">
      <c r="A88" s="1">
        <v>12</v>
      </c>
      <c r="B88" s="1" t="s">
        <v>156</v>
      </c>
      <c r="C88" s="1">
        <f>_xlfn.FLOOR.MATH(D19/控制台!$H$291*控制台!$D$289)</f>
        <v>270000</v>
      </c>
      <c r="D88" s="1">
        <f>_xlfn.FLOOR.MATH(E19/控制台!$H$291*控制台!$D$289)</f>
        <v>324000</v>
      </c>
      <c r="E88" s="1">
        <f>_xlfn.FLOOR.MATH(F19/控制台!$H$291*控制台!$D$289)</f>
        <v>216000</v>
      </c>
      <c r="F88" s="1">
        <f ca="1">_xlfn.FLOOR.MATH(J19*60/控制台!$H$291*控制台!$D$289)</f>
        <v>45619</v>
      </c>
      <c r="G88" s="1">
        <f>IFERROR(_xlfn.FLOOR.MATH(C88,POWER(10,MAX(0,INT(LOG10(C88)-2)))),"")</f>
        <v>270000</v>
      </c>
      <c r="H88" s="1">
        <f>IFERROR(_xlfn.FLOOR.MATH(D88,POWER(10,MAX(0,INT(LOG10(D88)-2)))),"")</f>
        <v>324000</v>
      </c>
      <c r="I88" s="1">
        <f>IFERROR(_xlfn.FLOOR.MATH(E88,POWER(10,MAX(0,INT(LOG10(E88)-2)))),"")</f>
        <v>216000</v>
      </c>
      <c r="J88" s="4" t="str">
        <f t="shared" si="4"/>
        <v>270000;324000;216000</v>
      </c>
      <c r="K88" s="1">
        <f ca="1">IFERROR(_xlfn.FLOOR.MATH($F88*控制台!K350/(控制台!O350*60)),"")</f>
        <v>38</v>
      </c>
      <c r="L88" s="1">
        <f ca="1">IFERROR(_xlfn.FLOOR.MATH($F88*控制台!L350/(控制台!P350*60)),"")</f>
        <v>34</v>
      </c>
      <c r="M88" s="1">
        <f ca="1">IFERROR(_xlfn.FLOOR.MATH($F88*控制台!M350/(控制台!Q350*60)),"")</f>
        <v>29</v>
      </c>
      <c r="N88" s="1" t="str">
        <f ca="1">IFERROR(_xlfn.FLOOR.MATH($F88*控制台!N350/(控制台!R350*60)),"")</f>
        <v/>
      </c>
      <c r="O88" s="4" t="str">
        <f ca="1">控制台!W350</f>
        <v>board;brick;cement</v>
      </c>
      <c r="P88" s="4" t="str">
        <f ca="1" t="shared" si="6"/>
        <v>38;34;29</v>
      </c>
      <c r="Q88" s="4">
        <f>_xlfn.FLOOR.MATH(K18/控制台!$H$291*控制台!$D$289,5)</f>
        <v>2160</v>
      </c>
      <c r="R88" s="4">
        <f>_xlfn.FLOOR.MATH(O18/控制台!$H$291*控制台!$D$289,5)</f>
        <v>7300</v>
      </c>
      <c r="S88" s="1" t="s">
        <v>152</v>
      </c>
      <c r="T88" s="1" t="s">
        <v>2714</v>
      </c>
      <c r="U88" s="1">
        <f ca="1" t="shared" si="5"/>
        <v>1</v>
      </c>
    </row>
    <row r="89" spans="1:21">
      <c r="A89" s="1">
        <v>13</v>
      </c>
      <c r="B89" s="1" t="s">
        <v>156</v>
      </c>
      <c r="C89" s="1">
        <f>_xlfn.FLOOR.MATH(D20/控制台!$H$291*控制台!$D$289)</f>
        <v>540000</v>
      </c>
      <c r="D89" s="1">
        <f>_xlfn.FLOOR.MATH(E20/控制台!$H$291*控制台!$D$289)</f>
        <v>648000</v>
      </c>
      <c r="E89" s="1">
        <f>_xlfn.FLOOR.MATH(F20/控制台!$H$291*控制台!$D$289)</f>
        <v>432000</v>
      </c>
      <c r="F89" s="1">
        <f ca="1">_xlfn.FLOOR.MATH(J20*60/控制台!$H$291*控制台!$D$289)</f>
        <v>68428</v>
      </c>
      <c r="G89" s="1">
        <f>IFERROR(_xlfn.FLOOR.MATH(C89,POWER(10,MAX(0,INT(LOG10(C89)-2)))),"")</f>
        <v>540000</v>
      </c>
      <c r="H89" s="1">
        <f>IFERROR(_xlfn.FLOOR.MATH(D89,POWER(10,MAX(0,INT(LOG10(D89)-2)))),"")</f>
        <v>648000</v>
      </c>
      <c r="I89" s="1">
        <f>IFERROR(_xlfn.FLOOR.MATH(E89,POWER(10,MAX(0,INT(LOG10(E89)-2)))),"")</f>
        <v>432000</v>
      </c>
      <c r="J89" s="4" t="str">
        <f t="shared" si="4"/>
        <v>540000;648000;432000</v>
      </c>
      <c r="K89" s="1">
        <f ca="1">IFERROR(_xlfn.FLOOR.MATH($F89*控制台!K351/(控制台!O351*60)),"")</f>
        <v>31</v>
      </c>
      <c r="L89" s="1">
        <f ca="1">IFERROR(_xlfn.FLOOR.MATH($F89*控制台!L351/(控制台!P351*60)),"")</f>
        <v>23</v>
      </c>
      <c r="M89" s="1">
        <f ca="1">IFERROR(_xlfn.FLOOR.MATH($F89*控制台!M351/(控制台!Q351*60)),"")</f>
        <v>18</v>
      </c>
      <c r="N89" s="1" t="str">
        <f ca="1">IFERROR(_xlfn.FLOOR.MATH($F89*控制台!N351/(控制台!R351*60)),"")</f>
        <v/>
      </c>
      <c r="O89" s="4" t="str">
        <f ca="1">控制台!W351</f>
        <v>board;cement;steel</v>
      </c>
      <c r="P89" s="4" t="str">
        <f ca="1" t="shared" si="6"/>
        <v>31;23;18</v>
      </c>
      <c r="Q89" s="4">
        <f>_xlfn.FLOOR.MATH(K19/控制台!$H$291*控制台!$D$289,5)</f>
        <v>3240</v>
      </c>
      <c r="R89" s="4">
        <f>_xlfn.FLOOR.MATH(O19/控制台!$H$291*控制台!$D$289,5)</f>
        <v>9345</v>
      </c>
      <c r="S89" s="1" t="s">
        <v>2680</v>
      </c>
      <c r="T89" s="1" t="s">
        <v>2715</v>
      </c>
      <c r="U89" s="1">
        <f ca="1" t="shared" si="5"/>
        <v>1</v>
      </c>
    </row>
    <row r="90" spans="1:21">
      <c r="A90" s="1">
        <v>14</v>
      </c>
      <c r="B90" s="1" t="s">
        <v>156</v>
      </c>
      <c r="C90" s="1">
        <f>_xlfn.FLOOR.MATH(D21/控制台!$H$291*控制台!$D$289)</f>
        <v>900000</v>
      </c>
      <c r="D90" s="1">
        <f>_xlfn.FLOOR.MATH(E21/控制台!$H$291*控制台!$D$289)</f>
        <v>1080000</v>
      </c>
      <c r="E90" s="1">
        <f>_xlfn.FLOOR.MATH(F21/控制台!$H$291*控制台!$D$289)</f>
        <v>720000</v>
      </c>
      <c r="F90" s="1">
        <f ca="1">_xlfn.FLOOR.MATH(J21*60/控制台!$H$291*控制台!$D$289)</f>
        <v>91238</v>
      </c>
      <c r="G90" s="1">
        <f>IFERROR(_xlfn.FLOOR.MATH(C90,POWER(10,MAX(0,INT(LOG10(C90)-2)))),"")</f>
        <v>900000</v>
      </c>
      <c r="H90" s="1">
        <f>IFERROR(_xlfn.FLOOR.MATH(D90,POWER(10,MAX(0,INT(LOG10(D90)-2)))),"")</f>
        <v>1080000</v>
      </c>
      <c r="I90" s="1">
        <f>IFERROR(_xlfn.FLOOR.MATH(E90,POWER(10,MAX(0,INT(LOG10(E90)-2)))),"")</f>
        <v>720000</v>
      </c>
      <c r="J90" s="4" t="str">
        <f t="shared" si="4"/>
        <v>900000;1080000;720000</v>
      </c>
      <c r="K90" s="1">
        <f ca="1">IFERROR(_xlfn.FLOOR.MATH($F90*控制台!K352/(控制台!O352*60)),"")</f>
        <v>34</v>
      </c>
      <c r="L90" s="1">
        <f ca="1">IFERROR(_xlfn.FLOOR.MATH($F90*控制台!L352/(控制台!P352*60)),"")</f>
        <v>29</v>
      </c>
      <c r="M90" s="1">
        <f ca="1">IFERROR(_xlfn.FLOOR.MATH($F90*控制台!M352/(控制台!Q352*60)),"")</f>
        <v>22</v>
      </c>
      <c r="N90" s="1" t="str">
        <f ca="1">IFERROR(_xlfn.FLOOR.MATH($F90*控制台!N352/(控制台!R352*60)),"")</f>
        <v/>
      </c>
      <c r="O90" s="4" t="str">
        <f ca="1">控制台!W352</f>
        <v>brick;cement;steel</v>
      </c>
      <c r="P90" s="4" t="str">
        <f ca="1" t="shared" si="6"/>
        <v>34;29;22</v>
      </c>
      <c r="Q90" s="4">
        <f>_xlfn.FLOOR.MATH(K20/控制台!$H$291*控制台!$D$289,5)</f>
        <v>6480</v>
      </c>
      <c r="R90" s="4">
        <f>_xlfn.FLOOR.MATH(O20/控制台!$H$291*控制台!$D$289,5)</f>
        <v>12495</v>
      </c>
      <c r="S90" s="1" t="s">
        <v>2682</v>
      </c>
      <c r="T90" s="1" t="s">
        <v>2716</v>
      </c>
      <c r="U90" s="1">
        <f ca="1" t="shared" si="5"/>
        <v>1</v>
      </c>
    </row>
    <row r="91" spans="1:21">
      <c r="A91" s="1">
        <v>15</v>
      </c>
      <c r="B91" s="1" t="s">
        <v>156</v>
      </c>
      <c r="C91" s="1">
        <f>_xlfn.FLOOR.MATH(D22/控制台!$H$291*控制台!$D$289)</f>
        <v>1080000</v>
      </c>
      <c r="D91" s="1">
        <f>_xlfn.FLOOR.MATH(E22/控制台!$H$291*控制台!$D$289)</f>
        <v>1296000</v>
      </c>
      <c r="E91" s="1">
        <f>_xlfn.FLOOR.MATH(F22/控制台!$H$291*控制台!$D$289)</f>
        <v>864000</v>
      </c>
      <c r="F91" s="1">
        <f ca="1">_xlfn.FLOOR.MATH(J22*60/控制台!$H$291*控制台!$D$289)</f>
        <v>114048</v>
      </c>
      <c r="G91" s="1">
        <f>IFERROR(_xlfn.FLOOR.MATH(C91,POWER(10,MAX(0,INT(LOG10(C91)-2)))),"")</f>
        <v>1080000</v>
      </c>
      <c r="H91" s="1">
        <f>IFERROR(_xlfn.FLOOR.MATH(D91,POWER(10,MAX(0,INT(LOG10(D91)-2)))),"")</f>
        <v>1290000</v>
      </c>
      <c r="I91" s="1">
        <f>IFERROR(_xlfn.FLOOR.MATH(E91,POWER(10,MAX(0,INT(LOG10(E91)-2)))),"")</f>
        <v>864000</v>
      </c>
      <c r="J91" s="4" t="str">
        <f t="shared" si="4"/>
        <v>1080000;1290000;864000</v>
      </c>
      <c r="K91" s="1">
        <f ca="1">IFERROR(_xlfn.FLOOR.MATH($F91*控制台!K353/(控制台!O353*60)),"")</f>
        <v>77</v>
      </c>
      <c r="L91" s="1">
        <f ca="1">IFERROR(_xlfn.FLOOR.MATH($F91*控制台!L353/(控制台!P353*60)),"")</f>
        <v>67</v>
      </c>
      <c r="M91" s="1">
        <f ca="1">IFERROR(_xlfn.FLOOR.MATH($F91*控制台!M353/(控制台!Q353*60)),"")</f>
        <v>44</v>
      </c>
      <c r="N91" s="1" t="str">
        <f ca="1">IFERROR(_xlfn.FLOOR.MATH($F91*控制台!N353/(控制台!R353*60)),"")</f>
        <v/>
      </c>
      <c r="O91" s="4" t="str">
        <f ca="1">控制台!W353</f>
        <v>board;brick;steel</v>
      </c>
      <c r="P91" s="4" t="str">
        <f ca="1" t="shared" si="6"/>
        <v>77;67;44</v>
      </c>
      <c r="Q91" s="4">
        <f>_xlfn.FLOOR.MATH(K21/控制台!$H$291*控制台!$D$289,5)</f>
        <v>10800</v>
      </c>
      <c r="R91" s="4">
        <f>_xlfn.FLOOR.MATH(O21/控制台!$H$291*控制台!$D$289,5)</f>
        <v>16805</v>
      </c>
      <c r="S91" s="1" t="s">
        <v>2684</v>
      </c>
      <c r="T91" s="1" t="s">
        <v>2717</v>
      </c>
      <c r="U91" s="1">
        <f ca="1" t="shared" si="5"/>
        <v>1</v>
      </c>
    </row>
    <row r="92" spans="1:21">
      <c r="A92" s="1">
        <v>16</v>
      </c>
      <c r="B92" s="1" t="s">
        <v>156</v>
      </c>
      <c r="C92" s="1">
        <f>_xlfn.FLOOR.MATH(D23/控制台!$H$291*控制台!$D$289)</f>
        <v>1260000</v>
      </c>
      <c r="D92" s="1">
        <f>_xlfn.FLOOR.MATH(E23/控制台!$H$291*控制台!$D$289)</f>
        <v>1512000</v>
      </c>
      <c r="E92" s="1">
        <f>_xlfn.FLOOR.MATH(F23/控制台!$H$291*控制台!$D$289)</f>
        <v>1008000</v>
      </c>
      <c r="F92" s="1">
        <f ca="1">_xlfn.FLOOR.MATH(J23*60/控制台!$H$291*控制台!$D$289)</f>
        <v>136857</v>
      </c>
      <c r="G92" s="1">
        <f>IFERROR(_xlfn.FLOOR.MATH(C92,POWER(10,MAX(0,INT(LOG10(C92)-2)))),"")</f>
        <v>1260000</v>
      </c>
      <c r="H92" s="1">
        <f>IFERROR(_xlfn.FLOOR.MATH(D92,POWER(10,MAX(0,INT(LOG10(D92)-2)))),"")</f>
        <v>1510000</v>
      </c>
      <c r="I92" s="1">
        <f>IFERROR(_xlfn.FLOOR.MATH(E92,POWER(10,MAX(0,INT(LOG10(E92)-2)))),"")</f>
        <v>1000000</v>
      </c>
      <c r="J92" s="4" t="str">
        <f t="shared" si="4"/>
        <v>1260000;1510000;1000000</v>
      </c>
      <c r="K92" s="1">
        <f ca="1">IFERROR(_xlfn.FLOOR.MATH($F92*控制台!K354/(控制台!O354*60)),"")</f>
        <v>51</v>
      </c>
      <c r="L92" s="1">
        <f ca="1">IFERROR(_xlfn.FLOOR.MATH($F92*控制台!L354/(控制台!P354*60)),"")</f>
        <v>44</v>
      </c>
      <c r="M92" s="1">
        <f ca="1">IFERROR(_xlfn.FLOOR.MATH($F92*控制台!M354/(控制台!Q354*60)),"")</f>
        <v>33</v>
      </c>
      <c r="N92" s="1" t="str">
        <f ca="1">IFERROR(_xlfn.FLOOR.MATH($F92*控制台!N354/(控制台!R354*60)),"")</f>
        <v/>
      </c>
      <c r="O92" s="4" t="str">
        <f ca="1">控制台!W354</f>
        <v>brick;cement;steel</v>
      </c>
      <c r="P92" s="4" t="str">
        <f ca="1" t="shared" si="6"/>
        <v>51;44;33</v>
      </c>
      <c r="Q92" s="4">
        <f>_xlfn.FLOOR.MATH(K22/控制台!$H$291*控制台!$D$289,5)</f>
        <v>12960</v>
      </c>
      <c r="R92" s="4">
        <f>_xlfn.FLOOR.MATH(O22/控制台!$H$291*控制台!$D$289,5)</f>
        <v>22170</v>
      </c>
      <c r="S92" s="1" t="s">
        <v>2682</v>
      </c>
      <c r="T92" s="1" t="s">
        <v>2683</v>
      </c>
      <c r="U92" s="1">
        <f ca="1" t="shared" si="5"/>
        <v>1</v>
      </c>
    </row>
    <row r="93" spans="1:21">
      <c r="A93" s="1">
        <v>17</v>
      </c>
      <c r="B93" s="1" t="s">
        <v>156</v>
      </c>
      <c r="C93" s="1">
        <f>_xlfn.FLOOR.MATH(D24/控制台!$H$291*控制台!$D$289)</f>
        <v>1980000</v>
      </c>
      <c r="D93" s="1">
        <f>_xlfn.FLOOR.MATH(E24/控制台!$H$291*控制台!$D$289)</f>
        <v>2376000</v>
      </c>
      <c r="E93" s="1">
        <f>_xlfn.FLOOR.MATH(F24/控制台!$H$291*控制台!$D$289)</f>
        <v>1584000</v>
      </c>
      <c r="F93" s="1">
        <f ca="1">_xlfn.FLOOR.MATH(J24*60/控制台!$H$291*控制台!$D$289)</f>
        <v>159667</v>
      </c>
      <c r="G93" s="1">
        <f>IFERROR(_xlfn.FLOOR.MATH(C93,POWER(10,MAX(0,INT(LOG10(C93)-2)))),"")</f>
        <v>1980000</v>
      </c>
      <c r="H93" s="1">
        <f>IFERROR(_xlfn.FLOOR.MATH(D93,POWER(10,MAX(0,INT(LOG10(D93)-2)))),"")</f>
        <v>2370000</v>
      </c>
      <c r="I93" s="1">
        <f>IFERROR(_xlfn.FLOOR.MATH(E93,POWER(10,MAX(0,INT(LOG10(E93)-2)))),"")</f>
        <v>1580000</v>
      </c>
      <c r="J93" s="4" t="str">
        <f t="shared" si="4"/>
        <v>1980000;2370000;1580000</v>
      </c>
      <c r="K93" s="1">
        <f ca="1">IFERROR(_xlfn.FLOOR.MATH($F93*控制台!K355/(控制台!O355*60)),"")</f>
        <v>73</v>
      </c>
      <c r="L93" s="1">
        <f ca="1">IFERROR(_xlfn.FLOOR.MATH($F93*控制台!L355/(控制台!P355*60)),"")</f>
        <v>55</v>
      </c>
      <c r="M93" s="1">
        <f ca="1">IFERROR(_xlfn.FLOOR.MATH($F93*控制台!M355/(控制台!Q355*60)),"")</f>
        <v>42</v>
      </c>
      <c r="N93" s="1" t="str">
        <f ca="1">IFERROR(_xlfn.FLOOR.MATH($F93*控制台!N355/(控制台!R355*60)),"")</f>
        <v/>
      </c>
      <c r="O93" s="4" t="str">
        <f ca="1">控制台!W355</f>
        <v>board;cement;steel</v>
      </c>
      <c r="P93" s="4" t="str">
        <f ca="1" t="shared" si="6"/>
        <v>73;55;42</v>
      </c>
      <c r="Q93" s="4">
        <f>_xlfn.FLOOR.MATH(K23/控制台!$H$291*控制台!$D$289,5)</f>
        <v>15120</v>
      </c>
      <c r="R93" s="4">
        <f>_xlfn.FLOOR.MATH(O23/控制台!$H$291*控制台!$D$289,5)</f>
        <v>28580</v>
      </c>
      <c r="S93" s="1" t="s">
        <v>2680</v>
      </c>
      <c r="T93" s="1" t="s">
        <v>2718</v>
      </c>
      <c r="U93" s="1">
        <f ca="1" t="shared" si="5"/>
        <v>1</v>
      </c>
    </row>
    <row r="94" spans="1:21">
      <c r="A94" s="1">
        <v>18</v>
      </c>
      <c r="B94" s="1" t="s">
        <v>156</v>
      </c>
      <c r="C94" s="1">
        <f>_xlfn.FLOOR.MATH(D25/控制台!$H$291*控制台!$D$289)</f>
        <v>2250000</v>
      </c>
      <c r="D94" s="1">
        <f>_xlfn.FLOOR.MATH(E25/控制台!$H$291*控制台!$D$289)</f>
        <v>2700000</v>
      </c>
      <c r="E94" s="1">
        <f>_xlfn.FLOOR.MATH(F25/控制台!$H$291*控制台!$D$289)</f>
        <v>1800000</v>
      </c>
      <c r="F94" s="1">
        <f ca="1">_xlfn.FLOOR.MATH(J25*60/控制台!$H$291*控制台!$D$289)</f>
        <v>182476</v>
      </c>
      <c r="G94" s="1">
        <f>IFERROR(_xlfn.FLOOR.MATH(C94,POWER(10,MAX(0,INT(LOG10(C94)-2)))),"")</f>
        <v>2250000</v>
      </c>
      <c r="H94" s="1">
        <f>IFERROR(_xlfn.FLOOR.MATH(D94,POWER(10,MAX(0,INT(LOG10(D94)-2)))),"")</f>
        <v>2700000</v>
      </c>
      <c r="I94" s="1">
        <f>IFERROR(_xlfn.FLOOR.MATH(E94,POWER(10,MAX(0,INT(LOG10(E94)-2)))),"")</f>
        <v>1800000</v>
      </c>
      <c r="J94" s="4" t="str">
        <f t="shared" si="4"/>
        <v>2250000;2700000;1800000</v>
      </c>
      <c r="K94" s="1">
        <f ca="1">IFERROR(_xlfn.FLOOR.MATH($F94*控制台!K356/(控制台!O356*60)),"")</f>
        <v>69</v>
      </c>
      <c r="L94" s="1">
        <f ca="1">IFERROR(_xlfn.FLOOR.MATH($F94*控制台!L356/(控制台!P356*60)),"")</f>
        <v>59</v>
      </c>
      <c r="M94" s="1">
        <f ca="1">IFERROR(_xlfn.FLOOR.MATH($F94*控制台!M356/(控制台!Q356*60)),"")</f>
        <v>45</v>
      </c>
      <c r="N94" s="1" t="str">
        <f ca="1">IFERROR(_xlfn.FLOOR.MATH($F94*控制台!N356/(控制台!R356*60)),"")</f>
        <v/>
      </c>
      <c r="O94" s="4" t="str">
        <f ca="1">控制台!W356</f>
        <v>brick;cement;steel</v>
      </c>
      <c r="P94" s="4" t="str">
        <f ca="1" t="shared" si="6"/>
        <v>69;59;45</v>
      </c>
      <c r="Q94" s="4">
        <f>_xlfn.FLOOR.MATH(K24/控制台!$H$291*控制台!$D$289,5)</f>
        <v>23760</v>
      </c>
      <c r="R94" s="4">
        <f>_xlfn.FLOOR.MATH(O24/控制台!$H$291*控制台!$D$289,5)</f>
        <v>36380</v>
      </c>
      <c r="S94" s="1" t="s">
        <v>2682</v>
      </c>
      <c r="T94" s="1" t="s">
        <v>2719</v>
      </c>
      <c r="U94" s="1">
        <f ca="1" t="shared" si="5"/>
        <v>1</v>
      </c>
    </row>
    <row r="95" spans="1:21">
      <c r="A95" s="1">
        <v>19</v>
      </c>
      <c r="B95" s="1" t="s">
        <v>156</v>
      </c>
      <c r="C95" s="1">
        <f>_xlfn.FLOOR.MATH(D26/控制台!$H$291*控制台!$D$289)</f>
        <v>2520000</v>
      </c>
      <c r="D95" s="1">
        <f>_xlfn.FLOOR.MATH(E26/控制台!$H$291*控制台!$D$289)</f>
        <v>3024000</v>
      </c>
      <c r="E95" s="1">
        <f>_xlfn.FLOOR.MATH(F26/控制台!$H$291*控制台!$D$289)</f>
        <v>2016000</v>
      </c>
      <c r="F95" s="1">
        <f ca="1">_xlfn.FLOOR.MATH(J26*60/控制台!$H$291*控制台!$D$289)</f>
        <v>251942</v>
      </c>
      <c r="G95" s="1">
        <f>IFERROR(_xlfn.FLOOR.MATH(C95,POWER(10,MAX(0,INT(LOG10(C95)-2)))),"")</f>
        <v>2520000</v>
      </c>
      <c r="H95" s="1">
        <f>IFERROR(_xlfn.FLOOR.MATH(D95,POWER(10,MAX(0,INT(LOG10(D95)-2)))),"")</f>
        <v>3020000</v>
      </c>
      <c r="I95" s="1">
        <f>IFERROR(_xlfn.FLOOR.MATH(E95,POWER(10,MAX(0,INT(LOG10(E95)-2)))),"")</f>
        <v>2010000</v>
      </c>
      <c r="J95" s="4" t="str">
        <f t="shared" si="4"/>
        <v>2520000;3020000;2010000</v>
      </c>
      <c r="K95" s="1">
        <f ca="1">IFERROR(_xlfn.FLOOR.MATH($F95*控制台!K357/(控制台!O357*60)),"")</f>
        <v>106</v>
      </c>
      <c r="L95" s="1">
        <f ca="1">IFERROR(_xlfn.FLOOR.MATH($F95*控制台!L357/(控制台!P357*60)),"")</f>
        <v>93</v>
      </c>
      <c r="M95" s="1">
        <f ca="1">IFERROR(_xlfn.FLOOR.MATH($F95*控制台!M357/(控制台!Q357*60)),"")</f>
        <v>79</v>
      </c>
      <c r="N95" s="1">
        <f ca="1">IFERROR(_xlfn.FLOOR.MATH($F95*控制台!N357/(控制台!R357*60)),"")</f>
        <v>60</v>
      </c>
      <c r="O95" s="4" t="str">
        <f ca="1">控制台!W357</f>
        <v>board;brick;cement;steel</v>
      </c>
      <c r="P95" s="4" t="str">
        <f ca="1" t="shared" si="6"/>
        <v>106;93;79;60</v>
      </c>
      <c r="Q95" s="4">
        <f>_xlfn.FLOOR.MATH(K25/控制台!$H$291*控制台!$D$289,5)</f>
        <v>27000</v>
      </c>
      <c r="R95" s="4">
        <f>_xlfn.FLOOR.MATH(O25/控制台!$H$291*控制台!$D$289,5)</f>
        <v>45290</v>
      </c>
      <c r="S95" s="1" t="s">
        <v>2689</v>
      </c>
      <c r="T95" s="1" t="s">
        <v>2720</v>
      </c>
      <c r="U95" s="1">
        <f ca="1" t="shared" si="5"/>
        <v>1</v>
      </c>
    </row>
    <row r="96" spans="1:21">
      <c r="A96" s="1">
        <v>20</v>
      </c>
      <c r="B96" s="1" t="s">
        <v>156</v>
      </c>
      <c r="C96" s="1">
        <f>_xlfn.FLOOR.MATH(D27/控制台!$H$291*控制台!$D$289)</f>
        <v>2790000</v>
      </c>
      <c r="D96" s="1">
        <f>_xlfn.FLOOR.MATH(E27/控制台!$H$291*控制台!$D$289)</f>
        <v>3348000</v>
      </c>
      <c r="E96" s="1">
        <f>_xlfn.FLOOR.MATH(F27/控制台!$H$291*控制台!$D$289)</f>
        <v>2232000</v>
      </c>
      <c r="F96" s="1">
        <f ca="1">_xlfn.FLOOR.MATH(J27*60/控制台!$H$291*控制台!$D$289)</f>
        <v>279936</v>
      </c>
      <c r="G96" s="1">
        <f>IFERROR(_xlfn.FLOOR.MATH(C96,POWER(10,MAX(0,INT(LOG10(C96)-2)))),"")</f>
        <v>2790000</v>
      </c>
      <c r="H96" s="1">
        <f>IFERROR(_xlfn.FLOOR.MATH(D96,POWER(10,MAX(0,INT(LOG10(D96)-2)))),"")</f>
        <v>3340000</v>
      </c>
      <c r="I96" s="1">
        <f>IFERROR(_xlfn.FLOOR.MATH(E96,POWER(10,MAX(0,INT(LOG10(E96)-2)))),"")</f>
        <v>2230000</v>
      </c>
      <c r="J96" s="4" t="str">
        <f t="shared" si="4"/>
        <v>2790000;3340000;2230000</v>
      </c>
      <c r="K96" s="1">
        <f ca="1">IFERROR(_xlfn.FLOOR.MATH($F96*控制台!K358/(控制台!O358*60)),"")</f>
        <v>64</v>
      </c>
      <c r="L96" s="1">
        <f ca="1">IFERROR(_xlfn.FLOOR.MATH($F96*控制台!L358/(控制台!P358*60)),"")</f>
        <v>55</v>
      </c>
      <c r="M96" s="1">
        <f ca="1">IFERROR(_xlfn.FLOOR.MATH($F96*控制台!M358/(控制台!Q358*60)),"")</f>
        <v>41</v>
      </c>
      <c r="N96" s="1">
        <f ca="1">IFERROR(_xlfn.FLOOR.MATH($F96*控制台!N358/(控制台!R358*60)),"")</f>
        <v>36</v>
      </c>
      <c r="O96" s="4" t="str">
        <f ca="1">控制台!W358</f>
        <v>brick;cement;steel;pitch</v>
      </c>
      <c r="P96" s="4" t="str">
        <f ca="1" t="shared" si="6"/>
        <v>64;55;41;36</v>
      </c>
      <c r="Q96" s="4">
        <f>_xlfn.FLOOR.MATH(K26/控制台!$H$291*控制台!$D$289,5)</f>
        <v>30240</v>
      </c>
      <c r="R96" s="4">
        <f>_xlfn.FLOOR.MATH(O26/控制台!$H$291*控制台!$D$289,5)</f>
        <v>55300</v>
      </c>
      <c r="S96" s="1" t="s">
        <v>2691</v>
      </c>
      <c r="T96" s="1" t="s">
        <v>2721</v>
      </c>
      <c r="U96" s="1">
        <f ca="1" t="shared" si="5"/>
        <v>1</v>
      </c>
    </row>
    <row r="97" spans="1:21">
      <c r="A97" s="1">
        <v>21</v>
      </c>
      <c r="B97" s="1" t="s">
        <v>156</v>
      </c>
      <c r="C97" s="1">
        <f>_xlfn.FLOOR.MATH(D28/控制台!$H$291*控制台!$D$289)</f>
        <v>2970000</v>
      </c>
      <c r="D97" s="1">
        <f>_xlfn.FLOOR.MATH(E28/控制台!$H$291*控制台!$D$289)</f>
        <v>3564000</v>
      </c>
      <c r="E97" s="1">
        <f>_xlfn.FLOOR.MATH(F28/控制台!$H$291*控制台!$D$289)</f>
        <v>2376000</v>
      </c>
      <c r="F97" s="1">
        <f ca="1">_xlfn.FLOOR.MATH(J28*60/控制台!$H$291*控制台!$D$289)</f>
        <v>307929</v>
      </c>
      <c r="G97" s="1">
        <f>IFERROR(_xlfn.FLOOR.MATH(C97,POWER(10,MAX(0,INT(LOG10(C97)-2)))),"")</f>
        <v>2970000</v>
      </c>
      <c r="H97" s="1">
        <f>IFERROR(_xlfn.FLOOR.MATH(D97,POWER(10,MAX(0,INT(LOG10(D97)-2)))),"")</f>
        <v>3560000</v>
      </c>
      <c r="I97" s="1">
        <f>IFERROR(_xlfn.FLOOR.MATH(E97,POWER(10,MAX(0,INT(LOG10(E97)-2)))),"")</f>
        <v>2370000</v>
      </c>
      <c r="J97" s="4" t="str">
        <f t="shared" si="4"/>
        <v>2970000;3560000;2370000</v>
      </c>
      <c r="K97" s="1">
        <f ca="1">IFERROR(_xlfn.FLOOR.MATH($F97*控制台!K359/(控制台!O359*60)),"")</f>
        <v>103</v>
      </c>
      <c r="L97" s="1">
        <f ca="1">IFERROR(_xlfn.FLOOR.MATH($F97*控制台!L359/(控制台!P359*60)),"")</f>
        <v>90</v>
      </c>
      <c r="M97" s="1">
        <f ca="1">IFERROR(_xlfn.FLOOR.MATH($F97*控制台!M359/(控制台!Q359*60)),"")</f>
        <v>59</v>
      </c>
      <c r="N97" s="1">
        <f ca="1">IFERROR(_xlfn.FLOOR.MATH($F97*控制台!N359/(控制台!R359*60)),"")</f>
        <v>51</v>
      </c>
      <c r="O97" s="4" t="str">
        <f ca="1">控制台!W359</f>
        <v>board;brick;steel;pitch</v>
      </c>
      <c r="P97" s="4" t="str">
        <f ca="1" t="shared" si="6"/>
        <v>103;90;59;51</v>
      </c>
      <c r="Q97" s="4">
        <f>_xlfn.FLOOR.MATH(K27/控制台!$H$291*控制台!$D$289,5)</f>
        <v>33480</v>
      </c>
      <c r="R97" s="4">
        <f>_xlfn.FLOOR.MATH(O27/控制台!$H$291*控制台!$D$289,5)</f>
        <v>66420</v>
      </c>
      <c r="S97" s="1" t="s">
        <v>2693</v>
      </c>
      <c r="T97" s="1" t="s">
        <v>2722</v>
      </c>
      <c r="U97" s="1">
        <f ca="1" t="shared" si="5"/>
        <v>1</v>
      </c>
    </row>
    <row r="98" spans="1:21">
      <c r="A98" s="1">
        <v>22</v>
      </c>
      <c r="B98" s="1" t="s">
        <v>156</v>
      </c>
      <c r="C98" s="1">
        <f>_xlfn.FLOOR.MATH(D29/控制台!$H$291*控制台!$D$289)</f>
        <v>4050000</v>
      </c>
      <c r="D98" s="1">
        <f>_xlfn.FLOOR.MATH(E29/控制台!$H$291*控制台!$D$289)</f>
        <v>4860000</v>
      </c>
      <c r="E98" s="1">
        <f>_xlfn.FLOOR.MATH(F29/控制台!$H$291*控制台!$D$289)</f>
        <v>3240000</v>
      </c>
      <c r="F98" s="1">
        <f ca="1">_xlfn.FLOOR.MATH(J29*60/控制台!$H$291*控制台!$D$289)</f>
        <v>348364</v>
      </c>
      <c r="G98" s="1">
        <f>IFERROR(_xlfn.FLOOR.MATH(C98,POWER(10,MAX(0,INT(LOG10(C98)-2)))),"")</f>
        <v>4050000</v>
      </c>
      <c r="H98" s="1">
        <f>IFERROR(_xlfn.FLOOR.MATH(D98,POWER(10,MAX(0,INT(LOG10(D98)-2)))),"")</f>
        <v>4860000</v>
      </c>
      <c r="I98" s="1">
        <f>IFERROR(_xlfn.FLOOR.MATH(E98,POWER(10,MAX(0,INT(LOG10(E98)-2)))),"")</f>
        <v>3240000</v>
      </c>
      <c r="J98" s="4" t="str">
        <f t="shared" si="4"/>
        <v>4050000;4860000;3240000</v>
      </c>
      <c r="K98" s="1">
        <f ca="1">IFERROR(_xlfn.FLOOR.MATH($F98*控制台!K360/(控制台!O360*60)),"")</f>
        <v>80</v>
      </c>
      <c r="L98" s="1">
        <f ca="1">IFERROR(_xlfn.FLOOR.MATH($F98*控制台!L360/(控制台!P360*60)),"")</f>
        <v>68</v>
      </c>
      <c r="M98" s="1">
        <f ca="1">IFERROR(_xlfn.FLOOR.MATH($F98*控制台!M360/(控制台!Q360*60)),"")</f>
        <v>52</v>
      </c>
      <c r="N98" s="1">
        <f ca="1">IFERROR(_xlfn.FLOOR.MATH($F98*控制台!N360/(控制台!R360*60)),"")</f>
        <v>45</v>
      </c>
      <c r="O98" s="4" t="str">
        <f ca="1">控制台!W360</f>
        <v>brick;cement;steel;pitch</v>
      </c>
      <c r="P98" s="4" t="str">
        <f ca="1" t="shared" si="6"/>
        <v>80;68;52;45</v>
      </c>
      <c r="Q98" s="4">
        <f>_xlfn.FLOOR.MATH(K28/控制台!$H$291*控制台!$D$289,5)</f>
        <v>35640</v>
      </c>
      <c r="R98" s="4">
        <f>_xlfn.FLOOR.MATH(O28/控制台!$H$291*控制台!$D$289,5)</f>
        <v>78590</v>
      </c>
      <c r="S98" s="1" t="s">
        <v>2691</v>
      </c>
      <c r="T98" s="1" t="s">
        <v>2723</v>
      </c>
      <c r="U98" s="1">
        <f ca="1" t="shared" si="5"/>
        <v>1</v>
      </c>
    </row>
    <row r="99" spans="1:21">
      <c r="A99" s="1">
        <v>23</v>
      </c>
      <c r="B99" s="1" t="s">
        <v>156</v>
      </c>
      <c r="C99" s="1">
        <f>_xlfn.FLOOR.MATH(D30/控制台!$H$291*控制台!$D$289)</f>
        <v>9900000</v>
      </c>
      <c r="D99" s="1">
        <f>_xlfn.FLOOR.MATH(E30/控制台!$H$291*控制台!$D$289)</f>
        <v>11880000</v>
      </c>
      <c r="E99" s="1">
        <f>_xlfn.FLOOR.MATH(F30/控制台!$H$291*控制台!$D$289)</f>
        <v>7920000</v>
      </c>
      <c r="F99" s="1">
        <f ca="1">_xlfn.FLOOR.MATH(J30*60/控制台!$H$291*控制台!$D$289)</f>
        <v>580608</v>
      </c>
      <c r="G99" s="1">
        <f>IFERROR(_xlfn.FLOOR.MATH(C99,POWER(10,MAX(0,INT(LOG10(C99)-2)))),"")</f>
        <v>9900000</v>
      </c>
      <c r="H99" s="1">
        <f>IFERROR(_xlfn.FLOOR.MATH(D99,POWER(10,MAX(0,INT(LOG10(D99)-2)))),"")</f>
        <v>11800000</v>
      </c>
      <c r="I99" s="1">
        <f>IFERROR(_xlfn.FLOOR.MATH(E99,POWER(10,MAX(0,INT(LOG10(E99)-2)))),"")</f>
        <v>7920000</v>
      </c>
      <c r="J99" s="4" t="str">
        <f t="shared" si="4"/>
        <v>9900000;11800000;7920000</v>
      </c>
      <c r="K99" s="1">
        <f ca="1">IFERROR(_xlfn.FLOOR.MATH($F99*控制台!K361/(控制台!O361*60)),"")</f>
        <v>158</v>
      </c>
      <c r="L99" s="1">
        <f ca="1">IFERROR(_xlfn.FLOOR.MATH($F99*控制台!L361/(控制台!P361*60)),"")</f>
        <v>118</v>
      </c>
      <c r="M99" s="1">
        <f ca="1">IFERROR(_xlfn.FLOOR.MATH($F99*控制台!M361/(控制台!Q361*60)),"")</f>
        <v>90</v>
      </c>
      <c r="N99" s="1">
        <f ca="1">IFERROR(_xlfn.FLOOR.MATH($F99*控制台!N361/(控制台!R361*60)),"")</f>
        <v>79</v>
      </c>
      <c r="O99" s="4" t="str">
        <f ca="1">控制台!W361</f>
        <v>board;cement;steel;pitch</v>
      </c>
      <c r="P99" s="4" t="str">
        <f ca="1" t="shared" si="6"/>
        <v>158;118;90;79</v>
      </c>
      <c r="Q99" s="4">
        <f>_xlfn.FLOOR.MATH(K29/控制台!$H$291*控制台!$D$289,5)</f>
        <v>48600</v>
      </c>
      <c r="R99" s="4">
        <f>_xlfn.FLOOR.MATH(O29/控制台!$H$291*控制台!$D$289,5)</f>
        <v>92370</v>
      </c>
      <c r="S99" s="1" t="s">
        <v>2696</v>
      </c>
      <c r="T99" s="1" t="s">
        <v>2724</v>
      </c>
      <c r="U99" s="1">
        <f ca="1" t="shared" si="5"/>
        <v>1</v>
      </c>
    </row>
    <row r="100" spans="1:21">
      <c r="A100" s="1">
        <v>24</v>
      </c>
      <c r="B100" s="1" t="s">
        <v>156</v>
      </c>
      <c r="C100" s="1">
        <f>_xlfn.FLOOR.MATH(D31/控制台!$H$291*控制台!$D$289)</f>
        <v>12600000</v>
      </c>
      <c r="D100" s="1">
        <f>_xlfn.FLOOR.MATH(E31/控制台!$H$291*控制台!$D$289)</f>
        <v>15120000</v>
      </c>
      <c r="E100" s="1">
        <f>_xlfn.FLOOR.MATH(F31/控制台!$H$291*控制台!$D$289)</f>
        <v>10080000</v>
      </c>
      <c r="F100" s="1">
        <f ca="1">_xlfn.FLOOR.MATH(J31*60/控制台!$H$291*控制台!$D$289)</f>
        <v>870912</v>
      </c>
      <c r="G100" s="1">
        <f>IFERROR(_xlfn.FLOOR.MATH(C100,POWER(10,MAX(0,INT(LOG10(C100)-2)))),"")</f>
        <v>12600000</v>
      </c>
      <c r="H100" s="1">
        <f>IFERROR(_xlfn.FLOOR.MATH(D100,POWER(10,MAX(0,INT(LOG10(D100)-2)))),"")</f>
        <v>15100000</v>
      </c>
      <c r="I100" s="1">
        <f>IFERROR(_xlfn.FLOOR.MATH(E100,POWER(10,MAX(0,INT(LOG10(E100)-2)))),"")</f>
        <v>10000000</v>
      </c>
      <c r="J100" s="4" t="str">
        <f t="shared" si="4"/>
        <v>12600000;15100000;10000000</v>
      </c>
      <c r="K100" s="1">
        <f ca="1">IFERROR(_xlfn.FLOOR.MATH($F100*控制台!K362/(控制台!O362*60)),"")</f>
        <v>200</v>
      </c>
      <c r="L100" s="1">
        <f ca="1">IFERROR(_xlfn.FLOOR.MATH($F100*控制台!L362/(控制台!P362*60)),"")</f>
        <v>171</v>
      </c>
      <c r="M100" s="1">
        <f ca="1">IFERROR(_xlfn.FLOOR.MATH($F100*控制台!M362/(控制台!Q362*60)),"")</f>
        <v>130</v>
      </c>
      <c r="N100" s="1">
        <f ca="1">IFERROR(_xlfn.FLOOR.MATH($F100*控制台!N362/(控制台!R362*60)),"")</f>
        <v>114</v>
      </c>
      <c r="O100" s="4" t="str">
        <f ca="1">控制台!W362</f>
        <v>brick;cement;steel;pitch</v>
      </c>
      <c r="P100" s="4" t="str">
        <f ca="1" t="shared" si="6"/>
        <v>200;171;130;114</v>
      </c>
      <c r="Q100" s="4">
        <f>_xlfn.FLOOR.MATH(K30/控制台!$H$291*控制台!$D$289,5)</f>
        <v>118800</v>
      </c>
      <c r="R100" s="4">
        <f>_xlfn.FLOOR.MATH(O30/控制台!$H$291*控制台!$D$289,5)</f>
        <v>117305</v>
      </c>
      <c r="S100" s="1" t="s">
        <v>2691</v>
      </c>
      <c r="T100" s="1" t="s">
        <v>2725</v>
      </c>
      <c r="U100" s="1">
        <f ca="1" t="shared" si="5"/>
        <v>1</v>
      </c>
    </row>
    <row r="101" spans="1:21">
      <c r="A101" s="1">
        <v>25</v>
      </c>
      <c r="B101" s="1" t="s">
        <v>156</v>
      </c>
      <c r="C101" s="1">
        <f>_xlfn.FLOOR.MATH(D32/控制台!$H$291*控制台!$D$289)</f>
        <v>14400000</v>
      </c>
      <c r="D101" s="1">
        <f>_xlfn.FLOOR.MATH(E32/控制台!$H$291*控制台!$D$289)</f>
        <v>17280000</v>
      </c>
      <c r="E101" s="1">
        <f>_xlfn.FLOOR.MATH(F32/控制台!$H$291*控制台!$D$289)</f>
        <v>11520000</v>
      </c>
      <c r="F101" s="1">
        <f ca="1">_xlfn.FLOOR.MATH(J32*60/控制台!$H$291*控制台!$D$289)</f>
        <v>1161216</v>
      </c>
      <c r="G101" s="1">
        <f>IFERROR(_xlfn.FLOOR.MATH(C101,POWER(10,MAX(0,INT(LOG10(C101)-2)))),"")</f>
        <v>14400000</v>
      </c>
      <c r="H101" s="1">
        <f>IFERROR(_xlfn.FLOOR.MATH(D101,POWER(10,MAX(0,INT(LOG10(D101)-2)))),"")</f>
        <v>17200000</v>
      </c>
      <c r="I101" s="1">
        <f>IFERROR(_xlfn.FLOOR.MATH(E101,POWER(10,MAX(0,INT(LOG10(E101)-2)))),"")</f>
        <v>11500000</v>
      </c>
      <c r="J101" s="4" t="str">
        <f t="shared" si="4"/>
        <v>14400000;17200000;11500000</v>
      </c>
      <c r="K101" s="1">
        <f ca="1">IFERROR(_xlfn.FLOOR.MATH($F101*控制台!K363/(控制台!O363*60)),"")</f>
        <v>317</v>
      </c>
      <c r="L101" s="1">
        <f ca="1">IFERROR(_xlfn.FLOOR.MATH($F101*控制台!L363/(控制台!P363*60)),"")</f>
        <v>237</v>
      </c>
      <c r="M101" s="1">
        <f ca="1">IFERROR(_xlfn.FLOOR.MATH($F101*控制台!M363/(控制台!Q363*60)),"")</f>
        <v>181</v>
      </c>
      <c r="N101" s="1">
        <f ca="1">IFERROR(_xlfn.FLOOR.MATH($F101*控制台!N363/(控制台!R363*60)),"")</f>
        <v>158</v>
      </c>
      <c r="O101" s="4" t="str">
        <f ca="1">控制台!W363</f>
        <v>board;cement;steel;pitch</v>
      </c>
      <c r="P101" s="4" t="str">
        <f ca="1" t="shared" si="6"/>
        <v>317;237;181;158</v>
      </c>
      <c r="Q101" s="4">
        <f>_xlfn.FLOOR.MATH(K31/控制台!$H$291*控制台!$D$289,5)</f>
        <v>151200</v>
      </c>
      <c r="R101" s="4">
        <f>_xlfn.FLOOR.MATH(O31/控制台!$H$291*控制台!$D$289,5)</f>
        <v>153305</v>
      </c>
      <c r="S101" s="1" t="s">
        <v>2696</v>
      </c>
      <c r="T101" s="1" t="s">
        <v>2726</v>
      </c>
      <c r="U101" s="1">
        <f ca="1" t="shared" si="5"/>
        <v>1</v>
      </c>
    </row>
    <row r="102" spans="1:21">
      <c r="A102" s="1">
        <v>26</v>
      </c>
      <c r="B102" s="1" t="s">
        <v>156</v>
      </c>
      <c r="C102" s="1">
        <f>_xlfn.FLOOR.MATH(D33/控制台!$H$291*控制台!$D$289)</f>
        <v>36000000</v>
      </c>
      <c r="D102" s="1">
        <f>_xlfn.FLOOR.MATH(E33/控制台!$H$291*控制台!$D$289)</f>
        <v>43200000</v>
      </c>
      <c r="E102" s="1">
        <f>_xlfn.FLOOR.MATH(F33/控制台!$H$291*控制台!$D$289)</f>
        <v>28800000</v>
      </c>
      <c r="F102" s="1">
        <f ca="1">_xlfn.FLOOR.MATH(J33*60/控制台!$H$291*控制台!$D$289)</f>
        <v>2571264</v>
      </c>
      <c r="G102" s="1">
        <f>IFERROR(_xlfn.FLOOR.MATH(C102,POWER(10,MAX(0,INT(LOG10(C102)-2)))),"")</f>
        <v>36000000</v>
      </c>
      <c r="H102" s="1">
        <f>IFERROR(_xlfn.FLOOR.MATH(D102,POWER(10,MAX(0,INT(LOG10(D102)-2)))),"")</f>
        <v>43200000</v>
      </c>
      <c r="I102" s="1">
        <f>IFERROR(_xlfn.FLOOR.MATH(E102,POWER(10,MAX(0,INT(LOG10(E102)-2)))),"")</f>
        <v>28800000</v>
      </c>
      <c r="J102" s="4" t="str">
        <f t="shared" si="4"/>
        <v>36000000;43200000;28800000</v>
      </c>
      <c r="K102" s="1">
        <f ca="1">IFERROR(_xlfn.FLOOR.MATH($F102*控制台!K364/(控制台!O364*60)),"")</f>
        <v>590</v>
      </c>
      <c r="L102" s="1">
        <f ca="1">IFERROR(_xlfn.FLOOR.MATH($F102*控制台!L364/(控制台!P364*60)),"")</f>
        <v>506</v>
      </c>
      <c r="M102" s="1">
        <f ca="1">IFERROR(_xlfn.FLOOR.MATH($F102*控制台!M364/(控制台!Q364*60)),"")</f>
        <v>385</v>
      </c>
      <c r="N102" s="1">
        <f ca="1">IFERROR(_xlfn.FLOOR.MATH($F102*控制台!N364/(控制台!R364*60)),"")</f>
        <v>337</v>
      </c>
      <c r="O102" s="4" t="str">
        <f ca="1">控制台!W364</f>
        <v>brick;cement;steel;pitch</v>
      </c>
      <c r="P102" s="4" t="str">
        <f ca="1" t="shared" si="6"/>
        <v>590;506;385;337</v>
      </c>
      <c r="Q102" s="4">
        <f>_xlfn.FLOOR.MATH(K32/控制台!$H$291*控制台!$D$289,5)</f>
        <v>172800</v>
      </c>
      <c r="R102" s="4">
        <f>_xlfn.FLOOR.MATH(O32/控制台!$H$291*控制台!$D$289,5)</f>
        <v>199805</v>
      </c>
      <c r="S102" s="1" t="s">
        <v>2691</v>
      </c>
      <c r="T102" s="1" t="s">
        <v>2727</v>
      </c>
      <c r="U102" s="1">
        <f ca="1" t="shared" si="5"/>
        <v>1</v>
      </c>
    </row>
    <row r="103" spans="1:21">
      <c r="A103" s="1">
        <v>27</v>
      </c>
      <c r="B103" s="1" t="s">
        <v>156</v>
      </c>
      <c r="C103" s="1">
        <f>_xlfn.FLOOR.MATH(D34/控制台!$H$291*控制台!$D$289)</f>
        <v>45000000</v>
      </c>
      <c r="D103" s="1">
        <f>_xlfn.FLOOR.MATH(E34/控制台!$H$291*控制台!$D$289)</f>
        <v>54000000</v>
      </c>
      <c r="E103" s="1">
        <f>_xlfn.FLOOR.MATH(F34/控制台!$H$291*控制台!$D$289)</f>
        <v>36000000</v>
      </c>
      <c r="F103" s="1">
        <f ca="1">_xlfn.FLOOR.MATH(J34*60/控制台!$H$291*控制台!$D$289)</f>
        <v>4478976</v>
      </c>
      <c r="G103" s="1">
        <f>IFERROR(_xlfn.FLOOR.MATH(C103,POWER(10,MAX(0,INT(LOG10(C103)-2)))),"")</f>
        <v>45000000</v>
      </c>
      <c r="H103" s="1">
        <f>IFERROR(_xlfn.FLOOR.MATH(D103,POWER(10,MAX(0,INT(LOG10(D103)-2)))),"")</f>
        <v>54000000</v>
      </c>
      <c r="I103" s="1">
        <f>IFERROR(_xlfn.FLOOR.MATH(E103,POWER(10,MAX(0,INT(LOG10(E103)-2)))),"")</f>
        <v>36000000</v>
      </c>
      <c r="J103" s="4" t="str">
        <f t="shared" si="4"/>
        <v>45000000;54000000;36000000</v>
      </c>
      <c r="K103" s="1">
        <f ca="1">IFERROR(_xlfn.FLOOR.MATH($F103*控制台!K365/(控制台!O365*60)),"")</f>
        <v>508</v>
      </c>
      <c r="L103" s="1">
        <f ca="1">IFERROR(_xlfn.FLOOR.MATH($F103*控制台!L365/(控制台!P365*60)),"")</f>
        <v>387</v>
      </c>
      <c r="M103" s="1">
        <f ca="1">IFERROR(_xlfn.FLOOR.MATH($F103*控制台!M365/(控制台!Q365*60)),"")</f>
        <v>339</v>
      </c>
      <c r="N103" s="1">
        <f ca="1">IFERROR(_xlfn.FLOOR.MATH($F103*控制台!N365/(控制台!R365*60)),"")</f>
        <v>308</v>
      </c>
      <c r="O103" s="4" t="str">
        <f ca="1">控制台!W365</f>
        <v>cement;steel;pitch;concrete</v>
      </c>
      <c r="P103" s="4" t="str">
        <f ca="1" t="shared" si="6"/>
        <v>508;387;339;308</v>
      </c>
      <c r="Q103" s="4">
        <f>_xlfn.FLOOR.MATH(K33/控制台!$H$291*控制台!$D$289,5)</f>
        <v>432000</v>
      </c>
      <c r="R103" s="4">
        <f>_xlfn.FLOOR.MATH(O33/控制台!$H$291*控制台!$D$289,5)</f>
        <v>297305</v>
      </c>
      <c r="S103" s="1" t="s">
        <v>2701</v>
      </c>
      <c r="T103" s="1" t="s">
        <v>2728</v>
      </c>
      <c r="U103" s="1">
        <f ca="1" t="shared" si="5"/>
        <v>1</v>
      </c>
    </row>
    <row r="104" spans="1:21">
      <c r="A104" s="1">
        <v>28</v>
      </c>
      <c r="B104" s="1" t="s">
        <v>156</v>
      </c>
      <c r="C104" s="1">
        <f>_xlfn.FLOOR.MATH(D35/控制台!$H$291*控制台!$D$289)</f>
        <v>85500000</v>
      </c>
      <c r="D104" s="1">
        <f>_xlfn.FLOOR.MATH(E35/控制台!$H$291*控制台!$D$289)</f>
        <v>102600000</v>
      </c>
      <c r="E104" s="1">
        <f>_xlfn.FLOOR.MATH(F35/控制台!$H$291*控制台!$D$289)</f>
        <v>68400000</v>
      </c>
      <c r="F104" s="1">
        <f ca="1">_xlfn.FLOOR.MATH(J35*60/控制台!$H$291*控制台!$D$289)</f>
        <v>7288704</v>
      </c>
      <c r="G104" s="1">
        <f>IFERROR(_xlfn.FLOOR.MATH(C104,POWER(10,MAX(0,INT(LOG10(C104)-2)))),"")</f>
        <v>85500000</v>
      </c>
      <c r="H104" s="1">
        <f>IFERROR(_xlfn.FLOOR.MATH(D104,POWER(10,MAX(0,INT(LOG10(D104)-2)))),"")</f>
        <v>102000000</v>
      </c>
      <c r="I104" s="1">
        <f>IFERROR(_xlfn.FLOOR.MATH(E104,POWER(10,MAX(0,INT(LOG10(E104)-2)))),"")</f>
        <v>68400000</v>
      </c>
      <c r="J104" s="4" t="str">
        <f t="shared" si="4"/>
        <v>85500000;102000000;68400000</v>
      </c>
      <c r="K104" s="1">
        <f ca="1">IFERROR(_xlfn.FLOOR.MATH($F104*控制台!K366/(控制台!O366*60)),"")</f>
        <v>1201</v>
      </c>
      <c r="L104" s="1">
        <f ca="1">IFERROR(_xlfn.FLOOR.MATH($F104*控制台!L366/(控制台!P366*60)),"")</f>
        <v>1029</v>
      </c>
      <c r="M104" s="1">
        <f ca="1">IFERROR(_xlfn.FLOOR.MATH($F104*控制台!M366/(控制台!Q366*60)),"")</f>
        <v>784</v>
      </c>
      <c r="N104" s="1">
        <f ca="1">IFERROR(_xlfn.FLOOR.MATH($F104*控制台!N366/(控制台!R366*60)),"")</f>
        <v>623</v>
      </c>
      <c r="O104" s="4" t="str">
        <f ca="1">控制台!W366</f>
        <v>brick;cement;steel;concrete</v>
      </c>
      <c r="P104" s="4" t="str">
        <f ca="1" t="shared" si="6"/>
        <v>1201;1029;784;623</v>
      </c>
      <c r="Q104" s="4">
        <f>_xlfn.FLOOR.MATH(K34/控制台!$H$291*控制台!$D$289,5)</f>
        <v>540000</v>
      </c>
      <c r="R104" s="4">
        <f>_xlfn.FLOOR.MATH(O34/控制台!$H$291*控制台!$D$289,5)</f>
        <v>437930</v>
      </c>
      <c r="S104" s="1" t="s">
        <v>2703</v>
      </c>
      <c r="T104" s="1" t="s">
        <v>2729</v>
      </c>
      <c r="U104" s="1">
        <f ca="1" t="shared" si="5"/>
        <v>1</v>
      </c>
    </row>
    <row r="105" spans="1:21">
      <c r="A105" s="1">
        <v>29</v>
      </c>
      <c r="B105" s="1" t="s">
        <v>156</v>
      </c>
      <c r="C105" s="1">
        <f>_xlfn.FLOOR.MATH(D36/控制台!$H$291*控制台!$D$289)</f>
        <v>86400000</v>
      </c>
      <c r="D105" s="1">
        <f>_xlfn.FLOOR.MATH(E36/控制台!$H$291*控制台!$D$289)</f>
        <v>103680000</v>
      </c>
      <c r="E105" s="1">
        <f>_xlfn.FLOOR.MATH(F36/控制台!$H$291*控制台!$D$289)</f>
        <v>69120000</v>
      </c>
      <c r="F105" s="1">
        <f ca="1">_xlfn.FLOOR.MATH(J36*60/控制台!$H$291*控制台!$D$289)</f>
        <v>7442150</v>
      </c>
      <c r="G105" s="1">
        <f>IFERROR(_xlfn.FLOOR.MATH(C105,POWER(10,MAX(0,INT(LOG10(C105)-2)))),"")</f>
        <v>86400000</v>
      </c>
      <c r="H105" s="1">
        <f>IFERROR(_xlfn.FLOOR.MATH(D105,POWER(10,MAX(0,INT(LOG10(D105)-2)))),"")</f>
        <v>103000000</v>
      </c>
      <c r="I105" s="1">
        <f>IFERROR(_xlfn.FLOOR.MATH(E105,POWER(10,MAX(0,INT(LOG10(E105)-2)))),"")</f>
        <v>69100000</v>
      </c>
      <c r="J105" s="4" t="str">
        <f t="shared" si="4"/>
        <v>86400000;103000000;69100000</v>
      </c>
      <c r="K105" s="1">
        <f ca="1">IFERROR(_xlfn.FLOOR.MATH($F105*控制台!K367/(控制台!O367*60)),"")</f>
        <v>1363</v>
      </c>
      <c r="L105" s="1">
        <f ca="1">IFERROR(_xlfn.FLOOR.MATH($F105*控制台!L367/(控制台!P367*60)),"")</f>
        <v>1022</v>
      </c>
      <c r="M105" s="1">
        <f ca="1">IFERROR(_xlfn.FLOOR.MATH($F105*控制台!M367/(控制台!Q367*60)),"")</f>
        <v>681</v>
      </c>
      <c r="N105" s="1">
        <f ca="1">IFERROR(_xlfn.FLOOR.MATH($F105*控制台!N367/(控制台!R367*60)),"")</f>
        <v>619</v>
      </c>
      <c r="O105" s="4" t="str">
        <f ca="1">控制台!W367</f>
        <v>board;cement;pitch;concrete</v>
      </c>
      <c r="P105" s="4" t="str">
        <f ca="1" t="shared" si="6"/>
        <v>1363;1022;681;619</v>
      </c>
      <c r="Q105" s="4">
        <f>_xlfn.FLOOR.MATH(K35/控制台!$H$291*控制台!$D$289,5)</f>
        <v>1026000</v>
      </c>
      <c r="R105" s="4">
        <f>_xlfn.FLOOR.MATH(O35/控制台!$H$291*控制台!$D$289,5)</f>
        <v>669495</v>
      </c>
      <c r="S105" s="1" t="s">
        <v>2705</v>
      </c>
      <c r="T105" s="1" t="s">
        <v>2730</v>
      </c>
      <c r="U105" s="1">
        <f ca="1" t="shared" si="5"/>
        <v>1</v>
      </c>
    </row>
    <row r="106" spans="1:21">
      <c r="A106" s="1">
        <v>30</v>
      </c>
      <c r="B106" s="1" t="s">
        <v>156</v>
      </c>
      <c r="C106" s="1">
        <f>_xlfn.FLOOR.MATH(D37/控制台!$H$291*控制台!$D$289)</f>
        <v>88200000</v>
      </c>
      <c r="D106" s="1">
        <f>_xlfn.FLOOR.MATH(E37/控制台!$H$291*控制台!$D$289)</f>
        <v>105840000</v>
      </c>
      <c r="E106" s="1">
        <f>_xlfn.FLOOR.MATH(F37/控制台!$H$291*控制台!$D$289)</f>
        <v>70560000</v>
      </c>
      <c r="F106" s="1">
        <f ca="1">_xlfn.FLOOR.MATH(J37*60/控制台!$H$291*控制台!$D$289)</f>
        <v>7595596</v>
      </c>
      <c r="G106" s="1">
        <f>IFERROR(_xlfn.FLOOR.MATH(C106,POWER(10,MAX(0,INT(LOG10(C106)-2)))),"")</f>
        <v>88200000</v>
      </c>
      <c r="H106" s="1">
        <f>IFERROR(_xlfn.FLOOR.MATH(D106,POWER(10,MAX(0,INT(LOG10(D106)-2)))),"")</f>
        <v>105000000</v>
      </c>
      <c r="I106" s="1">
        <f>IFERROR(_xlfn.FLOOR.MATH(E106,POWER(10,MAX(0,INT(LOG10(E106)-2)))),"")</f>
        <v>70500000</v>
      </c>
      <c r="J106" s="4" t="str">
        <f t="shared" si="4"/>
        <v>88200000;105000000;70500000</v>
      </c>
      <c r="K106" s="1">
        <f ca="1">IFERROR(_xlfn.FLOOR.MATH($F106*控制台!K368/(控制台!O368*60)),"")</f>
        <v>1124</v>
      </c>
      <c r="L106" s="1">
        <f ca="1">IFERROR(_xlfn.FLOOR.MATH($F106*控制台!L368/(控制台!P368*60)),"")</f>
        <v>734</v>
      </c>
      <c r="M106" s="1">
        <f ca="1">IFERROR(_xlfn.FLOOR.MATH($F106*控制台!M368/(控制台!Q368*60)),"")</f>
        <v>642</v>
      </c>
      <c r="N106" s="1">
        <f ca="1">IFERROR(_xlfn.FLOOR.MATH($F106*控制台!N368/(控制台!R368*60)),"")</f>
        <v>584</v>
      </c>
      <c r="O106" s="4" t="str">
        <f ca="1">控制台!W368</f>
        <v>brick;steel;pitch;concrete</v>
      </c>
      <c r="P106" s="4" t="str">
        <f ca="1" t="shared" si="6"/>
        <v>1124;734;642;584</v>
      </c>
      <c r="Q106" s="4">
        <f>_xlfn.FLOOR.MATH(K36/控制台!$H$291*控制台!$D$289,5)</f>
        <v>1036800</v>
      </c>
      <c r="R106" s="4">
        <f>_xlfn.FLOOR.MATH(O36/控制台!$H$291*控制台!$D$289,5)</f>
        <v>905370</v>
      </c>
      <c r="S106" s="1" t="s">
        <v>2707</v>
      </c>
      <c r="T106" s="1" t="s">
        <v>2731</v>
      </c>
      <c r="U106" s="1">
        <f ca="1" t="shared" si="5"/>
        <v>1</v>
      </c>
    </row>
    <row r="107" spans="1:21">
      <c r="A107" s="1">
        <v>31</v>
      </c>
      <c r="B107" s="1" t="s">
        <v>156</v>
      </c>
      <c r="C107" s="1">
        <f>_xlfn.FLOOR.MATH(D38/控制台!$H$291*控制台!$D$289)</f>
        <v>90000000</v>
      </c>
      <c r="D107" s="1">
        <f>_xlfn.FLOOR.MATH(E38/控制台!$H$291*控制台!$D$289)</f>
        <v>108000000</v>
      </c>
      <c r="E107" s="1">
        <f>_xlfn.FLOOR.MATH(F38/控制台!$H$291*控制台!$D$289)</f>
        <v>72000000</v>
      </c>
      <c r="F107" s="1">
        <f ca="1">_xlfn.FLOOR.MATH(J38*60/控制台!$H$291*控制台!$D$289)</f>
        <v>7879680</v>
      </c>
      <c r="G107" s="1">
        <f>IFERROR(_xlfn.FLOOR.MATH(C107,POWER(10,MAX(0,INT(LOG10(C107)-2)))),"")</f>
        <v>90000000</v>
      </c>
      <c r="H107" s="1">
        <f>IFERROR(_xlfn.FLOOR.MATH(D107,POWER(10,MAX(0,INT(LOG10(D107)-2)))),"")</f>
        <v>108000000</v>
      </c>
      <c r="I107" s="1">
        <f>IFERROR(_xlfn.FLOOR.MATH(E107,POWER(10,MAX(0,INT(LOG10(E107)-2)))),"")</f>
        <v>72000000</v>
      </c>
      <c r="J107" s="4" t="str">
        <f t="shared" si="4"/>
        <v>90000000;108000000;72000000</v>
      </c>
      <c r="K107" s="1">
        <f ca="1">IFERROR(_xlfn.FLOOR.MATH($F107*控制台!K369/(控制台!O369*60)),"")</f>
        <v>895</v>
      </c>
      <c r="L107" s="1">
        <f ca="1">IFERROR(_xlfn.FLOOR.MATH($F107*控制台!L369/(控制台!P369*60)),"")</f>
        <v>682</v>
      </c>
      <c r="M107" s="1">
        <f ca="1">IFERROR(_xlfn.FLOOR.MATH($F107*控制台!M369/(控制台!Q369*60)),"")</f>
        <v>596</v>
      </c>
      <c r="N107" s="1">
        <f ca="1">IFERROR(_xlfn.FLOOR.MATH($F107*控制台!N369/(控制台!R369*60)),"")</f>
        <v>542</v>
      </c>
      <c r="O107" s="4" t="str">
        <f ca="1">控制台!W369</f>
        <v>cement;steel;pitch;concrete</v>
      </c>
      <c r="P107" s="4" t="str">
        <f ca="1" t="shared" si="6"/>
        <v>895;682;596;542</v>
      </c>
      <c r="Q107" s="4">
        <f>_xlfn.FLOOR.MATH(K37/控制台!$H$291*控制台!$D$289,5)</f>
        <v>1058400</v>
      </c>
      <c r="R107" s="4">
        <f>_xlfn.FLOOR.MATH(O37/控制台!$H$291*控制台!$D$289,5)</f>
        <v>1146120</v>
      </c>
      <c r="S107" s="1" t="s">
        <v>2701</v>
      </c>
      <c r="T107" s="1" t="s">
        <v>2732</v>
      </c>
      <c r="U107" s="1">
        <f ca="1" t="shared" si="5"/>
        <v>1</v>
      </c>
    </row>
    <row r="108" spans="1:21">
      <c r="A108" s="1">
        <v>32</v>
      </c>
      <c r="B108" s="1" t="s">
        <v>156</v>
      </c>
      <c r="G108" s="1" t="str">
        <f>IFERROR(_xlfn.FLOOR.MATH(C108,POWER(10,MAX(0,INT(LOG10(C108)-2)))),"")</f>
        <v/>
      </c>
      <c r="H108" s="1" t="str">
        <f>IFERROR(_xlfn.FLOOR.MATH(D108,POWER(10,MAX(0,INT(LOG10(D108)-2)))),"")</f>
        <v/>
      </c>
      <c r="I108" s="1" t="str">
        <f>IFERROR(_xlfn.FLOOR.MATH(E108,POWER(10,MAX(0,INT(LOG10(E108)-2)))),"")</f>
        <v/>
      </c>
      <c r="J108" s="4" t="str">
        <f t="shared" ref="J108:J140" si="7">IF(G108="","",IF(H108="",G108,IF(I108="",CONCATENATE(G108,";",H108),CONCATENATE(G108,";",H108,";",I108))))</f>
        <v/>
      </c>
      <c r="O108" s="4"/>
      <c r="P108" s="4" t="str">
        <f t="shared" si="6"/>
        <v/>
      </c>
      <c r="Q108" s="4">
        <f>_xlfn.FLOOR.MATH(K38/控制台!$H$291*控制台!$D$289,5)</f>
        <v>1080000</v>
      </c>
      <c r="R108" s="4">
        <f>_xlfn.FLOOR.MATH(O38/控制台!$H$291*控制台!$D$289,5)</f>
        <v>1389870</v>
      </c>
      <c r="U108" s="1">
        <f t="shared" ref="U108:U171" si="8">IF(AND(O108=S108,P108=T108),1,0)</f>
        <v>1</v>
      </c>
    </row>
    <row r="109" spans="1:21">
      <c r="A109" s="1">
        <v>0</v>
      </c>
      <c r="B109" s="1" t="s">
        <v>163</v>
      </c>
      <c r="C109" s="1">
        <f>_xlfn.FLOOR.MATH(D7/控制台!$H$291*控制台!$D$289)</f>
        <v>2700</v>
      </c>
      <c r="D109" s="1">
        <f>_xlfn.FLOOR.MATH(E7/控制台!$H$291*控制台!$D$289)</f>
        <v>3240</v>
      </c>
      <c r="E109" s="1">
        <f>_xlfn.FLOOR.MATH(F7/控制台!$H$291*控制台!$D$289)</f>
        <v>2160</v>
      </c>
      <c r="F109" s="1">
        <f ca="1">_xlfn.FLOOR.MATH(J7*60/控制台!$H$291*控制台!$D$289)</f>
        <v>414</v>
      </c>
      <c r="G109" s="1">
        <f>IFERROR(_xlfn.FLOOR.MATH(C109,POWER(10,MAX(0,INT(LOG10(C109)-2)))),"")</f>
        <v>2700</v>
      </c>
      <c r="H109" s="1">
        <f>IFERROR(_xlfn.FLOOR.MATH(D109,POWER(10,MAX(0,INT(LOG10(D109)-2)))),"")</f>
        <v>3240</v>
      </c>
      <c r="I109" s="1">
        <f>IFERROR(_xlfn.FLOOR.MATH(E109,POWER(10,MAX(0,INT(LOG10(E109)-2)))),"")</f>
        <v>2160</v>
      </c>
      <c r="J109" s="4" t="str">
        <f t="shared" si="7"/>
        <v>2700;3240;2160</v>
      </c>
      <c r="K109" s="1">
        <f ca="1">IFERROR(_xlfn.FLOOR.MATH($F109*控制台!K338/(控制台!O338*60)),"")</f>
        <v>6</v>
      </c>
      <c r="L109" s="1" t="str">
        <f ca="1">IFERROR(_xlfn.FLOOR.MATH($F109*控制台!L338/(控制台!P338*60)),"")</f>
        <v/>
      </c>
      <c r="M109" s="1" t="str">
        <f ca="1">IFERROR(_xlfn.FLOOR.MATH($F109*控制台!M338/(控制台!Q338*60)),"")</f>
        <v/>
      </c>
      <c r="N109" s="1" t="str">
        <f ca="1">IFERROR(_xlfn.FLOOR.MATH($F109*控制台!N338/(控制台!R338*60)),"")</f>
        <v/>
      </c>
      <c r="O109" s="6" t="s">
        <v>143</v>
      </c>
      <c r="P109" s="6">
        <v>1</v>
      </c>
      <c r="Q109" s="6">
        <v>0</v>
      </c>
      <c r="R109" s="4">
        <f>_xlfn.FLOOR.MATH(O6/控制台!$H$291*控制台!$D$289,5)</f>
        <v>0</v>
      </c>
      <c r="S109" s="1" t="s">
        <v>143</v>
      </c>
      <c r="T109" s="1">
        <v>1</v>
      </c>
      <c r="U109" s="1">
        <f t="shared" si="8"/>
        <v>1</v>
      </c>
    </row>
    <row r="110" spans="1:21">
      <c r="A110" s="1">
        <v>1</v>
      </c>
      <c r="B110" s="1" t="s">
        <v>163</v>
      </c>
      <c r="C110" s="1">
        <f>_xlfn.FLOOR.MATH(D8/控制台!$H$291*控制台!$D$289)</f>
        <v>5400</v>
      </c>
      <c r="D110" s="1">
        <f>_xlfn.FLOOR.MATH(E8/控制台!$H$291*控制台!$D$289)</f>
        <v>6480</v>
      </c>
      <c r="E110" s="1">
        <f>_xlfn.FLOOR.MATH(F8/控制台!$H$291*控制台!$D$289)</f>
        <v>4320</v>
      </c>
      <c r="F110" s="1">
        <f ca="1">_xlfn.FLOOR.MATH(J8*60/控制台!$H$291*控制台!$D$289)</f>
        <v>829</v>
      </c>
      <c r="G110" s="1">
        <f>IFERROR(_xlfn.FLOOR.MATH(C110,POWER(10,MAX(0,INT(LOG10(C110)-2)))),"")</f>
        <v>5400</v>
      </c>
      <c r="H110" s="1">
        <f>IFERROR(_xlfn.FLOOR.MATH(D110,POWER(10,MAX(0,INT(LOG10(D110)-2)))),"")</f>
        <v>6480</v>
      </c>
      <c r="I110" s="1">
        <f>IFERROR(_xlfn.FLOOR.MATH(E110,POWER(10,MAX(0,INT(LOG10(E110)-2)))),"")</f>
        <v>4320</v>
      </c>
      <c r="J110" s="4" t="str">
        <f t="shared" si="7"/>
        <v>5400;6480;4320</v>
      </c>
      <c r="K110" s="1">
        <f ca="1">IFERROR(_xlfn.FLOOR.MATH($F110*控制台!K339/(控制台!O339*60)),"")</f>
        <v>13</v>
      </c>
      <c r="L110" s="1" t="str">
        <f ca="1">IFERROR(_xlfn.FLOOR.MATH($F110*控制台!L339/(控制台!P339*60)),"")</f>
        <v/>
      </c>
      <c r="M110" s="1" t="str">
        <f ca="1">IFERROR(_xlfn.FLOOR.MATH($F110*控制台!M339/(控制台!Q339*60)),"")</f>
        <v/>
      </c>
      <c r="N110" s="1" t="str">
        <f ca="1">IFERROR(_xlfn.FLOOR.MATH($F110*控制台!N339/(控制台!R339*60)),"")</f>
        <v/>
      </c>
      <c r="O110" s="6" t="s">
        <v>143</v>
      </c>
      <c r="P110" s="6">
        <v>4</v>
      </c>
      <c r="Q110" s="6">
        <v>10</v>
      </c>
      <c r="R110" s="4">
        <f>_xlfn.FLOOR.MATH(O7/控制台!$H$291*控制台!$D$289,5)</f>
        <v>20</v>
      </c>
      <c r="S110" s="1" t="s">
        <v>143</v>
      </c>
      <c r="T110" s="1">
        <v>4</v>
      </c>
      <c r="U110" s="1">
        <f t="shared" si="8"/>
        <v>1</v>
      </c>
    </row>
    <row r="111" spans="1:21">
      <c r="A111" s="1">
        <v>2</v>
      </c>
      <c r="B111" s="1" t="s">
        <v>163</v>
      </c>
      <c r="C111" s="1">
        <f>_xlfn.FLOOR.MATH(D9/控制台!$H$291*控制台!$D$289)</f>
        <v>8100</v>
      </c>
      <c r="D111" s="1">
        <f>_xlfn.FLOOR.MATH(E9/控制台!$H$291*控制台!$D$289)</f>
        <v>9720</v>
      </c>
      <c r="E111" s="1">
        <f>_xlfn.FLOOR.MATH(F9/控制台!$H$291*控制台!$D$289)</f>
        <v>6480</v>
      </c>
      <c r="F111" s="1">
        <f ca="1">_xlfn.FLOOR.MATH(J9*60/控制台!$H$291*控制台!$D$289)</f>
        <v>1244</v>
      </c>
      <c r="G111" s="1">
        <f>IFERROR(_xlfn.FLOOR.MATH(C111,POWER(10,MAX(0,INT(LOG10(C111)-2)))),"")</f>
        <v>8100</v>
      </c>
      <c r="H111" s="1">
        <f>IFERROR(_xlfn.FLOOR.MATH(D111,POWER(10,MAX(0,INT(LOG10(D111)-2)))),"")</f>
        <v>9720</v>
      </c>
      <c r="I111" s="1">
        <f>IFERROR(_xlfn.FLOOR.MATH(E111,POWER(10,MAX(0,INT(LOG10(E111)-2)))),"")</f>
        <v>6480</v>
      </c>
      <c r="J111" s="4" t="str">
        <f t="shared" si="7"/>
        <v>8100;9720;6480</v>
      </c>
      <c r="K111" s="1">
        <f ca="1">IFERROR(_xlfn.FLOOR.MATH($F111*控制台!K340/(控制台!O340*60)),"")</f>
        <v>4</v>
      </c>
      <c r="L111" s="1">
        <f ca="1">IFERROR(_xlfn.FLOOR.MATH($F111*控制台!L340/(控制台!P340*60)),"")</f>
        <v>4</v>
      </c>
      <c r="M111" s="1" t="str">
        <f ca="1">IFERROR(_xlfn.FLOOR.MATH($F111*控制台!M340/(控制台!Q340*60)),"")</f>
        <v/>
      </c>
      <c r="N111" s="1" t="str">
        <f ca="1">IFERROR(_xlfn.FLOOR.MATH($F111*控制台!N340/(控制台!R340*60)),"")</f>
        <v/>
      </c>
      <c r="O111" s="6" t="s">
        <v>144</v>
      </c>
      <c r="P111" s="6" t="s">
        <v>164</v>
      </c>
      <c r="Q111" s="6">
        <v>30</v>
      </c>
      <c r="R111" s="4">
        <f>_xlfn.FLOOR.MATH(O8/控制台!$H$291*控制台!$D$289,5)</f>
        <v>60</v>
      </c>
      <c r="S111" s="1" t="s">
        <v>144</v>
      </c>
      <c r="T111" s="1" t="s">
        <v>164</v>
      </c>
      <c r="U111" s="1">
        <f t="shared" si="8"/>
        <v>1</v>
      </c>
    </row>
    <row r="112" spans="1:21">
      <c r="A112" s="1">
        <v>3</v>
      </c>
      <c r="B112" s="1" t="s">
        <v>163</v>
      </c>
      <c r="C112" s="1">
        <f>_xlfn.FLOOR.MATH(D10/控制台!$H$291*控制台!$D$289)</f>
        <v>10800</v>
      </c>
      <c r="D112" s="1">
        <f>_xlfn.FLOOR.MATH(E10/控制台!$H$291*控制台!$D$289)</f>
        <v>12960</v>
      </c>
      <c r="E112" s="1">
        <f>_xlfn.FLOOR.MATH(F10/控制台!$H$291*控制台!$D$289)</f>
        <v>8640</v>
      </c>
      <c r="F112" s="1">
        <f ca="1">_xlfn.FLOOR.MATH(J10*60/控制台!$H$291*控制台!$D$289)</f>
        <v>2073</v>
      </c>
      <c r="G112" s="1">
        <f>IFERROR(_xlfn.FLOOR.MATH(C112,POWER(10,MAX(0,INT(LOG10(C112)-2)))),"")</f>
        <v>10800</v>
      </c>
      <c r="H112" s="1">
        <f>IFERROR(_xlfn.FLOOR.MATH(D112,POWER(10,MAX(0,INT(LOG10(D112)-2)))),"")</f>
        <v>12900</v>
      </c>
      <c r="I112" s="1">
        <f>IFERROR(_xlfn.FLOOR.MATH(E112,POWER(10,MAX(0,INT(LOG10(E112)-2)))),"")</f>
        <v>8640</v>
      </c>
      <c r="J112" s="4" t="str">
        <f t="shared" si="7"/>
        <v>10800;12900;8640</v>
      </c>
      <c r="K112" s="1">
        <f ca="1">IFERROR(_xlfn.FLOOR.MATH($F112*控制台!K341/(控制台!O341*60)),"")</f>
        <v>7</v>
      </c>
      <c r="L112" s="1">
        <f ca="1">IFERROR(_xlfn.FLOOR.MATH($F112*控制台!L341/(控制台!P341*60)),"")</f>
        <v>6</v>
      </c>
      <c r="M112" s="1" t="str">
        <f ca="1">IFERROR(_xlfn.FLOOR.MATH($F112*控制台!M341/(控制台!Q341*60)),"")</f>
        <v/>
      </c>
      <c r="N112" s="1" t="str">
        <f ca="1">IFERROR(_xlfn.FLOOR.MATH($F112*控制台!N341/(控制台!R341*60)),"")</f>
        <v/>
      </c>
      <c r="O112" s="6" t="s">
        <v>144</v>
      </c>
      <c r="P112" s="6" t="s">
        <v>145</v>
      </c>
      <c r="Q112" s="6">
        <v>50</v>
      </c>
      <c r="R112" s="4">
        <f>_xlfn.FLOOR.MATH(O9/控制台!$H$291*控制台!$D$289,5)</f>
        <v>120</v>
      </c>
      <c r="S112" s="1" t="s">
        <v>144</v>
      </c>
      <c r="T112" s="1" t="s">
        <v>145</v>
      </c>
      <c r="U112" s="1">
        <f t="shared" si="8"/>
        <v>1</v>
      </c>
    </row>
    <row r="113" spans="1:21">
      <c r="A113" s="1">
        <v>4</v>
      </c>
      <c r="B113" s="1" t="s">
        <v>163</v>
      </c>
      <c r="C113" s="1">
        <f>_xlfn.FLOOR.MATH(D11/控制台!$H$291*控制台!$D$289)</f>
        <v>18000</v>
      </c>
      <c r="D113" s="1">
        <f>_xlfn.FLOOR.MATH(E11/控制台!$H$291*控制台!$D$289)</f>
        <v>21600</v>
      </c>
      <c r="E113" s="1">
        <f>_xlfn.FLOOR.MATH(F11/控制台!$H$291*控制台!$D$289)</f>
        <v>14400</v>
      </c>
      <c r="F113" s="1">
        <f ca="1">_xlfn.FLOOR.MATH(J11*60/控制台!$H$291*控制台!$D$289)</f>
        <v>3317</v>
      </c>
      <c r="G113" s="1">
        <f>IFERROR(_xlfn.FLOOR.MATH(C113,POWER(10,MAX(0,INT(LOG10(C113)-2)))),"")</f>
        <v>18000</v>
      </c>
      <c r="H113" s="1">
        <f>IFERROR(_xlfn.FLOOR.MATH(D113,POWER(10,MAX(0,INT(LOG10(D113)-2)))),"")</f>
        <v>21600</v>
      </c>
      <c r="I113" s="1">
        <f>IFERROR(_xlfn.FLOOR.MATH(E113,POWER(10,MAX(0,INT(LOG10(E113)-2)))),"")</f>
        <v>14400</v>
      </c>
      <c r="J113" s="4" t="str">
        <f t="shared" si="7"/>
        <v>18000;21600;14400</v>
      </c>
      <c r="K113" s="1">
        <f ca="1">IFERROR(_xlfn.FLOOR.MATH($F113*控制台!K342/(控制台!O342*60)),"")</f>
        <v>12</v>
      </c>
      <c r="L113" s="1">
        <f ca="1">IFERROR(_xlfn.FLOOR.MATH($F113*控制台!L342/(控制台!P342*60)),"")</f>
        <v>10</v>
      </c>
      <c r="M113" s="1" t="str">
        <f ca="1">IFERROR(_xlfn.FLOOR.MATH($F113*控制台!M342/(控制台!Q342*60)),"")</f>
        <v/>
      </c>
      <c r="N113" s="1" t="str">
        <f ca="1">IFERROR(_xlfn.FLOOR.MATH($F113*控制台!N342/(控制台!R342*60)),"")</f>
        <v/>
      </c>
      <c r="O113" s="6" t="s">
        <v>152</v>
      </c>
      <c r="P113" s="6" t="s">
        <v>165</v>
      </c>
      <c r="Q113" s="6">
        <v>125</v>
      </c>
      <c r="R113" s="4">
        <f>_xlfn.FLOOR.MATH(O10/控制台!$H$291*控制台!$D$289,5)</f>
        <v>220</v>
      </c>
      <c r="S113" s="1" t="s">
        <v>152</v>
      </c>
      <c r="T113" s="1" t="s">
        <v>165</v>
      </c>
      <c r="U113" s="1">
        <f t="shared" si="8"/>
        <v>1</v>
      </c>
    </row>
    <row r="114" spans="1:21">
      <c r="A114" s="1">
        <v>5</v>
      </c>
      <c r="B114" s="1" t="s">
        <v>163</v>
      </c>
      <c r="C114" s="1">
        <f>_xlfn.FLOOR.MATH(D12/控制台!$H$291*控制台!$D$289)</f>
        <v>36000</v>
      </c>
      <c r="D114" s="1">
        <f>_xlfn.FLOOR.MATH(E12/控制台!$H$291*控制台!$D$289)</f>
        <v>43200</v>
      </c>
      <c r="E114" s="1">
        <f>_xlfn.FLOOR.MATH(F12/控制台!$H$291*控制台!$D$289)</f>
        <v>28800</v>
      </c>
      <c r="F114" s="1">
        <f ca="1">_xlfn.FLOOR.MATH(J12*60/控制台!$H$291*控制台!$D$289)</f>
        <v>6220</v>
      </c>
      <c r="G114" s="1">
        <f>IFERROR(_xlfn.FLOOR.MATH(C114,POWER(10,MAX(0,INT(LOG10(C114)-2)))),"")</f>
        <v>36000</v>
      </c>
      <c r="H114" s="1">
        <f>IFERROR(_xlfn.FLOOR.MATH(D114,POWER(10,MAX(0,INT(LOG10(D114)-2)))),"")</f>
        <v>43200</v>
      </c>
      <c r="I114" s="1">
        <f>IFERROR(_xlfn.FLOOR.MATH(E114,POWER(10,MAX(0,INT(LOG10(E114)-2)))),"")</f>
        <v>28800</v>
      </c>
      <c r="J114" s="4" t="str">
        <f t="shared" si="7"/>
        <v>36000;43200;28800</v>
      </c>
      <c r="K114" s="1">
        <f ca="1">IFERROR(_xlfn.FLOOR.MATH($F114*控制台!K343/(控制台!O343*60)),"")</f>
        <v>23</v>
      </c>
      <c r="L114" s="1">
        <f ca="1">IFERROR(_xlfn.FLOOR.MATH($F114*控制台!L343/(控制台!P343*60)),"")</f>
        <v>20</v>
      </c>
      <c r="M114" s="1" t="str">
        <f ca="1">IFERROR(_xlfn.FLOOR.MATH($F114*控制台!M343/(控制台!Q343*60)),"")</f>
        <v/>
      </c>
      <c r="N114" s="1" t="str">
        <f ca="1">IFERROR(_xlfn.FLOOR.MATH($F114*控制台!N343/(控制台!R343*60)),"")</f>
        <v/>
      </c>
      <c r="O114" s="6" t="s">
        <v>152</v>
      </c>
      <c r="P114" s="6" t="s">
        <v>166</v>
      </c>
      <c r="Q114" s="6">
        <v>215</v>
      </c>
      <c r="R114" s="4">
        <f>_xlfn.FLOOR.MATH(O11/控制台!$H$291*控制台!$D$289,5)</f>
        <v>380</v>
      </c>
      <c r="S114" s="1" t="s">
        <v>152</v>
      </c>
      <c r="T114" s="1" t="s">
        <v>166</v>
      </c>
      <c r="U114" s="1">
        <f t="shared" si="8"/>
        <v>1</v>
      </c>
    </row>
    <row r="115" spans="1:21">
      <c r="A115" s="1">
        <v>6</v>
      </c>
      <c r="B115" s="1" t="s">
        <v>163</v>
      </c>
      <c r="C115" s="1">
        <f>_xlfn.FLOOR.MATH(D13/控制台!$H$291*控制台!$D$289)</f>
        <v>54000</v>
      </c>
      <c r="D115" s="1">
        <f>_xlfn.FLOOR.MATH(E13/控制台!$H$291*控制台!$D$289)</f>
        <v>64800</v>
      </c>
      <c r="E115" s="1">
        <f>_xlfn.FLOOR.MATH(F13/控制台!$H$291*控制台!$D$289)</f>
        <v>43200</v>
      </c>
      <c r="F115" s="1">
        <f ca="1">_xlfn.FLOOR.MATH(J13*60/控制台!$H$291*控制台!$D$289)</f>
        <v>12441</v>
      </c>
      <c r="G115" s="1">
        <f>IFERROR(_xlfn.FLOOR.MATH(C115,POWER(10,MAX(0,INT(LOG10(C115)-2)))),"")</f>
        <v>54000</v>
      </c>
      <c r="H115" s="1">
        <f>IFERROR(_xlfn.FLOOR.MATH(D115,POWER(10,MAX(0,INT(LOG10(D115)-2)))),"")</f>
        <v>64800</v>
      </c>
      <c r="I115" s="1">
        <f>IFERROR(_xlfn.FLOOR.MATH(E115,POWER(10,MAX(0,INT(LOG10(E115)-2)))),"")</f>
        <v>43200</v>
      </c>
      <c r="J115" s="4" t="str">
        <f t="shared" si="7"/>
        <v>54000;64800;43200</v>
      </c>
      <c r="K115" s="1">
        <f ca="1">IFERROR(_xlfn.FLOOR.MATH($F115*控制台!K344/(控制台!O344*60)),"")</f>
        <v>10</v>
      </c>
      <c r="L115" s="1">
        <f ca="1">IFERROR(_xlfn.FLOOR.MATH($F115*控制台!L344/(控制台!P344*60)),"")</f>
        <v>9</v>
      </c>
      <c r="M115" s="1">
        <f ca="1">IFERROR(_xlfn.FLOOR.MATH($F115*控制台!M344/(控制台!Q344*60)),"")</f>
        <v>7</v>
      </c>
      <c r="N115" s="1" t="str">
        <f ca="1">IFERROR(_xlfn.FLOOR.MATH($F115*控制台!N344/(控制台!R344*60)),"")</f>
        <v/>
      </c>
      <c r="O115" s="4" t="str">
        <f ca="1">控制台!W344</f>
        <v>board;brick;cement</v>
      </c>
      <c r="P115" s="4" t="str">
        <f ca="1" t="shared" ref="P115:P140" si="9">IF(K115="","",IF(L115="",K115,IF(M115="",CONCATENATE(K115,";",L115),IF(N115="",CONCATENATE(K115,";",L115,";",M115),CONCATENATE(K115,";",L115,";",M115,";",N115)))))</f>
        <v>10;9;7</v>
      </c>
      <c r="Q115" s="4">
        <f>_xlfn.FLOOR.MATH(K12/控制台!$H$291*控制台!$D$289,5)</f>
        <v>430</v>
      </c>
      <c r="R115" s="4">
        <f>_xlfn.FLOOR.MATH(O12/控制台!$H$291*控制台!$D$289,5)</f>
        <v>685</v>
      </c>
      <c r="S115" s="1" t="s">
        <v>152</v>
      </c>
      <c r="T115" s="1" t="s">
        <v>2710</v>
      </c>
      <c r="U115" s="1">
        <f ca="1" t="shared" si="8"/>
        <v>1</v>
      </c>
    </row>
    <row r="116" spans="1:21">
      <c r="A116" s="1">
        <v>7</v>
      </c>
      <c r="B116" s="1" t="s">
        <v>163</v>
      </c>
      <c r="C116" s="1">
        <f>_xlfn.FLOOR.MATH(D14/控制台!$H$291*控制台!$D$289)</f>
        <v>72000</v>
      </c>
      <c r="D116" s="1">
        <f>_xlfn.FLOOR.MATH(E14/控制台!$H$291*控制台!$D$289)</f>
        <v>86400</v>
      </c>
      <c r="E116" s="1">
        <f>_xlfn.FLOOR.MATH(F14/控制台!$H$291*控制台!$D$289)</f>
        <v>57600</v>
      </c>
      <c r="F116" s="1">
        <f ca="1">_xlfn.FLOOR.MATH(J14*60/控制台!$H$291*控制台!$D$289)</f>
        <v>16588</v>
      </c>
      <c r="G116" s="1">
        <f>IFERROR(_xlfn.FLOOR.MATH(C116,POWER(10,MAX(0,INT(LOG10(C116)-2)))),"")</f>
        <v>72000</v>
      </c>
      <c r="H116" s="1">
        <f>IFERROR(_xlfn.FLOOR.MATH(D116,POWER(10,MAX(0,INT(LOG10(D116)-2)))),"")</f>
        <v>86400</v>
      </c>
      <c r="I116" s="1">
        <f>IFERROR(_xlfn.FLOOR.MATH(E116,POWER(10,MAX(0,INT(LOG10(E116)-2)))),"")</f>
        <v>57600</v>
      </c>
      <c r="J116" s="4" t="str">
        <f t="shared" si="7"/>
        <v>72000;86400;57600</v>
      </c>
      <c r="K116" s="1">
        <f ca="1">IFERROR(_xlfn.FLOOR.MATH($F116*控制台!K345/(控制台!O345*60)),"")</f>
        <v>14</v>
      </c>
      <c r="L116" s="1">
        <f ca="1">IFERROR(_xlfn.FLOOR.MATH($F116*控制台!L345/(控制台!P345*60)),"")</f>
        <v>12</v>
      </c>
      <c r="M116" s="1">
        <f ca="1">IFERROR(_xlfn.FLOOR.MATH($F116*控制台!M345/(控制台!Q345*60)),"")</f>
        <v>10</v>
      </c>
      <c r="N116" s="1" t="str">
        <f ca="1">IFERROR(_xlfn.FLOOR.MATH($F116*控制台!N345/(控制台!R345*60)),"")</f>
        <v/>
      </c>
      <c r="O116" s="4" t="str">
        <f ca="1">控制台!W345</f>
        <v>board;brick;cement</v>
      </c>
      <c r="P116" s="4" t="str">
        <f ca="1" t="shared" si="9"/>
        <v>14;12;10</v>
      </c>
      <c r="Q116" s="4">
        <f>_xlfn.FLOOR.MATH(K13/控制台!$H$291*控制台!$D$289,5)</f>
        <v>645</v>
      </c>
      <c r="R116" s="4">
        <f>_xlfn.FLOOR.MATH(O13/控制台!$H$291*控制台!$D$289,5)</f>
        <v>1280</v>
      </c>
      <c r="S116" s="1" t="s">
        <v>152</v>
      </c>
      <c r="T116" s="1" t="s">
        <v>2711</v>
      </c>
      <c r="U116" s="1">
        <f ca="1" t="shared" si="8"/>
        <v>1</v>
      </c>
    </row>
    <row r="117" spans="1:21">
      <c r="A117" s="1">
        <v>8</v>
      </c>
      <c r="B117" s="1" t="s">
        <v>163</v>
      </c>
      <c r="C117" s="1">
        <f>_xlfn.FLOOR.MATH(D15/控制台!$H$291*控制台!$D$289)</f>
        <v>90000</v>
      </c>
      <c r="D117" s="1">
        <f>_xlfn.FLOOR.MATH(E15/控制台!$H$291*控制台!$D$289)</f>
        <v>108000</v>
      </c>
      <c r="E117" s="1">
        <f>_xlfn.FLOOR.MATH(F15/控制台!$H$291*控制台!$D$289)</f>
        <v>72000</v>
      </c>
      <c r="F117" s="1">
        <f ca="1">_xlfn.FLOOR.MATH(J15*60/控制台!$H$291*控制台!$D$289)</f>
        <v>20736</v>
      </c>
      <c r="G117" s="1">
        <f>IFERROR(_xlfn.FLOOR.MATH(C117,POWER(10,MAX(0,INT(LOG10(C117)-2)))),"")</f>
        <v>90000</v>
      </c>
      <c r="H117" s="1">
        <f>IFERROR(_xlfn.FLOOR.MATH(D117,POWER(10,MAX(0,INT(LOG10(D117)-2)))),"")</f>
        <v>108000</v>
      </c>
      <c r="I117" s="1">
        <f>IFERROR(_xlfn.FLOOR.MATH(E117,POWER(10,MAX(0,INT(LOG10(E117)-2)))),"")</f>
        <v>72000</v>
      </c>
      <c r="J117" s="4" t="str">
        <f t="shared" si="7"/>
        <v>90000;108000;72000</v>
      </c>
      <c r="K117" s="1">
        <f ca="1">IFERROR(_xlfn.FLOOR.MATH($F117*控制台!K346/(控制台!O346*60)),"")</f>
        <v>17</v>
      </c>
      <c r="L117" s="1">
        <f ca="1">IFERROR(_xlfn.FLOOR.MATH($F117*控制台!L346/(控制台!P346*60)),"")</f>
        <v>15</v>
      </c>
      <c r="M117" s="1">
        <f ca="1">IFERROR(_xlfn.FLOOR.MATH($F117*控制台!M346/(控制台!Q346*60)),"")</f>
        <v>13</v>
      </c>
      <c r="N117" s="1" t="str">
        <f ca="1">IFERROR(_xlfn.FLOOR.MATH($F117*控制台!N346/(控制台!R346*60)),"")</f>
        <v/>
      </c>
      <c r="O117" s="4" t="str">
        <f ca="1">控制台!W346</f>
        <v>board;brick;cement</v>
      </c>
      <c r="P117" s="4" t="str">
        <f ca="1" t="shared" si="9"/>
        <v>17;15;13</v>
      </c>
      <c r="Q117" s="4">
        <f>_xlfn.FLOOR.MATH(K14/控制台!$H$291*控制台!$D$289,5)</f>
        <v>860</v>
      </c>
      <c r="R117" s="4">
        <f>_xlfn.FLOOR.MATH(O14/控制台!$H$291*控制台!$D$289,5)</f>
        <v>2075</v>
      </c>
      <c r="S117" s="1" t="s">
        <v>152</v>
      </c>
      <c r="T117" s="1" t="s">
        <v>2712</v>
      </c>
      <c r="U117" s="1">
        <f ca="1" t="shared" si="8"/>
        <v>1</v>
      </c>
    </row>
    <row r="118" spans="1:21">
      <c r="A118" s="1">
        <v>9</v>
      </c>
      <c r="B118" s="1" t="s">
        <v>163</v>
      </c>
      <c r="C118" s="1">
        <f>_xlfn.FLOOR.MATH(D16/控制台!$H$291*控制台!$D$289)</f>
        <v>126000</v>
      </c>
      <c r="D118" s="1">
        <f>_xlfn.FLOOR.MATH(E16/控制台!$H$291*控制台!$D$289)</f>
        <v>151200</v>
      </c>
      <c r="E118" s="1">
        <f>_xlfn.FLOOR.MATH(F16/控制台!$H$291*控制台!$D$289)</f>
        <v>100800</v>
      </c>
      <c r="F118" s="1">
        <f ca="1">_xlfn.FLOOR.MATH(J16*60/控制台!$H$291*控制台!$D$289)</f>
        <v>24883</v>
      </c>
      <c r="G118" s="1">
        <f>IFERROR(_xlfn.FLOOR.MATH(C118,POWER(10,MAX(0,INT(LOG10(C118)-2)))),"")</f>
        <v>126000</v>
      </c>
      <c r="H118" s="1">
        <f>IFERROR(_xlfn.FLOOR.MATH(D118,POWER(10,MAX(0,INT(LOG10(D118)-2)))),"")</f>
        <v>151000</v>
      </c>
      <c r="I118" s="1">
        <f>IFERROR(_xlfn.FLOOR.MATH(E118,POWER(10,MAX(0,INT(LOG10(E118)-2)))),"")</f>
        <v>100000</v>
      </c>
      <c r="J118" s="4" t="str">
        <f t="shared" si="7"/>
        <v>126000;151000;100000</v>
      </c>
      <c r="K118" s="1">
        <f ca="1">IFERROR(_xlfn.FLOOR.MATH($F118*控制台!K347/(控制台!O347*60)),"")</f>
        <v>21</v>
      </c>
      <c r="L118" s="1">
        <f ca="1">IFERROR(_xlfn.FLOOR.MATH($F118*控制台!L347/(控制台!P347*60)),"")</f>
        <v>18</v>
      </c>
      <c r="M118" s="1">
        <f ca="1">IFERROR(_xlfn.FLOOR.MATH($F118*控制台!M347/(控制台!Q347*60)),"")</f>
        <v>15</v>
      </c>
      <c r="N118" s="1" t="str">
        <f ca="1">IFERROR(_xlfn.FLOOR.MATH($F118*控制台!N347/(控制台!R347*60)),"")</f>
        <v/>
      </c>
      <c r="O118" s="4" t="str">
        <f ca="1">控制台!W347</f>
        <v>board;brick;cement</v>
      </c>
      <c r="P118" s="4" t="str">
        <f ca="1" t="shared" si="9"/>
        <v>21;18;15</v>
      </c>
      <c r="Q118" s="4">
        <f>_xlfn.FLOOR.MATH(K15/控制台!$H$291*控制台!$D$289,5)</f>
        <v>1080</v>
      </c>
      <c r="R118" s="4">
        <f>_xlfn.FLOOR.MATH(O15/控制台!$H$291*控制台!$D$289,5)</f>
        <v>3070</v>
      </c>
      <c r="S118" s="1" t="s">
        <v>152</v>
      </c>
      <c r="T118" s="1" t="s">
        <v>155</v>
      </c>
      <c r="U118" s="1">
        <f ca="1" t="shared" si="8"/>
        <v>1</v>
      </c>
    </row>
    <row r="119" spans="1:21">
      <c r="A119" s="1">
        <v>10</v>
      </c>
      <c r="B119" s="1" t="s">
        <v>163</v>
      </c>
      <c r="C119" s="1">
        <f>_xlfn.FLOOR.MATH(D17/控制台!$H$291*控制台!$D$289)</f>
        <v>162000</v>
      </c>
      <c r="D119" s="1">
        <f>_xlfn.FLOOR.MATH(E17/控制台!$H$291*控制台!$D$289)</f>
        <v>194400</v>
      </c>
      <c r="E119" s="1">
        <f>_xlfn.FLOOR.MATH(F17/控制台!$H$291*控制台!$D$289)</f>
        <v>129600</v>
      </c>
      <c r="F119" s="1">
        <f ca="1">_xlfn.FLOOR.MATH(J17*60/控制台!$H$291*控制台!$D$289)</f>
        <v>29030</v>
      </c>
      <c r="G119" s="1">
        <f>IFERROR(_xlfn.FLOOR.MATH(C119,POWER(10,MAX(0,INT(LOG10(C119)-2)))),"")</f>
        <v>162000</v>
      </c>
      <c r="H119" s="1">
        <f>IFERROR(_xlfn.FLOOR.MATH(D119,POWER(10,MAX(0,INT(LOG10(D119)-2)))),"")</f>
        <v>194000</v>
      </c>
      <c r="I119" s="1">
        <f>IFERROR(_xlfn.FLOOR.MATH(E119,POWER(10,MAX(0,INT(LOG10(E119)-2)))),"")</f>
        <v>129000</v>
      </c>
      <c r="J119" s="4" t="str">
        <f t="shared" si="7"/>
        <v>162000;194000;129000</v>
      </c>
      <c r="K119" s="1">
        <f ca="1">IFERROR(_xlfn.FLOOR.MATH($F119*控制台!K348/(控制台!O348*60)),"")</f>
        <v>24</v>
      </c>
      <c r="L119" s="1">
        <f ca="1">IFERROR(_xlfn.FLOOR.MATH($F119*控制台!L348/(控制台!P348*60)),"")</f>
        <v>21</v>
      </c>
      <c r="M119" s="1">
        <f ca="1">IFERROR(_xlfn.FLOOR.MATH($F119*控制台!M348/(控制台!Q348*60)),"")</f>
        <v>18</v>
      </c>
      <c r="N119" s="1" t="str">
        <f ca="1">IFERROR(_xlfn.FLOOR.MATH($F119*控制台!N348/(控制台!R348*60)),"")</f>
        <v/>
      </c>
      <c r="O119" s="4" t="str">
        <f ca="1">控制台!W348</f>
        <v>board;brick;cement</v>
      </c>
      <c r="P119" s="4" t="str">
        <f ca="1" t="shared" si="9"/>
        <v>24;21;18</v>
      </c>
      <c r="Q119" s="4">
        <f>_xlfn.FLOOR.MATH(K16/控制台!$H$291*控制台!$D$289,5)</f>
        <v>1510</v>
      </c>
      <c r="R119" s="4">
        <f>_xlfn.FLOOR.MATH(O16/控制台!$H$291*控制台!$D$289,5)</f>
        <v>4275</v>
      </c>
      <c r="S119" s="1" t="s">
        <v>152</v>
      </c>
      <c r="T119" s="1" t="s">
        <v>2713</v>
      </c>
      <c r="U119" s="1">
        <f ca="1" t="shared" si="8"/>
        <v>1</v>
      </c>
    </row>
    <row r="120" spans="1:21">
      <c r="A120" s="1">
        <v>11</v>
      </c>
      <c r="B120" s="1" t="s">
        <v>163</v>
      </c>
      <c r="C120" s="1">
        <f>_xlfn.FLOOR.MATH(D18/控制台!$H$291*控制台!$D$289)</f>
        <v>180000</v>
      </c>
      <c r="D120" s="1">
        <f>_xlfn.FLOOR.MATH(E18/控制台!$H$291*控制台!$D$289)</f>
        <v>216000</v>
      </c>
      <c r="E120" s="1">
        <f>_xlfn.FLOOR.MATH(F18/控制台!$H$291*控制台!$D$289)</f>
        <v>144000</v>
      </c>
      <c r="F120" s="1">
        <f ca="1">_xlfn.FLOOR.MATH(J18*60/控制台!$H$291*控制台!$D$289)</f>
        <v>36495</v>
      </c>
      <c r="G120" s="1">
        <f>IFERROR(_xlfn.FLOOR.MATH(C120,POWER(10,MAX(0,INT(LOG10(C120)-2)))),"")</f>
        <v>180000</v>
      </c>
      <c r="H120" s="1">
        <f>IFERROR(_xlfn.FLOOR.MATH(D120,POWER(10,MAX(0,INT(LOG10(D120)-2)))),"")</f>
        <v>216000</v>
      </c>
      <c r="I120" s="1">
        <f>IFERROR(_xlfn.FLOOR.MATH(E120,POWER(10,MAX(0,INT(LOG10(E120)-2)))),"")</f>
        <v>144000</v>
      </c>
      <c r="J120" s="4" t="str">
        <f t="shared" si="7"/>
        <v>180000;216000;144000</v>
      </c>
      <c r="K120" s="1">
        <f ca="1">IFERROR(_xlfn.FLOOR.MATH($F120*控制台!K349/(控制台!O349*60)),"")</f>
        <v>31</v>
      </c>
      <c r="L120" s="1">
        <f ca="1">IFERROR(_xlfn.FLOOR.MATH($F120*控制台!L349/(控制台!P349*60)),"")</f>
        <v>27</v>
      </c>
      <c r="M120" s="1">
        <f ca="1">IFERROR(_xlfn.FLOOR.MATH($F120*控制台!M349/(控制台!Q349*60)),"")</f>
        <v>23</v>
      </c>
      <c r="N120" s="1" t="str">
        <f ca="1">IFERROR(_xlfn.FLOOR.MATH($F120*控制台!N349/(控制台!R349*60)),"")</f>
        <v/>
      </c>
      <c r="O120" s="4" t="str">
        <f ca="1">控制台!W349</f>
        <v>board;brick;cement</v>
      </c>
      <c r="P120" s="4" t="str">
        <f ca="1" t="shared" si="9"/>
        <v>31;27;23</v>
      </c>
      <c r="Q120" s="4">
        <f>_xlfn.FLOOR.MATH(K17/控制台!$H$291*控制台!$D$289,5)</f>
        <v>1940</v>
      </c>
      <c r="R120" s="4">
        <f>_xlfn.FLOOR.MATH(O17/控制台!$H$291*控制台!$D$289,5)</f>
        <v>5690</v>
      </c>
      <c r="S120" s="1" t="s">
        <v>152</v>
      </c>
      <c r="T120" s="1" t="s">
        <v>2676</v>
      </c>
      <c r="U120" s="1">
        <f ca="1" t="shared" si="8"/>
        <v>1</v>
      </c>
    </row>
    <row r="121" spans="1:21">
      <c r="A121" s="1">
        <v>12</v>
      </c>
      <c r="B121" s="1" t="s">
        <v>163</v>
      </c>
      <c r="C121" s="1">
        <f>_xlfn.FLOOR.MATH(D19/控制台!$H$291*控制台!$D$289)</f>
        <v>270000</v>
      </c>
      <c r="D121" s="1">
        <f>_xlfn.FLOOR.MATH(E19/控制台!$H$291*控制台!$D$289)</f>
        <v>324000</v>
      </c>
      <c r="E121" s="1">
        <f>_xlfn.FLOOR.MATH(F19/控制台!$H$291*控制台!$D$289)</f>
        <v>216000</v>
      </c>
      <c r="F121" s="1">
        <f ca="1">_xlfn.FLOOR.MATH(J19*60/控制台!$H$291*控制台!$D$289)</f>
        <v>45619</v>
      </c>
      <c r="G121" s="1">
        <f>IFERROR(_xlfn.FLOOR.MATH(C121,POWER(10,MAX(0,INT(LOG10(C121)-2)))),"")</f>
        <v>270000</v>
      </c>
      <c r="H121" s="1">
        <f>IFERROR(_xlfn.FLOOR.MATH(D121,POWER(10,MAX(0,INT(LOG10(D121)-2)))),"")</f>
        <v>324000</v>
      </c>
      <c r="I121" s="1">
        <f>IFERROR(_xlfn.FLOOR.MATH(E121,POWER(10,MAX(0,INT(LOG10(E121)-2)))),"")</f>
        <v>216000</v>
      </c>
      <c r="J121" s="4" t="str">
        <f t="shared" si="7"/>
        <v>270000;324000;216000</v>
      </c>
      <c r="K121" s="1">
        <f ca="1">IFERROR(_xlfn.FLOOR.MATH($F121*控制台!K350/(控制台!O350*60)),"")</f>
        <v>38</v>
      </c>
      <c r="L121" s="1">
        <f ca="1">IFERROR(_xlfn.FLOOR.MATH($F121*控制台!L350/(控制台!P350*60)),"")</f>
        <v>34</v>
      </c>
      <c r="M121" s="1">
        <f ca="1">IFERROR(_xlfn.FLOOR.MATH($F121*控制台!M350/(控制台!Q350*60)),"")</f>
        <v>29</v>
      </c>
      <c r="N121" s="1" t="str">
        <f ca="1">IFERROR(_xlfn.FLOOR.MATH($F121*控制台!N350/(控制台!R350*60)),"")</f>
        <v/>
      </c>
      <c r="O121" s="4" t="str">
        <f ca="1">控制台!W350</f>
        <v>board;brick;cement</v>
      </c>
      <c r="P121" s="4" t="str">
        <f ca="1" t="shared" si="9"/>
        <v>38;34;29</v>
      </c>
      <c r="Q121" s="4">
        <f>_xlfn.FLOOR.MATH(K18/控制台!$H$291*控制台!$D$289,5)</f>
        <v>2160</v>
      </c>
      <c r="R121" s="4">
        <f>_xlfn.FLOOR.MATH(O18/控制台!$H$291*控制台!$D$289,5)</f>
        <v>7300</v>
      </c>
      <c r="S121" s="1" t="s">
        <v>152</v>
      </c>
      <c r="T121" s="1" t="s">
        <v>2714</v>
      </c>
      <c r="U121" s="1">
        <f ca="1" t="shared" si="8"/>
        <v>1</v>
      </c>
    </row>
    <row r="122" spans="1:21">
      <c r="A122" s="1">
        <v>13</v>
      </c>
      <c r="B122" s="1" t="s">
        <v>163</v>
      </c>
      <c r="C122" s="1">
        <f>_xlfn.FLOOR.MATH(D20/控制台!$H$291*控制台!$D$289)</f>
        <v>540000</v>
      </c>
      <c r="D122" s="1">
        <f>_xlfn.FLOOR.MATH(E20/控制台!$H$291*控制台!$D$289)</f>
        <v>648000</v>
      </c>
      <c r="E122" s="1">
        <f>_xlfn.FLOOR.MATH(F20/控制台!$H$291*控制台!$D$289)</f>
        <v>432000</v>
      </c>
      <c r="F122" s="1">
        <f ca="1">_xlfn.FLOOR.MATH(J20*60/控制台!$H$291*控制台!$D$289)</f>
        <v>68428</v>
      </c>
      <c r="G122" s="1">
        <f>IFERROR(_xlfn.FLOOR.MATH(C122,POWER(10,MAX(0,INT(LOG10(C122)-2)))),"")</f>
        <v>540000</v>
      </c>
      <c r="H122" s="1">
        <f>IFERROR(_xlfn.FLOOR.MATH(D122,POWER(10,MAX(0,INT(LOG10(D122)-2)))),"")</f>
        <v>648000</v>
      </c>
      <c r="I122" s="1">
        <f>IFERROR(_xlfn.FLOOR.MATH(E122,POWER(10,MAX(0,INT(LOG10(E122)-2)))),"")</f>
        <v>432000</v>
      </c>
      <c r="J122" s="4" t="str">
        <f t="shared" si="7"/>
        <v>540000;648000;432000</v>
      </c>
      <c r="K122" s="1">
        <f ca="1">IFERROR(_xlfn.FLOOR.MATH($F122*控制台!K351/(控制台!O351*60)),"")</f>
        <v>31</v>
      </c>
      <c r="L122" s="1">
        <f ca="1">IFERROR(_xlfn.FLOOR.MATH($F122*控制台!L351/(控制台!P351*60)),"")</f>
        <v>23</v>
      </c>
      <c r="M122" s="1">
        <f ca="1">IFERROR(_xlfn.FLOOR.MATH($F122*控制台!M351/(控制台!Q351*60)),"")</f>
        <v>18</v>
      </c>
      <c r="N122" s="1" t="str">
        <f ca="1">IFERROR(_xlfn.FLOOR.MATH($F122*控制台!N351/(控制台!R351*60)),"")</f>
        <v/>
      </c>
      <c r="O122" s="4" t="str">
        <f ca="1">控制台!W351</f>
        <v>board;cement;steel</v>
      </c>
      <c r="P122" s="4" t="str">
        <f ca="1" t="shared" si="9"/>
        <v>31;23;18</v>
      </c>
      <c r="Q122" s="4">
        <f>_xlfn.FLOOR.MATH(K19/控制台!$H$291*控制台!$D$289,5)</f>
        <v>3240</v>
      </c>
      <c r="R122" s="4">
        <f>_xlfn.FLOOR.MATH(O19/控制台!$H$291*控制台!$D$289,5)</f>
        <v>9345</v>
      </c>
      <c r="S122" s="1" t="s">
        <v>2680</v>
      </c>
      <c r="T122" s="1" t="s">
        <v>2715</v>
      </c>
      <c r="U122" s="1">
        <f ca="1" t="shared" si="8"/>
        <v>1</v>
      </c>
    </row>
    <row r="123" spans="1:21">
      <c r="A123" s="1">
        <v>14</v>
      </c>
      <c r="B123" s="1" t="s">
        <v>163</v>
      </c>
      <c r="C123" s="1">
        <f>_xlfn.FLOOR.MATH(D21/控制台!$H$291*控制台!$D$289)</f>
        <v>900000</v>
      </c>
      <c r="D123" s="1">
        <f>_xlfn.FLOOR.MATH(E21/控制台!$H$291*控制台!$D$289)</f>
        <v>1080000</v>
      </c>
      <c r="E123" s="1">
        <f>_xlfn.FLOOR.MATH(F21/控制台!$H$291*控制台!$D$289)</f>
        <v>720000</v>
      </c>
      <c r="F123" s="1">
        <f ca="1">_xlfn.FLOOR.MATH(J21*60/控制台!$H$291*控制台!$D$289)</f>
        <v>91238</v>
      </c>
      <c r="G123" s="1">
        <f>IFERROR(_xlfn.FLOOR.MATH(C123,POWER(10,MAX(0,INT(LOG10(C123)-2)))),"")</f>
        <v>900000</v>
      </c>
      <c r="H123" s="1">
        <f>IFERROR(_xlfn.FLOOR.MATH(D123,POWER(10,MAX(0,INT(LOG10(D123)-2)))),"")</f>
        <v>1080000</v>
      </c>
      <c r="I123" s="1">
        <f>IFERROR(_xlfn.FLOOR.MATH(E123,POWER(10,MAX(0,INT(LOG10(E123)-2)))),"")</f>
        <v>720000</v>
      </c>
      <c r="J123" s="4" t="str">
        <f t="shared" si="7"/>
        <v>900000;1080000;720000</v>
      </c>
      <c r="K123" s="1">
        <f ca="1">IFERROR(_xlfn.FLOOR.MATH($F123*控制台!K352/(控制台!O352*60)),"")</f>
        <v>34</v>
      </c>
      <c r="L123" s="1">
        <f ca="1">IFERROR(_xlfn.FLOOR.MATH($F123*控制台!L352/(控制台!P352*60)),"")</f>
        <v>29</v>
      </c>
      <c r="M123" s="1">
        <f ca="1">IFERROR(_xlfn.FLOOR.MATH($F123*控制台!M352/(控制台!Q352*60)),"")</f>
        <v>22</v>
      </c>
      <c r="N123" s="1" t="str">
        <f ca="1">IFERROR(_xlfn.FLOOR.MATH($F123*控制台!N352/(控制台!R352*60)),"")</f>
        <v/>
      </c>
      <c r="O123" s="4" t="str">
        <f ca="1">控制台!W352</f>
        <v>brick;cement;steel</v>
      </c>
      <c r="P123" s="4" t="str">
        <f ca="1" t="shared" si="9"/>
        <v>34;29;22</v>
      </c>
      <c r="Q123" s="4">
        <f>_xlfn.FLOOR.MATH(K20/控制台!$H$291*控制台!$D$289,5)</f>
        <v>6480</v>
      </c>
      <c r="R123" s="4">
        <f>_xlfn.FLOOR.MATH(O20/控制台!$H$291*控制台!$D$289,5)</f>
        <v>12495</v>
      </c>
      <c r="S123" s="1" t="s">
        <v>2682</v>
      </c>
      <c r="T123" s="1" t="s">
        <v>2716</v>
      </c>
      <c r="U123" s="1">
        <f ca="1" t="shared" si="8"/>
        <v>1</v>
      </c>
    </row>
    <row r="124" spans="1:21">
      <c r="A124" s="1">
        <v>15</v>
      </c>
      <c r="B124" s="1" t="s">
        <v>163</v>
      </c>
      <c r="C124" s="1">
        <f>_xlfn.FLOOR.MATH(D22/控制台!$H$291*控制台!$D$289)</f>
        <v>1080000</v>
      </c>
      <c r="D124" s="1">
        <f>_xlfn.FLOOR.MATH(E22/控制台!$H$291*控制台!$D$289)</f>
        <v>1296000</v>
      </c>
      <c r="E124" s="1">
        <f>_xlfn.FLOOR.MATH(F22/控制台!$H$291*控制台!$D$289)</f>
        <v>864000</v>
      </c>
      <c r="F124" s="1">
        <f ca="1">_xlfn.FLOOR.MATH(J22*60/控制台!$H$291*控制台!$D$289)</f>
        <v>114048</v>
      </c>
      <c r="G124" s="1">
        <f>IFERROR(_xlfn.FLOOR.MATH(C124,POWER(10,MAX(0,INT(LOG10(C124)-2)))),"")</f>
        <v>1080000</v>
      </c>
      <c r="H124" s="1">
        <f>IFERROR(_xlfn.FLOOR.MATH(D124,POWER(10,MAX(0,INT(LOG10(D124)-2)))),"")</f>
        <v>1290000</v>
      </c>
      <c r="I124" s="1">
        <f>IFERROR(_xlfn.FLOOR.MATH(E124,POWER(10,MAX(0,INT(LOG10(E124)-2)))),"")</f>
        <v>864000</v>
      </c>
      <c r="J124" s="4" t="str">
        <f t="shared" si="7"/>
        <v>1080000;1290000;864000</v>
      </c>
      <c r="K124" s="1">
        <f ca="1">IFERROR(_xlfn.FLOOR.MATH($F124*控制台!K353/(控制台!O353*60)),"")</f>
        <v>77</v>
      </c>
      <c r="L124" s="1">
        <f ca="1">IFERROR(_xlfn.FLOOR.MATH($F124*控制台!L353/(控制台!P353*60)),"")</f>
        <v>67</v>
      </c>
      <c r="M124" s="1">
        <f ca="1">IFERROR(_xlfn.FLOOR.MATH($F124*控制台!M353/(控制台!Q353*60)),"")</f>
        <v>44</v>
      </c>
      <c r="N124" s="1" t="str">
        <f ca="1">IFERROR(_xlfn.FLOOR.MATH($F124*控制台!N353/(控制台!R353*60)),"")</f>
        <v/>
      </c>
      <c r="O124" s="4" t="str">
        <f ca="1">控制台!W353</f>
        <v>board;brick;steel</v>
      </c>
      <c r="P124" s="4" t="str">
        <f ca="1" t="shared" si="9"/>
        <v>77;67;44</v>
      </c>
      <c r="Q124" s="4">
        <f>_xlfn.FLOOR.MATH(K21/控制台!$H$291*控制台!$D$289,5)</f>
        <v>10800</v>
      </c>
      <c r="R124" s="4">
        <f>_xlfn.FLOOR.MATH(O21/控制台!$H$291*控制台!$D$289,5)</f>
        <v>16805</v>
      </c>
      <c r="S124" s="1" t="s">
        <v>2684</v>
      </c>
      <c r="T124" s="1" t="s">
        <v>2717</v>
      </c>
      <c r="U124" s="1">
        <f ca="1" t="shared" si="8"/>
        <v>1</v>
      </c>
    </row>
    <row r="125" spans="1:21">
      <c r="A125" s="1">
        <v>16</v>
      </c>
      <c r="B125" s="1" t="s">
        <v>163</v>
      </c>
      <c r="C125" s="1">
        <f>_xlfn.FLOOR.MATH(D23/控制台!$H$291*控制台!$D$289)</f>
        <v>1260000</v>
      </c>
      <c r="D125" s="1">
        <f>_xlfn.FLOOR.MATH(E23/控制台!$H$291*控制台!$D$289)</f>
        <v>1512000</v>
      </c>
      <c r="E125" s="1">
        <f>_xlfn.FLOOR.MATH(F23/控制台!$H$291*控制台!$D$289)</f>
        <v>1008000</v>
      </c>
      <c r="F125" s="1">
        <f ca="1">_xlfn.FLOOR.MATH(J23*60/控制台!$H$291*控制台!$D$289)</f>
        <v>136857</v>
      </c>
      <c r="G125" s="1">
        <f>IFERROR(_xlfn.FLOOR.MATH(C125,POWER(10,MAX(0,INT(LOG10(C125)-2)))),"")</f>
        <v>1260000</v>
      </c>
      <c r="H125" s="1">
        <f>IFERROR(_xlfn.FLOOR.MATH(D125,POWER(10,MAX(0,INT(LOG10(D125)-2)))),"")</f>
        <v>1510000</v>
      </c>
      <c r="I125" s="1">
        <f>IFERROR(_xlfn.FLOOR.MATH(E125,POWER(10,MAX(0,INT(LOG10(E125)-2)))),"")</f>
        <v>1000000</v>
      </c>
      <c r="J125" s="4" t="str">
        <f t="shared" si="7"/>
        <v>1260000;1510000;1000000</v>
      </c>
      <c r="K125" s="1">
        <f ca="1">IFERROR(_xlfn.FLOOR.MATH($F125*控制台!K354/(控制台!O354*60)),"")</f>
        <v>51</v>
      </c>
      <c r="L125" s="1">
        <f ca="1">IFERROR(_xlfn.FLOOR.MATH($F125*控制台!L354/(控制台!P354*60)),"")</f>
        <v>44</v>
      </c>
      <c r="M125" s="1">
        <f ca="1">IFERROR(_xlfn.FLOOR.MATH($F125*控制台!M354/(控制台!Q354*60)),"")</f>
        <v>33</v>
      </c>
      <c r="N125" s="1" t="str">
        <f ca="1">IFERROR(_xlfn.FLOOR.MATH($F125*控制台!N354/(控制台!R354*60)),"")</f>
        <v/>
      </c>
      <c r="O125" s="4" t="str">
        <f ca="1">控制台!W354</f>
        <v>brick;cement;steel</v>
      </c>
      <c r="P125" s="4" t="str">
        <f ca="1" t="shared" si="9"/>
        <v>51;44;33</v>
      </c>
      <c r="Q125" s="4">
        <f>_xlfn.FLOOR.MATH(K22/控制台!$H$291*控制台!$D$289,5)</f>
        <v>12960</v>
      </c>
      <c r="R125" s="4">
        <f>_xlfn.FLOOR.MATH(O22/控制台!$H$291*控制台!$D$289,5)</f>
        <v>22170</v>
      </c>
      <c r="S125" s="1" t="s">
        <v>2682</v>
      </c>
      <c r="T125" s="1" t="s">
        <v>2683</v>
      </c>
      <c r="U125" s="1">
        <f ca="1" t="shared" si="8"/>
        <v>1</v>
      </c>
    </row>
    <row r="126" spans="1:21">
      <c r="A126" s="1">
        <v>17</v>
      </c>
      <c r="B126" s="1" t="s">
        <v>163</v>
      </c>
      <c r="C126" s="1">
        <f>_xlfn.FLOOR.MATH(D24/控制台!$H$291*控制台!$D$289)</f>
        <v>1980000</v>
      </c>
      <c r="D126" s="1">
        <f>_xlfn.FLOOR.MATH(E24/控制台!$H$291*控制台!$D$289)</f>
        <v>2376000</v>
      </c>
      <c r="E126" s="1">
        <f>_xlfn.FLOOR.MATH(F24/控制台!$H$291*控制台!$D$289)</f>
        <v>1584000</v>
      </c>
      <c r="F126" s="1">
        <f ca="1">_xlfn.FLOOR.MATH(J24*60/控制台!$H$291*控制台!$D$289)</f>
        <v>159667</v>
      </c>
      <c r="G126" s="1">
        <f>IFERROR(_xlfn.FLOOR.MATH(C126,POWER(10,MAX(0,INT(LOG10(C126)-2)))),"")</f>
        <v>1980000</v>
      </c>
      <c r="H126" s="1">
        <f>IFERROR(_xlfn.FLOOR.MATH(D126,POWER(10,MAX(0,INT(LOG10(D126)-2)))),"")</f>
        <v>2370000</v>
      </c>
      <c r="I126" s="1">
        <f>IFERROR(_xlfn.FLOOR.MATH(E126,POWER(10,MAX(0,INT(LOG10(E126)-2)))),"")</f>
        <v>1580000</v>
      </c>
      <c r="J126" s="4" t="str">
        <f t="shared" si="7"/>
        <v>1980000;2370000;1580000</v>
      </c>
      <c r="K126" s="1">
        <f ca="1">IFERROR(_xlfn.FLOOR.MATH($F126*控制台!K355/(控制台!O355*60)),"")</f>
        <v>73</v>
      </c>
      <c r="L126" s="1">
        <f ca="1">IFERROR(_xlfn.FLOOR.MATH($F126*控制台!L355/(控制台!P355*60)),"")</f>
        <v>55</v>
      </c>
      <c r="M126" s="1">
        <f ca="1">IFERROR(_xlfn.FLOOR.MATH($F126*控制台!M355/(控制台!Q355*60)),"")</f>
        <v>42</v>
      </c>
      <c r="N126" s="1" t="str">
        <f ca="1">IFERROR(_xlfn.FLOOR.MATH($F126*控制台!N355/(控制台!R355*60)),"")</f>
        <v/>
      </c>
      <c r="O126" s="4" t="str">
        <f ca="1">控制台!W355</f>
        <v>board;cement;steel</v>
      </c>
      <c r="P126" s="4" t="str">
        <f ca="1" t="shared" si="9"/>
        <v>73;55;42</v>
      </c>
      <c r="Q126" s="4">
        <f>_xlfn.FLOOR.MATH(K23/控制台!$H$291*控制台!$D$289,5)</f>
        <v>15120</v>
      </c>
      <c r="R126" s="4">
        <f>_xlfn.FLOOR.MATH(O23/控制台!$H$291*控制台!$D$289,5)</f>
        <v>28580</v>
      </c>
      <c r="S126" s="1" t="s">
        <v>2680</v>
      </c>
      <c r="T126" s="1" t="s">
        <v>2718</v>
      </c>
      <c r="U126" s="1">
        <f ca="1" t="shared" si="8"/>
        <v>1</v>
      </c>
    </row>
    <row r="127" spans="1:21">
      <c r="A127" s="1">
        <v>18</v>
      </c>
      <c r="B127" s="1" t="s">
        <v>163</v>
      </c>
      <c r="C127" s="1">
        <f>_xlfn.FLOOR.MATH(D25/控制台!$H$291*控制台!$D$289)</f>
        <v>2250000</v>
      </c>
      <c r="D127" s="1">
        <f>_xlfn.FLOOR.MATH(E25/控制台!$H$291*控制台!$D$289)</f>
        <v>2700000</v>
      </c>
      <c r="E127" s="1">
        <f>_xlfn.FLOOR.MATH(F25/控制台!$H$291*控制台!$D$289)</f>
        <v>1800000</v>
      </c>
      <c r="F127" s="1">
        <f ca="1">_xlfn.FLOOR.MATH(J25*60/控制台!$H$291*控制台!$D$289)</f>
        <v>182476</v>
      </c>
      <c r="G127" s="1">
        <f>IFERROR(_xlfn.FLOOR.MATH(C127,POWER(10,MAX(0,INT(LOG10(C127)-2)))),"")</f>
        <v>2250000</v>
      </c>
      <c r="H127" s="1">
        <f>IFERROR(_xlfn.FLOOR.MATH(D127,POWER(10,MAX(0,INT(LOG10(D127)-2)))),"")</f>
        <v>2700000</v>
      </c>
      <c r="I127" s="1">
        <f>IFERROR(_xlfn.FLOOR.MATH(E127,POWER(10,MAX(0,INT(LOG10(E127)-2)))),"")</f>
        <v>1800000</v>
      </c>
      <c r="J127" s="4" t="str">
        <f t="shared" si="7"/>
        <v>2250000;2700000;1800000</v>
      </c>
      <c r="K127" s="1">
        <f ca="1">IFERROR(_xlfn.FLOOR.MATH($F127*控制台!K356/(控制台!O356*60)),"")</f>
        <v>69</v>
      </c>
      <c r="L127" s="1">
        <f ca="1">IFERROR(_xlfn.FLOOR.MATH($F127*控制台!L356/(控制台!P356*60)),"")</f>
        <v>59</v>
      </c>
      <c r="M127" s="1">
        <f ca="1">IFERROR(_xlfn.FLOOR.MATH($F127*控制台!M356/(控制台!Q356*60)),"")</f>
        <v>45</v>
      </c>
      <c r="N127" s="1" t="str">
        <f ca="1">IFERROR(_xlfn.FLOOR.MATH($F127*控制台!N356/(控制台!R356*60)),"")</f>
        <v/>
      </c>
      <c r="O127" s="4" t="str">
        <f ca="1">控制台!W356</f>
        <v>brick;cement;steel</v>
      </c>
      <c r="P127" s="4" t="str">
        <f ca="1" t="shared" si="9"/>
        <v>69;59;45</v>
      </c>
      <c r="Q127" s="4">
        <f>_xlfn.FLOOR.MATH(K24/控制台!$H$291*控制台!$D$289,5)</f>
        <v>23760</v>
      </c>
      <c r="R127" s="4">
        <f>_xlfn.FLOOR.MATH(O24/控制台!$H$291*控制台!$D$289,5)</f>
        <v>36380</v>
      </c>
      <c r="S127" s="1" t="s">
        <v>2682</v>
      </c>
      <c r="T127" s="1" t="s">
        <v>2719</v>
      </c>
      <c r="U127" s="1">
        <f ca="1" t="shared" si="8"/>
        <v>1</v>
      </c>
    </row>
    <row r="128" spans="1:21">
      <c r="A128" s="1">
        <v>19</v>
      </c>
      <c r="B128" s="1" t="s">
        <v>163</v>
      </c>
      <c r="C128" s="1">
        <f>_xlfn.FLOOR.MATH(D26/控制台!$H$291*控制台!$D$289)</f>
        <v>2520000</v>
      </c>
      <c r="D128" s="1">
        <f>_xlfn.FLOOR.MATH(E26/控制台!$H$291*控制台!$D$289)</f>
        <v>3024000</v>
      </c>
      <c r="E128" s="1">
        <f>_xlfn.FLOOR.MATH(F26/控制台!$H$291*控制台!$D$289)</f>
        <v>2016000</v>
      </c>
      <c r="F128" s="1">
        <f ca="1">_xlfn.FLOOR.MATH(J26*60/控制台!$H$291*控制台!$D$289)</f>
        <v>251942</v>
      </c>
      <c r="G128" s="1">
        <f>IFERROR(_xlfn.FLOOR.MATH(C128,POWER(10,MAX(0,INT(LOG10(C128)-2)))),"")</f>
        <v>2520000</v>
      </c>
      <c r="H128" s="1">
        <f>IFERROR(_xlfn.FLOOR.MATH(D128,POWER(10,MAX(0,INT(LOG10(D128)-2)))),"")</f>
        <v>3020000</v>
      </c>
      <c r="I128" s="1">
        <f>IFERROR(_xlfn.FLOOR.MATH(E128,POWER(10,MAX(0,INT(LOG10(E128)-2)))),"")</f>
        <v>2010000</v>
      </c>
      <c r="J128" s="4" t="str">
        <f t="shared" si="7"/>
        <v>2520000;3020000;2010000</v>
      </c>
      <c r="K128" s="1">
        <f ca="1">IFERROR(_xlfn.FLOOR.MATH($F128*控制台!K357/(控制台!O357*60)),"")</f>
        <v>106</v>
      </c>
      <c r="L128" s="1">
        <f ca="1">IFERROR(_xlfn.FLOOR.MATH($F128*控制台!L357/(控制台!P357*60)),"")</f>
        <v>93</v>
      </c>
      <c r="M128" s="1">
        <f ca="1">IFERROR(_xlfn.FLOOR.MATH($F128*控制台!M357/(控制台!Q357*60)),"")</f>
        <v>79</v>
      </c>
      <c r="N128" s="1">
        <f ca="1">IFERROR(_xlfn.FLOOR.MATH($F128*控制台!N357/(控制台!R357*60)),"")</f>
        <v>60</v>
      </c>
      <c r="O128" s="4" t="str">
        <f ca="1">控制台!W357</f>
        <v>board;brick;cement;steel</v>
      </c>
      <c r="P128" s="4" t="str">
        <f ca="1" t="shared" si="9"/>
        <v>106;93;79;60</v>
      </c>
      <c r="Q128" s="4">
        <f>_xlfn.FLOOR.MATH(K25/控制台!$H$291*控制台!$D$289,5)</f>
        <v>27000</v>
      </c>
      <c r="R128" s="4">
        <f>_xlfn.FLOOR.MATH(O25/控制台!$H$291*控制台!$D$289,5)</f>
        <v>45290</v>
      </c>
      <c r="S128" s="1" t="s">
        <v>2689</v>
      </c>
      <c r="T128" s="1" t="s">
        <v>2720</v>
      </c>
      <c r="U128" s="1">
        <f ca="1" t="shared" si="8"/>
        <v>1</v>
      </c>
    </row>
    <row r="129" spans="1:21">
      <c r="A129" s="1">
        <v>20</v>
      </c>
      <c r="B129" s="1" t="s">
        <v>163</v>
      </c>
      <c r="C129" s="1">
        <f>_xlfn.FLOOR.MATH(D27/控制台!$H$291*控制台!$D$289)</f>
        <v>2790000</v>
      </c>
      <c r="D129" s="1">
        <f>_xlfn.FLOOR.MATH(E27/控制台!$H$291*控制台!$D$289)</f>
        <v>3348000</v>
      </c>
      <c r="E129" s="1">
        <f>_xlfn.FLOOR.MATH(F27/控制台!$H$291*控制台!$D$289)</f>
        <v>2232000</v>
      </c>
      <c r="F129" s="1">
        <f ca="1">_xlfn.FLOOR.MATH(J27*60/控制台!$H$291*控制台!$D$289)</f>
        <v>279936</v>
      </c>
      <c r="G129" s="1">
        <f>IFERROR(_xlfn.FLOOR.MATH(C129,POWER(10,MAX(0,INT(LOG10(C129)-2)))),"")</f>
        <v>2790000</v>
      </c>
      <c r="H129" s="1">
        <f>IFERROR(_xlfn.FLOOR.MATH(D129,POWER(10,MAX(0,INT(LOG10(D129)-2)))),"")</f>
        <v>3340000</v>
      </c>
      <c r="I129" s="1">
        <f>IFERROR(_xlfn.FLOOR.MATH(E129,POWER(10,MAX(0,INT(LOG10(E129)-2)))),"")</f>
        <v>2230000</v>
      </c>
      <c r="J129" s="4" t="str">
        <f t="shared" si="7"/>
        <v>2790000;3340000;2230000</v>
      </c>
      <c r="K129" s="1">
        <f ca="1">IFERROR(_xlfn.FLOOR.MATH($F129*控制台!K358/(控制台!O358*60)),"")</f>
        <v>64</v>
      </c>
      <c r="L129" s="1">
        <f ca="1">IFERROR(_xlfn.FLOOR.MATH($F129*控制台!L358/(控制台!P358*60)),"")</f>
        <v>55</v>
      </c>
      <c r="M129" s="1">
        <f ca="1">IFERROR(_xlfn.FLOOR.MATH($F129*控制台!M358/(控制台!Q358*60)),"")</f>
        <v>41</v>
      </c>
      <c r="N129" s="1">
        <f ca="1">IFERROR(_xlfn.FLOOR.MATH($F129*控制台!N358/(控制台!R358*60)),"")</f>
        <v>36</v>
      </c>
      <c r="O129" s="4" t="str">
        <f ca="1">控制台!W358</f>
        <v>brick;cement;steel;pitch</v>
      </c>
      <c r="P129" s="4" t="str">
        <f ca="1" t="shared" si="9"/>
        <v>64;55;41;36</v>
      </c>
      <c r="Q129" s="4">
        <f>_xlfn.FLOOR.MATH(K26/控制台!$H$291*控制台!$D$289,5)</f>
        <v>30240</v>
      </c>
      <c r="R129" s="4">
        <f>_xlfn.FLOOR.MATH(O26/控制台!$H$291*控制台!$D$289,5)</f>
        <v>55300</v>
      </c>
      <c r="S129" s="1" t="s">
        <v>2691</v>
      </c>
      <c r="T129" s="1" t="s">
        <v>2721</v>
      </c>
      <c r="U129" s="1">
        <f ca="1" t="shared" si="8"/>
        <v>1</v>
      </c>
    </row>
    <row r="130" spans="1:21">
      <c r="A130" s="1">
        <v>21</v>
      </c>
      <c r="B130" s="1" t="s">
        <v>163</v>
      </c>
      <c r="C130" s="1">
        <f>_xlfn.FLOOR.MATH(D28/控制台!$H$291*控制台!$D$289)</f>
        <v>2970000</v>
      </c>
      <c r="D130" s="1">
        <f>_xlfn.FLOOR.MATH(E28/控制台!$H$291*控制台!$D$289)</f>
        <v>3564000</v>
      </c>
      <c r="E130" s="1">
        <f>_xlfn.FLOOR.MATH(F28/控制台!$H$291*控制台!$D$289)</f>
        <v>2376000</v>
      </c>
      <c r="F130" s="1">
        <f ca="1">_xlfn.FLOOR.MATH(J28*60/控制台!$H$291*控制台!$D$289)</f>
        <v>307929</v>
      </c>
      <c r="G130" s="1">
        <f>IFERROR(_xlfn.FLOOR.MATH(C130,POWER(10,MAX(0,INT(LOG10(C130)-2)))),"")</f>
        <v>2970000</v>
      </c>
      <c r="H130" s="1">
        <f>IFERROR(_xlfn.FLOOR.MATH(D130,POWER(10,MAX(0,INT(LOG10(D130)-2)))),"")</f>
        <v>3560000</v>
      </c>
      <c r="I130" s="1">
        <f>IFERROR(_xlfn.FLOOR.MATH(E130,POWER(10,MAX(0,INT(LOG10(E130)-2)))),"")</f>
        <v>2370000</v>
      </c>
      <c r="J130" s="4" t="str">
        <f t="shared" si="7"/>
        <v>2970000;3560000;2370000</v>
      </c>
      <c r="K130" s="1">
        <f ca="1">IFERROR(_xlfn.FLOOR.MATH($F130*控制台!K359/(控制台!O359*60)),"")</f>
        <v>103</v>
      </c>
      <c r="L130" s="1">
        <f ca="1">IFERROR(_xlfn.FLOOR.MATH($F130*控制台!L359/(控制台!P359*60)),"")</f>
        <v>90</v>
      </c>
      <c r="M130" s="1">
        <f ca="1">IFERROR(_xlfn.FLOOR.MATH($F130*控制台!M359/(控制台!Q359*60)),"")</f>
        <v>59</v>
      </c>
      <c r="N130" s="1">
        <f ca="1">IFERROR(_xlfn.FLOOR.MATH($F130*控制台!N359/(控制台!R359*60)),"")</f>
        <v>51</v>
      </c>
      <c r="O130" s="4" t="str">
        <f ca="1">控制台!W359</f>
        <v>board;brick;steel;pitch</v>
      </c>
      <c r="P130" s="4" t="str">
        <f ca="1" t="shared" si="9"/>
        <v>103;90;59;51</v>
      </c>
      <c r="Q130" s="4">
        <f>_xlfn.FLOOR.MATH(K27/控制台!$H$291*控制台!$D$289,5)</f>
        <v>33480</v>
      </c>
      <c r="R130" s="4">
        <f>_xlfn.FLOOR.MATH(O27/控制台!$H$291*控制台!$D$289,5)</f>
        <v>66420</v>
      </c>
      <c r="S130" s="1" t="s">
        <v>2693</v>
      </c>
      <c r="T130" s="1" t="s">
        <v>2722</v>
      </c>
      <c r="U130" s="1">
        <f ca="1" t="shared" si="8"/>
        <v>1</v>
      </c>
    </row>
    <row r="131" spans="1:21">
      <c r="A131" s="1">
        <v>22</v>
      </c>
      <c r="B131" s="1" t="s">
        <v>163</v>
      </c>
      <c r="C131" s="1">
        <f>_xlfn.FLOOR.MATH(D29/控制台!$H$291*控制台!$D$289)</f>
        <v>4050000</v>
      </c>
      <c r="D131" s="1">
        <f>_xlfn.FLOOR.MATH(E29/控制台!$H$291*控制台!$D$289)</f>
        <v>4860000</v>
      </c>
      <c r="E131" s="1">
        <f>_xlfn.FLOOR.MATH(F29/控制台!$H$291*控制台!$D$289)</f>
        <v>3240000</v>
      </c>
      <c r="F131" s="1">
        <f ca="1">_xlfn.FLOOR.MATH(J29*60/控制台!$H$291*控制台!$D$289)</f>
        <v>348364</v>
      </c>
      <c r="G131" s="1">
        <f>IFERROR(_xlfn.FLOOR.MATH(C131,POWER(10,MAX(0,INT(LOG10(C131)-2)))),"")</f>
        <v>4050000</v>
      </c>
      <c r="H131" s="1">
        <f>IFERROR(_xlfn.FLOOR.MATH(D131,POWER(10,MAX(0,INT(LOG10(D131)-2)))),"")</f>
        <v>4860000</v>
      </c>
      <c r="I131" s="1">
        <f>IFERROR(_xlfn.FLOOR.MATH(E131,POWER(10,MAX(0,INT(LOG10(E131)-2)))),"")</f>
        <v>3240000</v>
      </c>
      <c r="J131" s="4" t="str">
        <f t="shared" si="7"/>
        <v>4050000;4860000;3240000</v>
      </c>
      <c r="K131" s="1">
        <f ca="1">IFERROR(_xlfn.FLOOR.MATH($F131*控制台!K360/(控制台!O360*60)),"")</f>
        <v>80</v>
      </c>
      <c r="L131" s="1">
        <f ca="1">IFERROR(_xlfn.FLOOR.MATH($F131*控制台!L360/(控制台!P360*60)),"")</f>
        <v>68</v>
      </c>
      <c r="M131" s="1">
        <f ca="1">IFERROR(_xlfn.FLOOR.MATH($F131*控制台!M360/(控制台!Q360*60)),"")</f>
        <v>52</v>
      </c>
      <c r="N131" s="1">
        <f ca="1">IFERROR(_xlfn.FLOOR.MATH($F131*控制台!N360/(控制台!R360*60)),"")</f>
        <v>45</v>
      </c>
      <c r="O131" s="4" t="str">
        <f ca="1">控制台!W360</f>
        <v>brick;cement;steel;pitch</v>
      </c>
      <c r="P131" s="4" t="str">
        <f ca="1" t="shared" si="9"/>
        <v>80;68;52;45</v>
      </c>
      <c r="Q131" s="4">
        <f>_xlfn.FLOOR.MATH(K28/控制台!$H$291*控制台!$D$289,5)</f>
        <v>35640</v>
      </c>
      <c r="R131" s="4">
        <f>_xlfn.FLOOR.MATH(O28/控制台!$H$291*控制台!$D$289,5)</f>
        <v>78590</v>
      </c>
      <c r="S131" s="1" t="s">
        <v>2691</v>
      </c>
      <c r="T131" s="1" t="s">
        <v>2723</v>
      </c>
      <c r="U131" s="1">
        <f ca="1" t="shared" si="8"/>
        <v>1</v>
      </c>
    </row>
    <row r="132" spans="1:21">
      <c r="A132" s="1">
        <v>23</v>
      </c>
      <c r="B132" s="1" t="s">
        <v>163</v>
      </c>
      <c r="C132" s="1">
        <f>_xlfn.FLOOR.MATH(D30/控制台!$H$291*控制台!$D$289)</f>
        <v>9900000</v>
      </c>
      <c r="D132" s="1">
        <f>_xlfn.FLOOR.MATH(E30/控制台!$H$291*控制台!$D$289)</f>
        <v>11880000</v>
      </c>
      <c r="E132" s="1">
        <f>_xlfn.FLOOR.MATH(F30/控制台!$H$291*控制台!$D$289)</f>
        <v>7920000</v>
      </c>
      <c r="F132" s="1">
        <f ca="1">_xlfn.FLOOR.MATH(J30*60/控制台!$H$291*控制台!$D$289)</f>
        <v>580608</v>
      </c>
      <c r="G132" s="1">
        <f>IFERROR(_xlfn.FLOOR.MATH(C132,POWER(10,MAX(0,INT(LOG10(C132)-2)))),"")</f>
        <v>9900000</v>
      </c>
      <c r="H132" s="1">
        <f>IFERROR(_xlfn.FLOOR.MATH(D132,POWER(10,MAX(0,INT(LOG10(D132)-2)))),"")</f>
        <v>11800000</v>
      </c>
      <c r="I132" s="1">
        <f>IFERROR(_xlfn.FLOOR.MATH(E132,POWER(10,MAX(0,INT(LOG10(E132)-2)))),"")</f>
        <v>7920000</v>
      </c>
      <c r="J132" s="4" t="str">
        <f t="shared" si="7"/>
        <v>9900000;11800000;7920000</v>
      </c>
      <c r="K132" s="1">
        <f ca="1">IFERROR(_xlfn.FLOOR.MATH($F132*控制台!K361/(控制台!O361*60)),"")</f>
        <v>158</v>
      </c>
      <c r="L132" s="1">
        <f ca="1">IFERROR(_xlfn.FLOOR.MATH($F132*控制台!L361/(控制台!P361*60)),"")</f>
        <v>118</v>
      </c>
      <c r="M132" s="1">
        <f ca="1">IFERROR(_xlfn.FLOOR.MATH($F132*控制台!M361/(控制台!Q361*60)),"")</f>
        <v>90</v>
      </c>
      <c r="N132" s="1">
        <f ca="1">IFERROR(_xlfn.FLOOR.MATH($F132*控制台!N361/(控制台!R361*60)),"")</f>
        <v>79</v>
      </c>
      <c r="O132" s="4" t="str">
        <f ca="1">控制台!W361</f>
        <v>board;cement;steel;pitch</v>
      </c>
      <c r="P132" s="4" t="str">
        <f ca="1" t="shared" si="9"/>
        <v>158;118;90;79</v>
      </c>
      <c r="Q132" s="4">
        <f>_xlfn.FLOOR.MATH(K29/控制台!$H$291*控制台!$D$289,5)</f>
        <v>48600</v>
      </c>
      <c r="R132" s="4">
        <f>_xlfn.FLOOR.MATH(O29/控制台!$H$291*控制台!$D$289,5)</f>
        <v>92370</v>
      </c>
      <c r="S132" s="1" t="s">
        <v>2696</v>
      </c>
      <c r="T132" s="1" t="s">
        <v>2724</v>
      </c>
      <c r="U132" s="1">
        <f ca="1" t="shared" si="8"/>
        <v>1</v>
      </c>
    </row>
    <row r="133" spans="1:21">
      <c r="A133" s="1">
        <v>24</v>
      </c>
      <c r="B133" s="1" t="s">
        <v>163</v>
      </c>
      <c r="C133" s="1">
        <f>_xlfn.FLOOR.MATH(D31/控制台!$H$291*控制台!$D$289)</f>
        <v>12600000</v>
      </c>
      <c r="D133" s="1">
        <f>_xlfn.FLOOR.MATH(E31/控制台!$H$291*控制台!$D$289)</f>
        <v>15120000</v>
      </c>
      <c r="E133" s="1">
        <f>_xlfn.FLOOR.MATH(F31/控制台!$H$291*控制台!$D$289)</f>
        <v>10080000</v>
      </c>
      <c r="F133" s="1">
        <f ca="1">_xlfn.FLOOR.MATH(J31*60/控制台!$H$291*控制台!$D$289)</f>
        <v>870912</v>
      </c>
      <c r="G133" s="1">
        <f>IFERROR(_xlfn.FLOOR.MATH(C133,POWER(10,MAX(0,INT(LOG10(C133)-2)))),"")</f>
        <v>12600000</v>
      </c>
      <c r="H133" s="1">
        <f>IFERROR(_xlfn.FLOOR.MATH(D133,POWER(10,MAX(0,INT(LOG10(D133)-2)))),"")</f>
        <v>15100000</v>
      </c>
      <c r="I133" s="1">
        <f>IFERROR(_xlfn.FLOOR.MATH(E133,POWER(10,MAX(0,INT(LOG10(E133)-2)))),"")</f>
        <v>10000000</v>
      </c>
      <c r="J133" s="4" t="str">
        <f t="shared" si="7"/>
        <v>12600000;15100000;10000000</v>
      </c>
      <c r="K133" s="1">
        <f ca="1">IFERROR(_xlfn.FLOOR.MATH($F133*控制台!K362/(控制台!O362*60)),"")</f>
        <v>200</v>
      </c>
      <c r="L133" s="1">
        <f ca="1">IFERROR(_xlfn.FLOOR.MATH($F133*控制台!L362/(控制台!P362*60)),"")</f>
        <v>171</v>
      </c>
      <c r="M133" s="1">
        <f ca="1">IFERROR(_xlfn.FLOOR.MATH($F133*控制台!M362/(控制台!Q362*60)),"")</f>
        <v>130</v>
      </c>
      <c r="N133" s="1">
        <f ca="1">IFERROR(_xlfn.FLOOR.MATH($F133*控制台!N362/(控制台!R362*60)),"")</f>
        <v>114</v>
      </c>
      <c r="O133" s="4" t="str">
        <f ca="1">控制台!W362</f>
        <v>brick;cement;steel;pitch</v>
      </c>
      <c r="P133" s="4" t="str">
        <f ca="1" t="shared" si="9"/>
        <v>200;171;130;114</v>
      </c>
      <c r="Q133" s="4">
        <f>_xlfn.FLOOR.MATH(K30/控制台!$H$291*控制台!$D$289,5)</f>
        <v>118800</v>
      </c>
      <c r="R133" s="4">
        <f>_xlfn.FLOOR.MATH(O30/控制台!$H$291*控制台!$D$289,5)</f>
        <v>117305</v>
      </c>
      <c r="S133" s="1" t="s">
        <v>2691</v>
      </c>
      <c r="T133" s="1" t="s">
        <v>2725</v>
      </c>
      <c r="U133" s="1">
        <f ca="1" t="shared" si="8"/>
        <v>1</v>
      </c>
    </row>
    <row r="134" spans="1:21">
      <c r="A134" s="1">
        <v>25</v>
      </c>
      <c r="B134" s="1" t="s">
        <v>163</v>
      </c>
      <c r="C134" s="1">
        <f>_xlfn.FLOOR.MATH(D32/控制台!$H$291*控制台!$D$289)</f>
        <v>14400000</v>
      </c>
      <c r="D134" s="1">
        <f>_xlfn.FLOOR.MATH(E32/控制台!$H$291*控制台!$D$289)</f>
        <v>17280000</v>
      </c>
      <c r="E134" s="1">
        <f>_xlfn.FLOOR.MATH(F32/控制台!$H$291*控制台!$D$289)</f>
        <v>11520000</v>
      </c>
      <c r="F134" s="1">
        <f ca="1">_xlfn.FLOOR.MATH(J32*60/控制台!$H$291*控制台!$D$289)</f>
        <v>1161216</v>
      </c>
      <c r="G134" s="1">
        <f>IFERROR(_xlfn.FLOOR.MATH(C134,POWER(10,MAX(0,INT(LOG10(C134)-2)))),"")</f>
        <v>14400000</v>
      </c>
      <c r="H134" s="1">
        <f>IFERROR(_xlfn.FLOOR.MATH(D134,POWER(10,MAX(0,INT(LOG10(D134)-2)))),"")</f>
        <v>17200000</v>
      </c>
      <c r="I134" s="1">
        <f>IFERROR(_xlfn.FLOOR.MATH(E134,POWER(10,MAX(0,INT(LOG10(E134)-2)))),"")</f>
        <v>11500000</v>
      </c>
      <c r="J134" s="4" t="str">
        <f t="shared" si="7"/>
        <v>14400000;17200000;11500000</v>
      </c>
      <c r="K134" s="1">
        <f ca="1">IFERROR(_xlfn.FLOOR.MATH($F134*控制台!K363/(控制台!O363*60)),"")</f>
        <v>317</v>
      </c>
      <c r="L134" s="1">
        <f ca="1">IFERROR(_xlfn.FLOOR.MATH($F134*控制台!L363/(控制台!P363*60)),"")</f>
        <v>237</v>
      </c>
      <c r="M134" s="1">
        <f ca="1">IFERROR(_xlfn.FLOOR.MATH($F134*控制台!M363/(控制台!Q363*60)),"")</f>
        <v>181</v>
      </c>
      <c r="N134" s="1">
        <f ca="1">IFERROR(_xlfn.FLOOR.MATH($F134*控制台!N363/(控制台!R363*60)),"")</f>
        <v>158</v>
      </c>
      <c r="O134" s="4" t="str">
        <f ca="1">控制台!W363</f>
        <v>board;cement;steel;pitch</v>
      </c>
      <c r="P134" s="4" t="str">
        <f ca="1" t="shared" si="9"/>
        <v>317;237;181;158</v>
      </c>
      <c r="Q134" s="4">
        <f>_xlfn.FLOOR.MATH(K31/控制台!$H$291*控制台!$D$289,5)</f>
        <v>151200</v>
      </c>
      <c r="R134" s="4">
        <f>_xlfn.FLOOR.MATH(O31/控制台!$H$291*控制台!$D$289,5)</f>
        <v>153305</v>
      </c>
      <c r="S134" s="1" t="s">
        <v>2696</v>
      </c>
      <c r="T134" s="1" t="s">
        <v>2726</v>
      </c>
      <c r="U134" s="1">
        <f ca="1" t="shared" si="8"/>
        <v>1</v>
      </c>
    </row>
    <row r="135" spans="1:21">
      <c r="A135" s="1">
        <v>26</v>
      </c>
      <c r="B135" s="1" t="s">
        <v>163</v>
      </c>
      <c r="C135" s="1">
        <f>_xlfn.FLOOR.MATH(D33/控制台!$H$291*控制台!$D$289)</f>
        <v>36000000</v>
      </c>
      <c r="D135" s="1">
        <f>_xlfn.FLOOR.MATH(E33/控制台!$H$291*控制台!$D$289)</f>
        <v>43200000</v>
      </c>
      <c r="E135" s="1">
        <f>_xlfn.FLOOR.MATH(F33/控制台!$H$291*控制台!$D$289)</f>
        <v>28800000</v>
      </c>
      <c r="F135" s="1">
        <f ca="1">_xlfn.FLOOR.MATH(J33*60/控制台!$H$291*控制台!$D$289)</f>
        <v>2571264</v>
      </c>
      <c r="G135" s="1">
        <f>IFERROR(_xlfn.FLOOR.MATH(C135,POWER(10,MAX(0,INT(LOG10(C135)-2)))),"")</f>
        <v>36000000</v>
      </c>
      <c r="H135" s="1">
        <f>IFERROR(_xlfn.FLOOR.MATH(D135,POWER(10,MAX(0,INT(LOG10(D135)-2)))),"")</f>
        <v>43200000</v>
      </c>
      <c r="I135" s="1">
        <f>IFERROR(_xlfn.FLOOR.MATH(E135,POWER(10,MAX(0,INT(LOG10(E135)-2)))),"")</f>
        <v>28800000</v>
      </c>
      <c r="J135" s="4" t="str">
        <f t="shared" si="7"/>
        <v>36000000;43200000;28800000</v>
      </c>
      <c r="K135" s="1">
        <f ca="1">IFERROR(_xlfn.FLOOR.MATH($F135*控制台!K364/(控制台!O364*60)),"")</f>
        <v>590</v>
      </c>
      <c r="L135" s="1">
        <f ca="1">IFERROR(_xlfn.FLOOR.MATH($F135*控制台!L364/(控制台!P364*60)),"")</f>
        <v>506</v>
      </c>
      <c r="M135" s="1">
        <f ca="1">IFERROR(_xlfn.FLOOR.MATH($F135*控制台!M364/(控制台!Q364*60)),"")</f>
        <v>385</v>
      </c>
      <c r="N135" s="1">
        <f ca="1">IFERROR(_xlfn.FLOOR.MATH($F135*控制台!N364/(控制台!R364*60)),"")</f>
        <v>337</v>
      </c>
      <c r="O135" s="4" t="str">
        <f ca="1">控制台!W364</f>
        <v>brick;cement;steel;pitch</v>
      </c>
      <c r="P135" s="4" t="str">
        <f ca="1" t="shared" si="9"/>
        <v>590;506;385;337</v>
      </c>
      <c r="Q135" s="4">
        <f>_xlfn.FLOOR.MATH(K32/控制台!$H$291*控制台!$D$289,5)</f>
        <v>172800</v>
      </c>
      <c r="R135" s="4">
        <f>_xlfn.FLOOR.MATH(O32/控制台!$H$291*控制台!$D$289,5)</f>
        <v>199805</v>
      </c>
      <c r="S135" s="1" t="s">
        <v>2691</v>
      </c>
      <c r="T135" s="1" t="s">
        <v>2727</v>
      </c>
      <c r="U135" s="1">
        <f ca="1" t="shared" si="8"/>
        <v>1</v>
      </c>
    </row>
    <row r="136" spans="1:21">
      <c r="A136" s="1">
        <v>27</v>
      </c>
      <c r="B136" s="1" t="s">
        <v>163</v>
      </c>
      <c r="C136" s="1">
        <f>_xlfn.FLOOR.MATH(D34/控制台!$H$291*控制台!$D$289)</f>
        <v>45000000</v>
      </c>
      <c r="D136" s="1">
        <f>_xlfn.FLOOR.MATH(E34/控制台!$H$291*控制台!$D$289)</f>
        <v>54000000</v>
      </c>
      <c r="E136" s="1">
        <f>_xlfn.FLOOR.MATH(F34/控制台!$H$291*控制台!$D$289)</f>
        <v>36000000</v>
      </c>
      <c r="F136" s="1">
        <f ca="1">_xlfn.FLOOR.MATH(J34*60/控制台!$H$291*控制台!$D$289)</f>
        <v>4478976</v>
      </c>
      <c r="G136" s="1">
        <f>IFERROR(_xlfn.FLOOR.MATH(C136,POWER(10,MAX(0,INT(LOG10(C136)-2)))),"")</f>
        <v>45000000</v>
      </c>
      <c r="H136" s="1">
        <f>IFERROR(_xlfn.FLOOR.MATH(D136,POWER(10,MAX(0,INT(LOG10(D136)-2)))),"")</f>
        <v>54000000</v>
      </c>
      <c r="I136" s="1">
        <f>IFERROR(_xlfn.FLOOR.MATH(E136,POWER(10,MAX(0,INT(LOG10(E136)-2)))),"")</f>
        <v>36000000</v>
      </c>
      <c r="J136" s="4" t="str">
        <f t="shared" si="7"/>
        <v>45000000;54000000;36000000</v>
      </c>
      <c r="K136" s="1">
        <f ca="1">IFERROR(_xlfn.FLOOR.MATH($F136*控制台!K365/(控制台!O365*60)),"")</f>
        <v>508</v>
      </c>
      <c r="L136" s="1">
        <f ca="1">IFERROR(_xlfn.FLOOR.MATH($F136*控制台!L365/(控制台!P365*60)),"")</f>
        <v>387</v>
      </c>
      <c r="M136" s="1">
        <f ca="1">IFERROR(_xlfn.FLOOR.MATH($F136*控制台!M365/(控制台!Q365*60)),"")</f>
        <v>339</v>
      </c>
      <c r="N136" s="1">
        <f ca="1">IFERROR(_xlfn.FLOOR.MATH($F136*控制台!N365/(控制台!R365*60)),"")</f>
        <v>308</v>
      </c>
      <c r="O136" s="4" t="str">
        <f ca="1">控制台!W365</f>
        <v>cement;steel;pitch;concrete</v>
      </c>
      <c r="P136" s="4" t="str">
        <f ca="1" t="shared" si="9"/>
        <v>508;387;339;308</v>
      </c>
      <c r="Q136" s="4">
        <f>_xlfn.FLOOR.MATH(K33/控制台!$H$291*控制台!$D$289,5)</f>
        <v>432000</v>
      </c>
      <c r="R136" s="4">
        <f>_xlfn.FLOOR.MATH(O33/控制台!$H$291*控制台!$D$289,5)</f>
        <v>297305</v>
      </c>
      <c r="S136" s="1" t="s">
        <v>2701</v>
      </c>
      <c r="T136" s="1" t="s">
        <v>2728</v>
      </c>
      <c r="U136" s="1">
        <f ca="1" t="shared" si="8"/>
        <v>1</v>
      </c>
    </row>
    <row r="137" spans="1:21">
      <c r="A137" s="1">
        <v>28</v>
      </c>
      <c r="B137" s="1" t="s">
        <v>163</v>
      </c>
      <c r="C137" s="1">
        <f>_xlfn.FLOOR.MATH(D35/控制台!$H$291*控制台!$D$289)</f>
        <v>85500000</v>
      </c>
      <c r="D137" s="1">
        <f>_xlfn.FLOOR.MATH(E35/控制台!$H$291*控制台!$D$289)</f>
        <v>102600000</v>
      </c>
      <c r="E137" s="1">
        <f>_xlfn.FLOOR.MATH(F35/控制台!$H$291*控制台!$D$289)</f>
        <v>68400000</v>
      </c>
      <c r="F137" s="1">
        <f ca="1">_xlfn.FLOOR.MATH(J35*60/控制台!$H$291*控制台!$D$289)</f>
        <v>7288704</v>
      </c>
      <c r="G137" s="1">
        <f>IFERROR(_xlfn.FLOOR.MATH(C137,POWER(10,MAX(0,INT(LOG10(C137)-2)))),"")</f>
        <v>85500000</v>
      </c>
      <c r="H137" s="1">
        <f>IFERROR(_xlfn.FLOOR.MATH(D137,POWER(10,MAX(0,INT(LOG10(D137)-2)))),"")</f>
        <v>102000000</v>
      </c>
      <c r="I137" s="1">
        <f>IFERROR(_xlfn.FLOOR.MATH(E137,POWER(10,MAX(0,INT(LOG10(E137)-2)))),"")</f>
        <v>68400000</v>
      </c>
      <c r="J137" s="4" t="str">
        <f t="shared" si="7"/>
        <v>85500000;102000000;68400000</v>
      </c>
      <c r="K137" s="1">
        <f ca="1">IFERROR(_xlfn.FLOOR.MATH($F137*控制台!K366/(控制台!O366*60)),"")</f>
        <v>1201</v>
      </c>
      <c r="L137" s="1">
        <f ca="1">IFERROR(_xlfn.FLOOR.MATH($F137*控制台!L366/(控制台!P366*60)),"")</f>
        <v>1029</v>
      </c>
      <c r="M137" s="1">
        <f ca="1">IFERROR(_xlfn.FLOOR.MATH($F137*控制台!M366/(控制台!Q366*60)),"")</f>
        <v>784</v>
      </c>
      <c r="N137" s="1">
        <f ca="1">IFERROR(_xlfn.FLOOR.MATH($F137*控制台!N366/(控制台!R366*60)),"")</f>
        <v>623</v>
      </c>
      <c r="O137" s="4" t="str">
        <f ca="1">控制台!W366</f>
        <v>brick;cement;steel;concrete</v>
      </c>
      <c r="P137" s="4" t="str">
        <f ca="1" t="shared" si="9"/>
        <v>1201;1029;784;623</v>
      </c>
      <c r="Q137" s="4">
        <f>_xlfn.FLOOR.MATH(K34/控制台!$H$291*控制台!$D$289,5)</f>
        <v>540000</v>
      </c>
      <c r="R137" s="4">
        <f>_xlfn.FLOOR.MATH(O34/控制台!$H$291*控制台!$D$289,5)</f>
        <v>437930</v>
      </c>
      <c r="S137" s="1" t="s">
        <v>2703</v>
      </c>
      <c r="T137" s="1" t="s">
        <v>2729</v>
      </c>
      <c r="U137" s="1">
        <f ca="1" t="shared" si="8"/>
        <v>1</v>
      </c>
    </row>
    <row r="138" spans="1:21">
      <c r="A138" s="1">
        <v>29</v>
      </c>
      <c r="B138" s="1" t="s">
        <v>163</v>
      </c>
      <c r="C138" s="1">
        <f>_xlfn.FLOOR.MATH(D36/控制台!$H$291*控制台!$D$289)</f>
        <v>86400000</v>
      </c>
      <c r="D138" s="1">
        <f>_xlfn.FLOOR.MATH(E36/控制台!$H$291*控制台!$D$289)</f>
        <v>103680000</v>
      </c>
      <c r="E138" s="1">
        <f>_xlfn.FLOOR.MATH(F36/控制台!$H$291*控制台!$D$289)</f>
        <v>69120000</v>
      </c>
      <c r="F138" s="1">
        <f ca="1">_xlfn.FLOOR.MATH(J36*60/控制台!$H$291*控制台!$D$289)</f>
        <v>7442150</v>
      </c>
      <c r="G138" s="1">
        <f>IFERROR(_xlfn.FLOOR.MATH(C138,POWER(10,MAX(0,INT(LOG10(C138)-2)))),"")</f>
        <v>86400000</v>
      </c>
      <c r="H138" s="1">
        <f>IFERROR(_xlfn.FLOOR.MATH(D138,POWER(10,MAX(0,INT(LOG10(D138)-2)))),"")</f>
        <v>103000000</v>
      </c>
      <c r="I138" s="1">
        <f>IFERROR(_xlfn.FLOOR.MATH(E138,POWER(10,MAX(0,INT(LOG10(E138)-2)))),"")</f>
        <v>69100000</v>
      </c>
      <c r="J138" s="4" t="str">
        <f t="shared" si="7"/>
        <v>86400000;103000000;69100000</v>
      </c>
      <c r="K138" s="1">
        <f ca="1">IFERROR(_xlfn.FLOOR.MATH($F138*控制台!K367/(控制台!O367*60)),"")</f>
        <v>1363</v>
      </c>
      <c r="L138" s="1">
        <f ca="1">IFERROR(_xlfn.FLOOR.MATH($F138*控制台!L367/(控制台!P367*60)),"")</f>
        <v>1022</v>
      </c>
      <c r="M138" s="1">
        <f ca="1">IFERROR(_xlfn.FLOOR.MATH($F138*控制台!M367/(控制台!Q367*60)),"")</f>
        <v>681</v>
      </c>
      <c r="N138" s="1">
        <f ca="1">IFERROR(_xlfn.FLOOR.MATH($F138*控制台!N367/(控制台!R367*60)),"")</f>
        <v>619</v>
      </c>
      <c r="O138" s="4" t="str">
        <f ca="1">控制台!W367</f>
        <v>board;cement;pitch;concrete</v>
      </c>
      <c r="P138" s="4" t="str">
        <f ca="1" t="shared" si="9"/>
        <v>1363;1022;681;619</v>
      </c>
      <c r="Q138" s="4">
        <f>_xlfn.FLOOR.MATH(K35/控制台!$H$291*控制台!$D$289,5)</f>
        <v>1026000</v>
      </c>
      <c r="R138" s="4">
        <f>_xlfn.FLOOR.MATH(O35/控制台!$H$291*控制台!$D$289,5)</f>
        <v>669495</v>
      </c>
      <c r="S138" s="1" t="s">
        <v>2705</v>
      </c>
      <c r="T138" s="1" t="s">
        <v>2730</v>
      </c>
      <c r="U138" s="1">
        <f ca="1" t="shared" si="8"/>
        <v>1</v>
      </c>
    </row>
    <row r="139" spans="1:21">
      <c r="A139" s="1">
        <v>30</v>
      </c>
      <c r="B139" s="1" t="s">
        <v>163</v>
      </c>
      <c r="C139" s="1">
        <f>_xlfn.FLOOR.MATH(D37/控制台!$H$291*控制台!$D$289)</f>
        <v>88200000</v>
      </c>
      <c r="D139" s="1">
        <f>_xlfn.FLOOR.MATH(E37/控制台!$H$291*控制台!$D$289)</f>
        <v>105840000</v>
      </c>
      <c r="E139" s="1">
        <f>_xlfn.FLOOR.MATH(F37/控制台!$H$291*控制台!$D$289)</f>
        <v>70560000</v>
      </c>
      <c r="F139" s="1">
        <f ca="1">_xlfn.FLOOR.MATH(J37*60/控制台!$H$291*控制台!$D$289)</f>
        <v>7595596</v>
      </c>
      <c r="G139" s="1">
        <f>IFERROR(_xlfn.FLOOR.MATH(C139,POWER(10,MAX(0,INT(LOG10(C139)-2)))),"")</f>
        <v>88200000</v>
      </c>
      <c r="H139" s="1">
        <f>IFERROR(_xlfn.FLOOR.MATH(D139,POWER(10,MAX(0,INT(LOG10(D139)-2)))),"")</f>
        <v>105000000</v>
      </c>
      <c r="I139" s="1">
        <f>IFERROR(_xlfn.FLOOR.MATH(E139,POWER(10,MAX(0,INT(LOG10(E139)-2)))),"")</f>
        <v>70500000</v>
      </c>
      <c r="J139" s="4" t="str">
        <f t="shared" si="7"/>
        <v>88200000;105000000;70500000</v>
      </c>
      <c r="K139" s="1">
        <f ca="1">IFERROR(_xlfn.FLOOR.MATH($F139*控制台!K368/(控制台!O368*60)),"")</f>
        <v>1124</v>
      </c>
      <c r="L139" s="1">
        <f ca="1">IFERROR(_xlfn.FLOOR.MATH($F139*控制台!L368/(控制台!P368*60)),"")</f>
        <v>734</v>
      </c>
      <c r="M139" s="1">
        <f ca="1">IFERROR(_xlfn.FLOOR.MATH($F139*控制台!M368/(控制台!Q368*60)),"")</f>
        <v>642</v>
      </c>
      <c r="N139" s="1">
        <f ca="1">IFERROR(_xlfn.FLOOR.MATH($F139*控制台!N368/(控制台!R368*60)),"")</f>
        <v>584</v>
      </c>
      <c r="O139" s="4" t="str">
        <f ca="1">控制台!W368</f>
        <v>brick;steel;pitch;concrete</v>
      </c>
      <c r="P139" s="4" t="str">
        <f ca="1" t="shared" si="9"/>
        <v>1124;734;642;584</v>
      </c>
      <c r="Q139" s="4">
        <f>_xlfn.FLOOR.MATH(K36/控制台!$H$291*控制台!$D$289,5)</f>
        <v>1036800</v>
      </c>
      <c r="R139" s="4">
        <f>_xlfn.FLOOR.MATH(O36/控制台!$H$291*控制台!$D$289,5)</f>
        <v>905370</v>
      </c>
      <c r="S139" s="1" t="s">
        <v>2707</v>
      </c>
      <c r="T139" s="1" t="s">
        <v>2731</v>
      </c>
      <c r="U139" s="1">
        <f ca="1" t="shared" si="8"/>
        <v>1</v>
      </c>
    </row>
    <row r="140" spans="1:21">
      <c r="A140" s="1">
        <v>31</v>
      </c>
      <c r="B140" s="1" t="s">
        <v>163</v>
      </c>
      <c r="C140" s="1">
        <f>_xlfn.FLOOR.MATH(D38/控制台!$H$291*控制台!$D$289)</f>
        <v>90000000</v>
      </c>
      <c r="D140" s="1">
        <f>_xlfn.FLOOR.MATH(E38/控制台!$H$291*控制台!$D$289)</f>
        <v>108000000</v>
      </c>
      <c r="E140" s="1">
        <f>_xlfn.FLOOR.MATH(F38/控制台!$H$291*控制台!$D$289)</f>
        <v>72000000</v>
      </c>
      <c r="F140" s="1">
        <f ca="1">_xlfn.FLOOR.MATH(J38*60/控制台!$H$291*控制台!$D$289)</f>
        <v>7879680</v>
      </c>
      <c r="G140" s="1">
        <f>IFERROR(_xlfn.FLOOR.MATH(C140,POWER(10,MAX(0,INT(LOG10(C140)-2)))),"")</f>
        <v>90000000</v>
      </c>
      <c r="H140" s="1">
        <f>IFERROR(_xlfn.FLOOR.MATH(D140,POWER(10,MAX(0,INT(LOG10(D140)-2)))),"")</f>
        <v>108000000</v>
      </c>
      <c r="I140" s="1">
        <f>IFERROR(_xlfn.FLOOR.MATH(E140,POWER(10,MAX(0,INT(LOG10(E140)-2)))),"")</f>
        <v>72000000</v>
      </c>
      <c r="J140" s="4" t="str">
        <f t="shared" si="7"/>
        <v>90000000;108000000;72000000</v>
      </c>
      <c r="K140" s="1">
        <f ca="1">IFERROR(_xlfn.FLOOR.MATH($F140*控制台!K369/(控制台!O369*60)),"")</f>
        <v>895</v>
      </c>
      <c r="L140" s="1">
        <f ca="1">IFERROR(_xlfn.FLOOR.MATH($F140*控制台!L369/(控制台!P369*60)),"")</f>
        <v>682</v>
      </c>
      <c r="M140" s="1">
        <f ca="1">IFERROR(_xlfn.FLOOR.MATH($F140*控制台!M369/(控制台!Q369*60)),"")</f>
        <v>596</v>
      </c>
      <c r="N140" s="1">
        <f ca="1">IFERROR(_xlfn.FLOOR.MATH($F140*控制台!N369/(控制台!R369*60)),"")</f>
        <v>542</v>
      </c>
      <c r="O140" s="4" t="str">
        <f ca="1">控制台!W369</f>
        <v>cement;steel;pitch;concrete</v>
      </c>
      <c r="P140" s="4" t="str">
        <f ca="1" t="shared" si="9"/>
        <v>895;682;596;542</v>
      </c>
      <c r="Q140" s="4">
        <f>_xlfn.FLOOR.MATH(K37/控制台!$H$291*控制台!$D$289,5)</f>
        <v>1058400</v>
      </c>
      <c r="R140" s="4">
        <f>_xlfn.FLOOR.MATH(O37/控制台!$H$291*控制台!$D$289,5)</f>
        <v>1146120</v>
      </c>
      <c r="S140" s="1" t="s">
        <v>2701</v>
      </c>
      <c r="T140" s="1" t="s">
        <v>2732</v>
      </c>
      <c r="U140" s="1">
        <f ca="1" t="shared" si="8"/>
        <v>1</v>
      </c>
    </row>
    <row r="141" spans="1:21">
      <c r="A141" s="1">
        <v>32</v>
      </c>
      <c r="B141" s="1" t="s">
        <v>163</v>
      </c>
      <c r="G141" s="1" t="str">
        <f>IFERROR(_xlfn.FLOOR.MATH(C141,POWER(10,MAX(0,INT(LOG10(C141)-2)))),"")</f>
        <v/>
      </c>
      <c r="H141" s="1" t="str">
        <f>IFERROR(_xlfn.FLOOR.MATH(D141,POWER(10,MAX(0,INT(LOG10(D141)-2)))),"")</f>
        <v/>
      </c>
      <c r="I141" s="1" t="str">
        <f>IFERROR(_xlfn.FLOOR.MATH(E141,POWER(10,MAX(0,INT(LOG10(E141)-2)))),"")</f>
        <v/>
      </c>
      <c r="J141" s="4" t="str">
        <f t="shared" ref="J141:J173" si="10">IF(G141="","",IF(H141="",G141,IF(I141="",CONCATENATE(G141,";",H141),CONCATENATE(G141,";",H141,";",I141))))</f>
        <v/>
      </c>
      <c r="O141" s="4"/>
      <c r="P141" s="4" t="str">
        <f t="shared" ref="P141:P173" si="11">IF(K141="","",IF(L141="",K141,IF(M141="",CONCATENATE(K141,";",L141),IF(N141="",CONCATENATE(K141,";",L141,";",M141),CONCATENATE(K141,";",L141,";",M141,";",N141)))))</f>
        <v/>
      </c>
      <c r="Q141" s="4">
        <f>_xlfn.FLOOR.MATH(K38/控制台!$H$291*控制台!$D$289,5)</f>
        <v>1080000</v>
      </c>
      <c r="R141" s="4">
        <f>_xlfn.FLOOR.MATH(O38/控制台!$H$291*控制台!$D$289,5)</f>
        <v>1389870</v>
      </c>
      <c r="U141" s="1">
        <f t="shared" si="8"/>
        <v>1</v>
      </c>
    </row>
    <row r="142" spans="1:21">
      <c r="A142" s="1">
        <v>0</v>
      </c>
      <c r="B142" s="1" t="s">
        <v>167</v>
      </c>
      <c r="C142" s="1">
        <f>_xlfn.FLOOR.MATH(D7/控制台!$H$291*控制台!$D$289)</f>
        <v>2700</v>
      </c>
      <c r="D142" s="1">
        <f>_xlfn.FLOOR.MATH(E7/控制台!$H$291*控制台!$D$289)</f>
        <v>3240</v>
      </c>
      <c r="E142" s="1">
        <f>_xlfn.FLOOR.MATH(F7/控制台!$H$291*控制台!$D$289)</f>
        <v>2160</v>
      </c>
      <c r="F142" s="1">
        <f ca="1">_xlfn.FLOOR.MATH(J7*60/控制台!$H$291*控制台!$D$289)</f>
        <v>414</v>
      </c>
      <c r="G142" s="1">
        <f>IFERROR(_xlfn.FLOOR.MATH(C142,POWER(10,MAX(0,INT(LOG10(C142)-2)))),"")</f>
        <v>2700</v>
      </c>
      <c r="H142" s="1">
        <f>IFERROR(_xlfn.FLOOR.MATH(D142,POWER(10,MAX(0,INT(LOG10(D142)-2)))),"")</f>
        <v>3240</v>
      </c>
      <c r="I142" s="1">
        <f>IFERROR(_xlfn.FLOOR.MATH(E142,POWER(10,MAX(0,INT(LOG10(E142)-2)))),"")</f>
        <v>2160</v>
      </c>
      <c r="J142" s="4" t="str">
        <f t="shared" si="10"/>
        <v>2700;3240;2160</v>
      </c>
      <c r="K142" s="1">
        <f ca="1">IFERROR(_xlfn.FLOOR.MATH($F142*控制台!K338/(控制台!O338*60)),"")</f>
        <v>6</v>
      </c>
      <c r="L142" s="1" t="str">
        <f ca="1">IFERROR(_xlfn.FLOOR.MATH($F142*控制台!L338/(控制台!P338*60)),"")</f>
        <v/>
      </c>
      <c r="M142" s="1" t="str">
        <f ca="1">IFERROR(_xlfn.FLOOR.MATH($F142*控制台!M338/(控制台!Q338*60)),"")</f>
        <v/>
      </c>
      <c r="N142" s="1" t="str">
        <f ca="1">IFERROR(_xlfn.FLOOR.MATH($F142*控制台!N338/(控制台!R338*60)),"")</f>
        <v/>
      </c>
      <c r="O142" s="6" t="s">
        <v>143</v>
      </c>
      <c r="P142" s="6">
        <v>1</v>
      </c>
      <c r="Q142" s="6">
        <v>0</v>
      </c>
      <c r="R142" s="4">
        <f>_xlfn.FLOOR.MATH(O6/控制台!$H$291*控制台!$D$289,5)</f>
        <v>0</v>
      </c>
      <c r="S142" s="1" t="s">
        <v>143</v>
      </c>
      <c r="T142" s="1">
        <v>1</v>
      </c>
      <c r="U142" s="1">
        <f t="shared" si="8"/>
        <v>1</v>
      </c>
    </row>
    <row r="143" spans="1:21">
      <c r="A143" s="1">
        <v>1</v>
      </c>
      <c r="B143" s="1" t="s">
        <v>167</v>
      </c>
      <c r="C143" s="1">
        <f>_xlfn.FLOOR.MATH(D8/控制台!$H$291*控制台!$D$289)</f>
        <v>5400</v>
      </c>
      <c r="D143" s="1">
        <f>_xlfn.FLOOR.MATH(E8/控制台!$H$291*控制台!$D$289)</f>
        <v>6480</v>
      </c>
      <c r="E143" s="1">
        <f>_xlfn.FLOOR.MATH(F8/控制台!$H$291*控制台!$D$289)</f>
        <v>4320</v>
      </c>
      <c r="F143" s="1">
        <f ca="1">_xlfn.FLOOR.MATH(J8*60/控制台!$H$291*控制台!$D$289)</f>
        <v>829</v>
      </c>
      <c r="G143" s="1">
        <f>IFERROR(_xlfn.FLOOR.MATH(C143,POWER(10,MAX(0,INT(LOG10(C143)-2)))),"")</f>
        <v>5400</v>
      </c>
      <c r="H143" s="1">
        <f>IFERROR(_xlfn.FLOOR.MATH(D143,POWER(10,MAX(0,INT(LOG10(D143)-2)))),"")</f>
        <v>6480</v>
      </c>
      <c r="I143" s="1">
        <f>IFERROR(_xlfn.FLOOR.MATH(E143,POWER(10,MAX(0,INT(LOG10(E143)-2)))),"")</f>
        <v>4320</v>
      </c>
      <c r="J143" s="4" t="str">
        <f t="shared" si="10"/>
        <v>5400;6480;4320</v>
      </c>
      <c r="K143" s="1">
        <f ca="1">IFERROR(_xlfn.FLOOR.MATH($F143*控制台!K339/(控制台!O339*60)),"")</f>
        <v>13</v>
      </c>
      <c r="L143" s="1" t="str">
        <f ca="1">IFERROR(_xlfn.FLOOR.MATH($F143*控制台!L339/(控制台!P339*60)),"")</f>
        <v/>
      </c>
      <c r="M143" s="1" t="str">
        <f ca="1">IFERROR(_xlfn.FLOOR.MATH($F143*控制台!M339/(控制台!Q339*60)),"")</f>
        <v/>
      </c>
      <c r="N143" s="1" t="str">
        <f ca="1">IFERROR(_xlfn.FLOOR.MATH($F143*控制台!N339/(控制台!R339*60)),"")</f>
        <v/>
      </c>
      <c r="O143" s="6" t="s">
        <v>147</v>
      </c>
      <c r="P143" s="6">
        <v>2</v>
      </c>
      <c r="Q143" s="6">
        <v>10</v>
      </c>
      <c r="R143" s="4">
        <f>_xlfn.FLOOR.MATH(O7/控制台!$H$291*控制台!$D$289,5)</f>
        <v>20</v>
      </c>
      <c r="S143" s="1" t="s">
        <v>147</v>
      </c>
      <c r="T143" s="1">
        <v>2</v>
      </c>
      <c r="U143" s="1">
        <f t="shared" si="8"/>
        <v>1</v>
      </c>
    </row>
    <row r="144" spans="1:21">
      <c r="A144" s="1">
        <v>2</v>
      </c>
      <c r="B144" s="1" t="s">
        <v>167</v>
      </c>
      <c r="C144" s="1">
        <f>_xlfn.FLOOR.MATH(D9/控制台!$H$291*控制台!$D$289)</f>
        <v>8100</v>
      </c>
      <c r="D144" s="1">
        <f>_xlfn.FLOOR.MATH(E9/控制台!$H$291*控制台!$D$289)</f>
        <v>9720</v>
      </c>
      <c r="E144" s="1">
        <f>_xlfn.FLOOR.MATH(F9/控制台!$H$291*控制台!$D$289)</f>
        <v>6480</v>
      </c>
      <c r="F144" s="1">
        <f ca="1">_xlfn.FLOOR.MATH(J9*60/控制台!$H$291*控制台!$D$289)</f>
        <v>1244</v>
      </c>
      <c r="G144" s="1">
        <f>IFERROR(_xlfn.FLOOR.MATH(C144,POWER(10,MAX(0,INT(LOG10(C144)-2)))),"")</f>
        <v>8100</v>
      </c>
      <c r="H144" s="1">
        <f>IFERROR(_xlfn.FLOOR.MATH(D144,POWER(10,MAX(0,INT(LOG10(D144)-2)))),"")</f>
        <v>9720</v>
      </c>
      <c r="I144" s="1">
        <f>IFERROR(_xlfn.FLOOR.MATH(E144,POWER(10,MAX(0,INT(LOG10(E144)-2)))),"")</f>
        <v>6480</v>
      </c>
      <c r="J144" s="4" t="str">
        <f t="shared" si="10"/>
        <v>8100;9720;6480</v>
      </c>
      <c r="K144" s="1">
        <f ca="1">IFERROR(_xlfn.FLOOR.MATH($F144*控制台!K340/(控制台!O340*60)),"")</f>
        <v>4</v>
      </c>
      <c r="L144" s="1">
        <f ca="1">IFERROR(_xlfn.FLOOR.MATH($F144*控制台!L340/(控制台!P340*60)),"")</f>
        <v>4</v>
      </c>
      <c r="M144" s="1" t="str">
        <f ca="1">IFERROR(_xlfn.FLOOR.MATH($F144*控制台!M340/(控制台!Q340*60)),"")</f>
        <v/>
      </c>
      <c r="N144" s="1" t="str">
        <f ca="1">IFERROR(_xlfn.FLOOR.MATH($F144*控制台!N340/(控制台!R340*60)),"")</f>
        <v/>
      </c>
      <c r="O144" s="6" t="s">
        <v>144</v>
      </c>
      <c r="P144" s="6" t="s">
        <v>151</v>
      </c>
      <c r="Q144" s="6">
        <v>30</v>
      </c>
      <c r="R144" s="4">
        <f>_xlfn.FLOOR.MATH(O8/控制台!$H$291*控制台!$D$289,5)</f>
        <v>60</v>
      </c>
      <c r="S144" s="1" t="s">
        <v>144</v>
      </c>
      <c r="T144" s="1" t="s">
        <v>151</v>
      </c>
      <c r="U144" s="1">
        <f t="shared" si="8"/>
        <v>1</v>
      </c>
    </row>
    <row r="145" spans="1:21">
      <c r="A145" s="1">
        <v>3</v>
      </c>
      <c r="B145" s="1" t="s">
        <v>167</v>
      </c>
      <c r="C145" s="1">
        <f>_xlfn.FLOOR.MATH(D10/控制台!$H$291*控制台!$D$289)</f>
        <v>10800</v>
      </c>
      <c r="D145" s="1">
        <f>_xlfn.FLOOR.MATH(E10/控制台!$H$291*控制台!$D$289)</f>
        <v>12960</v>
      </c>
      <c r="E145" s="1">
        <f>_xlfn.FLOOR.MATH(F10/控制台!$H$291*控制台!$D$289)</f>
        <v>8640</v>
      </c>
      <c r="F145" s="1">
        <f ca="1">_xlfn.FLOOR.MATH(J10*60/控制台!$H$291*控制台!$D$289)</f>
        <v>2073</v>
      </c>
      <c r="G145" s="1">
        <f>IFERROR(_xlfn.FLOOR.MATH(C145,POWER(10,MAX(0,INT(LOG10(C145)-2)))),"")</f>
        <v>10800</v>
      </c>
      <c r="H145" s="1">
        <f>IFERROR(_xlfn.FLOOR.MATH(D145,POWER(10,MAX(0,INT(LOG10(D145)-2)))),"")</f>
        <v>12900</v>
      </c>
      <c r="I145" s="1">
        <f>IFERROR(_xlfn.FLOOR.MATH(E145,POWER(10,MAX(0,INT(LOG10(E145)-2)))),"")</f>
        <v>8640</v>
      </c>
      <c r="J145" s="4" t="str">
        <f t="shared" si="10"/>
        <v>10800;12900;8640</v>
      </c>
      <c r="K145" s="1">
        <f ca="1">IFERROR(_xlfn.FLOOR.MATH($F145*控制台!K341/(控制台!O341*60)),"")</f>
        <v>7</v>
      </c>
      <c r="L145" s="1">
        <f ca="1">IFERROR(_xlfn.FLOOR.MATH($F145*控制台!L341/(控制台!P341*60)),"")</f>
        <v>6</v>
      </c>
      <c r="M145" s="1" t="str">
        <f ca="1">IFERROR(_xlfn.FLOOR.MATH($F145*控制台!M341/(控制台!Q341*60)),"")</f>
        <v/>
      </c>
      <c r="N145" s="1" t="str">
        <f ca="1">IFERROR(_xlfn.FLOOR.MATH($F145*控制台!N341/(控制台!R341*60)),"")</f>
        <v/>
      </c>
      <c r="O145" s="6" t="s">
        <v>144</v>
      </c>
      <c r="P145" s="6" t="s">
        <v>169</v>
      </c>
      <c r="Q145" s="6">
        <v>50</v>
      </c>
      <c r="R145" s="4">
        <f>_xlfn.FLOOR.MATH(O9/控制台!$H$291*控制台!$D$289,5)</f>
        <v>120</v>
      </c>
      <c r="S145" s="1" t="s">
        <v>144</v>
      </c>
      <c r="T145" s="1" t="s">
        <v>169</v>
      </c>
      <c r="U145" s="1">
        <f t="shared" si="8"/>
        <v>1</v>
      </c>
    </row>
    <row r="146" spans="1:21">
      <c r="A146" s="1">
        <v>4</v>
      </c>
      <c r="B146" s="1" t="s">
        <v>167</v>
      </c>
      <c r="C146" s="1">
        <f>_xlfn.FLOOR.MATH(D11/控制台!$H$291*控制台!$D$289)</f>
        <v>18000</v>
      </c>
      <c r="D146" s="1">
        <f>_xlfn.FLOOR.MATH(E11/控制台!$H$291*控制台!$D$289)</f>
        <v>21600</v>
      </c>
      <c r="E146" s="1">
        <f>_xlfn.FLOOR.MATH(F11/控制台!$H$291*控制台!$D$289)</f>
        <v>14400</v>
      </c>
      <c r="F146" s="1">
        <f ca="1">_xlfn.FLOOR.MATH(J11*60/控制台!$H$291*控制台!$D$289)</f>
        <v>3317</v>
      </c>
      <c r="G146" s="1">
        <f>IFERROR(_xlfn.FLOOR.MATH(C146,POWER(10,MAX(0,INT(LOG10(C146)-2)))),"")</f>
        <v>18000</v>
      </c>
      <c r="H146" s="1">
        <f>IFERROR(_xlfn.FLOOR.MATH(D146,POWER(10,MAX(0,INT(LOG10(D146)-2)))),"")</f>
        <v>21600</v>
      </c>
      <c r="I146" s="1">
        <f>IFERROR(_xlfn.FLOOR.MATH(E146,POWER(10,MAX(0,INT(LOG10(E146)-2)))),"")</f>
        <v>14400</v>
      </c>
      <c r="J146" s="4" t="str">
        <f t="shared" si="10"/>
        <v>18000;21600;14400</v>
      </c>
      <c r="K146" s="1">
        <f ca="1">IFERROR(_xlfn.FLOOR.MATH($F146*控制台!K342/(控制台!O342*60)),"")</f>
        <v>12</v>
      </c>
      <c r="L146" s="1">
        <f ca="1">IFERROR(_xlfn.FLOOR.MATH($F146*控制台!L342/(控制台!P342*60)),"")</f>
        <v>10</v>
      </c>
      <c r="M146" s="1" t="str">
        <f ca="1">IFERROR(_xlfn.FLOOR.MATH($F146*控制台!M342/(控制台!Q342*60)),"")</f>
        <v/>
      </c>
      <c r="N146" s="1" t="str">
        <f ca="1">IFERROR(_xlfn.FLOOR.MATH($F146*控制台!N342/(控制台!R342*60)),"")</f>
        <v/>
      </c>
      <c r="O146" s="6" t="s">
        <v>152</v>
      </c>
      <c r="P146" s="6" t="s">
        <v>165</v>
      </c>
      <c r="Q146" s="6">
        <v>125</v>
      </c>
      <c r="R146" s="4">
        <f>_xlfn.FLOOR.MATH(O10/控制台!$H$291*控制台!$D$289,5)</f>
        <v>220</v>
      </c>
      <c r="S146" s="1" t="s">
        <v>152</v>
      </c>
      <c r="T146" s="1" t="s">
        <v>165</v>
      </c>
      <c r="U146" s="1">
        <f t="shared" si="8"/>
        <v>1</v>
      </c>
    </row>
    <row r="147" spans="1:21">
      <c r="A147" s="1">
        <v>5</v>
      </c>
      <c r="B147" s="1" t="s">
        <v>167</v>
      </c>
      <c r="C147" s="1">
        <f>_xlfn.FLOOR.MATH(D12/控制台!$H$291*控制台!$D$289)</f>
        <v>36000</v>
      </c>
      <c r="D147" s="1">
        <f>_xlfn.FLOOR.MATH(E12/控制台!$H$291*控制台!$D$289)</f>
        <v>43200</v>
      </c>
      <c r="E147" s="1">
        <f>_xlfn.FLOOR.MATH(F12/控制台!$H$291*控制台!$D$289)</f>
        <v>28800</v>
      </c>
      <c r="F147" s="1">
        <f ca="1">_xlfn.FLOOR.MATH(J12*60/控制台!$H$291*控制台!$D$289)</f>
        <v>6220</v>
      </c>
      <c r="G147" s="1">
        <f>IFERROR(_xlfn.FLOOR.MATH(C147,POWER(10,MAX(0,INT(LOG10(C147)-2)))),"")</f>
        <v>36000</v>
      </c>
      <c r="H147" s="1">
        <f>IFERROR(_xlfn.FLOOR.MATH(D147,POWER(10,MAX(0,INT(LOG10(D147)-2)))),"")</f>
        <v>43200</v>
      </c>
      <c r="I147" s="1">
        <f>IFERROR(_xlfn.FLOOR.MATH(E147,POWER(10,MAX(0,INT(LOG10(E147)-2)))),"")</f>
        <v>28800</v>
      </c>
      <c r="J147" s="4" t="str">
        <f t="shared" si="10"/>
        <v>36000;43200;28800</v>
      </c>
      <c r="K147" s="1">
        <f ca="1">IFERROR(_xlfn.FLOOR.MATH($F147*控制台!K343/(控制台!O343*60)),"")</f>
        <v>23</v>
      </c>
      <c r="L147" s="1">
        <f ca="1">IFERROR(_xlfn.FLOOR.MATH($F147*控制台!L343/(控制台!P343*60)),"")</f>
        <v>20</v>
      </c>
      <c r="M147" s="1" t="str">
        <f ca="1">IFERROR(_xlfn.FLOOR.MATH($F147*控制台!M343/(控制台!Q343*60)),"")</f>
        <v/>
      </c>
      <c r="N147" s="1" t="str">
        <f ca="1">IFERROR(_xlfn.FLOOR.MATH($F147*控制台!N343/(控制台!R343*60)),"")</f>
        <v/>
      </c>
      <c r="O147" s="6" t="s">
        <v>152</v>
      </c>
      <c r="P147" s="6" t="s">
        <v>166</v>
      </c>
      <c r="Q147" s="6">
        <v>215</v>
      </c>
      <c r="R147" s="4">
        <f>_xlfn.FLOOR.MATH(O11/控制台!$H$291*控制台!$D$289,5)</f>
        <v>380</v>
      </c>
      <c r="S147" s="1" t="s">
        <v>152</v>
      </c>
      <c r="T147" s="1" t="s">
        <v>166</v>
      </c>
      <c r="U147" s="1">
        <f t="shared" si="8"/>
        <v>1</v>
      </c>
    </row>
    <row r="148" spans="1:21">
      <c r="A148" s="1">
        <v>6</v>
      </c>
      <c r="B148" s="1" t="s">
        <v>167</v>
      </c>
      <c r="C148" s="1">
        <f>_xlfn.FLOOR.MATH(D13/控制台!$H$291*控制台!$D$289)</f>
        <v>54000</v>
      </c>
      <c r="D148" s="1">
        <f>_xlfn.FLOOR.MATH(E13/控制台!$H$291*控制台!$D$289)</f>
        <v>64800</v>
      </c>
      <c r="E148" s="1">
        <f>_xlfn.FLOOR.MATH(F13/控制台!$H$291*控制台!$D$289)</f>
        <v>43200</v>
      </c>
      <c r="F148" s="1">
        <f ca="1">_xlfn.FLOOR.MATH(J13*60/控制台!$H$291*控制台!$D$289)</f>
        <v>12441</v>
      </c>
      <c r="G148" s="1">
        <f>IFERROR(_xlfn.FLOOR.MATH(C148,POWER(10,MAX(0,INT(LOG10(C148)-2)))),"")</f>
        <v>54000</v>
      </c>
      <c r="H148" s="1">
        <f>IFERROR(_xlfn.FLOOR.MATH(D148,POWER(10,MAX(0,INT(LOG10(D148)-2)))),"")</f>
        <v>64800</v>
      </c>
      <c r="I148" s="1">
        <f>IFERROR(_xlfn.FLOOR.MATH(E148,POWER(10,MAX(0,INT(LOG10(E148)-2)))),"")</f>
        <v>43200</v>
      </c>
      <c r="J148" s="4" t="str">
        <f t="shared" si="10"/>
        <v>54000;64800;43200</v>
      </c>
      <c r="K148" s="1">
        <f ca="1">IFERROR(_xlfn.FLOOR.MATH($F148*控制台!K344/(控制台!O344*60)),"")</f>
        <v>10</v>
      </c>
      <c r="L148" s="1">
        <f ca="1">IFERROR(_xlfn.FLOOR.MATH($F148*控制台!L344/(控制台!P344*60)),"")</f>
        <v>9</v>
      </c>
      <c r="M148" s="1">
        <f ca="1">IFERROR(_xlfn.FLOOR.MATH($F148*控制台!M344/(控制台!Q344*60)),"")</f>
        <v>7</v>
      </c>
      <c r="N148" s="1" t="str">
        <f ca="1">IFERROR(_xlfn.FLOOR.MATH($F148*控制台!N344/(控制台!R344*60)),"")</f>
        <v/>
      </c>
      <c r="O148" s="4" t="str">
        <f ca="1">控制台!W344</f>
        <v>board;brick;cement</v>
      </c>
      <c r="P148" s="4" t="str">
        <f ca="1" t="shared" si="11"/>
        <v>10;9;7</v>
      </c>
      <c r="Q148" s="4">
        <f>_xlfn.FLOOR.MATH(K12/控制台!$H$291*控制台!$D$289,5)</f>
        <v>430</v>
      </c>
      <c r="R148" s="4">
        <f>_xlfn.FLOOR.MATH(O12/控制台!$H$291*控制台!$D$289,5)</f>
        <v>685</v>
      </c>
      <c r="S148" s="1" t="s">
        <v>152</v>
      </c>
      <c r="T148" s="1" t="s">
        <v>2710</v>
      </c>
      <c r="U148" s="1">
        <f ca="1" t="shared" si="8"/>
        <v>1</v>
      </c>
    </row>
    <row r="149" spans="1:21">
      <c r="A149" s="1">
        <v>7</v>
      </c>
      <c r="B149" s="1" t="s">
        <v>167</v>
      </c>
      <c r="C149" s="1">
        <f>_xlfn.FLOOR.MATH(D14/控制台!$H$291*控制台!$D$289)</f>
        <v>72000</v>
      </c>
      <c r="D149" s="1">
        <f>_xlfn.FLOOR.MATH(E14/控制台!$H$291*控制台!$D$289)</f>
        <v>86400</v>
      </c>
      <c r="E149" s="1">
        <f>_xlfn.FLOOR.MATH(F14/控制台!$H$291*控制台!$D$289)</f>
        <v>57600</v>
      </c>
      <c r="F149" s="1">
        <f ca="1">_xlfn.FLOOR.MATH(J14*60/控制台!$H$291*控制台!$D$289)</f>
        <v>16588</v>
      </c>
      <c r="G149" s="1">
        <f>IFERROR(_xlfn.FLOOR.MATH(C149,POWER(10,MAX(0,INT(LOG10(C149)-2)))),"")</f>
        <v>72000</v>
      </c>
      <c r="H149" s="1">
        <f>IFERROR(_xlfn.FLOOR.MATH(D149,POWER(10,MAX(0,INT(LOG10(D149)-2)))),"")</f>
        <v>86400</v>
      </c>
      <c r="I149" s="1">
        <f>IFERROR(_xlfn.FLOOR.MATH(E149,POWER(10,MAX(0,INT(LOG10(E149)-2)))),"")</f>
        <v>57600</v>
      </c>
      <c r="J149" s="4" t="str">
        <f t="shared" si="10"/>
        <v>72000;86400;57600</v>
      </c>
      <c r="K149" s="1">
        <f ca="1">IFERROR(_xlfn.FLOOR.MATH($F149*控制台!K345/(控制台!O345*60)),"")</f>
        <v>14</v>
      </c>
      <c r="L149" s="1">
        <f ca="1">IFERROR(_xlfn.FLOOR.MATH($F149*控制台!L345/(控制台!P345*60)),"")</f>
        <v>12</v>
      </c>
      <c r="M149" s="1">
        <f ca="1">IFERROR(_xlfn.FLOOR.MATH($F149*控制台!M345/(控制台!Q345*60)),"")</f>
        <v>10</v>
      </c>
      <c r="N149" s="1" t="str">
        <f ca="1">IFERROR(_xlfn.FLOOR.MATH($F149*控制台!N345/(控制台!R345*60)),"")</f>
        <v/>
      </c>
      <c r="O149" s="4" t="str">
        <f ca="1">控制台!W345</f>
        <v>board;brick;cement</v>
      </c>
      <c r="P149" s="4" t="str">
        <f ca="1" t="shared" si="11"/>
        <v>14;12;10</v>
      </c>
      <c r="Q149" s="4">
        <f>_xlfn.FLOOR.MATH(K13/控制台!$H$291*控制台!$D$289,5)</f>
        <v>645</v>
      </c>
      <c r="R149" s="4">
        <f>_xlfn.FLOOR.MATH(O13/控制台!$H$291*控制台!$D$289,5)</f>
        <v>1280</v>
      </c>
      <c r="S149" s="1" t="s">
        <v>152</v>
      </c>
      <c r="T149" s="1" t="s">
        <v>2711</v>
      </c>
      <c r="U149" s="1">
        <f ca="1" t="shared" si="8"/>
        <v>1</v>
      </c>
    </row>
    <row r="150" spans="1:21">
      <c r="A150" s="1">
        <v>8</v>
      </c>
      <c r="B150" s="1" t="s">
        <v>167</v>
      </c>
      <c r="C150" s="1">
        <f>_xlfn.FLOOR.MATH(D15/控制台!$H$291*控制台!$D$289)</f>
        <v>90000</v>
      </c>
      <c r="D150" s="1">
        <f>_xlfn.FLOOR.MATH(E15/控制台!$H$291*控制台!$D$289)</f>
        <v>108000</v>
      </c>
      <c r="E150" s="1">
        <f>_xlfn.FLOOR.MATH(F15/控制台!$H$291*控制台!$D$289)</f>
        <v>72000</v>
      </c>
      <c r="F150" s="1">
        <f ca="1">_xlfn.FLOOR.MATH(J15*60/控制台!$H$291*控制台!$D$289)</f>
        <v>20736</v>
      </c>
      <c r="G150" s="1">
        <f>IFERROR(_xlfn.FLOOR.MATH(C150,POWER(10,MAX(0,INT(LOG10(C150)-2)))),"")</f>
        <v>90000</v>
      </c>
      <c r="H150" s="1">
        <f>IFERROR(_xlfn.FLOOR.MATH(D150,POWER(10,MAX(0,INT(LOG10(D150)-2)))),"")</f>
        <v>108000</v>
      </c>
      <c r="I150" s="1">
        <f>IFERROR(_xlfn.FLOOR.MATH(E150,POWER(10,MAX(0,INT(LOG10(E150)-2)))),"")</f>
        <v>72000</v>
      </c>
      <c r="J150" s="4" t="str">
        <f t="shared" si="10"/>
        <v>90000;108000;72000</v>
      </c>
      <c r="K150" s="1">
        <f ca="1">IFERROR(_xlfn.FLOOR.MATH($F150*控制台!K346/(控制台!O346*60)),"")</f>
        <v>17</v>
      </c>
      <c r="L150" s="1">
        <f ca="1">IFERROR(_xlfn.FLOOR.MATH($F150*控制台!L346/(控制台!P346*60)),"")</f>
        <v>15</v>
      </c>
      <c r="M150" s="1">
        <f ca="1">IFERROR(_xlfn.FLOOR.MATH($F150*控制台!M346/(控制台!Q346*60)),"")</f>
        <v>13</v>
      </c>
      <c r="N150" s="1" t="str">
        <f ca="1">IFERROR(_xlfn.FLOOR.MATH($F150*控制台!N346/(控制台!R346*60)),"")</f>
        <v/>
      </c>
      <c r="O150" s="4" t="str">
        <f ca="1">控制台!W346</f>
        <v>board;brick;cement</v>
      </c>
      <c r="P150" s="4" t="str">
        <f ca="1" t="shared" si="11"/>
        <v>17;15;13</v>
      </c>
      <c r="Q150" s="4">
        <f>_xlfn.FLOOR.MATH(K14/控制台!$H$291*控制台!$D$289,5)</f>
        <v>860</v>
      </c>
      <c r="R150" s="4">
        <f>_xlfn.FLOOR.MATH(O14/控制台!$H$291*控制台!$D$289,5)</f>
        <v>2075</v>
      </c>
      <c r="S150" s="1" t="s">
        <v>152</v>
      </c>
      <c r="T150" s="1" t="s">
        <v>2712</v>
      </c>
      <c r="U150" s="1">
        <f ca="1" t="shared" si="8"/>
        <v>1</v>
      </c>
    </row>
    <row r="151" spans="1:21">
      <c r="A151" s="1">
        <v>9</v>
      </c>
      <c r="B151" s="1" t="s">
        <v>167</v>
      </c>
      <c r="C151" s="1">
        <f>_xlfn.FLOOR.MATH(D16/控制台!$H$291*控制台!$D$289)</f>
        <v>126000</v>
      </c>
      <c r="D151" s="1">
        <f>_xlfn.FLOOR.MATH(E16/控制台!$H$291*控制台!$D$289)</f>
        <v>151200</v>
      </c>
      <c r="E151" s="1">
        <f>_xlfn.FLOOR.MATH(F16/控制台!$H$291*控制台!$D$289)</f>
        <v>100800</v>
      </c>
      <c r="F151" s="1">
        <f ca="1">_xlfn.FLOOR.MATH(J16*60/控制台!$H$291*控制台!$D$289)</f>
        <v>24883</v>
      </c>
      <c r="G151" s="1">
        <f>IFERROR(_xlfn.FLOOR.MATH(C151,POWER(10,MAX(0,INT(LOG10(C151)-2)))),"")</f>
        <v>126000</v>
      </c>
      <c r="H151" s="1">
        <f>IFERROR(_xlfn.FLOOR.MATH(D151,POWER(10,MAX(0,INT(LOG10(D151)-2)))),"")</f>
        <v>151000</v>
      </c>
      <c r="I151" s="1">
        <f>IFERROR(_xlfn.FLOOR.MATH(E151,POWER(10,MAX(0,INT(LOG10(E151)-2)))),"")</f>
        <v>100000</v>
      </c>
      <c r="J151" s="4" t="str">
        <f t="shared" si="10"/>
        <v>126000;151000;100000</v>
      </c>
      <c r="K151" s="1">
        <f ca="1">IFERROR(_xlfn.FLOOR.MATH($F151*控制台!K347/(控制台!O347*60)),"")</f>
        <v>21</v>
      </c>
      <c r="L151" s="1">
        <f ca="1">IFERROR(_xlfn.FLOOR.MATH($F151*控制台!L347/(控制台!P347*60)),"")</f>
        <v>18</v>
      </c>
      <c r="M151" s="1">
        <f ca="1">IFERROR(_xlfn.FLOOR.MATH($F151*控制台!M347/(控制台!Q347*60)),"")</f>
        <v>15</v>
      </c>
      <c r="N151" s="1" t="str">
        <f ca="1">IFERROR(_xlfn.FLOOR.MATH($F151*控制台!N347/(控制台!R347*60)),"")</f>
        <v/>
      </c>
      <c r="O151" s="4" t="str">
        <f ca="1">控制台!W347</f>
        <v>board;brick;cement</v>
      </c>
      <c r="P151" s="4" t="str">
        <f ca="1" t="shared" si="11"/>
        <v>21;18;15</v>
      </c>
      <c r="Q151" s="4">
        <f>_xlfn.FLOOR.MATH(K15/控制台!$H$291*控制台!$D$289,5)</f>
        <v>1080</v>
      </c>
      <c r="R151" s="4">
        <f>_xlfn.FLOOR.MATH(O15/控制台!$H$291*控制台!$D$289,5)</f>
        <v>3070</v>
      </c>
      <c r="S151" s="1" t="s">
        <v>152</v>
      </c>
      <c r="T151" s="1" t="s">
        <v>155</v>
      </c>
      <c r="U151" s="1">
        <f ca="1" t="shared" si="8"/>
        <v>1</v>
      </c>
    </row>
    <row r="152" spans="1:21">
      <c r="A152" s="1">
        <v>10</v>
      </c>
      <c r="B152" s="1" t="s">
        <v>167</v>
      </c>
      <c r="C152" s="1">
        <f>_xlfn.FLOOR.MATH(D17/控制台!$H$291*控制台!$D$289)</f>
        <v>162000</v>
      </c>
      <c r="D152" s="1">
        <f>_xlfn.FLOOR.MATH(E17/控制台!$H$291*控制台!$D$289)</f>
        <v>194400</v>
      </c>
      <c r="E152" s="1">
        <f>_xlfn.FLOOR.MATH(F17/控制台!$H$291*控制台!$D$289)</f>
        <v>129600</v>
      </c>
      <c r="F152" s="1">
        <f ca="1">_xlfn.FLOOR.MATH(J17*60/控制台!$H$291*控制台!$D$289)</f>
        <v>29030</v>
      </c>
      <c r="G152" s="1">
        <f>IFERROR(_xlfn.FLOOR.MATH(C152,POWER(10,MAX(0,INT(LOG10(C152)-2)))),"")</f>
        <v>162000</v>
      </c>
      <c r="H152" s="1">
        <f>IFERROR(_xlfn.FLOOR.MATH(D152,POWER(10,MAX(0,INT(LOG10(D152)-2)))),"")</f>
        <v>194000</v>
      </c>
      <c r="I152" s="1">
        <f>IFERROR(_xlfn.FLOOR.MATH(E152,POWER(10,MAX(0,INT(LOG10(E152)-2)))),"")</f>
        <v>129000</v>
      </c>
      <c r="J152" s="4" t="str">
        <f t="shared" si="10"/>
        <v>162000;194000;129000</v>
      </c>
      <c r="K152" s="1">
        <f ca="1">IFERROR(_xlfn.FLOOR.MATH($F152*控制台!K348/(控制台!O348*60)),"")</f>
        <v>24</v>
      </c>
      <c r="L152" s="1">
        <f ca="1">IFERROR(_xlfn.FLOOR.MATH($F152*控制台!L348/(控制台!P348*60)),"")</f>
        <v>21</v>
      </c>
      <c r="M152" s="1">
        <f ca="1">IFERROR(_xlfn.FLOOR.MATH($F152*控制台!M348/(控制台!Q348*60)),"")</f>
        <v>18</v>
      </c>
      <c r="N152" s="1" t="str">
        <f ca="1">IFERROR(_xlfn.FLOOR.MATH($F152*控制台!N348/(控制台!R348*60)),"")</f>
        <v/>
      </c>
      <c r="O152" s="4" t="str">
        <f ca="1">控制台!W348</f>
        <v>board;brick;cement</v>
      </c>
      <c r="P152" s="4" t="str">
        <f ca="1" t="shared" si="11"/>
        <v>24;21;18</v>
      </c>
      <c r="Q152" s="4">
        <f>_xlfn.FLOOR.MATH(K16/控制台!$H$291*控制台!$D$289,5)</f>
        <v>1510</v>
      </c>
      <c r="R152" s="4">
        <f>_xlfn.FLOOR.MATH(O16/控制台!$H$291*控制台!$D$289,5)</f>
        <v>4275</v>
      </c>
      <c r="S152" s="1" t="s">
        <v>152</v>
      </c>
      <c r="T152" s="1" t="s">
        <v>2713</v>
      </c>
      <c r="U152" s="1">
        <f ca="1" t="shared" si="8"/>
        <v>1</v>
      </c>
    </row>
    <row r="153" spans="1:21">
      <c r="A153" s="1">
        <v>11</v>
      </c>
      <c r="B153" s="1" t="s">
        <v>167</v>
      </c>
      <c r="C153" s="1">
        <f>_xlfn.FLOOR.MATH(D18/控制台!$H$291*控制台!$D$289)</f>
        <v>180000</v>
      </c>
      <c r="D153" s="1">
        <f>_xlfn.FLOOR.MATH(E18/控制台!$H$291*控制台!$D$289)</f>
        <v>216000</v>
      </c>
      <c r="E153" s="1">
        <f>_xlfn.FLOOR.MATH(F18/控制台!$H$291*控制台!$D$289)</f>
        <v>144000</v>
      </c>
      <c r="F153" s="1">
        <f ca="1">_xlfn.FLOOR.MATH(J18*60/控制台!$H$291*控制台!$D$289)</f>
        <v>36495</v>
      </c>
      <c r="G153" s="1">
        <f>IFERROR(_xlfn.FLOOR.MATH(C153,POWER(10,MAX(0,INT(LOG10(C153)-2)))),"")</f>
        <v>180000</v>
      </c>
      <c r="H153" s="1">
        <f>IFERROR(_xlfn.FLOOR.MATH(D153,POWER(10,MAX(0,INT(LOG10(D153)-2)))),"")</f>
        <v>216000</v>
      </c>
      <c r="I153" s="1">
        <f>IFERROR(_xlfn.FLOOR.MATH(E153,POWER(10,MAX(0,INT(LOG10(E153)-2)))),"")</f>
        <v>144000</v>
      </c>
      <c r="J153" s="4" t="str">
        <f t="shared" si="10"/>
        <v>180000;216000;144000</v>
      </c>
      <c r="K153" s="1">
        <f ca="1">IFERROR(_xlfn.FLOOR.MATH($F153*控制台!K349/(控制台!O349*60)),"")</f>
        <v>31</v>
      </c>
      <c r="L153" s="1">
        <f ca="1">IFERROR(_xlfn.FLOOR.MATH($F153*控制台!L349/(控制台!P349*60)),"")</f>
        <v>27</v>
      </c>
      <c r="M153" s="1">
        <f ca="1">IFERROR(_xlfn.FLOOR.MATH($F153*控制台!M349/(控制台!Q349*60)),"")</f>
        <v>23</v>
      </c>
      <c r="N153" s="1" t="str">
        <f ca="1">IFERROR(_xlfn.FLOOR.MATH($F153*控制台!N349/(控制台!R349*60)),"")</f>
        <v/>
      </c>
      <c r="O153" s="4" t="str">
        <f ca="1">控制台!W349</f>
        <v>board;brick;cement</v>
      </c>
      <c r="P153" s="4" t="str">
        <f ca="1" t="shared" si="11"/>
        <v>31;27;23</v>
      </c>
      <c r="Q153" s="4">
        <f>_xlfn.FLOOR.MATH(K17/控制台!$H$291*控制台!$D$289,5)</f>
        <v>1940</v>
      </c>
      <c r="R153" s="4">
        <f>_xlfn.FLOOR.MATH(O17/控制台!$H$291*控制台!$D$289,5)</f>
        <v>5690</v>
      </c>
      <c r="S153" s="1" t="s">
        <v>152</v>
      </c>
      <c r="T153" s="1" t="s">
        <v>2676</v>
      </c>
      <c r="U153" s="1">
        <f ca="1" t="shared" si="8"/>
        <v>1</v>
      </c>
    </row>
    <row r="154" spans="1:21">
      <c r="A154" s="1">
        <v>12</v>
      </c>
      <c r="B154" s="1" t="s">
        <v>167</v>
      </c>
      <c r="C154" s="1">
        <f>_xlfn.FLOOR.MATH(D19/控制台!$H$291*控制台!$D$289)</f>
        <v>270000</v>
      </c>
      <c r="D154" s="1">
        <f>_xlfn.FLOOR.MATH(E19/控制台!$H$291*控制台!$D$289)</f>
        <v>324000</v>
      </c>
      <c r="E154" s="1">
        <f>_xlfn.FLOOR.MATH(F19/控制台!$H$291*控制台!$D$289)</f>
        <v>216000</v>
      </c>
      <c r="F154" s="1">
        <f ca="1">_xlfn.FLOOR.MATH(J19*60/控制台!$H$291*控制台!$D$289)</f>
        <v>45619</v>
      </c>
      <c r="G154" s="1">
        <f>IFERROR(_xlfn.FLOOR.MATH(C154,POWER(10,MAX(0,INT(LOG10(C154)-2)))),"")</f>
        <v>270000</v>
      </c>
      <c r="H154" s="1">
        <f>IFERROR(_xlfn.FLOOR.MATH(D154,POWER(10,MAX(0,INT(LOG10(D154)-2)))),"")</f>
        <v>324000</v>
      </c>
      <c r="I154" s="1">
        <f>IFERROR(_xlfn.FLOOR.MATH(E154,POWER(10,MAX(0,INT(LOG10(E154)-2)))),"")</f>
        <v>216000</v>
      </c>
      <c r="J154" s="4" t="str">
        <f t="shared" si="10"/>
        <v>270000;324000;216000</v>
      </c>
      <c r="K154" s="1">
        <f ca="1">IFERROR(_xlfn.FLOOR.MATH($F154*控制台!K350/(控制台!O350*60)),"")</f>
        <v>38</v>
      </c>
      <c r="L154" s="1">
        <f ca="1">IFERROR(_xlfn.FLOOR.MATH($F154*控制台!L350/(控制台!P350*60)),"")</f>
        <v>34</v>
      </c>
      <c r="M154" s="1">
        <f ca="1">IFERROR(_xlfn.FLOOR.MATH($F154*控制台!M350/(控制台!Q350*60)),"")</f>
        <v>29</v>
      </c>
      <c r="N154" s="1" t="str">
        <f ca="1">IFERROR(_xlfn.FLOOR.MATH($F154*控制台!N350/(控制台!R350*60)),"")</f>
        <v/>
      </c>
      <c r="O154" s="4" t="str">
        <f ca="1">控制台!W350</f>
        <v>board;brick;cement</v>
      </c>
      <c r="P154" s="4" t="str">
        <f ca="1" t="shared" si="11"/>
        <v>38;34;29</v>
      </c>
      <c r="Q154" s="4">
        <f>_xlfn.FLOOR.MATH(K18/控制台!$H$291*控制台!$D$289,5)</f>
        <v>2160</v>
      </c>
      <c r="R154" s="4">
        <f>_xlfn.FLOOR.MATH(O18/控制台!$H$291*控制台!$D$289,5)</f>
        <v>7300</v>
      </c>
      <c r="S154" s="1" t="s">
        <v>152</v>
      </c>
      <c r="T154" s="1" t="s">
        <v>2714</v>
      </c>
      <c r="U154" s="1">
        <f ca="1" t="shared" si="8"/>
        <v>1</v>
      </c>
    </row>
    <row r="155" spans="1:21">
      <c r="A155" s="1">
        <v>13</v>
      </c>
      <c r="B155" s="1" t="s">
        <v>167</v>
      </c>
      <c r="C155" s="1">
        <f>_xlfn.FLOOR.MATH(D20/控制台!$H$291*控制台!$D$289)</f>
        <v>540000</v>
      </c>
      <c r="D155" s="1">
        <f>_xlfn.FLOOR.MATH(E20/控制台!$H$291*控制台!$D$289)</f>
        <v>648000</v>
      </c>
      <c r="E155" s="1">
        <f>_xlfn.FLOOR.MATH(F20/控制台!$H$291*控制台!$D$289)</f>
        <v>432000</v>
      </c>
      <c r="F155" s="1">
        <f ca="1">_xlfn.FLOOR.MATH(J20*60/控制台!$H$291*控制台!$D$289)</f>
        <v>68428</v>
      </c>
      <c r="G155" s="1">
        <f>IFERROR(_xlfn.FLOOR.MATH(C155,POWER(10,MAX(0,INT(LOG10(C155)-2)))),"")</f>
        <v>540000</v>
      </c>
      <c r="H155" s="1">
        <f>IFERROR(_xlfn.FLOOR.MATH(D155,POWER(10,MAX(0,INT(LOG10(D155)-2)))),"")</f>
        <v>648000</v>
      </c>
      <c r="I155" s="1">
        <f>IFERROR(_xlfn.FLOOR.MATH(E155,POWER(10,MAX(0,INT(LOG10(E155)-2)))),"")</f>
        <v>432000</v>
      </c>
      <c r="J155" s="4" t="str">
        <f t="shared" si="10"/>
        <v>540000;648000;432000</v>
      </c>
      <c r="K155" s="1">
        <f ca="1">IFERROR(_xlfn.FLOOR.MATH($F155*控制台!K351/(控制台!O351*60)),"")</f>
        <v>31</v>
      </c>
      <c r="L155" s="1">
        <f ca="1">IFERROR(_xlfn.FLOOR.MATH($F155*控制台!L351/(控制台!P351*60)),"")</f>
        <v>23</v>
      </c>
      <c r="M155" s="1">
        <f ca="1">IFERROR(_xlfn.FLOOR.MATH($F155*控制台!M351/(控制台!Q351*60)),"")</f>
        <v>18</v>
      </c>
      <c r="N155" s="1" t="str">
        <f ca="1">IFERROR(_xlfn.FLOOR.MATH($F155*控制台!N351/(控制台!R351*60)),"")</f>
        <v/>
      </c>
      <c r="O155" s="4" t="str">
        <f ca="1">控制台!W351</f>
        <v>board;cement;steel</v>
      </c>
      <c r="P155" s="4" t="str">
        <f ca="1" t="shared" si="11"/>
        <v>31;23;18</v>
      </c>
      <c r="Q155" s="4">
        <f>_xlfn.FLOOR.MATH(K19/控制台!$H$291*控制台!$D$289,5)</f>
        <v>3240</v>
      </c>
      <c r="R155" s="4">
        <f>_xlfn.FLOOR.MATH(O19/控制台!$H$291*控制台!$D$289,5)</f>
        <v>9345</v>
      </c>
      <c r="S155" s="1" t="s">
        <v>2680</v>
      </c>
      <c r="T155" s="1" t="s">
        <v>2715</v>
      </c>
      <c r="U155" s="1">
        <f ca="1" t="shared" si="8"/>
        <v>1</v>
      </c>
    </row>
    <row r="156" spans="1:21">
      <c r="A156" s="1">
        <v>14</v>
      </c>
      <c r="B156" s="1" t="s">
        <v>167</v>
      </c>
      <c r="C156" s="1">
        <f>_xlfn.FLOOR.MATH(D21/控制台!$H$291*控制台!$D$289)</f>
        <v>900000</v>
      </c>
      <c r="D156" s="1">
        <f>_xlfn.FLOOR.MATH(E21/控制台!$H$291*控制台!$D$289)</f>
        <v>1080000</v>
      </c>
      <c r="E156" s="1">
        <f>_xlfn.FLOOR.MATH(F21/控制台!$H$291*控制台!$D$289)</f>
        <v>720000</v>
      </c>
      <c r="F156" s="1">
        <f ca="1">_xlfn.FLOOR.MATH(J21*60/控制台!$H$291*控制台!$D$289)</f>
        <v>91238</v>
      </c>
      <c r="G156" s="1">
        <f>IFERROR(_xlfn.FLOOR.MATH(C156,POWER(10,MAX(0,INT(LOG10(C156)-2)))),"")</f>
        <v>900000</v>
      </c>
      <c r="H156" s="1">
        <f>IFERROR(_xlfn.FLOOR.MATH(D156,POWER(10,MAX(0,INT(LOG10(D156)-2)))),"")</f>
        <v>1080000</v>
      </c>
      <c r="I156" s="1">
        <f>IFERROR(_xlfn.FLOOR.MATH(E156,POWER(10,MAX(0,INT(LOG10(E156)-2)))),"")</f>
        <v>720000</v>
      </c>
      <c r="J156" s="4" t="str">
        <f t="shared" si="10"/>
        <v>900000;1080000;720000</v>
      </c>
      <c r="K156" s="1">
        <f ca="1">IFERROR(_xlfn.FLOOR.MATH($F156*控制台!K352/(控制台!O352*60)),"")</f>
        <v>34</v>
      </c>
      <c r="L156" s="1">
        <f ca="1">IFERROR(_xlfn.FLOOR.MATH($F156*控制台!L352/(控制台!P352*60)),"")</f>
        <v>29</v>
      </c>
      <c r="M156" s="1">
        <f ca="1">IFERROR(_xlfn.FLOOR.MATH($F156*控制台!M352/(控制台!Q352*60)),"")</f>
        <v>22</v>
      </c>
      <c r="N156" s="1" t="str">
        <f ca="1">IFERROR(_xlfn.FLOOR.MATH($F156*控制台!N352/(控制台!R352*60)),"")</f>
        <v/>
      </c>
      <c r="O156" s="4" t="str">
        <f ca="1">控制台!W352</f>
        <v>brick;cement;steel</v>
      </c>
      <c r="P156" s="4" t="str">
        <f ca="1" t="shared" si="11"/>
        <v>34;29;22</v>
      </c>
      <c r="Q156" s="4">
        <f>_xlfn.FLOOR.MATH(K20/控制台!$H$291*控制台!$D$289,5)</f>
        <v>6480</v>
      </c>
      <c r="R156" s="4">
        <f>_xlfn.FLOOR.MATH(O20/控制台!$H$291*控制台!$D$289,5)</f>
        <v>12495</v>
      </c>
      <c r="S156" s="1" t="s">
        <v>2682</v>
      </c>
      <c r="T156" s="1" t="s">
        <v>2716</v>
      </c>
      <c r="U156" s="1">
        <f ca="1" t="shared" si="8"/>
        <v>1</v>
      </c>
    </row>
    <row r="157" spans="1:21">
      <c r="A157" s="1">
        <v>15</v>
      </c>
      <c r="B157" s="1" t="s">
        <v>167</v>
      </c>
      <c r="C157" s="1">
        <f>_xlfn.FLOOR.MATH(D22/控制台!$H$291*控制台!$D$289)</f>
        <v>1080000</v>
      </c>
      <c r="D157" s="1">
        <f>_xlfn.FLOOR.MATH(E22/控制台!$H$291*控制台!$D$289)</f>
        <v>1296000</v>
      </c>
      <c r="E157" s="1">
        <f>_xlfn.FLOOR.MATH(F22/控制台!$H$291*控制台!$D$289)</f>
        <v>864000</v>
      </c>
      <c r="F157" s="1">
        <f ca="1">_xlfn.FLOOR.MATH(J22*60/控制台!$H$291*控制台!$D$289)</f>
        <v>114048</v>
      </c>
      <c r="G157" s="1">
        <f>IFERROR(_xlfn.FLOOR.MATH(C157,POWER(10,MAX(0,INT(LOG10(C157)-2)))),"")</f>
        <v>1080000</v>
      </c>
      <c r="H157" s="1">
        <f>IFERROR(_xlfn.FLOOR.MATH(D157,POWER(10,MAX(0,INT(LOG10(D157)-2)))),"")</f>
        <v>1290000</v>
      </c>
      <c r="I157" s="1">
        <f>IFERROR(_xlfn.FLOOR.MATH(E157,POWER(10,MAX(0,INT(LOG10(E157)-2)))),"")</f>
        <v>864000</v>
      </c>
      <c r="J157" s="4" t="str">
        <f t="shared" si="10"/>
        <v>1080000;1290000;864000</v>
      </c>
      <c r="K157" s="1">
        <f ca="1">IFERROR(_xlfn.FLOOR.MATH($F157*控制台!K353/(控制台!O353*60)),"")</f>
        <v>77</v>
      </c>
      <c r="L157" s="1">
        <f ca="1">IFERROR(_xlfn.FLOOR.MATH($F157*控制台!L353/(控制台!P353*60)),"")</f>
        <v>67</v>
      </c>
      <c r="M157" s="1">
        <f ca="1">IFERROR(_xlfn.FLOOR.MATH($F157*控制台!M353/(控制台!Q353*60)),"")</f>
        <v>44</v>
      </c>
      <c r="N157" s="1" t="str">
        <f ca="1">IFERROR(_xlfn.FLOOR.MATH($F157*控制台!N353/(控制台!R353*60)),"")</f>
        <v/>
      </c>
      <c r="O157" s="4" t="str">
        <f ca="1">控制台!W353</f>
        <v>board;brick;steel</v>
      </c>
      <c r="P157" s="4" t="str">
        <f ca="1" t="shared" si="11"/>
        <v>77;67;44</v>
      </c>
      <c r="Q157" s="4">
        <f>_xlfn.FLOOR.MATH(K21/控制台!$H$291*控制台!$D$289,5)</f>
        <v>10800</v>
      </c>
      <c r="R157" s="4">
        <f>_xlfn.FLOOR.MATH(O21/控制台!$H$291*控制台!$D$289,5)</f>
        <v>16805</v>
      </c>
      <c r="S157" s="1" t="s">
        <v>2684</v>
      </c>
      <c r="T157" s="1" t="s">
        <v>2717</v>
      </c>
      <c r="U157" s="1">
        <f ca="1" t="shared" si="8"/>
        <v>1</v>
      </c>
    </row>
    <row r="158" spans="1:21">
      <c r="A158" s="1">
        <v>16</v>
      </c>
      <c r="B158" s="1" t="s">
        <v>167</v>
      </c>
      <c r="C158" s="1">
        <f>_xlfn.FLOOR.MATH(D23/控制台!$H$291*控制台!$D$289)</f>
        <v>1260000</v>
      </c>
      <c r="D158" s="1">
        <f>_xlfn.FLOOR.MATH(E23/控制台!$H$291*控制台!$D$289)</f>
        <v>1512000</v>
      </c>
      <c r="E158" s="1">
        <f>_xlfn.FLOOR.MATH(F23/控制台!$H$291*控制台!$D$289)</f>
        <v>1008000</v>
      </c>
      <c r="F158" s="1">
        <f ca="1">_xlfn.FLOOR.MATH(J23*60/控制台!$H$291*控制台!$D$289)</f>
        <v>136857</v>
      </c>
      <c r="G158" s="1">
        <f>IFERROR(_xlfn.FLOOR.MATH(C158,POWER(10,MAX(0,INT(LOG10(C158)-2)))),"")</f>
        <v>1260000</v>
      </c>
      <c r="H158" s="1">
        <f>IFERROR(_xlfn.FLOOR.MATH(D158,POWER(10,MAX(0,INT(LOG10(D158)-2)))),"")</f>
        <v>1510000</v>
      </c>
      <c r="I158" s="1">
        <f>IFERROR(_xlfn.FLOOR.MATH(E158,POWER(10,MAX(0,INT(LOG10(E158)-2)))),"")</f>
        <v>1000000</v>
      </c>
      <c r="J158" s="4" t="str">
        <f t="shared" si="10"/>
        <v>1260000;1510000;1000000</v>
      </c>
      <c r="K158" s="1">
        <f ca="1">IFERROR(_xlfn.FLOOR.MATH($F158*控制台!K354/(控制台!O354*60)),"")</f>
        <v>51</v>
      </c>
      <c r="L158" s="1">
        <f ca="1">IFERROR(_xlfn.FLOOR.MATH($F158*控制台!L354/(控制台!P354*60)),"")</f>
        <v>44</v>
      </c>
      <c r="M158" s="1">
        <f ca="1">IFERROR(_xlfn.FLOOR.MATH($F158*控制台!M354/(控制台!Q354*60)),"")</f>
        <v>33</v>
      </c>
      <c r="N158" s="1" t="str">
        <f ca="1">IFERROR(_xlfn.FLOOR.MATH($F158*控制台!N354/(控制台!R354*60)),"")</f>
        <v/>
      </c>
      <c r="O158" s="4" t="str">
        <f ca="1">控制台!W354</f>
        <v>brick;cement;steel</v>
      </c>
      <c r="P158" s="4" t="str">
        <f ca="1" t="shared" si="11"/>
        <v>51;44;33</v>
      </c>
      <c r="Q158" s="4">
        <f>_xlfn.FLOOR.MATH(K22/控制台!$H$291*控制台!$D$289,5)</f>
        <v>12960</v>
      </c>
      <c r="R158" s="4">
        <f>_xlfn.FLOOR.MATH(O22/控制台!$H$291*控制台!$D$289,5)</f>
        <v>22170</v>
      </c>
      <c r="S158" s="1" t="s">
        <v>2682</v>
      </c>
      <c r="T158" s="1" t="s">
        <v>2683</v>
      </c>
      <c r="U158" s="1">
        <f ca="1" t="shared" si="8"/>
        <v>1</v>
      </c>
    </row>
    <row r="159" spans="1:21">
      <c r="A159" s="1">
        <v>17</v>
      </c>
      <c r="B159" s="1" t="s">
        <v>167</v>
      </c>
      <c r="C159" s="1">
        <f>_xlfn.FLOOR.MATH(D24/控制台!$H$291*控制台!$D$289)</f>
        <v>1980000</v>
      </c>
      <c r="D159" s="1">
        <f>_xlfn.FLOOR.MATH(E24/控制台!$H$291*控制台!$D$289)</f>
        <v>2376000</v>
      </c>
      <c r="E159" s="1">
        <f>_xlfn.FLOOR.MATH(F24/控制台!$H$291*控制台!$D$289)</f>
        <v>1584000</v>
      </c>
      <c r="F159" s="1">
        <f ca="1">_xlfn.FLOOR.MATH(J24*60/控制台!$H$291*控制台!$D$289)</f>
        <v>159667</v>
      </c>
      <c r="G159" s="1">
        <f>IFERROR(_xlfn.FLOOR.MATH(C159,POWER(10,MAX(0,INT(LOG10(C159)-2)))),"")</f>
        <v>1980000</v>
      </c>
      <c r="H159" s="1">
        <f>IFERROR(_xlfn.FLOOR.MATH(D159,POWER(10,MAX(0,INT(LOG10(D159)-2)))),"")</f>
        <v>2370000</v>
      </c>
      <c r="I159" s="1">
        <f>IFERROR(_xlfn.FLOOR.MATH(E159,POWER(10,MAX(0,INT(LOG10(E159)-2)))),"")</f>
        <v>1580000</v>
      </c>
      <c r="J159" s="4" t="str">
        <f t="shared" si="10"/>
        <v>1980000;2370000;1580000</v>
      </c>
      <c r="K159" s="1">
        <f ca="1">IFERROR(_xlfn.FLOOR.MATH($F159*控制台!K355/(控制台!O355*60)),"")</f>
        <v>73</v>
      </c>
      <c r="L159" s="1">
        <f ca="1">IFERROR(_xlfn.FLOOR.MATH($F159*控制台!L355/(控制台!P355*60)),"")</f>
        <v>55</v>
      </c>
      <c r="M159" s="1">
        <f ca="1">IFERROR(_xlfn.FLOOR.MATH($F159*控制台!M355/(控制台!Q355*60)),"")</f>
        <v>42</v>
      </c>
      <c r="N159" s="1" t="str">
        <f ca="1">IFERROR(_xlfn.FLOOR.MATH($F159*控制台!N355/(控制台!R355*60)),"")</f>
        <v/>
      </c>
      <c r="O159" s="4" t="str">
        <f ca="1">控制台!W355</f>
        <v>board;cement;steel</v>
      </c>
      <c r="P159" s="4" t="str">
        <f ca="1" t="shared" si="11"/>
        <v>73;55;42</v>
      </c>
      <c r="Q159" s="4">
        <f>_xlfn.FLOOR.MATH(K23/控制台!$H$291*控制台!$D$289,5)</f>
        <v>15120</v>
      </c>
      <c r="R159" s="4">
        <f>_xlfn.FLOOR.MATH(O23/控制台!$H$291*控制台!$D$289,5)</f>
        <v>28580</v>
      </c>
      <c r="S159" s="1" t="s">
        <v>2680</v>
      </c>
      <c r="T159" s="1" t="s">
        <v>2718</v>
      </c>
      <c r="U159" s="1">
        <f ca="1" t="shared" si="8"/>
        <v>1</v>
      </c>
    </row>
    <row r="160" spans="1:21">
      <c r="A160" s="1">
        <v>18</v>
      </c>
      <c r="B160" s="1" t="s">
        <v>167</v>
      </c>
      <c r="C160" s="1">
        <f>_xlfn.FLOOR.MATH(D25/控制台!$H$291*控制台!$D$289)</f>
        <v>2250000</v>
      </c>
      <c r="D160" s="1">
        <f>_xlfn.FLOOR.MATH(E25/控制台!$H$291*控制台!$D$289)</f>
        <v>2700000</v>
      </c>
      <c r="E160" s="1">
        <f>_xlfn.FLOOR.MATH(F25/控制台!$H$291*控制台!$D$289)</f>
        <v>1800000</v>
      </c>
      <c r="F160" s="1">
        <f ca="1">_xlfn.FLOOR.MATH(J25*60/控制台!$H$291*控制台!$D$289)</f>
        <v>182476</v>
      </c>
      <c r="G160" s="1">
        <f>IFERROR(_xlfn.FLOOR.MATH(C160,POWER(10,MAX(0,INT(LOG10(C160)-2)))),"")</f>
        <v>2250000</v>
      </c>
      <c r="H160" s="1">
        <f>IFERROR(_xlfn.FLOOR.MATH(D160,POWER(10,MAX(0,INT(LOG10(D160)-2)))),"")</f>
        <v>2700000</v>
      </c>
      <c r="I160" s="1">
        <f>IFERROR(_xlfn.FLOOR.MATH(E160,POWER(10,MAX(0,INT(LOG10(E160)-2)))),"")</f>
        <v>1800000</v>
      </c>
      <c r="J160" s="4" t="str">
        <f t="shared" si="10"/>
        <v>2250000;2700000;1800000</v>
      </c>
      <c r="K160" s="1">
        <f ca="1">IFERROR(_xlfn.FLOOR.MATH($F160*控制台!K356/(控制台!O356*60)),"")</f>
        <v>69</v>
      </c>
      <c r="L160" s="1">
        <f ca="1">IFERROR(_xlfn.FLOOR.MATH($F160*控制台!L356/(控制台!P356*60)),"")</f>
        <v>59</v>
      </c>
      <c r="M160" s="1">
        <f ca="1">IFERROR(_xlfn.FLOOR.MATH($F160*控制台!M356/(控制台!Q356*60)),"")</f>
        <v>45</v>
      </c>
      <c r="N160" s="1" t="str">
        <f ca="1">IFERROR(_xlfn.FLOOR.MATH($F160*控制台!N356/(控制台!R356*60)),"")</f>
        <v/>
      </c>
      <c r="O160" s="4" t="str">
        <f ca="1">控制台!W356</f>
        <v>brick;cement;steel</v>
      </c>
      <c r="P160" s="4" t="str">
        <f ca="1" t="shared" si="11"/>
        <v>69;59;45</v>
      </c>
      <c r="Q160" s="4">
        <f>_xlfn.FLOOR.MATH(K24/控制台!$H$291*控制台!$D$289,5)</f>
        <v>23760</v>
      </c>
      <c r="R160" s="4">
        <f>_xlfn.FLOOR.MATH(O24/控制台!$H$291*控制台!$D$289,5)</f>
        <v>36380</v>
      </c>
      <c r="S160" s="1" t="s">
        <v>2682</v>
      </c>
      <c r="T160" s="1" t="s">
        <v>2719</v>
      </c>
      <c r="U160" s="1">
        <f ca="1" t="shared" si="8"/>
        <v>1</v>
      </c>
    </row>
    <row r="161" spans="1:21">
      <c r="A161" s="1">
        <v>19</v>
      </c>
      <c r="B161" s="1" t="s">
        <v>167</v>
      </c>
      <c r="C161" s="1">
        <f>_xlfn.FLOOR.MATH(D26/控制台!$H$291*控制台!$D$289)</f>
        <v>2520000</v>
      </c>
      <c r="D161" s="1">
        <f>_xlfn.FLOOR.MATH(E26/控制台!$H$291*控制台!$D$289)</f>
        <v>3024000</v>
      </c>
      <c r="E161" s="1">
        <f>_xlfn.FLOOR.MATH(F26/控制台!$H$291*控制台!$D$289)</f>
        <v>2016000</v>
      </c>
      <c r="F161" s="1">
        <f ca="1">_xlfn.FLOOR.MATH(J26*60/控制台!$H$291*控制台!$D$289)</f>
        <v>251942</v>
      </c>
      <c r="G161" s="1">
        <f>IFERROR(_xlfn.FLOOR.MATH(C161,POWER(10,MAX(0,INT(LOG10(C161)-2)))),"")</f>
        <v>2520000</v>
      </c>
      <c r="H161" s="1">
        <f>IFERROR(_xlfn.FLOOR.MATH(D161,POWER(10,MAX(0,INT(LOG10(D161)-2)))),"")</f>
        <v>3020000</v>
      </c>
      <c r="I161" s="1">
        <f>IFERROR(_xlfn.FLOOR.MATH(E161,POWER(10,MAX(0,INT(LOG10(E161)-2)))),"")</f>
        <v>2010000</v>
      </c>
      <c r="J161" s="4" t="str">
        <f t="shared" si="10"/>
        <v>2520000;3020000;2010000</v>
      </c>
      <c r="K161" s="1">
        <f ca="1">IFERROR(_xlfn.FLOOR.MATH($F161*控制台!K357/(控制台!O357*60)),"")</f>
        <v>106</v>
      </c>
      <c r="L161" s="1">
        <f ca="1">IFERROR(_xlfn.FLOOR.MATH($F161*控制台!L357/(控制台!P357*60)),"")</f>
        <v>93</v>
      </c>
      <c r="M161" s="1">
        <f ca="1">IFERROR(_xlfn.FLOOR.MATH($F161*控制台!M357/(控制台!Q357*60)),"")</f>
        <v>79</v>
      </c>
      <c r="N161" s="1">
        <f ca="1">IFERROR(_xlfn.FLOOR.MATH($F161*控制台!N357/(控制台!R357*60)),"")</f>
        <v>60</v>
      </c>
      <c r="O161" s="4" t="str">
        <f ca="1">控制台!W357</f>
        <v>board;brick;cement;steel</v>
      </c>
      <c r="P161" s="4" t="str">
        <f ca="1" t="shared" si="11"/>
        <v>106;93;79;60</v>
      </c>
      <c r="Q161" s="4">
        <f>_xlfn.FLOOR.MATH(K25/控制台!$H$291*控制台!$D$289,5)</f>
        <v>27000</v>
      </c>
      <c r="R161" s="4">
        <f>_xlfn.FLOOR.MATH(O25/控制台!$H$291*控制台!$D$289,5)</f>
        <v>45290</v>
      </c>
      <c r="S161" s="1" t="s">
        <v>2689</v>
      </c>
      <c r="T161" s="1" t="s">
        <v>2720</v>
      </c>
      <c r="U161" s="1">
        <f ca="1" t="shared" si="8"/>
        <v>1</v>
      </c>
    </row>
    <row r="162" spans="1:21">
      <c r="A162" s="1">
        <v>20</v>
      </c>
      <c r="B162" s="1" t="s">
        <v>167</v>
      </c>
      <c r="C162" s="1">
        <f>_xlfn.FLOOR.MATH(D27/控制台!$H$291*控制台!$D$289)</f>
        <v>2790000</v>
      </c>
      <c r="D162" s="1">
        <f>_xlfn.FLOOR.MATH(E27/控制台!$H$291*控制台!$D$289)</f>
        <v>3348000</v>
      </c>
      <c r="E162" s="1">
        <f>_xlfn.FLOOR.MATH(F27/控制台!$H$291*控制台!$D$289)</f>
        <v>2232000</v>
      </c>
      <c r="F162" s="1">
        <f ca="1">_xlfn.FLOOR.MATH(J27*60/控制台!$H$291*控制台!$D$289)</f>
        <v>279936</v>
      </c>
      <c r="G162" s="1">
        <f>IFERROR(_xlfn.FLOOR.MATH(C162,POWER(10,MAX(0,INT(LOG10(C162)-2)))),"")</f>
        <v>2790000</v>
      </c>
      <c r="H162" s="1">
        <f>IFERROR(_xlfn.FLOOR.MATH(D162,POWER(10,MAX(0,INT(LOG10(D162)-2)))),"")</f>
        <v>3340000</v>
      </c>
      <c r="I162" s="1">
        <f>IFERROR(_xlfn.FLOOR.MATH(E162,POWER(10,MAX(0,INT(LOG10(E162)-2)))),"")</f>
        <v>2230000</v>
      </c>
      <c r="J162" s="4" t="str">
        <f t="shared" si="10"/>
        <v>2790000;3340000;2230000</v>
      </c>
      <c r="K162" s="1">
        <f ca="1">IFERROR(_xlfn.FLOOR.MATH($F162*控制台!K358/(控制台!O358*60)),"")</f>
        <v>64</v>
      </c>
      <c r="L162" s="1">
        <f ca="1">IFERROR(_xlfn.FLOOR.MATH($F162*控制台!L358/(控制台!P358*60)),"")</f>
        <v>55</v>
      </c>
      <c r="M162" s="1">
        <f ca="1">IFERROR(_xlfn.FLOOR.MATH($F162*控制台!M358/(控制台!Q358*60)),"")</f>
        <v>41</v>
      </c>
      <c r="N162" s="1">
        <f ca="1">IFERROR(_xlfn.FLOOR.MATH($F162*控制台!N358/(控制台!R358*60)),"")</f>
        <v>36</v>
      </c>
      <c r="O162" s="4" t="str">
        <f ca="1">控制台!W358</f>
        <v>brick;cement;steel;pitch</v>
      </c>
      <c r="P162" s="4" t="str">
        <f ca="1" t="shared" si="11"/>
        <v>64;55;41;36</v>
      </c>
      <c r="Q162" s="4">
        <f>_xlfn.FLOOR.MATH(K26/控制台!$H$291*控制台!$D$289,5)</f>
        <v>30240</v>
      </c>
      <c r="R162" s="4">
        <f>_xlfn.FLOOR.MATH(O26/控制台!$H$291*控制台!$D$289,5)</f>
        <v>55300</v>
      </c>
      <c r="S162" s="1" t="s">
        <v>2691</v>
      </c>
      <c r="T162" s="1" t="s">
        <v>2721</v>
      </c>
      <c r="U162" s="1">
        <f ca="1" t="shared" si="8"/>
        <v>1</v>
      </c>
    </row>
    <row r="163" spans="1:21">
      <c r="A163" s="1">
        <v>21</v>
      </c>
      <c r="B163" s="1" t="s">
        <v>167</v>
      </c>
      <c r="C163" s="1">
        <f>_xlfn.FLOOR.MATH(D28/控制台!$H$291*控制台!$D$289)</f>
        <v>2970000</v>
      </c>
      <c r="D163" s="1">
        <f>_xlfn.FLOOR.MATH(E28/控制台!$H$291*控制台!$D$289)</f>
        <v>3564000</v>
      </c>
      <c r="E163" s="1">
        <f>_xlfn.FLOOR.MATH(F28/控制台!$H$291*控制台!$D$289)</f>
        <v>2376000</v>
      </c>
      <c r="F163" s="1">
        <f ca="1">_xlfn.FLOOR.MATH(J28*60/控制台!$H$291*控制台!$D$289)</f>
        <v>307929</v>
      </c>
      <c r="G163" s="1">
        <f>IFERROR(_xlfn.FLOOR.MATH(C163,POWER(10,MAX(0,INT(LOG10(C163)-2)))),"")</f>
        <v>2970000</v>
      </c>
      <c r="H163" s="1">
        <f>IFERROR(_xlfn.FLOOR.MATH(D163,POWER(10,MAX(0,INT(LOG10(D163)-2)))),"")</f>
        <v>3560000</v>
      </c>
      <c r="I163" s="1">
        <f>IFERROR(_xlfn.FLOOR.MATH(E163,POWER(10,MAX(0,INT(LOG10(E163)-2)))),"")</f>
        <v>2370000</v>
      </c>
      <c r="J163" s="4" t="str">
        <f t="shared" si="10"/>
        <v>2970000;3560000;2370000</v>
      </c>
      <c r="K163" s="1">
        <f ca="1">IFERROR(_xlfn.FLOOR.MATH($F163*控制台!K359/(控制台!O359*60)),"")</f>
        <v>103</v>
      </c>
      <c r="L163" s="1">
        <f ca="1">IFERROR(_xlfn.FLOOR.MATH($F163*控制台!L359/(控制台!P359*60)),"")</f>
        <v>90</v>
      </c>
      <c r="M163" s="1">
        <f ca="1">IFERROR(_xlfn.FLOOR.MATH($F163*控制台!M359/(控制台!Q359*60)),"")</f>
        <v>59</v>
      </c>
      <c r="N163" s="1">
        <f ca="1">IFERROR(_xlfn.FLOOR.MATH($F163*控制台!N359/(控制台!R359*60)),"")</f>
        <v>51</v>
      </c>
      <c r="O163" s="4" t="str">
        <f ca="1">控制台!W359</f>
        <v>board;brick;steel;pitch</v>
      </c>
      <c r="P163" s="4" t="str">
        <f ca="1" t="shared" si="11"/>
        <v>103;90;59;51</v>
      </c>
      <c r="Q163" s="4">
        <f>_xlfn.FLOOR.MATH(K27/控制台!$H$291*控制台!$D$289,5)</f>
        <v>33480</v>
      </c>
      <c r="R163" s="4">
        <f>_xlfn.FLOOR.MATH(O27/控制台!$H$291*控制台!$D$289,5)</f>
        <v>66420</v>
      </c>
      <c r="S163" s="1" t="s">
        <v>2693</v>
      </c>
      <c r="T163" s="1" t="s">
        <v>2722</v>
      </c>
      <c r="U163" s="1">
        <f ca="1" t="shared" si="8"/>
        <v>1</v>
      </c>
    </row>
    <row r="164" spans="1:21">
      <c r="A164" s="1">
        <v>22</v>
      </c>
      <c r="B164" s="1" t="s">
        <v>167</v>
      </c>
      <c r="C164" s="1">
        <f>_xlfn.FLOOR.MATH(D29/控制台!$H$291*控制台!$D$289)</f>
        <v>4050000</v>
      </c>
      <c r="D164" s="1">
        <f>_xlfn.FLOOR.MATH(E29/控制台!$H$291*控制台!$D$289)</f>
        <v>4860000</v>
      </c>
      <c r="E164" s="1">
        <f>_xlfn.FLOOR.MATH(F29/控制台!$H$291*控制台!$D$289)</f>
        <v>3240000</v>
      </c>
      <c r="F164" s="1">
        <f ca="1">_xlfn.FLOOR.MATH(J29*60/控制台!$H$291*控制台!$D$289)</f>
        <v>348364</v>
      </c>
      <c r="G164" s="1">
        <f>IFERROR(_xlfn.FLOOR.MATH(C164,POWER(10,MAX(0,INT(LOG10(C164)-2)))),"")</f>
        <v>4050000</v>
      </c>
      <c r="H164" s="1">
        <f>IFERROR(_xlfn.FLOOR.MATH(D164,POWER(10,MAX(0,INT(LOG10(D164)-2)))),"")</f>
        <v>4860000</v>
      </c>
      <c r="I164" s="1">
        <f>IFERROR(_xlfn.FLOOR.MATH(E164,POWER(10,MAX(0,INT(LOG10(E164)-2)))),"")</f>
        <v>3240000</v>
      </c>
      <c r="J164" s="4" t="str">
        <f t="shared" si="10"/>
        <v>4050000;4860000;3240000</v>
      </c>
      <c r="K164" s="1">
        <f ca="1">IFERROR(_xlfn.FLOOR.MATH($F164*控制台!K360/(控制台!O360*60)),"")</f>
        <v>80</v>
      </c>
      <c r="L164" s="1">
        <f ca="1">IFERROR(_xlfn.FLOOR.MATH($F164*控制台!L360/(控制台!P360*60)),"")</f>
        <v>68</v>
      </c>
      <c r="M164" s="1">
        <f ca="1">IFERROR(_xlfn.FLOOR.MATH($F164*控制台!M360/(控制台!Q360*60)),"")</f>
        <v>52</v>
      </c>
      <c r="N164" s="1">
        <f ca="1">IFERROR(_xlfn.FLOOR.MATH($F164*控制台!N360/(控制台!R360*60)),"")</f>
        <v>45</v>
      </c>
      <c r="O164" s="4" t="str">
        <f ca="1">控制台!W360</f>
        <v>brick;cement;steel;pitch</v>
      </c>
      <c r="P164" s="4" t="str">
        <f ca="1" t="shared" si="11"/>
        <v>80;68;52;45</v>
      </c>
      <c r="Q164" s="4">
        <f>_xlfn.FLOOR.MATH(K28/控制台!$H$291*控制台!$D$289,5)</f>
        <v>35640</v>
      </c>
      <c r="R164" s="4">
        <f>_xlfn.FLOOR.MATH(O28/控制台!$H$291*控制台!$D$289,5)</f>
        <v>78590</v>
      </c>
      <c r="S164" s="1" t="s">
        <v>2691</v>
      </c>
      <c r="T164" s="1" t="s">
        <v>2723</v>
      </c>
      <c r="U164" s="1">
        <f ca="1" t="shared" si="8"/>
        <v>1</v>
      </c>
    </row>
    <row r="165" spans="1:21">
      <c r="A165" s="1">
        <v>23</v>
      </c>
      <c r="B165" s="1" t="s">
        <v>167</v>
      </c>
      <c r="C165" s="1">
        <f>_xlfn.FLOOR.MATH(D30/控制台!$H$291*控制台!$D$289)</f>
        <v>9900000</v>
      </c>
      <c r="D165" s="1">
        <f>_xlfn.FLOOR.MATH(E30/控制台!$H$291*控制台!$D$289)</f>
        <v>11880000</v>
      </c>
      <c r="E165" s="1">
        <f>_xlfn.FLOOR.MATH(F30/控制台!$H$291*控制台!$D$289)</f>
        <v>7920000</v>
      </c>
      <c r="F165" s="1">
        <f ca="1">_xlfn.FLOOR.MATH(J30*60/控制台!$H$291*控制台!$D$289)</f>
        <v>580608</v>
      </c>
      <c r="G165" s="1">
        <f>IFERROR(_xlfn.FLOOR.MATH(C165,POWER(10,MAX(0,INT(LOG10(C165)-2)))),"")</f>
        <v>9900000</v>
      </c>
      <c r="H165" s="1">
        <f>IFERROR(_xlfn.FLOOR.MATH(D165,POWER(10,MAX(0,INT(LOG10(D165)-2)))),"")</f>
        <v>11800000</v>
      </c>
      <c r="I165" s="1">
        <f>IFERROR(_xlfn.FLOOR.MATH(E165,POWER(10,MAX(0,INT(LOG10(E165)-2)))),"")</f>
        <v>7920000</v>
      </c>
      <c r="J165" s="4" t="str">
        <f t="shared" si="10"/>
        <v>9900000;11800000;7920000</v>
      </c>
      <c r="K165" s="1">
        <f ca="1">IFERROR(_xlfn.FLOOR.MATH($F165*控制台!K361/(控制台!O361*60)),"")</f>
        <v>158</v>
      </c>
      <c r="L165" s="1">
        <f ca="1">IFERROR(_xlfn.FLOOR.MATH($F165*控制台!L361/(控制台!P361*60)),"")</f>
        <v>118</v>
      </c>
      <c r="M165" s="1">
        <f ca="1">IFERROR(_xlfn.FLOOR.MATH($F165*控制台!M361/(控制台!Q361*60)),"")</f>
        <v>90</v>
      </c>
      <c r="N165" s="1">
        <f ca="1">IFERROR(_xlfn.FLOOR.MATH($F165*控制台!N361/(控制台!R361*60)),"")</f>
        <v>79</v>
      </c>
      <c r="O165" s="4" t="str">
        <f ca="1">控制台!W361</f>
        <v>board;cement;steel;pitch</v>
      </c>
      <c r="P165" s="4" t="str">
        <f ca="1" t="shared" si="11"/>
        <v>158;118;90;79</v>
      </c>
      <c r="Q165" s="4">
        <f>_xlfn.FLOOR.MATH(K29/控制台!$H$291*控制台!$D$289,5)</f>
        <v>48600</v>
      </c>
      <c r="R165" s="4">
        <f>_xlfn.FLOOR.MATH(O29/控制台!$H$291*控制台!$D$289,5)</f>
        <v>92370</v>
      </c>
      <c r="S165" s="1" t="s">
        <v>2696</v>
      </c>
      <c r="T165" s="1" t="s">
        <v>2724</v>
      </c>
      <c r="U165" s="1">
        <f ca="1" t="shared" si="8"/>
        <v>1</v>
      </c>
    </row>
    <row r="166" spans="1:21">
      <c r="A166" s="1">
        <v>24</v>
      </c>
      <c r="B166" s="1" t="s">
        <v>167</v>
      </c>
      <c r="C166" s="1">
        <f>_xlfn.FLOOR.MATH(D31/控制台!$H$291*控制台!$D$289)</f>
        <v>12600000</v>
      </c>
      <c r="D166" s="1">
        <f>_xlfn.FLOOR.MATH(E31/控制台!$H$291*控制台!$D$289)</f>
        <v>15120000</v>
      </c>
      <c r="E166" s="1">
        <f>_xlfn.FLOOR.MATH(F31/控制台!$H$291*控制台!$D$289)</f>
        <v>10080000</v>
      </c>
      <c r="F166" s="1">
        <f ca="1">_xlfn.FLOOR.MATH(J31*60/控制台!$H$291*控制台!$D$289)</f>
        <v>870912</v>
      </c>
      <c r="G166" s="1">
        <f>IFERROR(_xlfn.FLOOR.MATH(C166,POWER(10,MAX(0,INT(LOG10(C166)-2)))),"")</f>
        <v>12600000</v>
      </c>
      <c r="H166" s="1">
        <f>IFERROR(_xlfn.FLOOR.MATH(D166,POWER(10,MAX(0,INT(LOG10(D166)-2)))),"")</f>
        <v>15100000</v>
      </c>
      <c r="I166" s="1">
        <f>IFERROR(_xlfn.FLOOR.MATH(E166,POWER(10,MAX(0,INT(LOG10(E166)-2)))),"")</f>
        <v>10000000</v>
      </c>
      <c r="J166" s="4" t="str">
        <f t="shared" si="10"/>
        <v>12600000;15100000;10000000</v>
      </c>
      <c r="K166" s="1">
        <f ca="1">IFERROR(_xlfn.FLOOR.MATH($F166*控制台!K362/(控制台!O362*60)),"")</f>
        <v>200</v>
      </c>
      <c r="L166" s="1">
        <f ca="1">IFERROR(_xlfn.FLOOR.MATH($F166*控制台!L362/(控制台!P362*60)),"")</f>
        <v>171</v>
      </c>
      <c r="M166" s="1">
        <f ca="1">IFERROR(_xlfn.FLOOR.MATH($F166*控制台!M362/(控制台!Q362*60)),"")</f>
        <v>130</v>
      </c>
      <c r="N166" s="1">
        <f ca="1">IFERROR(_xlfn.FLOOR.MATH($F166*控制台!N362/(控制台!R362*60)),"")</f>
        <v>114</v>
      </c>
      <c r="O166" s="4" t="str">
        <f ca="1">控制台!W362</f>
        <v>brick;cement;steel;pitch</v>
      </c>
      <c r="P166" s="4" t="str">
        <f ca="1" t="shared" si="11"/>
        <v>200;171;130;114</v>
      </c>
      <c r="Q166" s="4">
        <f>_xlfn.FLOOR.MATH(K30/控制台!$H$291*控制台!$D$289,5)</f>
        <v>118800</v>
      </c>
      <c r="R166" s="4">
        <f>_xlfn.FLOOR.MATH(O30/控制台!$H$291*控制台!$D$289,5)</f>
        <v>117305</v>
      </c>
      <c r="S166" s="1" t="s">
        <v>2691</v>
      </c>
      <c r="T166" s="1" t="s">
        <v>2725</v>
      </c>
      <c r="U166" s="1">
        <f ca="1" t="shared" si="8"/>
        <v>1</v>
      </c>
    </row>
    <row r="167" spans="1:21">
      <c r="A167" s="1">
        <v>25</v>
      </c>
      <c r="B167" s="1" t="s">
        <v>167</v>
      </c>
      <c r="C167" s="1">
        <f>_xlfn.FLOOR.MATH(D32/控制台!$H$291*控制台!$D$289)</f>
        <v>14400000</v>
      </c>
      <c r="D167" s="1">
        <f>_xlfn.FLOOR.MATH(E32/控制台!$H$291*控制台!$D$289)</f>
        <v>17280000</v>
      </c>
      <c r="E167" s="1">
        <f>_xlfn.FLOOR.MATH(F32/控制台!$H$291*控制台!$D$289)</f>
        <v>11520000</v>
      </c>
      <c r="F167" s="1">
        <f ca="1">_xlfn.FLOOR.MATH(J32*60/控制台!$H$291*控制台!$D$289)</f>
        <v>1161216</v>
      </c>
      <c r="G167" s="1">
        <f>IFERROR(_xlfn.FLOOR.MATH(C167,POWER(10,MAX(0,INT(LOG10(C167)-2)))),"")</f>
        <v>14400000</v>
      </c>
      <c r="H167" s="1">
        <f>IFERROR(_xlfn.FLOOR.MATH(D167,POWER(10,MAX(0,INT(LOG10(D167)-2)))),"")</f>
        <v>17200000</v>
      </c>
      <c r="I167" s="1">
        <f>IFERROR(_xlfn.FLOOR.MATH(E167,POWER(10,MAX(0,INT(LOG10(E167)-2)))),"")</f>
        <v>11500000</v>
      </c>
      <c r="J167" s="4" t="str">
        <f t="shared" si="10"/>
        <v>14400000;17200000;11500000</v>
      </c>
      <c r="K167" s="1">
        <f ca="1">IFERROR(_xlfn.FLOOR.MATH($F167*控制台!K363/(控制台!O363*60)),"")</f>
        <v>317</v>
      </c>
      <c r="L167" s="1">
        <f ca="1">IFERROR(_xlfn.FLOOR.MATH($F167*控制台!L363/(控制台!P363*60)),"")</f>
        <v>237</v>
      </c>
      <c r="M167" s="1">
        <f ca="1">IFERROR(_xlfn.FLOOR.MATH($F167*控制台!M363/(控制台!Q363*60)),"")</f>
        <v>181</v>
      </c>
      <c r="N167" s="1">
        <f ca="1">IFERROR(_xlfn.FLOOR.MATH($F167*控制台!N363/(控制台!R363*60)),"")</f>
        <v>158</v>
      </c>
      <c r="O167" s="4" t="str">
        <f ca="1">控制台!W363</f>
        <v>board;cement;steel;pitch</v>
      </c>
      <c r="P167" s="4" t="str">
        <f ca="1" t="shared" si="11"/>
        <v>317;237;181;158</v>
      </c>
      <c r="Q167" s="4">
        <f>_xlfn.FLOOR.MATH(K31/控制台!$H$291*控制台!$D$289,5)</f>
        <v>151200</v>
      </c>
      <c r="R167" s="4">
        <f>_xlfn.FLOOR.MATH(O31/控制台!$H$291*控制台!$D$289,5)</f>
        <v>153305</v>
      </c>
      <c r="S167" s="1" t="s">
        <v>2696</v>
      </c>
      <c r="T167" s="1" t="s">
        <v>2726</v>
      </c>
      <c r="U167" s="1">
        <f ca="1" t="shared" si="8"/>
        <v>1</v>
      </c>
    </row>
    <row r="168" spans="1:21">
      <c r="A168" s="1">
        <v>26</v>
      </c>
      <c r="B168" s="1" t="s">
        <v>167</v>
      </c>
      <c r="C168" s="1">
        <f>_xlfn.FLOOR.MATH(D33/控制台!$H$291*控制台!$D$289)</f>
        <v>36000000</v>
      </c>
      <c r="D168" s="1">
        <f>_xlfn.FLOOR.MATH(E33/控制台!$H$291*控制台!$D$289)</f>
        <v>43200000</v>
      </c>
      <c r="E168" s="1">
        <f>_xlfn.FLOOR.MATH(F33/控制台!$H$291*控制台!$D$289)</f>
        <v>28800000</v>
      </c>
      <c r="F168" s="1">
        <f ca="1">_xlfn.FLOOR.MATH(J33*60/控制台!$H$291*控制台!$D$289)</f>
        <v>2571264</v>
      </c>
      <c r="G168" s="1">
        <f>IFERROR(_xlfn.FLOOR.MATH(C168,POWER(10,MAX(0,INT(LOG10(C168)-2)))),"")</f>
        <v>36000000</v>
      </c>
      <c r="H168" s="1">
        <f>IFERROR(_xlfn.FLOOR.MATH(D168,POWER(10,MAX(0,INT(LOG10(D168)-2)))),"")</f>
        <v>43200000</v>
      </c>
      <c r="I168" s="1">
        <f>IFERROR(_xlfn.FLOOR.MATH(E168,POWER(10,MAX(0,INT(LOG10(E168)-2)))),"")</f>
        <v>28800000</v>
      </c>
      <c r="J168" s="4" t="str">
        <f t="shared" si="10"/>
        <v>36000000;43200000;28800000</v>
      </c>
      <c r="K168" s="1">
        <f ca="1">IFERROR(_xlfn.FLOOR.MATH($F168*控制台!K364/(控制台!O364*60)),"")</f>
        <v>590</v>
      </c>
      <c r="L168" s="1">
        <f ca="1">IFERROR(_xlfn.FLOOR.MATH($F168*控制台!L364/(控制台!P364*60)),"")</f>
        <v>506</v>
      </c>
      <c r="M168" s="1">
        <f ca="1">IFERROR(_xlfn.FLOOR.MATH($F168*控制台!M364/(控制台!Q364*60)),"")</f>
        <v>385</v>
      </c>
      <c r="N168" s="1">
        <f ca="1">IFERROR(_xlfn.FLOOR.MATH($F168*控制台!N364/(控制台!R364*60)),"")</f>
        <v>337</v>
      </c>
      <c r="O168" s="4" t="str">
        <f ca="1">控制台!W364</f>
        <v>brick;cement;steel;pitch</v>
      </c>
      <c r="P168" s="4" t="str">
        <f ca="1" t="shared" si="11"/>
        <v>590;506;385;337</v>
      </c>
      <c r="Q168" s="4">
        <f>_xlfn.FLOOR.MATH(K32/控制台!$H$291*控制台!$D$289,5)</f>
        <v>172800</v>
      </c>
      <c r="R168" s="4">
        <f>_xlfn.FLOOR.MATH(O32/控制台!$H$291*控制台!$D$289,5)</f>
        <v>199805</v>
      </c>
      <c r="S168" s="1" t="s">
        <v>2691</v>
      </c>
      <c r="T168" s="1" t="s">
        <v>2727</v>
      </c>
      <c r="U168" s="1">
        <f ca="1" t="shared" si="8"/>
        <v>1</v>
      </c>
    </row>
    <row r="169" spans="1:21">
      <c r="A169" s="1">
        <v>27</v>
      </c>
      <c r="B169" s="1" t="s">
        <v>167</v>
      </c>
      <c r="C169" s="1">
        <f>_xlfn.FLOOR.MATH(D34/控制台!$H$291*控制台!$D$289)</f>
        <v>45000000</v>
      </c>
      <c r="D169" s="1">
        <f>_xlfn.FLOOR.MATH(E34/控制台!$H$291*控制台!$D$289)</f>
        <v>54000000</v>
      </c>
      <c r="E169" s="1">
        <f>_xlfn.FLOOR.MATH(F34/控制台!$H$291*控制台!$D$289)</f>
        <v>36000000</v>
      </c>
      <c r="F169" s="1">
        <f ca="1">_xlfn.FLOOR.MATH(J34*60/控制台!$H$291*控制台!$D$289)</f>
        <v>4478976</v>
      </c>
      <c r="G169" s="1">
        <f>IFERROR(_xlfn.FLOOR.MATH(C169,POWER(10,MAX(0,INT(LOG10(C169)-2)))),"")</f>
        <v>45000000</v>
      </c>
      <c r="H169" s="1">
        <f>IFERROR(_xlfn.FLOOR.MATH(D169,POWER(10,MAX(0,INT(LOG10(D169)-2)))),"")</f>
        <v>54000000</v>
      </c>
      <c r="I169" s="1">
        <f>IFERROR(_xlfn.FLOOR.MATH(E169,POWER(10,MAX(0,INT(LOG10(E169)-2)))),"")</f>
        <v>36000000</v>
      </c>
      <c r="J169" s="4" t="str">
        <f t="shared" si="10"/>
        <v>45000000;54000000;36000000</v>
      </c>
      <c r="K169" s="1">
        <f ca="1">IFERROR(_xlfn.FLOOR.MATH($F169*控制台!K365/(控制台!O365*60)),"")</f>
        <v>508</v>
      </c>
      <c r="L169" s="1">
        <f ca="1">IFERROR(_xlfn.FLOOR.MATH($F169*控制台!L365/(控制台!P365*60)),"")</f>
        <v>387</v>
      </c>
      <c r="M169" s="1">
        <f ca="1">IFERROR(_xlfn.FLOOR.MATH($F169*控制台!M365/(控制台!Q365*60)),"")</f>
        <v>339</v>
      </c>
      <c r="N169" s="1">
        <f ca="1">IFERROR(_xlfn.FLOOR.MATH($F169*控制台!N365/(控制台!R365*60)),"")</f>
        <v>308</v>
      </c>
      <c r="O169" s="4" t="str">
        <f ca="1">控制台!W365</f>
        <v>cement;steel;pitch;concrete</v>
      </c>
      <c r="P169" s="4" t="str">
        <f ca="1" t="shared" si="11"/>
        <v>508;387;339;308</v>
      </c>
      <c r="Q169" s="4">
        <f>_xlfn.FLOOR.MATH(K33/控制台!$H$291*控制台!$D$289,5)</f>
        <v>432000</v>
      </c>
      <c r="R169" s="4">
        <f>_xlfn.FLOOR.MATH(O33/控制台!$H$291*控制台!$D$289,5)</f>
        <v>297305</v>
      </c>
      <c r="S169" s="1" t="s">
        <v>2701</v>
      </c>
      <c r="T169" s="1" t="s">
        <v>2728</v>
      </c>
      <c r="U169" s="1">
        <f ca="1" t="shared" si="8"/>
        <v>1</v>
      </c>
    </row>
    <row r="170" spans="1:21">
      <c r="A170" s="1">
        <v>28</v>
      </c>
      <c r="B170" s="1" t="s">
        <v>167</v>
      </c>
      <c r="C170" s="1">
        <f>_xlfn.FLOOR.MATH(D35/控制台!$H$291*控制台!$D$289)</f>
        <v>85500000</v>
      </c>
      <c r="D170" s="1">
        <f>_xlfn.FLOOR.MATH(E35/控制台!$H$291*控制台!$D$289)</f>
        <v>102600000</v>
      </c>
      <c r="E170" s="1">
        <f>_xlfn.FLOOR.MATH(F35/控制台!$H$291*控制台!$D$289)</f>
        <v>68400000</v>
      </c>
      <c r="F170" s="1">
        <f ca="1">_xlfn.FLOOR.MATH(J35*60/控制台!$H$291*控制台!$D$289)</f>
        <v>7288704</v>
      </c>
      <c r="G170" s="1">
        <f>IFERROR(_xlfn.FLOOR.MATH(C170,POWER(10,MAX(0,INT(LOG10(C170)-2)))),"")</f>
        <v>85500000</v>
      </c>
      <c r="H170" s="1">
        <f>IFERROR(_xlfn.FLOOR.MATH(D170,POWER(10,MAX(0,INT(LOG10(D170)-2)))),"")</f>
        <v>102000000</v>
      </c>
      <c r="I170" s="1">
        <f>IFERROR(_xlfn.FLOOR.MATH(E170,POWER(10,MAX(0,INT(LOG10(E170)-2)))),"")</f>
        <v>68400000</v>
      </c>
      <c r="J170" s="4" t="str">
        <f t="shared" si="10"/>
        <v>85500000;102000000;68400000</v>
      </c>
      <c r="K170" s="1">
        <f ca="1">IFERROR(_xlfn.FLOOR.MATH($F170*控制台!K366/(控制台!O366*60)),"")</f>
        <v>1201</v>
      </c>
      <c r="L170" s="1">
        <f ca="1">IFERROR(_xlfn.FLOOR.MATH($F170*控制台!L366/(控制台!P366*60)),"")</f>
        <v>1029</v>
      </c>
      <c r="M170" s="1">
        <f ca="1">IFERROR(_xlfn.FLOOR.MATH($F170*控制台!M366/(控制台!Q366*60)),"")</f>
        <v>784</v>
      </c>
      <c r="N170" s="1">
        <f ca="1">IFERROR(_xlfn.FLOOR.MATH($F170*控制台!N366/(控制台!R366*60)),"")</f>
        <v>623</v>
      </c>
      <c r="O170" s="4" t="str">
        <f ca="1">控制台!W366</f>
        <v>brick;cement;steel;concrete</v>
      </c>
      <c r="P170" s="4" t="str">
        <f ca="1" t="shared" si="11"/>
        <v>1201;1029;784;623</v>
      </c>
      <c r="Q170" s="4">
        <f>_xlfn.FLOOR.MATH(K34/控制台!$H$291*控制台!$D$289,5)</f>
        <v>540000</v>
      </c>
      <c r="R170" s="4">
        <f>_xlfn.FLOOR.MATH(O34/控制台!$H$291*控制台!$D$289,5)</f>
        <v>437930</v>
      </c>
      <c r="S170" s="1" t="s">
        <v>2703</v>
      </c>
      <c r="T170" s="1" t="s">
        <v>2729</v>
      </c>
      <c r="U170" s="1">
        <f ca="1" t="shared" si="8"/>
        <v>1</v>
      </c>
    </row>
    <row r="171" spans="1:21">
      <c r="A171" s="1">
        <v>29</v>
      </c>
      <c r="B171" s="1" t="s">
        <v>167</v>
      </c>
      <c r="C171" s="1">
        <f>_xlfn.FLOOR.MATH(D36/控制台!$H$291*控制台!$D$289)</f>
        <v>86400000</v>
      </c>
      <c r="D171" s="1">
        <f>_xlfn.FLOOR.MATH(E36/控制台!$H$291*控制台!$D$289)</f>
        <v>103680000</v>
      </c>
      <c r="E171" s="1">
        <f>_xlfn.FLOOR.MATH(F36/控制台!$H$291*控制台!$D$289)</f>
        <v>69120000</v>
      </c>
      <c r="F171" s="1">
        <f ca="1">_xlfn.FLOOR.MATH(J36*60/控制台!$H$291*控制台!$D$289)</f>
        <v>7442150</v>
      </c>
      <c r="G171" s="1">
        <f>IFERROR(_xlfn.FLOOR.MATH(C171,POWER(10,MAX(0,INT(LOG10(C171)-2)))),"")</f>
        <v>86400000</v>
      </c>
      <c r="H171" s="1">
        <f>IFERROR(_xlfn.FLOOR.MATH(D171,POWER(10,MAX(0,INT(LOG10(D171)-2)))),"")</f>
        <v>103000000</v>
      </c>
      <c r="I171" s="1">
        <f>IFERROR(_xlfn.FLOOR.MATH(E171,POWER(10,MAX(0,INT(LOG10(E171)-2)))),"")</f>
        <v>69100000</v>
      </c>
      <c r="J171" s="4" t="str">
        <f t="shared" si="10"/>
        <v>86400000;103000000;69100000</v>
      </c>
      <c r="K171" s="1">
        <f ca="1">IFERROR(_xlfn.FLOOR.MATH($F171*控制台!K367/(控制台!O367*60)),"")</f>
        <v>1363</v>
      </c>
      <c r="L171" s="1">
        <f ca="1">IFERROR(_xlfn.FLOOR.MATH($F171*控制台!L367/(控制台!P367*60)),"")</f>
        <v>1022</v>
      </c>
      <c r="M171" s="1">
        <f ca="1">IFERROR(_xlfn.FLOOR.MATH($F171*控制台!M367/(控制台!Q367*60)),"")</f>
        <v>681</v>
      </c>
      <c r="N171" s="1">
        <f ca="1">IFERROR(_xlfn.FLOOR.MATH($F171*控制台!N367/(控制台!R367*60)),"")</f>
        <v>619</v>
      </c>
      <c r="O171" s="4" t="str">
        <f ca="1">控制台!W367</f>
        <v>board;cement;pitch;concrete</v>
      </c>
      <c r="P171" s="4" t="str">
        <f ca="1" t="shared" si="11"/>
        <v>1363;1022;681;619</v>
      </c>
      <c r="Q171" s="4">
        <f>_xlfn.FLOOR.MATH(K35/控制台!$H$291*控制台!$D$289,5)</f>
        <v>1026000</v>
      </c>
      <c r="R171" s="4">
        <f>_xlfn.FLOOR.MATH(O35/控制台!$H$291*控制台!$D$289,5)</f>
        <v>669495</v>
      </c>
      <c r="S171" s="1" t="s">
        <v>2705</v>
      </c>
      <c r="T171" s="1" t="s">
        <v>2730</v>
      </c>
      <c r="U171" s="1">
        <f ca="1" t="shared" si="8"/>
        <v>1</v>
      </c>
    </row>
    <row r="172" spans="1:21">
      <c r="A172" s="1">
        <v>30</v>
      </c>
      <c r="B172" s="1" t="s">
        <v>167</v>
      </c>
      <c r="C172" s="1">
        <f>_xlfn.FLOOR.MATH(D37/控制台!$H$291*控制台!$D$289)</f>
        <v>88200000</v>
      </c>
      <c r="D172" s="1">
        <f>_xlfn.FLOOR.MATH(E37/控制台!$H$291*控制台!$D$289)</f>
        <v>105840000</v>
      </c>
      <c r="E172" s="1">
        <f>_xlfn.FLOOR.MATH(F37/控制台!$H$291*控制台!$D$289)</f>
        <v>70560000</v>
      </c>
      <c r="F172" s="1">
        <f ca="1">_xlfn.FLOOR.MATH(J37*60/控制台!$H$291*控制台!$D$289)</f>
        <v>7595596</v>
      </c>
      <c r="G172" s="1">
        <f>IFERROR(_xlfn.FLOOR.MATH(C172,POWER(10,MAX(0,INT(LOG10(C172)-2)))),"")</f>
        <v>88200000</v>
      </c>
      <c r="H172" s="1">
        <f>IFERROR(_xlfn.FLOOR.MATH(D172,POWER(10,MAX(0,INT(LOG10(D172)-2)))),"")</f>
        <v>105000000</v>
      </c>
      <c r="I172" s="1">
        <f>IFERROR(_xlfn.FLOOR.MATH(E172,POWER(10,MAX(0,INT(LOG10(E172)-2)))),"")</f>
        <v>70500000</v>
      </c>
      <c r="J172" s="4" t="str">
        <f t="shared" si="10"/>
        <v>88200000;105000000;70500000</v>
      </c>
      <c r="K172" s="1">
        <f ca="1">IFERROR(_xlfn.FLOOR.MATH($F172*控制台!K368/(控制台!O368*60)),"")</f>
        <v>1124</v>
      </c>
      <c r="L172" s="1">
        <f ca="1">IFERROR(_xlfn.FLOOR.MATH($F172*控制台!L368/(控制台!P368*60)),"")</f>
        <v>734</v>
      </c>
      <c r="M172" s="1">
        <f ca="1">IFERROR(_xlfn.FLOOR.MATH($F172*控制台!M368/(控制台!Q368*60)),"")</f>
        <v>642</v>
      </c>
      <c r="N172" s="1">
        <f ca="1">IFERROR(_xlfn.FLOOR.MATH($F172*控制台!N368/(控制台!R368*60)),"")</f>
        <v>584</v>
      </c>
      <c r="O172" s="4" t="str">
        <f ca="1">控制台!W368</f>
        <v>brick;steel;pitch;concrete</v>
      </c>
      <c r="P172" s="4" t="str">
        <f ca="1" t="shared" si="11"/>
        <v>1124;734;642;584</v>
      </c>
      <c r="Q172" s="4">
        <f>_xlfn.FLOOR.MATH(K36/控制台!$H$291*控制台!$D$289,5)</f>
        <v>1036800</v>
      </c>
      <c r="R172" s="4">
        <f>_xlfn.FLOOR.MATH(O36/控制台!$H$291*控制台!$D$289,5)</f>
        <v>905370</v>
      </c>
      <c r="S172" s="1" t="s">
        <v>2707</v>
      </c>
      <c r="T172" s="1" t="s">
        <v>2731</v>
      </c>
      <c r="U172" s="1">
        <f ca="1" t="shared" ref="U172:U235" si="12">IF(AND(O172=S172,P172=T172),1,0)</f>
        <v>1</v>
      </c>
    </row>
    <row r="173" spans="1:21">
      <c r="A173" s="1">
        <v>31</v>
      </c>
      <c r="B173" s="1" t="s">
        <v>167</v>
      </c>
      <c r="C173" s="1">
        <f>_xlfn.FLOOR.MATH(D38/控制台!$H$291*控制台!$D$289)</f>
        <v>90000000</v>
      </c>
      <c r="D173" s="1">
        <f>_xlfn.FLOOR.MATH(E38/控制台!$H$291*控制台!$D$289)</f>
        <v>108000000</v>
      </c>
      <c r="E173" s="1">
        <f>_xlfn.FLOOR.MATH(F38/控制台!$H$291*控制台!$D$289)</f>
        <v>72000000</v>
      </c>
      <c r="F173" s="1">
        <f ca="1">_xlfn.FLOOR.MATH(J38*60/控制台!$H$291*控制台!$D$289)</f>
        <v>7879680</v>
      </c>
      <c r="G173" s="1">
        <f>IFERROR(_xlfn.FLOOR.MATH(C173,POWER(10,MAX(0,INT(LOG10(C173)-2)))),"")</f>
        <v>90000000</v>
      </c>
      <c r="H173" s="1">
        <f>IFERROR(_xlfn.FLOOR.MATH(D173,POWER(10,MAX(0,INT(LOG10(D173)-2)))),"")</f>
        <v>108000000</v>
      </c>
      <c r="I173" s="1">
        <f>IFERROR(_xlfn.FLOOR.MATH(E173,POWER(10,MAX(0,INT(LOG10(E173)-2)))),"")</f>
        <v>72000000</v>
      </c>
      <c r="J173" s="4" t="str">
        <f t="shared" si="10"/>
        <v>90000000;108000000;72000000</v>
      </c>
      <c r="K173" s="1">
        <f ca="1">IFERROR(_xlfn.FLOOR.MATH($F173*控制台!K369/(控制台!O369*60)),"")</f>
        <v>895</v>
      </c>
      <c r="L173" s="1">
        <f ca="1">IFERROR(_xlfn.FLOOR.MATH($F173*控制台!L369/(控制台!P369*60)),"")</f>
        <v>682</v>
      </c>
      <c r="M173" s="1">
        <f ca="1">IFERROR(_xlfn.FLOOR.MATH($F173*控制台!M369/(控制台!Q369*60)),"")</f>
        <v>596</v>
      </c>
      <c r="N173" s="1">
        <f ca="1">IFERROR(_xlfn.FLOOR.MATH($F173*控制台!N369/(控制台!R369*60)),"")</f>
        <v>542</v>
      </c>
      <c r="O173" s="4" t="str">
        <f ca="1">控制台!W369</f>
        <v>cement;steel;pitch;concrete</v>
      </c>
      <c r="P173" s="4" t="str">
        <f ca="1" t="shared" si="11"/>
        <v>895;682;596;542</v>
      </c>
      <c r="Q173" s="4">
        <f>_xlfn.FLOOR.MATH(K37/控制台!$H$291*控制台!$D$289,5)</f>
        <v>1058400</v>
      </c>
      <c r="R173" s="4">
        <f>_xlfn.FLOOR.MATH(O37/控制台!$H$291*控制台!$D$289,5)</f>
        <v>1146120</v>
      </c>
      <c r="S173" s="1" t="s">
        <v>2701</v>
      </c>
      <c r="T173" s="1" t="s">
        <v>2732</v>
      </c>
      <c r="U173" s="1">
        <f ca="1" t="shared" si="12"/>
        <v>1</v>
      </c>
    </row>
    <row r="174" spans="1:21">
      <c r="A174" s="1">
        <v>32</v>
      </c>
      <c r="B174" s="1" t="s">
        <v>167</v>
      </c>
      <c r="G174" s="1" t="str">
        <f>IFERROR(_xlfn.FLOOR.MATH(C174,POWER(10,MAX(0,INT(LOG10(C174)-2)))),"")</f>
        <v/>
      </c>
      <c r="H174" s="1" t="str">
        <f>IFERROR(_xlfn.FLOOR.MATH(D174,POWER(10,MAX(0,INT(LOG10(D174)-2)))),"")</f>
        <v/>
      </c>
      <c r="I174" s="1" t="str">
        <f>IFERROR(_xlfn.FLOOR.MATH(E174,POWER(10,MAX(0,INT(LOG10(E174)-2)))),"")</f>
        <v/>
      </c>
      <c r="J174" s="4" t="str">
        <f t="shared" ref="J174:J206" si="13">IF(G174="","",IF(H174="",G174,IF(I174="",CONCATENATE(G174,";",H174),CONCATENATE(G174,";",H174,";",I174))))</f>
        <v/>
      </c>
      <c r="O174" s="4"/>
      <c r="P174" s="4" t="str">
        <f t="shared" ref="P174:P206" si="14">IF(K174="","",IF(L174="",K174,IF(M174="",CONCATENATE(K174,";",L174),IF(N174="",CONCATENATE(K174,";",L174,";",M174),CONCATENATE(K174,";",L174,";",M174,";",N174)))))</f>
        <v/>
      </c>
      <c r="Q174" s="4">
        <f>_xlfn.FLOOR.MATH(K38/控制台!$H$291*控制台!$D$289,5)</f>
        <v>1080000</v>
      </c>
      <c r="R174" s="4">
        <f>_xlfn.FLOOR.MATH(O38/控制台!$H$291*控制台!$D$289,5)</f>
        <v>1389870</v>
      </c>
      <c r="U174" s="1">
        <f t="shared" si="12"/>
        <v>1</v>
      </c>
    </row>
    <row r="175" spans="1:21">
      <c r="A175" s="1">
        <v>0</v>
      </c>
      <c r="B175" s="1" t="s">
        <v>170</v>
      </c>
      <c r="C175" s="1">
        <f>_xlfn.FLOOR.MATH(D7/控制台!$H$291*控制台!$D$289)</f>
        <v>2700</v>
      </c>
      <c r="D175" s="1">
        <f>_xlfn.FLOOR.MATH(E7/控制台!$H$291*控制台!$D$289)</f>
        <v>3240</v>
      </c>
      <c r="E175" s="1">
        <f>_xlfn.FLOOR.MATH(F7/控制台!$H$291*控制台!$D$289)</f>
        <v>2160</v>
      </c>
      <c r="F175" s="1">
        <f ca="1">_xlfn.FLOOR.MATH(J7*60/控制台!$H$291*控制台!$D$289)</f>
        <v>414</v>
      </c>
      <c r="G175" s="1">
        <f>IFERROR(_xlfn.FLOOR.MATH(C175,POWER(10,MAX(0,INT(LOG10(C175)-2)))),"")</f>
        <v>2700</v>
      </c>
      <c r="H175" s="1">
        <f>IFERROR(_xlfn.FLOOR.MATH(D175,POWER(10,MAX(0,INT(LOG10(D175)-2)))),"")</f>
        <v>3240</v>
      </c>
      <c r="I175" s="1">
        <f>IFERROR(_xlfn.FLOOR.MATH(E175,POWER(10,MAX(0,INT(LOG10(E175)-2)))),"")</f>
        <v>2160</v>
      </c>
      <c r="J175" s="4" t="str">
        <f t="shared" si="13"/>
        <v>2700;3240;2160</v>
      </c>
      <c r="K175" s="1">
        <f ca="1">IFERROR(_xlfn.FLOOR.MATH($F175*控制台!K338/(控制台!O338*60)),"")</f>
        <v>6</v>
      </c>
      <c r="L175" s="1" t="str">
        <f ca="1">IFERROR(_xlfn.FLOOR.MATH($F175*控制台!L338/(控制台!P338*60)),"")</f>
        <v/>
      </c>
      <c r="M175" s="1" t="str">
        <f ca="1">IFERROR(_xlfn.FLOOR.MATH($F175*控制台!M338/(控制台!Q338*60)),"")</f>
        <v/>
      </c>
      <c r="N175" s="1" t="str">
        <f ca="1">IFERROR(_xlfn.FLOOR.MATH($F175*控制台!N338/(控制台!R338*60)),"")</f>
        <v/>
      </c>
      <c r="O175" s="6" t="s">
        <v>154</v>
      </c>
      <c r="P175" s="6">
        <v>4</v>
      </c>
      <c r="Q175" s="6">
        <v>0</v>
      </c>
      <c r="R175" s="4">
        <f>_xlfn.FLOOR.MATH(O6/控制台!$H$291*控制台!$D$289,5)</f>
        <v>0</v>
      </c>
      <c r="S175" s="1" t="s">
        <v>154</v>
      </c>
      <c r="T175" s="1">
        <v>4</v>
      </c>
      <c r="U175" s="1">
        <f t="shared" si="12"/>
        <v>1</v>
      </c>
    </row>
    <row r="176" spans="1:21">
      <c r="A176" s="1">
        <v>1</v>
      </c>
      <c r="B176" s="1" t="s">
        <v>170</v>
      </c>
      <c r="C176" s="1">
        <f>_xlfn.FLOOR.MATH(D8/控制台!$H$291*控制台!$D$289)</f>
        <v>5400</v>
      </c>
      <c r="D176" s="1">
        <f>_xlfn.FLOOR.MATH(E8/控制台!$H$291*控制台!$D$289)</f>
        <v>6480</v>
      </c>
      <c r="E176" s="1">
        <f>_xlfn.FLOOR.MATH(F8/控制台!$H$291*控制台!$D$289)</f>
        <v>4320</v>
      </c>
      <c r="F176" s="1">
        <f ca="1">_xlfn.FLOOR.MATH(J8*60/控制台!$H$291*控制台!$D$289)</f>
        <v>829</v>
      </c>
      <c r="G176" s="1">
        <f>IFERROR(_xlfn.FLOOR.MATH(C176,POWER(10,MAX(0,INT(LOG10(C176)-2)))),"")</f>
        <v>5400</v>
      </c>
      <c r="H176" s="1">
        <f>IFERROR(_xlfn.FLOOR.MATH(D176,POWER(10,MAX(0,INT(LOG10(D176)-2)))),"")</f>
        <v>6480</v>
      </c>
      <c r="I176" s="1">
        <f>IFERROR(_xlfn.FLOOR.MATH(E176,POWER(10,MAX(0,INT(LOG10(E176)-2)))),"")</f>
        <v>4320</v>
      </c>
      <c r="J176" s="4" t="str">
        <f t="shared" si="13"/>
        <v>5400;6480;4320</v>
      </c>
      <c r="K176" s="1">
        <f ca="1">IFERROR(_xlfn.FLOOR.MATH($F176*控制台!K339/(控制台!O339*60)),"")</f>
        <v>13</v>
      </c>
      <c r="L176" s="1" t="str">
        <f ca="1">IFERROR(_xlfn.FLOOR.MATH($F176*控制台!L339/(控制台!P339*60)),"")</f>
        <v/>
      </c>
      <c r="M176" s="1" t="str">
        <f ca="1">IFERROR(_xlfn.FLOOR.MATH($F176*控制台!M339/(控制台!Q339*60)),"")</f>
        <v/>
      </c>
      <c r="N176" s="1" t="str">
        <f ca="1">IFERROR(_xlfn.FLOOR.MATH($F176*控制台!N339/(控制台!R339*60)),"")</f>
        <v/>
      </c>
      <c r="O176" s="6" t="s">
        <v>154</v>
      </c>
      <c r="P176" s="6">
        <v>5</v>
      </c>
      <c r="Q176" s="6">
        <v>10</v>
      </c>
      <c r="R176" s="4">
        <f>_xlfn.FLOOR.MATH(O7/控制台!$H$291*控制台!$D$289,5)</f>
        <v>20</v>
      </c>
      <c r="S176" s="1" t="s">
        <v>154</v>
      </c>
      <c r="T176" s="1">
        <v>5</v>
      </c>
      <c r="U176" s="1">
        <f t="shared" si="12"/>
        <v>1</v>
      </c>
    </row>
    <row r="177" spans="1:21">
      <c r="A177" s="1">
        <v>2</v>
      </c>
      <c r="B177" s="1" t="s">
        <v>170</v>
      </c>
      <c r="C177" s="1">
        <f>_xlfn.FLOOR.MATH(D9/控制台!$H$291*控制台!$D$289)</f>
        <v>8100</v>
      </c>
      <c r="D177" s="1">
        <f>_xlfn.FLOOR.MATH(E9/控制台!$H$291*控制台!$D$289)</f>
        <v>9720</v>
      </c>
      <c r="E177" s="1">
        <f>_xlfn.FLOOR.MATH(F9/控制台!$H$291*控制台!$D$289)</f>
        <v>6480</v>
      </c>
      <c r="F177" s="1">
        <f ca="1">_xlfn.FLOOR.MATH(J9*60/控制台!$H$291*控制台!$D$289)</f>
        <v>1244</v>
      </c>
      <c r="G177" s="1">
        <f>IFERROR(_xlfn.FLOOR.MATH(C177,POWER(10,MAX(0,INT(LOG10(C177)-2)))),"")</f>
        <v>8100</v>
      </c>
      <c r="H177" s="1">
        <f>IFERROR(_xlfn.FLOOR.MATH(D177,POWER(10,MAX(0,INT(LOG10(D177)-2)))),"")</f>
        <v>9720</v>
      </c>
      <c r="I177" s="1">
        <f>IFERROR(_xlfn.FLOOR.MATH(E177,POWER(10,MAX(0,INT(LOG10(E177)-2)))),"")</f>
        <v>6480</v>
      </c>
      <c r="J177" s="4" t="str">
        <f t="shared" si="13"/>
        <v>8100;9720;6480</v>
      </c>
      <c r="K177" s="1">
        <f ca="1">IFERROR(_xlfn.FLOOR.MATH($F177*控制台!K340/(控制台!O340*60)),"")</f>
        <v>4</v>
      </c>
      <c r="L177" s="1">
        <f ca="1">IFERROR(_xlfn.FLOOR.MATH($F177*控制台!L340/(控制台!P340*60)),"")</f>
        <v>4</v>
      </c>
      <c r="M177" s="1" t="str">
        <f ca="1">IFERROR(_xlfn.FLOOR.MATH($F177*控制台!M340/(控制台!Q340*60)),"")</f>
        <v/>
      </c>
      <c r="N177" s="1" t="str">
        <f ca="1">IFERROR(_xlfn.FLOOR.MATH($F177*控制台!N340/(控制台!R340*60)),"")</f>
        <v/>
      </c>
      <c r="O177" s="6" t="s">
        <v>172</v>
      </c>
      <c r="P177" s="6" t="s">
        <v>157</v>
      </c>
      <c r="Q177" s="6">
        <v>30</v>
      </c>
      <c r="R177" s="4">
        <f>_xlfn.FLOOR.MATH(O8/控制台!$H$291*控制台!$D$289,5)</f>
        <v>60</v>
      </c>
      <c r="S177" s="1" t="s">
        <v>172</v>
      </c>
      <c r="T177" s="1" t="s">
        <v>157</v>
      </c>
      <c r="U177" s="1">
        <f t="shared" si="12"/>
        <v>1</v>
      </c>
    </row>
    <row r="178" spans="1:21">
      <c r="A178" s="1">
        <v>3</v>
      </c>
      <c r="B178" s="1" t="s">
        <v>170</v>
      </c>
      <c r="C178" s="1">
        <f>_xlfn.FLOOR.MATH(D10/控制台!$H$291*控制台!$D$289)</f>
        <v>10800</v>
      </c>
      <c r="D178" s="1">
        <f>_xlfn.FLOOR.MATH(E10/控制台!$H$291*控制台!$D$289)</f>
        <v>12960</v>
      </c>
      <c r="E178" s="1">
        <f>_xlfn.FLOOR.MATH(F10/控制台!$H$291*控制台!$D$289)</f>
        <v>8640</v>
      </c>
      <c r="F178" s="1">
        <f ca="1">_xlfn.FLOOR.MATH(J10*60/控制台!$H$291*控制台!$D$289)</f>
        <v>2073</v>
      </c>
      <c r="G178" s="1">
        <f>IFERROR(_xlfn.FLOOR.MATH(C178,POWER(10,MAX(0,INT(LOG10(C178)-2)))),"")</f>
        <v>10800</v>
      </c>
      <c r="H178" s="1">
        <f>IFERROR(_xlfn.FLOOR.MATH(D178,POWER(10,MAX(0,INT(LOG10(D178)-2)))),"")</f>
        <v>12900</v>
      </c>
      <c r="I178" s="1">
        <f>IFERROR(_xlfn.FLOOR.MATH(E178,POWER(10,MAX(0,INT(LOG10(E178)-2)))),"")</f>
        <v>8640</v>
      </c>
      <c r="J178" s="4" t="str">
        <f t="shared" si="13"/>
        <v>10800;12900;8640</v>
      </c>
      <c r="K178" s="1">
        <f ca="1">IFERROR(_xlfn.FLOOR.MATH($F178*控制台!K341/(控制台!O341*60)),"")</f>
        <v>7</v>
      </c>
      <c r="L178" s="1">
        <f ca="1">IFERROR(_xlfn.FLOOR.MATH($F178*控制台!L341/(控制台!P341*60)),"")</f>
        <v>6</v>
      </c>
      <c r="M178" s="1" t="str">
        <f ca="1">IFERROR(_xlfn.FLOOR.MATH($F178*控制台!M341/(控制台!Q341*60)),"")</f>
        <v/>
      </c>
      <c r="N178" s="1" t="str">
        <f ca="1">IFERROR(_xlfn.FLOOR.MATH($F178*控制台!N341/(控制台!R341*60)),"")</f>
        <v/>
      </c>
      <c r="O178" s="6" t="s">
        <v>172</v>
      </c>
      <c r="P178" s="6" t="s">
        <v>158</v>
      </c>
      <c r="Q178" s="6">
        <v>50</v>
      </c>
      <c r="R178" s="4">
        <f>_xlfn.FLOOR.MATH(O9/控制台!$H$291*控制台!$D$289,5)</f>
        <v>120</v>
      </c>
      <c r="S178" s="1" t="s">
        <v>172</v>
      </c>
      <c r="T178" s="1" t="s">
        <v>158</v>
      </c>
      <c r="U178" s="1">
        <f t="shared" si="12"/>
        <v>1</v>
      </c>
    </row>
    <row r="179" spans="1:21">
      <c r="A179" s="1">
        <v>4</v>
      </c>
      <c r="B179" s="1" t="s">
        <v>170</v>
      </c>
      <c r="C179" s="1">
        <f>_xlfn.FLOOR.MATH(D11/控制台!$H$291*控制台!$D$289)</f>
        <v>18000</v>
      </c>
      <c r="D179" s="1">
        <f>_xlfn.FLOOR.MATH(E11/控制台!$H$291*控制台!$D$289)</f>
        <v>21600</v>
      </c>
      <c r="E179" s="1">
        <f>_xlfn.FLOOR.MATH(F11/控制台!$H$291*控制台!$D$289)</f>
        <v>14400</v>
      </c>
      <c r="F179" s="1">
        <f ca="1">_xlfn.FLOOR.MATH(J11*60/控制台!$H$291*控制台!$D$289)</f>
        <v>3317</v>
      </c>
      <c r="G179" s="1">
        <f>IFERROR(_xlfn.FLOOR.MATH(C179,POWER(10,MAX(0,INT(LOG10(C179)-2)))),"")</f>
        <v>18000</v>
      </c>
      <c r="H179" s="1">
        <f>IFERROR(_xlfn.FLOOR.MATH(D179,POWER(10,MAX(0,INT(LOG10(D179)-2)))),"")</f>
        <v>21600</v>
      </c>
      <c r="I179" s="1">
        <f>IFERROR(_xlfn.FLOOR.MATH(E179,POWER(10,MAX(0,INT(LOG10(E179)-2)))),"")</f>
        <v>14400</v>
      </c>
      <c r="J179" s="4" t="str">
        <f t="shared" si="13"/>
        <v>18000;21600;14400</v>
      </c>
      <c r="K179" s="1">
        <f ca="1">IFERROR(_xlfn.FLOOR.MATH($F179*控制台!K342/(控制台!O342*60)),"")</f>
        <v>12</v>
      </c>
      <c r="L179" s="1">
        <f ca="1">IFERROR(_xlfn.FLOOR.MATH($F179*控制台!L342/(控制台!P342*60)),"")</f>
        <v>10</v>
      </c>
      <c r="M179" s="1" t="str">
        <f ca="1">IFERROR(_xlfn.FLOOR.MATH($F179*控制台!M342/(控制台!Q342*60)),"")</f>
        <v/>
      </c>
      <c r="N179" s="1" t="str">
        <f ca="1">IFERROR(_xlfn.FLOOR.MATH($F179*控制台!N342/(控制台!R342*60)),"")</f>
        <v/>
      </c>
      <c r="O179" s="6" t="s">
        <v>172</v>
      </c>
      <c r="P179" s="6" t="s">
        <v>159</v>
      </c>
      <c r="Q179" s="6">
        <v>125</v>
      </c>
      <c r="R179" s="4">
        <f>_xlfn.FLOOR.MATH(O10/控制台!$H$291*控制台!$D$289,5)</f>
        <v>220</v>
      </c>
      <c r="S179" s="1" t="s">
        <v>172</v>
      </c>
      <c r="T179" s="1" t="s">
        <v>159</v>
      </c>
      <c r="U179" s="1">
        <f t="shared" si="12"/>
        <v>1</v>
      </c>
    </row>
    <row r="180" spans="1:21">
      <c r="A180" s="1">
        <v>5</v>
      </c>
      <c r="B180" s="1" t="s">
        <v>170</v>
      </c>
      <c r="C180" s="1">
        <f>_xlfn.FLOOR.MATH(D12/控制台!$H$291*控制台!$D$289)</f>
        <v>36000</v>
      </c>
      <c r="D180" s="1">
        <f>_xlfn.FLOOR.MATH(E12/控制台!$H$291*控制台!$D$289)</f>
        <v>43200</v>
      </c>
      <c r="E180" s="1">
        <f>_xlfn.FLOOR.MATH(F12/控制台!$H$291*控制台!$D$289)</f>
        <v>28800</v>
      </c>
      <c r="F180" s="1">
        <f ca="1">_xlfn.FLOOR.MATH(J12*60/控制台!$H$291*控制台!$D$289)</f>
        <v>6220</v>
      </c>
      <c r="G180" s="1">
        <f>IFERROR(_xlfn.FLOOR.MATH(C180,POWER(10,MAX(0,INT(LOG10(C180)-2)))),"")</f>
        <v>36000</v>
      </c>
      <c r="H180" s="1">
        <f>IFERROR(_xlfn.FLOOR.MATH(D180,POWER(10,MAX(0,INT(LOG10(D180)-2)))),"")</f>
        <v>43200</v>
      </c>
      <c r="I180" s="1">
        <f>IFERROR(_xlfn.FLOOR.MATH(E180,POWER(10,MAX(0,INT(LOG10(E180)-2)))),"")</f>
        <v>28800</v>
      </c>
      <c r="J180" s="4" t="str">
        <f t="shared" si="13"/>
        <v>36000;43200;28800</v>
      </c>
      <c r="K180" s="1">
        <f ca="1">IFERROR(_xlfn.FLOOR.MATH($F180*控制台!K343/(控制台!O343*60)),"")</f>
        <v>23</v>
      </c>
      <c r="L180" s="1">
        <f ca="1">IFERROR(_xlfn.FLOOR.MATH($F180*控制台!L343/(控制台!P343*60)),"")</f>
        <v>20</v>
      </c>
      <c r="M180" s="1" t="str">
        <f ca="1">IFERROR(_xlfn.FLOOR.MATH($F180*控制台!M343/(控制台!Q343*60)),"")</f>
        <v/>
      </c>
      <c r="N180" s="1" t="str">
        <f ca="1">IFERROR(_xlfn.FLOOR.MATH($F180*控制台!N343/(控制台!R343*60)),"")</f>
        <v/>
      </c>
      <c r="O180" s="6" t="s">
        <v>172</v>
      </c>
      <c r="P180" s="6" t="s">
        <v>161</v>
      </c>
      <c r="Q180" s="6">
        <v>215</v>
      </c>
      <c r="R180" s="4">
        <f>_xlfn.FLOOR.MATH(O11/控制台!$H$291*控制台!$D$289,5)</f>
        <v>380</v>
      </c>
      <c r="S180" s="1" t="s">
        <v>172</v>
      </c>
      <c r="T180" s="1" t="s">
        <v>161</v>
      </c>
      <c r="U180" s="1">
        <f t="shared" si="12"/>
        <v>1</v>
      </c>
    </row>
    <row r="181" spans="1:21">
      <c r="A181" s="1">
        <v>6</v>
      </c>
      <c r="B181" s="1" t="s">
        <v>170</v>
      </c>
      <c r="C181" s="1">
        <f>_xlfn.FLOOR.MATH(D13/控制台!$H$291*控制台!$D$289)</f>
        <v>54000</v>
      </c>
      <c r="D181" s="1">
        <f>_xlfn.FLOOR.MATH(E13/控制台!$H$291*控制台!$D$289)</f>
        <v>64800</v>
      </c>
      <c r="E181" s="1">
        <f>_xlfn.FLOOR.MATH(F13/控制台!$H$291*控制台!$D$289)</f>
        <v>43200</v>
      </c>
      <c r="F181" s="1">
        <f ca="1">_xlfn.FLOOR.MATH(J13*60/控制台!$H$291*控制台!$D$289)</f>
        <v>12441</v>
      </c>
      <c r="G181" s="1">
        <f>IFERROR(_xlfn.FLOOR.MATH(C181,POWER(10,MAX(0,INT(LOG10(C181)-2)))),"")</f>
        <v>54000</v>
      </c>
      <c r="H181" s="1">
        <f>IFERROR(_xlfn.FLOOR.MATH(D181,POWER(10,MAX(0,INT(LOG10(D181)-2)))),"")</f>
        <v>64800</v>
      </c>
      <c r="I181" s="1">
        <f>IFERROR(_xlfn.FLOOR.MATH(E181,POWER(10,MAX(0,INT(LOG10(E181)-2)))),"")</f>
        <v>43200</v>
      </c>
      <c r="J181" s="4" t="str">
        <f t="shared" si="13"/>
        <v>54000;64800;43200</v>
      </c>
      <c r="K181" s="1">
        <f ca="1">IFERROR(_xlfn.FLOOR.MATH($F181*控制台!K344/(控制台!O344*60)),"")</f>
        <v>10</v>
      </c>
      <c r="L181" s="1">
        <f ca="1">IFERROR(_xlfn.FLOOR.MATH($F181*控制台!L344/(控制台!P344*60)),"")</f>
        <v>9</v>
      </c>
      <c r="M181" s="1">
        <f ca="1">IFERROR(_xlfn.FLOOR.MATH($F181*控制台!M344/(控制台!Q344*60)),"")</f>
        <v>7</v>
      </c>
      <c r="N181" s="1" t="str">
        <f ca="1">IFERROR(_xlfn.FLOOR.MATH($F181*控制台!N344/(控制台!R344*60)),"")</f>
        <v/>
      </c>
      <c r="O181" s="4" t="str">
        <f ca="1">控制台!W344</f>
        <v>board;brick;cement</v>
      </c>
      <c r="P181" s="4" t="str">
        <f ca="1" t="shared" si="14"/>
        <v>10;9;7</v>
      </c>
      <c r="Q181" s="4">
        <f>_xlfn.FLOOR.MATH(K12/控制台!$H$291*控制台!$D$289,5)</f>
        <v>430</v>
      </c>
      <c r="R181" s="4">
        <f>_xlfn.FLOOR.MATH(O12/控制台!$H$291*控制台!$D$289,5)</f>
        <v>685</v>
      </c>
      <c r="S181" s="1" t="s">
        <v>152</v>
      </c>
      <c r="T181" s="1" t="s">
        <v>2710</v>
      </c>
      <c r="U181" s="1">
        <f ca="1" t="shared" si="12"/>
        <v>1</v>
      </c>
    </row>
    <row r="182" spans="1:21">
      <c r="A182" s="1">
        <v>7</v>
      </c>
      <c r="B182" s="1" t="s">
        <v>170</v>
      </c>
      <c r="C182" s="1">
        <f>_xlfn.FLOOR.MATH(D14/控制台!$H$291*控制台!$D$289)</f>
        <v>72000</v>
      </c>
      <c r="D182" s="1">
        <f>_xlfn.FLOOR.MATH(E14/控制台!$H$291*控制台!$D$289)</f>
        <v>86400</v>
      </c>
      <c r="E182" s="1">
        <f>_xlfn.FLOOR.MATH(F14/控制台!$H$291*控制台!$D$289)</f>
        <v>57600</v>
      </c>
      <c r="F182" s="1">
        <f ca="1">_xlfn.FLOOR.MATH(J14*60/控制台!$H$291*控制台!$D$289)</f>
        <v>16588</v>
      </c>
      <c r="G182" s="1">
        <f>IFERROR(_xlfn.FLOOR.MATH(C182,POWER(10,MAX(0,INT(LOG10(C182)-2)))),"")</f>
        <v>72000</v>
      </c>
      <c r="H182" s="1">
        <f>IFERROR(_xlfn.FLOOR.MATH(D182,POWER(10,MAX(0,INT(LOG10(D182)-2)))),"")</f>
        <v>86400</v>
      </c>
      <c r="I182" s="1">
        <f>IFERROR(_xlfn.FLOOR.MATH(E182,POWER(10,MAX(0,INT(LOG10(E182)-2)))),"")</f>
        <v>57600</v>
      </c>
      <c r="J182" s="4" t="str">
        <f t="shared" si="13"/>
        <v>72000;86400;57600</v>
      </c>
      <c r="K182" s="1">
        <f ca="1">IFERROR(_xlfn.FLOOR.MATH($F182*控制台!K345/(控制台!O345*60)),"")</f>
        <v>14</v>
      </c>
      <c r="L182" s="1">
        <f ca="1">IFERROR(_xlfn.FLOOR.MATH($F182*控制台!L345/(控制台!P345*60)),"")</f>
        <v>12</v>
      </c>
      <c r="M182" s="1">
        <f ca="1">IFERROR(_xlfn.FLOOR.MATH($F182*控制台!M345/(控制台!Q345*60)),"")</f>
        <v>10</v>
      </c>
      <c r="N182" s="1" t="str">
        <f ca="1">IFERROR(_xlfn.FLOOR.MATH($F182*控制台!N345/(控制台!R345*60)),"")</f>
        <v/>
      </c>
      <c r="O182" s="4" t="str">
        <f ca="1">控制台!W345</f>
        <v>board;brick;cement</v>
      </c>
      <c r="P182" s="4" t="str">
        <f ca="1" t="shared" si="14"/>
        <v>14;12;10</v>
      </c>
      <c r="Q182" s="4">
        <f>_xlfn.FLOOR.MATH(K13/控制台!$H$291*控制台!$D$289,5)</f>
        <v>645</v>
      </c>
      <c r="R182" s="4">
        <f>_xlfn.FLOOR.MATH(O13/控制台!$H$291*控制台!$D$289,5)</f>
        <v>1280</v>
      </c>
      <c r="S182" s="1" t="s">
        <v>152</v>
      </c>
      <c r="T182" s="1" t="s">
        <v>2711</v>
      </c>
      <c r="U182" s="1">
        <f ca="1" t="shared" si="12"/>
        <v>1</v>
      </c>
    </row>
    <row r="183" spans="1:21">
      <c r="A183" s="1">
        <v>8</v>
      </c>
      <c r="B183" s="1" t="s">
        <v>170</v>
      </c>
      <c r="C183" s="1">
        <f>_xlfn.FLOOR.MATH(D15/控制台!$H$291*控制台!$D$289)</f>
        <v>90000</v>
      </c>
      <c r="D183" s="1">
        <f>_xlfn.FLOOR.MATH(E15/控制台!$H$291*控制台!$D$289)</f>
        <v>108000</v>
      </c>
      <c r="E183" s="1">
        <f>_xlfn.FLOOR.MATH(F15/控制台!$H$291*控制台!$D$289)</f>
        <v>72000</v>
      </c>
      <c r="F183" s="1">
        <f ca="1">_xlfn.FLOOR.MATH(J15*60/控制台!$H$291*控制台!$D$289)</f>
        <v>20736</v>
      </c>
      <c r="G183" s="1">
        <f>IFERROR(_xlfn.FLOOR.MATH(C183,POWER(10,MAX(0,INT(LOG10(C183)-2)))),"")</f>
        <v>90000</v>
      </c>
      <c r="H183" s="1">
        <f>IFERROR(_xlfn.FLOOR.MATH(D183,POWER(10,MAX(0,INT(LOG10(D183)-2)))),"")</f>
        <v>108000</v>
      </c>
      <c r="I183" s="1">
        <f>IFERROR(_xlfn.FLOOR.MATH(E183,POWER(10,MAX(0,INT(LOG10(E183)-2)))),"")</f>
        <v>72000</v>
      </c>
      <c r="J183" s="4" t="str">
        <f t="shared" si="13"/>
        <v>90000;108000;72000</v>
      </c>
      <c r="K183" s="1">
        <f ca="1">IFERROR(_xlfn.FLOOR.MATH($F183*控制台!K346/(控制台!O346*60)),"")</f>
        <v>17</v>
      </c>
      <c r="L183" s="1">
        <f ca="1">IFERROR(_xlfn.FLOOR.MATH($F183*控制台!L346/(控制台!P346*60)),"")</f>
        <v>15</v>
      </c>
      <c r="M183" s="1">
        <f ca="1">IFERROR(_xlfn.FLOOR.MATH($F183*控制台!M346/(控制台!Q346*60)),"")</f>
        <v>13</v>
      </c>
      <c r="N183" s="1" t="str">
        <f ca="1">IFERROR(_xlfn.FLOOR.MATH($F183*控制台!N346/(控制台!R346*60)),"")</f>
        <v/>
      </c>
      <c r="O183" s="4" t="str">
        <f ca="1">控制台!W346</f>
        <v>board;brick;cement</v>
      </c>
      <c r="P183" s="4" t="str">
        <f ca="1" t="shared" si="14"/>
        <v>17;15;13</v>
      </c>
      <c r="Q183" s="4">
        <f>_xlfn.FLOOR.MATH(K14/控制台!$H$291*控制台!$D$289,5)</f>
        <v>860</v>
      </c>
      <c r="R183" s="4">
        <f>_xlfn.FLOOR.MATH(O14/控制台!$H$291*控制台!$D$289,5)</f>
        <v>2075</v>
      </c>
      <c r="S183" s="1" t="s">
        <v>152</v>
      </c>
      <c r="T183" s="1" t="s">
        <v>2712</v>
      </c>
      <c r="U183" s="1">
        <f ca="1" t="shared" si="12"/>
        <v>1</v>
      </c>
    </row>
    <row r="184" spans="1:21">
      <c r="A184" s="1">
        <v>9</v>
      </c>
      <c r="B184" s="1" t="s">
        <v>170</v>
      </c>
      <c r="C184" s="1">
        <f>_xlfn.FLOOR.MATH(D16/控制台!$H$291*控制台!$D$289)</f>
        <v>126000</v>
      </c>
      <c r="D184" s="1">
        <f>_xlfn.FLOOR.MATH(E16/控制台!$H$291*控制台!$D$289)</f>
        <v>151200</v>
      </c>
      <c r="E184" s="1">
        <f>_xlfn.FLOOR.MATH(F16/控制台!$H$291*控制台!$D$289)</f>
        <v>100800</v>
      </c>
      <c r="F184" s="1">
        <f ca="1">_xlfn.FLOOR.MATH(J16*60/控制台!$H$291*控制台!$D$289)</f>
        <v>24883</v>
      </c>
      <c r="G184" s="1">
        <f>IFERROR(_xlfn.FLOOR.MATH(C184,POWER(10,MAX(0,INT(LOG10(C184)-2)))),"")</f>
        <v>126000</v>
      </c>
      <c r="H184" s="1">
        <f>IFERROR(_xlfn.FLOOR.MATH(D184,POWER(10,MAX(0,INT(LOG10(D184)-2)))),"")</f>
        <v>151000</v>
      </c>
      <c r="I184" s="1">
        <f>IFERROR(_xlfn.FLOOR.MATH(E184,POWER(10,MAX(0,INT(LOG10(E184)-2)))),"")</f>
        <v>100000</v>
      </c>
      <c r="J184" s="4" t="str">
        <f t="shared" si="13"/>
        <v>126000;151000;100000</v>
      </c>
      <c r="K184" s="1">
        <f ca="1">IFERROR(_xlfn.FLOOR.MATH($F184*控制台!K347/(控制台!O347*60)),"")</f>
        <v>21</v>
      </c>
      <c r="L184" s="1">
        <f ca="1">IFERROR(_xlfn.FLOOR.MATH($F184*控制台!L347/(控制台!P347*60)),"")</f>
        <v>18</v>
      </c>
      <c r="M184" s="1">
        <f ca="1">IFERROR(_xlfn.FLOOR.MATH($F184*控制台!M347/(控制台!Q347*60)),"")</f>
        <v>15</v>
      </c>
      <c r="N184" s="1" t="str">
        <f ca="1">IFERROR(_xlfn.FLOOR.MATH($F184*控制台!N347/(控制台!R347*60)),"")</f>
        <v/>
      </c>
      <c r="O184" s="4" t="str">
        <f ca="1">控制台!W347</f>
        <v>board;brick;cement</v>
      </c>
      <c r="P184" s="4" t="str">
        <f ca="1" t="shared" si="14"/>
        <v>21;18;15</v>
      </c>
      <c r="Q184" s="4">
        <f>_xlfn.FLOOR.MATH(K15/控制台!$H$291*控制台!$D$289,5)</f>
        <v>1080</v>
      </c>
      <c r="R184" s="4">
        <f>_xlfn.FLOOR.MATH(O15/控制台!$H$291*控制台!$D$289,5)</f>
        <v>3070</v>
      </c>
      <c r="S184" s="1" t="s">
        <v>152</v>
      </c>
      <c r="T184" s="1" t="s">
        <v>155</v>
      </c>
      <c r="U184" s="1">
        <f ca="1" t="shared" si="12"/>
        <v>1</v>
      </c>
    </row>
    <row r="185" spans="1:21">
      <c r="A185" s="1">
        <v>10</v>
      </c>
      <c r="B185" s="1" t="s">
        <v>170</v>
      </c>
      <c r="C185" s="1">
        <f>_xlfn.FLOOR.MATH(D17/控制台!$H$291*控制台!$D$289)</f>
        <v>162000</v>
      </c>
      <c r="D185" s="1">
        <f>_xlfn.FLOOR.MATH(E17/控制台!$H$291*控制台!$D$289)</f>
        <v>194400</v>
      </c>
      <c r="E185" s="1">
        <f>_xlfn.FLOOR.MATH(F17/控制台!$H$291*控制台!$D$289)</f>
        <v>129600</v>
      </c>
      <c r="F185" s="1">
        <f ca="1">_xlfn.FLOOR.MATH(J17*60/控制台!$H$291*控制台!$D$289)</f>
        <v>29030</v>
      </c>
      <c r="G185" s="1">
        <f>IFERROR(_xlfn.FLOOR.MATH(C185,POWER(10,MAX(0,INT(LOG10(C185)-2)))),"")</f>
        <v>162000</v>
      </c>
      <c r="H185" s="1">
        <f>IFERROR(_xlfn.FLOOR.MATH(D185,POWER(10,MAX(0,INT(LOG10(D185)-2)))),"")</f>
        <v>194000</v>
      </c>
      <c r="I185" s="1">
        <f>IFERROR(_xlfn.FLOOR.MATH(E185,POWER(10,MAX(0,INT(LOG10(E185)-2)))),"")</f>
        <v>129000</v>
      </c>
      <c r="J185" s="4" t="str">
        <f t="shared" si="13"/>
        <v>162000;194000;129000</v>
      </c>
      <c r="K185" s="1">
        <f ca="1">IFERROR(_xlfn.FLOOR.MATH($F185*控制台!K348/(控制台!O348*60)),"")</f>
        <v>24</v>
      </c>
      <c r="L185" s="1">
        <f ca="1">IFERROR(_xlfn.FLOOR.MATH($F185*控制台!L348/(控制台!P348*60)),"")</f>
        <v>21</v>
      </c>
      <c r="M185" s="1">
        <f ca="1">IFERROR(_xlfn.FLOOR.MATH($F185*控制台!M348/(控制台!Q348*60)),"")</f>
        <v>18</v>
      </c>
      <c r="N185" s="1" t="str">
        <f ca="1">IFERROR(_xlfn.FLOOR.MATH($F185*控制台!N348/(控制台!R348*60)),"")</f>
        <v/>
      </c>
      <c r="O185" s="4" t="str">
        <f ca="1">控制台!W348</f>
        <v>board;brick;cement</v>
      </c>
      <c r="P185" s="4" t="str">
        <f ca="1" t="shared" si="14"/>
        <v>24;21;18</v>
      </c>
      <c r="Q185" s="4">
        <f>_xlfn.FLOOR.MATH(K16/控制台!$H$291*控制台!$D$289,5)</f>
        <v>1510</v>
      </c>
      <c r="R185" s="4">
        <f>_xlfn.FLOOR.MATH(O16/控制台!$H$291*控制台!$D$289,5)</f>
        <v>4275</v>
      </c>
      <c r="S185" s="1" t="s">
        <v>152</v>
      </c>
      <c r="T185" s="1" t="s">
        <v>2713</v>
      </c>
      <c r="U185" s="1">
        <f ca="1" t="shared" si="12"/>
        <v>1</v>
      </c>
    </row>
    <row r="186" spans="1:21">
      <c r="A186" s="1">
        <v>11</v>
      </c>
      <c r="B186" s="1" t="s">
        <v>170</v>
      </c>
      <c r="C186" s="1">
        <f>_xlfn.FLOOR.MATH(D18/控制台!$H$291*控制台!$D$289)</f>
        <v>180000</v>
      </c>
      <c r="D186" s="1">
        <f>_xlfn.FLOOR.MATH(E18/控制台!$H$291*控制台!$D$289)</f>
        <v>216000</v>
      </c>
      <c r="E186" s="1">
        <f>_xlfn.FLOOR.MATH(F18/控制台!$H$291*控制台!$D$289)</f>
        <v>144000</v>
      </c>
      <c r="F186" s="1">
        <f ca="1">_xlfn.FLOOR.MATH(J18*60/控制台!$H$291*控制台!$D$289)</f>
        <v>36495</v>
      </c>
      <c r="G186" s="1">
        <f>IFERROR(_xlfn.FLOOR.MATH(C186,POWER(10,MAX(0,INT(LOG10(C186)-2)))),"")</f>
        <v>180000</v>
      </c>
      <c r="H186" s="1">
        <f>IFERROR(_xlfn.FLOOR.MATH(D186,POWER(10,MAX(0,INT(LOG10(D186)-2)))),"")</f>
        <v>216000</v>
      </c>
      <c r="I186" s="1">
        <f>IFERROR(_xlfn.FLOOR.MATH(E186,POWER(10,MAX(0,INT(LOG10(E186)-2)))),"")</f>
        <v>144000</v>
      </c>
      <c r="J186" s="4" t="str">
        <f t="shared" si="13"/>
        <v>180000;216000;144000</v>
      </c>
      <c r="K186" s="1">
        <f ca="1">IFERROR(_xlfn.FLOOR.MATH($F186*控制台!K349/(控制台!O349*60)),"")</f>
        <v>31</v>
      </c>
      <c r="L186" s="1">
        <f ca="1">IFERROR(_xlfn.FLOOR.MATH($F186*控制台!L349/(控制台!P349*60)),"")</f>
        <v>27</v>
      </c>
      <c r="M186" s="1">
        <f ca="1">IFERROR(_xlfn.FLOOR.MATH($F186*控制台!M349/(控制台!Q349*60)),"")</f>
        <v>23</v>
      </c>
      <c r="N186" s="1" t="str">
        <f ca="1">IFERROR(_xlfn.FLOOR.MATH($F186*控制台!N349/(控制台!R349*60)),"")</f>
        <v/>
      </c>
      <c r="O186" s="4" t="str">
        <f ca="1">控制台!W349</f>
        <v>board;brick;cement</v>
      </c>
      <c r="P186" s="4" t="str">
        <f ca="1" t="shared" si="14"/>
        <v>31;27;23</v>
      </c>
      <c r="Q186" s="4">
        <f>_xlfn.FLOOR.MATH(K17/控制台!$H$291*控制台!$D$289,5)</f>
        <v>1940</v>
      </c>
      <c r="R186" s="4">
        <f>_xlfn.FLOOR.MATH(O17/控制台!$H$291*控制台!$D$289,5)</f>
        <v>5690</v>
      </c>
      <c r="S186" s="1" t="s">
        <v>152</v>
      </c>
      <c r="T186" s="1" t="s">
        <v>2676</v>
      </c>
      <c r="U186" s="1">
        <f ca="1" t="shared" si="12"/>
        <v>1</v>
      </c>
    </row>
    <row r="187" spans="1:21">
      <c r="A187" s="1">
        <v>12</v>
      </c>
      <c r="B187" s="1" t="s">
        <v>170</v>
      </c>
      <c r="C187" s="1">
        <f>_xlfn.FLOOR.MATH(D19/控制台!$H$291*控制台!$D$289)</f>
        <v>270000</v>
      </c>
      <c r="D187" s="1">
        <f>_xlfn.FLOOR.MATH(E19/控制台!$H$291*控制台!$D$289)</f>
        <v>324000</v>
      </c>
      <c r="E187" s="1">
        <f>_xlfn.FLOOR.MATH(F19/控制台!$H$291*控制台!$D$289)</f>
        <v>216000</v>
      </c>
      <c r="F187" s="1">
        <f ca="1">_xlfn.FLOOR.MATH(J19*60/控制台!$H$291*控制台!$D$289)</f>
        <v>45619</v>
      </c>
      <c r="G187" s="1">
        <f>IFERROR(_xlfn.FLOOR.MATH(C187,POWER(10,MAX(0,INT(LOG10(C187)-2)))),"")</f>
        <v>270000</v>
      </c>
      <c r="H187" s="1">
        <f>IFERROR(_xlfn.FLOOR.MATH(D187,POWER(10,MAX(0,INT(LOG10(D187)-2)))),"")</f>
        <v>324000</v>
      </c>
      <c r="I187" s="1">
        <f>IFERROR(_xlfn.FLOOR.MATH(E187,POWER(10,MAX(0,INT(LOG10(E187)-2)))),"")</f>
        <v>216000</v>
      </c>
      <c r="J187" s="4" t="str">
        <f t="shared" si="13"/>
        <v>270000;324000;216000</v>
      </c>
      <c r="K187" s="1">
        <f ca="1">IFERROR(_xlfn.FLOOR.MATH($F187*控制台!K350/(控制台!O350*60)),"")</f>
        <v>38</v>
      </c>
      <c r="L187" s="1">
        <f ca="1">IFERROR(_xlfn.FLOOR.MATH($F187*控制台!L350/(控制台!P350*60)),"")</f>
        <v>34</v>
      </c>
      <c r="M187" s="1">
        <f ca="1">IFERROR(_xlfn.FLOOR.MATH($F187*控制台!M350/(控制台!Q350*60)),"")</f>
        <v>29</v>
      </c>
      <c r="N187" s="1" t="str">
        <f ca="1">IFERROR(_xlfn.FLOOR.MATH($F187*控制台!N350/(控制台!R350*60)),"")</f>
        <v/>
      </c>
      <c r="O187" s="4" t="str">
        <f ca="1">控制台!W350</f>
        <v>board;brick;cement</v>
      </c>
      <c r="P187" s="4" t="str">
        <f ca="1" t="shared" si="14"/>
        <v>38;34;29</v>
      </c>
      <c r="Q187" s="4">
        <f>_xlfn.FLOOR.MATH(K18/控制台!$H$291*控制台!$D$289,5)</f>
        <v>2160</v>
      </c>
      <c r="R187" s="4">
        <f>_xlfn.FLOOR.MATH(O18/控制台!$H$291*控制台!$D$289,5)</f>
        <v>7300</v>
      </c>
      <c r="S187" s="1" t="s">
        <v>152</v>
      </c>
      <c r="T187" s="1" t="s">
        <v>2714</v>
      </c>
      <c r="U187" s="1">
        <f ca="1" t="shared" si="12"/>
        <v>1</v>
      </c>
    </row>
    <row r="188" spans="1:21">
      <c r="A188" s="1">
        <v>13</v>
      </c>
      <c r="B188" s="1" t="s">
        <v>170</v>
      </c>
      <c r="C188" s="1">
        <f>_xlfn.FLOOR.MATH(D20/控制台!$H$291*控制台!$D$289)</f>
        <v>540000</v>
      </c>
      <c r="D188" s="1">
        <f>_xlfn.FLOOR.MATH(E20/控制台!$H$291*控制台!$D$289)</f>
        <v>648000</v>
      </c>
      <c r="E188" s="1">
        <f>_xlfn.FLOOR.MATH(F20/控制台!$H$291*控制台!$D$289)</f>
        <v>432000</v>
      </c>
      <c r="F188" s="1">
        <f ca="1">_xlfn.FLOOR.MATH(J20*60/控制台!$H$291*控制台!$D$289)</f>
        <v>68428</v>
      </c>
      <c r="G188" s="1">
        <f>IFERROR(_xlfn.FLOOR.MATH(C188,POWER(10,MAX(0,INT(LOG10(C188)-2)))),"")</f>
        <v>540000</v>
      </c>
      <c r="H188" s="1">
        <f>IFERROR(_xlfn.FLOOR.MATH(D188,POWER(10,MAX(0,INT(LOG10(D188)-2)))),"")</f>
        <v>648000</v>
      </c>
      <c r="I188" s="1">
        <f>IFERROR(_xlfn.FLOOR.MATH(E188,POWER(10,MAX(0,INT(LOG10(E188)-2)))),"")</f>
        <v>432000</v>
      </c>
      <c r="J188" s="4" t="str">
        <f t="shared" si="13"/>
        <v>540000;648000;432000</v>
      </c>
      <c r="K188" s="1">
        <f ca="1">IFERROR(_xlfn.FLOOR.MATH($F188*控制台!K351/(控制台!O351*60)),"")</f>
        <v>31</v>
      </c>
      <c r="L188" s="1">
        <f ca="1">IFERROR(_xlfn.FLOOR.MATH($F188*控制台!L351/(控制台!P351*60)),"")</f>
        <v>23</v>
      </c>
      <c r="M188" s="1">
        <f ca="1">IFERROR(_xlfn.FLOOR.MATH($F188*控制台!M351/(控制台!Q351*60)),"")</f>
        <v>18</v>
      </c>
      <c r="N188" s="1" t="str">
        <f ca="1">IFERROR(_xlfn.FLOOR.MATH($F188*控制台!N351/(控制台!R351*60)),"")</f>
        <v/>
      </c>
      <c r="O188" s="4" t="str">
        <f ca="1">控制台!W351</f>
        <v>board;cement;steel</v>
      </c>
      <c r="P188" s="4" t="str">
        <f ca="1" t="shared" si="14"/>
        <v>31;23;18</v>
      </c>
      <c r="Q188" s="4">
        <f>_xlfn.FLOOR.MATH(K19/控制台!$H$291*控制台!$D$289,5)</f>
        <v>3240</v>
      </c>
      <c r="R188" s="4">
        <f>_xlfn.FLOOR.MATH(O19/控制台!$H$291*控制台!$D$289,5)</f>
        <v>9345</v>
      </c>
      <c r="S188" s="1" t="s">
        <v>2680</v>
      </c>
      <c r="T188" s="1" t="s">
        <v>2715</v>
      </c>
      <c r="U188" s="1">
        <f ca="1" t="shared" si="12"/>
        <v>1</v>
      </c>
    </row>
    <row r="189" spans="1:21">
      <c r="A189" s="1">
        <v>14</v>
      </c>
      <c r="B189" s="1" t="s">
        <v>170</v>
      </c>
      <c r="C189" s="1">
        <f>_xlfn.FLOOR.MATH(D21/控制台!$H$291*控制台!$D$289)</f>
        <v>900000</v>
      </c>
      <c r="D189" s="1">
        <f>_xlfn.FLOOR.MATH(E21/控制台!$H$291*控制台!$D$289)</f>
        <v>1080000</v>
      </c>
      <c r="E189" s="1">
        <f>_xlfn.FLOOR.MATH(F21/控制台!$H$291*控制台!$D$289)</f>
        <v>720000</v>
      </c>
      <c r="F189" s="1">
        <f ca="1">_xlfn.FLOOR.MATH(J21*60/控制台!$H$291*控制台!$D$289)</f>
        <v>91238</v>
      </c>
      <c r="G189" s="1">
        <f>IFERROR(_xlfn.FLOOR.MATH(C189,POWER(10,MAX(0,INT(LOG10(C189)-2)))),"")</f>
        <v>900000</v>
      </c>
      <c r="H189" s="1">
        <f>IFERROR(_xlfn.FLOOR.MATH(D189,POWER(10,MAX(0,INT(LOG10(D189)-2)))),"")</f>
        <v>1080000</v>
      </c>
      <c r="I189" s="1">
        <f>IFERROR(_xlfn.FLOOR.MATH(E189,POWER(10,MAX(0,INT(LOG10(E189)-2)))),"")</f>
        <v>720000</v>
      </c>
      <c r="J189" s="4" t="str">
        <f t="shared" si="13"/>
        <v>900000;1080000;720000</v>
      </c>
      <c r="K189" s="1">
        <f ca="1">IFERROR(_xlfn.FLOOR.MATH($F189*控制台!K352/(控制台!O352*60)),"")</f>
        <v>34</v>
      </c>
      <c r="L189" s="1">
        <f ca="1">IFERROR(_xlfn.FLOOR.MATH($F189*控制台!L352/(控制台!P352*60)),"")</f>
        <v>29</v>
      </c>
      <c r="M189" s="1">
        <f ca="1">IFERROR(_xlfn.FLOOR.MATH($F189*控制台!M352/(控制台!Q352*60)),"")</f>
        <v>22</v>
      </c>
      <c r="N189" s="1" t="str">
        <f ca="1">IFERROR(_xlfn.FLOOR.MATH($F189*控制台!N352/(控制台!R352*60)),"")</f>
        <v/>
      </c>
      <c r="O189" s="4" t="str">
        <f ca="1">控制台!W352</f>
        <v>brick;cement;steel</v>
      </c>
      <c r="P189" s="4" t="str">
        <f ca="1" t="shared" si="14"/>
        <v>34;29;22</v>
      </c>
      <c r="Q189" s="4">
        <f>_xlfn.FLOOR.MATH(K20/控制台!$H$291*控制台!$D$289,5)</f>
        <v>6480</v>
      </c>
      <c r="R189" s="4">
        <f>_xlfn.FLOOR.MATH(O20/控制台!$H$291*控制台!$D$289,5)</f>
        <v>12495</v>
      </c>
      <c r="S189" s="1" t="s">
        <v>2682</v>
      </c>
      <c r="T189" s="1" t="s">
        <v>2716</v>
      </c>
      <c r="U189" s="1">
        <f ca="1" t="shared" si="12"/>
        <v>1</v>
      </c>
    </row>
    <row r="190" spans="1:21">
      <c r="A190" s="1">
        <v>15</v>
      </c>
      <c r="B190" s="1" t="s">
        <v>170</v>
      </c>
      <c r="C190" s="1">
        <f>_xlfn.FLOOR.MATH(D22/控制台!$H$291*控制台!$D$289)</f>
        <v>1080000</v>
      </c>
      <c r="D190" s="1">
        <f>_xlfn.FLOOR.MATH(E22/控制台!$H$291*控制台!$D$289)</f>
        <v>1296000</v>
      </c>
      <c r="E190" s="1">
        <f>_xlfn.FLOOR.MATH(F22/控制台!$H$291*控制台!$D$289)</f>
        <v>864000</v>
      </c>
      <c r="F190" s="1">
        <f ca="1">_xlfn.FLOOR.MATH(J22*60/控制台!$H$291*控制台!$D$289)</f>
        <v>114048</v>
      </c>
      <c r="G190" s="1">
        <f>IFERROR(_xlfn.FLOOR.MATH(C190,POWER(10,MAX(0,INT(LOG10(C190)-2)))),"")</f>
        <v>1080000</v>
      </c>
      <c r="H190" s="1">
        <f>IFERROR(_xlfn.FLOOR.MATH(D190,POWER(10,MAX(0,INT(LOG10(D190)-2)))),"")</f>
        <v>1290000</v>
      </c>
      <c r="I190" s="1">
        <f>IFERROR(_xlfn.FLOOR.MATH(E190,POWER(10,MAX(0,INT(LOG10(E190)-2)))),"")</f>
        <v>864000</v>
      </c>
      <c r="J190" s="4" t="str">
        <f t="shared" si="13"/>
        <v>1080000;1290000;864000</v>
      </c>
      <c r="K190" s="1">
        <f ca="1">IFERROR(_xlfn.FLOOR.MATH($F190*控制台!K353/(控制台!O353*60)),"")</f>
        <v>77</v>
      </c>
      <c r="L190" s="1">
        <f ca="1">IFERROR(_xlfn.FLOOR.MATH($F190*控制台!L353/(控制台!P353*60)),"")</f>
        <v>67</v>
      </c>
      <c r="M190" s="1">
        <f ca="1">IFERROR(_xlfn.FLOOR.MATH($F190*控制台!M353/(控制台!Q353*60)),"")</f>
        <v>44</v>
      </c>
      <c r="N190" s="1" t="str">
        <f ca="1">IFERROR(_xlfn.FLOOR.MATH($F190*控制台!N353/(控制台!R353*60)),"")</f>
        <v/>
      </c>
      <c r="O190" s="4" t="str">
        <f ca="1">控制台!W353</f>
        <v>board;brick;steel</v>
      </c>
      <c r="P190" s="4" t="str">
        <f ca="1" t="shared" si="14"/>
        <v>77;67;44</v>
      </c>
      <c r="Q190" s="4">
        <f>_xlfn.FLOOR.MATH(K21/控制台!$H$291*控制台!$D$289,5)</f>
        <v>10800</v>
      </c>
      <c r="R190" s="4">
        <f>_xlfn.FLOOR.MATH(O21/控制台!$H$291*控制台!$D$289,5)</f>
        <v>16805</v>
      </c>
      <c r="S190" s="1" t="s">
        <v>2684</v>
      </c>
      <c r="T190" s="1" t="s">
        <v>2717</v>
      </c>
      <c r="U190" s="1">
        <f ca="1" t="shared" si="12"/>
        <v>1</v>
      </c>
    </row>
    <row r="191" spans="1:21">
      <c r="A191" s="1">
        <v>16</v>
      </c>
      <c r="B191" s="1" t="s">
        <v>170</v>
      </c>
      <c r="C191" s="1">
        <f>_xlfn.FLOOR.MATH(D23/控制台!$H$291*控制台!$D$289)</f>
        <v>1260000</v>
      </c>
      <c r="D191" s="1">
        <f>_xlfn.FLOOR.MATH(E23/控制台!$H$291*控制台!$D$289)</f>
        <v>1512000</v>
      </c>
      <c r="E191" s="1">
        <f>_xlfn.FLOOR.MATH(F23/控制台!$H$291*控制台!$D$289)</f>
        <v>1008000</v>
      </c>
      <c r="F191" s="1">
        <f ca="1">_xlfn.FLOOR.MATH(J23*60/控制台!$H$291*控制台!$D$289)</f>
        <v>136857</v>
      </c>
      <c r="G191" s="1">
        <f>IFERROR(_xlfn.FLOOR.MATH(C191,POWER(10,MAX(0,INT(LOG10(C191)-2)))),"")</f>
        <v>1260000</v>
      </c>
      <c r="H191" s="1">
        <f>IFERROR(_xlfn.FLOOR.MATH(D191,POWER(10,MAX(0,INT(LOG10(D191)-2)))),"")</f>
        <v>1510000</v>
      </c>
      <c r="I191" s="1">
        <f>IFERROR(_xlfn.FLOOR.MATH(E191,POWER(10,MAX(0,INT(LOG10(E191)-2)))),"")</f>
        <v>1000000</v>
      </c>
      <c r="J191" s="4" t="str">
        <f t="shared" si="13"/>
        <v>1260000;1510000;1000000</v>
      </c>
      <c r="K191" s="1">
        <f ca="1">IFERROR(_xlfn.FLOOR.MATH($F191*控制台!K354/(控制台!O354*60)),"")</f>
        <v>51</v>
      </c>
      <c r="L191" s="1">
        <f ca="1">IFERROR(_xlfn.FLOOR.MATH($F191*控制台!L354/(控制台!P354*60)),"")</f>
        <v>44</v>
      </c>
      <c r="M191" s="1">
        <f ca="1">IFERROR(_xlfn.FLOOR.MATH($F191*控制台!M354/(控制台!Q354*60)),"")</f>
        <v>33</v>
      </c>
      <c r="N191" s="1" t="str">
        <f ca="1">IFERROR(_xlfn.FLOOR.MATH($F191*控制台!N354/(控制台!R354*60)),"")</f>
        <v/>
      </c>
      <c r="O191" s="4" t="str">
        <f ca="1">控制台!W354</f>
        <v>brick;cement;steel</v>
      </c>
      <c r="P191" s="4" t="str">
        <f ca="1" t="shared" si="14"/>
        <v>51;44;33</v>
      </c>
      <c r="Q191" s="4">
        <f>_xlfn.FLOOR.MATH(K22/控制台!$H$291*控制台!$D$289,5)</f>
        <v>12960</v>
      </c>
      <c r="R191" s="4">
        <f>_xlfn.FLOOR.MATH(O22/控制台!$H$291*控制台!$D$289,5)</f>
        <v>22170</v>
      </c>
      <c r="S191" s="1" t="s">
        <v>2682</v>
      </c>
      <c r="T191" s="1" t="s">
        <v>2683</v>
      </c>
      <c r="U191" s="1">
        <f ca="1" t="shared" si="12"/>
        <v>1</v>
      </c>
    </row>
    <row r="192" spans="1:21">
      <c r="A192" s="1">
        <v>17</v>
      </c>
      <c r="B192" s="1" t="s">
        <v>170</v>
      </c>
      <c r="C192" s="1">
        <f>_xlfn.FLOOR.MATH(D24/控制台!$H$291*控制台!$D$289)</f>
        <v>1980000</v>
      </c>
      <c r="D192" s="1">
        <f>_xlfn.FLOOR.MATH(E24/控制台!$H$291*控制台!$D$289)</f>
        <v>2376000</v>
      </c>
      <c r="E192" s="1">
        <f>_xlfn.FLOOR.MATH(F24/控制台!$H$291*控制台!$D$289)</f>
        <v>1584000</v>
      </c>
      <c r="F192" s="1">
        <f ca="1">_xlfn.FLOOR.MATH(J24*60/控制台!$H$291*控制台!$D$289)</f>
        <v>159667</v>
      </c>
      <c r="G192" s="1">
        <f>IFERROR(_xlfn.FLOOR.MATH(C192,POWER(10,MAX(0,INT(LOG10(C192)-2)))),"")</f>
        <v>1980000</v>
      </c>
      <c r="H192" s="1">
        <f>IFERROR(_xlfn.FLOOR.MATH(D192,POWER(10,MAX(0,INT(LOG10(D192)-2)))),"")</f>
        <v>2370000</v>
      </c>
      <c r="I192" s="1">
        <f>IFERROR(_xlfn.FLOOR.MATH(E192,POWER(10,MAX(0,INT(LOG10(E192)-2)))),"")</f>
        <v>1580000</v>
      </c>
      <c r="J192" s="4" t="str">
        <f t="shared" si="13"/>
        <v>1980000;2370000;1580000</v>
      </c>
      <c r="K192" s="1">
        <f ca="1">IFERROR(_xlfn.FLOOR.MATH($F192*控制台!K355/(控制台!O355*60)),"")</f>
        <v>73</v>
      </c>
      <c r="L192" s="1">
        <f ca="1">IFERROR(_xlfn.FLOOR.MATH($F192*控制台!L355/(控制台!P355*60)),"")</f>
        <v>55</v>
      </c>
      <c r="M192" s="1">
        <f ca="1">IFERROR(_xlfn.FLOOR.MATH($F192*控制台!M355/(控制台!Q355*60)),"")</f>
        <v>42</v>
      </c>
      <c r="N192" s="1" t="str">
        <f ca="1">IFERROR(_xlfn.FLOOR.MATH($F192*控制台!N355/(控制台!R355*60)),"")</f>
        <v/>
      </c>
      <c r="O192" s="4" t="str">
        <f ca="1">控制台!W355</f>
        <v>board;cement;steel</v>
      </c>
      <c r="P192" s="4" t="str">
        <f ca="1" t="shared" si="14"/>
        <v>73;55;42</v>
      </c>
      <c r="Q192" s="4">
        <f>_xlfn.FLOOR.MATH(K23/控制台!$H$291*控制台!$D$289,5)</f>
        <v>15120</v>
      </c>
      <c r="R192" s="4">
        <f>_xlfn.FLOOR.MATH(O23/控制台!$H$291*控制台!$D$289,5)</f>
        <v>28580</v>
      </c>
      <c r="S192" s="1" t="s">
        <v>2680</v>
      </c>
      <c r="T192" s="1" t="s">
        <v>2718</v>
      </c>
      <c r="U192" s="1">
        <f ca="1" t="shared" si="12"/>
        <v>1</v>
      </c>
    </row>
    <row r="193" spans="1:21">
      <c r="A193" s="1">
        <v>18</v>
      </c>
      <c r="B193" s="1" t="s">
        <v>170</v>
      </c>
      <c r="C193" s="1">
        <f>_xlfn.FLOOR.MATH(D25/控制台!$H$291*控制台!$D$289)</f>
        <v>2250000</v>
      </c>
      <c r="D193" s="1">
        <f>_xlfn.FLOOR.MATH(E25/控制台!$H$291*控制台!$D$289)</f>
        <v>2700000</v>
      </c>
      <c r="E193" s="1">
        <f>_xlfn.FLOOR.MATH(F25/控制台!$H$291*控制台!$D$289)</f>
        <v>1800000</v>
      </c>
      <c r="F193" s="1">
        <f ca="1">_xlfn.FLOOR.MATH(J25*60/控制台!$H$291*控制台!$D$289)</f>
        <v>182476</v>
      </c>
      <c r="G193" s="1">
        <f>IFERROR(_xlfn.FLOOR.MATH(C193,POWER(10,MAX(0,INT(LOG10(C193)-2)))),"")</f>
        <v>2250000</v>
      </c>
      <c r="H193" s="1">
        <f>IFERROR(_xlfn.FLOOR.MATH(D193,POWER(10,MAX(0,INT(LOG10(D193)-2)))),"")</f>
        <v>2700000</v>
      </c>
      <c r="I193" s="1">
        <f>IFERROR(_xlfn.FLOOR.MATH(E193,POWER(10,MAX(0,INT(LOG10(E193)-2)))),"")</f>
        <v>1800000</v>
      </c>
      <c r="J193" s="4" t="str">
        <f t="shared" si="13"/>
        <v>2250000;2700000;1800000</v>
      </c>
      <c r="K193" s="1">
        <f ca="1">IFERROR(_xlfn.FLOOR.MATH($F193*控制台!K356/(控制台!O356*60)),"")</f>
        <v>69</v>
      </c>
      <c r="L193" s="1">
        <f ca="1">IFERROR(_xlfn.FLOOR.MATH($F193*控制台!L356/(控制台!P356*60)),"")</f>
        <v>59</v>
      </c>
      <c r="M193" s="1">
        <f ca="1">IFERROR(_xlfn.FLOOR.MATH($F193*控制台!M356/(控制台!Q356*60)),"")</f>
        <v>45</v>
      </c>
      <c r="N193" s="1" t="str">
        <f ca="1">IFERROR(_xlfn.FLOOR.MATH($F193*控制台!N356/(控制台!R356*60)),"")</f>
        <v/>
      </c>
      <c r="O193" s="4" t="str">
        <f ca="1">控制台!W356</f>
        <v>brick;cement;steel</v>
      </c>
      <c r="P193" s="4" t="str">
        <f ca="1" t="shared" si="14"/>
        <v>69;59;45</v>
      </c>
      <c r="Q193" s="4">
        <f>_xlfn.FLOOR.MATH(K24/控制台!$H$291*控制台!$D$289,5)</f>
        <v>23760</v>
      </c>
      <c r="R193" s="4">
        <f>_xlfn.FLOOR.MATH(O24/控制台!$H$291*控制台!$D$289,5)</f>
        <v>36380</v>
      </c>
      <c r="S193" s="1" t="s">
        <v>2682</v>
      </c>
      <c r="T193" s="1" t="s">
        <v>2719</v>
      </c>
      <c r="U193" s="1">
        <f ca="1" t="shared" si="12"/>
        <v>1</v>
      </c>
    </row>
    <row r="194" spans="1:21">
      <c r="A194" s="1">
        <v>19</v>
      </c>
      <c r="B194" s="1" t="s">
        <v>170</v>
      </c>
      <c r="C194" s="1">
        <f>_xlfn.FLOOR.MATH(D26/控制台!$H$291*控制台!$D$289)</f>
        <v>2520000</v>
      </c>
      <c r="D194" s="1">
        <f>_xlfn.FLOOR.MATH(E26/控制台!$H$291*控制台!$D$289)</f>
        <v>3024000</v>
      </c>
      <c r="E194" s="1">
        <f>_xlfn.FLOOR.MATH(F26/控制台!$H$291*控制台!$D$289)</f>
        <v>2016000</v>
      </c>
      <c r="F194" s="1">
        <f ca="1">_xlfn.FLOOR.MATH(J26*60/控制台!$H$291*控制台!$D$289)</f>
        <v>251942</v>
      </c>
      <c r="G194" s="1">
        <f>IFERROR(_xlfn.FLOOR.MATH(C194,POWER(10,MAX(0,INT(LOG10(C194)-2)))),"")</f>
        <v>2520000</v>
      </c>
      <c r="H194" s="1">
        <f>IFERROR(_xlfn.FLOOR.MATH(D194,POWER(10,MAX(0,INT(LOG10(D194)-2)))),"")</f>
        <v>3020000</v>
      </c>
      <c r="I194" s="1">
        <f>IFERROR(_xlfn.FLOOR.MATH(E194,POWER(10,MAX(0,INT(LOG10(E194)-2)))),"")</f>
        <v>2010000</v>
      </c>
      <c r="J194" s="4" t="str">
        <f t="shared" si="13"/>
        <v>2520000;3020000;2010000</v>
      </c>
      <c r="K194" s="1">
        <f ca="1">IFERROR(_xlfn.FLOOR.MATH($F194*控制台!K357/(控制台!O357*60)),"")</f>
        <v>106</v>
      </c>
      <c r="L194" s="1">
        <f ca="1">IFERROR(_xlfn.FLOOR.MATH($F194*控制台!L357/(控制台!P357*60)),"")</f>
        <v>93</v>
      </c>
      <c r="M194" s="1">
        <f ca="1">IFERROR(_xlfn.FLOOR.MATH($F194*控制台!M357/(控制台!Q357*60)),"")</f>
        <v>79</v>
      </c>
      <c r="N194" s="1">
        <f ca="1">IFERROR(_xlfn.FLOOR.MATH($F194*控制台!N357/(控制台!R357*60)),"")</f>
        <v>60</v>
      </c>
      <c r="O194" s="4" t="str">
        <f ca="1">控制台!W357</f>
        <v>board;brick;cement;steel</v>
      </c>
      <c r="P194" s="4" t="str">
        <f ca="1" t="shared" si="14"/>
        <v>106;93;79;60</v>
      </c>
      <c r="Q194" s="4">
        <f>_xlfn.FLOOR.MATH(K25/控制台!$H$291*控制台!$D$289,5)</f>
        <v>27000</v>
      </c>
      <c r="R194" s="4">
        <f>_xlfn.FLOOR.MATH(O25/控制台!$H$291*控制台!$D$289,5)</f>
        <v>45290</v>
      </c>
      <c r="S194" s="1" t="s">
        <v>2689</v>
      </c>
      <c r="T194" s="1" t="s">
        <v>2720</v>
      </c>
      <c r="U194" s="1">
        <f ca="1" t="shared" si="12"/>
        <v>1</v>
      </c>
    </row>
    <row r="195" spans="1:21">
      <c r="A195" s="1">
        <v>20</v>
      </c>
      <c r="B195" s="1" t="s">
        <v>170</v>
      </c>
      <c r="C195" s="1">
        <f>_xlfn.FLOOR.MATH(D27/控制台!$H$291*控制台!$D$289)</f>
        <v>2790000</v>
      </c>
      <c r="D195" s="1">
        <f>_xlfn.FLOOR.MATH(E27/控制台!$H$291*控制台!$D$289)</f>
        <v>3348000</v>
      </c>
      <c r="E195" s="1">
        <f>_xlfn.FLOOR.MATH(F27/控制台!$H$291*控制台!$D$289)</f>
        <v>2232000</v>
      </c>
      <c r="F195" s="1">
        <f ca="1">_xlfn.FLOOR.MATH(J27*60/控制台!$H$291*控制台!$D$289)</f>
        <v>279936</v>
      </c>
      <c r="G195" s="1">
        <f>IFERROR(_xlfn.FLOOR.MATH(C195,POWER(10,MAX(0,INT(LOG10(C195)-2)))),"")</f>
        <v>2790000</v>
      </c>
      <c r="H195" s="1">
        <f>IFERROR(_xlfn.FLOOR.MATH(D195,POWER(10,MAX(0,INT(LOG10(D195)-2)))),"")</f>
        <v>3340000</v>
      </c>
      <c r="I195" s="1">
        <f>IFERROR(_xlfn.FLOOR.MATH(E195,POWER(10,MAX(0,INT(LOG10(E195)-2)))),"")</f>
        <v>2230000</v>
      </c>
      <c r="J195" s="4" t="str">
        <f t="shared" si="13"/>
        <v>2790000;3340000;2230000</v>
      </c>
      <c r="K195" s="1">
        <f ca="1">IFERROR(_xlfn.FLOOR.MATH($F195*控制台!K358/(控制台!O358*60)),"")</f>
        <v>64</v>
      </c>
      <c r="L195" s="1">
        <f ca="1">IFERROR(_xlfn.FLOOR.MATH($F195*控制台!L358/(控制台!P358*60)),"")</f>
        <v>55</v>
      </c>
      <c r="M195" s="1">
        <f ca="1">IFERROR(_xlfn.FLOOR.MATH($F195*控制台!M358/(控制台!Q358*60)),"")</f>
        <v>41</v>
      </c>
      <c r="N195" s="1">
        <f ca="1">IFERROR(_xlfn.FLOOR.MATH($F195*控制台!N358/(控制台!R358*60)),"")</f>
        <v>36</v>
      </c>
      <c r="O195" s="4" t="str">
        <f ca="1">控制台!W358</f>
        <v>brick;cement;steel;pitch</v>
      </c>
      <c r="P195" s="4" t="str">
        <f ca="1" t="shared" si="14"/>
        <v>64;55;41;36</v>
      </c>
      <c r="Q195" s="4">
        <f>_xlfn.FLOOR.MATH(K26/控制台!$H$291*控制台!$D$289,5)</f>
        <v>30240</v>
      </c>
      <c r="R195" s="4">
        <f>_xlfn.FLOOR.MATH(O26/控制台!$H$291*控制台!$D$289,5)</f>
        <v>55300</v>
      </c>
      <c r="S195" s="1" t="s">
        <v>2691</v>
      </c>
      <c r="T195" s="1" t="s">
        <v>2721</v>
      </c>
      <c r="U195" s="1">
        <f ca="1" t="shared" si="12"/>
        <v>1</v>
      </c>
    </row>
    <row r="196" spans="1:21">
      <c r="A196" s="1">
        <v>21</v>
      </c>
      <c r="B196" s="1" t="s">
        <v>170</v>
      </c>
      <c r="C196" s="1">
        <f>_xlfn.FLOOR.MATH(D28/控制台!$H$291*控制台!$D$289)</f>
        <v>2970000</v>
      </c>
      <c r="D196" s="1">
        <f>_xlfn.FLOOR.MATH(E28/控制台!$H$291*控制台!$D$289)</f>
        <v>3564000</v>
      </c>
      <c r="E196" s="1">
        <f>_xlfn.FLOOR.MATH(F28/控制台!$H$291*控制台!$D$289)</f>
        <v>2376000</v>
      </c>
      <c r="F196" s="1">
        <f ca="1">_xlfn.FLOOR.MATH(J28*60/控制台!$H$291*控制台!$D$289)</f>
        <v>307929</v>
      </c>
      <c r="G196" s="1">
        <f>IFERROR(_xlfn.FLOOR.MATH(C196,POWER(10,MAX(0,INT(LOG10(C196)-2)))),"")</f>
        <v>2970000</v>
      </c>
      <c r="H196" s="1">
        <f>IFERROR(_xlfn.FLOOR.MATH(D196,POWER(10,MAX(0,INT(LOG10(D196)-2)))),"")</f>
        <v>3560000</v>
      </c>
      <c r="I196" s="1">
        <f>IFERROR(_xlfn.FLOOR.MATH(E196,POWER(10,MAX(0,INT(LOG10(E196)-2)))),"")</f>
        <v>2370000</v>
      </c>
      <c r="J196" s="4" t="str">
        <f t="shared" si="13"/>
        <v>2970000;3560000;2370000</v>
      </c>
      <c r="K196" s="1">
        <f ca="1">IFERROR(_xlfn.FLOOR.MATH($F196*控制台!K359/(控制台!O359*60)),"")</f>
        <v>103</v>
      </c>
      <c r="L196" s="1">
        <f ca="1">IFERROR(_xlfn.FLOOR.MATH($F196*控制台!L359/(控制台!P359*60)),"")</f>
        <v>90</v>
      </c>
      <c r="M196" s="1">
        <f ca="1">IFERROR(_xlfn.FLOOR.MATH($F196*控制台!M359/(控制台!Q359*60)),"")</f>
        <v>59</v>
      </c>
      <c r="N196" s="1">
        <f ca="1">IFERROR(_xlfn.FLOOR.MATH($F196*控制台!N359/(控制台!R359*60)),"")</f>
        <v>51</v>
      </c>
      <c r="O196" s="4" t="str">
        <f ca="1">控制台!W359</f>
        <v>board;brick;steel;pitch</v>
      </c>
      <c r="P196" s="4" t="str">
        <f ca="1" t="shared" si="14"/>
        <v>103;90;59;51</v>
      </c>
      <c r="Q196" s="4">
        <f>_xlfn.FLOOR.MATH(K27/控制台!$H$291*控制台!$D$289,5)</f>
        <v>33480</v>
      </c>
      <c r="R196" s="4">
        <f>_xlfn.FLOOR.MATH(O27/控制台!$H$291*控制台!$D$289,5)</f>
        <v>66420</v>
      </c>
      <c r="S196" s="1" t="s">
        <v>2693</v>
      </c>
      <c r="T196" s="1" t="s">
        <v>2722</v>
      </c>
      <c r="U196" s="1">
        <f ca="1" t="shared" si="12"/>
        <v>1</v>
      </c>
    </row>
    <row r="197" spans="1:21">
      <c r="A197" s="1">
        <v>22</v>
      </c>
      <c r="B197" s="1" t="s">
        <v>170</v>
      </c>
      <c r="C197" s="1">
        <f>_xlfn.FLOOR.MATH(D29/控制台!$H$291*控制台!$D$289)</f>
        <v>4050000</v>
      </c>
      <c r="D197" s="1">
        <f>_xlfn.FLOOR.MATH(E29/控制台!$H$291*控制台!$D$289)</f>
        <v>4860000</v>
      </c>
      <c r="E197" s="1">
        <f>_xlfn.FLOOR.MATH(F29/控制台!$H$291*控制台!$D$289)</f>
        <v>3240000</v>
      </c>
      <c r="F197" s="1">
        <f ca="1">_xlfn.FLOOR.MATH(J29*60/控制台!$H$291*控制台!$D$289)</f>
        <v>348364</v>
      </c>
      <c r="G197" s="1">
        <f>IFERROR(_xlfn.FLOOR.MATH(C197,POWER(10,MAX(0,INT(LOG10(C197)-2)))),"")</f>
        <v>4050000</v>
      </c>
      <c r="H197" s="1">
        <f>IFERROR(_xlfn.FLOOR.MATH(D197,POWER(10,MAX(0,INT(LOG10(D197)-2)))),"")</f>
        <v>4860000</v>
      </c>
      <c r="I197" s="1">
        <f>IFERROR(_xlfn.FLOOR.MATH(E197,POWER(10,MAX(0,INT(LOG10(E197)-2)))),"")</f>
        <v>3240000</v>
      </c>
      <c r="J197" s="4" t="str">
        <f t="shared" si="13"/>
        <v>4050000;4860000;3240000</v>
      </c>
      <c r="K197" s="1">
        <f ca="1">IFERROR(_xlfn.FLOOR.MATH($F197*控制台!K360/(控制台!O360*60)),"")</f>
        <v>80</v>
      </c>
      <c r="L197" s="1">
        <f ca="1">IFERROR(_xlfn.FLOOR.MATH($F197*控制台!L360/(控制台!P360*60)),"")</f>
        <v>68</v>
      </c>
      <c r="M197" s="1">
        <f ca="1">IFERROR(_xlfn.FLOOR.MATH($F197*控制台!M360/(控制台!Q360*60)),"")</f>
        <v>52</v>
      </c>
      <c r="N197" s="1">
        <f ca="1">IFERROR(_xlfn.FLOOR.MATH($F197*控制台!N360/(控制台!R360*60)),"")</f>
        <v>45</v>
      </c>
      <c r="O197" s="4" t="str">
        <f ca="1">控制台!W360</f>
        <v>brick;cement;steel;pitch</v>
      </c>
      <c r="P197" s="4" t="str">
        <f ca="1" t="shared" si="14"/>
        <v>80;68;52;45</v>
      </c>
      <c r="Q197" s="4">
        <f>_xlfn.FLOOR.MATH(K28/控制台!$H$291*控制台!$D$289,5)</f>
        <v>35640</v>
      </c>
      <c r="R197" s="4">
        <f>_xlfn.FLOOR.MATH(O28/控制台!$H$291*控制台!$D$289,5)</f>
        <v>78590</v>
      </c>
      <c r="S197" s="1" t="s">
        <v>2691</v>
      </c>
      <c r="T197" s="1" t="s">
        <v>2723</v>
      </c>
      <c r="U197" s="1">
        <f ca="1" t="shared" si="12"/>
        <v>1</v>
      </c>
    </row>
    <row r="198" spans="1:21">
      <c r="A198" s="1">
        <v>23</v>
      </c>
      <c r="B198" s="1" t="s">
        <v>170</v>
      </c>
      <c r="C198" s="1">
        <f>_xlfn.FLOOR.MATH(D30/控制台!$H$291*控制台!$D$289)</f>
        <v>9900000</v>
      </c>
      <c r="D198" s="1">
        <f>_xlfn.FLOOR.MATH(E30/控制台!$H$291*控制台!$D$289)</f>
        <v>11880000</v>
      </c>
      <c r="E198" s="1">
        <f>_xlfn.FLOOR.MATH(F30/控制台!$H$291*控制台!$D$289)</f>
        <v>7920000</v>
      </c>
      <c r="F198" s="1">
        <f ca="1">_xlfn.FLOOR.MATH(J30*60/控制台!$H$291*控制台!$D$289)</f>
        <v>580608</v>
      </c>
      <c r="G198" s="1">
        <f>IFERROR(_xlfn.FLOOR.MATH(C198,POWER(10,MAX(0,INT(LOG10(C198)-2)))),"")</f>
        <v>9900000</v>
      </c>
      <c r="H198" s="1">
        <f>IFERROR(_xlfn.FLOOR.MATH(D198,POWER(10,MAX(0,INT(LOG10(D198)-2)))),"")</f>
        <v>11800000</v>
      </c>
      <c r="I198" s="1">
        <f>IFERROR(_xlfn.FLOOR.MATH(E198,POWER(10,MAX(0,INT(LOG10(E198)-2)))),"")</f>
        <v>7920000</v>
      </c>
      <c r="J198" s="4" t="str">
        <f t="shared" si="13"/>
        <v>9900000;11800000;7920000</v>
      </c>
      <c r="K198" s="1">
        <f ca="1">IFERROR(_xlfn.FLOOR.MATH($F198*控制台!K361/(控制台!O361*60)),"")</f>
        <v>158</v>
      </c>
      <c r="L198" s="1">
        <f ca="1">IFERROR(_xlfn.FLOOR.MATH($F198*控制台!L361/(控制台!P361*60)),"")</f>
        <v>118</v>
      </c>
      <c r="M198" s="1">
        <f ca="1">IFERROR(_xlfn.FLOOR.MATH($F198*控制台!M361/(控制台!Q361*60)),"")</f>
        <v>90</v>
      </c>
      <c r="N198" s="1">
        <f ca="1">IFERROR(_xlfn.FLOOR.MATH($F198*控制台!N361/(控制台!R361*60)),"")</f>
        <v>79</v>
      </c>
      <c r="O198" s="4" t="str">
        <f ca="1">控制台!W361</f>
        <v>board;cement;steel;pitch</v>
      </c>
      <c r="P198" s="4" t="str">
        <f ca="1" t="shared" si="14"/>
        <v>158;118;90;79</v>
      </c>
      <c r="Q198" s="4">
        <f>_xlfn.FLOOR.MATH(K29/控制台!$H$291*控制台!$D$289,5)</f>
        <v>48600</v>
      </c>
      <c r="R198" s="4">
        <f>_xlfn.FLOOR.MATH(O29/控制台!$H$291*控制台!$D$289,5)</f>
        <v>92370</v>
      </c>
      <c r="S198" s="1" t="s">
        <v>2696</v>
      </c>
      <c r="T198" s="1" t="s">
        <v>2724</v>
      </c>
      <c r="U198" s="1">
        <f ca="1" t="shared" si="12"/>
        <v>1</v>
      </c>
    </row>
    <row r="199" spans="1:21">
      <c r="A199" s="1">
        <v>24</v>
      </c>
      <c r="B199" s="1" t="s">
        <v>170</v>
      </c>
      <c r="C199" s="1">
        <f>_xlfn.FLOOR.MATH(D31/控制台!$H$291*控制台!$D$289)</f>
        <v>12600000</v>
      </c>
      <c r="D199" s="1">
        <f>_xlfn.FLOOR.MATH(E31/控制台!$H$291*控制台!$D$289)</f>
        <v>15120000</v>
      </c>
      <c r="E199" s="1">
        <f>_xlfn.FLOOR.MATH(F31/控制台!$H$291*控制台!$D$289)</f>
        <v>10080000</v>
      </c>
      <c r="F199" s="1">
        <f ca="1">_xlfn.FLOOR.MATH(J31*60/控制台!$H$291*控制台!$D$289)</f>
        <v>870912</v>
      </c>
      <c r="G199" s="1">
        <f>IFERROR(_xlfn.FLOOR.MATH(C199,POWER(10,MAX(0,INT(LOG10(C199)-2)))),"")</f>
        <v>12600000</v>
      </c>
      <c r="H199" s="1">
        <f>IFERROR(_xlfn.FLOOR.MATH(D199,POWER(10,MAX(0,INT(LOG10(D199)-2)))),"")</f>
        <v>15100000</v>
      </c>
      <c r="I199" s="1">
        <f>IFERROR(_xlfn.FLOOR.MATH(E199,POWER(10,MAX(0,INT(LOG10(E199)-2)))),"")</f>
        <v>10000000</v>
      </c>
      <c r="J199" s="4" t="str">
        <f t="shared" si="13"/>
        <v>12600000;15100000;10000000</v>
      </c>
      <c r="K199" s="1">
        <f ca="1">IFERROR(_xlfn.FLOOR.MATH($F199*控制台!K362/(控制台!O362*60)),"")</f>
        <v>200</v>
      </c>
      <c r="L199" s="1">
        <f ca="1">IFERROR(_xlfn.FLOOR.MATH($F199*控制台!L362/(控制台!P362*60)),"")</f>
        <v>171</v>
      </c>
      <c r="M199" s="1">
        <f ca="1">IFERROR(_xlfn.FLOOR.MATH($F199*控制台!M362/(控制台!Q362*60)),"")</f>
        <v>130</v>
      </c>
      <c r="N199" s="1">
        <f ca="1">IFERROR(_xlfn.FLOOR.MATH($F199*控制台!N362/(控制台!R362*60)),"")</f>
        <v>114</v>
      </c>
      <c r="O199" s="4" t="str">
        <f ca="1">控制台!W362</f>
        <v>brick;cement;steel;pitch</v>
      </c>
      <c r="P199" s="4" t="str">
        <f ca="1" t="shared" si="14"/>
        <v>200;171;130;114</v>
      </c>
      <c r="Q199" s="4">
        <f>_xlfn.FLOOR.MATH(K30/控制台!$H$291*控制台!$D$289,5)</f>
        <v>118800</v>
      </c>
      <c r="R199" s="4">
        <f>_xlfn.FLOOR.MATH(O30/控制台!$H$291*控制台!$D$289,5)</f>
        <v>117305</v>
      </c>
      <c r="S199" s="1" t="s">
        <v>2691</v>
      </c>
      <c r="T199" s="1" t="s">
        <v>2725</v>
      </c>
      <c r="U199" s="1">
        <f ca="1" t="shared" si="12"/>
        <v>1</v>
      </c>
    </row>
    <row r="200" spans="1:21">
      <c r="A200" s="1">
        <v>25</v>
      </c>
      <c r="B200" s="1" t="s">
        <v>170</v>
      </c>
      <c r="C200" s="1">
        <f>_xlfn.FLOOR.MATH(D32/控制台!$H$291*控制台!$D$289)</f>
        <v>14400000</v>
      </c>
      <c r="D200" s="1">
        <f>_xlfn.FLOOR.MATH(E32/控制台!$H$291*控制台!$D$289)</f>
        <v>17280000</v>
      </c>
      <c r="E200" s="1">
        <f>_xlfn.FLOOR.MATH(F32/控制台!$H$291*控制台!$D$289)</f>
        <v>11520000</v>
      </c>
      <c r="F200" s="1">
        <f ca="1">_xlfn.FLOOR.MATH(J32*60/控制台!$H$291*控制台!$D$289)</f>
        <v>1161216</v>
      </c>
      <c r="G200" s="1">
        <f>IFERROR(_xlfn.FLOOR.MATH(C200,POWER(10,MAX(0,INT(LOG10(C200)-2)))),"")</f>
        <v>14400000</v>
      </c>
      <c r="H200" s="1">
        <f>IFERROR(_xlfn.FLOOR.MATH(D200,POWER(10,MAX(0,INT(LOG10(D200)-2)))),"")</f>
        <v>17200000</v>
      </c>
      <c r="I200" s="1">
        <f>IFERROR(_xlfn.FLOOR.MATH(E200,POWER(10,MAX(0,INT(LOG10(E200)-2)))),"")</f>
        <v>11500000</v>
      </c>
      <c r="J200" s="4" t="str">
        <f t="shared" si="13"/>
        <v>14400000;17200000;11500000</v>
      </c>
      <c r="K200" s="1">
        <f ca="1">IFERROR(_xlfn.FLOOR.MATH($F200*控制台!K363/(控制台!O363*60)),"")</f>
        <v>317</v>
      </c>
      <c r="L200" s="1">
        <f ca="1">IFERROR(_xlfn.FLOOR.MATH($F200*控制台!L363/(控制台!P363*60)),"")</f>
        <v>237</v>
      </c>
      <c r="M200" s="1">
        <f ca="1">IFERROR(_xlfn.FLOOR.MATH($F200*控制台!M363/(控制台!Q363*60)),"")</f>
        <v>181</v>
      </c>
      <c r="N200" s="1">
        <f ca="1">IFERROR(_xlfn.FLOOR.MATH($F200*控制台!N363/(控制台!R363*60)),"")</f>
        <v>158</v>
      </c>
      <c r="O200" s="4" t="str">
        <f ca="1">控制台!W363</f>
        <v>board;cement;steel;pitch</v>
      </c>
      <c r="P200" s="4" t="str">
        <f ca="1" t="shared" si="14"/>
        <v>317;237;181;158</v>
      </c>
      <c r="Q200" s="4">
        <f>_xlfn.FLOOR.MATH(K31/控制台!$H$291*控制台!$D$289,5)</f>
        <v>151200</v>
      </c>
      <c r="R200" s="4">
        <f>_xlfn.FLOOR.MATH(O31/控制台!$H$291*控制台!$D$289,5)</f>
        <v>153305</v>
      </c>
      <c r="S200" s="1" t="s">
        <v>2696</v>
      </c>
      <c r="T200" s="1" t="s">
        <v>2726</v>
      </c>
      <c r="U200" s="1">
        <f ca="1" t="shared" si="12"/>
        <v>1</v>
      </c>
    </row>
    <row r="201" spans="1:21">
      <c r="A201" s="1">
        <v>26</v>
      </c>
      <c r="B201" s="1" t="s">
        <v>170</v>
      </c>
      <c r="C201" s="1">
        <f>_xlfn.FLOOR.MATH(D33/控制台!$H$291*控制台!$D$289)</f>
        <v>36000000</v>
      </c>
      <c r="D201" s="1">
        <f>_xlfn.FLOOR.MATH(E33/控制台!$H$291*控制台!$D$289)</f>
        <v>43200000</v>
      </c>
      <c r="E201" s="1">
        <f>_xlfn.FLOOR.MATH(F33/控制台!$H$291*控制台!$D$289)</f>
        <v>28800000</v>
      </c>
      <c r="F201" s="1">
        <f ca="1">_xlfn.FLOOR.MATH(J33*60/控制台!$H$291*控制台!$D$289)</f>
        <v>2571264</v>
      </c>
      <c r="G201" s="1">
        <f>IFERROR(_xlfn.FLOOR.MATH(C201,POWER(10,MAX(0,INT(LOG10(C201)-2)))),"")</f>
        <v>36000000</v>
      </c>
      <c r="H201" s="1">
        <f>IFERROR(_xlfn.FLOOR.MATH(D201,POWER(10,MAX(0,INT(LOG10(D201)-2)))),"")</f>
        <v>43200000</v>
      </c>
      <c r="I201" s="1">
        <f>IFERROR(_xlfn.FLOOR.MATH(E201,POWER(10,MAX(0,INT(LOG10(E201)-2)))),"")</f>
        <v>28800000</v>
      </c>
      <c r="J201" s="4" t="str">
        <f t="shared" si="13"/>
        <v>36000000;43200000;28800000</v>
      </c>
      <c r="K201" s="1">
        <f ca="1">IFERROR(_xlfn.FLOOR.MATH($F201*控制台!K364/(控制台!O364*60)),"")</f>
        <v>590</v>
      </c>
      <c r="L201" s="1">
        <f ca="1">IFERROR(_xlfn.FLOOR.MATH($F201*控制台!L364/(控制台!P364*60)),"")</f>
        <v>506</v>
      </c>
      <c r="M201" s="1">
        <f ca="1">IFERROR(_xlfn.FLOOR.MATH($F201*控制台!M364/(控制台!Q364*60)),"")</f>
        <v>385</v>
      </c>
      <c r="N201" s="1">
        <f ca="1">IFERROR(_xlfn.FLOOR.MATH($F201*控制台!N364/(控制台!R364*60)),"")</f>
        <v>337</v>
      </c>
      <c r="O201" s="4" t="str">
        <f ca="1">控制台!W364</f>
        <v>brick;cement;steel;pitch</v>
      </c>
      <c r="P201" s="4" t="str">
        <f ca="1" t="shared" si="14"/>
        <v>590;506;385;337</v>
      </c>
      <c r="Q201" s="4">
        <f>_xlfn.FLOOR.MATH(K32/控制台!$H$291*控制台!$D$289,5)</f>
        <v>172800</v>
      </c>
      <c r="R201" s="4">
        <f>_xlfn.FLOOR.MATH(O32/控制台!$H$291*控制台!$D$289,5)</f>
        <v>199805</v>
      </c>
      <c r="S201" s="1" t="s">
        <v>2691</v>
      </c>
      <c r="T201" s="1" t="s">
        <v>2727</v>
      </c>
      <c r="U201" s="1">
        <f ca="1" t="shared" si="12"/>
        <v>1</v>
      </c>
    </row>
    <row r="202" spans="1:21">
      <c r="A202" s="1">
        <v>27</v>
      </c>
      <c r="B202" s="1" t="s">
        <v>170</v>
      </c>
      <c r="C202" s="1">
        <f>_xlfn.FLOOR.MATH(D34/控制台!$H$291*控制台!$D$289)</f>
        <v>45000000</v>
      </c>
      <c r="D202" s="1">
        <f>_xlfn.FLOOR.MATH(E34/控制台!$H$291*控制台!$D$289)</f>
        <v>54000000</v>
      </c>
      <c r="E202" s="1">
        <f>_xlfn.FLOOR.MATH(F34/控制台!$H$291*控制台!$D$289)</f>
        <v>36000000</v>
      </c>
      <c r="F202" s="1">
        <f ca="1">_xlfn.FLOOR.MATH(J34*60/控制台!$H$291*控制台!$D$289)</f>
        <v>4478976</v>
      </c>
      <c r="G202" s="1">
        <f>IFERROR(_xlfn.FLOOR.MATH(C202,POWER(10,MAX(0,INT(LOG10(C202)-2)))),"")</f>
        <v>45000000</v>
      </c>
      <c r="H202" s="1">
        <f>IFERROR(_xlfn.FLOOR.MATH(D202,POWER(10,MAX(0,INT(LOG10(D202)-2)))),"")</f>
        <v>54000000</v>
      </c>
      <c r="I202" s="1">
        <f>IFERROR(_xlfn.FLOOR.MATH(E202,POWER(10,MAX(0,INT(LOG10(E202)-2)))),"")</f>
        <v>36000000</v>
      </c>
      <c r="J202" s="4" t="str">
        <f t="shared" si="13"/>
        <v>45000000;54000000;36000000</v>
      </c>
      <c r="K202" s="1">
        <f ca="1">IFERROR(_xlfn.FLOOR.MATH($F202*控制台!K365/(控制台!O365*60)),"")</f>
        <v>508</v>
      </c>
      <c r="L202" s="1">
        <f ca="1">IFERROR(_xlfn.FLOOR.MATH($F202*控制台!L365/(控制台!P365*60)),"")</f>
        <v>387</v>
      </c>
      <c r="M202" s="1">
        <f ca="1">IFERROR(_xlfn.FLOOR.MATH($F202*控制台!M365/(控制台!Q365*60)),"")</f>
        <v>339</v>
      </c>
      <c r="N202" s="1">
        <f ca="1">IFERROR(_xlfn.FLOOR.MATH($F202*控制台!N365/(控制台!R365*60)),"")</f>
        <v>308</v>
      </c>
      <c r="O202" s="4" t="str">
        <f ca="1">控制台!W365</f>
        <v>cement;steel;pitch;concrete</v>
      </c>
      <c r="P202" s="4" t="str">
        <f ca="1" t="shared" si="14"/>
        <v>508;387;339;308</v>
      </c>
      <c r="Q202" s="4">
        <f>_xlfn.FLOOR.MATH(K33/控制台!$H$291*控制台!$D$289,5)</f>
        <v>432000</v>
      </c>
      <c r="R202" s="4">
        <f>_xlfn.FLOOR.MATH(O33/控制台!$H$291*控制台!$D$289,5)</f>
        <v>297305</v>
      </c>
      <c r="S202" s="1" t="s">
        <v>2701</v>
      </c>
      <c r="T202" s="1" t="s">
        <v>2728</v>
      </c>
      <c r="U202" s="1">
        <f ca="1" t="shared" si="12"/>
        <v>1</v>
      </c>
    </row>
    <row r="203" spans="1:21">
      <c r="A203" s="1">
        <v>28</v>
      </c>
      <c r="B203" s="1" t="s">
        <v>170</v>
      </c>
      <c r="C203" s="1">
        <f>_xlfn.FLOOR.MATH(D35/控制台!$H$291*控制台!$D$289)</f>
        <v>85500000</v>
      </c>
      <c r="D203" s="1">
        <f>_xlfn.FLOOR.MATH(E35/控制台!$H$291*控制台!$D$289)</f>
        <v>102600000</v>
      </c>
      <c r="E203" s="1">
        <f>_xlfn.FLOOR.MATH(F35/控制台!$H$291*控制台!$D$289)</f>
        <v>68400000</v>
      </c>
      <c r="F203" s="1">
        <f ca="1">_xlfn.FLOOR.MATH(J35*60/控制台!$H$291*控制台!$D$289)</f>
        <v>7288704</v>
      </c>
      <c r="G203" s="1">
        <f>IFERROR(_xlfn.FLOOR.MATH(C203,POWER(10,MAX(0,INT(LOG10(C203)-2)))),"")</f>
        <v>85500000</v>
      </c>
      <c r="H203" s="1">
        <f>IFERROR(_xlfn.FLOOR.MATH(D203,POWER(10,MAX(0,INT(LOG10(D203)-2)))),"")</f>
        <v>102000000</v>
      </c>
      <c r="I203" s="1">
        <f>IFERROR(_xlfn.FLOOR.MATH(E203,POWER(10,MAX(0,INT(LOG10(E203)-2)))),"")</f>
        <v>68400000</v>
      </c>
      <c r="J203" s="4" t="str">
        <f t="shared" si="13"/>
        <v>85500000;102000000;68400000</v>
      </c>
      <c r="K203" s="1">
        <f ca="1">IFERROR(_xlfn.FLOOR.MATH($F203*控制台!K366/(控制台!O366*60)),"")</f>
        <v>1201</v>
      </c>
      <c r="L203" s="1">
        <f ca="1">IFERROR(_xlfn.FLOOR.MATH($F203*控制台!L366/(控制台!P366*60)),"")</f>
        <v>1029</v>
      </c>
      <c r="M203" s="1">
        <f ca="1">IFERROR(_xlfn.FLOOR.MATH($F203*控制台!M366/(控制台!Q366*60)),"")</f>
        <v>784</v>
      </c>
      <c r="N203" s="1">
        <f ca="1">IFERROR(_xlfn.FLOOR.MATH($F203*控制台!N366/(控制台!R366*60)),"")</f>
        <v>623</v>
      </c>
      <c r="O203" s="4" t="str">
        <f ca="1">控制台!W366</f>
        <v>brick;cement;steel;concrete</v>
      </c>
      <c r="P203" s="4" t="str">
        <f ca="1" t="shared" si="14"/>
        <v>1201;1029;784;623</v>
      </c>
      <c r="Q203" s="4">
        <f>_xlfn.FLOOR.MATH(K34/控制台!$H$291*控制台!$D$289,5)</f>
        <v>540000</v>
      </c>
      <c r="R203" s="4">
        <f>_xlfn.FLOOR.MATH(O34/控制台!$H$291*控制台!$D$289,5)</f>
        <v>437930</v>
      </c>
      <c r="S203" s="1" t="s">
        <v>2703</v>
      </c>
      <c r="T203" s="1" t="s">
        <v>2729</v>
      </c>
      <c r="U203" s="1">
        <f ca="1" t="shared" si="12"/>
        <v>1</v>
      </c>
    </row>
    <row r="204" spans="1:21">
      <c r="A204" s="1">
        <v>29</v>
      </c>
      <c r="B204" s="1" t="s">
        <v>170</v>
      </c>
      <c r="C204" s="1">
        <f>_xlfn.FLOOR.MATH(D36/控制台!$H$291*控制台!$D$289)</f>
        <v>86400000</v>
      </c>
      <c r="D204" s="1">
        <f>_xlfn.FLOOR.MATH(E36/控制台!$H$291*控制台!$D$289)</f>
        <v>103680000</v>
      </c>
      <c r="E204" s="1">
        <f>_xlfn.FLOOR.MATH(F36/控制台!$H$291*控制台!$D$289)</f>
        <v>69120000</v>
      </c>
      <c r="F204" s="1">
        <f ca="1">_xlfn.FLOOR.MATH(J36*60/控制台!$H$291*控制台!$D$289)</f>
        <v>7442150</v>
      </c>
      <c r="G204" s="1">
        <f>IFERROR(_xlfn.FLOOR.MATH(C204,POWER(10,MAX(0,INT(LOG10(C204)-2)))),"")</f>
        <v>86400000</v>
      </c>
      <c r="H204" s="1">
        <f>IFERROR(_xlfn.FLOOR.MATH(D204,POWER(10,MAX(0,INT(LOG10(D204)-2)))),"")</f>
        <v>103000000</v>
      </c>
      <c r="I204" s="1">
        <f>IFERROR(_xlfn.FLOOR.MATH(E204,POWER(10,MAX(0,INT(LOG10(E204)-2)))),"")</f>
        <v>69100000</v>
      </c>
      <c r="J204" s="4" t="str">
        <f t="shared" si="13"/>
        <v>86400000;103000000;69100000</v>
      </c>
      <c r="K204" s="1">
        <f ca="1">IFERROR(_xlfn.FLOOR.MATH($F204*控制台!K367/(控制台!O367*60)),"")</f>
        <v>1363</v>
      </c>
      <c r="L204" s="1">
        <f ca="1">IFERROR(_xlfn.FLOOR.MATH($F204*控制台!L367/(控制台!P367*60)),"")</f>
        <v>1022</v>
      </c>
      <c r="M204" s="1">
        <f ca="1">IFERROR(_xlfn.FLOOR.MATH($F204*控制台!M367/(控制台!Q367*60)),"")</f>
        <v>681</v>
      </c>
      <c r="N204" s="1">
        <f ca="1">IFERROR(_xlfn.FLOOR.MATH($F204*控制台!N367/(控制台!R367*60)),"")</f>
        <v>619</v>
      </c>
      <c r="O204" s="4" t="str">
        <f ca="1">控制台!W367</f>
        <v>board;cement;pitch;concrete</v>
      </c>
      <c r="P204" s="4" t="str">
        <f ca="1" t="shared" si="14"/>
        <v>1363;1022;681;619</v>
      </c>
      <c r="Q204" s="4">
        <f>_xlfn.FLOOR.MATH(K35/控制台!$H$291*控制台!$D$289,5)</f>
        <v>1026000</v>
      </c>
      <c r="R204" s="4">
        <f>_xlfn.FLOOR.MATH(O35/控制台!$H$291*控制台!$D$289,5)</f>
        <v>669495</v>
      </c>
      <c r="S204" s="1" t="s">
        <v>2705</v>
      </c>
      <c r="T204" s="1" t="s">
        <v>2730</v>
      </c>
      <c r="U204" s="1">
        <f ca="1" t="shared" si="12"/>
        <v>1</v>
      </c>
    </row>
    <row r="205" spans="1:21">
      <c r="A205" s="1">
        <v>30</v>
      </c>
      <c r="B205" s="1" t="s">
        <v>170</v>
      </c>
      <c r="C205" s="1">
        <f>_xlfn.FLOOR.MATH(D37/控制台!$H$291*控制台!$D$289)</f>
        <v>88200000</v>
      </c>
      <c r="D205" s="1">
        <f>_xlfn.FLOOR.MATH(E37/控制台!$H$291*控制台!$D$289)</f>
        <v>105840000</v>
      </c>
      <c r="E205" s="1">
        <f>_xlfn.FLOOR.MATH(F37/控制台!$H$291*控制台!$D$289)</f>
        <v>70560000</v>
      </c>
      <c r="F205" s="1">
        <f ca="1">_xlfn.FLOOR.MATH(J37*60/控制台!$H$291*控制台!$D$289)</f>
        <v>7595596</v>
      </c>
      <c r="G205" s="1">
        <f>IFERROR(_xlfn.FLOOR.MATH(C205,POWER(10,MAX(0,INT(LOG10(C205)-2)))),"")</f>
        <v>88200000</v>
      </c>
      <c r="H205" s="1">
        <f>IFERROR(_xlfn.FLOOR.MATH(D205,POWER(10,MAX(0,INT(LOG10(D205)-2)))),"")</f>
        <v>105000000</v>
      </c>
      <c r="I205" s="1">
        <f>IFERROR(_xlfn.FLOOR.MATH(E205,POWER(10,MAX(0,INT(LOG10(E205)-2)))),"")</f>
        <v>70500000</v>
      </c>
      <c r="J205" s="4" t="str">
        <f t="shared" si="13"/>
        <v>88200000;105000000;70500000</v>
      </c>
      <c r="K205" s="1">
        <f ca="1">IFERROR(_xlfn.FLOOR.MATH($F205*控制台!K368/(控制台!O368*60)),"")</f>
        <v>1124</v>
      </c>
      <c r="L205" s="1">
        <f ca="1">IFERROR(_xlfn.FLOOR.MATH($F205*控制台!L368/(控制台!P368*60)),"")</f>
        <v>734</v>
      </c>
      <c r="M205" s="1">
        <f ca="1">IFERROR(_xlfn.FLOOR.MATH($F205*控制台!M368/(控制台!Q368*60)),"")</f>
        <v>642</v>
      </c>
      <c r="N205" s="1">
        <f ca="1">IFERROR(_xlfn.FLOOR.MATH($F205*控制台!N368/(控制台!R368*60)),"")</f>
        <v>584</v>
      </c>
      <c r="O205" s="4" t="str">
        <f ca="1">控制台!W368</f>
        <v>brick;steel;pitch;concrete</v>
      </c>
      <c r="P205" s="4" t="str">
        <f ca="1" t="shared" si="14"/>
        <v>1124;734;642;584</v>
      </c>
      <c r="Q205" s="4">
        <f>_xlfn.FLOOR.MATH(K36/控制台!$H$291*控制台!$D$289,5)</f>
        <v>1036800</v>
      </c>
      <c r="R205" s="4">
        <f>_xlfn.FLOOR.MATH(O36/控制台!$H$291*控制台!$D$289,5)</f>
        <v>905370</v>
      </c>
      <c r="S205" s="1" t="s">
        <v>2707</v>
      </c>
      <c r="T205" s="1" t="s">
        <v>2731</v>
      </c>
      <c r="U205" s="1">
        <f ca="1" t="shared" si="12"/>
        <v>1</v>
      </c>
    </row>
    <row r="206" spans="1:21">
      <c r="A206" s="1">
        <v>31</v>
      </c>
      <c r="B206" s="1" t="s">
        <v>170</v>
      </c>
      <c r="C206" s="1">
        <f>_xlfn.FLOOR.MATH(D38/控制台!$H$291*控制台!$D$289)</f>
        <v>90000000</v>
      </c>
      <c r="D206" s="1">
        <f>_xlfn.FLOOR.MATH(E38/控制台!$H$291*控制台!$D$289)</f>
        <v>108000000</v>
      </c>
      <c r="E206" s="1">
        <f>_xlfn.FLOOR.MATH(F38/控制台!$H$291*控制台!$D$289)</f>
        <v>72000000</v>
      </c>
      <c r="F206" s="1">
        <f ca="1">_xlfn.FLOOR.MATH(J38*60/控制台!$H$291*控制台!$D$289)</f>
        <v>7879680</v>
      </c>
      <c r="G206" s="1">
        <f>IFERROR(_xlfn.FLOOR.MATH(C206,POWER(10,MAX(0,INT(LOG10(C206)-2)))),"")</f>
        <v>90000000</v>
      </c>
      <c r="H206" s="1">
        <f>IFERROR(_xlfn.FLOOR.MATH(D206,POWER(10,MAX(0,INT(LOG10(D206)-2)))),"")</f>
        <v>108000000</v>
      </c>
      <c r="I206" s="1">
        <f>IFERROR(_xlfn.FLOOR.MATH(E206,POWER(10,MAX(0,INT(LOG10(E206)-2)))),"")</f>
        <v>72000000</v>
      </c>
      <c r="J206" s="4" t="str">
        <f t="shared" si="13"/>
        <v>90000000;108000000;72000000</v>
      </c>
      <c r="K206" s="1">
        <f ca="1">IFERROR(_xlfn.FLOOR.MATH($F206*控制台!K369/(控制台!O369*60)),"")</f>
        <v>895</v>
      </c>
      <c r="L206" s="1">
        <f ca="1">IFERROR(_xlfn.FLOOR.MATH($F206*控制台!L369/(控制台!P369*60)),"")</f>
        <v>682</v>
      </c>
      <c r="M206" s="1">
        <f ca="1">IFERROR(_xlfn.FLOOR.MATH($F206*控制台!M369/(控制台!Q369*60)),"")</f>
        <v>596</v>
      </c>
      <c r="N206" s="1">
        <f ca="1">IFERROR(_xlfn.FLOOR.MATH($F206*控制台!N369/(控制台!R369*60)),"")</f>
        <v>542</v>
      </c>
      <c r="O206" s="4" t="str">
        <f ca="1">控制台!W369</f>
        <v>cement;steel;pitch;concrete</v>
      </c>
      <c r="P206" s="4" t="str">
        <f ca="1" t="shared" si="14"/>
        <v>895;682;596;542</v>
      </c>
      <c r="Q206" s="4">
        <f>_xlfn.FLOOR.MATH(K37/控制台!$H$291*控制台!$D$289,5)</f>
        <v>1058400</v>
      </c>
      <c r="R206" s="4">
        <f>_xlfn.FLOOR.MATH(O37/控制台!$H$291*控制台!$D$289,5)</f>
        <v>1146120</v>
      </c>
      <c r="S206" s="1" t="s">
        <v>2701</v>
      </c>
      <c r="T206" s="1" t="s">
        <v>2732</v>
      </c>
      <c r="U206" s="1">
        <f ca="1" t="shared" si="12"/>
        <v>1</v>
      </c>
    </row>
    <row r="207" spans="1:21">
      <c r="A207" s="1">
        <v>32</v>
      </c>
      <c r="B207" s="1" t="s">
        <v>170</v>
      </c>
      <c r="G207" s="1" t="str">
        <f>IFERROR(_xlfn.FLOOR.MATH(C207,POWER(10,MAX(0,INT(LOG10(C207)-2)))),"")</f>
        <v/>
      </c>
      <c r="H207" s="1" t="str">
        <f>IFERROR(_xlfn.FLOOR.MATH(D207,POWER(10,MAX(0,INT(LOG10(D207)-2)))),"")</f>
        <v/>
      </c>
      <c r="I207" s="1" t="str">
        <f>IFERROR(_xlfn.FLOOR.MATH(E207,POWER(10,MAX(0,INT(LOG10(E207)-2)))),"")</f>
        <v/>
      </c>
      <c r="J207" s="4" t="str">
        <f t="shared" ref="J207:J240" si="15">IF(G207="","",IF(H207="",G207,IF(I207="",CONCATENATE(G207,";",H207),CONCATENATE(G207,";",H207,";",I207))))</f>
        <v/>
      </c>
      <c r="O207" s="4"/>
      <c r="P207" s="4" t="str">
        <f t="shared" ref="P207:P240" si="16">IF(K207="","",IF(L207="",K207,IF(M207="",CONCATENATE(K207,";",L207),IF(N207="",CONCATENATE(K207,";",L207,";",M207),CONCATENATE(K207,";",L207,";",M207,";",N207)))))</f>
        <v/>
      </c>
      <c r="Q207" s="4">
        <f>_xlfn.FLOOR.MATH(K38/控制台!$H$291*控制台!$D$289,5)</f>
        <v>1080000</v>
      </c>
      <c r="R207" s="4">
        <f>_xlfn.FLOOR.MATH(O38/控制台!$H$291*控制台!$D$289,5)</f>
        <v>1389870</v>
      </c>
      <c r="U207" s="1">
        <f t="shared" si="12"/>
        <v>1</v>
      </c>
    </row>
    <row r="208" spans="1:21">
      <c r="A208" s="1">
        <v>0</v>
      </c>
      <c r="B208" s="1" t="s">
        <v>2733</v>
      </c>
      <c r="C208" s="1">
        <f>_xlfn.FLOOR.MATH(D7/控制台!$H$291*控制台!$D$289)</f>
        <v>2700</v>
      </c>
      <c r="D208" s="1">
        <f>_xlfn.FLOOR.MATH(E7/控制台!$H$291*控制台!$D$289)</f>
        <v>3240</v>
      </c>
      <c r="E208" s="1">
        <f>_xlfn.FLOOR.MATH(F7/控制台!$H$291*控制台!$D$289)</f>
        <v>2160</v>
      </c>
      <c r="F208" s="1">
        <f ca="1">_xlfn.FLOOR.MATH(J7*60/控制台!$H$291*控制台!$D$289)</f>
        <v>414</v>
      </c>
      <c r="G208" s="1">
        <f>IFERROR(_xlfn.FLOOR.MATH(C208,POWER(10,MAX(0,INT(LOG10(C208)-2)))),"")</f>
        <v>2700</v>
      </c>
      <c r="H208" s="1">
        <f>IFERROR(_xlfn.FLOOR.MATH(D208,POWER(10,MAX(0,INT(LOG10(D208)-2)))),"")</f>
        <v>3240</v>
      </c>
      <c r="I208" s="1">
        <f>IFERROR(_xlfn.FLOOR.MATH(E208,POWER(10,MAX(0,INT(LOG10(E208)-2)))),"")</f>
        <v>2160</v>
      </c>
      <c r="J208" s="4" t="str">
        <f t="shared" si="15"/>
        <v>2700;3240;2160</v>
      </c>
      <c r="K208" s="1">
        <f ca="1">IFERROR(_xlfn.FLOOR.MATH($F208*控制台!K338/(控制台!O338*60)),"")</f>
        <v>6</v>
      </c>
      <c r="L208" s="1" t="str">
        <f ca="1">IFERROR(_xlfn.FLOOR.MATH($F208*控制台!L338/(控制台!P338*60)),"")</f>
        <v/>
      </c>
      <c r="M208" s="1" t="str">
        <f ca="1">IFERROR(_xlfn.FLOOR.MATH($F208*控制台!M338/(控制台!Q338*60)),"")</f>
        <v/>
      </c>
      <c r="N208" s="1" t="str">
        <f ca="1">IFERROR(_xlfn.FLOOR.MATH($F208*控制台!N338/(控制台!R338*60)),"")</f>
        <v/>
      </c>
      <c r="O208" s="6" t="s">
        <v>2682</v>
      </c>
      <c r="P208" s="6" t="s">
        <v>171</v>
      </c>
      <c r="Q208" s="6">
        <v>0</v>
      </c>
      <c r="R208" s="4">
        <f>_xlfn.FLOOR.MATH(O6/控制台!$H$291*控制台!$D$289,5)</f>
        <v>0</v>
      </c>
      <c r="S208" s="1" t="s">
        <v>2682</v>
      </c>
      <c r="T208" s="1" t="s">
        <v>171</v>
      </c>
      <c r="U208" s="1">
        <f t="shared" si="12"/>
        <v>1</v>
      </c>
    </row>
    <row r="209" spans="1:21">
      <c r="A209" s="1">
        <v>1</v>
      </c>
      <c r="B209" s="1" t="s">
        <v>2733</v>
      </c>
      <c r="C209" s="1">
        <f>_xlfn.FLOOR.MATH(D8/控制台!$H$291*控制台!$D$289)</f>
        <v>5400</v>
      </c>
      <c r="D209" s="1">
        <f>_xlfn.FLOOR.MATH(E8/控制台!$H$291*控制台!$D$289)</f>
        <v>6480</v>
      </c>
      <c r="E209" s="1">
        <f>_xlfn.FLOOR.MATH(F8/控制台!$H$291*控制台!$D$289)</f>
        <v>4320</v>
      </c>
      <c r="F209" s="1">
        <f ca="1">_xlfn.FLOOR.MATH(J8*60/控制台!$H$291*控制台!$D$289)</f>
        <v>829</v>
      </c>
      <c r="G209" s="1">
        <f>IFERROR(_xlfn.FLOOR.MATH(C209,POWER(10,MAX(0,INT(LOG10(C209)-2)))),"")</f>
        <v>5400</v>
      </c>
      <c r="H209" s="1">
        <f>IFERROR(_xlfn.FLOOR.MATH(D209,POWER(10,MAX(0,INT(LOG10(D209)-2)))),"")</f>
        <v>6480</v>
      </c>
      <c r="I209" s="1">
        <f>IFERROR(_xlfn.FLOOR.MATH(E209,POWER(10,MAX(0,INT(LOG10(E209)-2)))),"")</f>
        <v>4320</v>
      </c>
      <c r="J209" s="4" t="str">
        <f t="shared" si="15"/>
        <v>5400;6480;4320</v>
      </c>
      <c r="K209" s="1">
        <f ca="1">IFERROR(_xlfn.FLOOR.MATH($F209*控制台!K339/(控制台!O339*60)),"")</f>
        <v>13</v>
      </c>
      <c r="L209" s="1" t="str">
        <f ca="1">IFERROR(_xlfn.FLOOR.MATH($F209*控制台!L339/(控制台!P339*60)),"")</f>
        <v/>
      </c>
      <c r="M209" s="1" t="str">
        <f ca="1">IFERROR(_xlfn.FLOOR.MATH($F209*控制台!M339/(控制台!Q339*60)),"")</f>
        <v/>
      </c>
      <c r="N209" s="1" t="str">
        <f ca="1">IFERROR(_xlfn.FLOOR.MATH($F209*控制台!N339/(控制台!R339*60)),"")</f>
        <v/>
      </c>
      <c r="O209" s="6" t="s">
        <v>143</v>
      </c>
      <c r="P209" s="6">
        <v>5</v>
      </c>
      <c r="Q209" s="6">
        <v>10</v>
      </c>
      <c r="R209" s="4">
        <f>_xlfn.FLOOR.MATH(O7/控制台!$H$291*控制台!$D$289,5)</f>
        <v>20</v>
      </c>
      <c r="S209" s="1" t="s">
        <v>143</v>
      </c>
      <c r="T209" s="1">
        <v>5</v>
      </c>
      <c r="U209" s="1">
        <f t="shared" si="12"/>
        <v>1</v>
      </c>
    </row>
    <row r="210" spans="1:21">
      <c r="A210" s="1">
        <v>2</v>
      </c>
      <c r="B210" s="1" t="s">
        <v>2733</v>
      </c>
      <c r="C210" s="1">
        <f>_xlfn.FLOOR.MATH(D9/控制台!$H$291*控制台!$D$289)</f>
        <v>8100</v>
      </c>
      <c r="D210" s="1">
        <f>_xlfn.FLOOR.MATH(E9/控制台!$H$291*控制台!$D$289)</f>
        <v>9720</v>
      </c>
      <c r="E210" s="1">
        <f>_xlfn.FLOOR.MATH(F9/控制台!$H$291*控制台!$D$289)</f>
        <v>6480</v>
      </c>
      <c r="F210" s="1">
        <f ca="1">_xlfn.FLOOR.MATH(J9*60/控制台!$H$291*控制台!$D$289)</f>
        <v>1244</v>
      </c>
      <c r="G210" s="1">
        <f>IFERROR(_xlfn.FLOOR.MATH(C210,POWER(10,MAX(0,INT(LOG10(C210)-2)))),"")</f>
        <v>8100</v>
      </c>
      <c r="H210" s="1">
        <f>IFERROR(_xlfn.FLOOR.MATH(D210,POWER(10,MAX(0,INT(LOG10(D210)-2)))),"")</f>
        <v>9720</v>
      </c>
      <c r="I210" s="1">
        <f>IFERROR(_xlfn.FLOOR.MATH(E210,POWER(10,MAX(0,INT(LOG10(E210)-2)))),"")</f>
        <v>6480</v>
      </c>
      <c r="J210" s="4" t="str">
        <f t="shared" si="15"/>
        <v>8100;9720;6480</v>
      </c>
      <c r="K210" s="1">
        <f ca="1">IFERROR(_xlfn.FLOOR.MATH($F210*控制台!K340/(控制台!O340*60)),"")</f>
        <v>4</v>
      </c>
      <c r="L210" s="1">
        <f ca="1">IFERROR(_xlfn.FLOOR.MATH($F210*控制台!L340/(控制台!P340*60)),"")</f>
        <v>4</v>
      </c>
      <c r="M210" s="1" t="str">
        <f ca="1">IFERROR(_xlfn.FLOOR.MATH($F210*控制台!M340/(控制台!Q340*60)),"")</f>
        <v/>
      </c>
      <c r="N210" s="1" t="str">
        <f ca="1">IFERROR(_xlfn.FLOOR.MATH($F210*控制台!N340/(控制台!R340*60)),"")</f>
        <v/>
      </c>
      <c r="O210" s="6" t="s">
        <v>144</v>
      </c>
      <c r="P210" s="6" t="s">
        <v>157</v>
      </c>
      <c r="Q210" s="6">
        <v>30</v>
      </c>
      <c r="R210" s="4">
        <f>_xlfn.FLOOR.MATH(O8/控制台!$H$291*控制台!$D$289,5)</f>
        <v>60</v>
      </c>
      <c r="S210" s="1" t="s">
        <v>144</v>
      </c>
      <c r="T210" s="1" t="s">
        <v>157</v>
      </c>
      <c r="U210" s="1">
        <f t="shared" si="12"/>
        <v>1</v>
      </c>
    </row>
    <row r="211" spans="1:21">
      <c r="A211" s="1">
        <v>3</v>
      </c>
      <c r="B211" s="1" t="s">
        <v>2733</v>
      </c>
      <c r="C211" s="1">
        <f>_xlfn.FLOOR.MATH(D10/控制台!$H$291*控制台!$D$289)</f>
        <v>10800</v>
      </c>
      <c r="D211" s="1">
        <f>_xlfn.FLOOR.MATH(E10/控制台!$H$291*控制台!$D$289)</f>
        <v>12960</v>
      </c>
      <c r="E211" s="1">
        <f>_xlfn.FLOOR.MATH(F10/控制台!$H$291*控制台!$D$289)</f>
        <v>8640</v>
      </c>
      <c r="F211" s="1">
        <f ca="1">_xlfn.FLOOR.MATH(J10*60/控制台!$H$291*控制台!$D$289)</f>
        <v>2073</v>
      </c>
      <c r="G211" s="1">
        <f>IFERROR(_xlfn.FLOOR.MATH(C211,POWER(10,MAX(0,INT(LOG10(C211)-2)))),"")</f>
        <v>10800</v>
      </c>
      <c r="H211" s="1">
        <f>IFERROR(_xlfn.FLOOR.MATH(D211,POWER(10,MAX(0,INT(LOG10(D211)-2)))),"")</f>
        <v>12900</v>
      </c>
      <c r="I211" s="1">
        <f>IFERROR(_xlfn.FLOOR.MATH(E211,POWER(10,MAX(0,INT(LOG10(E211)-2)))),"")</f>
        <v>8640</v>
      </c>
      <c r="J211" s="4" t="str">
        <f t="shared" si="15"/>
        <v>10800;12900;8640</v>
      </c>
      <c r="K211" s="1">
        <f ca="1">IFERROR(_xlfn.FLOOR.MATH($F211*控制台!K341/(控制台!O341*60)),"")</f>
        <v>7</v>
      </c>
      <c r="L211" s="1">
        <f ca="1">IFERROR(_xlfn.FLOOR.MATH($F211*控制台!L341/(控制台!P341*60)),"")</f>
        <v>6</v>
      </c>
      <c r="M211" s="1" t="str">
        <f ca="1">IFERROR(_xlfn.FLOOR.MATH($F211*控制台!M341/(控制台!Q341*60)),"")</f>
        <v/>
      </c>
      <c r="N211" s="1" t="str">
        <f ca="1">IFERROR(_xlfn.FLOOR.MATH($F211*控制台!N341/(控制台!R341*60)),"")</f>
        <v/>
      </c>
      <c r="O211" s="6" t="s">
        <v>144</v>
      </c>
      <c r="P211" s="6" t="s">
        <v>158</v>
      </c>
      <c r="Q211" s="6">
        <v>50</v>
      </c>
      <c r="R211" s="4">
        <f>_xlfn.FLOOR.MATH(O9/控制台!$H$291*控制台!$D$289,5)</f>
        <v>120</v>
      </c>
      <c r="S211" s="1" t="s">
        <v>144</v>
      </c>
      <c r="T211" s="1" t="s">
        <v>158</v>
      </c>
      <c r="U211" s="1">
        <f t="shared" si="12"/>
        <v>1</v>
      </c>
    </row>
    <row r="212" spans="1:21">
      <c r="A212" s="1">
        <v>4</v>
      </c>
      <c r="B212" s="1" t="s">
        <v>2733</v>
      </c>
      <c r="C212" s="1">
        <f>_xlfn.FLOOR.MATH(D11/控制台!$H$291*控制台!$D$289)</f>
        <v>18000</v>
      </c>
      <c r="D212" s="1">
        <f>_xlfn.FLOOR.MATH(E11/控制台!$H$291*控制台!$D$289)</f>
        <v>21600</v>
      </c>
      <c r="E212" s="1">
        <f>_xlfn.FLOOR.MATH(F11/控制台!$H$291*控制台!$D$289)</f>
        <v>14400</v>
      </c>
      <c r="F212" s="1">
        <f ca="1">_xlfn.FLOOR.MATH(J11*60/控制台!$H$291*控制台!$D$289)</f>
        <v>3317</v>
      </c>
      <c r="G212" s="1">
        <f>IFERROR(_xlfn.FLOOR.MATH(C212,POWER(10,MAX(0,INT(LOG10(C212)-2)))),"")</f>
        <v>18000</v>
      </c>
      <c r="H212" s="1">
        <f>IFERROR(_xlfn.FLOOR.MATH(D212,POWER(10,MAX(0,INT(LOG10(D212)-2)))),"")</f>
        <v>21600</v>
      </c>
      <c r="I212" s="1">
        <f>IFERROR(_xlfn.FLOOR.MATH(E212,POWER(10,MAX(0,INT(LOG10(E212)-2)))),"")</f>
        <v>14400</v>
      </c>
      <c r="J212" s="4" t="str">
        <f t="shared" si="15"/>
        <v>18000;21600;14400</v>
      </c>
      <c r="K212" s="1">
        <f ca="1">IFERROR(_xlfn.FLOOR.MATH($F212*控制台!K342/(控制台!O342*60)),"")</f>
        <v>12</v>
      </c>
      <c r="L212" s="1">
        <f ca="1">IFERROR(_xlfn.FLOOR.MATH($F212*控制台!L342/(控制台!P342*60)),"")</f>
        <v>10</v>
      </c>
      <c r="M212" s="1" t="str">
        <f ca="1">IFERROR(_xlfn.FLOOR.MATH($F212*控制台!M342/(控制台!Q342*60)),"")</f>
        <v/>
      </c>
      <c r="N212" s="1" t="str">
        <f ca="1">IFERROR(_xlfn.FLOOR.MATH($F212*控制台!N342/(控制台!R342*60)),"")</f>
        <v/>
      </c>
      <c r="O212" s="6" t="s">
        <v>144</v>
      </c>
      <c r="P212" s="6" t="s">
        <v>159</v>
      </c>
      <c r="Q212" s="6">
        <v>125</v>
      </c>
      <c r="R212" s="4">
        <f>_xlfn.FLOOR.MATH(O10/控制台!$H$291*控制台!$D$289,5)</f>
        <v>220</v>
      </c>
      <c r="S212" s="1" t="s">
        <v>144</v>
      </c>
      <c r="T212" s="1" t="s">
        <v>159</v>
      </c>
      <c r="U212" s="1">
        <f t="shared" si="12"/>
        <v>1</v>
      </c>
    </row>
    <row r="213" spans="1:21">
      <c r="A213" s="1">
        <v>5</v>
      </c>
      <c r="B213" s="1" t="s">
        <v>2733</v>
      </c>
      <c r="C213" s="1">
        <f>_xlfn.FLOOR.MATH(D12/控制台!$H$291*控制台!$D$289)</f>
        <v>36000</v>
      </c>
      <c r="D213" s="1">
        <f>_xlfn.FLOOR.MATH(E12/控制台!$H$291*控制台!$D$289)</f>
        <v>43200</v>
      </c>
      <c r="E213" s="1">
        <f>_xlfn.FLOOR.MATH(F12/控制台!$H$291*控制台!$D$289)</f>
        <v>28800</v>
      </c>
      <c r="F213" s="1">
        <f ca="1">_xlfn.FLOOR.MATH(J12*60/控制台!$H$291*控制台!$D$289)</f>
        <v>6220</v>
      </c>
      <c r="G213" s="1">
        <f>IFERROR(_xlfn.FLOOR.MATH(C213,POWER(10,MAX(0,INT(LOG10(C213)-2)))),"")</f>
        <v>36000</v>
      </c>
      <c r="H213" s="1">
        <f>IFERROR(_xlfn.FLOOR.MATH(D213,POWER(10,MAX(0,INT(LOG10(D213)-2)))),"")</f>
        <v>43200</v>
      </c>
      <c r="I213" s="1">
        <f>IFERROR(_xlfn.FLOOR.MATH(E213,POWER(10,MAX(0,INT(LOG10(E213)-2)))),"")</f>
        <v>28800</v>
      </c>
      <c r="J213" s="4" t="str">
        <f t="shared" si="15"/>
        <v>36000;43200;28800</v>
      </c>
      <c r="K213" s="1">
        <f ca="1">IFERROR(_xlfn.FLOOR.MATH($F213*控制台!K343/(控制台!O343*60)),"")</f>
        <v>23</v>
      </c>
      <c r="L213" s="1">
        <f ca="1">IFERROR(_xlfn.FLOOR.MATH($F213*控制台!L343/(控制台!P343*60)),"")</f>
        <v>20</v>
      </c>
      <c r="M213" s="1" t="str">
        <f ca="1">IFERROR(_xlfn.FLOOR.MATH($F213*控制台!M343/(控制台!Q343*60)),"")</f>
        <v/>
      </c>
      <c r="N213" s="1" t="str">
        <f ca="1">IFERROR(_xlfn.FLOOR.MATH($F213*控制台!N343/(控制台!R343*60)),"")</f>
        <v/>
      </c>
      <c r="O213" s="6" t="s">
        <v>144</v>
      </c>
      <c r="P213" s="6" t="s">
        <v>161</v>
      </c>
      <c r="Q213" s="6">
        <v>215</v>
      </c>
      <c r="R213" s="4">
        <f>_xlfn.FLOOR.MATH(O11/控制台!$H$291*控制台!$D$289,5)</f>
        <v>380</v>
      </c>
      <c r="S213" s="1" t="s">
        <v>144</v>
      </c>
      <c r="T213" s="1" t="s">
        <v>161</v>
      </c>
      <c r="U213" s="1">
        <f t="shared" si="12"/>
        <v>1</v>
      </c>
    </row>
    <row r="214" spans="1:21">
      <c r="A214" s="1">
        <v>6</v>
      </c>
      <c r="B214" s="1" t="s">
        <v>2733</v>
      </c>
      <c r="C214" s="1">
        <f>_xlfn.FLOOR.MATH(D13/控制台!$H$291*控制台!$D$289)</f>
        <v>54000</v>
      </c>
      <c r="D214" s="1">
        <f>_xlfn.FLOOR.MATH(E13/控制台!$H$291*控制台!$D$289)</f>
        <v>64800</v>
      </c>
      <c r="E214" s="1">
        <f>_xlfn.FLOOR.MATH(F13/控制台!$H$291*控制台!$D$289)</f>
        <v>43200</v>
      </c>
      <c r="F214" s="1">
        <f ca="1">_xlfn.FLOOR.MATH(J13*60/控制台!$H$291*控制台!$D$289)</f>
        <v>12441</v>
      </c>
      <c r="G214" s="1">
        <f>IFERROR(_xlfn.FLOOR.MATH(C214,POWER(10,MAX(0,INT(LOG10(C214)-2)))),"")</f>
        <v>54000</v>
      </c>
      <c r="H214" s="1">
        <f>IFERROR(_xlfn.FLOOR.MATH(D214,POWER(10,MAX(0,INT(LOG10(D214)-2)))),"")</f>
        <v>64800</v>
      </c>
      <c r="I214" s="1">
        <f>IFERROR(_xlfn.FLOOR.MATH(E214,POWER(10,MAX(0,INT(LOG10(E214)-2)))),"")</f>
        <v>43200</v>
      </c>
      <c r="J214" s="4" t="str">
        <f t="shared" si="15"/>
        <v>54000;64800;43200</v>
      </c>
      <c r="K214" s="1">
        <f ca="1">IFERROR(_xlfn.FLOOR.MATH($F214*控制台!K344/(控制台!O344*60)),"")</f>
        <v>10</v>
      </c>
      <c r="L214" s="1">
        <f ca="1">IFERROR(_xlfn.FLOOR.MATH($F214*控制台!L344/(控制台!P344*60)),"")</f>
        <v>9</v>
      </c>
      <c r="M214" s="1">
        <f ca="1">IFERROR(_xlfn.FLOOR.MATH($F214*控制台!M344/(控制台!Q344*60)),"")</f>
        <v>7</v>
      </c>
      <c r="N214" s="1" t="str">
        <f ca="1">IFERROR(_xlfn.FLOOR.MATH($F214*控制台!N344/(控制台!R344*60)),"")</f>
        <v/>
      </c>
      <c r="O214" s="4" t="str">
        <f ca="1">控制台!W344</f>
        <v>board;brick;cement</v>
      </c>
      <c r="P214" s="4" t="str">
        <f ca="1" t="shared" si="16"/>
        <v>10;9;7</v>
      </c>
      <c r="Q214" s="4">
        <f>_xlfn.FLOOR.MATH(K12/控制台!$H$291*控制台!$D$289,5)</f>
        <v>430</v>
      </c>
      <c r="R214" s="4">
        <f>_xlfn.FLOOR.MATH(O12/控制台!$H$291*控制台!$D$289,5)</f>
        <v>685</v>
      </c>
      <c r="S214" s="1" t="s">
        <v>152</v>
      </c>
      <c r="T214" s="1" t="s">
        <v>2710</v>
      </c>
      <c r="U214" s="1">
        <f ca="1" t="shared" si="12"/>
        <v>1</v>
      </c>
    </row>
    <row r="215" spans="1:21">
      <c r="A215" s="1">
        <v>7</v>
      </c>
      <c r="B215" s="1" t="s">
        <v>2733</v>
      </c>
      <c r="C215" s="1">
        <f>_xlfn.FLOOR.MATH(D14/控制台!$H$291*控制台!$D$289)</f>
        <v>72000</v>
      </c>
      <c r="D215" s="1">
        <f>_xlfn.FLOOR.MATH(E14/控制台!$H$291*控制台!$D$289)</f>
        <v>86400</v>
      </c>
      <c r="E215" s="1">
        <f>_xlfn.FLOOR.MATH(F14/控制台!$H$291*控制台!$D$289)</f>
        <v>57600</v>
      </c>
      <c r="F215" s="1">
        <f ca="1">_xlfn.FLOOR.MATH(J14*60/控制台!$H$291*控制台!$D$289)</f>
        <v>16588</v>
      </c>
      <c r="G215" s="1">
        <f>IFERROR(_xlfn.FLOOR.MATH(C215,POWER(10,MAX(0,INT(LOG10(C215)-2)))),"")</f>
        <v>72000</v>
      </c>
      <c r="H215" s="1">
        <f>IFERROR(_xlfn.FLOOR.MATH(D215,POWER(10,MAX(0,INT(LOG10(D215)-2)))),"")</f>
        <v>86400</v>
      </c>
      <c r="I215" s="1">
        <f>IFERROR(_xlfn.FLOOR.MATH(E215,POWER(10,MAX(0,INT(LOG10(E215)-2)))),"")</f>
        <v>57600</v>
      </c>
      <c r="J215" s="4" t="str">
        <f t="shared" si="15"/>
        <v>72000;86400;57600</v>
      </c>
      <c r="K215" s="1">
        <f ca="1">IFERROR(_xlfn.FLOOR.MATH($F215*控制台!K345/(控制台!O345*60)),"")</f>
        <v>14</v>
      </c>
      <c r="L215" s="1">
        <f ca="1">IFERROR(_xlfn.FLOOR.MATH($F215*控制台!L345/(控制台!P345*60)),"")</f>
        <v>12</v>
      </c>
      <c r="M215" s="1">
        <f ca="1">IFERROR(_xlfn.FLOOR.MATH($F215*控制台!M345/(控制台!Q345*60)),"")</f>
        <v>10</v>
      </c>
      <c r="N215" s="1" t="str">
        <f ca="1">IFERROR(_xlfn.FLOOR.MATH($F215*控制台!N345/(控制台!R345*60)),"")</f>
        <v/>
      </c>
      <c r="O215" s="4" t="str">
        <f ca="1">控制台!W345</f>
        <v>board;brick;cement</v>
      </c>
      <c r="P215" s="4" t="str">
        <f ca="1" t="shared" si="16"/>
        <v>14;12;10</v>
      </c>
      <c r="Q215" s="4">
        <f>_xlfn.FLOOR.MATH(K13/控制台!$H$291*控制台!$D$289,5)</f>
        <v>645</v>
      </c>
      <c r="R215" s="4">
        <f>_xlfn.FLOOR.MATH(O13/控制台!$H$291*控制台!$D$289,5)</f>
        <v>1280</v>
      </c>
      <c r="S215" s="1" t="s">
        <v>152</v>
      </c>
      <c r="T215" s="1" t="s">
        <v>2711</v>
      </c>
      <c r="U215" s="1">
        <f ca="1" t="shared" si="12"/>
        <v>1</v>
      </c>
    </row>
    <row r="216" spans="1:21">
      <c r="A216" s="1">
        <v>8</v>
      </c>
      <c r="B216" s="1" t="s">
        <v>2733</v>
      </c>
      <c r="C216" s="1">
        <f>_xlfn.FLOOR.MATH(D15/控制台!$H$291*控制台!$D$289)</f>
        <v>90000</v>
      </c>
      <c r="D216" s="1">
        <f>_xlfn.FLOOR.MATH(E15/控制台!$H$291*控制台!$D$289)</f>
        <v>108000</v>
      </c>
      <c r="E216" s="1">
        <f>_xlfn.FLOOR.MATH(F15/控制台!$H$291*控制台!$D$289)</f>
        <v>72000</v>
      </c>
      <c r="F216" s="1">
        <f ca="1">_xlfn.FLOOR.MATH(J15*60/控制台!$H$291*控制台!$D$289)</f>
        <v>20736</v>
      </c>
      <c r="G216" s="1">
        <f>IFERROR(_xlfn.FLOOR.MATH(C216,POWER(10,MAX(0,INT(LOG10(C216)-2)))),"")</f>
        <v>90000</v>
      </c>
      <c r="H216" s="1">
        <f>IFERROR(_xlfn.FLOOR.MATH(D216,POWER(10,MAX(0,INT(LOG10(D216)-2)))),"")</f>
        <v>108000</v>
      </c>
      <c r="I216" s="1">
        <f>IFERROR(_xlfn.FLOOR.MATH(E216,POWER(10,MAX(0,INT(LOG10(E216)-2)))),"")</f>
        <v>72000</v>
      </c>
      <c r="J216" s="4" t="str">
        <f t="shared" si="15"/>
        <v>90000;108000;72000</v>
      </c>
      <c r="K216" s="1">
        <f ca="1">IFERROR(_xlfn.FLOOR.MATH($F216*控制台!K346/(控制台!O346*60)),"")</f>
        <v>17</v>
      </c>
      <c r="L216" s="1">
        <f ca="1">IFERROR(_xlfn.FLOOR.MATH($F216*控制台!L346/(控制台!P346*60)),"")</f>
        <v>15</v>
      </c>
      <c r="M216" s="1">
        <f ca="1">IFERROR(_xlfn.FLOOR.MATH($F216*控制台!M346/(控制台!Q346*60)),"")</f>
        <v>13</v>
      </c>
      <c r="N216" s="1" t="str">
        <f ca="1">IFERROR(_xlfn.FLOOR.MATH($F216*控制台!N346/(控制台!R346*60)),"")</f>
        <v/>
      </c>
      <c r="O216" s="4" t="str">
        <f ca="1">控制台!W346</f>
        <v>board;brick;cement</v>
      </c>
      <c r="P216" s="4" t="str">
        <f ca="1" t="shared" si="16"/>
        <v>17;15;13</v>
      </c>
      <c r="Q216" s="4">
        <f>_xlfn.FLOOR.MATH(K14/控制台!$H$291*控制台!$D$289,5)</f>
        <v>860</v>
      </c>
      <c r="R216" s="4">
        <f>_xlfn.FLOOR.MATH(O14/控制台!$H$291*控制台!$D$289,5)</f>
        <v>2075</v>
      </c>
      <c r="S216" s="1" t="s">
        <v>152</v>
      </c>
      <c r="T216" s="1" t="s">
        <v>2712</v>
      </c>
      <c r="U216" s="1">
        <f ca="1" t="shared" si="12"/>
        <v>1</v>
      </c>
    </row>
    <row r="217" spans="1:21">
      <c r="A217" s="1">
        <v>9</v>
      </c>
      <c r="B217" s="1" t="s">
        <v>2733</v>
      </c>
      <c r="C217" s="1">
        <f>_xlfn.FLOOR.MATH(D16/控制台!$H$291*控制台!$D$289)</f>
        <v>126000</v>
      </c>
      <c r="D217" s="1">
        <f>_xlfn.FLOOR.MATH(E16/控制台!$H$291*控制台!$D$289)</f>
        <v>151200</v>
      </c>
      <c r="E217" s="1">
        <f>_xlfn.FLOOR.MATH(F16/控制台!$H$291*控制台!$D$289)</f>
        <v>100800</v>
      </c>
      <c r="F217" s="1">
        <f ca="1">_xlfn.FLOOR.MATH(J16*60/控制台!$H$291*控制台!$D$289)</f>
        <v>24883</v>
      </c>
      <c r="G217" s="1">
        <f>IFERROR(_xlfn.FLOOR.MATH(C217,POWER(10,MAX(0,INT(LOG10(C217)-2)))),"")</f>
        <v>126000</v>
      </c>
      <c r="H217" s="1">
        <f>IFERROR(_xlfn.FLOOR.MATH(D217,POWER(10,MAX(0,INT(LOG10(D217)-2)))),"")</f>
        <v>151000</v>
      </c>
      <c r="I217" s="1">
        <f>IFERROR(_xlfn.FLOOR.MATH(E217,POWER(10,MAX(0,INT(LOG10(E217)-2)))),"")</f>
        <v>100000</v>
      </c>
      <c r="J217" s="4" t="str">
        <f t="shared" si="15"/>
        <v>126000;151000;100000</v>
      </c>
      <c r="K217" s="1">
        <f ca="1">IFERROR(_xlfn.FLOOR.MATH($F217*控制台!K347/(控制台!O347*60)),"")</f>
        <v>21</v>
      </c>
      <c r="L217" s="1">
        <f ca="1">IFERROR(_xlfn.FLOOR.MATH($F217*控制台!L347/(控制台!P347*60)),"")</f>
        <v>18</v>
      </c>
      <c r="M217" s="1">
        <f ca="1">IFERROR(_xlfn.FLOOR.MATH($F217*控制台!M347/(控制台!Q347*60)),"")</f>
        <v>15</v>
      </c>
      <c r="N217" s="1" t="str">
        <f ca="1">IFERROR(_xlfn.FLOOR.MATH($F217*控制台!N347/(控制台!R347*60)),"")</f>
        <v/>
      </c>
      <c r="O217" s="4" t="str">
        <f ca="1">控制台!W347</f>
        <v>board;brick;cement</v>
      </c>
      <c r="P217" s="4" t="str">
        <f ca="1" t="shared" si="16"/>
        <v>21;18;15</v>
      </c>
      <c r="Q217" s="4">
        <f>_xlfn.FLOOR.MATH(K15/控制台!$H$291*控制台!$D$289,5)</f>
        <v>1080</v>
      </c>
      <c r="R217" s="4">
        <f>_xlfn.FLOOR.MATH(O15/控制台!$H$291*控制台!$D$289,5)</f>
        <v>3070</v>
      </c>
      <c r="S217" s="1" t="s">
        <v>152</v>
      </c>
      <c r="T217" s="1" t="s">
        <v>155</v>
      </c>
      <c r="U217" s="1">
        <f ca="1" t="shared" si="12"/>
        <v>1</v>
      </c>
    </row>
    <row r="218" spans="1:21">
      <c r="A218" s="1">
        <v>10</v>
      </c>
      <c r="B218" s="1" t="s">
        <v>2733</v>
      </c>
      <c r="C218" s="1">
        <f>_xlfn.FLOOR.MATH(D17/控制台!$H$291*控制台!$D$289)</f>
        <v>162000</v>
      </c>
      <c r="D218" s="1">
        <f>_xlfn.FLOOR.MATH(E17/控制台!$H$291*控制台!$D$289)</f>
        <v>194400</v>
      </c>
      <c r="E218" s="1">
        <f>_xlfn.FLOOR.MATH(F17/控制台!$H$291*控制台!$D$289)</f>
        <v>129600</v>
      </c>
      <c r="F218" s="1">
        <f ca="1">_xlfn.FLOOR.MATH(J17*60/控制台!$H$291*控制台!$D$289)</f>
        <v>29030</v>
      </c>
      <c r="G218" s="1">
        <f>IFERROR(_xlfn.FLOOR.MATH(C218,POWER(10,MAX(0,INT(LOG10(C218)-2)))),"")</f>
        <v>162000</v>
      </c>
      <c r="H218" s="1">
        <f>IFERROR(_xlfn.FLOOR.MATH(D218,POWER(10,MAX(0,INT(LOG10(D218)-2)))),"")</f>
        <v>194000</v>
      </c>
      <c r="I218" s="1">
        <f>IFERROR(_xlfn.FLOOR.MATH(E218,POWER(10,MAX(0,INT(LOG10(E218)-2)))),"")</f>
        <v>129000</v>
      </c>
      <c r="J218" s="4" t="str">
        <f t="shared" si="15"/>
        <v>162000;194000;129000</v>
      </c>
      <c r="K218" s="1">
        <f ca="1">IFERROR(_xlfn.FLOOR.MATH($F218*控制台!K348/(控制台!O348*60)),"")</f>
        <v>24</v>
      </c>
      <c r="L218" s="1">
        <f ca="1">IFERROR(_xlfn.FLOOR.MATH($F218*控制台!L348/(控制台!P348*60)),"")</f>
        <v>21</v>
      </c>
      <c r="M218" s="1">
        <f ca="1">IFERROR(_xlfn.FLOOR.MATH($F218*控制台!M348/(控制台!Q348*60)),"")</f>
        <v>18</v>
      </c>
      <c r="N218" s="1" t="str">
        <f ca="1">IFERROR(_xlfn.FLOOR.MATH($F218*控制台!N348/(控制台!R348*60)),"")</f>
        <v/>
      </c>
      <c r="O218" s="4" t="str">
        <f ca="1">控制台!W348</f>
        <v>board;brick;cement</v>
      </c>
      <c r="P218" s="4" t="str">
        <f ca="1" t="shared" si="16"/>
        <v>24;21;18</v>
      </c>
      <c r="Q218" s="4">
        <f>_xlfn.FLOOR.MATH(K16/控制台!$H$291*控制台!$D$289,5)</f>
        <v>1510</v>
      </c>
      <c r="R218" s="4">
        <f>_xlfn.FLOOR.MATH(O16/控制台!$H$291*控制台!$D$289,5)</f>
        <v>4275</v>
      </c>
      <c r="S218" s="1" t="s">
        <v>152</v>
      </c>
      <c r="T218" s="1" t="s">
        <v>2713</v>
      </c>
      <c r="U218" s="1">
        <f ca="1" t="shared" si="12"/>
        <v>1</v>
      </c>
    </row>
    <row r="219" spans="1:21">
      <c r="A219" s="1">
        <v>11</v>
      </c>
      <c r="B219" s="1" t="s">
        <v>2733</v>
      </c>
      <c r="C219" s="1">
        <f>_xlfn.FLOOR.MATH(D18/控制台!$H$291*控制台!$D$289)</f>
        <v>180000</v>
      </c>
      <c r="D219" s="1">
        <f>_xlfn.FLOOR.MATH(E18/控制台!$H$291*控制台!$D$289)</f>
        <v>216000</v>
      </c>
      <c r="E219" s="1">
        <f>_xlfn.FLOOR.MATH(F18/控制台!$H$291*控制台!$D$289)</f>
        <v>144000</v>
      </c>
      <c r="F219" s="1">
        <f ca="1">_xlfn.FLOOR.MATH(J18*60/控制台!$H$291*控制台!$D$289)</f>
        <v>36495</v>
      </c>
      <c r="G219" s="1">
        <f>IFERROR(_xlfn.FLOOR.MATH(C219,POWER(10,MAX(0,INT(LOG10(C219)-2)))),"")</f>
        <v>180000</v>
      </c>
      <c r="H219" s="1">
        <f>IFERROR(_xlfn.FLOOR.MATH(D219,POWER(10,MAX(0,INT(LOG10(D219)-2)))),"")</f>
        <v>216000</v>
      </c>
      <c r="I219" s="1">
        <f>IFERROR(_xlfn.FLOOR.MATH(E219,POWER(10,MAX(0,INT(LOG10(E219)-2)))),"")</f>
        <v>144000</v>
      </c>
      <c r="J219" s="4" t="str">
        <f t="shared" si="15"/>
        <v>180000;216000;144000</v>
      </c>
      <c r="K219" s="1">
        <f ca="1">IFERROR(_xlfn.FLOOR.MATH($F219*控制台!K349/(控制台!O349*60)),"")</f>
        <v>31</v>
      </c>
      <c r="L219" s="1">
        <f ca="1">IFERROR(_xlfn.FLOOR.MATH($F219*控制台!L349/(控制台!P349*60)),"")</f>
        <v>27</v>
      </c>
      <c r="M219" s="1">
        <f ca="1">IFERROR(_xlfn.FLOOR.MATH($F219*控制台!M349/(控制台!Q349*60)),"")</f>
        <v>23</v>
      </c>
      <c r="N219" s="1" t="str">
        <f ca="1">IFERROR(_xlfn.FLOOR.MATH($F219*控制台!N349/(控制台!R349*60)),"")</f>
        <v/>
      </c>
      <c r="O219" s="4" t="str">
        <f ca="1">控制台!W349</f>
        <v>board;brick;cement</v>
      </c>
      <c r="P219" s="4" t="str">
        <f ca="1" t="shared" si="16"/>
        <v>31;27;23</v>
      </c>
      <c r="Q219" s="4">
        <f>_xlfn.FLOOR.MATH(K17/控制台!$H$291*控制台!$D$289,5)</f>
        <v>1940</v>
      </c>
      <c r="R219" s="4">
        <f>_xlfn.FLOOR.MATH(O17/控制台!$H$291*控制台!$D$289,5)</f>
        <v>5690</v>
      </c>
      <c r="S219" s="1" t="s">
        <v>152</v>
      </c>
      <c r="T219" s="1" t="s">
        <v>2676</v>
      </c>
      <c r="U219" s="1">
        <f ca="1" t="shared" si="12"/>
        <v>1</v>
      </c>
    </row>
    <row r="220" spans="1:21">
      <c r="A220" s="1">
        <v>12</v>
      </c>
      <c r="B220" s="1" t="s">
        <v>2733</v>
      </c>
      <c r="C220" s="1">
        <f>_xlfn.FLOOR.MATH(D19/控制台!$H$291*控制台!$D$289)</f>
        <v>270000</v>
      </c>
      <c r="D220" s="1">
        <f>_xlfn.FLOOR.MATH(E19/控制台!$H$291*控制台!$D$289)</f>
        <v>324000</v>
      </c>
      <c r="E220" s="1">
        <f>_xlfn.FLOOR.MATH(F19/控制台!$H$291*控制台!$D$289)</f>
        <v>216000</v>
      </c>
      <c r="F220" s="1">
        <f ca="1">_xlfn.FLOOR.MATH(J19*60/控制台!$H$291*控制台!$D$289)</f>
        <v>45619</v>
      </c>
      <c r="G220" s="1">
        <f>IFERROR(_xlfn.FLOOR.MATH(C220,POWER(10,MAX(0,INT(LOG10(C220)-2)))),"")</f>
        <v>270000</v>
      </c>
      <c r="H220" s="1">
        <f>IFERROR(_xlfn.FLOOR.MATH(D220,POWER(10,MAX(0,INT(LOG10(D220)-2)))),"")</f>
        <v>324000</v>
      </c>
      <c r="I220" s="1">
        <f>IFERROR(_xlfn.FLOOR.MATH(E220,POWER(10,MAX(0,INT(LOG10(E220)-2)))),"")</f>
        <v>216000</v>
      </c>
      <c r="J220" s="4" t="str">
        <f t="shared" si="15"/>
        <v>270000;324000;216000</v>
      </c>
      <c r="K220" s="1">
        <f ca="1">IFERROR(_xlfn.FLOOR.MATH($F220*控制台!K350/(控制台!O350*60)),"")</f>
        <v>38</v>
      </c>
      <c r="L220" s="1">
        <f ca="1">IFERROR(_xlfn.FLOOR.MATH($F220*控制台!L350/(控制台!P350*60)),"")</f>
        <v>34</v>
      </c>
      <c r="M220" s="1">
        <f ca="1">IFERROR(_xlfn.FLOOR.MATH($F220*控制台!M350/(控制台!Q350*60)),"")</f>
        <v>29</v>
      </c>
      <c r="N220" s="1" t="str">
        <f ca="1">IFERROR(_xlfn.FLOOR.MATH($F220*控制台!N350/(控制台!R350*60)),"")</f>
        <v/>
      </c>
      <c r="O220" s="4" t="str">
        <f ca="1">控制台!W350</f>
        <v>board;brick;cement</v>
      </c>
      <c r="P220" s="4" t="str">
        <f ca="1" t="shared" si="16"/>
        <v>38;34;29</v>
      </c>
      <c r="Q220" s="4">
        <f>_xlfn.FLOOR.MATH(K18/控制台!$H$291*控制台!$D$289,5)</f>
        <v>2160</v>
      </c>
      <c r="R220" s="4">
        <f>_xlfn.FLOOR.MATH(O18/控制台!$H$291*控制台!$D$289,5)</f>
        <v>7300</v>
      </c>
      <c r="S220" s="1" t="s">
        <v>152</v>
      </c>
      <c r="T220" s="1" t="s">
        <v>2714</v>
      </c>
      <c r="U220" s="1">
        <f ca="1" t="shared" si="12"/>
        <v>1</v>
      </c>
    </row>
    <row r="221" spans="1:21">
      <c r="A221" s="1">
        <v>13</v>
      </c>
      <c r="B221" s="1" t="s">
        <v>2733</v>
      </c>
      <c r="C221" s="1">
        <f>_xlfn.FLOOR.MATH(D20/控制台!$H$291*控制台!$D$289)</f>
        <v>540000</v>
      </c>
      <c r="D221" s="1">
        <f>_xlfn.FLOOR.MATH(E20/控制台!$H$291*控制台!$D$289)</f>
        <v>648000</v>
      </c>
      <c r="E221" s="1">
        <f>_xlfn.FLOOR.MATH(F20/控制台!$H$291*控制台!$D$289)</f>
        <v>432000</v>
      </c>
      <c r="F221" s="1">
        <f ca="1">_xlfn.FLOOR.MATH(J20*60/控制台!$H$291*控制台!$D$289)</f>
        <v>68428</v>
      </c>
      <c r="G221" s="1">
        <f>IFERROR(_xlfn.FLOOR.MATH(C221,POWER(10,MAX(0,INT(LOG10(C221)-2)))),"")</f>
        <v>540000</v>
      </c>
      <c r="H221" s="1">
        <f>IFERROR(_xlfn.FLOOR.MATH(D221,POWER(10,MAX(0,INT(LOG10(D221)-2)))),"")</f>
        <v>648000</v>
      </c>
      <c r="I221" s="1">
        <f>IFERROR(_xlfn.FLOOR.MATH(E221,POWER(10,MAX(0,INT(LOG10(E221)-2)))),"")</f>
        <v>432000</v>
      </c>
      <c r="J221" s="4" t="str">
        <f t="shared" si="15"/>
        <v>540000;648000;432000</v>
      </c>
      <c r="K221" s="1">
        <f ca="1">IFERROR(_xlfn.FLOOR.MATH($F221*控制台!K351/(控制台!O351*60)),"")</f>
        <v>31</v>
      </c>
      <c r="L221" s="1">
        <f ca="1">IFERROR(_xlfn.FLOOR.MATH($F221*控制台!L351/(控制台!P351*60)),"")</f>
        <v>23</v>
      </c>
      <c r="M221" s="1">
        <f ca="1">IFERROR(_xlfn.FLOOR.MATH($F221*控制台!M351/(控制台!Q351*60)),"")</f>
        <v>18</v>
      </c>
      <c r="N221" s="1" t="str">
        <f ca="1">IFERROR(_xlfn.FLOOR.MATH($F221*控制台!N351/(控制台!R351*60)),"")</f>
        <v/>
      </c>
      <c r="O221" s="4" t="str">
        <f ca="1">控制台!W351</f>
        <v>board;cement;steel</v>
      </c>
      <c r="P221" s="4" t="str">
        <f ca="1" t="shared" si="16"/>
        <v>31;23;18</v>
      </c>
      <c r="Q221" s="4">
        <f>_xlfn.FLOOR.MATH(K19/控制台!$H$291*控制台!$D$289,5)</f>
        <v>3240</v>
      </c>
      <c r="R221" s="4">
        <f>_xlfn.FLOOR.MATH(O19/控制台!$H$291*控制台!$D$289,5)</f>
        <v>9345</v>
      </c>
      <c r="S221" s="1" t="s">
        <v>2680</v>
      </c>
      <c r="T221" s="1" t="s">
        <v>2715</v>
      </c>
      <c r="U221" s="1">
        <f ca="1" t="shared" si="12"/>
        <v>1</v>
      </c>
    </row>
    <row r="222" spans="1:21">
      <c r="A222" s="1">
        <v>14</v>
      </c>
      <c r="B222" s="1" t="s">
        <v>2733</v>
      </c>
      <c r="C222" s="1">
        <f>_xlfn.FLOOR.MATH(D21/控制台!$H$291*控制台!$D$289)</f>
        <v>900000</v>
      </c>
      <c r="D222" s="1">
        <f>_xlfn.FLOOR.MATH(E21/控制台!$H$291*控制台!$D$289)</f>
        <v>1080000</v>
      </c>
      <c r="E222" s="1">
        <f>_xlfn.FLOOR.MATH(F21/控制台!$H$291*控制台!$D$289)</f>
        <v>720000</v>
      </c>
      <c r="F222" s="1">
        <f ca="1">_xlfn.FLOOR.MATH(J21*60/控制台!$H$291*控制台!$D$289)</f>
        <v>91238</v>
      </c>
      <c r="G222" s="1">
        <f>IFERROR(_xlfn.FLOOR.MATH(C222,POWER(10,MAX(0,INT(LOG10(C222)-2)))),"")</f>
        <v>900000</v>
      </c>
      <c r="H222" s="1">
        <f>IFERROR(_xlfn.FLOOR.MATH(D222,POWER(10,MAX(0,INT(LOG10(D222)-2)))),"")</f>
        <v>1080000</v>
      </c>
      <c r="I222" s="1">
        <f>IFERROR(_xlfn.FLOOR.MATH(E222,POWER(10,MAX(0,INT(LOG10(E222)-2)))),"")</f>
        <v>720000</v>
      </c>
      <c r="J222" s="4" t="str">
        <f t="shared" si="15"/>
        <v>900000;1080000;720000</v>
      </c>
      <c r="K222" s="1">
        <f ca="1">IFERROR(_xlfn.FLOOR.MATH($F222*控制台!K352/(控制台!O352*60)),"")</f>
        <v>34</v>
      </c>
      <c r="L222" s="1">
        <f ca="1">IFERROR(_xlfn.FLOOR.MATH($F222*控制台!L352/(控制台!P352*60)),"")</f>
        <v>29</v>
      </c>
      <c r="M222" s="1">
        <f ca="1">IFERROR(_xlfn.FLOOR.MATH($F222*控制台!M352/(控制台!Q352*60)),"")</f>
        <v>22</v>
      </c>
      <c r="N222" s="1" t="str">
        <f ca="1">IFERROR(_xlfn.FLOOR.MATH($F222*控制台!N352/(控制台!R352*60)),"")</f>
        <v/>
      </c>
      <c r="O222" s="4" t="str">
        <f ca="1">控制台!W352</f>
        <v>brick;cement;steel</v>
      </c>
      <c r="P222" s="4" t="str">
        <f ca="1" t="shared" si="16"/>
        <v>34;29;22</v>
      </c>
      <c r="Q222" s="4">
        <f>_xlfn.FLOOR.MATH(K20/控制台!$H$291*控制台!$D$289,5)</f>
        <v>6480</v>
      </c>
      <c r="R222" s="4">
        <f>_xlfn.FLOOR.MATH(O20/控制台!$H$291*控制台!$D$289,5)</f>
        <v>12495</v>
      </c>
      <c r="S222" s="1" t="s">
        <v>2682</v>
      </c>
      <c r="T222" s="1" t="s">
        <v>2716</v>
      </c>
      <c r="U222" s="1">
        <f ca="1" t="shared" si="12"/>
        <v>1</v>
      </c>
    </row>
    <row r="223" spans="1:21">
      <c r="A223" s="1">
        <v>15</v>
      </c>
      <c r="B223" s="1" t="s">
        <v>2733</v>
      </c>
      <c r="C223" s="1">
        <f>_xlfn.FLOOR.MATH(D22/控制台!$H$291*控制台!$D$289)</f>
        <v>1080000</v>
      </c>
      <c r="D223" s="1">
        <f>_xlfn.FLOOR.MATH(E22/控制台!$H$291*控制台!$D$289)</f>
        <v>1296000</v>
      </c>
      <c r="E223" s="1">
        <f>_xlfn.FLOOR.MATH(F22/控制台!$H$291*控制台!$D$289)</f>
        <v>864000</v>
      </c>
      <c r="F223" s="1">
        <f ca="1">_xlfn.FLOOR.MATH(J22*60/控制台!$H$291*控制台!$D$289)</f>
        <v>114048</v>
      </c>
      <c r="G223" s="1">
        <f>IFERROR(_xlfn.FLOOR.MATH(C223,POWER(10,MAX(0,INT(LOG10(C223)-2)))),"")</f>
        <v>1080000</v>
      </c>
      <c r="H223" s="1">
        <f>IFERROR(_xlfn.FLOOR.MATH(D223,POWER(10,MAX(0,INT(LOG10(D223)-2)))),"")</f>
        <v>1290000</v>
      </c>
      <c r="I223" s="1">
        <f>IFERROR(_xlfn.FLOOR.MATH(E223,POWER(10,MAX(0,INT(LOG10(E223)-2)))),"")</f>
        <v>864000</v>
      </c>
      <c r="J223" s="4" t="str">
        <f t="shared" si="15"/>
        <v>1080000;1290000;864000</v>
      </c>
      <c r="K223" s="1">
        <f ca="1">IFERROR(_xlfn.FLOOR.MATH($F223*控制台!K353/(控制台!O353*60)),"")</f>
        <v>77</v>
      </c>
      <c r="L223" s="1">
        <f ca="1">IFERROR(_xlfn.FLOOR.MATH($F223*控制台!L353/(控制台!P353*60)),"")</f>
        <v>67</v>
      </c>
      <c r="M223" s="1">
        <f ca="1">IFERROR(_xlfn.FLOOR.MATH($F223*控制台!M353/(控制台!Q353*60)),"")</f>
        <v>44</v>
      </c>
      <c r="N223" s="1" t="str">
        <f ca="1">IFERROR(_xlfn.FLOOR.MATH($F223*控制台!N353/(控制台!R353*60)),"")</f>
        <v/>
      </c>
      <c r="O223" s="4" t="str">
        <f ca="1">控制台!W353</f>
        <v>board;brick;steel</v>
      </c>
      <c r="P223" s="4" t="str">
        <f ca="1" t="shared" si="16"/>
        <v>77;67;44</v>
      </c>
      <c r="Q223" s="4">
        <f>_xlfn.FLOOR.MATH(K21/控制台!$H$291*控制台!$D$289,5)</f>
        <v>10800</v>
      </c>
      <c r="R223" s="4">
        <f>_xlfn.FLOOR.MATH(O21/控制台!$H$291*控制台!$D$289,5)</f>
        <v>16805</v>
      </c>
      <c r="S223" s="1" t="s">
        <v>2684</v>
      </c>
      <c r="T223" s="1" t="s">
        <v>2717</v>
      </c>
      <c r="U223" s="1">
        <f ca="1" t="shared" si="12"/>
        <v>1</v>
      </c>
    </row>
    <row r="224" spans="1:21">
      <c r="A224" s="1">
        <v>16</v>
      </c>
      <c r="B224" s="1" t="s">
        <v>2733</v>
      </c>
      <c r="C224" s="1">
        <f>_xlfn.FLOOR.MATH(D23/控制台!$H$291*控制台!$D$289)</f>
        <v>1260000</v>
      </c>
      <c r="D224" s="1">
        <f>_xlfn.FLOOR.MATH(E23/控制台!$H$291*控制台!$D$289)</f>
        <v>1512000</v>
      </c>
      <c r="E224" s="1">
        <f>_xlfn.FLOOR.MATH(F23/控制台!$H$291*控制台!$D$289)</f>
        <v>1008000</v>
      </c>
      <c r="F224" s="1">
        <f ca="1">_xlfn.FLOOR.MATH(J23*60/控制台!$H$291*控制台!$D$289)</f>
        <v>136857</v>
      </c>
      <c r="G224" s="1">
        <f>IFERROR(_xlfn.FLOOR.MATH(C224,POWER(10,MAX(0,INT(LOG10(C224)-2)))),"")</f>
        <v>1260000</v>
      </c>
      <c r="H224" s="1">
        <f>IFERROR(_xlfn.FLOOR.MATH(D224,POWER(10,MAX(0,INT(LOG10(D224)-2)))),"")</f>
        <v>1510000</v>
      </c>
      <c r="I224" s="1">
        <f>IFERROR(_xlfn.FLOOR.MATH(E224,POWER(10,MAX(0,INT(LOG10(E224)-2)))),"")</f>
        <v>1000000</v>
      </c>
      <c r="J224" s="4" t="str">
        <f t="shared" si="15"/>
        <v>1260000;1510000;1000000</v>
      </c>
      <c r="K224" s="1">
        <f ca="1">IFERROR(_xlfn.FLOOR.MATH($F224*控制台!K354/(控制台!O354*60)),"")</f>
        <v>51</v>
      </c>
      <c r="L224" s="1">
        <f ca="1">IFERROR(_xlfn.FLOOR.MATH($F224*控制台!L354/(控制台!P354*60)),"")</f>
        <v>44</v>
      </c>
      <c r="M224" s="1">
        <f ca="1">IFERROR(_xlfn.FLOOR.MATH($F224*控制台!M354/(控制台!Q354*60)),"")</f>
        <v>33</v>
      </c>
      <c r="N224" s="1" t="str">
        <f ca="1">IFERROR(_xlfn.FLOOR.MATH($F224*控制台!N354/(控制台!R354*60)),"")</f>
        <v/>
      </c>
      <c r="O224" s="4" t="str">
        <f ca="1">控制台!W354</f>
        <v>brick;cement;steel</v>
      </c>
      <c r="P224" s="4" t="str">
        <f ca="1" t="shared" si="16"/>
        <v>51;44;33</v>
      </c>
      <c r="Q224" s="4">
        <f>_xlfn.FLOOR.MATH(K22/控制台!$H$291*控制台!$D$289,5)</f>
        <v>12960</v>
      </c>
      <c r="R224" s="4">
        <f>_xlfn.FLOOR.MATH(O22/控制台!$H$291*控制台!$D$289,5)</f>
        <v>22170</v>
      </c>
      <c r="S224" s="1" t="s">
        <v>2682</v>
      </c>
      <c r="T224" s="1" t="s">
        <v>2683</v>
      </c>
      <c r="U224" s="1">
        <f ca="1" t="shared" si="12"/>
        <v>1</v>
      </c>
    </row>
    <row r="225" spans="1:21">
      <c r="A225" s="1">
        <v>17</v>
      </c>
      <c r="B225" s="1" t="s">
        <v>2733</v>
      </c>
      <c r="C225" s="1">
        <f>_xlfn.FLOOR.MATH(D24/控制台!$H$291*控制台!$D$289)</f>
        <v>1980000</v>
      </c>
      <c r="D225" s="1">
        <f>_xlfn.FLOOR.MATH(E24/控制台!$H$291*控制台!$D$289)</f>
        <v>2376000</v>
      </c>
      <c r="E225" s="1">
        <f>_xlfn.FLOOR.MATH(F24/控制台!$H$291*控制台!$D$289)</f>
        <v>1584000</v>
      </c>
      <c r="F225" s="1">
        <f ca="1">_xlfn.FLOOR.MATH(J24*60/控制台!$H$291*控制台!$D$289)</f>
        <v>159667</v>
      </c>
      <c r="G225" s="1">
        <f>IFERROR(_xlfn.FLOOR.MATH(C225,POWER(10,MAX(0,INT(LOG10(C225)-2)))),"")</f>
        <v>1980000</v>
      </c>
      <c r="H225" s="1">
        <f>IFERROR(_xlfn.FLOOR.MATH(D225,POWER(10,MAX(0,INT(LOG10(D225)-2)))),"")</f>
        <v>2370000</v>
      </c>
      <c r="I225" s="1">
        <f>IFERROR(_xlfn.FLOOR.MATH(E225,POWER(10,MAX(0,INT(LOG10(E225)-2)))),"")</f>
        <v>1580000</v>
      </c>
      <c r="J225" s="4" t="str">
        <f t="shared" si="15"/>
        <v>1980000;2370000;1580000</v>
      </c>
      <c r="K225" s="1">
        <f ca="1">IFERROR(_xlfn.FLOOR.MATH($F225*控制台!K355/(控制台!O355*60)),"")</f>
        <v>73</v>
      </c>
      <c r="L225" s="1">
        <f ca="1">IFERROR(_xlfn.FLOOR.MATH($F225*控制台!L355/(控制台!P355*60)),"")</f>
        <v>55</v>
      </c>
      <c r="M225" s="1">
        <f ca="1">IFERROR(_xlfn.FLOOR.MATH($F225*控制台!M355/(控制台!Q355*60)),"")</f>
        <v>42</v>
      </c>
      <c r="N225" s="1" t="str">
        <f ca="1">IFERROR(_xlfn.FLOOR.MATH($F225*控制台!N355/(控制台!R355*60)),"")</f>
        <v/>
      </c>
      <c r="O225" s="4" t="str">
        <f ca="1">控制台!W355</f>
        <v>board;cement;steel</v>
      </c>
      <c r="P225" s="4" t="str">
        <f ca="1" t="shared" si="16"/>
        <v>73;55;42</v>
      </c>
      <c r="Q225" s="4">
        <f>_xlfn.FLOOR.MATH(K23/控制台!$H$291*控制台!$D$289,5)</f>
        <v>15120</v>
      </c>
      <c r="R225" s="4">
        <f>_xlfn.FLOOR.MATH(O23/控制台!$H$291*控制台!$D$289,5)</f>
        <v>28580</v>
      </c>
      <c r="S225" s="1" t="s">
        <v>2680</v>
      </c>
      <c r="T225" s="1" t="s">
        <v>2718</v>
      </c>
      <c r="U225" s="1">
        <f ca="1" t="shared" si="12"/>
        <v>1</v>
      </c>
    </row>
    <row r="226" spans="1:21">
      <c r="A226" s="1">
        <v>18</v>
      </c>
      <c r="B226" s="1" t="s">
        <v>2733</v>
      </c>
      <c r="C226" s="1">
        <f>_xlfn.FLOOR.MATH(D25/控制台!$H$291*控制台!$D$289)</f>
        <v>2250000</v>
      </c>
      <c r="D226" s="1">
        <f>_xlfn.FLOOR.MATH(E25/控制台!$H$291*控制台!$D$289)</f>
        <v>2700000</v>
      </c>
      <c r="E226" s="1">
        <f>_xlfn.FLOOR.MATH(F25/控制台!$H$291*控制台!$D$289)</f>
        <v>1800000</v>
      </c>
      <c r="F226" s="1">
        <f ca="1">_xlfn.FLOOR.MATH(J25*60/控制台!$H$291*控制台!$D$289)</f>
        <v>182476</v>
      </c>
      <c r="G226" s="1">
        <f>IFERROR(_xlfn.FLOOR.MATH(C226,POWER(10,MAX(0,INT(LOG10(C226)-2)))),"")</f>
        <v>2250000</v>
      </c>
      <c r="H226" s="1">
        <f>IFERROR(_xlfn.FLOOR.MATH(D226,POWER(10,MAX(0,INT(LOG10(D226)-2)))),"")</f>
        <v>2700000</v>
      </c>
      <c r="I226" s="1">
        <f>IFERROR(_xlfn.FLOOR.MATH(E226,POWER(10,MAX(0,INT(LOG10(E226)-2)))),"")</f>
        <v>1800000</v>
      </c>
      <c r="J226" s="4" t="str">
        <f t="shared" si="15"/>
        <v>2250000;2700000;1800000</v>
      </c>
      <c r="K226" s="1">
        <f ca="1">IFERROR(_xlfn.FLOOR.MATH($F226*控制台!K356/(控制台!O356*60)),"")</f>
        <v>69</v>
      </c>
      <c r="L226" s="1">
        <f ca="1">IFERROR(_xlfn.FLOOR.MATH($F226*控制台!L356/(控制台!P356*60)),"")</f>
        <v>59</v>
      </c>
      <c r="M226" s="1">
        <f ca="1">IFERROR(_xlfn.FLOOR.MATH($F226*控制台!M356/(控制台!Q356*60)),"")</f>
        <v>45</v>
      </c>
      <c r="N226" s="1" t="str">
        <f ca="1">IFERROR(_xlfn.FLOOR.MATH($F226*控制台!N356/(控制台!R356*60)),"")</f>
        <v/>
      </c>
      <c r="O226" s="4" t="str">
        <f ca="1">控制台!W356</f>
        <v>brick;cement;steel</v>
      </c>
      <c r="P226" s="4" t="str">
        <f ca="1" t="shared" si="16"/>
        <v>69;59;45</v>
      </c>
      <c r="Q226" s="4">
        <f>_xlfn.FLOOR.MATH(K24/控制台!$H$291*控制台!$D$289,5)</f>
        <v>23760</v>
      </c>
      <c r="R226" s="4">
        <f>_xlfn.FLOOR.MATH(O24/控制台!$H$291*控制台!$D$289,5)</f>
        <v>36380</v>
      </c>
      <c r="S226" s="1" t="s">
        <v>2682</v>
      </c>
      <c r="T226" s="1" t="s">
        <v>2719</v>
      </c>
      <c r="U226" s="1">
        <f ca="1" t="shared" si="12"/>
        <v>1</v>
      </c>
    </row>
    <row r="227" spans="1:21">
      <c r="A227" s="1">
        <v>19</v>
      </c>
      <c r="B227" s="1" t="s">
        <v>2733</v>
      </c>
      <c r="C227" s="1">
        <f>_xlfn.FLOOR.MATH(D26/控制台!$H$291*控制台!$D$289)</f>
        <v>2520000</v>
      </c>
      <c r="D227" s="1">
        <f>_xlfn.FLOOR.MATH(E26/控制台!$H$291*控制台!$D$289)</f>
        <v>3024000</v>
      </c>
      <c r="E227" s="1">
        <f>_xlfn.FLOOR.MATH(F26/控制台!$H$291*控制台!$D$289)</f>
        <v>2016000</v>
      </c>
      <c r="F227" s="1">
        <f ca="1">_xlfn.FLOOR.MATH(J26*60/控制台!$H$291*控制台!$D$289)</f>
        <v>251942</v>
      </c>
      <c r="G227" s="1">
        <f>IFERROR(_xlfn.FLOOR.MATH(C227,POWER(10,MAX(0,INT(LOG10(C227)-2)))),"")</f>
        <v>2520000</v>
      </c>
      <c r="H227" s="1">
        <f>IFERROR(_xlfn.FLOOR.MATH(D227,POWER(10,MAX(0,INT(LOG10(D227)-2)))),"")</f>
        <v>3020000</v>
      </c>
      <c r="I227" s="1">
        <f>IFERROR(_xlfn.FLOOR.MATH(E227,POWER(10,MAX(0,INT(LOG10(E227)-2)))),"")</f>
        <v>2010000</v>
      </c>
      <c r="J227" s="4" t="str">
        <f t="shared" si="15"/>
        <v>2520000;3020000;2010000</v>
      </c>
      <c r="K227" s="1">
        <f ca="1">IFERROR(_xlfn.FLOOR.MATH($F227*控制台!K357/(控制台!O357*60)),"")</f>
        <v>106</v>
      </c>
      <c r="L227" s="1">
        <f ca="1">IFERROR(_xlfn.FLOOR.MATH($F227*控制台!L357/(控制台!P357*60)),"")</f>
        <v>93</v>
      </c>
      <c r="M227" s="1">
        <f ca="1">IFERROR(_xlfn.FLOOR.MATH($F227*控制台!M357/(控制台!Q357*60)),"")</f>
        <v>79</v>
      </c>
      <c r="N227" s="1">
        <f ca="1">IFERROR(_xlfn.FLOOR.MATH($F227*控制台!N357/(控制台!R357*60)),"")</f>
        <v>60</v>
      </c>
      <c r="O227" s="4" t="str">
        <f ca="1">控制台!W357</f>
        <v>board;brick;cement;steel</v>
      </c>
      <c r="P227" s="4" t="str">
        <f ca="1" t="shared" si="16"/>
        <v>106;93;79;60</v>
      </c>
      <c r="Q227" s="4">
        <f>_xlfn.FLOOR.MATH(K25/控制台!$H$291*控制台!$D$289,5)</f>
        <v>27000</v>
      </c>
      <c r="R227" s="4">
        <f>_xlfn.FLOOR.MATH(O25/控制台!$H$291*控制台!$D$289,5)</f>
        <v>45290</v>
      </c>
      <c r="S227" s="1" t="s">
        <v>2689</v>
      </c>
      <c r="T227" s="1" t="s">
        <v>2720</v>
      </c>
      <c r="U227" s="1">
        <f ca="1" t="shared" si="12"/>
        <v>1</v>
      </c>
    </row>
    <row r="228" spans="1:21">
      <c r="A228" s="1">
        <v>20</v>
      </c>
      <c r="B228" s="1" t="s">
        <v>2733</v>
      </c>
      <c r="C228" s="1">
        <f>_xlfn.FLOOR.MATH(D27/控制台!$H$291*控制台!$D$289)</f>
        <v>2790000</v>
      </c>
      <c r="D228" s="1">
        <f>_xlfn.FLOOR.MATH(E27/控制台!$H$291*控制台!$D$289)</f>
        <v>3348000</v>
      </c>
      <c r="E228" s="1">
        <f>_xlfn.FLOOR.MATH(F27/控制台!$H$291*控制台!$D$289)</f>
        <v>2232000</v>
      </c>
      <c r="F228" s="1">
        <f ca="1">_xlfn.FLOOR.MATH(J27*60/控制台!$H$291*控制台!$D$289)</f>
        <v>279936</v>
      </c>
      <c r="G228" s="1">
        <f>IFERROR(_xlfn.FLOOR.MATH(C228,POWER(10,MAX(0,INT(LOG10(C228)-2)))),"")</f>
        <v>2790000</v>
      </c>
      <c r="H228" s="1">
        <f>IFERROR(_xlfn.FLOOR.MATH(D228,POWER(10,MAX(0,INT(LOG10(D228)-2)))),"")</f>
        <v>3340000</v>
      </c>
      <c r="I228" s="1">
        <f>IFERROR(_xlfn.FLOOR.MATH(E228,POWER(10,MAX(0,INT(LOG10(E228)-2)))),"")</f>
        <v>2230000</v>
      </c>
      <c r="J228" s="4" t="str">
        <f t="shared" si="15"/>
        <v>2790000;3340000;2230000</v>
      </c>
      <c r="K228" s="1">
        <f ca="1">IFERROR(_xlfn.FLOOR.MATH($F228*控制台!K358/(控制台!O358*60)),"")</f>
        <v>64</v>
      </c>
      <c r="L228" s="1">
        <f ca="1">IFERROR(_xlfn.FLOOR.MATH($F228*控制台!L358/(控制台!P358*60)),"")</f>
        <v>55</v>
      </c>
      <c r="M228" s="1">
        <f ca="1">IFERROR(_xlfn.FLOOR.MATH($F228*控制台!M358/(控制台!Q358*60)),"")</f>
        <v>41</v>
      </c>
      <c r="N228" s="1">
        <f ca="1">IFERROR(_xlfn.FLOOR.MATH($F228*控制台!N358/(控制台!R358*60)),"")</f>
        <v>36</v>
      </c>
      <c r="O228" s="4" t="str">
        <f ca="1">控制台!W358</f>
        <v>brick;cement;steel;pitch</v>
      </c>
      <c r="P228" s="4" t="str">
        <f ca="1" t="shared" si="16"/>
        <v>64;55;41;36</v>
      </c>
      <c r="Q228" s="4">
        <f>_xlfn.FLOOR.MATH(K26/控制台!$H$291*控制台!$D$289,5)</f>
        <v>30240</v>
      </c>
      <c r="R228" s="4">
        <f>_xlfn.FLOOR.MATH(O26/控制台!$H$291*控制台!$D$289,5)</f>
        <v>55300</v>
      </c>
      <c r="S228" s="1" t="s">
        <v>2691</v>
      </c>
      <c r="T228" s="1" t="s">
        <v>2721</v>
      </c>
      <c r="U228" s="1">
        <f ca="1" t="shared" si="12"/>
        <v>1</v>
      </c>
    </row>
    <row r="229" spans="1:21">
      <c r="A229" s="1">
        <v>21</v>
      </c>
      <c r="B229" s="1" t="s">
        <v>2733</v>
      </c>
      <c r="C229" s="1">
        <f>_xlfn.FLOOR.MATH(D28/控制台!$H$291*控制台!$D$289)</f>
        <v>2970000</v>
      </c>
      <c r="D229" s="1">
        <f>_xlfn.FLOOR.MATH(E28/控制台!$H$291*控制台!$D$289)</f>
        <v>3564000</v>
      </c>
      <c r="E229" s="1">
        <f>_xlfn.FLOOR.MATH(F28/控制台!$H$291*控制台!$D$289)</f>
        <v>2376000</v>
      </c>
      <c r="F229" s="1">
        <f ca="1">_xlfn.FLOOR.MATH(J28*60/控制台!$H$291*控制台!$D$289)</f>
        <v>307929</v>
      </c>
      <c r="G229" s="1">
        <f>IFERROR(_xlfn.FLOOR.MATH(C229,POWER(10,MAX(0,INT(LOG10(C229)-2)))),"")</f>
        <v>2970000</v>
      </c>
      <c r="H229" s="1">
        <f>IFERROR(_xlfn.FLOOR.MATH(D229,POWER(10,MAX(0,INT(LOG10(D229)-2)))),"")</f>
        <v>3560000</v>
      </c>
      <c r="I229" s="1">
        <f>IFERROR(_xlfn.FLOOR.MATH(E229,POWER(10,MAX(0,INT(LOG10(E229)-2)))),"")</f>
        <v>2370000</v>
      </c>
      <c r="J229" s="4" t="str">
        <f t="shared" si="15"/>
        <v>2970000;3560000;2370000</v>
      </c>
      <c r="K229" s="1">
        <f ca="1">IFERROR(_xlfn.FLOOR.MATH($F229*控制台!K359/(控制台!O359*60)),"")</f>
        <v>103</v>
      </c>
      <c r="L229" s="1">
        <f ca="1">IFERROR(_xlfn.FLOOR.MATH($F229*控制台!L359/(控制台!P359*60)),"")</f>
        <v>90</v>
      </c>
      <c r="M229" s="1">
        <f ca="1">IFERROR(_xlfn.FLOOR.MATH($F229*控制台!M359/(控制台!Q359*60)),"")</f>
        <v>59</v>
      </c>
      <c r="N229" s="1">
        <f ca="1">IFERROR(_xlfn.FLOOR.MATH($F229*控制台!N359/(控制台!R359*60)),"")</f>
        <v>51</v>
      </c>
      <c r="O229" s="4" t="str">
        <f ca="1">控制台!W359</f>
        <v>board;brick;steel;pitch</v>
      </c>
      <c r="P229" s="4" t="str">
        <f ca="1" t="shared" si="16"/>
        <v>103;90;59;51</v>
      </c>
      <c r="Q229" s="4">
        <f>_xlfn.FLOOR.MATH(K27/控制台!$H$291*控制台!$D$289,5)</f>
        <v>33480</v>
      </c>
      <c r="R229" s="4">
        <f>_xlfn.FLOOR.MATH(O27/控制台!$H$291*控制台!$D$289,5)</f>
        <v>66420</v>
      </c>
      <c r="S229" s="1" t="s">
        <v>2693</v>
      </c>
      <c r="T229" s="1" t="s">
        <v>2722</v>
      </c>
      <c r="U229" s="1">
        <f ca="1" t="shared" si="12"/>
        <v>1</v>
      </c>
    </row>
    <row r="230" spans="1:21">
      <c r="A230" s="1">
        <v>22</v>
      </c>
      <c r="B230" s="1" t="s">
        <v>2733</v>
      </c>
      <c r="C230" s="1">
        <f>_xlfn.FLOOR.MATH(D29/控制台!$H$291*控制台!$D$289)</f>
        <v>4050000</v>
      </c>
      <c r="D230" s="1">
        <f>_xlfn.FLOOR.MATH(E29/控制台!$H$291*控制台!$D$289)</f>
        <v>4860000</v>
      </c>
      <c r="E230" s="1">
        <f>_xlfn.FLOOR.MATH(F29/控制台!$H$291*控制台!$D$289)</f>
        <v>3240000</v>
      </c>
      <c r="F230" s="1">
        <f ca="1">_xlfn.FLOOR.MATH(J29*60/控制台!$H$291*控制台!$D$289)</f>
        <v>348364</v>
      </c>
      <c r="G230" s="1">
        <f>IFERROR(_xlfn.FLOOR.MATH(C230,POWER(10,MAX(0,INT(LOG10(C230)-2)))),"")</f>
        <v>4050000</v>
      </c>
      <c r="H230" s="1">
        <f>IFERROR(_xlfn.FLOOR.MATH(D230,POWER(10,MAX(0,INT(LOG10(D230)-2)))),"")</f>
        <v>4860000</v>
      </c>
      <c r="I230" s="1">
        <f>IFERROR(_xlfn.FLOOR.MATH(E230,POWER(10,MAX(0,INT(LOG10(E230)-2)))),"")</f>
        <v>3240000</v>
      </c>
      <c r="J230" s="4" t="str">
        <f t="shared" si="15"/>
        <v>4050000;4860000;3240000</v>
      </c>
      <c r="K230" s="1">
        <f ca="1">IFERROR(_xlfn.FLOOR.MATH($F230*控制台!K360/(控制台!O360*60)),"")</f>
        <v>80</v>
      </c>
      <c r="L230" s="1">
        <f ca="1">IFERROR(_xlfn.FLOOR.MATH($F230*控制台!L360/(控制台!P360*60)),"")</f>
        <v>68</v>
      </c>
      <c r="M230" s="1">
        <f ca="1">IFERROR(_xlfn.FLOOR.MATH($F230*控制台!M360/(控制台!Q360*60)),"")</f>
        <v>52</v>
      </c>
      <c r="N230" s="1">
        <f ca="1">IFERROR(_xlfn.FLOOR.MATH($F230*控制台!N360/(控制台!R360*60)),"")</f>
        <v>45</v>
      </c>
      <c r="O230" s="4" t="str">
        <f ca="1">控制台!W360</f>
        <v>brick;cement;steel;pitch</v>
      </c>
      <c r="P230" s="4" t="str">
        <f ca="1" t="shared" si="16"/>
        <v>80;68;52;45</v>
      </c>
      <c r="Q230" s="4">
        <f>_xlfn.FLOOR.MATH(K28/控制台!$H$291*控制台!$D$289,5)</f>
        <v>35640</v>
      </c>
      <c r="R230" s="4">
        <f>_xlfn.FLOOR.MATH(O28/控制台!$H$291*控制台!$D$289,5)</f>
        <v>78590</v>
      </c>
      <c r="S230" s="1" t="s">
        <v>2691</v>
      </c>
      <c r="T230" s="1" t="s">
        <v>2723</v>
      </c>
      <c r="U230" s="1">
        <f ca="1" t="shared" si="12"/>
        <v>1</v>
      </c>
    </row>
    <row r="231" spans="1:21">
      <c r="A231" s="1">
        <v>23</v>
      </c>
      <c r="B231" s="1" t="s">
        <v>2733</v>
      </c>
      <c r="C231" s="1">
        <f>_xlfn.FLOOR.MATH(D30/控制台!$H$291*控制台!$D$289)</f>
        <v>9900000</v>
      </c>
      <c r="D231" s="1">
        <f>_xlfn.FLOOR.MATH(E30/控制台!$H$291*控制台!$D$289)</f>
        <v>11880000</v>
      </c>
      <c r="E231" s="1">
        <f>_xlfn.FLOOR.MATH(F30/控制台!$H$291*控制台!$D$289)</f>
        <v>7920000</v>
      </c>
      <c r="F231" s="1">
        <f ca="1">_xlfn.FLOOR.MATH(J30*60/控制台!$H$291*控制台!$D$289)</f>
        <v>580608</v>
      </c>
      <c r="G231" s="1">
        <f>IFERROR(_xlfn.FLOOR.MATH(C231,POWER(10,MAX(0,INT(LOG10(C231)-2)))),"")</f>
        <v>9900000</v>
      </c>
      <c r="H231" s="1">
        <f>IFERROR(_xlfn.FLOOR.MATH(D231,POWER(10,MAX(0,INT(LOG10(D231)-2)))),"")</f>
        <v>11800000</v>
      </c>
      <c r="I231" s="1">
        <f>IFERROR(_xlfn.FLOOR.MATH(E231,POWER(10,MAX(0,INT(LOG10(E231)-2)))),"")</f>
        <v>7920000</v>
      </c>
      <c r="J231" s="4" t="str">
        <f t="shared" si="15"/>
        <v>9900000;11800000;7920000</v>
      </c>
      <c r="K231" s="1">
        <f ca="1">IFERROR(_xlfn.FLOOR.MATH($F231*控制台!K361/(控制台!O361*60)),"")</f>
        <v>158</v>
      </c>
      <c r="L231" s="1">
        <f ca="1">IFERROR(_xlfn.FLOOR.MATH($F231*控制台!L361/(控制台!P361*60)),"")</f>
        <v>118</v>
      </c>
      <c r="M231" s="1">
        <f ca="1">IFERROR(_xlfn.FLOOR.MATH($F231*控制台!M361/(控制台!Q361*60)),"")</f>
        <v>90</v>
      </c>
      <c r="N231" s="1">
        <f ca="1">IFERROR(_xlfn.FLOOR.MATH($F231*控制台!N361/(控制台!R361*60)),"")</f>
        <v>79</v>
      </c>
      <c r="O231" s="4" t="str">
        <f ca="1">控制台!W361</f>
        <v>board;cement;steel;pitch</v>
      </c>
      <c r="P231" s="4" t="str">
        <f ca="1" t="shared" si="16"/>
        <v>158;118;90;79</v>
      </c>
      <c r="Q231" s="4">
        <f>_xlfn.FLOOR.MATH(K29/控制台!$H$291*控制台!$D$289,5)</f>
        <v>48600</v>
      </c>
      <c r="R231" s="4">
        <f>_xlfn.FLOOR.MATH(O29/控制台!$H$291*控制台!$D$289,5)</f>
        <v>92370</v>
      </c>
      <c r="S231" s="1" t="s">
        <v>2696</v>
      </c>
      <c r="T231" s="1" t="s">
        <v>2724</v>
      </c>
      <c r="U231" s="1">
        <f ca="1" t="shared" si="12"/>
        <v>1</v>
      </c>
    </row>
    <row r="232" spans="1:21">
      <c r="A232" s="1">
        <v>24</v>
      </c>
      <c r="B232" s="1" t="s">
        <v>2733</v>
      </c>
      <c r="C232" s="1">
        <f>_xlfn.FLOOR.MATH(D31/控制台!$H$291*控制台!$D$289)</f>
        <v>12600000</v>
      </c>
      <c r="D232" s="1">
        <f>_xlfn.FLOOR.MATH(E31/控制台!$H$291*控制台!$D$289)</f>
        <v>15120000</v>
      </c>
      <c r="E232" s="1">
        <f>_xlfn.FLOOR.MATH(F31/控制台!$H$291*控制台!$D$289)</f>
        <v>10080000</v>
      </c>
      <c r="F232" s="1">
        <f ca="1">_xlfn.FLOOR.MATH(J31*60/控制台!$H$291*控制台!$D$289)</f>
        <v>870912</v>
      </c>
      <c r="G232" s="1">
        <f>IFERROR(_xlfn.FLOOR.MATH(C232,POWER(10,MAX(0,INT(LOG10(C232)-2)))),"")</f>
        <v>12600000</v>
      </c>
      <c r="H232" s="1">
        <f>IFERROR(_xlfn.FLOOR.MATH(D232,POWER(10,MAX(0,INT(LOG10(D232)-2)))),"")</f>
        <v>15100000</v>
      </c>
      <c r="I232" s="1">
        <f>IFERROR(_xlfn.FLOOR.MATH(E232,POWER(10,MAX(0,INT(LOG10(E232)-2)))),"")</f>
        <v>10000000</v>
      </c>
      <c r="J232" s="4" t="str">
        <f t="shared" si="15"/>
        <v>12600000;15100000;10000000</v>
      </c>
      <c r="K232" s="1">
        <f ca="1">IFERROR(_xlfn.FLOOR.MATH($F232*控制台!K362/(控制台!O362*60)),"")</f>
        <v>200</v>
      </c>
      <c r="L232" s="1">
        <f ca="1">IFERROR(_xlfn.FLOOR.MATH($F232*控制台!L362/(控制台!P362*60)),"")</f>
        <v>171</v>
      </c>
      <c r="M232" s="1">
        <f ca="1">IFERROR(_xlfn.FLOOR.MATH($F232*控制台!M362/(控制台!Q362*60)),"")</f>
        <v>130</v>
      </c>
      <c r="N232" s="1">
        <f ca="1">IFERROR(_xlfn.FLOOR.MATH($F232*控制台!N362/(控制台!R362*60)),"")</f>
        <v>114</v>
      </c>
      <c r="O232" s="4" t="str">
        <f ca="1">控制台!W362</f>
        <v>brick;cement;steel;pitch</v>
      </c>
      <c r="P232" s="4" t="str">
        <f ca="1" t="shared" si="16"/>
        <v>200;171;130;114</v>
      </c>
      <c r="Q232" s="4">
        <f>_xlfn.FLOOR.MATH(K30/控制台!$H$291*控制台!$D$289,5)</f>
        <v>118800</v>
      </c>
      <c r="R232" s="4">
        <f>_xlfn.FLOOR.MATH(O30/控制台!$H$291*控制台!$D$289,5)</f>
        <v>117305</v>
      </c>
      <c r="S232" s="1" t="s">
        <v>2691</v>
      </c>
      <c r="T232" s="1" t="s">
        <v>2725</v>
      </c>
      <c r="U232" s="1">
        <f ca="1" t="shared" si="12"/>
        <v>1</v>
      </c>
    </row>
    <row r="233" spans="1:21">
      <c r="A233" s="1">
        <v>25</v>
      </c>
      <c r="B233" s="1" t="s">
        <v>2733</v>
      </c>
      <c r="C233" s="1">
        <f>_xlfn.FLOOR.MATH(D32/控制台!$H$291*控制台!$D$289)</f>
        <v>14400000</v>
      </c>
      <c r="D233" s="1">
        <f>_xlfn.FLOOR.MATH(E32/控制台!$H$291*控制台!$D$289)</f>
        <v>17280000</v>
      </c>
      <c r="E233" s="1">
        <f>_xlfn.FLOOR.MATH(F32/控制台!$H$291*控制台!$D$289)</f>
        <v>11520000</v>
      </c>
      <c r="F233" s="1">
        <f ca="1">_xlfn.FLOOR.MATH(J32*60/控制台!$H$291*控制台!$D$289)</f>
        <v>1161216</v>
      </c>
      <c r="G233" s="1">
        <f>IFERROR(_xlfn.FLOOR.MATH(C233,POWER(10,MAX(0,INT(LOG10(C233)-2)))),"")</f>
        <v>14400000</v>
      </c>
      <c r="H233" s="1">
        <f>IFERROR(_xlfn.FLOOR.MATH(D233,POWER(10,MAX(0,INT(LOG10(D233)-2)))),"")</f>
        <v>17200000</v>
      </c>
      <c r="I233" s="1">
        <f>IFERROR(_xlfn.FLOOR.MATH(E233,POWER(10,MAX(0,INT(LOG10(E233)-2)))),"")</f>
        <v>11500000</v>
      </c>
      <c r="J233" s="4" t="str">
        <f t="shared" si="15"/>
        <v>14400000;17200000;11500000</v>
      </c>
      <c r="K233" s="1">
        <f ca="1">IFERROR(_xlfn.FLOOR.MATH($F233*控制台!K363/(控制台!O363*60)),"")</f>
        <v>317</v>
      </c>
      <c r="L233" s="1">
        <f ca="1">IFERROR(_xlfn.FLOOR.MATH($F233*控制台!L363/(控制台!P363*60)),"")</f>
        <v>237</v>
      </c>
      <c r="M233" s="1">
        <f ca="1">IFERROR(_xlfn.FLOOR.MATH($F233*控制台!M363/(控制台!Q363*60)),"")</f>
        <v>181</v>
      </c>
      <c r="N233" s="1">
        <f ca="1">IFERROR(_xlfn.FLOOR.MATH($F233*控制台!N363/(控制台!R363*60)),"")</f>
        <v>158</v>
      </c>
      <c r="O233" s="4" t="str">
        <f ca="1">控制台!W363</f>
        <v>board;cement;steel;pitch</v>
      </c>
      <c r="P233" s="4" t="str">
        <f ca="1" t="shared" si="16"/>
        <v>317;237;181;158</v>
      </c>
      <c r="Q233" s="4">
        <f>_xlfn.FLOOR.MATH(K31/控制台!$H$291*控制台!$D$289,5)</f>
        <v>151200</v>
      </c>
      <c r="R233" s="4">
        <f>_xlfn.FLOOR.MATH(O31/控制台!$H$291*控制台!$D$289,5)</f>
        <v>153305</v>
      </c>
      <c r="S233" s="1" t="s">
        <v>2696</v>
      </c>
      <c r="T233" s="1" t="s">
        <v>2726</v>
      </c>
      <c r="U233" s="1">
        <f ca="1" t="shared" si="12"/>
        <v>1</v>
      </c>
    </row>
    <row r="234" spans="1:21">
      <c r="A234" s="1">
        <v>26</v>
      </c>
      <c r="B234" s="1" t="s">
        <v>2733</v>
      </c>
      <c r="C234" s="1">
        <f>_xlfn.FLOOR.MATH(D33/控制台!$H$291*控制台!$D$289)</f>
        <v>36000000</v>
      </c>
      <c r="D234" s="1">
        <f>_xlfn.FLOOR.MATH(E33/控制台!$H$291*控制台!$D$289)</f>
        <v>43200000</v>
      </c>
      <c r="E234" s="1">
        <f>_xlfn.FLOOR.MATH(F33/控制台!$H$291*控制台!$D$289)</f>
        <v>28800000</v>
      </c>
      <c r="F234" s="1">
        <f ca="1">_xlfn.FLOOR.MATH(J33*60/控制台!$H$291*控制台!$D$289)</f>
        <v>2571264</v>
      </c>
      <c r="G234" s="1">
        <f>IFERROR(_xlfn.FLOOR.MATH(C234,POWER(10,MAX(0,INT(LOG10(C234)-2)))),"")</f>
        <v>36000000</v>
      </c>
      <c r="H234" s="1">
        <f>IFERROR(_xlfn.FLOOR.MATH(D234,POWER(10,MAX(0,INT(LOG10(D234)-2)))),"")</f>
        <v>43200000</v>
      </c>
      <c r="I234" s="1">
        <f>IFERROR(_xlfn.FLOOR.MATH(E234,POWER(10,MAX(0,INT(LOG10(E234)-2)))),"")</f>
        <v>28800000</v>
      </c>
      <c r="J234" s="4" t="str">
        <f t="shared" si="15"/>
        <v>36000000;43200000;28800000</v>
      </c>
      <c r="K234" s="1">
        <f ca="1">IFERROR(_xlfn.FLOOR.MATH($F234*控制台!K364/(控制台!O364*60)),"")</f>
        <v>590</v>
      </c>
      <c r="L234" s="1">
        <f ca="1">IFERROR(_xlfn.FLOOR.MATH($F234*控制台!L364/(控制台!P364*60)),"")</f>
        <v>506</v>
      </c>
      <c r="M234" s="1">
        <f ca="1">IFERROR(_xlfn.FLOOR.MATH($F234*控制台!M364/(控制台!Q364*60)),"")</f>
        <v>385</v>
      </c>
      <c r="N234" s="1">
        <f ca="1">IFERROR(_xlfn.FLOOR.MATH($F234*控制台!N364/(控制台!R364*60)),"")</f>
        <v>337</v>
      </c>
      <c r="O234" s="4" t="str">
        <f ca="1">控制台!W364</f>
        <v>brick;cement;steel;pitch</v>
      </c>
      <c r="P234" s="4" t="str">
        <f ca="1" t="shared" si="16"/>
        <v>590;506;385;337</v>
      </c>
      <c r="Q234" s="4">
        <f>_xlfn.FLOOR.MATH(K32/控制台!$H$291*控制台!$D$289,5)</f>
        <v>172800</v>
      </c>
      <c r="R234" s="4">
        <f>_xlfn.FLOOR.MATH(O32/控制台!$H$291*控制台!$D$289,5)</f>
        <v>199805</v>
      </c>
      <c r="S234" s="1" t="s">
        <v>2691</v>
      </c>
      <c r="T234" s="1" t="s">
        <v>2727</v>
      </c>
      <c r="U234" s="1">
        <f ca="1" t="shared" si="12"/>
        <v>1</v>
      </c>
    </row>
    <row r="235" spans="1:21">
      <c r="A235" s="1">
        <v>27</v>
      </c>
      <c r="B235" s="1" t="s">
        <v>2733</v>
      </c>
      <c r="C235" s="1">
        <f>_xlfn.FLOOR.MATH(D34/控制台!$H$291*控制台!$D$289)</f>
        <v>45000000</v>
      </c>
      <c r="D235" s="1">
        <f>_xlfn.FLOOR.MATH(E34/控制台!$H$291*控制台!$D$289)</f>
        <v>54000000</v>
      </c>
      <c r="E235" s="1">
        <f>_xlfn.FLOOR.MATH(F34/控制台!$H$291*控制台!$D$289)</f>
        <v>36000000</v>
      </c>
      <c r="F235" s="1">
        <f ca="1">_xlfn.FLOOR.MATH(J34*60/控制台!$H$291*控制台!$D$289)</f>
        <v>4478976</v>
      </c>
      <c r="G235" s="1">
        <f>IFERROR(_xlfn.FLOOR.MATH(C235,POWER(10,MAX(0,INT(LOG10(C235)-2)))),"")</f>
        <v>45000000</v>
      </c>
      <c r="H235" s="1">
        <f>IFERROR(_xlfn.FLOOR.MATH(D235,POWER(10,MAX(0,INT(LOG10(D235)-2)))),"")</f>
        <v>54000000</v>
      </c>
      <c r="I235" s="1">
        <f>IFERROR(_xlfn.FLOOR.MATH(E235,POWER(10,MAX(0,INT(LOG10(E235)-2)))),"")</f>
        <v>36000000</v>
      </c>
      <c r="J235" s="4" t="str">
        <f t="shared" si="15"/>
        <v>45000000;54000000;36000000</v>
      </c>
      <c r="K235" s="1">
        <f ca="1">IFERROR(_xlfn.FLOOR.MATH($F235*控制台!K365/(控制台!O365*60)),"")</f>
        <v>508</v>
      </c>
      <c r="L235" s="1">
        <f ca="1">IFERROR(_xlfn.FLOOR.MATH($F235*控制台!L365/(控制台!P365*60)),"")</f>
        <v>387</v>
      </c>
      <c r="M235" s="1">
        <f ca="1">IFERROR(_xlfn.FLOOR.MATH($F235*控制台!M365/(控制台!Q365*60)),"")</f>
        <v>339</v>
      </c>
      <c r="N235" s="1">
        <f ca="1">IFERROR(_xlfn.FLOOR.MATH($F235*控制台!N365/(控制台!R365*60)),"")</f>
        <v>308</v>
      </c>
      <c r="O235" s="4" t="str">
        <f ca="1">控制台!W365</f>
        <v>cement;steel;pitch;concrete</v>
      </c>
      <c r="P235" s="4" t="str">
        <f ca="1" t="shared" si="16"/>
        <v>508;387;339;308</v>
      </c>
      <c r="Q235" s="4">
        <f>_xlfn.FLOOR.MATH(K33/控制台!$H$291*控制台!$D$289,5)</f>
        <v>432000</v>
      </c>
      <c r="R235" s="4">
        <f>_xlfn.FLOOR.MATH(O33/控制台!$H$291*控制台!$D$289,5)</f>
        <v>297305</v>
      </c>
      <c r="S235" s="1" t="s">
        <v>2701</v>
      </c>
      <c r="T235" s="1" t="s">
        <v>2728</v>
      </c>
      <c r="U235" s="1">
        <f ca="1" t="shared" si="12"/>
        <v>1</v>
      </c>
    </row>
    <row r="236" spans="1:21">
      <c r="A236" s="1">
        <v>28</v>
      </c>
      <c r="B236" s="1" t="s">
        <v>2733</v>
      </c>
      <c r="C236" s="1">
        <f>_xlfn.FLOOR.MATH(D35/控制台!$H$291*控制台!$D$289)</f>
        <v>85500000</v>
      </c>
      <c r="D236" s="1">
        <f>_xlfn.FLOOR.MATH(E35/控制台!$H$291*控制台!$D$289)</f>
        <v>102600000</v>
      </c>
      <c r="E236" s="1">
        <f>_xlfn.FLOOR.MATH(F35/控制台!$H$291*控制台!$D$289)</f>
        <v>68400000</v>
      </c>
      <c r="F236" s="1">
        <f ca="1">_xlfn.FLOOR.MATH(J35*60/控制台!$H$291*控制台!$D$289)</f>
        <v>7288704</v>
      </c>
      <c r="G236" s="1">
        <f>IFERROR(_xlfn.FLOOR.MATH(C236,POWER(10,MAX(0,INT(LOG10(C236)-2)))),"")</f>
        <v>85500000</v>
      </c>
      <c r="H236" s="1">
        <f>IFERROR(_xlfn.FLOOR.MATH(D236,POWER(10,MAX(0,INT(LOG10(D236)-2)))),"")</f>
        <v>102000000</v>
      </c>
      <c r="I236" s="1">
        <f>IFERROR(_xlfn.FLOOR.MATH(E236,POWER(10,MAX(0,INT(LOG10(E236)-2)))),"")</f>
        <v>68400000</v>
      </c>
      <c r="J236" s="4" t="str">
        <f t="shared" si="15"/>
        <v>85500000;102000000;68400000</v>
      </c>
      <c r="K236" s="1">
        <f ca="1">IFERROR(_xlfn.FLOOR.MATH($F236*控制台!K366/(控制台!O366*60)),"")</f>
        <v>1201</v>
      </c>
      <c r="L236" s="1">
        <f ca="1">IFERROR(_xlfn.FLOOR.MATH($F236*控制台!L366/(控制台!P366*60)),"")</f>
        <v>1029</v>
      </c>
      <c r="M236" s="1">
        <f ca="1">IFERROR(_xlfn.FLOOR.MATH($F236*控制台!M366/(控制台!Q366*60)),"")</f>
        <v>784</v>
      </c>
      <c r="N236" s="1">
        <f ca="1">IFERROR(_xlfn.FLOOR.MATH($F236*控制台!N366/(控制台!R366*60)),"")</f>
        <v>623</v>
      </c>
      <c r="O236" s="4" t="str">
        <f ca="1">控制台!W366</f>
        <v>brick;cement;steel;concrete</v>
      </c>
      <c r="P236" s="4" t="str">
        <f ca="1" t="shared" si="16"/>
        <v>1201;1029;784;623</v>
      </c>
      <c r="Q236" s="4">
        <f>_xlfn.FLOOR.MATH(K34/控制台!$H$291*控制台!$D$289,5)</f>
        <v>540000</v>
      </c>
      <c r="R236" s="4">
        <f>_xlfn.FLOOR.MATH(O34/控制台!$H$291*控制台!$D$289,5)</f>
        <v>437930</v>
      </c>
      <c r="S236" s="1" t="s">
        <v>2703</v>
      </c>
      <c r="T236" s="1" t="s">
        <v>2729</v>
      </c>
      <c r="U236" s="1">
        <f ca="1" t="shared" ref="U236:U299" si="17">IF(AND(O236=S236,P236=T236),1,0)</f>
        <v>1</v>
      </c>
    </row>
    <row r="237" spans="1:21">
      <c r="A237" s="1">
        <v>29</v>
      </c>
      <c r="B237" s="1" t="s">
        <v>2733</v>
      </c>
      <c r="C237" s="1">
        <f>_xlfn.FLOOR.MATH(D36/控制台!$H$291*控制台!$D$289)</f>
        <v>86400000</v>
      </c>
      <c r="D237" s="1">
        <f>_xlfn.FLOOR.MATH(E36/控制台!$H$291*控制台!$D$289)</f>
        <v>103680000</v>
      </c>
      <c r="E237" s="1">
        <f>_xlfn.FLOOR.MATH(F36/控制台!$H$291*控制台!$D$289)</f>
        <v>69120000</v>
      </c>
      <c r="F237" s="1">
        <f ca="1">_xlfn.FLOOR.MATH(J36*60/控制台!$H$291*控制台!$D$289)</f>
        <v>7442150</v>
      </c>
      <c r="G237" s="1">
        <f>IFERROR(_xlfn.FLOOR.MATH(C237,POWER(10,MAX(0,INT(LOG10(C237)-2)))),"")</f>
        <v>86400000</v>
      </c>
      <c r="H237" s="1">
        <f>IFERROR(_xlfn.FLOOR.MATH(D237,POWER(10,MAX(0,INT(LOG10(D237)-2)))),"")</f>
        <v>103000000</v>
      </c>
      <c r="I237" s="1">
        <f>IFERROR(_xlfn.FLOOR.MATH(E237,POWER(10,MAX(0,INT(LOG10(E237)-2)))),"")</f>
        <v>69100000</v>
      </c>
      <c r="J237" s="4" t="str">
        <f t="shared" si="15"/>
        <v>86400000;103000000;69100000</v>
      </c>
      <c r="K237" s="1">
        <f ca="1">IFERROR(_xlfn.FLOOR.MATH($F237*控制台!K367/(控制台!O367*60)),"")</f>
        <v>1363</v>
      </c>
      <c r="L237" s="1">
        <f ca="1">IFERROR(_xlfn.FLOOR.MATH($F237*控制台!L367/(控制台!P367*60)),"")</f>
        <v>1022</v>
      </c>
      <c r="M237" s="1">
        <f ca="1">IFERROR(_xlfn.FLOOR.MATH($F237*控制台!M367/(控制台!Q367*60)),"")</f>
        <v>681</v>
      </c>
      <c r="N237" s="1">
        <f ca="1">IFERROR(_xlfn.FLOOR.MATH($F237*控制台!N367/(控制台!R367*60)),"")</f>
        <v>619</v>
      </c>
      <c r="O237" s="4" t="str">
        <f ca="1">控制台!W367</f>
        <v>board;cement;pitch;concrete</v>
      </c>
      <c r="P237" s="4" t="str">
        <f ca="1" t="shared" si="16"/>
        <v>1363;1022;681;619</v>
      </c>
      <c r="Q237" s="4">
        <f>_xlfn.FLOOR.MATH(K35/控制台!$H$291*控制台!$D$289,5)</f>
        <v>1026000</v>
      </c>
      <c r="R237" s="4">
        <f>_xlfn.FLOOR.MATH(O35/控制台!$H$291*控制台!$D$289,5)</f>
        <v>669495</v>
      </c>
      <c r="S237" s="1" t="s">
        <v>2705</v>
      </c>
      <c r="T237" s="1" t="s">
        <v>2730</v>
      </c>
      <c r="U237" s="1">
        <f ca="1" t="shared" si="17"/>
        <v>1</v>
      </c>
    </row>
    <row r="238" spans="1:21">
      <c r="A238" s="1">
        <v>30</v>
      </c>
      <c r="B238" s="1" t="s">
        <v>2733</v>
      </c>
      <c r="C238" s="1">
        <f>_xlfn.FLOOR.MATH(D37/控制台!$H$291*控制台!$D$289)</f>
        <v>88200000</v>
      </c>
      <c r="D238" s="1">
        <f>_xlfn.FLOOR.MATH(E37/控制台!$H$291*控制台!$D$289)</f>
        <v>105840000</v>
      </c>
      <c r="E238" s="1">
        <f>_xlfn.FLOOR.MATH(F37/控制台!$H$291*控制台!$D$289)</f>
        <v>70560000</v>
      </c>
      <c r="F238" s="1">
        <f ca="1">_xlfn.FLOOR.MATH(J37*60/控制台!$H$291*控制台!$D$289)</f>
        <v>7595596</v>
      </c>
      <c r="G238" s="1">
        <f>IFERROR(_xlfn.FLOOR.MATH(C238,POWER(10,MAX(0,INT(LOG10(C238)-2)))),"")</f>
        <v>88200000</v>
      </c>
      <c r="H238" s="1">
        <f>IFERROR(_xlfn.FLOOR.MATH(D238,POWER(10,MAX(0,INT(LOG10(D238)-2)))),"")</f>
        <v>105000000</v>
      </c>
      <c r="I238" s="1">
        <f>IFERROR(_xlfn.FLOOR.MATH(E238,POWER(10,MAX(0,INT(LOG10(E238)-2)))),"")</f>
        <v>70500000</v>
      </c>
      <c r="J238" s="4" t="str">
        <f t="shared" si="15"/>
        <v>88200000;105000000;70500000</v>
      </c>
      <c r="K238" s="1">
        <f ca="1">IFERROR(_xlfn.FLOOR.MATH($F238*控制台!K368/(控制台!O368*60)),"")</f>
        <v>1124</v>
      </c>
      <c r="L238" s="1">
        <f ca="1">IFERROR(_xlfn.FLOOR.MATH($F238*控制台!L368/(控制台!P368*60)),"")</f>
        <v>734</v>
      </c>
      <c r="M238" s="1">
        <f ca="1">IFERROR(_xlfn.FLOOR.MATH($F238*控制台!M368/(控制台!Q368*60)),"")</f>
        <v>642</v>
      </c>
      <c r="N238" s="1">
        <f ca="1">IFERROR(_xlfn.FLOOR.MATH($F238*控制台!N368/(控制台!R368*60)),"")</f>
        <v>584</v>
      </c>
      <c r="O238" s="4" t="str">
        <f ca="1">控制台!W368</f>
        <v>brick;steel;pitch;concrete</v>
      </c>
      <c r="P238" s="4" t="str">
        <f ca="1" t="shared" si="16"/>
        <v>1124;734;642;584</v>
      </c>
      <c r="Q238" s="4">
        <f>_xlfn.FLOOR.MATH(K36/控制台!$H$291*控制台!$D$289,5)</f>
        <v>1036800</v>
      </c>
      <c r="R238" s="4">
        <f>_xlfn.FLOOR.MATH(O36/控制台!$H$291*控制台!$D$289,5)</f>
        <v>905370</v>
      </c>
      <c r="S238" s="1" t="s">
        <v>2707</v>
      </c>
      <c r="T238" s="1" t="s">
        <v>2731</v>
      </c>
      <c r="U238" s="1">
        <f ca="1" t="shared" si="17"/>
        <v>1</v>
      </c>
    </row>
    <row r="239" spans="1:21">
      <c r="A239" s="1">
        <v>31</v>
      </c>
      <c r="B239" s="1" t="s">
        <v>2733</v>
      </c>
      <c r="C239" s="1">
        <f>_xlfn.FLOOR.MATH(D38/控制台!$H$291*控制台!$D$289)</f>
        <v>90000000</v>
      </c>
      <c r="D239" s="1">
        <f>_xlfn.FLOOR.MATH(E38/控制台!$H$291*控制台!$D$289)</f>
        <v>108000000</v>
      </c>
      <c r="E239" s="1">
        <f>_xlfn.FLOOR.MATH(F38/控制台!$H$291*控制台!$D$289)</f>
        <v>72000000</v>
      </c>
      <c r="F239" s="1">
        <f ca="1">_xlfn.FLOOR.MATH(J38*60/控制台!$H$291*控制台!$D$289)</f>
        <v>7879680</v>
      </c>
      <c r="G239" s="1">
        <f>IFERROR(_xlfn.FLOOR.MATH(C239,POWER(10,MAX(0,INT(LOG10(C239)-2)))),"")</f>
        <v>90000000</v>
      </c>
      <c r="H239" s="1">
        <f>IFERROR(_xlfn.FLOOR.MATH(D239,POWER(10,MAX(0,INT(LOG10(D239)-2)))),"")</f>
        <v>108000000</v>
      </c>
      <c r="I239" s="1">
        <f>IFERROR(_xlfn.FLOOR.MATH(E239,POWER(10,MAX(0,INT(LOG10(E239)-2)))),"")</f>
        <v>72000000</v>
      </c>
      <c r="J239" s="4" t="str">
        <f t="shared" si="15"/>
        <v>90000000;108000000;72000000</v>
      </c>
      <c r="K239" s="1">
        <f ca="1">IFERROR(_xlfn.FLOOR.MATH($F239*控制台!K369/(控制台!O369*60)),"")</f>
        <v>895</v>
      </c>
      <c r="L239" s="1">
        <f ca="1">IFERROR(_xlfn.FLOOR.MATH($F239*控制台!L369/(控制台!P369*60)),"")</f>
        <v>682</v>
      </c>
      <c r="M239" s="1">
        <f ca="1">IFERROR(_xlfn.FLOOR.MATH($F239*控制台!M369/(控制台!Q369*60)),"")</f>
        <v>596</v>
      </c>
      <c r="N239" s="1">
        <f ca="1">IFERROR(_xlfn.FLOOR.MATH($F239*控制台!N369/(控制台!R369*60)),"")</f>
        <v>542</v>
      </c>
      <c r="O239" s="4" t="str">
        <f ca="1">控制台!W369</f>
        <v>cement;steel;pitch;concrete</v>
      </c>
      <c r="P239" s="4" t="str">
        <f ca="1" t="shared" si="16"/>
        <v>895;682;596;542</v>
      </c>
      <c r="Q239" s="4">
        <f>_xlfn.FLOOR.MATH(K37/控制台!$H$291*控制台!$D$289,5)</f>
        <v>1058400</v>
      </c>
      <c r="R239" s="4">
        <f>_xlfn.FLOOR.MATH(O37/控制台!$H$291*控制台!$D$289,5)</f>
        <v>1146120</v>
      </c>
      <c r="S239" s="1" t="s">
        <v>2701</v>
      </c>
      <c r="T239" s="1" t="s">
        <v>2732</v>
      </c>
      <c r="U239" s="1">
        <f ca="1" t="shared" si="17"/>
        <v>1</v>
      </c>
    </row>
    <row r="240" spans="1:21">
      <c r="A240" s="1">
        <v>32</v>
      </c>
      <c r="B240" s="1" t="s">
        <v>2733</v>
      </c>
      <c r="G240" s="1" t="str">
        <f>IFERROR(_xlfn.FLOOR.MATH(C240,POWER(10,MAX(0,INT(LOG10(C240)-2)))),"")</f>
        <v/>
      </c>
      <c r="H240" s="1" t="str">
        <f>IFERROR(_xlfn.FLOOR.MATH(D240,POWER(10,MAX(0,INT(LOG10(D240)-2)))),"")</f>
        <v/>
      </c>
      <c r="I240" s="1" t="str">
        <f>IFERROR(_xlfn.FLOOR.MATH(E240,POWER(10,MAX(0,INT(LOG10(E240)-2)))),"")</f>
        <v/>
      </c>
      <c r="J240" s="4" t="str">
        <f t="shared" si="15"/>
        <v/>
      </c>
      <c r="O240" s="4"/>
      <c r="P240" s="4" t="str">
        <f t="shared" si="16"/>
        <v/>
      </c>
      <c r="Q240" s="4">
        <f>_xlfn.FLOOR.MATH(K38/控制台!$H$291*控制台!$D$289,5)</f>
        <v>1080000</v>
      </c>
      <c r="R240" s="4">
        <f>_xlfn.FLOOR.MATH(O38/控制台!$H$291*控制台!$D$289,5)</f>
        <v>1389870</v>
      </c>
      <c r="U240" s="1">
        <f t="shared" si="17"/>
        <v>1</v>
      </c>
    </row>
    <row r="241" spans="1:21">
      <c r="A241" s="1">
        <v>0</v>
      </c>
      <c r="B241" s="1" t="s">
        <v>793</v>
      </c>
      <c r="C241" s="1">
        <f>_xlfn.FLOOR.MATH(D7/控制台!$H$291*控制台!$G$289)</f>
        <v>1350</v>
      </c>
      <c r="D241" s="1">
        <f>_xlfn.FLOOR.MATH(E7/控制台!$H$291*控制台!$G$289)</f>
        <v>1620</v>
      </c>
      <c r="E241" s="1">
        <f>_xlfn.FLOOR.MATH(F7/控制台!$H$291*控制台!$G$289)</f>
        <v>1080</v>
      </c>
      <c r="F241" s="1">
        <f ca="1">_xlfn.FLOOR.MATH(J7*60/控制台!$H$291*控制台!$G$289)</f>
        <v>207</v>
      </c>
      <c r="G241" s="1">
        <f>IFERROR(_xlfn.FLOOR.MATH(C241,POWER(10,MAX(0,INT(LOG10(C241)-2)))),"")</f>
        <v>1350</v>
      </c>
      <c r="H241" s="1">
        <f>IFERROR(_xlfn.FLOOR.MATH(D241,POWER(10,MAX(0,INT(LOG10(D241)-2)))),"")</f>
        <v>1620</v>
      </c>
      <c r="I241" s="1">
        <f>IFERROR(_xlfn.FLOOR.MATH(E241,POWER(10,MAX(0,INT(LOG10(E241)-2)))),"")</f>
        <v>1080</v>
      </c>
      <c r="J241" s="4" t="str">
        <f t="shared" ref="J241:J273" si="18">IF(G241="","",IF(H241="",G241,IF(I241="",CONCATENATE(G241,";",H241),CONCATENATE(G241,";",H241,";",I241))))</f>
        <v>1350;1620;1080</v>
      </c>
      <c r="K241" s="1">
        <f ca="1">IFERROR(_xlfn.FLOOR.MATH($F241*控制台!K338/(控制台!O338*60)),"")</f>
        <v>3</v>
      </c>
      <c r="L241" s="1" t="str">
        <f ca="1">IFERROR(_xlfn.FLOOR.MATH($F241*控制台!L338/(控制台!P338*60)),"")</f>
        <v/>
      </c>
      <c r="M241" s="1" t="str">
        <f ca="1">IFERROR(_xlfn.FLOOR.MATH($F241*控制台!M338/(控制台!Q338*60)),"")</f>
        <v/>
      </c>
      <c r="N241" s="1" t="str">
        <f ca="1">IFERROR(_xlfn.FLOOR.MATH($F241*控制台!N338/(控制台!R338*60)),"")</f>
        <v/>
      </c>
      <c r="O241" s="6" t="s">
        <v>143</v>
      </c>
      <c r="P241" s="6">
        <v>1</v>
      </c>
      <c r="Q241" s="6">
        <v>0</v>
      </c>
      <c r="R241" s="4">
        <f>_xlfn.FLOOR.MATH(O6/控制台!$H$291*控制台!$G$289,5)</f>
        <v>0</v>
      </c>
      <c r="S241" s="1" t="s">
        <v>143</v>
      </c>
      <c r="T241" s="1">
        <v>1</v>
      </c>
      <c r="U241" s="1">
        <f t="shared" si="17"/>
        <v>1</v>
      </c>
    </row>
    <row r="242" spans="1:21">
      <c r="A242" s="1">
        <v>1</v>
      </c>
      <c r="B242" s="1" t="s">
        <v>793</v>
      </c>
      <c r="C242" s="1">
        <f>_xlfn.FLOOR.MATH(D8/控制台!$H$291*控制台!$G$289)</f>
        <v>2700</v>
      </c>
      <c r="D242" s="1">
        <f>_xlfn.FLOOR.MATH(E8/控制台!$H$291*控制台!$G$289)</f>
        <v>3240</v>
      </c>
      <c r="E242" s="1">
        <f>_xlfn.FLOOR.MATH(F8/控制台!$H$291*控制台!$G$289)</f>
        <v>2160</v>
      </c>
      <c r="F242" s="1">
        <f ca="1">_xlfn.FLOOR.MATH(J8*60/控制台!$H$291*控制台!$G$289)</f>
        <v>414</v>
      </c>
      <c r="G242" s="1">
        <f>IFERROR(_xlfn.FLOOR.MATH(C242,POWER(10,MAX(0,INT(LOG10(C242)-2)))),"")</f>
        <v>2700</v>
      </c>
      <c r="H242" s="1">
        <f>IFERROR(_xlfn.FLOOR.MATH(D242,POWER(10,MAX(0,INT(LOG10(D242)-2)))),"")</f>
        <v>3240</v>
      </c>
      <c r="I242" s="1">
        <f>IFERROR(_xlfn.FLOOR.MATH(E242,POWER(10,MAX(0,INT(LOG10(E242)-2)))),"")</f>
        <v>2160</v>
      </c>
      <c r="J242" s="4" t="str">
        <f t="shared" si="18"/>
        <v>2700;3240;2160</v>
      </c>
      <c r="K242" s="1">
        <f ca="1">IFERROR(_xlfn.FLOOR.MATH($F242*控制台!K339/(控制台!O339*60)),"")</f>
        <v>6</v>
      </c>
      <c r="L242" s="1" t="str">
        <f ca="1">IFERROR(_xlfn.FLOOR.MATH($F242*控制台!L339/(控制台!P339*60)),"")</f>
        <v/>
      </c>
      <c r="M242" s="1" t="str">
        <f ca="1">IFERROR(_xlfn.FLOOR.MATH($F242*控制台!M339/(控制台!Q339*60)),"")</f>
        <v/>
      </c>
      <c r="N242" s="1" t="str">
        <f ca="1">IFERROR(_xlfn.FLOOR.MATH($F242*控制台!N339/(控制台!R339*60)),"")</f>
        <v/>
      </c>
      <c r="O242" s="6" t="s">
        <v>143</v>
      </c>
      <c r="P242" s="6">
        <v>2</v>
      </c>
      <c r="Q242" s="6">
        <v>15</v>
      </c>
      <c r="R242" s="4">
        <f>_xlfn.FLOOR.MATH(O7/控制台!$H$291*控制台!$G$289,5)</f>
        <v>10</v>
      </c>
      <c r="S242" s="1" t="s">
        <v>143</v>
      </c>
      <c r="T242" s="1">
        <v>2</v>
      </c>
      <c r="U242" s="1">
        <f t="shared" si="17"/>
        <v>1</v>
      </c>
    </row>
    <row r="243" spans="1:21">
      <c r="A243" s="1">
        <v>2</v>
      </c>
      <c r="B243" s="1" t="s">
        <v>793</v>
      </c>
      <c r="C243" s="1">
        <f>_xlfn.FLOOR.MATH(D9/控制台!$H$291*控制台!$G$289)</f>
        <v>4050</v>
      </c>
      <c r="D243" s="1">
        <f>_xlfn.FLOOR.MATH(E9/控制台!$H$291*控制台!$G$289)</f>
        <v>4860</v>
      </c>
      <c r="E243" s="1">
        <f>_xlfn.FLOOR.MATH(F9/控制台!$H$291*控制台!$G$289)</f>
        <v>3240</v>
      </c>
      <c r="F243" s="1">
        <f ca="1">_xlfn.FLOOR.MATH(J9*60/控制台!$H$291*控制台!$G$289)</f>
        <v>622</v>
      </c>
      <c r="G243" s="1">
        <f>IFERROR(_xlfn.FLOOR.MATH(C243,POWER(10,MAX(0,INT(LOG10(C243)-2)))),"")</f>
        <v>4050</v>
      </c>
      <c r="H243" s="1">
        <f>IFERROR(_xlfn.FLOOR.MATH(D243,POWER(10,MAX(0,INT(LOG10(D243)-2)))),"")</f>
        <v>4860</v>
      </c>
      <c r="I243" s="1">
        <f>IFERROR(_xlfn.FLOOR.MATH(E243,POWER(10,MAX(0,INT(LOG10(E243)-2)))),"")</f>
        <v>3240</v>
      </c>
      <c r="J243" s="4" t="str">
        <f t="shared" si="18"/>
        <v>4050;4860;3240</v>
      </c>
      <c r="K243" s="1">
        <f ca="1">IFERROR(_xlfn.FLOOR.MATH($F243*控制台!K340/(控制台!O340*60)),"")</f>
        <v>2</v>
      </c>
      <c r="L243" s="1">
        <f ca="1">IFERROR(_xlfn.FLOOR.MATH($F243*控制台!L340/(控制台!P340*60)),"")</f>
        <v>2</v>
      </c>
      <c r="M243" s="1" t="str">
        <f ca="1">IFERROR(_xlfn.FLOOR.MATH($F243*控制台!M340/(控制台!Q340*60)),"")</f>
        <v/>
      </c>
      <c r="N243" s="1" t="str">
        <f ca="1">IFERROR(_xlfn.FLOOR.MATH($F243*控制台!N340/(控制台!R340*60)),"")</f>
        <v/>
      </c>
      <c r="O243" s="6" t="s">
        <v>144</v>
      </c>
      <c r="P243" s="6" t="s">
        <v>175</v>
      </c>
      <c r="Q243" s="6">
        <v>30</v>
      </c>
      <c r="R243" s="4">
        <f>_xlfn.FLOOR.MATH(O8/控制台!$H$291*控制台!$G$289,5)</f>
        <v>30</v>
      </c>
      <c r="S243" s="1" t="s">
        <v>144</v>
      </c>
      <c r="T243" s="1" t="s">
        <v>175</v>
      </c>
      <c r="U243" s="1">
        <f t="shared" si="17"/>
        <v>1</v>
      </c>
    </row>
    <row r="244" spans="1:21">
      <c r="A244" s="1">
        <v>3</v>
      </c>
      <c r="B244" s="1" t="s">
        <v>793</v>
      </c>
      <c r="C244" s="1">
        <f>_xlfn.FLOOR.MATH(D10/控制台!$H$291*控制台!$G$289)</f>
        <v>5400</v>
      </c>
      <c r="D244" s="1">
        <f>_xlfn.FLOOR.MATH(E10/控制台!$H$291*控制台!$G$289)</f>
        <v>6480</v>
      </c>
      <c r="E244" s="1">
        <f>_xlfn.FLOOR.MATH(F10/控制台!$H$291*控制台!$G$289)</f>
        <v>4320</v>
      </c>
      <c r="F244" s="1">
        <f ca="1">_xlfn.FLOOR.MATH(J10*60/控制台!$H$291*控制台!$G$289)</f>
        <v>1036</v>
      </c>
      <c r="G244" s="1">
        <f>IFERROR(_xlfn.FLOOR.MATH(C244,POWER(10,MAX(0,INT(LOG10(C244)-2)))),"")</f>
        <v>5400</v>
      </c>
      <c r="H244" s="1">
        <f>IFERROR(_xlfn.FLOOR.MATH(D244,POWER(10,MAX(0,INT(LOG10(D244)-2)))),"")</f>
        <v>6480</v>
      </c>
      <c r="I244" s="1">
        <f>IFERROR(_xlfn.FLOOR.MATH(E244,POWER(10,MAX(0,INT(LOG10(E244)-2)))),"")</f>
        <v>4320</v>
      </c>
      <c r="J244" s="4" t="str">
        <f t="shared" si="18"/>
        <v>5400;6480;4320</v>
      </c>
      <c r="K244" s="1">
        <f ca="1">IFERROR(_xlfn.FLOOR.MATH($F244*控制台!K341/(控制台!O341*60)),"")</f>
        <v>3</v>
      </c>
      <c r="L244" s="1">
        <f ca="1">IFERROR(_xlfn.FLOOR.MATH($F244*控制台!L341/(控制台!P341*60)),"")</f>
        <v>3</v>
      </c>
      <c r="M244" s="1" t="str">
        <f ca="1">IFERROR(_xlfn.FLOOR.MATH($F244*控制台!M341/(控制台!Q341*60)),"")</f>
        <v/>
      </c>
      <c r="N244" s="1" t="str">
        <f ca="1">IFERROR(_xlfn.FLOOR.MATH($F244*控制台!N341/(控制台!R341*60)),"")</f>
        <v/>
      </c>
      <c r="O244" s="6" t="s">
        <v>144</v>
      </c>
      <c r="P244" s="6" t="s">
        <v>176</v>
      </c>
      <c r="Q244" s="6">
        <v>45</v>
      </c>
      <c r="R244" s="4">
        <f>_xlfn.FLOOR.MATH(O9/控制台!$H$291*控制台!$G$289,5)</f>
        <v>60</v>
      </c>
      <c r="S244" s="1" t="s">
        <v>144</v>
      </c>
      <c r="T244" s="1" t="s">
        <v>176</v>
      </c>
      <c r="U244" s="1">
        <f t="shared" si="17"/>
        <v>1</v>
      </c>
    </row>
    <row r="245" spans="1:21">
      <c r="A245" s="1">
        <v>4</v>
      </c>
      <c r="B245" s="1" t="s">
        <v>793</v>
      </c>
      <c r="C245" s="1">
        <f>_xlfn.FLOOR.MATH(D11/控制台!$H$291*控制台!$G$289)</f>
        <v>9000</v>
      </c>
      <c r="D245" s="1">
        <f>_xlfn.FLOOR.MATH(E11/控制台!$H$291*控制台!$G$289)</f>
        <v>10800</v>
      </c>
      <c r="E245" s="1">
        <f>_xlfn.FLOOR.MATH(F11/控制台!$H$291*控制台!$G$289)</f>
        <v>7200</v>
      </c>
      <c r="F245" s="1">
        <f ca="1">_xlfn.FLOOR.MATH(J11*60/控制台!$H$291*控制台!$G$289)</f>
        <v>1658</v>
      </c>
      <c r="G245" s="1">
        <f>IFERROR(_xlfn.FLOOR.MATH(C245,POWER(10,MAX(0,INT(LOG10(C245)-2)))),"")</f>
        <v>9000</v>
      </c>
      <c r="H245" s="1">
        <f>IFERROR(_xlfn.FLOOR.MATH(D245,POWER(10,MAX(0,INT(LOG10(D245)-2)))),"")</f>
        <v>10800</v>
      </c>
      <c r="I245" s="1">
        <f>IFERROR(_xlfn.FLOOR.MATH(E245,POWER(10,MAX(0,INT(LOG10(E245)-2)))),"")</f>
        <v>7200</v>
      </c>
      <c r="J245" s="4" t="str">
        <f t="shared" si="18"/>
        <v>9000;10800;7200</v>
      </c>
      <c r="K245" s="1">
        <f ca="1">IFERROR(_xlfn.FLOOR.MATH($F245*控制台!K342/(控制台!O342*60)),"")</f>
        <v>6</v>
      </c>
      <c r="L245" s="1">
        <f ca="1">IFERROR(_xlfn.FLOOR.MATH($F245*控制台!L342/(控制台!P342*60)),"")</f>
        <v>5</v>
      </c>
      <c r="M245" s="1" t="str">
        <f ca="1">IFERROR(_xlfn.FLOOR.MATH($F245*控制台!M342/(控制台!Q342*60)),"")</f>
        <v/>
      </c>
      <c r="N245" s="1" t="str">
        <f ca="1">IFERROR(_xlfn.FLOOR.MATH($F245*控制台!N342/(控制台!R342*60)),"")</f>
        <v/>
      </c>
      <c r="O245" s="6" t="s">
        <v>144</v>
      </c>
      <c r="P245" s="6" t="s">
        <v>145</v>
      </c>
      <c r="Q245" s="6">
        <v>60</v>
      </c>
      <c r="R245" s="4">
        <f>_xlfn.FLOOR.MATH(O10/控制台!$H$291*控制台!$G$289,5)</f>
        <v>110</v>
      </c>
      <c r="S245" s="1" t="s">
        <v>144</v>
      </c>
      <c r="T245" s="1" t="s">
        <v>145</v>
      </c>
      <c r="U245" s="1">
        <f t="shared" si="17"/>
        <v>1</v>
      </c>
    </row>
    <row r="246" spans="1:21">
      <c r="A246" s="1">
        <v>5</v>
      </c>
      <c r="B246" s="1" t="s">
        <v>793</v>
      </c>
      <c r="C246" s="1">
        <f>_xlfn.FLOOR.MATH(D12/控制台!$H$291*控制台!$G$289)</f>
        <v>18000</v>
      </c>
      <c r="D246" s="1">
        <f>_xlfn.FLOOR.MATH(E12/控制台!$H$291*控制台!$G$289)</f>
        <v>21600</v>
      </c>
      <c r="E246" s="1">
        <f>_xlfn.FLOOR.MATH(F12/控制台!$H$291*控制台!$G$289)</f>
        <v>14400</v>
      </c>
      <c r="F246" s="1">
        <f ca="1">_xlfn.FLOOR.MATH(J12*60/控制台!$H$291*控制台!$G$289)</f>
        <v>3110</v>
      </c>
      <c r="G246" s="1">
        <f>IFERROR(_xlfn.FLOOR.MATH(C246,POWER(10,MAX(0,INT(LOG10(C246)-2)))),"")</f>
        <v>18000</v>
      </c>
      <c r="H246" s="1">
        <f>IFERROR(_xlfn.FLOOR.MATH(D246,POWER(10,MAX(0,INT(LOG10(D246)-2)))),"")</f>
        <v>21600</v>
      </c>
      <c r="I246" s="1">
        <f>IFERROR(_xlfn.FLOOR.MATH(E246,POWER(10,MAX(0,INT(LOG10(E246)-2)))),"")</f>
        <v>14400</v>
      </c>
      <c r="J246" s="4" t="str">
        <f t="shared" si="18"/>
        <v>18000;21600;14400</v>
      </c>
      <c r="K246" s="1">
        <f ca="1">IFERROR(_xlfn.FLOOR.MATH($F246*控制台!K343/(控制台!O343*60)),"")</f>
        <v>11</v>
      </c>
      <c r="L246" s="1">
        <f ca="1">IFERROR(_xlfn.FLOOR.MATH($F246*控制台!L343/(控制台!P343*60)),"")</f>
        <v>10</v>
      </c>
      <c r="M246" s="1" t="str">
        <f ca="1">IFERROR(_xlfn.FLOOR.MATH($F246*控制台!M343/(控制台!Q343*60)),"")</f>
        <v/>
      </c>
      <c r="N246" s="1" t="str">
        <f ca="1">IFERROR(_xlfn.FLOOR.MATH($F246*控制台!N343/(控制台!R343*60)),"")</f>
        <v/>
      </c>
      <c r="O246" s="6" t="s">
        <v>144</v>
      </c>
      <c r="P246" s="6" t="s">
        <v>146</v>
      </c>
      <c r="Q246" s="6">
        <v>105</v>
      </c>
      <c r="R246" s="4">
        <f>_xlfn.FLOOR.MATH(O11/控制台!$H$291*控制台!$G$289,5)</f>
        <v>190</v>
      </c>
      <c r="S246" s="1" t="s">
        <v>144</v>
      </c>
      <c r="T246" s="1" t="s">
        <v>146</v>
      </c>
      <c r="U246" s="1">
        <f t="shared" si="17"/>
        <v>1</v>
      </c>
    </row>
    <row r="247" spans="1:21">
      <c r="A247" s="1">
        <v>6</v>
      </c>
      <c r="B247" s="1" t="s">
        <v>793</v>
      </c>
      <c r="C247" s="1">
        <f>_xlfn.FLOOR.MATH(D13/控制台!$H$291*控制台!$G$289)</f>
        <v>27000</v>
      </c>
      <c r="D247" s="1">
        <f>_xlfn.FLOOR.MATH(E13/控制台!$H$291*控制台!$G$289)</f>
        <v>32400</v>
      </c>
      <c r="E247" s="1">
        <f>_xlfn.FLOOR.MATH(F13/控制台!$H$291*控制台!$G$289)</f>
        <v>21600</v>
      </c>
      <c r="F247" s="1">
        <f ca="1">_xlfn.FLOOR.MATH(J13*60/控制台!$H$291*控制台!$G$289)</f>
        <v>6220</v>
      </c>
      <c r="G247" s="1">
        <f>IFERROR(_xlfn.FLOOR.MATH(C247,POWER(10,MAX(0,INT(LOG10(C247)-2)))),"")</f>
        <v>27000</v>
      </c>
      <c r="H247" s="1">
        <f>IFERROR(_xlfn.FLOOR.MATH(D247,POWER(10,MAX(0,INT(LOG10(D247)-2)))),"")</f>
        <v>32400</v>
      </c>
      <c r="I247" s="1">
        <f>IFERROR(_xlfn.FLOOR.MATH(E247,POWER(10,MAX(0,INT(LOG10(E247)-2)))),"")</f>
        <v>21600</v>
      </c>
      <c r="J247" s="4" t="str">
        <f t="shared" si="18"/>
        <v>27000;32400;21600</v>
      </c>
      <c r="K247" s="1">
        <f ca="1">IFERROR(_xlfn.FLOOR.MATH($F247*控制台!K344/(控制台!O344*60)),"")</f>
        <v>5</v>
      </c>
      <c r="L247" s="1">
        <f ca="1">IFERROR(_xlfn.FLOOR.MATH($F247*控制台!L344/(控制台!P344*60)),"")</f>
        <v>4</v>
      </c>
      <c r="M247" s="1">
        <f ca="1">IFERROR(_xlfn.FLOOR.MATH($F247*控制台!M344/(控制台!Q344*60)),"")</f>
        <v>3</v>
      </c>
      <c r="N247" s="1" t="str">
        <f ca="1">IFERROR(_xlfn.FLOOR.MATH($F247*控制台!N344/(控制台!R344*60)),"")</f>
        <v/>
      </c>
      <c r="O247" s="4" t="str">
        <f ca="1">控制台!W344</f>
        <v>board;brick;cement</v>
      </c>
      <c r="P247" s="4" t="str">
        <f ca="1" t="shared" ref="P247:P273" si="19">IF(K247="","",IF(L247="",K247,IF(M247="",CONCATENATE(K247,";",L247),IF(N247="",CONCATENATE(K247,";",L247,";",M247),CONCATENATE(K247,";",L247,";",M247,";",N247)))))</f>
        <v>5;4;3</v>
      </c>
      <c r="Q247" s="4">
        <f>_xlfn.FLOOR.MATH(K12/控制台!$H$291*控制台!$G$289,5)</f>
        <v>215</v>
      </c>
      <c r="R247" s="4">
        <f>_xlfn.FLOOR.MATH(O12/控制台!$H$291*控制台!$G$289,5)</f>
        <v>340</v>
      </c>
      <c r="S247" s="1" t="s">
        <v>152</v>
      </c>
      <c r="T247" s="1" t="s">
        <v>179</v>
      </c>
      <c r="U247" s="1">
        <f ca="1" t="shared" si="17"/>
        <v>1</v>
      </c>
    </row>
    <row r="248" spans="1:21">
      <c r="A248" s="1">
        <v>7</v>
      </c>
      <c r="B248" s="1" t="s">
        <v>793</v>
      </c>
      <c r="C248" s="1">
        <f>_xlfn.FLOOR.MATH(D14/控制台!$H$291*控制台!$G$289)</f>
        <v>36000</v>
      </c>
      <c r="D248" s="1">
        <f>_xlfn.FLOOR.MATH(E14/控制台!$H$291*控制台!$G$289)</f>
        <v>43200</v>
      </c>
      <c r="E248" s="1">
        <f>_xlfn.FLOOR.MATH(F14/控制台!$H$291*控制台!$G$289)</f>
        <v>28800</v>
      </c>
      <c r="F248" s="1">
        <f ca="1">_xlfn.FLOOR.MATH(J14*60/控制台!$H$291*控制台!$G$289)</f>
        <v>8294</v>
      </c>
      <c r="G248" s="1">
        <f>IFERROR(_xlfn.FLOOR.MATH(C248,POWER(10,MAX(0,INT(LOG10(C248)-2)))),"")</f>
        <v>36000</v>
      </c>
      <c r="H248" s="1">
        <f>IFERROR(_xlfn.FLOOR.MATH(D248,POWER(10,MAX(0,INT(LOG10(D248)-2)))),"")</f>
        <v>43200</v>
      </c>
      <c r="I248" s="1">
        <f>IFERROR(_xlfn.FLOOR.MATH(E248,POWER(10,MAX(0,INT(LOG10(E248)-2)))),"")</f>
        <v>28800</v>
      </c>
      <c r="J248" s="4" t="str">
        <f t="shared" si="18"/>
        <v>36000;43200;28800</v>
      </c>
      <c r="K248" s="1">
        <f ca="1">IFERROR(_xlfn.FLOOR.MATH($F248*控制台!K345/(控制台!O345*60)),"")</f>
        <v>7</v>
      </c>
      <c r="L248" s="1">
        <f ca="1">IFERROR(_xlfn.FLOOR.MATH($F248*控制台!L345/(控制台!P345*60)),"")</f>
        <v>6</v>
      </c>
      <c r="M248" s="1">
        <f ca="1">IFERROR(_xlfn.FLOOR.MATH($F248*控制台!M345/(控制台!Q345*60)),"")</f>
        <v>5</v>
      </c>
      <c r="N248" s="1" t="str">
        <f ca="1">IFERROR(_xlfn.FLOOR.MATH($F248*控制台!N345/(控制台!R345*60)),"")</f>
        <v/>
      </c>
      <c r="O248" s="4" t="str">
        <f ca="1">控制台!W345</f>
        <v>board;brick;cement</v>
      </c>
      <c r="P248" s="4" t="str">
        <f ca="1" t="shared" si="19"/>
        <v>7;6;5</v>
      </c>
      <c r="Q248" s="4">
        <f>_xlfn.FLOOR.MATH(K13/控制台!$H$291*控制台!$G$289,5)</f>
        <v>320</v>
      </c>
      <c r="R248" s="4">
        <f>_xlfn.FLOOR.MATH(O13/控制台!$H$291*控制台!$G$289,5)</f>
        <v>640</v>
      </c>
      <c r="S248" s="1" t="s">
        <v>152</v>
      </c>
      <c r="T248" s="1" t="s">
        <v>184</v>
      </c>
      <c r="U248" s="1">
        <f ca="1" t="shared" si="17"/>
        <v>1</v>
      </c>
    </row>
    <row r="249" spans="1:21">
      <c r="A249" s="1">
        <v>8</v>
      </c>
      <c r="B249" s="1" t="s">
        <v>793</v>
      </c>
      <c r="C249" s="1">
        <f>_xlfn.FLOOR.MATH(D15/控制台!$H$291*控制台!$G$289)</f>
        <v>45000</v>
      </c>
      <c r="D249" s="1">
        <f>_xlfn.FLOOR.MATH(E15/控制台!$H$291*控制台!$G$289)</f>
        <v>54000</v>
      </c>
      <c r="E249" s="1">
        <f>_xlfn.FLOOR.MATH(F15/控制台!$H$291*控制台!$G$289)</f>
        <v>36000</v>
      </c>
      <c r="F249" s="1">
        <f ca="1">_xlfn.FLOOR.MATH(J15*60/控制台!$H$291*控制台!$G$289)</f>
        <v>10368</v>
      </c>
      <c r="G249" s="1">
        <f>IFERROR(_xlfn.FLOOR.MATH(C249,POWER(10,MAX(0,INT(LOG10(C249)-2)))),"")</f>
        <v>45000</v>
      </c>
      <c r="H249" s="1">
        <f>IFERROR(_xlfn.FLOOR.MATH(D249,POWER(10,MAX(0,INT(LOG10(D249)-2)))),"")</f>
        <v>54000</v>
      </c>
      <c r="I249" s="1">
        <f>IFERROR(_xlfn.FLOOR.MATH(E249,POWER(10,MAX(0,INT(LOG10(E249)-2)))),"")</f>
        <v>36000</v>
      </c>
      <c r="J249" s="4" t="str">
        <f t="shared" si="18"/>
        <v>45000;54000;36000</v>
      </c>
      <c r="K249" s="1">
        <f ca="1">IFERROR(_xlfn.FLOOR.MATH($F249*控制台!K346/(控制台!O346*60)),"")</f>
        <v>8</v>
      </c>
      <c r="L249" s="1">
        <f ca="1">IFERROR(_xlfn.FLOOR.MATH($F249*控制台!L346/(控制台!P346*60)),"")</f>
        <v>7</v>
      </c>
      <c r="M249" s="1">
        <f ca="1">IFERROR(_xlfn.FLOOR.MATH($F249*控制台!M346/(控制台!Q346*60)),"")</f>
        <v>6</v>
      </c>
      <c r="N249" s="1" t="str">
        <f ca="1">IFERROR(_xlfn.FLOOR.MATH($F249*控制台!N346/(控制台!R346*60)),"")</f>
        <v/>
      </c>
      <c r="O249" s="4" t="str">
        <f ca="1">控制台!W346</f>
        <v>board;brick;cement</v>
      </c>
      <c r="P249" s="4" t="str">
        <f ca="1" t="shared" si="19"/>
        <v>8;7;6</v>
      </c>
      <c r="Q249" s="4">
        <f>_xlfn.FLOOR.MATH(K14/控制台!$H$291*控制台!$G$289,5)</f>
        <v>430</v>
      </c>
      <c r="R249" s="4">
        <f>_xlfn.FLOOR.MATH(O14/控制台!$H$291*控制台!$G$289,5)</f>
        <v>1035</v>
      </c>
      <c r="S249" s="1" t="s">
        <v>152</v>
      </c>
      <c r="T249" s="1" t="s">
        <v>2734</v>
      </c>
      <c r="U249" s="1">
        <f ca="1" t="shared" si="17"/>
        <v>1</v>
      </c>
    </row>
    <row r="250" spans="1:21">
      <c r="A250" s="1">
        <v>9</v>
      </c>
      <c r="B250" s="1" t="s">
        <v>793</v>
      </c>
      <c r="C250" s="1">
        <f>_xlfn.FLOOR.MATH(D16/控制台!$H$291*控制台!$G$289)</f>
        <v>63000</v>
      </c>
      <c r="D250" s="1">
        <f>_xlfn.FLOOR.MATH(E16/控制台!$H$291*控制台!$G$289)</f>
        <v>75600</v>
      </c>
      <c r="E250" s="1">
        <f>_xlfn.FLOOR.MATH(F16/控制台!$H$291*控制台!$G$289)</f>
        <v>50400</v>
      </c>
      <c r="F250" s="1">
        <f ca="1">_xlfn.FLOOR.MATH(J16*60/控制台!$H$291*控制台!$G$289)</f>
        <v>12441</v>
      </c>
      <c r="G250" s="1">
        <f>IFERROR(_xlfn.FLOOR.MATH(C250,POWER(10,MAX(0,INT(LOG10(C250)-2)))),"")</f>
        <v>63000</v>
      </c>
      <c r="H250" s="1">
        <f>IFERROR(_xlfn.FLOOR.MATH(D250,POWER(10,MAX(0,INT(LOG10(D250)-2)))),"")</f>
        <v>75600</v>
      </c>
      <c r="I250" s="1">
        <f>IFERROR(_xlfn.FLOOR.MATH(E250,POWER(10,MAX(0,INT(LOG10(E250)-2)))),"")</f>
        <v>50400</v>
      </c>
      <c r="J250" s="4" t="str">
        <f t="shared" si="18"/>
        <v>63000;75600;50400</v>
      </c>
      <c r="K250" s="1">
        <f ca="1">IFERROR(_xlfn.FLOOR.MATH($F250*控制台!K347/(控制台!O347*60)),"")</f>
        <v>10</v>
      </c>
      <c r="L250" s="1">
        <f ca="1">IFERROR(_xlfn.FLOOR.MATH($F250*控制台!L347/(控制台!P347*60)),"")</f>
        <v>9</v>
      </c>
      <c r="M250" s="1">
        <f ca="1">IFERROR(_xlfn.FLOOR.MATH($F250*控制台!M347/(控制台!Q347*60)),"")</f>
        <v>7</v>
      </c>
      <c r="N250" s="1" t="str">
        <f ca="1">IFERROR(_xlfn.FLOOR.MATH($F250*控制台!N347/(控制台!R347*60)),"")</f>
        <v/>
      </c>
      <c r="O250" s="4" t="str">
        <f ca="1">控制台!W347</f>
        <v>board;brick;cement</v>
      </c>
      <c r="P250" s="4" t="str">
        <f ca="1" t="shared" si="19"/>
        <v>10;9;7</v>
      </c>
      <c r="Q250" s="4">
        <f>_xlfn.FLOOR.MATH(K15/控制台!$H$291*控制台!$G$289,5)</f>
        <v>540</v>
      </c>
      <c r="R250" s="4">
        <f>_xlfn.FLOOR.MATH(O15/控制台!$H$291*控制台!$G$289,5)</f>
        <v>1535</v>
      </c>
      <c r="S250" s="1" t="s">
        <v>152</v>
      </c>
      <c r="T250" s="1" t="s">
        <v>2710</v>
      </c>
      <c r="U250" s="1">
        <f ca="1" t="shared" si="17"/>
        <v>1</v>
      </c>
    </row>
    <row r="251" spans="1:21">
      <c r="A251" s="1">
        <v>10</v>
      </c>
      <c r="B251" s="1" t="s">
        <v>793</v>
      </c>
      <c r="C251" s="1">
        <f>_xlfn.FLOOR.MATH(D17/控制台!$H$291*控制台!$G$289)</f>
        <v>81000</v>
      </c>
      <c r="D251" s="1">
        <f>_xlfn.FLOOR.MATH(E17/控制台!$H$291*控制台!$G$289)</f>
        <v>97200</v>
      </c>
      <c r="E251" s="1">
        <f>_xlfn.FLOOR.MATH(F17/控制台!$H$291*控制台!$G$289)</f>
        <v>64800</v>
      </c>
      <c r="F251" s="1">
        <f ca="1">_xlfn.FLOOR.MATH(J17*60/控制台!$H$291*控制台!$G$289)</f>
        <v>14515</v>
      </c>
      <c r="G251" s="1">
        <f>IFERROR(_xlfn.FLOOR.MATH(C251,POWER(10,MAX(0,INT(LOG10(C251)-2)))),"")</f>
        <v>81000</v>
      </c>
      <c r="H251" s="1">
        <f>IFERROR(_xlfn.FLOOR.MATH(D251,POWER(10,MAX(0,INT(LOG10(D251)-2)))),"")</f>
        <v>97200</v>
      </c>
      <c r="I251" s="1">
        <f>IFERROR(_xlfn.FLOOR.MATH(E251,POWER(10,MAX(0,INT(LOG10(E251)-2)))),"")</f>
        <v>64800</v>
      </c>
      <c r="J251" s="4" t="str">
        <f t="shared" si="18"/>
        <v>81000;97200;64800</v>
      </c>
      <c r="K251" s="1">
        <f ca="1">IFERROR(_xlfn.FLOOR.MATH($F251*控制台!K348/(控制台!O348*60)),"")</f>
        <v>12</v>
      </c>
      <c r="L251" s="1">
        <f ca="1">IFERROR(_xlfn.FLOOR.MATH($F251*控制台!L348/(控制台!P348*60)),"")</f>
        <v>10</v>
      </c>
      <c r="M251" s="1">
        <f ca="1">IFERROR(_xlfn.FLOOR.MATH($F251*控制台!M348/(控制台!Q348*60)),"")</f>
        <v>9</v>
      </c>
      <c r="N251" s="1" t="str">
        <f ca="1">IFERROR(_xlfn.FLOOR.MATH($F251*控制台!N348/(控制台!R348*60)),"")</f>
        <v/>
      </c>
      <c r="O251" s="4" t="str">
        <f ca="1">控制台!W348</f>
        <v>board;brick;cement</v>
      </c>
      <c r="P251" s="4" t="str">
        <f ca="1" t="shared" si="19"/>
        <v>12;10;9</v>
      </c>
      <c r="Q251" s="4">
        <f>_xlfn.FLOOR.MATH(K16/控制台!$H$291*控制台!$G$289,5)</f>
        <v>755</v>
      </c>
      <c r="R251" s="4">
        <f>_xlfn.FLOOR.MATH(O16/控制台!$H$291*控制台!$G$289,5)</f>
        <v>2135</v>
      </c>
      <c r="S251" s="1" t="s">
        <v>152</v>
      </c>
      <c r="T251" s="1" t="s">
        <v>2735</v>
      </c>
      <c r="U251" s="1">
        <f ca="1" t="shared" si="17"/>
        <v>1</v>
      </c>
    </row>
    <row r="252" spans="1:21">
      <c r="A252" s="1">
        <v>11</v>
      </c>
      <c r="B252" s="1" t="s">
        <v>793</v>
      </c>
      <c r="C252" s="1">
        <f>_xlfn.FLOOR.MATH(D18/控制台!$H$291*控制台!$G$289)</f>
        <v>90000</v>
      </c>
      <c r="D252" s="1">
        <f>_xlfn.FLOOR.MATH(E18/控制台!$H$291*控制台!$G$289)</f>
        <v>108000</v>
      </c>
      <c r="E252" s="1">
        <f>_xlfn.FLOOR.MATH(F18/控制台!$H$291*控制台!$G$289)</f>
        <v>72000</v>
      </c>
      <c r="F252" s="1">
        <f ca="1">_xlfn.FLOOR.MATH(J18*60/控制台!$H$291*控制台!$G$289)</f>
        <v>18247</v>
      </c>
      <c r="G252" s="1">
        <f>IFERROR(_xlfn.FLOOR.MATH(C252,POWER(10,MAX(0,INT(LOG10(C252)-2)))),"")</f>
        <v>90000</v>
      </c>
      <c r="H252" s="1">
        <f>IFERROR(_xlfn.FLOOR.MATH(D252,POWER(10,MAX(0,INT(LOG10(D252)-2)))),"")</f>
        <v>108000</v>
      </c>
      <c r="I252" s="1">
        <f>IFERROR(_xlfn.FLOOR.MATH(E252,POWER(10,MAX(0,INT(LOG10(E252)-2)))),"")</f>
        <v>72000</v>
      </c>
      <c r="J252" s="4" t="str">
        <f t="shared" si="18"/>
        <v>90000;108000;72000</v>
      </c>
      <c r="K252" s="1">
        <f ca="1">IFERROR(_xlfn.FLOOR.MATH($F252*控制台!K349/(控制台!O349*60)),"")</f>
        <v>15</v>
      </c>
      <c r="L252" s="1">
        <f ca="1">IFERROR(_xlfn.FLOOR.MATH($F252*控制台!L349/(控制台!P349*60)),"")</f>
        <v>13</v>
      </c>
      <c r="M252" s="1">
        <f ca="1">IFERROR(_xlfn.FLOOR.MATH($F252*控制台!M349/(控制台!Q349*60)),"")</f>
        <v>11</v>
      </c>
      <c r="N252" s="1" t="str">
        <f ca="1">IFERROR(_xlfn.FLOOR.MATH($F252*控制台!N349/(控制台!R349*60)),"")</f>
        <v/>
      </c>
      <c r="O252" s="4" t="str">
        <f ca="1">控制台!W349</f>
        <v>board;brick;cement</v>
      </c>
      <c r="P252" s="4" t="str">
        <f ca="1" t="shared" si="19"/>
        <v>15;13;11</v>
      </c>
      <c r="Q252" s="4">
        <f>_xlfn.FLOOR.MATH(K17/控制台!$H$291*控制台!$G$289,5)</f>
        <v>970</v>
      </c>
      <c r="R252" s="4">
        <f>_xlfn.FLOOR.MATH(O17/控制台!$H$291*控制台!$G$289,5)</f>
        <v>2845</v>
      </c>
      <c r="S252" s="1" t="s">
        <v>152</v>
      </c>
      <c r="T252" s="1" t="s">
        <v>153</v>
      </c>
      <c r="U252" s="1">
        <f ca="1" t="shared" si="17"/>
        <v>1</v>
      </c>
    </row>
    <row r="253" spans="1:21">
      <c r="A253" s="1">
        <v>12</v>
      </c>
      <c r="B253" s="1" t="s">
        <v>793</v>
      </c>
      <c r="C253" s="1">
        <f>_xlfn.FLOOR.MATH(D19/控制台!$H$291*控制台!$G$289)</f>
        <v>135000</v>
      </c>
      <c r="D253" s="1">
        <f>_xlfn.FLOOR.MATH(E19/控制台!$H$291*控制台!$G$289)</f>
        <v>162000</v>
      </c>
      <c r="E253" s="1">
        <f>_xlfn.FLOOR.MATH(F19/控制台!$H$291*控制台!$G$289)</f>
        <v>108000</v>
      </c>
      <c r="F253" s="1">
        <f ca="1">_xlfn.FLOOR.MATH(J19*60/控制台!$H$291*控制台!$G$289)</f>
        <v>22809</v>
      </c>
      <c r="G253" s="1">
        <f>IFERROR(_xlfn.FLOOR.MATH(C253,POWER(10,MAX(0,INT(LOG10(C253)-2)))),"")</f>
        <v>135000</v>
      </c>
      <c r="H253" s="1">
        <f>IFERROR(_xlfn.FLOOR.MATH(D253,POWER(10,MAX(0,INT(LOG10(D253)-2)))),"")</f>
        <v>162000</v>
      </c>
      <c r="I253" s="1">
        <f>IFERROR(_xlfn.FLOOR.MATH(E253,POWER(10,MAX(0,INT(LOG10(E253)-2)))),"")</f>
        <v>108000</v>
      </c>
      <c r="J253" s="4" t="str">
        <f t="shared" si="18"/>
        <v>135000;162000;108000</v>
      </c>
      <c r="K253" s="1">
        <f ca="1">IFERROR(_xlfn.FLOOR.MATH($F253*控制台!K350/(控制台!O350*60)),"")</f>
        <v>19</v>
      </c>
      <c r="L253" s="1">
        <f ca="1">IFERROR(_xlfn.FLOOR.MATH($F253*控制台!L350/(控制台!P350*60)),"")</f>
        <v>17</v>
      </c>
      <c r="M253" s="1">
        <f ca="1">IFERROR(_xlfn.FLOOR.MATH($F253*控制台!M350/(控制台!Q350*60)),"")</f>
        <v>14</v>
      </c>
      <c r="N253" s="1" t="str">
        <f ca="1">IFERROR(_xlfn.FLOOR.MATH($F253*控制台!N350/(控制台!R350*60)),"")</f>
        <v/>
      </c>
      <c r="O253" s="4" t="str">
        <f ca="1">控制台!W350</f>
        <v>board;brick;cement</v>
      </c>
      <c r="P253" s="4" t="str">
        <f ca="1" t="shared" si="19"/>
        <v>19;17;14</v>
      </c>
      <c r="Q253" s="4">
        <f>_xlfn.FLOOR.MATH(K18/控制台!$H$291*控制台!$G$289,5)</f>
        <v>1080</v>
      </c>
      <c r="R253" s="4">
        <f>_xlfn.FLOOR.MATH(O18/控制台!$H$291*控制台!$G$289,5)</f>
        <v>3650</v>
      </c>
      <c r="S253" s="1" t="s">
        <v>152</v>
      </c>
      <c r="T253" s="1" t="s">
        <v>2736</v>
      </c>
      <c r="U253" s="1">
        <f ca="1" t="shared" si="17"/>
        <v>1</v>
      </c>
    </row>
    <row r="254" spans="1:21">
      <c r="A254" s="1">
        <v>13</v>
      </c>
      <c r="B254" s="1" t="s">
        <v>793</v>
      </c>
      <c r="C254" s="1">
        <f>_xlfn.FLOOR.MATH(D20/控制台!$H$291*控制台!$G$289)</f>
        <v>270000</v>
      </c>
      <c r="D254" s="1">
        <f>_xlfn.FLOOR.MATH(E20/控制台!$H$291*控制台!$G$289)</f>
        <v>324000</v>
      </c>
      <c r="E254" s="1">
        <f>_xlfn.FLOOR.MATH(F20/控制台!$H$291*控制台!$G$289)</f>
        <v>216000</v>
      </c>
      <c r="F254" s="1">
        <f ca="1">_xlfn.FLOOR.MATH(J20*60/控制台!$H$291*控制台!$G$289)</f>
        <v>34214</v>
      </c>
      <c r="G254" s="1">
        <f>IFERROR(_xlfn.FLOOR.MATH(C254,POWER(10,MAX(0,INT(LOG10(C254)-2)))),"")</f>
        <v>270000</v>
      </c>
      <c r="H254" s="1">
        <f>IFERROR(_xlfn.FLOOR.MATH(D254,POWER(10,MAX(0,INT(LOG10(D254)-2)))),"")</f>
        <v>324000</v>
      </c>
      <c r="I254" s="1">
        <f>IFERROR(_xlfn.FLOOR.MATH(E254,POWER(10,MAX(0,INT(LOG10(E254)-2)))),"")</f>
        <v>216000</v>
      </c>
      <c r="J254" s="4" t="str">
        <f t="shared" si="18"/>
        <v>270000;324000;216000</v>
      </c>
      <c r="K254" s="1">
        <f ca="1">IFERROR(_xlfn.FLOOR.MATH($F254*控制台!K351/(控制台!O351*60)),"")</f>
        <v>15</v>
      </c>
      <c r="L254" s="1">
        <f ca="1">IFERROR(_xlfn.FLOOR.MATH($F254*控制台!L351/(控制台!P351*60)),"")</f>
        <v>11</v>
      </c>
      <c r="M254" s="1">
        <f ca="1">IFERROR(_xlfn.FLOOR.MATH($F254*控制台!M351/(控制台!Q351*60)),"")</f>
        <v>9</v>
      </c>
      <c r="N254" s="1" t="str">
        <f ca="1">IFERROR(_xlfn.FLOOR.MATH($F254*控制台!N351/(控制台!R351*60)),"")</f>
        <v/>
      </c>
      <c r="O254" s="4" t="str">
        <f ca="1">控制台!W351</f>
        <v>board;cement;steel</v>
      </c>
      <c r="P254" s="4" t="str">
        <f ca="1" t="shared" si="19"/>
        <v>15;11;9</v>
      </c>
      <c r="Q254" s="4">
        <f>_xlfn.FLOOR.MATH(K19/控制台!$H$291*控制台!$G$289,5)</f>
        <v>1620</v>
      </c>
      <c r="R254" s="4">
        <f>_xlfn.FLOOR.MATH(O19/控制台!$H$291*控制台!$G$289,5)</f>
        <v>4670</v>
      </c>
      <c r="S254" s="1" t="s">
        <v>2680</v>
      </c>
      <c r="T254" s="1" t="s">
        <v>2737</v>
      </c>
      <c r="U254" s="1">
        <f ca="1" t="shared" si="17"/>
        <v>1</v>
      </c>
    </row>
    <row r="255" spans="1:21">
      <c r="A255" s="1">
        <v>14</v>
      </c>
      <c r="B255" s="1" t="s">
        <v>793</v>
      </c>
      <c r="C255" s="1">
        <f>_xlfn.FLOOR.MATH(D21/控制台!$H$291*控制台!$G$289)</f>
        <v>450000</v>
      </c>
      <c r="D255" s="1">
        <f>_xlfn.FLOOR.MATH(E21/控制台!$H$291*控制台!$G$289)</f>
        <v>540000</v>
      </c>
      <c r="E255" s="1">
        <f>_xlfn.FLOOR.MATH(F21/控制台!$H$291*控制台!$G$289)</f>
        <v>360000</v>
      </c>
      <c r="F255" s="1">
        <f ca="1">_xlfn.FLOOR.MATH(J21*60/控制台!$H$291*控制台!$G$289)</f>
        <v>45619</v>
      </c>
      <c r="G255" s="1">
        <f>IFERROR(_xlfn.FLOOR.MATH(C255,POWER(10,MAX(0,INT(LOG10(C255)-2)))),"")</f>
        <v>450000</v>
      </c>
      <c r="H255" s="1">
        <f>IFERROR(_xlfn.FLOOR.MATH(D255,POWER(10,MAX(0,INT(LOG10(D255)-2)))),"")</f>
        <v>540000</v>
      </c>
      <c r="I255" s="1">
        <f>IFERROR(_xlfn.FLOOR.MATH(E255,POWER(10,MAX(0,INT(LOG10(E255)-2)))),"")</f>
        <v>360000</v>
      </c>
      <c r="J255" s="4" t="str">
        <f t="shared" si="18"/>
        <v>450000;540000;360000</v>
      </c>
      <c r="K255" s="1">
        <f ca="1">IFERROR(_xlfn.FLOOR.MATH($F255*控制台!K352/(控制台!O352*60)),"")</f>
        <v>17</v>
      </c>
      <c r="L255" s="1">
        <f ca="1">IFERROR(_xlfn.FLOOR.MATH($F255*控制台!L352/(控制台!P352*60)),"")</f>
        <v>14</v>
      </c>
      <c r="M255" s="1">
        <f ca="1">IFERROR(_xlfn.FLOOR.MATH($F255*控制台!M352/(控制台!Q352*60)),"")</f>
        <v>11</v>
      </c>
      <c r="N255" s="1" t="str">
        <f ca="1">IFERROR(_xlfn.FLOOR.MATH($F255*控制台!N352/(控制台!R352*60)),"")</f>
        <v/>
      </c>
      <c r="O255" s="4" t="str">
        <f ca="1">控制台!W352</f>
        <v>brick;cement;steel</v>
      </c>
      <c r="P255" s="4" t="str">
        <f ca="1" t="shared" si="19"/>
        <v>17;14;11</v>
      </c>
      <c r="Q255" s="4">
        <f>_xlfn.FLOOR.MATH(K20/控制台!$H$291*控制台!$G$289,5)</f>
        <v>3240</v>
      </c>
      <c r="R255" s="4">
        <f>_xlfn.FLOOR.MATH(O20/控制台!$H$291*控制台!$G$289,5)</f>
        <v>6245</v>
      </c>
      <c r="S255" s="1" t="s">
        <v>2682</v>
      </c>
      <c r="T255" s="1" t="s">
        <v>2738</v>
      </c>
      <c r="U255" s="1">
        <f ca="1" t="shared" si="17"/>
        <v>1</v>
      </c>
    </row>
    <row r="256" spans="1:21">
      <c r="A256" s="1">
        <v>15</v>
      </c>
      <c r="B256" s="1" t="s">
        <v>793</v>
      </c>
      <c r="C256" s="1">
        <f>_xlfn.FLOOR.MATH(D22/控制台!$H$291*控制台!$G$289)</f>
        <v>540000</v>
      </c>
      <c r="D256" s="1">
        <f>_xlfn.FLOOR.MATH(E22/控制台!$H$291*控制台!$G$289)</f>
        <v>648000</v>
      </c>
      <c r="E256" s="1">
        <f>_xlfn.FLOOR.MATH(F22/控制台!$H$291*控制台!$G$289)</f>
        <v>432000</v>
      </c>
      <c r="F256" s="1">
        <f ca="1">_xlfn.FLOOR.MATH(J22*60/控制台!$H$291*控制台!$G$289)</f>
        <v>57024</v>
      </c>
      <c r="G256" s="1">
        <f>IFERROR(_xlfn.FLOOR.MATH(C256,POWER(10,MAX(0,INT(LOG10(C256)-2)))),"")</f>
        <v>540000</v>
      </c>
      <c r="H256" s="1">
        <f>IFERROR(_xlfn.FLOOR.MATH(D256,POWER(10,MAX(0,INT(LOG10(D256)-2)))),"")</f>
        <v>648000</v>
      </c>
      <c r="I256" s="1">
        <f>IFERROR(_xlfn.FLOOR.MATH(E256,POWER(10,MAX(0,INT(LOG10(E256)-2)))),"")</f>
        <v>432000</v>
      </c>
      <c r="J256" s="4" t="str">
        <f t="shared" si="18"/>
        <v>540000;648000;432000</v>
      </c>
      <c r="K256" s="1">
        <f ca="1">IFERROR(_xlfn.FLOOR.MATH($F256*控制台!K353/(控制台!O353*60)),"")</f>
        <v>38</v>
      </c>
      <c r="L256" s="1">
        <f ca="1">IFERROR(_xlfn.FLOOR.MATH($F256*控制台!L353/(控制台!P353*60)),"")</f>
        <v>33</v>
      </c>
      <c r="M256" s="1">
        <f ca="1">IFERROR(_xlfn.FLOOR.MATH($F256*控制台!M353/(控制台!Q353*60)),"")</f>
        <v>22</v>
      </c>
      <c r="N256" s="1" t="str">
        <f ca="1">IFERROR(_xlfn.FLOOR.MATH($F256*控制台!N353/(控制台!R353*60)),"")</f>
        <v/>
      </c>
      <c r="O256" s="4" t="str">
        <f ca="1">控制台!W353</f>
        <v>board;brick;steel</v>
      </c>
      <c r="P256" s="4" t="str">
        <f ca="1" t="shared" si="19"/>
        <v>38;33;22</v>
      </c>
      <c r="Q256" s="4">
        <f>_xlfn.FLOOR.MATH(K21/控制台!$H$291*控制台!$G$289,5)</f>
        <v>5400</v>
      </c>
      <c r="R256" s="4">
        <f>_xlfn.FLOOR.MATH(O21/控制台!$H$291*控制台!$G$289,5)</f>
        <v>8400</v>
      </c>
      <c r="S256" s="1" t="s">
        <v>2684</v>
      </c>
      <c r="T256" s="1" t="s">
        <v>2739</v>
      </c>
      <c r="U256" s="1">
        <f ca="1" t="shared" si="17"/>
        <v>1</v>
      </c>
    </row>
    <row r="257" spans="1:21">
      <c r="A257" s="1">
        <v>16</v>
      </c>
      <c r="B257" s="1" t="s">
        <v>793</v>
      </c>
      <c r="C257" s="1">
        <f>_xlfn.FLOOR.MATH(D23/控制台!$H$291*控制台!$G$289)</f>
        <v>630000</v>
      </c>
      <c r="D257" s="1">
        <f>_xlfn.FLOOR.MATH(E23/控制台!$H$291*控制台!$G$289)</f>
        <v>756000</v>
      </c>
      <c r="E257" s="1">
        <f>_xlfn.FLOOR.MATH(F23/控制台!$H$291*控制台!$G$289)</f>
        <v>504000</v>
      </c>
      <c r="F257" s="1">
        <f ca="1">_xlfn.FLOOR.MATH(J23*60/控制台!$H$291*控制台!$G$289)</f>
        <v>68428</v>
      </c>
      <c r="G257" s="1">
        <f>IFERROR(_xlfn.FLOOR.MATH(C257,POWER(10,MAX(0,INT(LOG10(C257)-2)))),"")</f>
        <v>630000</v>
      </c>
      <c r="H257" s="1">
        <f>IFERROR(_xlfn.FLOOR.MATH(D257,POWER(10,MAX(0,INT(LOG10(D257)-2)))),"")</f>
        <v>756000</v>
      </c>
      <c r="I257" s="1">
        <f>IFERROR(_xlfn.FLOOR.MATH(E257,POWER(10,MAX(0,INT(LOG10(E257)-2)))),"")</f>
        <v>504000</v>
      </c>
      <c r="J257" s="4" t="str">
        <f t="shared" si="18"/>
        <v>630000;756000;504000</v>
      </c>
      <c r="K257" s="1">
        <f ca="1">IFERROR(_xlfn.FLOOR.MATH($F257*控制台!K354/(控制台!O354*60)),"")</f>
        <v>25</v>
      </c>
      <c r="L257" s="1">
        <f ca="1">IFERROR(_xlfn.FLOOR.MATH($F257*控制台!L354/(控制台!P354*60)),"")</f>
        <v>22</v>
      </c>
      <c r="M257" s="1">
        <f ca="1">IFERROR(_xlfn.FLOOR.MATH($F257*控制台!M354/(控制台!Q354*60)),"")</f>
        <v>16</v>
      </c>
      <c r="N257" s="1" t="str">
        <f ca="1">IFERROR(_xlfn.FLOOR.MATH($F257*控制台!N354/(控制台!R354*60)),"")</f>
        <v/>
      </c>
      <c r="O257" s="4" t="str">
        <f ca="1">控制台!W354</f>
        <v>brick;cement;steel</v>
      </c>
      <c r="P257" s="4" t="str">
        <f ca="1" t="shared" si="19"/>
        <v>25;22;16</v>
      </c>
      <c r="Q257" s="4">
        <f>_xlfn.FLOOR.MATH(K22/控制台!$H$291*控制台!$G$289,5)</f>
        <v>6480</v>
      </c>
      <c r="R257" s="4">
        <f>_xlfn.FLOOR.MATH(O22/控制台!$H$291*控制台!$G$289,5)</f>
        <v>11085</v>
      </c>
      <c r="S257" s="1" t="s">
        <v>2682</v>
      </c>
      <c r="T257" s="1" t="s">
        <v>2740</v>
      </c>
      <c r="U257" s="1">
        <f ca="1" t="shared" si="17"/>
        <v>1</v>
      </c>
    </row>
    <row r="258" spans="1:21">
      <c r="A258" s="1">
        <v>17</v>
      </c>
      <c r="B258" s="1" t="s">
        <v>793</v>
      </c>
      <c r="C258" s="1">
        <f>_xlfn.FLOOR.MATH(D24/控制台!$H$291*控制台!$G$289)</f>
        <v>990000</v>
      </c>
      <c r="D258" s="1">
        <f>_xlfn.FLOOR.MATH(E24/控制台!$H$291*控制台!$G$289)</f>
        <v>1188000</v>
      </c>
      <c r="E258" s="1">
        <f>_xlfn.FLOOR.MATH(F24/控制台!$H$291*控制台!$G$289)</f>
        <v>792000</v>
      </c>
      <c r="F258" s="1">
        <f ca="1">_xlfn.FLOOR.MATH(J24*60/控制台!$H$291*控制台!$G$289)</f>
        <v>79833</v>
      </c>
      <c r="G258" s="1">
        <f>IFERROR(_xlfn.FLOOR.MATH(C258,POWER(10,MAX(0,INT(LOG10(C258)-2)))),"")</f>
        <v>990000</v>
      </c>
      <c r="H258" s="1">
        <f>IFERROR(_xlfn.FLOOR.MATH(D258,POWER(10,MAX(0,INT(LOG10(D258)-2)))),"")</f>
        <v>1180000</v>
      </c>
      <c r="I258" s="1">
        <f>IFERROR(_xlfn.FLOOR.MATH(E258,POWER(10,MAX(0,INT(LOG10(E258)-2)))),"")</f>
        <v>792000</v>
      </c>
      <c r="J258" s="4" t="str">
        <f t="shared" si="18"/>
        <v>990000;1180000;792000</v>
      </c>
      <c r="K258" s="1">
        <f ca="1">IFERROR(_xlfn.FLOOR.MATH($F258*控制台!K355/(控制台!O355*60)),"")</f>
        <v>36</v>
      </c>
      <c r="L258" s="1">
        <f ca="1">IFERROR(_xlfn.FLOOR.MATH($F258*控制台!L355/(控制台!P355*60)),"")</f>
        <v>27</v>
      </c>
      <c r="M258" s="1">
        <f ca="1">IFERROR(_xlfn.FLOOR.MATH($F258*控制台!M355/(控制台!Q355*60)),"")</f>
        <v>21</v>
      </c>
      <c r="N258" s="1" t="str">
        <f ca="1">IFERROR(_xlfn.FLOOR.MATH($F258*控制台!N355/(控制台!R355*60)),"")</f>
        <v/>
      </c>
      <c r="O258" s="4" t="str">
        <f ca="1">控制台!W355</f>
        <v>board;cement;steel</v>
      </c>
      <c r="P258" s="4" t="str">
        <f ca="1" t="shared" si="19"/>
        <v>36;27;21</v>
      </c>
      <c r="Q258" s="4">
        <f>_xlfn.FLOOR.MATH(K23/控制台!$H$291*控制台!$G$289,5)</f>
        <v>7560</v>
      </c>
      <c r="R258" s="4">
        <f>_xlfn.FLOOR.MATH(O23/控制台!$H$291*控制台!$G$289,5)</f>
        <v>14290</v>
      </c>
      <c r="S258" s="1" t="s">
        <v>2680</v>
      </c>
      <c r="T258" s="1" t="s">
        <v>2741</v>
      </c>
      <c r="U258" s="1">
        <f ca="1" t="shared" si="17"/>
        <v>1</v>
      </c>
    </row>
    <row r="259" spans="1:21">
      <c r="A259" s="1">
        <v>18</v>
      </c>
      <c r="B259" s="1" t="s">
        <v>793</v>
      </c>
      <c r="C259" s="1">
        <f>_xlfn.FLOOR.MATH(D25/控制台!$H$291*控制台!$G$289)</f>
        <v>1125000</v>
      </c>
      <c r="D259" s="1">
        <f>_xlfn.FLOOR.MATH(E25/控制台!$H$291*控制台!$G$289)</f>
        <v>1350000</v>
      </c>
      <c r="E259" s="1">
        <f>_xlfn.FLOOR.MATH(F25/控制台!$H$291*控制台!$G$289)</f>
        <v>900000</v>
      </c>
      <c r="F259" s="1">
        <f ca="1">_xlfn.FLOOR.MATH(J25*60/控制台!$H$291*控制台!$G$289)</f>
        <v>91238</v>
      </c>
      <c r="G259" s="1">
        <f>IFERROR(_xlfn.FLOOR.MATH(C259,POWER(10,MAX(0,INT(LOG10(C259)-2)))),"")</f>
        <v>1120000</v>
      </c>
      <c r="H259" s="1">
        <f>IFERROR(_xlfn.FLOOR.MATH(D259,POWER(10,MAX(0,INT(LOG10(D259)-2)))),"")</f>
        <v>1350000</v>
      </c>
      <c r="I259" s="1">
        <f>IFERROR(_xlfn.FLOOR.MATH(E259,POWER(10,MAX(0,INT(LOG10(E259)-2)))),"")</f>
        <v>900000</v>
      </c>
      <c r="J259" s="4" t="str">
        <f t="shared" si="18"/>
        <v>1120000;1350000;900000</v>
      </c>
      <c r="K259" s="1">
        <f ca="1">IFERROR(_xlfn.FLOOR.MATH($F259*控制台!K356/(控制台!O356*60)),"")</f>
        <v>34</v>
      </c>
      <c r="L259" s="1">
        <f ca="1">IFERROR(_xlfn.FLOOR.MATH($F259*控制台!L356/(控制台!P356*60)),"")</f>
        <v>29</v>
      </c>
      <c r="M259" s="1">
        <f ca="1">IFERROR(_xlfn.FLOOR.MATH($F259*控制台!M356/(控制台!Q356*60)),"")</f>
        <v>22</v>
      </c>
      <c r="N259" s="1" t="str">
        <f ca="1">IFERROR(_xlfn.FLOOR.MATH($F259*控制台!N356/(控制台!R356*60)),"")</f>
        <v/>
      </c>
      <c r="O259" s="4" t="str">
        <f ca="1">控制台!W356</f>
        <v>brick;cement;steel</v>
      </c>
      <c r="P259" s="4" t="str">
        <f ca="1" t="shared" si="19"/>
        <v>34;29;22</v>
      </c>
      <c r="Q259" s="4">
        <f>_xlfn.FLOOR.MATH(K24/控制台!$H$291*控制台!$G$289,5)</f>
        <v>11880</v>
      </c>
      <c r="R259" s="4">
        <f>_xlfn.FLOOR.MATH(O24/控制台!$H$291*控制台!$G$289,5)</f>
        <v>18190</v>
      </c>
      <c r="S259" s="1" t="s">
        <v>2682</v>
      </c>
      <c r="T259" s="1" t="s">
        <v>2716</v>
      </c>
      <c r="U259" s="1">
        <f ca="1" t="shared" si="17"/>
        <v>1</v>
      </c>
    </row>
    <row r="260" spans="1:21">
      <c r="A260" s="1">
        <v>19</v>
      </c>
      <c r="B260" s="1" t="s">
        <v>793</v>
      </c>
      <c r="C260" s="1">
        <f>_xlfn.FLOOR.MATH(D26/控制台!$H$291*控制台!$G$289)</f>
        <v>1260000</v>
      </c>
      <c r="D260" s="1">
        <f>_xlfn.FLOOR.MATH(E26/控制台!$H$291*控制台!$G$289)</f>
        <v>1512000</v>
      </c>
      <c r="E260" s="1">
        <f>_xlfn.FLOOR.MATH(F26/控制台!$H$291*控制台!$G$289)</f>
        <v>1008000</v>
      </c>
      <c r="F260" s="1">
        <f ca="1">_xlfn.FLOOR.MATH(J26*60/控制台!$H$291*控制台!$G$289)</f>
        <v>125971</v>
      </c>
      <c r="G260" s="1">
        <f>IFERROR(_xlfn.FLOOR.MATH(C260,POWER(10,MAX(0,INT(LOG10(C260)-2)))),"")</f>
        <v>1260000</v>
      </c>
      <c r="H260" s="1">
        <f>IFERROR(_xlfn.FLOOR.MATH(D260,POWER(10,MAX(0,INT(LOG10(D260)-2)))),"")</f>
        <v>1510000</v>
      </c>
      <c r="I260" s="1">
        <f>IFERROR(_xlfn.FLOOR.MATH(E260,POWER(10,MAX(0,INT(LOG10(E260)-2)))),"")</f>
        <v>1000000</v>
      </c>
      <c r="J260" s="4" t="str">
        <f t="shared" si="18"/>
        <v>1260000;1510000;1000000</v>
      </c>
      <c r="K260" s="1">
        <f ca="1">IFERROR(_xlfn.FLOOR.MATH($F260*控制台!K357/(控制台!O357*60)),"")</f>
        <v>53</v>
      </c>
      <c r="L260" s="1">
        <f ca="1">IFERROR(_xlfn.FLOOR.MATH($F260*控制台!L357/(控制台!P357*60)),"")</f>
        <v>46</v>
      </c>
      <c r="M260" s="1">
        <f ca="1">IFERROR(_xlfn.FLOOR.MATH($F260*控制台!M357/(控制台!Q357*60)),"")</f>
        <v>39</v>
      </c>
      <c r="N260" s="1">
        <f ca="1">IFERROR(_xlfn.FLOOR.MATH($F260*控制台!N357/(控制台!R357*60)),"")</f>
        <v>30</v>
      </c>
      <c r="O260" s="4" t="str">
        <f ca="1">控制台!W357</f>
        <v>board;brick;cement;steel</v>
      </c>
      <c r="P260" s="4" t="str">
        <f ca="1" t="shared" si="19"/>
        <v>53;46;39;30</v>
      </c>
      <c r="Q260" s="4">
        <f>_xlfn.FLOOR.MATH(K25/控制台!$H$291*控制台!$G$289,5)</f>
        <v>13500</v>
      </c>
      <c r="R260" s="4">
        <f>_xlfn.FLOOR.MATH(O25/控制台!$H$291*控制台!$G$289,5)</f>
        <v>22645</v>
      </c>
      <c r="S260" s="1" t="s">
        <v>2689</v>
      </c>
      <c r="T260" s="1" t="s">
        <v>2742</v>
      </c>
      <c r="U260" s="1">
        <f ca="1" t="shared" si="17"/>
        <v>1</v>
      </c>
    </row>
    <row r="261" spans="1:21">
      <c r="A261" s="1">
        <v>20</v>
      </c>
      <c r="B261" s="1" t="s">
        <v>793</v>
      </c>
      <c r="C261" s="1">
        <f>_xlfn.FLOOR.MATH(D27/控制台!$H$291*控制台!$G$289)</f>
        <v>1395000</v>
      </c>
      <c r="D261" s="1">
        <f>_xlfn.FLOOR.MATH(E27/控制台!$H$291*控制台!$G$289)</f>
        <v>1674000</v>
      </c>
      <c r="E261" s="1">
        <f>_xlfn.FLOOR.MATH(F27/控制台!$H$291*控制台!$G$289)</f>
        <v>1116000</v>
      </c>
      <c r="F261" s="1">
        <f ca="1">_xlfn.FLOOR.MATH(J27*60/控制台!$H$291*控制台!$G$289)</f>
        <v>139968</v>
      </c>
      <c r="G261" s="1">
        <f>IFERROR(_xlfn.FLOOR.MATH(C261,POWER(10,MAX(0,INT(LOG10(C261)-2)))),"")</f>
        <v>1390000</v>
      </c>
      <c r="H261" s="1">
        <f>IFERROR(_xlfn.FLOOR.MATH(D261,POWER(10,MAX(0,INT(LOG10(D261)-2)))),"")</f>
        <v>1670000</v>
      </c>
      <c r="I261" s="1">
        <f>IFERROR(_xlfn.FLOOR.MATH(E261,POWER(10,MAX(0,INT(LOG10(E261)-2)))),"")</f>
        <v>1110000</v>
      </c>
      <c r="J261" s="4" t="str">
        <f t="shared" si="18"/>
        <v>1390000;1670000;1110000</v>
      </c>
      <c r="K261" s="1">
        <f ca="1">IFERROR(_xlfn.FLOOR.MATH($F261*控制台!K358/(控制台!O358*60)),"")</f>
        <v>32</v>
      </c>
      <c r="L261" s="1">
        <f ca="1">IFERROR(_xlfn.FLOOR.MATH($F261*控制台!L358/(控制台!P358*60)),"")</f>
        <v>27</v>
      </c>
      <c r="M261" s="1">
        <f ca="1">IFERROR(_xlfn.FLOOR.MATH($F261*控制台!M358/(控制台!Q358*60)),"")</f>
        <v>20</v>
      </c>
      <c r="N261" s="1">
        <f ca="1">IFERROR(_xlfn.FLOOR.MATH($F261*控制台!N358/(控制台!R358*60)),"")</f>
        <v>18</v>
      </c>
      <c r="O261" s="4" t="str">
        <f ca="1">控制台!W358</f>
        <v>brick;cement;steel;pitch</v>
      </c>
      <c r="P261" s="4" t="str">
        <f ca="1" t="shared" si="19"/>
        <v>32;27;20;18</v>
      </c>
      <c r="Q261" s="4">
        <f>_xlfn.FLOOR.MATH(K26/控制台!$H$291*控制台!$G$289,5)</f>
        <v>15120</v>
      </c>
      <c r="R261" s="4">
        <f>_xlfn.FLOOR.MATH(O26/控制台!$H$291*控制台!$G$289,5)</f>
        <v>27650</v>
      </c>
      <c r="S261" s="1" t="s">
        <v>2691</v>
      </c>
      <c r="T261" s="1" t="s">
        <v>2743</v>
      </c>
      <c r="U261" s="1">
        <f ca="1" t="shared" si="17"/>
        <v>1</v>
      </c>
    </row>
    <row r="262" spans="1:21">
      <c r="A262" s="1">
        <v>21</v>
      </c>
      <c r="B262" s="1" t="s">
        <v>793</v>
      </c>
      <c r="C262" s="1">
        <f>_xlfn.FLOOR.MATH(D28/控制台!$H$291*控制台!$G$289)</f>
        <v>1485000</v>
      </c>
      <c r="D262" s="1">
        <f>_xlfn.FLOOR.MATH(E28/控制台!$H$291*控制台!$G$289)</f>
        <v>1782000</v>
      </c>
      <c r="E262" s="1">
        <f>_xlfn.FLOOR.MATH(F28/控制台!$H$291*控制台!$G$289)</f>
        <v>1188000</v>
      </c>
      <c r="F262" s="1">
        <f ca="1">_xlfn.FLOOR.MATH(J28*60/控制台!$H$291*控制台!$G$289)</f>
        <v>153964</v>
      </c>
      <c r="G262" s="1">
        <f>IFERROR(_xlfn.FLOOR.MATH(C262,POWER(10,MAX(0,INT(LOG10(C262)-2)))),"")</f>
        <v>1480000</v>
      </c>
      <c r="H262" s="1">
        <f>IFERROR(_xlfn.FLOOR.MATH(D262,POWER(10,MAX(0,INT(LOG10(D262)-2)))),"")</f>
        <v>1780000</v>
      </c>
      <c r="I262" s="1">
        <f>IFERROR(_xlfn.FLOOR.MATH(E262,POWER(10,MAX(0,INT(LOG10(E262)-2)))),"")</f>
        <v>1180000</v>
      </c>
      <c r="J262" s="4" t="str">
        <f t="shared" si="18"/>
        <v>1480000;1780000;1180000</v>
      </c>
      <c r="K262" s="1">
        <f ca="1">IFERROR(_xlfn.FLOOR.MATH($F262*控制台!K359/(控制台!O359*60)),"")</f>
        <v>51</v>
      </c>
      <c r="L262" s="1">
        <f ca="1">IFERROR(_xlfn.FLOOR.MATH($F262*控制台!L359/(控制台!P359*60)),"")</f>
        <v>45</v>
      </c>
      <c r="M262" s="1">
        <f ca="1">IFERROR(_xlfn.FLOOR.MATH($F262*控制台!M359/(控制台!Q359*60)),"")</f>
        <v>29</v>
      </c>
      <c r="N262" s="1">
        <f ca="1">IFERROR(_xlfn.FLOOR.MATH($F262*控制台!N359/(控制台!R359*60)),"")</f>
        <v>25</v>
      </c>
      <c r="O262" s="4" t="str">
        <f ca="1">控制台!W359</f>
        <v>board;brick;steel;pitch</v>
      </c>
      <c r="P262" s="4" t="str">
        <f ca="1" t="shared" si="19"/>
        <v>51;45;29;25</v>
      </c>
      <c r="Q262" s="4">
        <f>_xlfn.FLOOR.MATH(K27/控制台!$H$291*控制台!$G$289,5)</f>
        <v>16740</v>
      </c>
      <c r="R262" s="4">
        <f>_xlfn.FLOOR.MATH(O27/控制台!$H$291*控制台!$G$289,5)</f>
        <v>33210</v>
      </c>
      <c r="S262" s="1" t="s">
        <v>2693</v>
      </c>
      <c r="T262" s="1" t="s">
        <v>2744</v>
      </c>
      <c r="U262" s="1">
        <f ca="1" t="shared" si="17"/>
        <v>1</v>
      </c>
    </row>
    <row r="263" spans="1:21">
      <c r="A263" s="1">
        <v>22</v>
      </c>
      <c r="B263" s="1" t="s">
        <v>793</v>
      </c>
      <c r="C263" s="1">
        <f>_xlfn.FLOOR.MATH(D29/控制台!$H$291*控制台!$G$289)</f>
        <v>2025000</v>
      </c>
      <c r="D263" s="1">
        <f>_xlfn.FLOOR.MATH(E29/控制台!$H$291*控制台!$G$289)</f>
        <v>2430000</v>
      </c>
      <c r="E263" s="1">
        <f>_xlfn.FLOOR.MATH(F29/控制台!$H$291*控制台!$G$289)</f>
        <v>1620000</v>
      </c>
      <c r="F263" s="1">
        <f ca="1">_xlfn.FLOOR.MATH(J29*60/控制台!$H$291*控制台!$G$289)</f>
        <v>174182</v>
      </c>
      <c r="G263" s="1">
        <f>IFERROR(_xlfn.FLOOR.MATH(C263,POWER(10,MAX(0,INT(LOG10(C263)-2)))),"")</f>
        <v>2020000</v>
      </c>
      <c r="H263" s="1">
        <f>IFERROR(_xlfn.FLOOR.MATH(D263,POWER(10,MAX(0,INT(LOG10(D263)-2)))),"")</f>
        <v>2430000</v>
      </c>
      <c r="I263" s="1">
        <f>IFERROR(_xlfn.FLOOR.MATH(E263,POWER(10,MAX(0,INT(LOG10(E263)-2)))),"")</f>
        <v>1620000</v>
      </c>
      <c r="J263" s="4" t="str">
        <f t="shared" si="18"/>
        <v>2020000;2430000;1620000</v>
      </c>
      <c r="K263" s="1">
        <f ca="1">IFERROR(_xlfn.FLOOR.MATH($F263*控制台!K360/(控制台!O360*60)),"")</f>
        <v>40</v>
      </c>
      <c r="L263" s="1">
        <f ca="1">IFERROR(_xlfn.FLOOR.MATH($F263*控制台!L360/(控制台!P360*60)),"")</f>
        <v>34</v>
      </c>
      <c r="M263" s="1">
        <f ca="1">IFERROR(_xlfn.FLOOR.MATH($F263*控制台!M360/(控制台!Q360*60)),"")</f>
        <v>26</v>
      </c>
      <c r="N263" s="1">
        <f ca="1">IFERROR(_xlfn.FLOOR.MATH($F263*控制台!N360/(控制台!R360*60)),"")</f>
        <v>22</v>
      </c>
      <c r="O263" s="4" t="str">
        <f ca="1">控制台!W360</f>
        <v>brick;cement;steel;pitch</v>
      </c>
      <c r="P263" s="4" t="str">
        <f ca="1" t="shared" si="19"/>
        <v>40;34;26;22</v>
      </c>
      <c r="Q263" s="4">
        <f>_xlfn.FLOOR.MATH(K28/控制台!$H$291*控制台!$G$289,5)</f>
        <v>17820</v>
      </c>
      <c r="R263" s="4">
        <f>_xlfn.FLOOR.MATH(O28/控制台!$H$291*控制台!$G$289,5)</f>
        <v>39295</v>
      </c>
      <c r="S263" s="1" t="s">
        <v>2691</v>
      </c>
      <c r="T263" s="1" t="s">
        <v>2745</v>
      </c>
      <c r="U263" s="1">
        <f ca="1" t="shared" si="17"/>
        <v>1</v>
      </c>
    </row>
    <row r="264" spans="1:21">
      <c r="A264" s="1">
        <v>23</v>
      </c>
      <c r="B264" s="1" t="s">
        <v>793</v>
      </c>
      <c r="C264" s="1">
        <f>_xlfn.FLOOR.MATH(D30/控制台!$H$291*控制台!$G$289)</f>
        <v>4950000</v>
      </c>
      <c r="D264" s="1">
        <f>_xlfn.FLOOR.MATH(E30/控制台!$H$291*控制台!$G$289)</f>
        <v>5940000</v>
      </c>
      <c r="E264" s="1">
        <f>_xlfn.FLOOR.MATH(F30/控制台!$H$291*控制台!$G$289)</f>
        <v>3960000</v>
      </c>
      <c r="F264" s="1">
        <f ca="1">_xlfn.FLOOR.MATH(J30*60/控制台!$H$291*控制台!$G$289)</f>
        <v>290304</v>
      </c>
      <c r="G264" s="1">
        <f>IFERROR(_xlfn.FLOOR.MATH(C264,POWER(10,MAX(0,INT(LOG10(C264)-2)))),"")</f>
        <v>4950000</v>
      </c>
      <c r="H264" s="1">
        <f>IFERROR(_xlfn.FLOOR.MATH(D264,POWER(10,MAX(0,INT(LOG10(D264)-2)))),"")</f>
        <v>5940000</v>
      </c>
      <c r="I264" s="1">
        <f>IFERROR(_xlfn.FLOOR.MATH(E264,POWER(10,MAX(0,INT(LOG10(E264)-2)))),"")</f>
        <v>3960000</v>
      </c>
      <c r="J264" s="4" t="str">
        <f t="shared" si="18"/>
        <v>4950000;5940000;3960000</v>
      </c>
      <c r="K264" s="1">
        <f ca="1">IFERROR(_xlfn.FLOOR.MATH($F264*控制台!K361/(控制台!O361*60)),"")</f>
        <v>79</v>
      </c>
      <c r="L264" s="1">
        <f ca="1">IFERROR(_xlfn.FLOOR.MATH($F264*控制台!L361/(控制台!P361*60)),"")</f>
        <v>59</v>
      </c>
      <c r="M264" s="1">
        <f ca="1">IFERROR(_xlfn.FLOOR.MATH($F264*控制台!M361/(控制台!Q361*60)),"")</f>
        <v>45</v>
      </c>
      <c r="N264" s="1">
        <f ca="1">IFERROR(_xlfn.FLOOR.MATH($F264*控制台!N361/(控制台!R361*60)),"")</f>
        <v>39</v>
      </c>
      <c r="O264" s="4" t="str">
        <f ca="1">控制台!W361</f>
        <v>board;cement;steel;pitch</v>
      </c>
      <c r="P264" s="4" t="str">
        <f ca="1" t="shared" si="19"/>
        <v>79;59;45;39</v>
      </c>
      <c r="Q264" s="4">
        <f>_xlfn.FLOOR.MATH(K29/控制台!$H$291*控制台!$G$289,5)</f>
        <v>24300</v>
      </c>
      <c r="R264" s="4">
        <f>_xlfn.FLOOR.MATH(O29/控制台!$H$291*控制台!$G$289,5)</f>
        <v>46185</v>
      </c>
      <c r="S264" s="1" t="s">
        <v>2696</v>
      </c>
      <c r="T264" s="1" t="s">
        <v>2746</v>
      </c>
      <c r="U264" s="1">
        <f ca="1" t="shared" si="17"/>
        <v>1</v>
      </c>
    </row>
    <row r="265" spans="1:21">
      <c r="A265" s="1">
        <v>24</v>
      </c>
      <c r="B265" s="1" t="s">
        <v>793</v>
      </c>
      <c r="C265" s="1">
        <f>_xlfn.FLOOR.MATH(D31/控制台!$H$291*控制台!$G$289)</f>
        <v>6300000</v>
      </c>
      <c r="D265" s="1">
        <f>_xlfn.FLOOR.MATH(E31/控制台!$H$291*控制台!$G$289)</f>
        <v>7560000</v>
      </c>
      <c r="E265" s="1">
        <f>_xlfn.FLOOR.MATH(F31/控制台!$H$291*控制台!$G$289)</f>
        <v>5040000</v>
      </c>
      <c r="F265" s="1">
        <f ca="1">_xlfn.FLOOR.MATH(J31*60/控制台!$H$291*控制台!$G$289)</f>
        <v>435456</v>
      </c>
      <c r="G265" s="1">
        <f>IFERROR(_xlfn.FLOOR.MATH(C265,POWER(10,MAX(0,INT(LOG10(C265)-2)))),"")</f>
        <v>6300000</v>
      </c>
      <c r="H265" s="1">
        <f>IFERROR(_xlfn.FLOOR.MATH(D265,POWER(10,MAX(0,INT(LOG10(D265)-2)))),"")</f>
        <v>7560000</v>
      </c>
      <c r="I265" s="1">
        <f>IFERROR(_xlfn.FLOOR.MATH(E265,POWER(10,MAX(0,INT(LOG10(E265)-2)))),"")</f>
        <v>5040000</v>
      </c>
      <c r="J265" s="4" t="str">
        <f t="shared" si="18"/>
        <v>6300000;7560000;5040000</v>
      </c>
      <c r="K265" s="1">
        <f ca="1">IFERROR(_xlfn.FLOOR.MATH($F265*控制台!K362/(控制台!O362*60)),"")</f>
        <v>100</v>
      </c>
      <c r="L265" s="1">
        <f ca="1">IFERROR(_xlfn.FLOOR.MATH($F265*控制台!L362/(控制台!P362*60)),"")</f>
        <v>85</v>
      </c>
      <c r="M265" s="1">
        <f ca="1">IFERROR(_xlfn.FLOOR.MATH($F265*控制台!M362/(控制台!Q362*60)),"")</f>
        <v>65</v>
      </c>
      <c r="N265" s="1">
        <f ca="1">IFERROR(_xlfn.FLOOR.MATH($F265*控制台!N362/(控制台!R362*60)),"")</f>
        <v>57</v>
      </c>
      <c r="O265" s="4" t="str">
        <f ca="1">控制台!W362</f>
        <v>brick;cement;steel;pitch</v>
      </c>
      <c r="P265" s="4" t="str">
        <f ca="1" t="shared" si="19"/>
        <v>100;85;65;57</v>
      </c>
      <c r="Q265" s="4">
        <f>_xlfn.FLOOR.MATH(K30/控制台!$H$291*控制台!$G$289,5)</f>
        <v>59400</v>
      </c>
      <c r="R265" s="4">
        <f>_xlfn.FLOOR.MATH(O30/控制台!$H$291*控制台!$G$289,5)</f>
        <v>58650</v>
      </c>
      <c r="S265" s="1" t="s">
        <v>2691</v>
      </c>
      <c r="T265" s="1" t="s">
        <v>2747</v>
      </c>
      <c r="U265" s="1">
        <f ca="1" t="shared" si="17"/>
        <v>1</v>
      </c>
    </row>
    <row r="266" spans="1:21">
      <c r="A266" s="1">
        <v>25</v>
      </c>
      <c r="B266" s="1" t="s">
        <v>793</v>
      </c>
      <c r="C266" s="1">
        <f>_xlfn.FLOOR.MATH(D32/控制台!$H$291*控制台!$G$289)</f>
        <v>7200000</v>
      </c>
      <c r="D266" s="1">
        <f>_xlfn.FLOOR.MATH(E32/控制台!$H$291*控制台!$G$289)</f>
        <v>8640000</v>
      </c>
      <c r="E266" s="1">
        <f>_xlfn.FLOOR.MATH(F32/控制台!$H$291*控制台!$G$289)</f>
        <v>5760000</v>
      </c>
      <c r="F266" s="1">
        <f ca="1">_xlfn.FLOOR.MATH(J32*60/控制台!$H$291*控制台!$G$289)</f>
        <v>580608</v>
      </c>
      <c r="G266" s="1">
        <f>IFERROR(_xlfn.FLOOR.MATH(C266,POWER(10,MAX(0,INT(LOG10(C266)-2)))),"")</f>
        <v>7200000</v>
      </c>
      <c r="H266" s="1">
        <f>IFERROR(_xlfn.FLOOR.MATH(D266,POWER(10,MAX(0,INT(LOG10(D266)-2)))),"")</f>
        <v>8640000</v>
      </c>
      <c r="I266" s="1">
        <f>IFERROR(_xlfn.FLOOR.MATH(E266,POWER(10,MAX(0,INT(LOG10(E266)-2)))),"")</f>
        <v>5760000</v>
      </c>
      <c r="J266" s="4" t="str">
        <f t="shared" si="18"/>
        <v>7200000;8640000;5760000</v>
      </c>
      <c r="K266" s="1">
        <f ca="1">IFERROR(_xlfn.FLOOR.MATH($F266*控制台!K363/(控制台!O363*60)),"")</f>
        <v>158</v>
      </c>
      <c r="L266" s="1">
        <f ca="1">IFERROR(_xlfn.FLOOR.MATH($F266*控制台!L363/(控制台!P363*60)),"")</f>
        <v>118</v>
      </c>
      <c r="M266" s="1">
        <f ca="1">IFERROR(_xlfn.FLOOR.MATH($F266*控制台!M363/(控制台!Q363*60)),"")</f>
        <v>90</v>
      </c>
      <c r="N266" s="1">
        <f ca="1">IFERROR(_xlfn.FLOOR.MATH($F266*控制台!N363/(控制台!R363*60)),"")</f>
        <v>79</v>
      </c>
      <c r="O266" s="4" t="str">
        <f ca="1">控制台!W363</f>
        <v>board;cement;steel;pitch</v>
      </c>
      <c r="P266" s="4" t="str">
        <f ca="1" t="shared" si="19"/>
        <v>158;118;90;79</v>
      </c>
      <c r="Q266" s="4">
        <f>_xlfn.FLOOR.MATH(K31/控制台!$H$291*控制台!$G$289,5)</f>
        <v>75600</v>
      </c>
      <c r="R266" s="4">
        <f>_xlfn.FLOOR.MATH(O31/控制台!$H$291*控制台!$G$289,5)</f>
        <v>76650</v>
      </c>
      <c r="S266" s="1" t="s">
        <v>2696</v>
      </c>
      <c r="T266" s="1" t="s">
        <v>2724</v>
      </c>
      <c r="U266" s="1">
        <f ca="1" t="shared" si="17"/>
        <v>1</v>
      </c>
    </row>
    <row r="267" spans="1:21">
      <c r="A267" s="1">
        <v>26</v>
      </c>
      <c r="B267" s="1" t="s">
        <v>793</v>
      </c>
      <c r="C267" s="1">
        <f>_xlfn.FLOOR.MATH(D33/控制台!$H$291*控制台!$G$289)</f>
        <v>18000000</v>
      </c>
      <c r="D267" s="1">
        <f>_xlfn.FLOOR.MATH(E33/控制台!$H$291*控制台!$G$289)</f>
        <v>21600000</v>
      </c>
      <c r="E267" s="1">
        <f>_xlfn.FLOOR.MATH(F33/控制台!$H$291*控制台!$G$289)</f>
        <v>14400000</v>
      </c>
      <c r="F267" s="1">
        <f ca="1">_xlfn.FLOOR.MATH(J33*60/控制台!$H$291*控制台!$G$289)</f>
        <v>1285632</v>
      </c>
      <c r="G267" s="1">
        <f>IFERROR(_xlfn.FLOOR.MATH(C267,POWER(10,MAX(0,INT(LOG10(C267)-2)))),"")</f>
        <v>18000000</v>
      </c>
      <c r="H267" s="1">
        <f>IFERROR(_xlfn.FLOOR.MATH(D267,POWER(10,MAX(0,INT(LOG10(D267)-2)))),"")</f>
        <v>21600000</v>
      </c>
      <c r="I267" s="1">
        <f>IFERROR(_xlfn.FLOOR.MATH(E267,POWER(10,MAX(0,INT(LOG10(E267)-2)))),"")</f>
        <v>14400000</v>
      </c>
      <c r="J267" s="4" t="str">
        <f t="shared" si="18"/>
        <v>18000000;21600000;14400000</v>
      </c>
      <c r="K267" s="1">
        <f ca="1">IFERROR(_xlfn.FLOOR.MATH($F267*控制台!K364/(控制台!O364*60)),"")</f>
        <v>295</v>
      </c>
      <c r="L267" s="1">
        <f ca="1">IFERROR(_xlfn.FLOOR.MATH($F267*控制台!L364/(控制台!P364*60)),"")</f>
        <v>253</v>
      </c>
      <c r="M267" s="1">
        <f ca="1">IFERROR(_xlfn.FLOOR.MATH($F267*控制台!M364/(控制台!Q364*60)),"")</f>
        <v>192</v>
      </c>
      <c r="N267" s="1">
        <f ca="1">IFERROR(_xlfn.FLOOR.MATH($F267*控制台!N364/(控制台!R364*60)),"")</f>
        <v>168</v>
      </c>
      <c r="O267" s="4" t="str">
        <f ca="1">控制台!W364</f>
        <v>brick;cement;steel;pitch</v>
      </c>
      <c r="P267" s="4" t="str">
        <f ca="1" t="shared" si="19"/>
        <v>295;253;192;168</v>
      </c>
      <c r="Q267" s="4">
        <f>_xlfn.FLOOR.MATH(K32/控制台!$H$291*控制台!$G$289,5)</f>
        <v>86400</v>
      </c>
      <c r="R267" s="4">
        <f>_xlfn.FLOOR.MATH(O32/控制台!$H$291*控制台!$G$289,5)</f>
        <v>99900</v>
      </c>
      <c r="S267" s="1" t="s">
        <v>2691</v>
      </c>
      <c r="T267" s="1" t="s">
        <v>2748</v>
      </c>
      <c r="U267" s="1">
        <f ca="1" t="shared" si="17"/>
        <v>1</v>
      </c>
    </row>
    <row r="268" spans="1:21">
      <c r="A268" s="1">
        <v>27</v>
      </c>
      <c r="B268" s="1" t="s">
        <v>793</v>
      </c>
      <c r="C268" s="1">
        <f>_xlfn.FLOOR.MATH(D34/控制台!$H$291*控制台!$G$289)</f>
        <v>22500000</v>
      </c>
      <c r="D268" s="1">
        <f>_xlfn.FLOOR.MATH(E34/控制台!$H$291*控制台!$G$289)</f>
        <v>27000000</v>
      </c>
      <c r="E268" s="1">
        <f>_xlfn.FLOOR.MATH(F34/控制台!$H$291*控制台!$G$289)</f>
        <v>18000000</v>
      </c>
      <c r="F268" s="1">
        <f ca="1">_xlfn.FLOOR.MATH(J34*60/控制台!$H$291*控制台!$G$289)</f>
        <v>2239488</v>
      </c>
      <c r="G268" s="1">
        <f>IFERROR(_xlfn.FLOOR.MATH(C268,POWER(10,MAX(0,INT(LOG10(C268)-2)))),"")</f>
        <v>22500000</v>
      </c>
      <c r="H268" s="1">
        <f>IFERROR(_xlfn.FLOOR.MATH(D268,POWER(10,MAX(0,INT(LOG10(D268)-2)))),"")</f>
        <v>27000000</v>
      </c>
      <c r="I268" s="1">
        <f>IFERROR(_xlfn.FLOOR.MATH(E268,POWER(10,MAX(0,INT(LOG10(E268)-2)))),"")</f>
        <v>18000000</v>
      </c>
      <c r="J268" s="4" t="str">
        <f t="shared" si="18"/>
        <v>22500000;27000000;18000000</v>
      </c>
      <c r="K268" s="1">
        <f ca="1">IFERROR(_xlfn.FLOOR.MATH($F268*控制台!K365/(控制台!O365*60)),"")</f>
        <v>254</v>
      </c>
      <c r="L268" s="1">
        <f ca="1">IFERROR(_xlfn.FLOOR.MATH($F268*控制台!L365/(控制台!P365*60)),"")</f>
        <v>193</v>
      </c>
      <c r="M268" s="1">
        <f ca="1">IFERROR(_xlfn.FLOOR.MATH($F268*控制台!M365/(控制台!Q365*60)),"")</f>
        <v>169</v>
      </c>
      <c r="N268" s="1">
        <f ca="1">IFERROR(_xlfn.FLOOR.MATH($F268*控制台!N365/(控制台!R365*60)),"")</f>
        <v>154</v>
      </c>
      <c r="O268" s="4" t="str">
        <f ca="1">控制台!W365</f>
        <v>cement;steel;pitch;concrete</v>
      </c>
      <c r="P268" s="4" t="str">
        <f ca="1" t="shared" si="19"/>
        <v>254;193;169;154</v>
      </c>
      <c r="Q268" s="4">
        <f>_xlfn.FLOOR.MATH(K33/控制台!$H$291*控制台!$G$289,5)</f>
        <v>216000</v>
      </c>
      <c r="R268" s="4">
        <f>_xlfn.FLOOR.MATH(O33/控制台!$H$291*控制台!$G$289,5)</f>
        <v>148650</v>
      </c>
      <c r="S268" s="1" t="s">
        <v>2701</v>
      </c>
      <c r="T268" s="1" t="s">
        <v>2749</v>
      </c>
      <c r="U268" s="1">
        <f ca="1" t="shared" si="17"/>
        <v>1</v>
      </c>
    </row>
    <row r="269" spans="1:21">
      <c r="A269" s="1">
        <v>28</v>
      </c>
      <c r="B269" s="1" t="s">
        <v>793</v>
      </c>
      <c r="C269" s="1">
        <f>_xlfn.FLOOR.MATH(D35/控制台!$H$291*控制台!$G$289)</f>
        <v>42750000</v>
      </c>
      <c r="D269" s="1">
        <f>_xlfn.FLOOR.MATH(E35/控制台!$H$291*控制台!$G$289)</f>
        <v>51300000</v>
      </c>
      <c r="E269" s="1">
        <f>_xlfn.FLOOR.MATH(F35/控制台!$H$291*控制台!$G$289)</f>
        <v>34200000</v>
      </c>
      <c r="F269" s="1">
        <f ca="1">_xlfn.FLOOR.MATH(J35*60/控制台!$H$291*控制台!$G$289)</f>
        <v>3644352</v>
      </c>
      <c r="G269" s="1">
        <f>IFERROR(_xlfn.FLOOR.MATH(C269,POWER(10,MAX(0,INT(LOG10(C269)-2)))),"")</f>
        <v>42700000</v>
      </c>
      <c r="H269" s="1">
        <f>IFERROR(_xlfn.FLOOR.MATH(D269,POWER(10,MAX(0,INT(LOG10(D269)-2)))),"")</f>
        <v>51300000</v>
      </c>
      <c r="I269" s="1">
        <f>IFERROR(_xlfn.FLOOR.MATH(E269,POWER(10,MAX(0,INT(LOG10(E269)-2)))),"")</f>
        <v>34200000</v>
      </c>
      <c r="J269" s="4" t="str">
        <f t="shared" si="18"/>
        <v>42700000;51300000;34200000</v>
      </c>
      <c r="K269" s="1">
        <f ca="1">IFERROR(_xlfn.FLOOR.MATH($F269*控制台!K366/(控制台!O366*60)),"")</f>
        <v>600</v>
      </c>
      <c r="L269" s="1">
        <f ca="1">IFERROR(_xlfn.FLOOR.MATH($F269*控制台!L366/(控制台!P366*60)),"")</f>
        <v>514</v>
      </c>
      <c r="M269" s="1">
        <f ca="1">IFERROR(_xlfn.FLOOR.MATH($F269*控制台!M366/(控制台!Q366*60)),"")</f>
        <v>392</v>
      </c>
      <c r="N269" s="1">
        <f ca="1">IFERROR(_xlfn.FLOOR.MATH($F269*控制台!N366/(控制台!R366*60)),"")</f>
        <v>311</v>
      </c>
      <c r="O269" s="4" t="str">
        <f ca="1">控制台!W366</f>
        <v>brick;cement;steel;concrete</v>
      </c>
      <c r="P269" s="4" t="str">
        <f ca="1" t="shared" si="19"/>
        <v>600;514;392;311</v>
      </c>
      <c r="Q269" s="4">
        <f>_xlfn.FLOOR.MATH(K34/控制台!$H$291*控制台!$G$289,5)</f>
        <v>270000</v>
      </c>
      <c r="R269" s="4">
        <f>_xlfn.FLOOR.MATH(O34/控制台!$H$291*控制台!$G$289,5)</f>
        <v>218965</v>
      </c>
      <c r="S269" s="1" t="s">
        <v>2703</v>
      </c>
      <c r="T269" s="1" t="s">
        <v>2750</v>
      </c>
      <c r="U269" s="1">
        <f ca="1" t="shared" si="17"/>
        <v>1</v>
      </c>
    </row>
    <row r="270" spans="1:21">
      <c r="A270" s="1">
        <v>29</v>
      </c>
      <c r="B270" s="1" t="s">
        <v>793</v>
      </c>
      <c r="C270" s="1">
        <f>_xlfn.FLOOR.MATH(D36/控制台!$H$291*控制台!$G$289)</f>
        <v>43200000</v>
      </c>
      <c r="D270" s="1">
        <f>_xlfn.FLOOR.MATH(E36/控制台!$H$291*控制台!$G$289)</f>
        <v>51840000</v>
      </c>
      <c r="E270" s="1">
        <f>_xlfn.FLOOR.MATH(F36/控制台!$H$291*控制台!$G$289)</f>
        <v>34560000</v>
      </c>
      <c r="F270" s="1">
        <f ca="1">_xlfn.FLOOR.MATH(J36*60/控制台!$H$291*控制台!$G$289)</f>
        <v>3721075</v>
      </c>
      <c r="G270" s="1">
        <f>IFERROR(_xlfn.FLOOR.MATH(C270,POWER(10,MAX(0,INT(LOG10(C270)-2)))),"")</f>
        <v>43200000</v>
      </c>
      <c r="H270" s="1">
        <f>IFERROR(_xlfn.FLOOR.MATH(D270,POWER(10,MAX(0,INT(LOG10(D270)-2)))),"")</f>
        <v>51800000</v>
      </c>
      <c r="I270" s="1">
        <f>IFERROR(_xlfn.FLOOR.MATH(E270,POWER(10,MAX(0,INT(LOG10(E270)-2)))),"")</f>
        <v>34500000</v>
      </c>
      <c r="J270" s="4" t="str">
        <f t="shared" si="18"/>
        <v>43200000;51800000;34500000</v>
      </c>
      <c r="K270" s="1">
        <f ca="1">IFERROR(_xlfn.FLOOR.MATH($F270*控制台!K367/(控制台!O367*60)),"")</f>
        <v>681</v>
      </c>
      <c r="L270" s="1">
        <f ca="1">IFERROR(_xlfn.FLOOR.MATH($F270*控制台!L367/(控制台!P367*60)),"")</f>
        <v>511</v>
      </c>
      <c r="M270" s="1">
        <f ca="1">IFERROR(_xlfn.FLOOR.MATH($F270*控制台!M367/(控制台!Q367*60)),"")</f>
        <v>340</v>
      </c>
      <c r="N270" s="1">
        <f ca="1">IFERROR(_xlfn.FLOOR.MATH($F270*控制台!N367/(控制台!R367*60)),"")</f>
        <v>309</v>
      </c>
      <c r="O270" s="4" t="str">
        <f ca="1">控制台!W367</f>
        <v>board;cement;pitch;concrete</v>
      </c>
      <c r="P270" s="4" t="str">
        <f ca="1" t="shared" si="19"/>
        <v>681;511;340;309</v>
      </c>
      <c r="Q270" s="4">
        <f>_xlfn.FLOOR.MATH(K35/控制台!$H$291*控制台!$G$289,5)</f>
        <v>513000</v>
      </c>
      <c r="R270" s="4">
        <f>_xlfn.FLOOR.MATH(O35/控制台!$H$291*控制台!$G$289,5)</f>
        <v>334745</v>
      </c>
      <c r="S270" s="1" t="s">
        <v>2705</v>
      </c>
      <c r="T270" s="1" t="s">
        <v>2751</v>
      </c>
      <c r="U270" s="1">
        <f ca="1" t="shared" si="17"/>
        <v>1</v>
      </c>
    </row>
    <row r="271" spans="1:21">
      <c r="A271" s="1">
        <v>30</v>
      </c>
      <c r="B271" s="1" t="s">
        <v>793</v>
      </c>
      <c r="C271" s="1">
        <f>_xlfn.FLOOR.MATH(D37/控制台!$H$291*控制台!$G$289)</f>
        <v>44100000</v>
      </c>
      <c r="D271" s="1">
        <f>_xlfn.FLOOR.MATH(E37/控制台!$H$291*控制台!$G$289)</f>
        <v>52920000</v>
      </c>
      <c r="E271" s="1">
        <f>_xlfn.FLOOR.MATH(F37/控制台!$H$291*控制台!$G$289)</f>
        <v>35280000</v>
      </c>
      <c r="F271" s="1">
        <f ca="1">_xlfn.FLOOR.MATH(J37*60/控制台!$H$291*控制台!$G$289)</f>
        <v>3797798</v>
      </c>
      <c r="G271" s="1">
        <f>IFERROR(_xlfn.FLOOR.MATH(C271,POWER(10,MAX(0,INT(LOG10(C271)-2)))),"")</f>
        <v>44100000</v>
      </c>
      <c r="H271" s="1">
        <f>IFERROR(_xlfn.FLOOR.MATH(D271,POWER(10,MAX(0,INT(LOG10(D271)-2)))),"")</f>
        <v>52900000</v>
      </c>
      <c r="I271" s="1">
        <f>IFERROR(_xlfn.FLOOR.MATH(E271,POWER(10,MAX(0,INT(LOG10(E271)-2)))),"")</f>
        <v>35200000</v>
      </c>
      <c r="J271" s="4" t="str">
        <f t="shared" si="18"/>
        <v>44100000;52900000;35200000</v>
      </c>
      <c r="K271" s="1">
        <f ca="1">IFERROR(_xlfn.FLOOR.MATH($F271*控制台!K368/(控制台!O368*60)),"")</f>
        <v>562</v>
      </c>
      <c r="L271" s="1">
        <f ca="1">IFERROR(_xlfn.FLOOR.MATH($F271*控制台!L368/(控制台!P368*60)),"")</f>
        <v>367</v>
      </c>
      <c r="M271" s="1">
        <f ca="1">IFERROR(_xlfn.FLOOR.MATH($F271*控制台!M368/(控制台!Q368*60)),"")</f>
        <v>321</v>
      </c>
      <c r="N271" s="1">
        <f ca="1">IFERROR(_xlfn.FLOOR.MATH($F271*控制台!N368/(控制台!R368*60)),"")</f>
        <v>292</v>
      </c>
      <c r="O271" s="4" t="str">
        <f ca="1">控制台!W368</f>
        <v>brick;steel;pitch;concrete</v>
      </c>
      <c r="P271" s="4" t="str">
        <f ca="1" t="shared" si="19"/>
        <v>562;367;321;292</v>
      </c>
      <c r="Q271" s="4">
        <f>_xlfn.FLOOR.MATH(K36/控制台!$H$291*控制台!$G$289,5)</f>
        <v>518400</v>
      </c>
      <c r="R271" s="4">
        <f>_xlfn.FLOOR.MATH(O36/控制台!$H$291*控制台!$G$289,5)</f>
        <v>452685</v>
      </c>
      <c r="S271" s="1" t="s">
        <v>2707</v>
      </c>
      <c r="T271" s="1" t="s">
        <v>2752</v>
      </c>
      <c r="U271" s="1">
        <f ca="1" t="shared" si="17"/>
        <v>1</v>
      </c>
    </row>
    <row r="272" spans="1:21">
      <c r="A272" s="1">
        <v>31</v>
      </c>
      <c r="B272" s="1" t="s">
        <v>793</v>
      </c>
      <c r="C272" s="1">
        <f>_xlfn.FLOOR.MATH(D38/控制台!$H$291*控制台!$G$289)</f>
        <v>45000000</v>
      </c>
      <c r="D272" s="1">
        <f>_xlfn.FLOOR.MATH(E38/控制台!$H$291*控制台!$G$289)</f>
        <v>54000000</v>
      </c>
      <c r="E272" s="1">
        <f>_xlfn.FLOOR.MATH(F38/控制台!$H$291*控制台!$G$289)</f>
        <v>36000000</v>
      </c>
      <c r="F272" s="1">
        <f ca="1">_xlfn.FLOOR.MATH(J38*60/控制台!$H$291*控制台!$G$289)</f>
        <v>3939840</v>
      </c>
      <c r="G272" s="1">
        <f>IFERROR(_xlfn.FLOOR.MATH(C272,POWER(10,MAX(0,INT(LOG10(C272)-2)))),"")</f>
        <v>45000000</v>
      </c>
      <c r="H272" s="1">
        <f>IFERROR(_xlfn.FLOOR.MATH(D272,POWER(10,MAX(0,INT(LOG10(D272)-2)))),"")</f>
        <v>54000000</v>
      </c>
      <c r="I272" s="1">
        <f>IFERROR(_xlfn.FLOOR.MATH(E272,POWER(10,MAX(0,INT(LOG10(E272)-2)))),"")</f>
        <v>36000000</v>
      </c>
      <c r="J272" s="4" t="str">
        <f t="shared" si="18"/>
        <v>45000000;54000000;36000000</v>
      </c>
      <c r="K272" s="1">
        <f ca="1">IFERROR(_xlfn.FLOOR.MATH($F272*控制台!K369/(控制台!O369*60)),"")</f>
        <v>447</v>
      </c>
      <c r="L272" s="1">
        <f ca="1">IFERROR(_xlfn.FLOOR.MATH($F272*控制台!L369/(控制台!P369*60)),"")</f>
        <v>341</v>
      </c>
      <c r="M272" s="1">
        <f ca="1">IFERROR(_xlfn.FLOOR.MATH($F272*控制台!M369/(控制台!Q369*60)),"")</f>
        <v>298</v>
      </c>
      <c r="N272" s="1">
        <f ca="1">IFERROR(_xlfn.FLOOR.MATH($F272*控制台!N369/(控制台!R369*60)),"")</f>
        <v>271</v>
      </c>
      <c r="O272" s="4" t="str">
        <f ca="1">控制台!W369</f>
        <v>cement;steel;pitch;concrete</v>
      </c>
      <c r="P272" s="4" t="str">
        <f ca="1" t="shared" si="19"/>
        <v>447;341;298;271</v>
      </c>
      <c r="Q272" s="4">
        <f>_xlfn.FLOOR.MATH(K37/控制台!$H$291*控制台!$G$289,5)</f>
        <v>529200</v>
      </c>
      <c r="R272" s="4">
        <f>_xlfn.FLOOR.MATH(O37/控制台!$H$291*控制台!$G$289,5)</f>
        <v>573060</v>
      </c>
      <c r="S272" s="1" t="s">
        <v>2701</v>
      </c>
      <c r="T272" s="1" t="s">
        <v>2753</v>
      </c>
      <c r="U272" s="1">
        <f ca="1" t="shared" si="17"/>
        <v>1</v>
      </c>
    </row>
    <row r="273" spans="1:21">
      <c r="A273" s="1">
        <v>32</v>
      </c>
      <c r="B273" s="1" t="s">
        <v>793</v>
      </c>
      <c r="G273" s="1" t="str">
        <f>IFERROR(_xlfn.FLOOR.MATH(C273,POWER(10,MAX(0,INT(LOG10(C273)-2)))),"")</f>
        <v/>
      </c>
      <c r="H273" s="1" t="str">
        <f>IFERROR(_xlfn.FLOOR.MATH(D273,POWER(10,MAX(0,INT(LOG10(D273)-2)))),"")</f>
        <v/>
      </c>
      <c r="I273" s="1" t="str">
        <f>IFERROR(_xlfn.FLOOR.MATH(E273,POWER(10,MAX(0,INT(LOG10(E273)-2)))),"")</f>
        <v/>
      </c>
      <c r="J273" s="4" t="str">
        <f t="shared" si="18"/>
        <v/>
      </c>
      <c r="K273" s="5"/>
      <c r="O273" s="4"/>
      <c r="P273" s="4" t="str">
        <f t="shared" si="19"/>
        <v/>
      </c>
      <c r="Q273" s="4">
        <f>_xlfn.FLOOR.MATH(K38/控制台!$H$291*控制台!$G$289,5)</f>
        <v>540000</v>
      </c>
      <c r="R273" s="4">
        <f>_xlfn.FLOOR.MATH(O38/控制台!$H$291*控制台!$G$289,5)</f>
        <v>694935</v>
      </c>
      <c r="U273" s="1">
        <f t="shared" si="17"/>
        <v>1</v>
      </c>
    </row>
    <row r="274" spans="1:21">
      <c r="A274" s="1">
        <v>0</v>
      </c>
      <c r="B274" s="1" t="s">
        <v>173</v>
      </c>
      <c r="C274" s="1">
        <f>_xlfn.FLOOR.MATH(D7/控制台!$H$291*控制台!$F$289)</f>
        <v>1350</v>
      </c>
      <c r="D274" s="1">
        <f>_xlfn.FLOOR.MATH(E7/控制台!$H$291*控制台!$F$289)</f>
        <v>1620</v>
      </c>
      <c r="E274" s="1">
        <f>_xlfn.FLOOR.MATH(F7/控制台!$H$291*控制台!$F$289)</f>
        <v>1080</v>
      </c>
      <c r="F274" s="1">
        <f ca="1">_xlfn.FLOOR.MATH(J7*60/控制台!$H$291*控制台!$F$289)</f>
        <v>207</v>
      </c>
      <c r="G274" s="1">
        <f>IFERROR(_xlfn.FLOOR.MATH(C274,POWER(10,MAX(0,INT(LOG10(C274)-2)))),"")</f>
        <v>1350</v>
      </c>
      <c r="H274" s="1">
        <f>IFERROR(_xlfn.FLOOR.MATH(D274,POWER(10,MAX(0,INT(LOG10(D274)-2)))),"")</f>
        <v>1620</v>
      </c>
      <c r="I274" s="1">
        <f>IFERROR(_xlfn.FLOOR.MATH(E274,POWER(10,MAX(0,INT(LOG10(E274)-2)))),"")</f>
        <v>1080</v>
      </c>
      <c r="J274" s="4" t="str">
        <f t="shared" ref="J274:J306" si="20">IF(G274="","",IF(H274="",G274,IF(I274="",CONCATENATE(G274,";",H274),CONCATENATE(G274,";",H274,";",I274))))</f>
        <v>1350;1620;1080</v>
      </c>
      <c r="K274" s="1">
        <f ca="1">IFERROR(_xlfn.FLOOR.MATH($F274*控制台!K338/(控制台!O338*60)),"")</f>
        <v>3</v>
      </c>
      <c r="L274" s="1" t="str">
        <f ca="1">IFERROR(_xlfn.FLOOR.MATH($F274*控制台!L338/(控制台!P338*60)),"")</f>
        <v/>
      </c>
      <c r="M274" s="1" t="str">
        <f ca="1">IFERROR(_xlfn.FLOOR.MATH($F274*控制台!M338/(控制台!Q338*60)),"")</f>
        <v/>
      </c>
      <c r="N274" s="1" t="str">
        <f ca="1">IFERROR(_xlfn.FLOOR.MATH($F274*控制台!N338/(控制台!R338*60)),"")</f>
        <v/>
      </c>
      <c r="O274" s="6" t="s">
        <v>147</v>
      </c>
      <c r="P274" s="6">
        <v>1</v>
      </c>
      <c r="Q274" s="6">
        <v>0</v>
      </c>
      <c r="R274" s="4">
        <f>_xlfn.FLOOR.MATH(O6/控制台!$H$291*控制台!$F$289,5)</f>
        <v>0</v>
      </c>
      <c r="S274" s="1" t="s">
        <v>147</v>
      </c>
      <c r="T274" s="1">
        <v>1</v>
      </c>
      <c r="U274" s="1">
        <f t="shared" si="17"/>
        <v>1</v>
      </c>
    </row>
    <row r="275" spans="1:21">
      <c r="A275" s="1">
        <v>1</v>
      </c>
      <c r="B275" s="1" t="s">
        <v>173</v>
      </c>
      <c r="C275" s="1">
        <f>_xlfn.FLOOR.MATH(D8/控制台!$H$291*控制台!$F$289)</f>
        <v>2700</v>
      </c>
      <c r="D275" s="1">
        <f>_xlfn.FLOOR.MATH(E8/控制台!$H$291*控制台!$F$289)</f>
        <v>3240</v>
      </c>
      <c r="E275" s="1">
        <f>_xlfn.FLOOR.MATH(F8/控制台!$H$291*控制台!$F$289)</f>
        <v>2160</v>
      </c>
      <c r="F275" s="1">
        <f ca="1">_xlfn.FLOOR.MATH(J8*60/控制台!$H$291*控制台!$F$289)</f>
        <v>414</v>
      </c>
      <c r="G275" s="1">
        <f>IFERROR(_xlfn.FLOOR.MATH(C275,POWER(10,MAX(0,INT(LOG10(C275)-2)))),"")</f>
        <v>2700</v>
      </c>
      <c r="H275" s="1">
        <f>IFERROR(_xlfn.FLOOR.MATH(D275,POWER(10,MAX(0,INT(LOG10(D275)-2)))),"")</f>
        <v>3240</v>
      </c>
      <c r="I275" s="1">
        <f>IFERROR(_xlfn.FLOOR.MATH(E275,POWER(10,MAX(0,INT(LOG10(E275)-2)))),"")</f>
        <v>2160</v>
      </c>
      <c r="J275" s="4" t="str">
        <f t="shared" si="20"/>
        <v>2700;3240;2160</v>
      </c>
      <c r="K275" s="1">
        <f ca="1">IFERROR(_xlfn.FLOOR.MATH($F275*控制台!K339/(控制台!O339*60)),"")</f>
        <v>6</v>
      </c>
      <c r="L275" s="1" t="str">
        <f ca="1">IFERROR(_xlfn.FLOOR.MATH($F275*控制台!L339/(控制台!P339*60)),"")</f>
        <v/>
      </c>
      <c r="M275" s="1" t="str">
        <f ca="1">IFERROR(_xlfn.FLOOR.MATH($F275*控制台!M339/(控制台!Q339*60)),"")</f>
        <v/>
      </c>
      <c r="N275" s="1" t="str">
        <f ca="1">IFERROR(_xlfn.FLOOR.MATH($F275*控制台!N339/(控制台!R339*60)),"")</f>
        <v/>
      </c>
      <c r="O275" s="6" t="s">
        <v>144</v>
      </c>
      <c r="P275" s="6" t="s">
        <v>174</v>
      </c>
      <c r="Q275" s="6">
        <v>15</v>
      </c>
      <c r="R275" s="4">
        <f>_xlfn.FLOOR.MATH(O7/控制台!$H$291*控制台!$F$289,5)</f>
        <v>10</v>
      </c>
      <c r="S275" s="1" t="s">
        <v>144</v>
      </c>
      <c r="T275" s="1" t="s">
        <v>174</v>
      </c>
      <c r="U275" s="1">
        <f t="shared" si="17"/>
        <v>1</v>
      </c>
    </row>
    <row r="276" spans="1:21">
      <c r="A276" s="1">
        <v>2</v>
      </c>
      <c r="B276" s="1" t="s">
        <v>173</v>
      </c>
      <c r="C276" s="1">
        <f>_xlfn.FLOOR.MATH(D9/控制台!$H$291*控制台!$F$289)</f>
        <v>4050</v>
      </c>
      <c r="D276" s="1">
        <f>_xlfn.FLOOR.MATH(E9/控制台!$H$291*控制台!$F$289)</f>
        <v>4860</v>
      </c>
      <c r="E276" s="1">
        <f>_xlfn.FLOOR.MATH(F9/控制台!$H$291*控制台!$F$289)</f>
        <v>3240</v>
      </c>
      <c r="F276" s="1">
        <f ca="1">_xlfn.FLOOR.MATH(J9*60/控制台!$H$291*控制台!$F$289)</f>
        <v>622</v>
      </c>
      <c r="G276" s="1">
        <f>IFERROR(_xlfn.FLOOR.MATH(C276,POWER(10,MAX(0,INT(LOG10(C276)-2)))),"")</f>
        <v>4050</v>
      </c>
      <c r="H276" s="1">
        <f>IFERROR(_xlfn.FLOOR.MATH(D276,POWER(10,MAX(0,INT(LOG10(D276)-2)))),"")</f>
        <v>4860</v>
      </c>
      <c r="I276" s="1">
        <f>IFERROR(_xlfn.FLOOR.MATH(E276,POWER(10,MAX(0,INT(LOG10(E276)-2)))),"")</f>
        <v>3240</v>
      </c>
      <c r="J276" s="4" t="str">
        <f t="shared" si="20"/>
        <v>4050;4860;3240</v>
      </c>
      <c r="K276" s="1">
        <f ca="1">IFERROR(_xlfn.FLOOR.MATH($F276*控制台!K340/(控制台!O340*60)),"")</f>
        <v>2</v>
      </c>
      <c r="L276" s="1">
        <f ca="1">IFERROR(_xlfn.FLOOR.MATH($F276*控制台!L340/(控制台!P340*60)),"")</f>
        <v>2</v>
      </c>
      <c r="M276" s="1" t="str">
        <f ca="1">IFERROR(_xlfn.FLOOR.MATH($F276*控制台!M340/(控制台!Q340*60)),"")</f>
        <v/>
      </c>
      <c r="N276" s="1" t="str">
        <f ca="1">IFERROR(_xlfn.FLOOR.MATH($F276*控制台!N340/(控制台!R340*60)),"")</f>
        <v/>
      </c>
      <c r="O276" s="6" t="s">
        <v>152</v>
      </c>
      <c r="P276" s="6" t="s">
        <v>160</v>
      </c>
      <c r="Q276" s="6">
        <v>30</v>
      </c>
      <c r="R276" s="4">
        <f>_xlfn.FLOOR.MATH(O8/控制台!$H$291*控制台!$F$289,5)</f>
        <v>30</v>
      </c>
      <c r="S276" s="1" t="s">
        <v>152</v>
      </c>
      <c r="T276" s="1" t="s">
        <v>160</v>
      </c>
      <c r="U276" s="1">
        <f t="shared" si="17"/>
        <v>1</v>
      </c>
    </row>
    <row r="277" spans="1:21">
      <c r="A277" s="1">
        <v>3</v>
      </c>
      <c r="B277" s="1" t="s">
        <v>173</v>
      </c>
      <c r="C277" s="1">
        <f>_xlfn.FLOOR.MATH(D10/控制台!$H$291*控制台!$F$289)</f>
        <v>5400</v>
      </c>
      <c r="D277" s="1">
        <f>_xlfn.FLOOR.MATH(E10/控制台!$H$291*控制台!$F$289)</f>
        <v>6480</v>
      </c>
      <c r="E277" s="1">
        <f>_xlfn.FLOOR.MATH(F10/控制台!$H$291*控制台!$F$289)</f>
        <v>4320</v>
      </c>
      <c r="F277" s="1">
        <f ca="1">_xlfn.FLOOR.MATH(J10*60/控制台!$H$291*控制台!$F$289)</f>
        <v>1036</v>
      </c>
      <c r="G277" s="1">
        <f>IFERROR(_xlfn.FLOOR.MATH(C277,POWER(10,MAX(0,INT(LOG10(C277)-2)))),"")</f>
        <v>5400</v>
      </c>
      <c r="H277" s="1">
        <f>IFERROR(_xlfn.FLOOR.MATH(D277,POWER(10,MAX(0,INT(LOG10(D277)-2)))),"")</f>
        <v>6480</v>
      </c>
      <c r="I277" s="1">
        <f>IFERROR(_xlfn.FLOOR.MATH(E277,POWER(10,MAX(0,INT(LOG10(E277)-2)))),"")</f>
        <v>4320</v>
      </c>
      <c r="J277" s="4" t="str">
        <f t="shared" si="20"/>
        <v>5400;6480;4320</v>
      </c>
      <c r="K277" s="1">
        <f ca="1">IFERROR(_xlfn.FLOOR.MATH($F277*控制台!K341/(控制台!O341*60)),"")</f>
        <v>3</v>
      </c>
      <c r="L277" s="1">
        <f ca="1">IFERROR(_xlfn.FLOOR.MATH($F277*控制台!L341/(控制台!P341*60)),"")</f>
        <v>3</v>
      </c>
      <c r="M277" s="1" t="str">
        <f ca="1">IFERROR(_xlfn.FLOOR.MATH($F277*控制台!M341/(控制台!Q341*60)),"")</f>
        <v/>
      </c>
      <c r="N277" s="1" t="str">
        <f ca="1">IFERROR(_xlfn.FLOOR.MATH($F277*控制台!N341/(控制台!R341*60)),"")</f>
        <v/>
      </c>
      <c r="O277" s="6" t="s">
        <v>144</v>
      </c>
      <c r="P277" s="6" t="s">
        <v>177</v>
      </c>
      <c r="Q277" s="6">
        <v>45</v>
      </c>
      <c r="R277" s="4">
        <f>_xlfn.FLOOR.MATH(O9/控制台!$H$291*控制台!$F$289,5)</f>
        <v>60</v>
      </c>
      <c r="S277" s="1" t="s">
        <v>144</v>
      </c>
      <c r="T277" s="1" t="s">
        <v>177</v>
      </c>
      <c r="U277" s="1">
        <f t="shared" si="17"/>
        <v>1</v>
      </c>
    </row>
    <row r="278" spans="1:21">
      <c r="A278" s="1">
        <v>4</v>
      </c>
      <c r="B278" s="1" t="s">
        <v>173</v>
      </c>
      <c r="C278" s="1">
        <f>_xlfn.FLOOR.MATH(D11/控制台!$H$291*控制台!$F$289)</f>
        <v>9000</v>
      </c>
      <c r="D278" s="1">
        <f>_xlfn.FLOOR.MATH(E11/控制台!$H$291*控制台!$F$289)</f>
        <v>10800</v>
      </c>
      <c r="E278" s="1">
        <f>_xlfn.FLOOR.MATH(F11/控制台!$H$291*控制台!$F$289)</f>
        <v>7200</v>
      </c>
      <c r="F278" s="1">
        <f ca="1">_xlfn.FLOOR.MATH(J11*60/控制台!$H$291*控制台!$F$289)</f>
        <v>1658</v>
      </c>
      <c r="G278" s="1">
        <f>IFERROR(_xlfn.FLOOR.MATH(C278,POWER(10,MAX(0,INT(LOG10(C278)-2)))),"")</f>
        <v>9000</v>
      </c>
      <c r="H278" s="1">
        <f>IFERROR(_xlfn.FLOOR.MATH(D278,POWER(10,MAX(0,INT(LOG10(D278)-2)))),"")</f>
        <v>10800</v>
      </c>
      <c r="I278" s="1">
        <f>IFERROR(_xlfn.FLOOR.MATH(E278,POWER(10,MAX(0,INT(LOG10(E278)-2)))),"")</f>
        <v>7200</v>
      </c>
      <c r="J278" s="4" t="str">
        <f t="shared" si="20"/>
        <v>9000;10800;7200</v>
      </c>
      <c r="K278" s="1">
        <f ca="1">IFERROR(_xlfn.FLOOR.MATH($F278*控制台!K342/(控制台!O342*60)),"")</f>
        <v>6</v>
      </c>
      <c r="L278" s="1">
        <f ca="1">IFERROR(_xlfn.FLOOR.MATH($F278*控制台!L342/(控制台!P342*60)),"")</f>
        <v>5</v>
      </c>
      <c r="M278" s="1" t="str">
        <f ca="1">IFERROR(_xlfn.FLOOR.MATH($F278*控制台!M342/(控制台!Q342*60)),"")</f>
        <v/>
      </c>
      <c r="N278" s="1" t="str">
        <f ca="1">IFERROR(_xlfn.FLOOR.MATH($F278*控制台!N342/(控制台!R342*60)),"")</f>
        <v/>
      </c>
      <c r="O278" s="6" t="s">
        <v>152</v>
      </c>
      <c r="P278" s="6" t="s">
        <v>178</v>
      </c>
      <c r="Q278" s="6">
        <v>60</v>
      </c>
      <c r="R278" s="4">
        <f>_xlfn.FLOOR.MATH(O10/控制台!$H$291*控制台!$F$289,5)</f>
        <v>110</v>
      </c>
      <c r="S278" s="1" t="s">
        <v>152</v>
      </c>
      <c r="T278" s="1" t="s">
        <v>178</v>
      </c>
      <c r="U278" s="1">
        <f t="shared" si="17"/>
        <v>1</v>
      </c>
    </row>
    <row r="279" spans="1:21">
      <c r="A279" s="1">
        <v>5</v>
      </c>
      <c r="B279" s="1" t="s">
        <v>173</v>
      </c>
      <c r="C279" s="1">
        <f>_xlfn.FLOOR.MATH(D12/控制台!$H$291*控制台!$F$289)</f>
        <v>18000</v>
      </c>
      <c r="D279" s="1">
        <f>_xlfn.FLOOR.MATH(E12/控制台!$H$291*控制台!$F$289)</f>
        <v>21600</v>
      </c>
      <c r="E279" s="1">
        <f>_xlfn.FLOOR.MATH(F12/控制台!$H$291*控制台!$F$289)</f>
        <v>14400</v>
      </c>
      <c r="F279" s="1">
        <f ca="1">_xlfn.FLOOR.MATH(J12*60/控制台!$H$291*控制台!$F$289)</f>
        <v>3110</v>
      </c>
      <c r="G279" s="1">
        <f>IFERROR(_xlfn.FLOOR.MATH(C279,POWER(10,MAX(0,INT(LOG10(C279)-2)))),"")</f>
        <v>18000</v>
      </c>
      <c r="H279" s="1">
        <f>IFERROR(_xlfn.FLOOR.MATH(D279,POWER(10,MAX(0,INT(LOG10(D279)-2)))),"")</f>
        <v>21600</v>
      </c>
      <c r="I279" s="1">
        <f>IFERROR(_xlfn.FLOOR.MATH(E279,POWER(10,MAX(0,INT(LOG10(E279)-2)))),"")</f>
        <v>14400</v>
      </c>
      <c r="J279" s="4" t="str">
        <f t="shared" si="20"/>
        <v>18000;21600;14400</v>
      </c>
      <c r="K279" s="1">
        <f ca="1">IFERROR(_xlfn.FLOOR.MATH($F279*控制台!K343/(控制台!O343*60)),"")</f>
        <v>11</v>
      </c>
      <c r="L279" s="1">
        <f ca="1">IFERROR(_xlfn.FLOOR.MATH($F279*控制台!L343/(控制台!P343*60)),"")</f>
        <v>10</v>
      </c>
      <c r="M279" s="1" t="str">
        <f ca="1">IFERROR(_xlfn.FLOOR.MATH($F279*控制台!M343/(控制台!Q343*60)),"")</f>
        <v/>
      </c>
      <c r="N279" s="1" t="str">
        <f ca="1">IFERROR(_xlfn.FLOOR.MATH($F279*控制台!N343/(控制台!R343*60)),"")</f>
        <v/>
      </c>
      <c r="O279" s="6" t="s">
        <v>152</v>
      </c>
      <c r="P279" s="6" t="s">
        <v>179</v>
      </c>
      <c r="Q279" s="6">
        <v>105</v>
      </c>
      <c r="R279" s="4">
        <f>_xlfn.FLOOR.MATH(O11/控制台!$H$291*控制台!$F$289,5)</f>
        <v>190</v>
      </c>
      <c r="S279" s="1" t="s">
        <v>152</v>
      </c>
      <c r="T279" s="1" t="s">
        <v>179</v>
      </c>
      <c r="U279" s="1">
        <f t="shared" si="17"/>
        <v>1</v>
      </c>
    </row>
    <row r="280" spans="1:21">
      <c r="A280" s="1">
        <v>6</v>
      </c>
      <c r="B280" s="1" t="s">
        <v>173</v>
      </c>
      <c r="C280" s="1">
        <f>_xlfn.FLOOR.MATH(D13/控制台!$H$291*控制台!$F$289)</f>
        <v>27000</v>
      </c>
      <c r="D280" s="1">
        <f>_xlfn.FLOOR.MATH(E13/控制台!$H$291*控制台!$F$289)</f>
        <v>32400</v>
      </c>
      <c r="E280" s="1">
        <f>_xlfn.FLOOR.MATH(F13/控制台!$H$291*控制台!$F$289)</f>
        <v>21600</v>
      </c>
      <c r="F280" s="1">
        <f ca="1">_xlfn.FLOOR.MATH(J13*60/控制台!$H$291*控制台!$F$289)</f>
        <v>6220</v>
      </c>
      <c r="G280" s="1">
        <f>IFERROR(_xlfn.FLOOR.MATH(C280,POWER(10,MAX(0,INT(LOG10(C280)-2)))),"")</f>
        <v>27000</v>
      </c>
      <c r="H280" s="1">
        <f>IFERROR(_xlfn.FLOOR.MATH(D280,POWER(10,MAX(0,INT(LOG10(D280)-2)))),"")</f>
        <v>32400</v>
      </c>
      <c r="I280" s="1">
        <f>IFERROR(_xlfn.FLOOR.MATH(E280,POWER(10,MAX(0,INT(LOG10(E280)-2)))),"")</f>
        <v>21600</v>
      </c>
      <c r="J280" s="4" t="str">
        <f t="shared" si="20"/>
        <v>27000;32400;21600</v>
      </c>
      <c r="K280" s="1">
        <f ca="1">IFERROR(_xlfn.FLOOR.MATH($F280*控制台!K344/(控制台!O344*60)),"")</f>
        <v>5</v>
      </c>
      <c r="L280" s="1">
        <f ca="1">IFERROR(_xlfn.FLOOR.MATH($F280*控制台!L344/(控制台!P344*60)),"")</f>
        <v>4</v>
      </c>
      <c r="M280" s="1">
        <f ca="1">IFERROR(_xlfn.FLOOR.MATH($F280*控制台!M344/(控制台!Q344*60)),"")</f>
        <v>3</v>
      </c>
      <c r="N280" s="1" t="str">
        <f ca="1">IFERROR(_xlfn.FLOOR.MATH($F280*控制台!N344/(控制台!R344*60)),"")</f>
        <v/>
      </c>
      <c r="O280" s="4" t="str">
        <f ca="1">控制台!W344</f>
        <v>board;brick;cement</v>
      </c>
      <c r="P280" s="4" t="str">
        <f ca="1" t="shared" ref="P280:P306" si="21">IF(K280="","",IF(L280="",K280,IF(M280="",CONCATENATE(K280,";",L280),IF(N280="",CONCATENATE(K280,";",L280,";",M280),CONCATENATE(K280,";",L280,";",M280,";",N280)))))</f>
        <v>5;4;3</v>
      </c>
      <c r="Q280" s="4">
        <f>_xlfn.FLOOR.MATH(K12/控制台!$H$291*控制台!$F$289,5)</f>
        <v>215</v>
      </c>
      <c r="R280" s="4">
        <f>_xlfn.FLOOR.MATH(O12/控制台!$H$291*控制台!$F$289,5)</f>
        <v>340</v>
      </c>
      <c r="S280" s="1" t="s">
        <v>152</v>
      </c>
      <c r="T280" s="1" t="s">
        <v>179</v>
      </c>
      <c r="U280" s="1">
        <f ca="1" t="shared" si="17"/>
        <v>1</v>
      </c>
    </row>
    <row r="281" spans="1:21">
      <c r="A281" s="1">
        <v>7</v>
      </c>
      <c r="B281" s="1" t="s">
        <v>173</v>
      </c>
      <c r="C281" s="1">
        <f>_xlfn.FLOOR.MATH(D14/控制台!$H$291*控制台!$F$289)</f>
        <v>36000</v>
      </c>
      <c r="D281" s="1">
        <f>_xlfn.FLOOR.MATH(E14/控制台!$H$291*控制台!$F$289)</f>
        <v>43200</v>
      </c>
      <c r="E281" s="1">
        <f>_xlfn.FLOOR.MATH(F14/控制台!$H$291*控制台!$F$289)</f>
        <v>28800</v>
      </c>
      <c r="F281" s="1">
        <f ca="1">_xlfn.FLOOR.MATH(J14*60/控制台!$H$291*控制台!$F$289)</f>
        <v>8294</v>
      </c>
      <c r="G281" s="1">
        <f>IFERROR(_xlfn.FLOOR.MATH(C281,POWER(10,MAX(0,INT(LOG10(C281)-2)))),"")</f>
        <v>36000</v>
      </c>
      <c r="H281" s="1">
        <f>IFERROR(_xlfn.FLOOR.MATH(D281,POWER(10,MAX(0,INT(LOG10(D281)-2)))),"")</f>
        <v>43200</v>
      </c>
      <c r="I281" s="1">
        <f>IFERROR(_xlfn.FLOOR.MATH(E281,POWER(10,MAX(0,INT(LOG10(E281)-2)))),"")</f>
        <v>28800</v>
      </c>
      <c r="J281" s="4" t="str">
        <f t="shared" si="20"/>
        <v>36000;43200;28800</v>
      </c>
      <c r="K281" s="1">
        <f ca="1">IFERROR(_xlfn.FLOOR.MATH($F281*控制台!K345/(控制台!O345*60)),"")</f>
        <v>7</v>
      </c>
      <c r="L281" s="1">
        <f ca="1">IFERROR(_xlfn.FLOOR.MATH($F281*控制台!L345/(控制台!P345*60)),"")</f>
        <v>6</v>
      </c>
      <c r="M281" s="1">
        <f ca="1">IFERROR(_xlfn.FLOOR.MATH($F281*控制台!M345/(控制台!Q345*60)),"")</f>
        <v>5</v>
      </c>
      <c r="N281" s="1" t="str">
        <f ca="1">IFERROR(_xlfn.FLOOR.MATH($F281*控制台!N345/(控制台!R345*60)),"")</f>
        <v/>
      </c>
      <c r="O281" s="4" t="str">
        <f ca="1">控制台!W345</f>
        <v>board;brick;cement</v>
      </c>
      <c r="P281" s="4" t="str">
        <f ca="1" t="shared" si="21"/>
        <v>7;6;5</v>
      </c>
      <c r="Q281" s="4">
        <f>_xlfn.FLOOR.MATH(K13/控制台!$H$291*控制台!$F$289,5)</f>
        <v>320</v>
      </c>
      <c r="R281" s="4">
        <f>_xlfn.FLOOR.MATH(O13/控制台!$H$291*控制台!$F$289,5)</f>
        <v>640</v>
      </c>
      <c r="S281" s="1" t="s">
        <v>152</v>
      </c>
      <c r="T281" s="1" t="s">
        <v>184</v>
      </c>
      <c r="U281" s="1">
        <f ca="1" t="shared" si="17"/>
        <v>1</v>
      </c>
    </row>
    <row r="282" spans="1:21">
      <c r="A282" s="1">
        <v>8</v>
      </c>
      <c r="B282" s="1" t="s">
        <v>173</v>
      </c>
      <c r="C282" s="1">
        <f>_xlfn.FLOOR.MATH(D15/控制台!$H$291*控制台!$F$289)</f>
        <v>45000</v>
      </c>
      <c r="D282" s="1">
        <f>_xlfn.FLOOR.MATH(E15/控制台!$H$291*控制台!$F$289)</f>
        <v>54000</v>
      </c>
      <c r="E282" s="1">
        <f>_xlfn.FLOOR.MATH(F15/控制台!$H$291*控制台!$F$289)</f>
        <v>36000</v>
      </c>
      <c r="F282" s="1">
        <f ca="1">_xlfn.FLOOR.MATH(J15*60/控制台!$H$291*控制台!$F$289)</f>
        <v>10368</v>
      </c>
      <c r="G282" s="1">
        <f>IFERROR(_xlfn.FLOOR.MATH(C282,POWER(10,MAX(0,INT(LOG10(C282)-2)))),"")</f>
        <v>45000</v>
      </c>
      <c r="H282" s="1">
        <f>IFERROR(_xlfn.FLOOR.MATH(D282,POWER(10,MAX(0,INT(LOG10(D282)-2)))),"")</f>
        <v>54000</v>
      </c>
      <c r="I282" s="1">
        <f>IFERROR(_xlfn.FLOOR.MATH(E282,POWER(10,MAX(0,INT(LOG10(E282)-2)))),"")</f>
        <v>36000</v>
      </c>
      <c r="J282" s="4" t="str">
        <f t="shared" si="20"/>
        <v>45000;54000;36000</v>
      </c>
      <c r="K282" s="1">
        <f ca="1">IFERROR(_xlfn.FLOOR.MATH($F282*控制台!K346/(控制台!O346*60)),"")</f>
        <v>8</v>
      </c>
      <c r="L282" s="1">
        <f ca="1">IFERROR(_xlfn.FLOOR.MATH($F282*控制台!L346/(控制台!P346*60)),"")</f>
        <v>7</v>
      </c>
      <c r="M282" s="1">
        <f ca="1">IFERROR(_xlfn.FLOOR.MATH($F282*控制台!M346/(控制台!Q346*60)),"")</f>
        <v>6</v>
      </c>
      <c r="N282" s="1" t="str">
        <f ca="1">IFERROR(_xlfn.FLOOR.MATH($F282*控制台!N346/(控制台!R346*60)),"")</f>
        <v/>
      </c>
      <c r="O282" s="4" t="str">
        <f ca="1">控制台!W346</f>
        <v>board;brick;cement</v>
      </c>
      <c r="P282" s="4" t="str">
        <f ca="1" t="shared" si="21"/>
        <v>8;7;6</v>
      </c>
      <c r="Q282" s="4">
        <f>_xlfn.FLOOR.MATH(K14/控制台!$H$291*控制台!$F$289,5)</f>
        <v>430</v>
      </c>
      <c r="R282" s="4">
        <f>_xlfn.FLOOR.MATH(O14/控制台!$H$291*控制台!$F$289,5)</f>
        <v>1035</v>
      </c>
      <c r="S282" s="1" t="s">
        <v>152</v>
      </c>
      <c r="T282" s="1" t="s">
        <v>2734</v>
      </c>
      <c r="U282" s="1">
        <f ca="1" t="shared" si="17"/>
        <v>1</v>
      </c>
    </row>
    <row r="283" spans="1:21">
      <c r="A283" s="1">
        <v>9</v>
      </c>
      <c r="B283" s="1" t="s">
        <v>173</v>
      </c>
      <c r="C283" s="1">
        <f>_xlfn.FLOOR.MATH(D16/控制台!$H$291*控制台!$F$289)</f>
        <v>63000</v>
      </c>
      <c r="D283" s="1">
        <f>_xlfn.FLOOR.MATH(E16/控制台!$H$291*控制台!$F$289)</f>
        <v>75600</v>
      </c>
      <c r="E283" s="1">
        <f>_xlfn.FLOOR.MATH(F16/控制台!$H$291*控制台!$F$289)</f>
        <v>50400</v>
      </c>
      <c r="F283" s="1">
        <f ca="1">_xlfn.FLOOR.MATH(J16*60/控制台!$H$291*控制台!$F$289)</f>
        <v>12441</v>
      </c>
      <c r="G283" s="1">
        <f>IFERROR(_xlfn.FLOOR.MATH(C283,POWER(10,MAX(0,INT(LOG10(C283)-2)))),"")</f>
        <v>63000</v>
      </c>
      <c r="H283" s="1">
        <f>IFERROR(_xlfn.FLOOR.MATH(D283,POWER(10,MAX(0,INT(LOG10(D283)-2)))),"")</f>
        <v>75600</v>
      </c>
      <c r="I283" s="1">
        <f>IFERROR(_xlfn.FLOOR.MATH(E283,POWER(10,MAX(0,INT(LOG10(E283)-2)))),"")</f>
        <v>50400</v>
      </c>
      <c r="J283" s="4" t="str">
        <f t="shared" si="20"/>
        <v>63000;75600;50400</v>
      </c>
      <c r="K283" s="1">
        <f ca="1">IFERROR(_xlfn.FLOOR.MATH($F283*控制台!K347/(控制台!O347*60)),"")</f>
        <v>10</v>
      </c>
      <c r="L283" s="1">
        <f ca="1">IFERROR(_xlfn.FLOOR.MATH($F283*控制台!L347/(控制台!P347*60)),"")</f>
        <v>9</v>
      </c>
      <c r="M283" s="1">
        <f ca="1">IFERROR(_xlfn.FLOOR.MATH($F283*控制台!M347/(控制台!Q347*60)),"")</f>
        <v>7</v>
      </c>
      <c r="N283" s="1" t="str">
        <f ca="1">IFERROR(_xlfn.FLOOR.MATH($F283*控制台!N347/(控制台!R347*60)),"")</f>
        <v/>
      </c>
      <c r="O283" s="4" t="str">
        <f ca="1">控制台!W347</f>
        <v>board;brick;cement</v>
      </c>
      <c r="P283" s="4" t="str">
        <f ca="1" t="shared" si="21"/>
        <v>10;9;7</v>
      </c>
      <c r="Q283" s="4">
        <f>_xlfn.FLOOR.MATH(K15/控制台!$H$291*控制台!$F$289,5)</f>
        <v>540</v>
      </c>
      <c r="R283" s="4">
        <f>_xlfn.FLOOR.MATH(O15/控制台!$H$291*控制台!$F$289,5)</f>
        <v>1535</v>
      </c>
      <c r="S283" s="1" t="s">
        <v>152</v>
      </c>
      <c r="T283" s="1" t="s">
        <v>2710</v>
      </c>
      <c r="U283" s="1">
        <f ca="1" t="shared" si="17"/>
        <v>1</v>
      </c>
    </row>
    <row r="284" spans="1:21">
      <c r="A284" s="1">
        <v>10</v>
      </c>
      <c r="B284" s="1" t="s">
        <v>173</v>
      </c>
      <c r="C284" s="1">
        <f>_xlfn.FLOOR.MATH(D17/控制台!$H$291*控制台!$F$289)</f>
        <v>81000</v>
      </c>
      <c r="D284" s="1">
        <f>_xlfn.FLOOR.MATH(E17/控制台!$H$291*控制台!$F$289)</f>
        <v>97200</v>
      </c>
      <c r="E284" s="1">
        <f>_xlfn.FLOOR.MATH(F17/控制台!$H$291*控制台!$F$289)</f>
        <v>64800</v>
      </c>
      <c r="F284" s="1">
        <f ca="1">_xlfn.FLOOR.MATH(J17*60/控制台!$H$291*控制台!$F$289)</f>
        <v>14515</v>
      </c>
      <c r="G284" s="1">
        <f>IFERROR(_xlfn.FLOOR.MATH(C284,POWER(10,MAX(0,INT(LOG10(C284)-2)))),"")</f>
        <v>81000</v>
      </c>
      <c r="H284" s="1">
        <f>IFERROR(_xlfn.FLOOR.MATH(D284,POWER(10,MAX(0,INT(LOG10(D284)-2)))),"")</f>
        <v>97200</v>
      </c>
      <c r="I284" s="1">
        <f>IFERROR(_xlfn.FLOOR.MATH(E284,POWER(10,MAX(0,INT(LOG10(E284)-2)))),"")</f>
        <v>64800</v>
      </c>
      <c r="J284" s="4" t="str">
        <f t="shared" si="20"/>
        <v>81000;97200;64800</v>
      </c>
      <c r="K284" s="1">
        <f ca="1">IFERROR(_xlfn.FLOOR.MATH($F284*控制台!K348/(控制台!O348*60)),"")</f>
        <v>12</v>
      </c>
      <c r="L284" s="1">
        <f ca="1">IFERROR(_xlfn.FLOOR.MATH($F284*控制台!L348/(控制台!P348*60)),"")</f>
        <v>10</v>
      </c>
      <c r="M284" s="1">
        <f ca="1">IFERROR(_xlfn.FLOOR.MATH($F284*控制台!M348/(控制台!Q348*60)),"")</f>
        <v>9</v>
      </c>
      <c r="N284" s="1" t="str">
        <f ca="1">IFERROR(_xlfn.FLOOR.MATH($F284*控制台!N348/(控制台!R348*60)),"")</f>
        <v/>
      </c>
      <c r="O284" s="4" t="str">
        <f ca="1">控制台!W348</f>
        <v>board;brick;cement</v>
      </c>
      <c r="P284" s="4" t="str">
        <f ca="1" t="shared" si="21"/>
        <v>12;10;9</v>
      </c>
      <c r="Q284" s="4">
        <f>_xlfn.FLOOR.MATH(K16/控制台!$H$291*控制台!$F$289,5)</f>
        <v>755</v>
      </c>
      <c r="R284" s="4">
        <f>_xlfn.FLOOR.MATH(O16/控制台!$H$291*控制台!$F$289,5)</f>
        <v>2135</v>
      </c>
      <c r="S284" s="1" t="s">
        <v>152</v>
      </c>
      <c r="T284" s="1" t="s">
        <v>2735</v>
      </c>
      <c r="U284" s="1">
        <f ca="1" t="shared" si="17"/>
        <v>1</v>
      </c>
    </row>
    <row r="285" spans="1:21">
      <c r="A285" s="1">
        <v>11</v>
      </c>
      <c r="B285" s="1" t="s">
        <v>173</v>
      </c>
      <c r="C285" s="1">
        <f>_xlfn.FLOOR.MATH(D18/控制台!$H$291*控制台!$F$289)</f>
        <v>90000</v>
      </c>
      <c r="D285" s="1">
        <f>_xlfn.FLOOR.MATH(E18/控制台!$H$291*控制台!$F$289)</f>
        <v>108000</v>
      </c>
      <c r="E285" s="1">
        <f>_xlfn.FLOOR.MATH(F18/控制台!$H$291*控制台!$F$289)</f>
        <v>72000</v>
      </c>
      <c r="F285" s="1">
        <f ca="1">_xlfn.FLOOR.MATH(J18*60/控制台!$H$291*控制台!$F$289)</f>
        <v>18247</v>
      </c>
      <c r="G285" s="1">
        <f>IFERROR(_xlfn.FLOOR.MATH(C285,POWER(10,MAX(0,INT(LOG10(C285)-2)))),"")</f>
        <v>90000</v>
      </c>
      <c r="H285" s="1">
        <f>IFERROR(_xlfn.FLOOR.MATH(D285,POWER(10,MAX(0,INT(LOG10(D285)-2)))),"")</f>
        <v>108000</v>
      </c>
      <c r="I285" s="1">
        <f>IFERROR(_xlfn.FLOOR.MATH(E285,POWER(10,MAX(0,INT(LOG10(E285)-2)))),"")</f>
        <v>72000</v>
      </c>
      <c r="J285" s="4" t="str">
        <f t="shared" si="20"/>
        <v>90000;108000;72000</v>
      </c>
      <c r="K285" s="1">
        <f ca="1">IFERROR(_xlfn.FLOOR.MATH($F285*控制台!K349/(控制台!O349*60)),"")</f>
        <v>15</v>
      </c>
      <c r="L285" s="1">
        <f ca="1">IFERROR(_xlfn.FLOOR.MATH($F285*控制台!L349/(控制台!P349*60)),"")</f>
        <v>13</v>
      </c>
      <c r="M285" s="1">
        <f ca="1">IFERROR(_xlfn.FLOOR.MATH($F285*控制台!M349/(控制台!Q349*60)),"")</f>
        <v>11</v>
      </c>
      <c r="N285" s="1" t="str">
        <f ca="1">IFERROR(_xlfn.FLOOR.MATH($F285*控制台!N349/(控制台!R349*60)),"")</f>
        <v/>
      </c>
      <c r="O285" s="4" t="str">
        <f ca="1">控制台!W349</f>
        <v>board;brick;cement</v>
      </c>
      <c r="P285" s="4" t="str">
        <f ca="1" t="shared" si="21"/>
        <v>15;13;11</v>
      </c>
      <c r="Q285" s="4">
        <f>_xlfn.FLOOR.MATH(K17/控制台!$H$291*控制台!$F$289,5)</f>
        <v>970</v>
      </c>
      <c r="R285" s="4">
        <f>_xlfn.FLOOR.MATH(O17/控制台!$H$291*控制台!$F$289,5)</f>
        <v>2845</v>
      </c>
      <c r="S285" s="1" t="s">
        <v>152</v>
      </c>
      <c r="T285" s="1" t="s">
        <v>153</v>
      </c>
      <c r="U285" s="1">
        <f ca="1" t="shared" si="17"/>
        <v>1</v>
      </c>
    </row>
    <row r="286" spans="1:21">
      <c r="A286" s="1">
        <v>12</v>
      </c>
      <c r="B286" s="1" t="s">
        <v>173</v>
      </c>
      <c r="C286" s="1">
        <f>_xlfn.FLOOR.MATH(D19/控制台!$H$291*控制台!$F$289)</f>
        <v>135000</v>
      </c>
      <c r="D286" s="1">
        <f>_xlfn.FLOOR.MATH(E19/控制台!$H$291*控制台!$F$289)</f>
        <v>162000</v>
      </c>
      <c r="E286" s="1">
        <f>_xlfn.FLOOR.MATH(F19/控制台!$H$291*控制台!$F$289)</f>
        <v>108000</v>
      </c>
      <c r="F286" s="1">
        <f ca="1">_xlfn.FLOOR.MATH(J19*60/控制台!$H$291*控制台!$F$289)</f>
        <v>22809</v>
      </c>
      <c r="G286" s="1">
        <f>IFERROR(_xlfn.FLOOR.MATH(C286,POWER(10,MAX(0,INT(LOG10(C286)-2)))),"")</f>
        <v>135000</v>
      </c>
      <c r="H286" s="1">
        <f>IFERROR(_xlfn.FLOOR.MATH(D286,POWER(10,MAX(0,INT(LOG10(D286)-2)))),"")</f>
        <v>162000</v>
      </c>
      <c r="I286" s="1">
        <f>IFERROR(_xlfn.FLOOR.MATH(E286,POWER(10,MAX(0,INT(LOG10(E286)-2)))),"")</f>
        <v>108000</v>
      </c>
      <c r="J286" s="4" t="str">
        <f t="shared" si="20"/>
        <v>135000;162000;108000</v>
      </c>
      <c r="K286" s="1">
        <f ca="1">IFERROR(_xlfn.FLOOR.MATH($F286*控制台!K350/(控制台!O350*60)),"")</f>
        <v>19</v>
      </c>
      <c r="L286" s="1">
        <f ca="1">IFERROR(_xlfn.FLOOR.MATH($F286*控制台!L350/(控制台!P350*60)),"")</f>
        <v>17</v>
      </c>
      <c r="M286" s="1">
        <f ca="1">IFERROR(_xlfn.FLOOR.MATH($F286*控制台!M350/(控制台!Q350*60)),"")</f>
        <v>14</v>
      </c>
      <c r="N286" s="1" t="str">
        <f ca="1">IFERROR(_xlfn.FLOOR.MATH($F286*控制台!N350/(控制台!R350*60)),"")</f>
        <v/>
      </c>
      <c r="O286" s="4" t="str">
        <f ca="1">控制台!W350</f>
        <v>board;brick;cement</v>
      </c>
      <c r="P286" s="4" t="str">
        <f ca="1" t="shared" si="21"/>
        <v>19;17;14</v>
      </c>
      <c r="Q286" s="4">
        <f>_xlfn.FLOOR.MATH(K18/控制台!$H$291*控制台!$F$289,5)</f>
        <v>1080</v>
      </c>
      <c r="R286" s="4">
        <f>_xlfn.FLOOR.MATH(O18/控制台!$H$291*控制台!$F$289,5)</f>
        <v>3650</v>
      </c>
      <c r="S286" s="1" t="s">
        <v>152</v>
      </c>
      <c r="T286" s="1" t="s">
        <v>2736</v>
      </c>
      <c r="U286" s="1">
        <f ca="1" t="shared" si="17"/>
        <v>1</v>
      </c>
    </row>
    <row r="287" spans="1:21">
      <c r="A287" s="1">
        <v>13</v>
      </c>
      <c r="B287" s="1" t="s">
        <v>173</v>
      </c>
      <c r="C287" s="1">
        <f>_xlfn.FLOOR.MATH(D20/控制台!$H$291*控制台!$F$289)</f>
        <v>270000</v>
      </c>
      <c r="D287" s="1">
        <f>_xlfn.FLOOR.MATH(E20/控制台!$H$291*控制台!$F$289)</f>
        <v>324000</v>
      </c>
      <c r="E287" s="1">
        <f>_xlfn.FLOOR.MATH(F20/控制台!$H$291*控制台!$F$289)</f>
        <v>216000</v>
      </c>
      <c r="F287" s="1">
        <f ca="1">_xlfn.FLOOR.MATH(J20*60/控制台!$H$291*控制台!$F$289)</f>
        <v>34214</v>
      </c>
      <c r="G287" s="1">
        <f>IFERROR(_xlfn.FLOOR.MATH(C287,POWER(10,MAX(0,INT(LOG10(C287)-2)))),"")</f>
        <v>270000</v>
      </c>
      <c r="H287" s="1">
        <f>IFERROR(_xlfn.FLOOR.MATH(D287,POWER(10,MAX(0,INT(LOG10(D287)-2)))),"")</f>
        <v>324000</v>
      </c>
      <c r="I287" s="1">
        <f>IFERROR(_xlfn.FLOOR.MATH(E287,POWER(10,MAX(0,INT(LOG10(E287)-2)))),"")</f>
        <v>216000</v>
      </c>
      <c r="J287" s="4" t="str">
        <f t="shared" si="20"/>
        <v>270000;324000;216000</v>
      </c>
      <c r="K287" s="1">
        <f ca="1">IFERROR(_xlfn.FLOOR.MATH($F287*控制台!K351/(控制台!O351*60)),"")</f>
        <v>15</v>
      </c>
      <c r="L287" s="1">
        <f ca="1">IFERROR(_xlfn.FLOOR.MATH($F287*控制台!L351/(控制台!P351*60)),"")</f>
        <v>11</v>
      </c>
      <c r="M287" s="1">
        <f ca="1">IFERROR(_xlfn.FLOOR.MATH($F287*控制台!M351/(控制台!Q351*60)),"")</f>
        <v>9</v>
      </c>
      <c r="N287" s="1" t="str">
        <f ca="1">IFERROR(_xlfn.FLOOR.MATH($F287*控制台!N351/(控制台!R351*60)),"")</f>
        <v/>
      </c>
      <c r="O287" s="4" t="str">
        <f ca="1">控制台!W351</f>
        <v>board;cement;steel</v>
      </c>
      <c r="P287" s="4" t="str">
        <f ca="1" t="shared" si="21"/>
        <v>15;11;9</v>
      </c>
      <c r="Q287" s="4">
        <f>_xlfn.FLOOR.MATH(K19/控制台!$H$291*控制台!$F$289,5)</f>
        <v>1620</v>
      </c>
      <c r="R287" s="4">
        <f>_xlfn.FLOOR.MATH(O19/控制台!$H$291*控制台!$F$289,5)</f>
        <v>4670</v>
      </c>
      <c r="S287" s="1" t="s">
        <v>2680</v>
      </c>
      <c r="T287" s="1" t="s">
        <v>2737</v>
      </c>
      <c r="U287" s="1">
        <f ca="1" t="shared" si="17"/>
        <v>1</v>
      </c>
    </row>
    <row r="288" spans="1:21">
      <c r="A288" s="1">
        <v>14</v>
      </c>
      <c r="B288" s="1" t="s">
        <v>173</v>
      </c>
      <c r="C288" s="1">
        <f>_xlfn.FLOOR.MATH(D21/控制台!$H$291*控制台!$F$289)</f>
        <v>450000</v>
      </c>
      <c r="D288" s="1">
        <f>_xlfn.FLOOR.MATH(E21/控制台!$H$291*控制台!$F$289)</f>
        <v>540000</v>
      </c>
      <c r="E288" s="1">
        <f>_xlfn.FLOOR.MATH(F21/控制台!$H$291*控制台!$F$289)</f>
        <v>360000</v>
      </c>
      <c r="F288" s="1">
        <f ca="1">_xlfn.FLOOR.MATH(J21*60/控制台!$H$291*控制台!$F$289)</f>
        <v>45619</v>
      </c>
      <c r="G288" s="1">
        <f>IFERROR(_xlfn.FLOOR.MATH(C288,POWER(10,MAX(0,INT(LOG10(C288)-2)))),"")</f>
        <v>450000</v>
      </c>
      <c r="H288" s="1">
        <f>IFERROR(_xlfn.FLOOR.MATH(D288,POWER(10,MAX(0,INT(LOG10(D288)-2)))),"")</f>
        <v>540000</v>
      </c>
      <c r="I288" s="1">
        <f>IFERROR(_xlfn.FLOOR.MATH(E288,POWER(10,MAX(0,INT(LOG10(E288)-2)))),"")</f>
        <v>360000</v>
      </c>
      <c r="J288" s="4" t="str">
        <f t="shared" si="20"/>
        <v>450000;540000;360000</v>
      </c>
      <c r="K288" s="1">
        <f ca="1">IFERROR(_xlfn.FLOOR.MATH($F288*控制台!K352/(控制台!O352*60)),"")</f>
        <v>17</v>
      </c>
      <c r="L288" s="1">
        <f ca="1">IFERROR(_xlfn.FLOOR.MATH($F288*控制台!L352/(控制台!P352*60)),"")</f>
        <v>14</v>
      </c>
      <c r="M288" s="1">
        <f ca="1">IFERROR(_xlfn.FLOOR.MATH($F288*控制台!M352/(控制台!Q352*60)),"")</f>
        <v>11</v>
      </c>
      <c r="N288" s="1" t="str">
        <f ca="1">IFERROR(_xlfn.FLOOR.MATH($F288*控制台!N352/(控制台!R352*60)),"")</f>
        <v/>
      </c>
      <c r="O288" s="4" t="str">
        <f ca="1">控制台!W352</f>
        <v>brick;cement;steel</v>
      </c>
      <c r="P288" s="4" t="str">
        <f ca="1" t="shared" si="21"/>
        <v>17;14;11</v>
      </c>
      <c r="Q288" s="4">
        <f>_xlfn.FLOOR.MATH(K20/控制台!$H$291*控制台!$F$289,5)</f>
        <v>3240</v>
      </c>
      <c r="R288" s="4">
        <f>_xlfn.FLOOR.MATH(O20/控制台!$H$291*控制台!$F$289,5)</f>
        <v>6245</v>
      </c>
      <c r="S288" s="1" t="s">
        <v>2682</v>
      </c>
      <c r="T288" s="1" t="s">
        <v>2738</v>
      </c>
      <c r="U288" s="1">
        <f ca="1" t="shared" si="17"/>
        <v>1</v>
      </c>
    </row>
    <row r="289" spans="1:21">
      <c r="A289" s="1">
        <v>15</v>
      </c>
      <c r="B289" s="1" t="s">
        <v>173</v>
      </c>
      <c r="C289" s="1">
        <f>_xlfn.FLOOR.MATH(D22/控制台!$H$291*控制台!$F$289)</f>
        <v>540000</v>
      </c>
      <c r="D289" s="1">
        <f>_xlfn.FLOOR.MATH(E22/控制台!$H$291*控制台!$F$289)</f>
        <v>648000</v>
      </c>
      <c r="E289" s="1">
        <f>_xlfn.FLOOR.MATH(F22/控制台!$H$291*控制台!$F$289)</f>
        <v>432000</v>
      </c>
      <c r="F289" s="1">
        <f ca="1">_xlfn.FLOOR.MATH(J22*60/控制台!$H$291*控制台!$F$289)</f>
        <v>57024</v>
      </c>
      <c r="G289" s="1">
        <f>IFERROR(_xlfn.FLOOR.MATH(C289,POWER(10,MAX(0,INT(LOG10(C289)-2)))),"")</f>
        <v>540000</v>
      </c>
      <c r="H289" s="1">
        <f>IFERROR(_xlfn.FLOOR.MATH(D289,POWER(10,MAX(0,INT(LOG10(D289)-2)))),"")</f>
        <v>648000</v>
      </c>
      <c r="I289" s="1">
        <f>IFERROR(_xlfn.FLOOR.MATH(E289,POWER(10,MAX(0,INT(LOG10(E289)-2)))),"")</f>
        <v>432000</v>
      </c>
      <c r="J289" s="4" t="str">
        <f t="shared" si="20"/>
        <v>540000;648000;432000</v>
      </c>
      <c r="K289" s="1">
        <f ca="1">IFERROR(_xlfn.FLOOR.MATH($F289*控制台!K353/(控制台!O353*60)),"")</f>
        <v>38</v>
      </c>
      <c r="L289" s="1">
        <f ca="1">IFERROR(_xlfn.FLOOR.MATH($F289*控制台!L353/(控制台!P353*60)),"")</f>
        <v>33</v>
      </c>
      <c r="M289" s="1">
        <f ca="1">IFERROR(_xlfn.FLOOR.MATH($F289*控制台!M353/(控制台!Q353*60)),"")</f>
        <v>22</v>
      </c>
      <c r="N289" s="1" t="str">
        <f ca="1">IFERROR(_xlfn.FLOOR.MATH($F289*控制台!N353/(控制台!R353*60)),"")</f>
        <v/>
      </c>
      <c r="O289" s="4" t="str">
        <f ca="1">控制台!W353</f>
        <v>board;brick;steel</v>
      </c>
      <c r="P289" s="4" t="str">
        <f ca="1" t="shared" si="21"/>
        <v>38;33;22</v>
      </c>
      <c r="Q289" s="4">
        <f>_xlfn.FLOOR.MATH(K21/控制台!$H$291*控制台!$F$289,5)</f>
        <v>5400</v>
      </c>
      <c r="R289" s="4">
        <f>_xlfn.FLOOR.MATH(O21/控制台!$H$291*控制台!$F$289,5)</f>
        <v>8400</v>
      </c>
      <c r="S289" s="1" t="s">
        <v>2684</v>
      </c>
      <c r="T289" s="1" t="s">
        <v>2739</v>
      </c>
      <c r="U289" s="1">
        <f ca="1" t="shared" si="17"/>
        <v>1</v>
      </c>
    </row>
    <row r="290" spans="1:21">
      <c r="A290" s="1">
        <v>16</v>
      </c>
      <c r="B290" s="1" t="s">
        <v>173</v>
      </c>
      <c r="C290" s="1">
        <f>_xlfn.FLOOR.MATH(D23/控制台!$H$291*控制台!$F$289)</f>
        <v>630000</v>
      </c>
      <c r="D290" s="1">
        <f>_xlfn.FLOOR.MATH(E23/控制台!$H$291*控制台!$F$289)</f>
        <v>756000</v>
      </c>
      <c r="E290" s="1">
        <f>_xlfn.FLOOR.MATH(F23/控制台!$H$291*控制台!$F$289)</f>
        <v>504000</v>
      </c>
      <c r="F290" s="1">
        <f ca="1">_xlfn.FLOOR.MATH(J23*60/控制台!$H$291*控制台!$F$289)</f>
        <v>68428</v>
      </c>
      <c r="G290" s="1">
        <f>IFERROR(_xlfn.FLOOR.MATH(C290,POWER(10,MAX(0,INT(LOG10(C290)-2)))),"")</f>
        <v>630000</v>
      </c>
      <c r="H290" s="1">
        <f>IFERROR(_xlfn.FLOOR.MATH(D290,POWER(10,MAX(0,INT(LOG10(D290)-2)))),"")</f>
        <v>756000</v>
      </c>
      <c r="I290" s="1">
        <f>IFERROR(_xlfn.FLOOR.MATH(E290,POWER(10,MAX(0,INT(LOG10(E290)-2)))),"")</f>
        <v>504000</v>
      </c>
      <c r="J290" s="4" t="str">
        <f t="shared" si="20"/>
        <v>630000;756000;504000</v>
      </c>
      <c r="K290" s="1">
        <f ca="1">IFERROR(_xlfn.FLOOR.MATH($F290*控制台!K354/(控制台!O354*60)),"")</f>
        <v>25</v>
      </c>
      <c r="L290" s="1">
        <f ca="1">IFERROR(_xlfn.FLOOR.MATH($F290*控制台!L354/(控制台!P354*60)),"")</f>
        <v>22</v>
      </c>
      <c r="M290" s="1">
        <f ca="1">IFERROR(_xlfn.FLOOR.MATH($F290*控制台!M354/(控制台!Q354*60)),"")</f>
        <v>16</v>
      </c>
      <c r="N290" s="1" t="str">
        <f ca="1">IFERROR(_xlfn.FLOOR.MATH($F290*控制台!N354/(控制台!R354*60)),"")</f>
        <v/>
      </c>
      <c r="O290" s="4" t="str">
        <f ca="1">控制台!W354</f>
        <v>brick;cement;steel</v>
      </c>
      <c r="P290" s="4" t="str">
        <f ca="1" t="shared" si="21"/>
        <v>25;22;16</v>
      </c>
      <c r="Q290" s="4">
        <f>_xlfn.FLOOR.MATH(K22/控制台!$H$291*控制台!$F$289,5)</f>
        <v>6480</v>
      </c>
      <c r="R290" s="4">
        <f>_xlfn.FLOOR.MATH(O22/控制台!$H$291*控制台!$F$289,5)</f>
        <v>11085</v>
      </c>
      <c r="S290" s="1" t="s">
        <v>2682</v>
      </c>
      <c r="T290" s="1" t="s">
        <v>2740</v>
      </c>
      <c r="U290" s="1">
        <f ca="1" t="shared" si="17"/>
        <v>1</v>
      </c>
    </row>
    <row r="291" spans="1:21">
      <c r="A291" s="1">
        <v>17</v>
      </c>
      <c r="B291" s="1" t="s">
        <v>173</v>
      </c>
      <c r="C291" s="1">
        <f>_xlfn.FLOOR.MATH(D24/控制台!$H$291*控制台!$F$289)</f>
        <v>990000</v>
      </c>
      <c r="D291" s="1">
        <f>_xlfn.FLOOR.MATH(E24/控制台!$H$291*控制台!$F$289)</f>
        <v>1188000</v>
      </c>
      <c r="E291" s="1">
        <f>_xlfn.FLOOR.MATH(F24/控制台!$H$291*控制台!$F$289)</f>
        <v>792000</v>
      </c>
      <c r="F291" s="1">
        <f ca="1">_xlfn.FLOOR.MATH(J24*60/控制台!$H$291*控制台!$F$289)</f>
        <v>79833</v>
      </c>
      <c r="G291" s="1">
        <f>IFERROR(_xlfn.FLOOR.MATH(C291,POWER(10,MAX(0,INT(LOG10(C291)-2)))),"")</f>
        <v>990000</v>
      </c>
      <c r="H291" s="1">
        <f>IFERROR(_xlfn.FLOOR.MATH(D291,POWER(10,MAX(0,INT(LOG10(D291)-2)))),"")</f>
        <v>1180000</v>
      </c>
      <c r="I291" s="1">
        <f>IFERROR(_xlfn.FLOOR.MATH(E291,POWER(10,MAX(0,INT(LOG10(E291)-2)))),"")</f>
        <v>792000</v>
      </c>
      <c r="J291" s="4" t="str">
        <f t="shared" si="20"/>
        <v>990000;1180000;792000</v>
      </c>
      <c r="K291" s="1">
        <f ca="1">IFERROR(_xlfn.FLOOR.MATH($F291*控制台!K355/(控制台!O355*60)),"")</f>
        <v>36</v>
      </c>
      <c r="L291" s="1">
        <f ca="1">IFERROR(_xlfn.FLOOR.MATH($F291*控制台!L355/(控制台!P355*60)),"")</f>
        <v>27</v>
      </c>
      <c r="M291" s="1">
        <f ca="1">IFERROR(_xlfn.FLOOR.MATH($F291*控制台!M355/(控制台!Q355*60)),"")</f>
        <v>21</v>
      </c>
      <c r="N291" s="1" t="str">
        <f ca="1">IFERROR(_xlfn.FLOOR.MATH($F291*控制台!N355/(控制台!R355*60)),"")</f>
        <v/>
      </c>
      <c r="O291" s="4" t="str">
        <f ca="1">控制台!W355</f>
        <v>board;cement;steel</v>
      </c>
      <c r="P291" s="4" t="str">
        <f ca="1" t="shared" si="21"/>
        <v>36;27;21</v>
      </c>
      <c r="Q291" s="4">
        <f>_xlfn.FLOOR.MATH(K23/控制台!$H$291*控制台!$F$289,5)</f>
        <v>7560</v>
      </c>
      <c r="R291" s="4">
        <f>_xlfn.FLOOR.MATH(O23/控制台!$H$291*控制台!$F$289,5)</f>
        <v>14290</v>
      </c>
      <c r="S291" s="1" t="s">
        <v>2680</v>
      </c>
      <c r="T291" s="1" t="s">
        <v>2741</v>
      </c>
      <c r="U291" s="1">
        <f ca="1" t="shared" si="17"/>
        <v>1</v>
      </c>
    </row>
    <row r="292" spans="1:21">
      <c r="A292" s="1">
        <v>18</v>
      </c>
      <c r="B292" s="1" t="s">
        <v>173</v>
      </c>
      <c r="C292" s="1">
        <f>_xlfn.FLOOR.MATH(D25/控制台!$H$291*控制台!$F$289)</f>
        <v>1125000</v>
      </c>
      <c r="D292" s="1">
        <f>_xlfn.FLOOR.MATH(E25/控制台!$H$291*控制台!$F$289)</f>
        <v>1350000</v>
      </c>
      <c r="E292" s="1">
        <f>_xlfn.FLOOR.MATH(F25/控制台!$H$291*控制台!$F$289)</f>
        <v>900000</v>
      </c>
      <c r="F292" s="1">
        <f ca="1">_xlfn.FLOOR.MATH(J25*60/控制台!$H$291*控制台!$F$289)</f>
        <v>91238</v>
      </c>
      <c r="G292" s="1">
        <f>IFERROR(_xlfn.FLOOR.MATH(C292,POWER(10,MAX(0,INT(LOG10(C292)-2)))),"")</f>
        <v>1120000</v>
      </c>
      <c r="H292" s="1">
        <f>IFERROR(_xlfn.FLOOR.MATH(D292,POWER(10,MAX(0,INT(LOG10(D292)-2)))),"")</f>
        <v>1350000</v>
      </c>
      <c r="I292" s="1">
        <f>IFERROR(_xlfn.FLOOR.MATH(E292,POWER(10,MAX(0,INT(LOG10(E292)-2)))),"")</f>
        <v>900000</v>
      </c>
      <c r="J292" s="4" t="str">
        <f t="shared" si="20"/>
        <v>1120000;1350000;900000</v>
      </c>
      <c r="K292" s="1">
        <f ca="1">IFERROR(_xlfn.FLOOR.MATH($F292*控制台!K356/(控制台!O356*60)),"")</f>
        <v>34</v>
      </c>
      <c r="L292" s="1">
        <f ca="1">IFERROR(_xlfn.FLOOR.MATH($F292*控制台!L356/(控制台!P356*60)),"")</f>
        <v>29</v>
      </c>
      <c r="M292" s="1">
        <f ca="1">IFERROR(_xlfn.FLOOR.MATH($F292*控制台!M356/(控制台!Q356*60)),"")</f>
        <v>22</v>
      </c>
      <c r="N292" s="1" t="str">
        <f ca="1">IFERROR(_xlfn.FLOOR.MATH($F292*控制台!N356/(控制台!R356*60)),"")</f>
        <v/>
      </c>
      <c r="O292" s="4" t="str">
        <f ca="1">控制台!W356</f>
        <v>brick;cement;steel</v>
      </c>
      <c r="P292" s="4" t="str">
        <f ca="1" t="shared" si="21"/>
        <v>34;29;22</v>
      </c>
      <c r="Q292" s="4">
        <f>_xlfn.FLOOR.MATH(K24/控制台!$H$291*控制台!$F$289,5)</f>
        <v>11880</v>
      </c>
      <c r="R292" s="4">
        <f>_xlfn.FLOOR.MATH(O24/控制台!$H$291*控制台!$F$289,5)</f>
        <v>18190</v>
      </c>
      <c r="S292" s="1" t="s">
        <v>2682</v>
      </c>
      <c r="T292" s="1" t="s">
        <v>2716</v>
      </c>
      <c r="U292" s="1">
        <f ca="1" t="shared" si="17"/>
        <v>1</v>
      </c>
    </row>
    <row r="293" spans="1:21">
      <c r="A293" s="1">
        <v>19</v>
      </c>
      <c r="B293" s="1" t="s">
        <v>173</v>
      </c>
      <c r="C293" s="1">
        <f>_xlfn.FLOOR.MATH(D26/控制台!$H$291*控制台!$F$289)</f>
        <v>1260000</v>
      </c>
      <c r="D293" s="1">
        <f>_xlfn.FLOOR.MATH(E26/控制台!$H$291*控制台!$F$289)</f>
        <v>1512000</v>
      </c>
      <c r="E293" s="1">
        <f>_xlfn.FLOOR.MATH(F26/控制台!$H$291*控制台!$F$289)</f>
        <v>1008000</v>
      </c>
      <c r="F293" s="1">
        <f ca="1">_xlfn.FLOOR.MATH(J26*60/控制台!$H$291*控制台!$F$289)</f>
        <v>125971</v>
      </c>
      <c r="G293" s="1">
        <f>IFERROR(_xlfn.FLOOR.MATH(C293,POWER(10,MAX(0,INT(LOG10(C293)-2)))),"")</f>
        <v>1260000</v>
      </c>
      <c r="H293" s="1">
        <f>IFERROR(_xlfn.FLOOR.MATH(D293,POWER(10,MAX(0,INT(LOG10(D293)-2)))),"")</f>
        <v>1510000</v>
      </c>
      <c r="I293" s="1">
        <f>IFERROR(_xlfn.FLOOR.MATH(E293,POWER(10,MAX(0,INT(LOG10(E293)-2)))),"")</f>
        <v>1000000</v>
      </c>
      <c r="J293" s="4" t="str">
        <f t="shared" si="20"/>
        <v>1260000;1510000;1000000</v>
      </c>
      <c r="K293" s="1">
        <f ca="1">IFERROR(_xlfn.FLOOR.MATH($F293*控制台!K357/(控制台!O357*60)),"")</f>
        <v>53</v>
      </c>
      <c r="L293" s="1">
        <f ca="1">IFERROR(_xlfn.FLOOR.MATH($F293*控制台!L357/(控制台!P357*60)),"")</f>
        <v>46</v>
      </c>
      <c r="M293" s="1">
        <f ca="1">IFERROR(_xlfn.FLOOR.MATH($F293*控制台!M357/(控制台!Q357*60)),"")</f>
        <v>39</v>
      </c>
      <c r="N293" s="1">
        <f ca="1">IFERROR(_xlfn.FLOOR.MATH($F293*控制台!N357/(控制台!R357*60)),"")</f>
        <v>30</v>
      </c>
      <c r="O293" s="4" t="str">
        <f ca="1">控制台!W357</f>
        <v>board;brick;cement;steel</v>
      </c>
      <c r="P293" s="4" t="str">
        <f ca="1" t="shared" si="21"/>
        <v>53;46;39;30</v>
      </c>
      <c r="Q293" s="4">
        <f>_xlfn.FLOOR.MATH(K25/控制台!$H$291*控制台!$F$289,5)</f>
        <v>13500</v>
      </c>
      <c r="R293" s="4">
        <f>_xlfn.FLOOR.MATH(O25/控制台!$H$291*控制台!$F$289,5)</f>
        <v>22645</v>
      </c>
      <c r="S293" s="1" t="s">
        <v>2689</v>
      </c>
      <c r="T293" s="1" t="s">
        <v>2742</v>
      </c>
      <c r="U293" s="1">
        <f ca="1" t="shared" si="17"/>
        <v>1</v>
      </c>
    </row>
    <row r="294" spans="1:21">
      <c r="A294" s="1">
        <v>20</v>
      </c>
      <c r="B294" s="1" t="s">
        <v>173</v>
      </c>
      <c r="C294" s="1">
        <f>_xlfn.FLOOR.MATH(D27/控制台!$H$291*控制台!$F$289)</f>
        <v>1395000</v>
      </c>
      <c r="D294" s="1">
        <f>_xlfn.FLOOR.MATH(E27/控制台!$H$291*控制台!$F$289)</f>
        <v>1674000</v>
      </c>
      <c r="E294" s="1">
        <f>_xlfn.FLOOR.MATH(F27/控制台!$H$291*控制台!$F$289)</f>
        <v>1116000</v>
      </c>
      <c r="F294" s="1">
        <f ca="1">_xlfn.FLOOR.MATH(J27*60/控制台!$H$291*控制台!$F$289)</f>
        <v>139968</v>
      </c>
      <c r="G294" s="1">
        <f>IFERROR(_xlfn.FLOOR.MATH(C294,POWER(10,MAX(0,INT(LOG10(C294)-2)))),"")</f>
        <v>1390000</v>
      </c>
      <c r="H294" s="1">
        <f>IFERROR(_xlfn.FLOOR.MATH(D294,POWER(10,MAX(0,INT(LOG10(D294)-2)))),"")</f>
        <v>1670000</v>
      </c>
      <c r="I294" s="1">
        <f>IFERROR(_xlfn.FLOOR.MATH(E294,POWER(10,MAX(0,INT(LOG10(E294)-2)))),"")</f>
        <v>1110000</v>
      </c>
      <c r="J294" s="4" t="str">
        <f t="shared" si="20"/>
        <v>1390000;1670000;1110000</v>
      </c>
      <c r="K294" s="1">
        <f ca="1">IFERROR(_xlfn.FLOOR.MATH($F294*控制台!K358/(控制台!O358*60)),"")</f>
        <v>32</v>
      </c>
      <c r="L294" s="1">
        <f ca="1">IFERROR(_xlfn.FLOOR.MATH($F294*控制台!L358/(控制台!P358*60)),"")</f>
        <v>27</v>
      </c>
      <c r="M294" s="1">
        <f ca="1">IFERROR(_xlfn.FLOOR.MATH($F294*控制台!M358/(控制台!Q358*60)),"")</f>
        <v>20</v>
      </c>
      <c r="N294" s="1">
        <f ca="1">IFERROR(_xlfn.FLOOR.MATH($F294*控制台!N358/(控制台!R358*60)),"")</f>
        <v>18</v>
      </c>
      <c r="O294" s="4" t="str">
        <f ca="1">控制台!W358</f>
        <v>brick;cement;steel;pitch</v>
      </c>
      <c r="P294" s="4" t="str">
        <f ca="1" t="shared" si="21"/>
        <v>32;27;20;18</v>
      </c>
      <c r="Q294" s="4">
        <f>_xlfn.FLOOR.MATH(K26/控制台!$H$291*控制台!$F$289,5)</f>
        <v>15120</v>
      </c>
      <c r="R294" s="4">
        <f>_xlfn.FLOOR.MATH(O26/控制台!$H$291*控制台!$F$289,5)</f>
        <v>27650</v>
      </c>
      <c r="S294" s="1" t="s">
        <v>2691</v>
      </c>
      <c r="T294" s="1" t="s">
        <v>2743</v>
      </c>
      <c r="U294" s="1">
        <f ca="1" t="shared" si="17"/>
        <v>1</v>
      </c>
    </row>
    <row r="295" spans="1:21">
      <c r="A295" s="1">
        <v>21</v>
      </c>
      <c r="B295" s="1" t="s">
        <v>173</v>
      </c>
      <c r="C295" s="1">
        <f>_xlfn.FLOOR.MATH(D28/控制台!$H$291*控制台!$F$289)</f>
        <v>1485000</v>
      </c>
      <c r="D295" s="1">
        <f>_xlfn.FLOOR.MATH(E28/控制台!$H$291*控制台!$F$289)</f>
        <v>1782000</v>
      </c>
      <c r="E295" s="1">
        <f>_xlfn.FLOOR.MATH(F28/控制台!$H$291*控制台!$F$289)</f>
        <v>1188000</v>
      </c>
      <c r="F295" s="1">
        <f ca="1">_xlfn.FLOOR.MATH(J28*60/控制台!$H$291*控制台!$F$289)</f>
        <v>153964</v>
      </c>
      <c r="G295" s="1">
        <f>IFERROR(_xlfn.FLOOR.MATH(C295,POWER(10,MAX(0,INT(LOG10(C295)-2)))),"")</f>
        <v>1480000</v>
      </c>
      <c r="H295" s="1">
        <f>IFERROR(_xlfn.FLOOR.MATH(D295,POWER(10,MAX(0,INT(LOG10(D295)-2)))),"")</f>
        <v>1780000</v>
      </c>
      <c r="I295" s="1">
        <f>IFERROR(_xlfn.FLOOR.MATH(E295,POWER(10,MAX(0,INT(LOG10(E295)-2)))),"")</f>
        <v>1180000</v>
      </c>
      <c r="J295" s="4" t="str">
        <f t="shared" si="20"/>
        <v>1480000;1780000;1180000</v>
      </c>
      <c r="K295" s="1">
        <f ca="1">IFERROR(_xlfn.FLOOR.MATH($F295*控制台!K359/(控制台!O359*60)),"")</f>
        <v>51</v>
      </c>
      <c r="L295" s="1">
        <f ca="1">IFERROR(_xlfn.FLOOR.MATH($F295*控制台!L359/(控制台!P359*60)),"")</f>
        <v>45</v>
      </c>
      <c r="M295" s="1">
        <f ca="1">IFERROR(_xlfn.FLOOR.MATH($F295*控制台!M359/(控制台!Q359*60)),"")</f>
        <v>29</v>
      </c>
      <c r="N295" s="1">
        <f ca="1">IFERROR(_xlfn.FLOOR.MATH($F295*控制台!N359/(控制台!R359*60)),"")</f>
        <v>25</v>
      </c>
      <c r="O295" s="4" t="str">
        <f ca="1">控制台!W359</f>
        <v>board;brick;steel;pitch</v>
      </c>
      <c r="P295" s="4" t="str">
        <f ca="1" t="shared" si="21"/>
        <v>51;45;29;25</v>
      </c>
      <c r="Q295" s="4">
        <f>_xlfn.FLOOR.MATH(K27/控制台!$H$291*控制台!$F$289,5)</f>
        <v>16740</v>
      </c>
      <c r="R295" s="4">
        <f>_xlfn.FLOOR.MATH(O27/控制台!$H$291*控制台!$F$289,5)</f>
        <v>33210</v>
      </c>
      <c r="S295" s="1" t="s">
        <v>2693</v>
      </c>
      <c r="T295" s="1" t="s">
        <v>2744</v>
      </c>
      <c r="U295" s="1">
        <f ca="1" t="shared" si="17"/>
        <v>1</v>
      </c>
    </row>
    <row r="296" spans="1:21">
      <c r="A296" s="1">
        <v>22</v>
      </c>
      <c r="B296" s="1" t="s">
        <v>173</v>
      </c>
      <c r="C296" s="1">
        <f>_xlfn.FLOOR.MATH(D29/控制台!$H$291*控制台!$F$289)</f>
        <v>2025000</v>
      </c>
      <c r="D296" s="1">
        <f>_xlfn.FLOOR.MATH(E29/控制台!$H$291*控制台!$F$289)</f>
        <v>2430000</v>
      </c>
      <c r="E296" s="1">
        <f>_xlfn.FLOOR.MATH(F29/控制台!$H$291*控制台!$F$289)</f>
        <v>1620000</v>
      </c>
      <c r="F296" s="1">
        <f ca="1">_xlfn.FLOOR.MATH(J29*60/控制台!$H$291*控制台!$F$289)</f>
        <v>174182</v>
      </c>
      <c r="G296" s="1">
        <f>IFERROR(_xlfn.FLOOR.MATH(C296,POWER(10,MAX(0,INT(LOG10(C296)-2)))),"")</f>
        <v>2020000</v>
      </c>
      <c r="H296" s="1">
        <f>IFERROR(_xlfn.FLOOR.MATH(D296,POWER(10,MAX(0,INT(LOG10(D296)-2)))),"")</f>
        <v>2430000</v>
      </c>
      <c r="I296" s="1">
        <f>IFERROR(_xlfn.FLOOR.MATH(E296,POWER(10,MAX(0,INT(LOG10(E296)-2)))),"")</f>
        <v>1620000</v>
      </c>
      <c r="J296" s="4" t="str">
        <f t="shared" si="20"/>
        <v>2020000;2430000;1620000</v>
      </c>
      <c r="K296" s="1">
        <f ca="1">IFERROR(_xlfn.FLOOR.MATH($F296*控制台!K360/(控制台!O360*60)),"")</f>
        <v>40</v>
      </c>
      <c r="L296" s="1">
        <f ca="1">IFERROR(_xlfn.FLOOR.MATH($F296*控制台!L360/(控制台!P360*60)),"")</f>
        <v>34</v>
      </c>
      <c r="M296" s="1">
        <f ca="1">IFERROR(_xlfn.FLOOR.MATH($F296*控制台!M360/(控制台!Q360*60)),"")</f>
        <v>26</v>
      </c>
      <c r="N296" s="1">
        <f ca="1">IFERROR(_xlfn.FLOOR.MATH($F296*控制台!N360/(控制台!R360*60)),"")</f>
        <v>22</v>
      </c>
      <c r="O296" s="4" t="str">
        <f ca="1">控制台!W360</f>
        <v>brick;cement;steel;pitch</v>
      </c>
      <c r="P296" s="4" t="str">
        <f ca="1" t="shared" si="21"/>
        <v>40;34;26;22</v>
      </c>
      <c r="Q296" s="4">
        <f>_xlfn.FLOOR.MATH(K28/控制台!$H$291*控制台!$F$289,5)</f>
        <v>17820</v>
      </c>
      <c r="R296" s="4">
        <f>_xlfn.FLOOR.MATH(O28/控制台!$H$291*控制台!$F$289,5)</f>
        <v>39295</v>
      </c>
      <c r="S296" s="1" t="s">
        <v>2691</v>
      </c>
      <c r="T296" s="1" t="s">
        <v>2745</v>
      </c>
      <c r="U296" s="1">
        <f ca="1" t="shared" si="17"/>
        <v>1</v>
      </c>
    </row>
    <row r="297" spans="1:21">
      <c r="A297" s="1">
        <v>23</v>
      </c>
      <c r="B297" s="1" t="s">
        <v>173</v>
      </c>
      <c r="C297" s="1">
        <f>_xlfn.FLOOR.MATH(D30/控制台!$H$291*控制台!$F$289)</f>
        <v>4950000</v>
      </c>
      <c r="D297" s="1">
        <f>_xlfn.FLOOR.MATH(E30/控制台!$H$291*控制台!$F$289)</f>
        <v>5940000</v>
      </c>
      <c r="E297" s="1">
        <f>_xlfn.FLOOR.MATH(F30/控制台!$H$291*控制台!$F$289)</f>
        <v>3960000</v>
      </c>
      <c r="F297" s="1">
        <f ca="1">_xlfn.FLOOR.MATH(J30*60/控制台!$H$291*控制台!$F$289)</f>
        <v>290304</v>
      </c>
      <c r="G297" s="1">
        <f>IFERROR(_xlfn.FLOOR.MATH(C297,POWER(10,MAX(0,INT(LOG10(C297)-2)))),"")</f>
        <v>4950000</v>
      </c>
      <c r="H297" s="1">
        <f>IFERROR(_xlfn.FLOOR.MATH(D297,POWER(10,MAX(0,INT(LOG10(D297)-2)))),"")</f>
        <v>5940000</v>
      </c>
      <c r="I297" s="1">
        <f>IFERROR(_xlfn.FLOOR.MATH(E297,POWER(10,MAX(0,INT(LOG10(E297)-2)))),"")</f>
        <v>3960000</v>
      </c>
      <c r="J297" s="4" t="str">
        <f t="shared" si="20"/>
        <v>4950000;5940000;3960000</v>
      </c>
      <c r="K297" s="1">
        <f ca="1">IFERROR(_xlfn.FLOOR.MATH($F297*控制台!K361/(控制台!O361*60)),"")</f>
        <v>79</v>
      </c>
      <c r="L297" s="1">
        <f ca="1">IFERROR(_xlfn.FLOOR.MATH($F297*控制台!L361/(控制台!P361*60)),"")</f>
        <v>59</v>
      </c>
      <c r="M297" s="1">
        <f ca="1">IFERROR(_xlfn.FLOOR.MATH($F297*控制台!M361/(控制台!Q361*60)),"")</f>
        <v>45</v>
      </c>
      <c r="N297" s="1">
        <f ca="1">IFERROR(_xlfn.FLOOR.MATH($F297*控制台!N361/(控制台!R361*60)),"")</f>
        <v>39</v>
      </c>
      <c r="O297" s="4" t="str">
        <f ca="1">控制台!W361</f>
        <v>board;cement;steel;pitch</v>
      </c>
      <c r="P297" s="4" t="str">
        <f ca="1" t="shared" si="21"/>
        <v>79;59;45;39</v>
      </c>
      <c r="Q297" s="4">
        <f>_xlfn.FLOOR.MATH(K29/控制台!$H$291*控制台!$F$289,5)</f>
        <v>24300</v>
      </c>
      <c r="R297" s="4">
        <f>_xlfn.FLOOR.MATH(O29/控制台!$H$291*控制台!$F$289,5)</f>
        <v>46185</v>
      </c>
      <c r="S297" s="1" t="s">
        <v>2696</v>
      </c>
      <c r="T297" s="1" t="s">
        <v>2746</v>
      </c>
      <c r="U297" s="1">
        <f ca="1" t="shared" si="17"/>
        <v>1</v>
      </c>
    </row>
    <row r="298" spans="1:21">
      <c r="A298" s="1">
        <v>24</v>
      </c>
      <c r="B298" s="1" t="s">
        <v>173</v>
      </c>
      <c r="C298" s="1">
        <f>_xlfn.FLOOR.MATH(D31/控制台!$H$291*控制台!$F$289)</f>
        <v>6300000</v>
      </c>
      <c r="D298" s="1">
        <f>_xlfn.FLOOR.MATH(E31/控制台!$H$291*控制台!$F$289)</f>
        <v>7560000</v>
      </c>
      <c r="E298" s="1">
        <f>_xlfn.FLOOR.MATH(F31/控制台!$H$291*控制台!$F$289)</f>
        <v>5040000</v>
      </c>
      <c r="F298" s="1">
        <f ca="1">_xlfn.FLOOR.MATH(J31*60/控制台!$H$291*控制台!$F$289)</f>
        <v>435456</v>
      </c>
      <c r="G298" s="1">
        <f>IFERROR(_xlfn.FLOOR.MATH(C298,POWER(10,MAX(0,INT(LOG10(C298)-2)))),"")</f>
        <v>6300000</v>
      </c>
      <c r="H298" s="1">
        <f>IFERROR(_xlfn.FLOOR.MATH(D298,POWER(10,MAX(0,INT(LOG10(D298)-2)))),"")</f>
        <v>7560000</v>
      </c>
      <c r="I298" s="1">
        <f>IFERROR(_xlfn.FLOOR.MATH(E298,POWER(10,MAX(0,INT(LOG10(E298)-2)))),"")</f>
        <v>5040000</v>
      </c>
      <c r="J298" s="4" t="str">
        <f t="shared" si="20"/>
        <v>6300000;7560000;5040000</v>
      </c>
      <c r="K298" s="1">
        <f ca="1">IFERROR(_xlfn.FLOOR.MATH($F298*控制台!K362/(控制台!O362*60)),"")</f>
        <v>100</v>
      </c>
      <c r="L298" s="1">
        <f ca="1">IFERROR(_xlfn.FLOOR.MATH($F298*控制台!L362/(控制台!P362*60)),"")</f>
        <v>85</v>
      </c>
      <c r="M298" s="1">
        <f ca="1">IFERROR(_xlfn.FLOOR.MATH($F298*控制台!M362/(控制台!Q362*60)),"")</f>
        <v>65</v>
      </c>
      <c r="N298" s="1">
        <f ca="1">IFERROR(_xlfn.FLOOR.MATH($F298*控制台!N362/(控制台!R362*60)),"")</f>
        <v>57</v>
      </c>
      <c r="O298" s="4" t="str">
        <f ca="1">控制台!W362</f>
        <v>brick;cement;steel;pitch</v>
      </c>
      <c r="P298" s="4" t="str">
        <f ca="1" t="shared" si="21"/>
        <v>100;85;65;57</v>
      </c>
      <c r="Q298" s="4">
        <f>_xlfn.FLOOR.MATH(K30/控制台!$H$291*控制台!$F$289,5)</f>
        <v>59400</v>
      </c>
      <c r="R298" s="4">
        <f>_xlfn.FLOOR.MATH(O30/控制台!$H$291*控制台!$F$289,5)</f>
        <v>58650</v>
      </c>
      <c r="S298" s="1" t="s">
        <v>2691</v>
      </c>
      <c r="T298" s="1" t="s">
        <v>2747</v>
      </c>
      <c r="U298" s="1">
        <f ca="1" t="shared" si="17"/>
        <v>1</v>
      </c>
    </row>
    <row r="299" spans="1:21">
      <c r="A299" s="1">
        <v>25</v>
      </c>
      <c r="B299" s="1" t="s">
        <v>173</v>
      </c>
      <c r="C299" s="1">
        <f>_xlfn.FLOOR.MATH(D32/控制台!$H$291*控制台!$F$289)</f>
        <v>7200000</v>
      </c>
      <c r="D299" s="1">
        <f>_xlfn.FLOOR.MATH(E32/控制台!$H$291*控制台!$F$289)</f>
        <v>8640000</v>
      </c>
      <c r="E299" s="1">
        <f>_xlfn.FLOOR.MATH(F32/控制台!$H$291*控制台!$F$289)</f>
        <v>5760000</v>
      </c>
      <c r="F299" s="1">
        <f ca="1">_xlfn.FLOOR.MATH(J32*60/控制台!$H$291*控制台!$F$289)</f>
        <v>580608</v>
      </c>
      <c r="G299" s="1">
        <f>IFERROR(_xlfn.FLOOR.MATH(C299,POWER(10,MAX(0,INT(LOG10(C299)-2)))),"")</f>
        <v>7200000</v>
      </c>
      <c r="H299" s="1">
        <f>IFERROR(_xlfn.FLOOR.MATH(D299,POWER(10,MAX(0,INT(LOG10(D299)-2)))),"")</f>
        <v>8640000</v>
      </c>
      <c r="I299" s="1">
        <f>IFERROR(_xlfn.FLOOR.MATH(E299,POWER(10,MAX(0,INT(LOG10(E299)-2)))),"")</f>
        <v>5760000</v>
      </c>
      <c r="J299" s="4" t="str">
        <f t="shared" si="20"/>
        <v>7200000;8640000;5760000</v>
      </c>
      <c r="K299" s="1">
        <f ca="1">IFERROR(_xlfn.FLOOR.MATH($F299*控制台!K363/(控制台!O363*60)),"")</f>
        <v>158</v>
      </c>
      <c r="L299" s="1">
        <f ca="1">IFERROR(_xlfn.FLOOR.MATH($F299*控制台!L363/(控制台!P363*60)),"")</f>
        <v>118</v>
      </c>
      <c r="M299" s="1">
        <f ca="1">IFERROR(_xlfn.FLOOR.MATH($F299*控制台!M363/(控制台!Q363*60)),"")</f>
        <v>90</v>
      </c>
      <c r="N299" s="1">
        <f ca="1">IFERROR(_xlfn.FLOOR.MATH($F299*控制台!N363/(控制台!R363*60)),"")</f>
        <v>79</v>
      </c>
      <c r="O299" s="4" t="str">
        <f ca="1">控制台!W363</f>
        <v>board;cement;steel;pitch</v>
      </c>
      <c r="P299" s="4" t="str">
        <f ca="1" t="shared" si="21"/>
        <v>158;118;90;79</v>
      </c>
      <c r="Q299" s="4">
        <f>_xlfn.FLOOR.MATH(K31/控制台!$H$291*控制台!$F$289,5)</f>
        <v>75600</v>
      </c>
      <c r="R299" s="4">
        <f>_xlfn.FLOOR.MATH(O31/控制台!$H$291*控制台!$F$289,5)</f>
        <v>76650</v>
      </c>
      <c r="S299" s="1" t="s">
        <v>2696</v>
      </c>
      <c r="T299" s="1" t="s">
        <v>2724</v>
      </c>
      <c r="U299" s="1">
        <f ca="1" t="shared" si="17"/>
        <v>1</v>
      </c>
    </row>
    <row r="300" spans="1:21">
      <c r="A300" s="1">
        <v>26</v>
      </c>
      <c r="B300" s="1" t="s">
        <v>173</v>
      </c>
      <c r="C300" s="1">
        <f>_xlfn.FLOOR.MATH(D33/控制台!$H$291*控制台!$F$289)</f>
        <v>18000000</v>
      </c>
      <c r="D300" s="1">
        <f>_xlfn.FLOOR.MATH(E33/控制台!$H$291*控制台!$F$289)</f>
        <v>21600000</v>
      </c>
      <c r="E300" s="1">
        <f>_xlfn.FLOOR.MATH(F33/控制台!$H$291*控制台!$F$289)</f>
        <v>14400000</v>
      </c>
      <c r="F300" s="1">
        <f ca="1">_xlfn.FLOOR.MATH(J33*60/控制台!$H$291*控制台!$F$289)</f>
        <v>1285632</v>
      </c>
      <c r="G300" s="1">
        <f>IFERROR(_xlfn.FLOOR.MATH(C300,POWER(10,MAX(0,INT(LOG10(C300)-2)))),"")</f>
        <v>18000000</v>
      </c>
      <c r="H300" s="1">
        <f>IFERROR(_xlfn.FLOOR.MATH(D300,POWER(10,MAX(0,INT(LOG10(D300)-2)))),"")</f>
        <v>21600000</v>
      </c>
      <c r="I300" s="1">
        <f>IFERROR(_xlfn.FLOOR.MATH(E300,POWER(10,MAX(0,INT(LOG10(E300)-2)))),"")</f>
        <v>14400000</v>
      </c>
      <c r="J300" s="4" t="str">
        <f t="shared" si="20"/>
        <v>18000000;21600000;14400000</v>
      </c>
      <c r="K300" s="1">
        <f ca="1">IFERROR(_xlfn.FLOOR.MATH($F300*控制台!K364/(控制台!O364*60)),"")</f>
        <v>295</v>
      </c>
      <c r="L300" s="1">
        <f ca="1">IFERROR(_xlfn.FLOOR.MATH($F300*控制台!L364/(控制台!P364*60)),"")</f>
        <v>253</v>
      </c>
      <c r="M300" s="1">
        <f ca="1">IFERROR(_xlfn.FLOOR.MATH($F300*控制台!M364/(控制台!Q364*60)),"")</f>
        <v>192</v>
      </c>
      <c r="N300" s="1">
        <f ca="1">IFERROR(_xlfn.FLOOR.MATH($F300*控制台!N364/(控制台!R364*60)),"")</f>
        <v>168</v>
      </c>
      <c r="O300" s="4" t="str">
        <f ca="1">控制台!W364</f>
        <v>brick;cement;steel;pitch</v>
      </c>
      <c r="P300" s="4" t="str">
        <f ca="1" t="shared" si="21"/>
        <v>295;253;192;168</v>
      </c>
      <c r="Q300" s="4">
        <f>_xlfn.FLOOR.MATH(K32/控制台!$H$291*控制台!$F$289,5)</f>
        <v>86400</v>
      </c>
      <c r="R300" s="4">
        <f>_xlfn.FLOOR.MATH(O32/控制台!$H$291*控制台!$F$289,5)</f>
        <v>99900</v>
      </c>
      <c r="S300" s="1" t="s">
        <v>2691</v>
      </c>
      <c r="T300" s="1" t="s">
        <v>2748</v>
      </c>
      <c r="U300" s="1">
        <f ca="1" t="shared" ref="U300:U339" si="22">IF(AND(O300=S300,P300=T300),1,0)</f>
        <v>1</v>
      </c>
    </row>
    <row r="301" spans="1:21">
      <c r="A301" s="1">
        <v>27</v>
      </c>
      <c r="B301" s="1" t="s">
        <v>173</v>
      </c>
      <c r="C301" s="1">
        <f>_xlfn.FLOOR.MATH(D34/控制台!$H$291*控制台!$F$289)</f>
        <v>22500000</v>
      </c>
      <c r="D301" s="1">
        <f>_xlfn.FLOOR.MATH(E34/控制台!$H$291*控制台!$F$289)</f>
        <v>27000000</v>
      </c>
      <c r="E301" s="1">
        <f>_xlfn.FLOOR.MATH(F34/控制台!$H$291*控制台!$F$289)</f>
        <v>18000000</v>
      </c>
      <c r="F301" s="1">
        <f ca="1">_xlfn.FLOOR.MATH(J34*60/控制台!$H$291*控制台!$F$289)</f>
        <v>2239488</v>
      </c>
      <c r="G301" s="1">
        <f>IFERROR(_xlfn.FLOOR.MATH(C301,POWER(10,MAX(0,INT(LOG10(C301)-2)))),"")</f>
        <v>22500000</v>
      </c>
      <c r="H301" s="1">
        <f>IFERROR(_xlfn.FLOOR.MATH(D301,POWER(10,MAX(0,INT(LOG10(D301)-2)))),"")</f>
        <v>27000000</v>
      </c>
      <c r="I301" s="1">
        <f>IFERROR(_xlfn.FLOOR.MATH(E301,POWER(10,MAX(0,INT(LOG10(E301)-2)))),"")</f>
        <v>18000000</v>
      </c>
      <c r="J301" s="4" t="str">
        <f t="shared" si="20"/>
        <v>22500000;27000000;18000000</v>
      </c>
      <c r="K301" s="1">
        <f ca="1">IFERROR(_xlfn.FLOOR.MATH($F301*控制台!K365/(控制台!O365*60)),"")</f>
        <v>254</v>
      </c>
      <c r="L301" s="1">
        <f ca="1">IFERROR(_xlfn.FLOOR.MATH($F301*控制台!L365/(控制台!P365*60)),"")</f>
        <v>193</v>
      </c>
      <c r="M301" s="1">
        <f ca="1">IFERROR(_xlfn.FLOOR.MATH($F301*控制台!M365/(控制台!Q365*60)),"")</f>
        <v>169</v>
      </c>
      <c r="N301" s="1">
        <f ca="1">IFERROR(_xlfn.FLOOR.MATH($F301*控制台!N365/(控制台!R365*60)),"")</f>
        <v>154</v>
      </c>
      <c r="O301" s="4" t="str">
        <f ca="1">控制台!W365</f>
        <v>cement;steel;pitch;concrete</v>
      </c>
      <c r="P301" s="4" t="str">
        <f ca="1" t="shared" si="21"/>
        <v>254;193;169;154</v>
      </c>
      <c r="Q301" s="4">
        <f>_xlfn.FLOOR.MATH(K33/控制台!$H$291*控制台!$F$289,5)</f>
        <v>216000</v>
      </c>
      <c r="R301" s="4">
        <f>_xlfn.FLOOR.MATH(O33/控制台!$H$291*控制台!$F$289,5)</f>
        <v>148650</v>
      </c>
      <c r="S301" s="1" t="s">
        <v>2701</v>
      </c>
      <c r="T301" s="1" t="s">
        <v>2749</v>
      </c>
      <c r="U301" s="1">
        <f ca="1" t="shared" si="22"/>
        <v>1</v>
      </c>
    </row>
    <row r="302" spans="1:21">
      <c r="A302" s="1">
        <v>28</v>
      </c>
      <c r="B302" s="1" t="s">
        <v>173</v>
      </c>
      <c r="C302" s="1">
        <f>_xlfn.FLOOR.MATH(D35/控制台!$H$291*控制台!$F$289)</f>
        <v>42750000</v>
      </c>
      <c r="D302" s="1">
        <f>_xlfn.FLOOR.MATH(E35/控制台!$H$291*控制台!$F$289)</f>
        <v>51300000</v>
      </c>
      <c r="E302" s="1">
        <f>_xlfn.FLOOR.MATH(F35/控制台!$H$291*控制台!$F$289)</f>
        <v>34200000</v>
      </c>
      <c r="F302" s="1">
        <f ca="1">_xlfn.FLOOR.MATH(J35*60/控制台!$H$291*控制台!$F$289)</f>
        <v>3644352</v>
      </c>
      <c r="G302" s="1">
        <f>IFERROR(_xlfn.FLOOR.MATH(C302,POWER(10,MAX(0,INT(LOG10(C302)-2)))),"")</f>
        <v>42700000</v>
      </c>
      <c r="H302" s="1">
        <f>IFERROR(_xlfn.FLOOR.MATH(D302,POWER(10,MAX(0,INT(LOG10(D302)-2)))),"")</f>
        <v>51300000</v>
      </c>
      <c r="I302" s="1">
        <f>IFERROR(_xlfn.FLOOR.MATH(E302,POWER(10,MAX(0,INT(LOG10(E302)-2)))),"")</f>
        <v>34200000</v>
      </c>
      <c r="J302" s="4" t="str">
        <f t="shared" si="20"/>
        <v>42700000;51300000;34200000</v>
      </c>
      <c r="K302" s="1">
        <f ca="1">IFERROR(_xlfn.FLOOR.MATH($F302*控制台!K366/(控制台!O366*60)),"")</f>
        <v>600</v>
      </c>
      <c r="L302" s="1">
        <f ca="1">IFERROR(_xlfn.FLOOR.MATH($F302*控制台!L366/(控制台!P366*60)),"")</f>
        <v>514</v>
      </c>
      <c r="M302" s="1">
        <f ca="1">IFERROR(_xlfn.FLOOR.MATH($F302*控制台!M366/(控制台!Q366*60)),"")</f>
        <v>392</v>
      </c>
      <c r="N302" s="1">
        <f ca="1">IFERROR(_xlfn.FLOOR.MATH($F302*控制台!N366/(控制台!R366*60)),"")</f>
        <v>311</v>
      </c>
      <c r="O302" s="4" t="str">
        <f ca="1">控制台!W366</f>
        <v>brick;cement;steel;concrete</v>
      </c>
      <c r="P302" s="4" t="str">
        <f ca="1" t="shared" si="21"/>
        <v>600;514;392;311</v>
      </c>
      <c r="Q302" s="4">
        <f>_xlfn.FLOOR.MATH(K34/控制台!$H$291*控制台!$F$289,5)</f>
        <v>270000</v>
      </c>
      <c r="R302" s="4">
        <f>_xlfn.FLOOR.MATH(O34/控制台!$H$291*控制台!$F$289,5)</f>
        <v>218965</v>
      </c>
      <c r="S302" s="1" t="s">
        <v>2703</v>
      </c>
      <c r="T302" s="1" t="s">
        <v>2750</v>
      </c>
      <c r="U302" s="1">
        <f ca="1" t="shared" si="22"/>
        <v>1</v>
      </c>
    </row>
    <row r="303" spans="1:21">
      <c r="A303" s="1">
        <v>29</v>
      </c>
      <c r="B303" s="1" t="s">
        <v>173</v>
      </c>
      <c r="C303" s="1">
        <f>_xlfn.FLOOR.MATH(D36/控制台!$H$291*控制台!$F$289)</f>
        <v>43200000</v>
      </c>
      <c r="D303" s="1">
        <f>_xlfn.FLOOR.MATH(E36/控制台!$H$291*控制台!$F$289)</f>
        <v>51840000</v>
      </c>
      <c r="E303" s="1">
        <f>_xlfn.FLOOR.MATH(F36/控制台!$H$291*控制台!$F$289)</f>
        <v>34560000</v>
      </c>
      <c r="F303" s="1">
        <f ca="1">_xlfn.FLOOR.MATH(J36*60/控制台!$H$291*控制台!$F$289)</f>
        <v>3721075</v>
      </c>
      <c r="G303" s="1">
        <f>IFERROR(_xlfn.FLOOR.MATH(C303,POWER(10,MAX(0,INT(LOG10(C303)-2)))),"")</f>
        <v>43200000</v>
      </c>
      <c r="H303" s="1">
        <f>IFERROR(_xlfn.FLOOR.MATH(D303,POWER(10,MAX(0,INT(LOG10(D303)-2)))),"")</f>
        <v>51800000</v>
      </c>
      <c r="I303" s="1">
        <f>IFERROR(_xlfn.FLOOR.MATH(E303,POWER(10,MAX(0,INT(LOG10(E303)-2)))),"")</f>
        <v>34500000</v>
      </c>
      <c r="J303" s="4" t="str">
        <f t="shared" si="20"/>
        <v>43200000;51800000;34500000</v>
      </c>
      <c r="K303" s="1">
        <f ca="1">IFERROR(_xlfn.FLOOR.MATH($F303*控制台!K367/(控制台!O367*60)),"")</f>
        <v>681</v>
      </c>
      <c r="L303" s="1">
        <f ca="1">IFERROR(_xlfn.FLOOR.MATH($F303*控制台!L367/(控制台!P367*60)),"")</f>
        <v>511</v>
      </c>
      <c r="M303" s="1">
        <f ca="1">IFERROR(_xlfn.FLOOR.MATH($F303*控制台!M367/(控制台!Q367*60)),"")</f>
        <v>340</v>
      </c>
      <c r="N303" s="1">
        <f ca="1">IFERROR(_xlfn.FLOOR.MATH($F303*控制台!N367/(控制台!R367*60)),"")</f>
        <v>309</v>
      </c>
      <c r="O303" s="4" t="str">
        <f ca="1">控制台!W367</f>
        <v>board;cement;pitch;concrete</v>
      </c>
      <c r="P303" s="4" t="str">
        <f ca="1" t="shared" si="21"/>
        <v>681;511;340;309</v>
      </c>
      <c r="Q303" s="4">
        <f>_xlfn.FLOOR.MATH(K35/控制台!$H$291*控制台!$F$289,5)</f>
        <v>513000</v>
      </c>
      <c r="R303" s="4">
        <f>_xlfn.FLOOR.MATH(O35/控制台!$H$291*控制台!$F$289,5)</f>
        <v>334745</v>
      </c>
      <c r="S303" s="1" t="s">
        <v>2705</v>
      </c>
      <c r="T303" s="1" t="s">
        <v>2751</v>
      </c>
      <c r="U303" s="1">
        <f ca="1" t="shared" si="22"/>
        <v>1</v>
      </c>
    </row>
    <row r="304" spans="1:21">
      <c r="A304" s="1">
        <v>30</v>
      </c>
      <c r="B304" s="1" t="s">
        <v>173</v>
      </c>
      <c r="C304" s="1">
        <f>_xlfn.FLOOR.MATH(D37/控制台!$H$291*控制台!$F$289)</f>
        <v>44100000</v>
      </c>
      <c r="D304" s="1">
        <f>_xlfn.FLOOR.MATH(E37/控制台!$H$291*控制台!$F$289)</f>
        <v>52920000</v>
      </c>
      <c r="E304" s="1">
        <f>_xlfn.FLOOR.MATH(F37/控制台!$H$291*控制台!$F$289)</f>
        <v>35280000</v>
      </c>
      <c r="F304" s="1">
        <f ca="1">_xlfn.FLOOR.MATH(J37*60/控制台!$H$291*控制台!$F$289)</f>
        <v>3797798</v>
      </c>
      <c r="G304" s="1">
        <f>IFERROR(_xlfn.FLOOR.MATH(C304,POWER(10,MAX(0,INT(LOG10(C304)-2)))),"")</f>
        <v>44100000</v>
      </c>
      <c r="H304" s="1">
        <f>IFERROR(_xlfn.FLOOR.MATH(D304,POWER(10,MAX(0,INT(LOG10(D304)-2)))),"")</f>
        <v>52900000</v>
      </c>
      <c r="I304" s="1">
        <f>IFERROR(_xlfn.FLOOR.MATH(E304,POWER(10,MAX(0,INT(LOG10(E304)-2)))),"")</f>
        <v>35200000</v>
      </c>
      <c r="J304" s="4" t="str">
        <f t="shared" si="20"/>
        <v>44100000;52900000;35200000</v>
      </c>
      <c r="K304" s="1">
        <f ca="1">IFERROR(_xlfn.FLOOR.MATH($F304*控制台!K368/(控制台!O368*60)),"")</f>
        <v>562</v>
      </c>
      <c r="L304" s="1">
        <f ca="1">IFERROR(_xlfn.FLOOR.MATH($F304*控制台!L368/(控制台!P368*60)),"")</f>
        <v>367</v>
      </c>
      <c r="M304" s="1">
        <f ca="1">IFERROR(_xlfn.FLOOR.MATH($F304*控制台!M368/(控制台!Q368*60)),"")</f>
        <v>321</v>
      </c>
      <c r="N304" s="1">
        <f ca="1">IFERROR(_xlfn.FLOOR.MATH($F304*控制台!N368/(控制台!R368*60)),"")</f>
        <v>292</v>
      </c>
      <c r="O304" s="4" t="str">
        <f ca="1">控制台!W368</f>
        <v>brick;steel;pitch;concrete</v>
      </c>
      <c r="P304" s="4" t="str">
        <f ca="1" t="shared" si="21"/>
        <v>562;367;321;292</v>
      </c>
      <c r="Q304" s="4">
        <f>_xlfn.FLOOR.MATH(K36/控制台!$H$291*控制台!$F$289,5)</f>
        <v>518400</v>
      </c>
      <c r="R304" s="4">
        <f>_xlfn.FLOOR.MATH(O36/控制台!$H$291*控制台!$F$289,5)</f>
        <v>452685</v>
      </c>
      <c r="S304" s="1" t="s">
        <v>2707</v>
      </c>
      <c r="T304" s="1" t="s">
        <v>2752</v>
      </c>
      <c r="U304" s="1">
        <f ca="1" t="shared" si="22"/>
        <v>1</v>
      </c>
    </row>
    <row r="305" spans="1:21">
      <c r="A305" s="1">
        <v>31</v>
      </c>
      <c r="B305" s="1" t="s">
        <v>173</v>
      </c>
      <c r="C305" s="1">
        <f>_xlfn.FLOOR.MATH(D38/控制台!$H$291*控制台!$F$289)</f>
        <v>45000000</v>
      </c>
      <c r="D305" s="1">
        <f>_xlfn.FLOOR.MATH(E38/控制台!$H$291*控制台!$F$289)</f>
        <v>54000000</v>
      </c>
      <c r="E305" s="1">
        <f>_xlfn.FLOOR.MATH(F38/控制台!$H$291*控制台!$F$289)</f>
        <v>36000000</v>
      </c>
      <c r="F305" s="1">
        <f ca="1">_xlfn.FLOOR.MATH(J38*60/控制台!$H$291*控制台!$F$289)</f>
        <v>3939840</v>
      </c>
      <c r="G305" s="1">
        <f>IFERROR(_xlfn.FLOOR.MATH(C305,POWER(10,MAX(0,INT(LOG10(C305)-2)))),"")</f>
        <v>45000000</v>
      </c>
      <c r="H305" s="1">
        <f>IFERROR(_xlfn.FLOOR.MATH(D305,POWER(10,MAX(0,INT(LOG10(D305)-2)))),"")</f>
        <v>54000000</v>
      </c>
      <c r="I305" s="1">
        <f>IFERROR(_xlfn.FLOOR.MATH(E305,POWER(10,MAX(0,INT(LOG10(E305)-2)))),"")</f>
        <v>36000000</v>
      </c>
      <c r="J305" s="4" t="str">
        <f t="shared" si="20"/>
        <v>45000000;54000000;36000000</v>
      </c>
      <c r="K305" s="1">
        <f ca="1">IFERROR(_xlfn.FLOOR.MATH($F305*控制台!K369/(控制台!O369*60)),"")</f>
        <v>447</v>
      </c>
      <c r="L305" s="1">
        <f ca="1">IFERROR(_xlfn.FLOOR.MATH($F305*控制台!L369/(控制台!P369*60)),"")</f>
        <v>341</v>
      </c>
      <c r="M305" s="1">
        <f ca="1">IFERROR(_xlfn.FLOOR.MATH($F305*控制台!M369/(控制台!Q369*60)),"")</f>
        <v>298</v>
      </c>
      <c r="N305" s="1">
        <f ca="1">IFERROR(_xlfn.FLOOR.MATH($F305*控制台!N369/(控制台!R369*60)),"")</f>
        <v>271</v>
      </c>
      <c r="O305" s="4" t="str">
        <f ca="1">控制台!W369</f>
        <v>cement;steel;pitch;concrete</v>
      </c>
      <c r="P305" s="4" t="str">
        <f ca="1" t="shared" si="21"/>
        <v>447;341;298;271</v>
      </c>
      <c r="Q305" s="4">
        <f>_xlfn.FLOOR.MATH(K37/控制台!$H$291*控制台!$F$289,5)</f>
        <v>529200</v>
      </c>
      <c r="R305" s="4">
        <f>_xlfn.FLOOR.MATH(O37/控制台!$H$291*控制台!$F$289,5)</f>
        <v>573060</v>
      </c>
      <c r="S305" s="1" t="s">
        <v>2701</v>
      </c>
      <c r="T305" s="1" t="s">
        <v>2753</v>
      </c>
      <c r="U305" s="1">
        <f ca="1" t="shared" si="22"/>
        <v>1</v>
      </c>
    </row>
    <row r="306" spans="1:21">
      <c r="A306" s="1">
        <v>32</v>
      </c>
      <c r="B306" s="1" t="s">
        <v>173</v>
      </c>
      <c r="G306" s="1" t="str">
        <f>IFERROR(_xlfn.FLOOR.MATH(C306,POWER(10,MAX(0,INT(LOG10(C306)-2)))),"")</f>
        <v/>
      </c>
      <c r="H306" s="1" t="str">
        <f>IFERROR(_xlfn.FLOOR.MATH(D306,POWER(10,MAX(0,INT(LOG10(D306)-2)))),"")</f>
        <v/>
      </c>
      <c r="I306" s="1" t="str">
        <f>IFERROR(_xlfn.FLOOR.MATH(E306,POWER(10,MAX(0,INT(LOG10(E306)-2)))),"")</f>
        <v/>
      </c>
      <c r="J306" s="4" t="str">
        <f t="shared" si="20"/>
        <v/>
      </c>
      <c r="O306" s="4"/>
      <c r="P306" s="4" t="str">
        <f t="shared" si="21"/>
        <v/>
      </c>
      <c r="Q306" s="4">
        <f>_xlfn.FLOOR.MATH(K38/控制台!$H$291*控制台!$F$289,5)</f>
        <v>540000</v>
      </c>
      <c r="R306" s="4">
        <f>_xlfn.FLOOR.MATH(O38/控制台!$H$291*控制台!$F$289,5)</f>
        <v>694935</v>
      </c>
      <c r="U306" s="1">
        <f t="shared" si="22"/>
        <v>1</v>
      </c>
    </row>
    <row r="307" spans="1:21">
      <c r="A307" s="1">
        <v>0</v>
      </c>
      <c r="B307" s="1" t="s">
        <v>180</v>
      </c>
      <c r="C307" s="1">
        <f>_xlfn.FLOOR.MATH(D7/控制台!$H$291*控制台!$E$289)</f>
        <v>1350</v>
      </c>
      <c r="D307" s="1">
        <f>_xlfn.FLOOR.MATH(E7/控制台!$H$291*控制台!$E$289)</f>
        <v>1620</v>
      </c>
      <c r="E307" s="1">
        <f>_xlfn.FLOOR.MATH(F7/控制台!$H$291*控制台!$E$289)</f>
        <v>1080</v>
      </c>
      <c r="F307" s="1">
        <f ca="1">_xlfn.FLOOR.MATH(J7*60/控制台!$H$291*控制台!$E$289)</f>
        <v>207</v>
      </c>
      <c r="G307" s="1">
        <f>IFERROR(_xlfn.FLOOR.MATH(C307,POWER(10,MAX(0,INT(LOG10(C307)-2)))),"")</f>
        <v>1350</v>
      </c>
      <c r="H307" s="1">
        <f>IFERROR(_xlfn.FLOOR.MATH(D307,POWER(10,MAX(0,INT(LOG10(D307)-2)))),"")</f>
        <v>1620</v>
      </c>
      <c r="I307" s="1">
        <f>IFERROR(_xlfn.FLOOR.MATH(E307,POWER(10,MAX(0,INT(LOG10(E307)-2)))),"")</f>
        <v>1080</v>
      </c>
      <c r="J307" s="4" t="str">
        <f t="shared" ref="J307:J339" si="23">IF(G307="","",IF(H307="",G307,IF(I307="",CONCATENATE(G307,";",H307),CONCATENATE(G307,";",H307,";",I307))))</f>
        <v>1350;1620;1080</v>
      </c>
      <c r="K307" s="1">
        <f ca="1">IFERROR(_xlfn.FLOOR.MATH($F307*控制台!K338/(控制台!O338*60)),"")</f>
        <v>3</v>
      </c>
      <c r="L307" s="1" t="str">
        <f ca="1">IFERROR(_xlfn.FLOOR.MATH($F307*控制台!L338/(控制台!P338*60)),"")</f>
        <v/>
      </c>
      <c r="M307" s="1" t="str">
        <f ca="1">IFERROR(_xlfn.FLOOR.MATH($F307*控制台!M338/(控制台!Q338*60)),"")</f>
        <v/>
      </c>
      <c r="N307" s="1" t="str">
        <f ca="1">IFERROR(_xlfn.FLOOR.MATH($F307*控制台!N338/(控制台!R338*60)),"")</f>
        <v/>
      </c>
      <c r="O307" s="6" t="s">
        <v>147</v>
      </c>
      <c r="P307" s="6">
        <v>3</v>
      </c>
      <c r="Q307" s="6">
        <v>0</v>
      </c>
      <c r="R307" s="4">
        <f>_xlfn.FLOOR.MATH(O6/控制台!$H$291*控制台!$E$289,5)</f>
        <v>0</v>
      </c>
      <c r="S307" s="1" t="s">
        <v>147</v>
      </c>
      <c r="T307" s="1">
        <v>3</v>
      </c>
      <c r="U307" s="1">
        <f t="shared" si="22"/>
        <v>1</v>
      </c>
    </row>
    <row r="308" spans="1:21">
      <c r="A308" s="1">
        <v>1</v>
      </c>
      <c r="B308" s="1" t="s">
        <v>180</v>
      </c>
      <c r="C308" s="1">
        <f>_xlfn.FLOOR.MATH(D8/控制台!$H$291*控制台!$E$289)</f>
        <v>2700</v>
      </c>
      <c r="D308" s="1">
        <f>_xlfn.FLOOR.MATH(E8/控制台!$H$291*控制台!$E$289)</f>
        <v>3240</v>
      </c>
      <c r="E308" s="1">
        <f>_xlfn.FLOOR.MATH(F8/控制台!$H$291*控制台!$E$289)</f>
        <v>2160</v>
      </c>
      <c r="F308" s="1">
        <f ca="1">_xlfn.FLOOR.MATH(J8*60/控制台!$H$291*控制台!$E$289)</f>
        <v>414</v>
      </c>
      <c r="G308" s="1">
        <f>IFERROR(_xlfn.FLOOR.MATH(C308,POWER(10,MAX(0,INT(LOG10(C308)-2)))),"")</f>
        <v>2700</v>
      </c>
      <c r="H308" s="1">
        <f>IFERROR(_xlfn.FLOOR.MATH(D308,POWER(10,MAX(0,INT(LOG10(D308)-2)))),"")</f>
        <v>3240</v>
      </c>
      <c r="I308" s="1">
        <f>IFERROR(_xlfn.FLOOR.MATH(E308,POWER(10,MAX(0,INT(LOG10(E308)-2)))),"")</f>
        <v>2160</v>
      </c>
      <c r="J308" s="4" t="str">
        <f t="shared" si="23"/>
        <v>2700;3240;2160</v>
      </c>
      <c r="K308" s="1">
        <f ca="1">IFERROR(_xlfn.FLOOR.MATH($F308*控制台!K339/(控制台!O339*60)),"")</f>
        <v>6</v>
      </c>
      <c r="L308" s="1" t="str">
        <f ca="1">IFERROR(_xlfn.FLOOR.MATH($F308*控制台!L339/(控制台!P339*60)),"")</f>
        <v/>
      </c>
      <c r="M308" s="1" t="str">
        <f ca="1">IFERROR(_xlfn.FLOOR.MATH($F308*控制台!M339/(控制台!Q339*60)),"")</f>
        <v/>
      </c>
      <c r="N308" s="1" t="str">
        <f ca="1">IFERROR(_xlfn.FLOOR.MATH($F308*控制台!N339/(控制台!R339*60)),"")</f>
        <v/>
      </c>
      <c r="O308" s="6" t="s">
        <v>144</v>
      </c>
      <c r="P308" s="6" t="s">
        <v>176</v>
      </c>
      <c r="Q308" s="6">
        <v>15</v>
      </c>
      <c r="R308" s="4">
        <f>_xlfn.FLOOR.MATH(O7/控制台!$H$291*控制台!$E$289,5)</f>
        <v>10</v>
      </c>
      <c r="S308" s="1" t="s">
        <v>144</v>
      </c>
      <c r="T308" s="1" t="s">
        <v>176</v>
      </c>
      <c r="U308" s="1">
        <f t="shared" si="22"/>
        <v>1</v>
      </c>
    </row>
    <row r="309" spans="1:21">
      <c r="A309" s="1">
        <v>2</v>
      </c>
      <c r="B309" s="1" t="s">
        <v>180</v>
      </c>
      <c r="C309" s="1">
        <f>_xlfn.FLOOR.MATH(D9/控制台!$H$291*控制台!$E$289)</f>
        <v>4050</v>
      </c>
      <c r="D309" s="1">
        <f>_xlfn.FLOOR.MATH(E9/控制台!$H$291*控制台!$E$289)</f>
        <v>4860</v>
      </c>
      <c r="E309" s="1">
        <f>_xlfn.FLOOR.MATH(F9/控制台!$H$291*控制台!$E$289)</f>
        <v>3240</v>
      </c>
      <c r="F309" s="1">
        <f ca="1">_xlfn.FLOOR.MATH(J9*60/控制台!$H$291*控制台!$E$289)</f>
        <v>622</v>
      </c>
      <c r="G309" s="1">
        <f>IFERROR(_xlfn.FLOOR.MATH(C309,POWER(10,MAX(0,INT(LOG10(C309)-2)))),"")</f>
        <v>4050</v>
      </c>
      <c r="H309" s="1">
        <f>IFERROR(_xlfn.FLOOR.MATH(D309,POWER(10,MAX(0,INT(LOG10(D309)-2)))),"")</f>
        <v>4860</v>
      </c>
      <c r="I309" s="1">
        <f>IFERROR(_xlfn.FLOOR.MATH(E309,POWER(10,MAX(0,INT(LOG10(E309)-2)))),"")</f>
        <v>3240</v>
      </c>
      <c r="J309" s="4" t="str">
        <f t="shared" si="23"/>
        <v>4050;4860;3240</v>
      </c>
      <c r="K309" s="1">
        <f ca="1">IFERROR(_xlfn.FLOOR.MATH($F309*控制台!K340/(控制台!O340*60)),"")</f>
        <v>2</v>
      </c>
      <c r="L309" s="1">
        <f ca="1">IFERROR(_xlfn.FLOOR.MATH($F309*控制台!L340/(控制台!P340*60)),"")</f>
        <v>2</v>
      </c>
      <c r="M309" s="1" t="str">
        <f ca="1">IFERROR(_xlfn.FLOOR.MATH($F309*控制台!M340/(控制台!Q340*60)),"")</f>
        <v/>
      </c>
      <c r="N309" s="1" t="str">
        <f ca="1">IFERROR(_xlfn.FLOOR.MATH($F309*控制台!N340/(控制台!R340*60)),"")</f>
        <v/>
      </c>
      <c r="O309" s="6" t="s">
        <v>144</v>
      </c>
      <c r="P309" s="6" t="s">
        <v>177</v>
      </c>
      <c r="Q309" s="6">
        <v>30</v>
      </c>
      <c r="R309" s="4">
        <f>_xlfn.FLOOR.MATH(O8/控制台!$H$291*控制台!$E$289,5)</f>
        <v>30</v>
      </c>
      <c r="S309" s="1" t="s">
        <v>144</v>
      </c>
      <c r="T309" s="1" t="s">
        <v>177</v>
      </c>
      <c r="U309" s="1">
        <f t="shared" si="22"/>
        <v>1</v>
      </c>
    </row>
    <row r="310" spans="1:21">
      <c r="A310" s="1">
        <v>3</v>
      </c>
      <c r="B310" s="1" t="s">
        <v>180</v>
      </c>
      <c r="C310" s="1">
        <f>_xlfn.FLOOR.MATH(D10/控制台!$H$291*控制台!$E$289)</f>
        <v>5400</v>
      </c>
      <c r="D310" s="1">
        <f>_xlfn.FLOOR.MATH(E10/控制台!$H$291*控制台!$E$289)</f>
        <v>6480</v>
      </c>
      <c r="E310" s="1">
        <f>_xlfn.FLOOR.MATH(F10/控制台!$H$291*控制台!$E$289)</f>
        <v>4320</v>
      </c>
      <c r="F310" s="1">
        <f ca="1">_xlfn.FLOOR.MATH(J10*60/控制台!$H$291*控制台!$E$289)</f>
        <v>1036</v>
      </c>
      <c r="G310" s="1">
        <f>IFERROR(_xlfn.FLOOR.MATH(C310,POWER(10,MAX(0,INT(LOG10(C310)-2)))),"")</f>
        <v>5400</v>
      </c>
      <c r="H310" s="1">
        <f>IFERROR(_xlfn.FLOOR.MATH(D310,POWER(10,MAX(0,INT(LOG10(D310)-2)))),"")</f>
        <v>6480</v>
      </c>
      <c r="I310" s="1">
        <f>IFERROR(_xlfn.FLOOR.MATH(E310,POWER(10,MAX(0,INT(LOG10(E310)-2)))),"")</f>
        <v>4320</v>
      </c>
      <c r="J310" s="4" t="str">
        <f t="shared" si="23"/>
        <v>5400;6480;4320</v>
      </c>
      <c r="K310" s="1">
        <f ca="1">IFERROR(_xlfn.FLOOR.MATH($F310*控制台!K341/(控制台!O341*60)),"")</f>
        <v>3</v>
      </c>
      <c r="L310" s="1">
        <f ca="1">IFERROR(_xlfn.FLOOR.MATH($F310*控制台!L341/(控制台!P341*60)),"")</f>
        <v>3</v>
      </c>
      <c r="M310" s="1" t="str">
        <f ca="1">IFERROR(_xlfn.FLOOR.MATH($F310*控制台!M341/(控制台!Q341*60)),"")</f>
        <v/>
      </c>
      <c r="N310" s="1" t="str">
        <f ca="1">IFERROR(_xlfn.FLOOR.MATH($F310*控制台!N341/(控制台!R341*60)),"")</f>
        <v/>
      </c>
      <c r="O310" s="6" t="s">
        <v>152</v>
      </c>
      <c r="P310" s="6" t="s">
        <v>181</v>
      </c>
      <c r="Q310" s="6">
        <v>45</v>
      </c>
      <c r="R310" s="4">
        <f>_xlfn.FLOOR.MATH(O9/控制台!$H$291*控制台!$E$289,5)</f>
        <v>60</v>
      </c>
      <c r="S310" s="1" t="s">
        <v>152</v>
      </c>
      <c r="T310" s="1" t="s">
        <v>181</v>
      </c>
      <c r="U310" s="1">
        <f t="shared" si="22"/>
        <v>1</v>
      </c>
    </row>
    <row r="311" spans="1:21">
      <c r="A311" s="1">
        <v>4</v>
      </c>
      <c r="B311" s="1" t="s">
        <v>180</v>
      </c>
      <c r="C311" s="1">
        <f>_xlfn.FLOOR.MATH(D11/控制台!$H$291*控制台!$E$289)</f>
        <v>9000</v>
      </c>
      <c r="D311" s="1">
        <f>_xlfn.FLOOR.MATH(E11/控制台!$H$291*控制台!$E$289)</f>
        <v>10800</v>
      </c>
      <c r="E311" s="1">
        <f>_xlfn.FLOOR.MATH(F11/控制台!$H$291*控制台!$E$289)</f>
        <v>7200</v>
      </c>
      <c r="F311" s="1">
        <f ca="1">_xlfn.FLOOR.MATH(J11*60/控制台!$H$291*控制台!$E$289)</f>
        <v>1658</v>
      </c>
      <c r="G311" s="1">
        <f>IFERROR(_xlfn.FLOOR.MATH(C311,POWER(10,MAX(0,INT(LOG10(C311)-2)))),"")</f>
        <v>9000</v>
      </c>
      <c r="H311" s="1">
        <f>IFERROR(_xlfn.FLOOR.MATH(D311,POWER(10,MAX(0,INT(LOG10(D311)-2)))),"")</f>
        <v>10800</v>
      </c>
      <c r="I311" s="1">
        <f>IFERROR(_xlfn.FLOOR.MATH(E311,POWER(10,MAX(0,INT(LOG10(E311)-2)))),"")</f>
        <v>7200</v>
      </c>
      <c r="J311" s="4" t="str">
        <f t="shared" si="23"/>
        <v>9000;10800;7200</v>
      </c>
      <c r="K311" s="1">
        <f ca="1">IFERROR(_xlfn.FLOOR.MATH($F311*控制台!K342/(控制台!O342*60)),"")</f>
        <v>6</v>
      </c>
      <c r="L311" s="1">
        <f ca="1">IFERROR(_xlfn.FLOOR.MATH($F311*控制台!L342/(控制台!P342*60)),"")</f>
        <v>5</v>
      </c>
      <c r="M311" s="1" t="str">
        <f ca="1">IFERROR(_xlfn.FLOOR.MATH($F311*控制台!M342/(控制台!Q342*60)),"")</f>
        <v/>
      </c>
      <c r="N311" s="1" t="str">
        <f ca="1">IFERROR(_xlfn.FLOOR.MATH($F311*控制台!N342/(控制台!R342*60)),"")</f>
        <v/>
      </c>
      <c r="O311" s="6" t="s">
        <v>152</v>
      </c>
      <c r="P311" s="6" t="s">
        <v>182</v>
      </c>
      <c r="Q311" s="6">
        <v>60</v>
      </c>
      <c r="R311" s="4">
        <f>_xlfn.FLOOR.MATH(O10/控制台!$H$291*控制台!$E$289,5)</f>
        <v>110</v>
      </c>
      <c r="S311" s="1" t="s">
        <v>152</v>
      </c>
      <c r="T311" s="1" t="s">
        <v>182</v>
      </c>
      <c r="U311" s="1">
        <f t="shared" si="22"/>
        <v>1</v>
      </c>
    </row>
    <row r="312" spans="1:21">
      <c r="A312" s="1">
        <v>5</v>
      </c>
      <c r="B312" s="1" t="s">
        <v>180</v>
      </c>
      <c r="C312" s="1">
        <f>_xlfn.FLOOR.MATH(D12/控制台!$H$291*控制台!$E$289)</f>
        <v>18000</v>
      </c>
      <c r="D312" s="1">
        <f>_xlfn.FLOOR.MATH(E12/控制台!$H$291*控制台!$E$289)</f>
        <v>21600</v>
      </c>
      <c r="E312" s="1">
        <f>_xlfn.FLOOR.MATH(F12/控制台!$H$291*控制台!$E$289)</f>
        <v>14400</v>
      </c>
      <c r="F312" s="1">
        <f ca="1">_xlfn.FLOOR.MATH(J12*60/控制台!$H$291*控制台!$E$289)</f>
        <v>3110</v>
      </c>
      <c r="G312" s="1">
        <f>IFERROR(_xlfn.FLOOR.MATH(C312,POWER(10,MAX(0,INT(LOG10(C312)-2)))),"")</f>
        <v>18000</v>
      </c>
      <c r="H312" s="1">
        <f>IFERROR(_xlfn.FLOOR.MATH(D312,POWER(10,MAX(0,INT(LOG10(D312)-2)))),"")</f>
        <v>21600</v>
      </c>
      <c r="I312" s="1">
        <f>IFERROR(_xlfn.FLOOR.MATH(E312,POWER(10,MAX(0,INT(LOG10(E312)-2)))),"")</f>
        <v>14400</v>
      </c>
      <c r="J312" s="4" t="str">
        <f t="shared" si="23"/>
        <v>18000;21600;14400</v>
      </c>
      <c r="K312" s="1">
        <f ca="1">IFERROR(_xlfn.FLOOR.MATH($F312*控制台!K343/(控制台!O343*60)),"")</f>
        <v>11</v>
      </c>
      <c r="L312" s="1">
        <f ca="1">IFERROR(_xlfn.FLOOR.MATH($F312*控制台!L343/(控制台!P343*60)),"")</f>
        <v>10</v>
      </c>
      <c r="M312" s="1" t="str">
        <f ca="1">IFERROR(_xlfn.FLOOR.MATH($F312*控制台!M343/(控制台!Q343*60)),"")</f>
        <v/>
      </c>
      <c r="N312" s="1" t="str">
        <f ca="1">IFERROR(_xlfn.FLOOR.MATH($F312*控制台!N343/(控制台!R343*60)),"")</f>
        <v/>
      </c>
      <c r="O312" s="6" t="s">
        <v>152</v>
      </c>
      <c r="P312" s="6" t="s">
        <v>182</v>
      </c>
      <c r="Q312" s="6">
        <v>105</v>
      </c>
      <c r="R312" s="4">
        <f>_xlfn.FLOOR.MATH(O11/控制台!$H$291*控制台!$E$289,5)</f>
        <v>190</v>
      </c>
      <c r="S312" s="1" t="s">
        <v>152</v>
      </c>
      <c r="T312" s="1" t="s">
        <v>182</v>
      </c>
      <c r="U312" s="1">
        <f t="shared" si="22"/>
        <v>1</v>
      </c>
    </row>
    <row r="313" spans="1:21">
      <c r="A313" s="1">
        <v>6</v>
      </c>
      <c r="B313" s="1" t="s">
        <v>180</v>
      </c>
      <c r="C313" s="1">
        <f>_xlfn.FLOOR.MATH(D13/控制台!$H$291*控制台!$E$289)</f>
        <v>27000</v>
      </c>
      <c r="D313" s="1">
        <f>_xlfn.FLOOR.MATH(E13/控制台!$H$291*控制台!$E$289)</f>
        <v>32400</v>
      </c>
      <c r="E313" s="1">
        <f>_xlfn.FLOOR.MATH(F13/控制台!$H$291*控制台!$E$289)</f>
        <v>21600</v>
      </c>
      <c r="F313" s="1">
        <f ca="1">_xlfn.FLOOR.MATH(J13*60/控制台!$H$291*控制台!$E$289)</f>
        <v>6220</v>
      </c>
      <c r="G313" s="1">
        <f>IFERROR(_xlfn.FLOOR.MATH(C313,POWER(10,MAX(0,INT(LOG10(C313)-2)))),"")</f>
        <v>27000</v>
      </c>
      <c r="H313" s="1">
        <f>IFERROR(_xlfn.FLOOR.MATH(D313,POWER(10,MAX(0,INT(LOG10(D313)-2)))),"")</f>
        <v>32400</v>
      </c>
      <c r="I313" s="1">
        <f>IFERROR(_xlfn.FLOOR.MATH(E313,POWER(10,MAX(0,INT(LOG10(E313)-2)))),"")</f>
        <v>21600</v>
      </c>
      <c r="J313" s="4" t="str">
        <f t="shared" si="23"/>
        <v>27000;32400;21600</v>
      </c>
      <c r="K313" s="1">
        <f ca="1">IFERROR(_xlfn.FLOOR.MATH($F313*控制台!K344/(控制台!O344*60)),"")</f>
        <v>5</v>
      </c>
      <c r="L313" s="1">
        <f ca="1">IFERROR(_xlfn.FLOOR.MATH($F313*控制台!L344/(控制台!P344*60)),"")</f>
        <v>4</v>
      </c>
      <c r="M313" s="1">
        <f ca="1">IFERROR(_xlfn.FLOOR.MATH($F313*控制台!M344/(控制台!Q344*60)),"")</f>
        <v>3</v>
      </c>
      <c r="N313" s="1" t="str">
        <f ca="1">IFERROR(_xlfn.FLOOR.MATH($F313*控制台!N344/(控制台!R344*60)),"")</f>
        <v/>
      </c>
      <c r="O313" s="6" t="s">
        <v>152</v>
      </c>
      <c r="P313" s="6" t="s">
        <v>183</v>
      </c>
      <c r="Q313" s="4">
        <f>_xlfn.FLOOR.MATH(K12/控制台!$H$291*控制台!$E$289,5)</f>
        <v>215</v>
      </c>
      <c r="R313" s="4">
        <f>_xlfn.FLOOR.MATH(O12/控制台!$H$291*控制台!$E$289,5)</f>
        <v>340</v>
      </c>
      <c r="S313" s="1" t="s">
        <v>152</v>
      </c>
      <c r="T313" s="1" t="s">
        <v>183</v>
      </c>
      <c r="U313" s="1">
        <f t="shared" si="22"/>
        <v>1</v>
      </c>
    </row>
    <row r="314" spans="1:21">
      <c r="A314" s="1">
        <v>7</v>
      </c>
      <c r="B314" s="1" t="s">
        <v>180</v>
      </c>
      <c r="C314" s="1">
        <f>_xlfn.FLOOR.MATH(D14/控制台!$H$291*控制台!$E$289)</f>
        <v>36000</v>
      </c>
      <c r="D314" s="1">
        <f>_xlfn.FLOOR.MATH(E14/控制台!$H$291*控制台!$E$289)</f>
        <v>43200</v>
      </c>
      <c r="E314" s="1">
        <f>_xlfn.FLOOR.MATH(F14/控制台!$H$291*控制台!$E$289)</f>
        <v>28800</v>
      </c>
      <c r="F314" s="1">
        <f ca="1">_xlfn.FLOOR.MATH(J14*60/控制台!$H$291*控制台!$E$289)</f>
        <v>8294</v>
      </c>
      <c r="G314" s="1">
        <f>IFERROR(_xlfn.FLOOR.MATH(C314,POWER(10,MAX(0,INT(LOG10(C314)-2)))),"")</f>
        <v>36000</v>
      </c>
      <c r="H314" s="1">
        <f>IFERROR(_xlfn.FLOOR.MATH(D314,POWER(10,MAX(0,INT(LOG10(D314)-2)))),"")</f>
        <v>43200</v>
      </c>
      <c r="I314" s="1">
        <f>IFERROR(_xlfn.FLOOR.MATH(E314,POWER(10,MAX(0,INT(LOG10(E314)-2)))),"")</f>
        <v>28800</v>
      </c>
      <c r="J314" s="4" t="str">
        <f t="shared" si="23"/>
        <v>36000;43200;28800</v>
      </c>
      <c r="K314" s="1">
        <f ca="1">IFERROR(_xlfn.FLOOR.MATH($F314*控制台!K345/(控制台!O345*60)),"")</f>
        <v>7</v>
      </c>
      <c r="L314" s="1">
        <f ca="1">IFERROR(_xlfn.FLOOR.MATH($F314*控制台!L345/(控制台!P345*60)),"")</f>
        <v>6</v>
      </c>
      <c r="M314" s="1">
        <f ca="1">IFERROR(_xlfn.FLOOR.MATH($F314*控制台!M345/(控制台!Q345*60)),"")</f>
        <v>5</v>
      </c>
      <c r="N314" s="1" t="str">
        <f ca="1">IFERROR(_xlfn.FLOOR.MATH($F314*控制台!N345/(控制台!R345*60)),"")</f>
        <v/>
      </c>
      <c r="O314" s="6" t="s">
        <v>152</v>
      </c>
      <c r="P314" s="6" t="s">
        <v>185</v>
      </c>
      <c r="Q314" s="4">
        <f>_xlfn.FLOOR.MATH(K13/控制台!$H$291*控制台!$E$289,5)</f>
        <v>320</v>
      </c>
      <c r="R314" s="4">
        <f>_xlfn.FLOOR.MATH(O13/控制台!$H$291*控制台!$E$289,5)</f>
        <v>640</v>
      </c>
      <c r="S314" s="1" t="s">
        <v>152</v>
      </c>
      <c r="T314" s="1" t="s">
        <v>185</v>
      </c>
      <c r="U314" s="1">
        <f t="shared" si="22"/>
        <v>1</v>
      </c>
    </row>
    <row r="315" spans="1:21">
      <c r="A315" s="1">
        <v>8</v>
      </c>
      <c r="B315" s="1" t="s">
        <v>180</v>
      </c>
      <c r="C315" s="1">
        <f>_xlfn.FLOOR.MATH(D15/控制台!$H$291*控制台!$E$289)</f>
        <v>45000</v>
      </c>
      <c r="D315" s="1">
        <f>_xlfn.FLOOR.MATH(E15/控制台!$H$291*控制台!$E$289)</f>
        <v>54000</v>
      </c>
      <c r="E315" s="1">
        <f>_xlfn.FLOOR.MATH(F15/控制台!$H$291*控制台!$E$289)</f>
        <v>36000</v>
      </c>
      <c r="F315" s="1">
        <f ca="1">_xlfn.FLOOR.MATH(J15*60/控制台!$H$291*控制台!$E$289)</f>
        <v>10368</v>
      </c>
      <c r="G315" s="1">
        <f>IFERROR(_xlfn.FLOOR.MATH(C315,POWER(10,MAX(0,INT(LOG10(C315)-2)))),"")</f>
        <v>45000</v>
      </c>
      <c r="H315" s="1">
        <f>IFERROR(_xlfn.FLOOR.MATH(D315,POWER(10,MAX(0,INT(LOG10(D315)-2)))),"")</f>
        <v>54000</v>
      </c>
      <c r="I315" s="1">
        <f>IFERROR(_xlfn.FLOOR.MATH(E315,POWER(10,MAX(0,INT(LOG10(E315)-2)))),"")</f>
        <v>36000</v>
      </c>
      <c r="J315" s="4" t="str">
        <f t="shared" si="23"/>
        <v>45000;54000;36000</v>
      </c>
      <c r="K315" s="1">
        <f ca="1">IFERROR(_xlfn.FLOOR.MATH($F315*控制台!K346/(控制台!O346*60)),"")</f>
        <v>8</v>
      </c>
      <c r="L315" s="1">
        <f ca="1">IFERROR(_xlfn.FLOOR.MATH($F315*控制台!L346/(控制台!P346*60)),"")</f>
        <v>7</v>
      </c>
      <c r="M315" s="1">
        <f ca="1">IFERROR(_xlfn.FLOOR.MATH($F315*控制台!M346/(控制台!Q346*60)),"")</f>
        <v>6</v>
      </c>
      <c r="N315" s="1" t="str">
        <f ca="1">IFERROR(_xlfn.FLOOR.MATH($F315*控制台!N346/(控制台!R346*60)),"")</f>
        <v/>
      </c>
      <c r="O315" s="4" t="str">
        <f ca="1">控制台!W346</f>
        <v>board;brick;cement</v>
      </c>
      <c r="P315" s="4" t="str">
        <f ca="1" t="shared" ref="P315:P339" si="24">IF(K315="","",IF(L315="",K315,IF(M315="",CONCATENATE(K315,";",L315),IF(N315="",CONCATENATE(K315,";",L315,";",M315),CONCATENATE(K315,";",L315,";",M315,";",N315)))))</f>
        <v>8;7;6</v>
      </c>
      <c r="Q315" s="4">
        <f>_xlfn.FLOOR.MATH(K14/控制台!$H$291*控制台!$E$289,5)</f>
        <v>430</v>
      </c>
      <c r="R315" s="4">
        <f>_xlfn.FLOOR.MATH(O14/控制台!$H$291*控制台!$E$289,5)</f>
        <v>1035</v>
      </c>
      <c r="S315" s="1" t="s">
        <v>152</v>
      </c>
      <c r="T315" s="1" t="s">
        <v>2734</v>
      </c>
      <c r="U315" s="1">
        <f ca="1" t="shared" si="22"/>
        <v>1</v>
      </c>
    </row>
    <row r="316" spans="1:21">
      <c r="A316" s="1">
        <v>9</v>
      </c>
      <c r="B316" s="1" t="s">
        <v>180</v>
      </c>
      <c r="C316" s="1">
        <f>_xlfn.FLOOR.MATH(D16/控制台!$H$291*控制台!$E$289)</f>
        <v>63000</v>
      </c>
      <c r="D316" s="1">
        <f>_xlfn.FLOOR.MATH(E16/控制台!$H$291*控制台!$E$289)</f>
        <v>75600</v>
      </c>
      <c r="E316" s="1">
        <f>_xlfn.FLOOR.MATH(F16/控制台!$H$291*控制台!$E$289)</f>
        <v>50400</v>
      </c>
      <c r="F316" s="1">
        <f ca="1">_xlfn.FLOOR.MATH(J16*60/控制台!$H$291*控制台!$E$289)</f>
        <v>12441</v>
      </c>
      <c r="G316" s="1">
        <f>IFERROR(_xlfn.FLOOR.MATH(C316,POWER(10,MAX(0,INT(LOG10(C316)-2)))),"")</f>
        <v>63000</v>
      </c>
      <c r="H316" s="1">
        <f>IFERROR(_xlfn.FLOOR.MATH(D316,POWER(10,MAX(0,INT(LOG10(D316)-2)))),"")</f>
        <v>75600</v>
      </c>
      <c r="I316" s="1">
        <f>IFERROR(_xlfn.FLOOR.MATH(E316,POWER(10,MAX(0,INT(LOG10(E316)-2)))),"")</f>
        <v>50400</v>
      </c>
      <c r="J316" s="4" t="str">
        <f t="shared" si="23"/>
        <v>63000;75600;50400</v>
      </c>
      <c r="K316" s="1">
        <f ca="1">IFERROR(_xlfn.FLOOR.MATH($F316*控制台!K347/(控制台!O347*60)),"")</f>
        <v>10</v>
      </c>
      <c r="L316" s="1">
        <f ca="1">IFERROR(_xlfn.FLOOR.MATH($F316*控制台!L347/(控制台!P347*60)),"")</f>
        <v>9</v>
      </c>
      <c r="M316" s="1">
        <f ca="1">IFERROR(_xlfn.FLOOR.MATH($F316*控制台!M347/(控制台!Q347*60)),"")</f>
        <v>7</v>
      </c>
      <c r="N316" s="1" t="str">
        <f ca="1">IFERROR(_xlfn.FLOOR.MATH($F316*控制台!N347/(控制台!R347*60)),"")</f>
        <v/>
      </c>
      <c r="O316" s="4" t="str">
        <f ca="1">控制台!W347</f>
        <v>board;brick;cement</v>
      </c>
      <c r="P316" s="4" t="str">
        <f ca="1" t="shared" si="24"/>
        <v>10;9;7</v>
      </c>
      <c r="Q316" s="4">
        <f>_xlfn.FLOOR.MATH(K15/控制台!$H$291*控制台!$E$289,5)</f>
        <v>540</v>
      </c>
      <c r="R316" s="4">
        <f>_xlfn.FLOOR.MATH(O15/控制台!$H$291*控制台!$E$289,5)</f>
        <v>1535</v>
      </c>
      <c r="S316" s="1" t="s">
        <v>152</v>
      </c>
      <c r="T316" s="1" t="s">
        <v>2710</v>
      </c>
      <c r="U316" s="1">
        <f ca="1" t="shared" si="22"/>
        <v>1</v>
      </c>
    </row>
    <row r="317" spans="1:21">
      <c r="A317" s="1">
        <v>10</v>
      </c>
      <c r="B317" s="1" t="s">
        <v>180</v>
      </c>
      <c r="C317" s="1">
        <f>_xlfn.FLOOR.MATH(D17/控制台!$H$291*控制台!$E$289)</f>
        <v>81000</v>
      </c>
      <c r="D317" s="1">
        <f>_xlfn.FLOOR.MATH(E17/控制台!$H$291*控制台!$E$289)</f>
        <v>97200</v>
      </c>
      <c r="E317" s="1">
        <f>_xlfn.FLOOR.MATH(F17/控制台!$H$291*控制台!$E$289)</f>
        <v>64800</v>
      </c>
      <c r="F317" s="1">
        <f ca="1">_xlfn.FLOOR.MATH(J17*60/控制台!$H$291*控制台!$E$289)</f>
        <v>14515</v>
      </c>
      <c r="G317" s="1">
        <f>IFERROR(_xlfn.FLOOR.MATH(C317,POWER(10,MAX(0,INT(LOG10(C317)-2)))),"")</f>
        <v>81000</v>
      </c>
      <c r="H317" s="1">
        <f>IFERROR(_xlfn.FLOOR.MATH(D317,POWER(10,MAX(0,INT(LOG10(D317)-2)))),"")</f>
        <v>97200</v>
      </c>
      <c r="I317" s="1">
        <f>IFERROR(_xlfn.FLOOR.MATH(E317,POWER(10,MAX(0,INT(LOG10(E317)-2)))),"")</f>
        <v>64800</v>
      </c>
      <c r="J317" s="4" t="str">
        <f t="shared" si="23"/>
        <v>81000;97200;64800</v>
      </c>
      <c r="K317" s="1">
        <f ca="1">IFERROR(_xlfn.FLOOR.MATH($F317*控制台!K348/(控制台!O348*60)),"")</f>
        <v>12</v>
      </c>
      <c r="L317" s="1">
        <f ca="1">IFERROR(_xlfn.FLOOR.MATH($F317*控制台!L348/(控制台!P348*60)),"")</f>
        <v>10</v>
      </c>
      <c r="M317" s="1">
        <f ca="1">IFERROR(_xlfn.FLOOR.MATH($F317*控制台!M348/(控制台!Q348*60)),"")</f>
        <v>9</v>
      </c>
      <c r="N317" s="1" t="str">
        <f ca="1">IFERROR(_xlfn.FLOOR.MATH($F317*控制台!N348/(控制台!R348*60)),"")</f>
        <v/>
      </c>
      <c r="O317" s="4" t="str">
        <f ca="1">控制台!W348</f>
        <v>board;brick;cement</v>
      </c>
      <c r="P317" s="4" t="str">
        <f ca="1" t="shared" si="24"/>
        <v>12;10;9</v>
      </c>
      <c r="Q317" s="4">
        <f>_xlfn.FLOOR.MATH(K16/控制台!$H$291*控制台!$E$289,5)</f>
        <v>755</v>
      </c>
      <c r="R317" s="4">
        <f>_xlfn.FLOOR.MATH(O16/控制台!$H$291*控制台!$E$289,5)</f>
        <v>2135</v>
      </c>
      <c r="S317" s="1" t="s">
        <v>152</v>
      </c>
      <c r="T317" s="1" t="s">
        <v>2735</v>
      </c>
      <c r="U317" s="1">
        <f ca="1" t="shared" si="22"/>
        <v>1</v>
      </c>
    </row>
    <row r="318" spans="1:21">
      <c r="A318" s="1">
        <v>11</v>
      </c>
      <c r="B318" s="1" t="s">
        <v>180</v>
      </c>
      <c r="C318" s="1">
        <f>_xlfn.FLOOR.MATH(D18/控制台!$H$291*控制台!$E$289)</f>
        <v>90000</v>
      </c>
      <c r="D318" s="1">
        <f>_xlfn.FLOOR.MATH(E18/控制台!$H$291*控制台!$E$289)</f>
        <v>108000</v>
      </c>
      <c r="E318" s="1">
        <f>_xlfn.FLOOR.MATH(F18/控制台!$H$291*控制台!$E$289)</f>
        <v>72000</v>
      </c>
      <c r="F318" s="1">
        <f ca="1">_xlfn.FLOOR.MATH(J18*60/控制台!$H$291*控制台!$E$289)</f>
        <v>18247</v>
      </c>
      <c r="G318" s="1">
        <f>IFERROR(_xlfn.FLOOR.MATH(C318,POWER(10,MAX(0,INT(LOG10(C318)-2)))),"")</f>
        <v>90000</v>
      </c>
      <c r="H318" s="1">
        <f>IFERROR(_xlfn.FLOOR.MATH(D318,POWER(10,MAX(0,INT(LOG10(D318)-2)))),"")</f>
        <v>108000</v>
      </c>
      <c r="I318" s="1">
        <f>IFERROR(_xlfn.FLOOR.MATH(E318,POWER(10,MAX(0,INT(LOG10(E318)-2)))),"")</f>
        <v>72000</v>
      </c>
      <c r="J318" s="4" t="str">
        <f t="shared" si="23"/>
        <v>90000;108000;72000</v>
      </c>
      <c r="K318" s="1">
        <f ca="1">IFERROR(_xlfn.FLOOR.MATH($F318*控制台!K349/(控制台!O349*60)),"")</f>
        <v>15</v>
      </c>
      <c r="L318" s="1">
        <f ca="1">IFERROR(_xlfn.FLOOR.MATH($F318*控制台!L349/(控制台!P349*60)),"")</f>
        <v>13</v>
      </c>
      <c r="M318" s="1">
        <f ca="1">IFERROR(_xlfn.FLOOR.MATH($F318*控制台!M349/(控制台!Q349*60)),"")</f>
        <v>11</v>
      </c>
      <c r="N318" s="1" t="str">
        <f ca="1">IFERROR(_xlfn.FLOOR.MATH($F318*控制台!N349/(控制台!R349*60)),"")</f>
        <v/>
      </c>
      <c r="O318" s="4" t="str">
        <f ca="1">控制台!W349</f>
        <v>board;brick;cement</v>
      </c>
      <c r="P318" s="4" t="str">
        <f ca="1" t="shared" si="24"/>
        <v>15;13;11</v>
      </c>
      <c r="Q318" s="4">
        <f>_xlfn.FLOOR.MATH(K17/控制台!$H$291*控制台!$E$289,5)</f>
        <v>970</v>
      </c>
      <c r="R318" s="4">
        <f>_xlfn.FLOOR.MATH(O17/控制台!$H$291*控制台!$E$289,5)</f>
        <v>2845</v>
      </c>
      <c r="S318" s="1" t="s">
        <v>152</v>
      </c>
      <c r="T318" s="1" t="s">
        <v>153</v>
      </c>
      <c r="U318" s="1">
        <f ca="1" t="shared" si="22"/>
        <v>1</v>
      </c>
    </row>
    <row r="319" spans="1:21">
      <c r="A319" s="1">
        <v>12</v>
      </c>
      <c r="B319" s="1" t="s">
        <v>180</v>
      </c>
      <c r="C319" s="1">
        <f>_xlfn.FLOOR.MATH(D19/控制台!$H$291*控制台!$E$289)</f>
        <v>135000</v>
      </c>
      <c r="D319" s="1">
        <f>_xlfn.FLOOR.MATH(E19/控制台!$H$291*控制台!$E$289)</f>
        <v>162000</v>
      </c>
      <c r="E319" s="1">
        <f>_xlfn.FLOOR.MATH(F19/控制台!$H$291*控制台!$E$289)</f>
        <v>108000</v>
      </c>
      <c r="F319" s="1">
        <f ca="1">_xlfn.FLOOR.MATH(J19*60/控制台!$H$291*控制台!$E$289)</f>
        <v>22809</v>
      </c>
      <c r="G319" s="1">
        <f>IFERROR(_xlfn.FLOOR.MATH(C319,POWER(10,MAX(0,INT(LOG10(C319)-2)))),"")</f>
        <v>135000</v>
      </c>
      <c r="H319" s="1">
        <f>IFERROR(_xlfn.FLOOR.MATH(D319,POWER(10,MAX(0,INT(LOG10(D319)-2)))),"")</f>
        <v>162000</v>
      </c>
      <c r="I319" s="1">
        <f>IFERROR(_xlfn.FLOOR.MATH(E319,POWER(10,MAX(0,INT(LOG10(E319)-2)))),"")</f>
        <v>108000</v>
      </c>
      <c r="J319" s="4" t="str">
        <f t="shared" si="23"/>
        <v>135000;162000;108000</v>
      </c>
      <c r="K319" s="1">
        <f ca="1">IFERROR(_xlfn.FLOOR.MATH($F319*控制台!K350/(控制台!O350*60)),"")</f>
        <v>19</v>
      </c>
      <c r="L319" s="1">
        <f ca="1">IFERROR(_xlfn.FLOOR.MATH($F319*控制台!L350/(控制台!P350*60)),"")</f>
        <v>17</v>
      </c>
      <c r="M319" s="1">
        <f ca="1">IFERROR(_xlfn.FLOOR.MATH($F319*控制台!M350/(控制台!Q350*60)),"")</f>
        <v>14</v>
      </c>
      <c r="N319" s="1" t="str">
        <f ca="1">IFERROR(_xlfn.FLOOR.MATH($F319*控制台!N350/(控制台!R350*60)),"")</f>
        <v/>
      </c>
      <c r="O319" s="4" t="str">
        <f ca="1">控制台!W350</f>
        <v>board;brick;cement</v>
      </c>
      <c r="P319" s="4" t="str">
        <f ca="1" t="shared" si="24"/>
        <v>19;17;14</v>
      </c>
      <c r="Q319" s="4">
        <f>_xlfn.FLOOR.MATH(K18/控制台!$H$291*控制台!$E$289,5)</f>
        <v>1080</v>
      </c>
      <c r="R319" s="4">
        <f>_xlfn.FLOOR.MATH(O18/控制台!$H$291*控制台!$E$289,5)</f>
        <v>3650</v>
      </c>
      <c r="S319" s="1" t="s">
        <v>152</v>
      </c>
      <c r="T319" s="1" t="s">
        <v>2736</v>
      </c>
      <c r="U319" s="1">
        <f ca="1" t="shared" si="22"/>
        <v>1</v>
      </c>
    </row>
    <row r="320" spans="1:21">
      <c r="A320" s="1">
        <v>13</v>
      </c>
      <c r="B320" s="1" t="s">
        <v>180</v>
      </c>
      <c r="C320" s="1">
        <f>_xlfn.FLOOR.MATH(D20/控制台!$H$291*控制台!$E$289)</f>
        <v>270000</v>
      </c>
      <c r="D320" s="1">
        <f>_xlfn.FLOOR.MATH(E20/控制台!$H$291*控制台!$E$289)</f>
        <v>324000</v>
      </c>
      <c r="E320" s="1">
        <f>_xlfn.FLOOR.MATH(F20/控制台!$H$291*控制台!$E$289)</f>
        <v>216000</v>
      </c>
      <c r="F320" s="1">
        <f ca="1">_xlfn.FLOOR.MATH(J20*60/控制台!$H$291*控制台!$E$289)</f>
        <v>34214</v>
      </c>
      <c r="G320" s="1">
        <f>IFERROR(_xlfn.FLOOR.MATH(C320,POWER(10,MAX(0,INT(LOG10(C320)-2)))),"")</f>
        <v>270000</v>
      </c>
      <c r="H320" s="1">
        <f>IFERROR(_xlfn.FLOOR.MATH(D320,POWER(10,MAX(0,INT(LOG10(D320)-2)))),"")</f>
        <v>324000</v>
      </c>
      <c r="I320" s="1">
        <f>IFERROR(_xlfn.FLOOR.MATH(E320,POWER(10,MAX(0,INT(LOG10(E320)-2)))),"")</f>
        <v>216000</v>
      </c>
      <c r="J320" s="4" t="str">
        <f t="shared" si="23"/>
        <v>270000;324000;216000</v>
      </c>
      <c r="K320" s="1">
        <f ca="1">IFERROR(_xlfn.FLOOR.MATH($F320*控制台!K351/(控制台!O351*60)),"")</f>
        <v>15</v>
      </c>
      <c r="L320" s="1">
        <f ca="1">IFERROR(_xlfn.FLOOR.MATH($F320*控制台!L351/(控制台!P351*60)),"")</f>
        <v>11</v>
      </c>
      <c r="M320" s="1">
        <f ca="1">IFERROR(_xlfn.FLOOR.MATH($F320*控制台!M351/(控制台!Q351*60)),"")</f>
        <v>9</v>
      </c>
      <c r="N320" s="1" t="str">
        <f ca="1">IFERROR(_xlfn.FLOOR.MATH($F320*控制台!N351/(控制台!R351*60)),"")</f>
        <v/>
      </c>
      <c r="O320" s="4" t="str">
        <f ca="1">控制台!W351</f>
        <v>board;cement;steel</v>
      </c>
      <c r="P320" s="4" t="str">
        <f ca="1" t="shared" si="24"/>
        <v>15;11;9</v>
      </c>
      <c r="Q320" s="4">
        <f>_xlfn.FLOOR.MATH(K19/控制台!$H$291*控制台!$E$289,5)</f>
        <v>1620</v>
      </c>
      <c r="R320" s="4">
        <f>_xlfn.FLOOR.MATH(O19/控制台!$H$291*控制台!$E$289,5)</f>
        <v>4670</v>
      </c>
      <c r="S320" s="1" t="s">
        <v>2680</v>
      </c>
      <c r="T320" s="1" t="s">
        <v>2737</v>
      </c>
      <c r="U320" s="1">
        <f ca="1" t="shared" si="22"/>
        <v>1</v>
      </c>
    </row>
    <row r="321" spans="1:21">
      <c r="A321" s="1">
        <v>14</v>
      </c>
      <c r="B321" s="1" t="s">
        <v>180</v>
      </c>
      <c r="C321" s="1">
        <f>_xlfn.FLOOR.MATH(D21/控制台!$H$291*控制台!$E$289)</f>
        <v>450000</v>
      </c>
      <c r="D321" s="1">
        <f>_xlfn.FLOOR.MATH(E21/控制台!$H$291*控制台!$E$289)</f>
        <v>540000</v>
      </c>
      <c r="E321" s="1">
        <f>_xlfn.FLOOR.MATH(F21/控制台!$H$291*控制台!$E$289)</f>
        <v>360000</v>
      </c>
      <c r="F321" s="1">
        <f ca="1">_xlfn.FLOOR.MATH(J21*60/控制台!$H$291*控制台!$E$289)</f>
        <v>45619</v>
      </c>
      <c r="G321" s="1">
        <f>IFERROR(_xlfn.FLOOR.MATH(C321,POWER(10,MAX(0,INT(LOG10(C321)-2)))),"")</f>
        <v>450000</v>
      </c>
      <c r="H321" s="1">
        <f>IFERROR(_xlfn.FLOOR.MATH(D321,POWER(10,MAX(0,INT(LOG10(D321)-2)))),"")</f>
        <v>540000</v>
      </c>
      <c r="I321" s="1">
        <f>IFERROR(_xlfn.FLOOR.MATH(E321,POWER(10,MAX(0,INT(LOG10(E321)-2)))),"")</f>
        <v>360000</v>
      </c>
      <c r="J321" s="4" t="str">
        <f t="shared" si="23"/>
        <v>450000;540000;360000</v>
      </c>
      <c r="K321" s="1">
        <f ca="1">IFERROR(_xlfn.FLOOR.MATH($F321*控制台!K352/(控制台!O352*60)),"")</f>
        <v>17</v>
      </c>
      <c r="L321" s="1">
        <f ca="1">IFERROR(_xlfn.FLOOR.MATH($F321*控制台!L352/(控制台!P352*60)),"")</f>
        <v>14</v>
      </c>
      <c r="M321" s="1">
        <f ca="1">IFERROR(_xlfn.FLOOR.MATH($F321*控制台!M352/(控制台!Q352*60)),"")</f>
        <v>11</v>
      </c>
      <c r="N321" s="1" t="str">
        <f ca="1">IFERROR(_xlfn.FLOOR.MATH($F321*控制台!N352/(控制台!R352*60)),"")</f>
        <v/>
      </c>
      <c r="O321" s="4" t="str">
        <f ca="1">控制台!W352</f>
        <v>brick;cement;steel</v>
      </c>
      <c r="P321" s="4" t="str">
        <f ca="1" t="shared" si="24"/>
        <v>17;14;11</v>
      </c>
      <c r="Q321" s="4">
        <f>_xlfn.FLOOR.MATH(K20/控制台!$H$291*控制台!$E$289,5)</f>
        <v>3240</v>
      </c>
      <c r="R321" s="4">
        <f>_xlfn.FLOOR.MATH(O20/控制台!$H$291*控制台!$E$289,5)</f>
        <v>6245</v>
      </c>
      <c r="S321" s="1" t="s">
        <v>2682</v>
      </c>
      <c r="T321" s="1" t="s">
        <v>2738</v>
      </c>
      <c r="U321" s="1">
        <f ca="1" t="shared" si="22"/>
        <v>1</v>
      </c>
    </row>
    <row r="322" spans="1:21">
      <c r="A322" s="1">
        <v>15</v>
      </c>
      <c r="B322" s="1" t="s">
        <v>180</v>
      </c>
      <c r="C322" s="1">
        <f>_xlfn.FLOOR.MATH(D22/控制台!$H$291*控制台!$E$289)</f>
        <v>540000</v>
      </c>
      <c r="D322" s="1">
        <f>_xlfn.FLOOR.MATH(E22/控制台!$H$291*控制台!$E$289)</f>
        <v>648000</v>
      </c>
      <c r="E322" s="1">
        <f>_xlfn.FLOOR.MATH(F22/控制台!$H$291*控制台!$E$289)</f>
        <v>432000</v>
      </c>
      <c r="F322" s="1">
        <f ca="1">_xlfn.FLOOR.MATH(J22*60/控制台!$H$291*控制台!$E$289)</f>
        <v>57024</v>
      </c>
      <c r="G322" s="1">
        <f>IFERROR(_xlfn.FLOOR.MATH(C322,POWER(10,MAX(0,INT(LOG10(C322)-2)))),"")</f>
        <v>540000</v>
      </c>
      <c r="H322" s="1">
        <f>IFERROR(_xlfn.FLOOR.MATH(D322,POWER(10,MAX(0,INT(LOG10(D322)-2)))),"")</f>
        <v>648000</v>
      </c>
      <c r="I322" s="1">
        <f>IFERROR(_xlfn.FLOOR.MATH(E322,POWER(10,MAX(0,INT(LOG10(E322)-2)))),"")</f>
        <v>432000</v>
      </c>
      <c r="J322" s="4" t="str">
        <f t="shared" si="23"/>
        <v>540000;648000;432000</v>
      </c>
      <c r="K322" s="1">
        <f ca="1">IFERROR(_xlfn.FLOOR.MATH($F322*控制台!K353/(控制台!O353*60)),"")</f>
        <v>38</v>
      </c>
      <c r="L322" s="1">
        <f ca="1">IFERROR(_xlfn.FLOOR.MATH($F322*控制台!L353/(控制台!P353*60)),"")</f>
        <v>33</v>
      </c>
      <c r="M322" s="1">
        <f ca="1">IFERROR(_xlfn.FLOOR.MATH($F322*控制台!M353/(控制台!Q353*60)),"")</f>
        <v>22</v>
      </c>
      <c r="N322" s="1" t="str">
        <f ca="1">IFERROR(_xlfn.FLOOR.MATH($F322*控制台!N353/(控制台!R353*60)),"")</f>
        <v/>
      </c>
      <c r="O322" s="4" t="str">
        <f ca="1">控制台!W353</f>
        <v>board;brick;steel</v>
      </c>
      <c r="P322" s="4" t="str">
        <f ca="1" t="shared" si="24"/>
        <v>38;33;22</v>
      </c>
      <c r="Q322" s="4">
        <f>_xlfn.FLOOR.MATH(K21/控制台!$H$291*控制台!$E$289,5)</f>
        <v>5400</v>
      </c>
      <c r="R322" s="4">
        <f>_xlfn.FLOOR.MATH(O21/控制台!$H$291*控制台!$E$289,5)</f>
        <v>8400</v>
      </c>
      <c r="S322" s="1" t="s">
        <v>2684</v>
      </c>
      <c r="T322" s="1" t="s">
        <v>2739</v>
      </c>
      <c r="U322" s="1">
        <f ca="1" t="shared" si="22"/>
        <v>1</v>
      </c>
    </row>
    <row r="323" spans="1:21">
      <c r="A323" s="1">
        <v>16</v>
      </c>
      <c r="B323" s="1" t="s">
        <v>180</v>
      </c>
      <c r="C323" s="1">
        <f>_xlfn.FLOOR.MATH(D23/控制台!$H$291*控制台!$E$289)</f>
        <v>630000</v>
      </c>
      <c r="D323" s="1">
        <f>_xlfn.FLOOR.MATH(E23/控制台!$H$291*控制台!$E$289)</f>
        <v>756000</v>
      </c>
      <c r="E323" s="1">
        <f>_xlfn.FLOOR.MATH(F23/控制台!$H$291*控制台!$E$289)</f>
        <v>504000</v>
      </c>
      <c r="F323" s="1">
        <f ca="1">_xlfn.FLOOR.MATH(J23*60/控制台!$H$291*控制台!$E$289)</f>
        <v>68428</v>
      </c>
      <c r="G323" s="1">
        <f>IFERROR(_xlfn.FLOOR.MATH(C323,POWER(10,MAX(0,INT(LOG10(C323)-2)))),"")</f>
        <v>630000</v>
      </c>
      <c r="H323" s="1">
        <f>IFERROR(_xlfn.FLOOR.MATH(D323,POWER(10,MAX(0,INT(LOG10(D323)-2)))),"")</f>
        <v>756000</v>
      </c>
      <c r="I323" s="1">
        <f>IFERROR(_xlfn.FLOOR.MATH(E323,POWER(10,MAX(0,INT(LOG10(E323)-2)))),"")</f>
        <v>504000</v>
      </c>
      <c r="J323" s="4" t="str">
        <f t="shared" si="23"/>
        <v>630000;756000;504000</v>
      </c>
      <c r="K323" s="1">
        <f ca="1">IFERROR(_xlfn.FLOOR.MATH($F323*控制台!K354/(控制台!O354*60)),"")</f>
        <v>25</v>
      </c>
      <c r="L323" s="1">
        <f ca="1">IFERROR(_xlfn.FLOOR.MATH($F323*控制台!L354/(控制台!P354*60)),"")</f>
        <v>22</v>
      </c>
      <c r="M323" s="1">
        <f ca="1">IFERROR(_xlfn.FLOOR.MATH($F323*控制台!M354/(控制台!Q354*60)),"")</f>
        <v>16</v>
      </c>
      <c r="N323" s="1" t="str">
        <f ca="1">IFERROR(_xlfn.FLOOR.MATH($F323*控制台!N354/(控制台!R354*60)),"")</f>
        <v/>
      </c>
      <c r="O323" s="4" t="str">
        <f ca="1">控制台!W354</f>
        <v>brick;cement;steel</v>
      </c>
      <c r="P323" s="4" t="str">
        <f ca="1" t="shared" si="24"/>
        <v>25;22;16</v>
      </c>
      <c r="Q323" s="4">
        <f>_xlfn.FLOOR.MATH(K22/控制台!$H$291*控制台!$E$289,5)</f>
        <v>6480</v>
      </c>
      <c r="R323" s="4">
        <f>_xlfn.FLOOR.MATH(O22/控制台!$H$291*控制台!$E$289,5)</f>
        <v>11085</v>
      </c>
      <c r="S323" s="1" t="s">
        <v>2682</v>
      </c>
      <c r="T323" s="1" t="s">
        <v>2740</v>
      </c>
      <c r="U323" s="1">
        <f ca="1" t="shared" si="22"/>
        <v>1</v>
      </c>
    </row>
    <row r="324" spans="1:21">
      <c r="A324" s="1">
        <v>17</v>
      </c>
      <c r="B324" s="1" t="s">
        <v>180</v>
      </c>
      <c r="C324" s="1">
        <f>_xlfn.FLOOR.MATH(D24/控制台!$H$291*控制台!$E$289)</f>
        <v>990000</v>
      </c>
      <c r="D324" s="1">
        <f>_xlfn.FLOOR.MATH(E24/控制台!$H$291*控制台!$E$289)</f>
        <v>1188000</v>
      </c>
      <c r="E324" s="1">
        <f>_xlfn.FLOOR.MATH(F24/控制台!$H$291*控制台!$E$289)</f>
        <v>792000</v>
      </c>
      <c r="F324" s="1">
        <f ca="1">_xlfn.FLOOR.MATH(J24*60/控制台!$H$291*控制台!$E$289)</f>
        <v>79833</v>
      </c>
      <c r="G324" s="1">
        <f>IFERROR(_xlfn.FLOOR.MATH(C324,POWER(10,MAX(0,INT(LOG10(C324)-2)))),"")</f>
        <v>990000</v>
      </c>
      <c r="H324" s="1">
        <f>IFERROR(_xlfn.FLOOR.MATH(D324,POWER(10,MAX(0,INT(LOG10(D324)-2)))),"")</f>
        <v>1180000</v>
      </c>
      <c r="I324" s="1">
        <f>IFERROR(_xlfn.FLOOR.MATH(E324,POWER(10,MAX(0,INT(LOG10(E324)-2)))),"")</f>
        <v>792000</v>
      </c>
      <c r="J324" s="4" t="str">
        <f t="shared" si="23"/>
        <v>990000;1180000;792000</v>
      </c>
      <c r="K324" s="1">
        <f ca="1">IFERROR(_xlfn.FLOOR.MATH($F324*控制台!K355/(控制台!O355*60)),"")</f>
        <v>36</v>
      </c>
      <c r="L324" s="1">
        <f ca="1">IFERROR(_xlfn.FLOOR.MATH($F324*控制台!L355/(控制台!P355*60)),"")</f>
        <v>27</v>
      </c>
      <c r="M324" s="1">
        <f ca="1">IFERROR(_xlfn.FLOOR.MATH($F324*控制台!M355/(控制台!Q355*60)),"")</f>
        <v>21</v>
      </c>
      <c r="N324" s="1" t="str">
        <f ca="1">IFERROR(_xlfn.FLOOR.MATH($F324*控制台!N355/(控制台!R355*60)),"")</f>
        <v/>
      </c>
      <c r="O324" s="4" t="str">
        <f ca="1">控制台!W355</f>
        <v>board;cement;steel</v>
      </c>
      <c r="P324" s="4" t="str">
        <f ca="1" t="shared" si="24"/>
        <v>36;27;21</v>
      </c>
      <c r="Q324" s="4">
        <f>_xlfn.FLOOR.MATH(K23/控制台!$H$291*控制台!$E$289,5)</f>
        <v>7560</v>
      </c>
      <c r="R324" s="4">
        <f>_xlfn.FLOOR.MATH(O23/控制台!$H$291*控制台!$E$289,5)</f>
        <v>14290</v>
      </c>
      <c r="S324" s="1" t="s">
        <v>2680</v>
      </c>
      <c r="T324" s="1" t="s">
        <v>2741</v>
      </c>
      <c r="U324" s="1">
        <f ca="1" t="shared" si="22"/>
        <v>1</v>
      </c>
    </row>
    <row r="325" spans="1:21">
      <c r="A325" s="1">
        <v>18</v>
      </c>
      <c r="B325" s="1" t="s">
        <v>180</v>
      </c>
      <c r="C325" s="1">
        <f>_xlfn.FLOOR.MATH(D25/控制台!$H$291*控制台!$E$289)</f>
        <v>1125000</v>
      </c>
      <c r="D325" s="1">
        <f>_xlfn.FLOOR.MATH(E25/控制台!$H$291*控制台!$E$289)</f>
        <v>1350000</v>
      </c>
      <c r="E325" s="1">
        <f>_xlfn.FLOOR.MATH(F25/控制台!$H$291*控制台!$E$289)</f>
        <v>900000</v>
      </c>
      <c r="F325" s="1">
        <f ca="1">_xlfn.FLOOR.MATH(J25*60/控制台!$H$291*控制台!$E$289)</f>
        <v>91238</v>
      </c>
      <c r="G325" s="1">
        <f>IFERROR(_xlfn.FLOOR.MATH(C325,POWER(10,MAX(0,INT(LOG10(C325)-2)))),"")</f>
        <v>1120000</v>
      </c>
      <c r="H325" s="1">
        <f>IFERROR(_xlfn.FLOOR.MATH(D325,POWER(10,MAX(0,INT(LOG10(D325)-2)))),"")</f>
        <v>1350000</v>
      </c>
      <c r="I325" s="1">
        <f>IFERROR(_xlfn.FLOOR.MATH(E325,POWER(10,MAX(0,INT(LOG10(E325)-2)))),"")</f>
        <v>900000</v>
      </c>
      <c r="J325" s="4" t="str">
        <f t="shared" si="23"/>
        <v>1120000;1350000;900000</v>
      </c>
      <c r="K325" s="1">
        <f ca="1">IFERROR(_xlfn.FLOOR.MATH($F325*控制台!K356/(控制台!O356*60)),"")</f>
        <v>34</v>
      </c>
      <c r="L325" s="1">
        <f ca="1">IFERROR(_xlfn.FLOOR.MATH($F325*控制台!L356/(控制台!P356*60)),"")</f>
        <v>29</v>
      </c>
      <c r="M325" s="1">
        <f ca="1">IFERROR(_xlfn.FLOOR.MATH($F325*控制台!M356/(控制台!Q356*60)),"")</f>
        <v>22</v>
      </c>
      <c r="N325" s="1" t="str">
        <f ca="1">IFERROR(_xlfn.FLOOR.MATH($F325*控制台!N356/(控制台!R356*60)),"")</f>
        <v/>
      </c>
      <c r="O325" s="4" t="str">
        <f ca="1">控制台!W356</f>
        <v>brick;cement;steel</v>
      </c>
      <c r="P325" s="4" t="str">
        <f ca="1" t="shared" si="24"/>
        <v>34;29;22</v>
      </c>
      <c r="Q325" s="4">
        <f>_xlfn.FLOOR.MATH(K24/控制台!$H$291*控制台!$E$289,5)</f>
        <v>11880</v>
      </c>
      <c r="R325" s="4">
        <f>_xlfn.FLOOR.MATH(O24/控制台!$H$291*控制台!$E$289,5)</f>
        <v>18190</v>
      </c>
      <c r="S325" s="1" t="s">
        <v>2682</v>
      </c>
      <c r="T325" s="1" t="s">
        <v>2716</v>
      </c>
      <c r="U325" s="1">
        <f ca="1" t="shared" si="22"/>
        <v>1</v>
      </c>
    </row>
    <row r="326" spans="1:21">
      <c r="A326" s="1">
        <v>19</v>
      </c>
      <c r="B326" s="1" t="s">
        <v>180</v>
      </c>
      <c r="C326" s="1">
        <f>_xlfn.FLOOR.MATH(D26/控制台!$H$291*控制台!$E$289)</f>
        <v>1260000</v>
      </c>
      <c r="D326" s="1">
        <f>_xlfn.FLOOR.MATH(E26/控制台!$H$291*控制台!$E$289)</f>
        <v>1512000</v>
      </c>
      <c r="E326" s="1">
        <f>_xlfn.FLOOR.MATH(F26/控制台!$H$291*控制台!$E$289)</f>
        <v>1008000</v>
      </c>
      <c r="F326" s="1">
        <f ca="1">_xlfn.FLOOR.MATH(J26*60/控制台!$H$291*控制台!$E$289)</f>
        <v>125971</v>
      </c>
      <c r="G326" s="1">
        <f>IFERROR(_xlfn.FLOOR.MATH(C326,POWER(10,MAX(0,INT(LOG10(C326)-2)))),"")</f>
        <v>1260000</v>
      </c>
      <c r="H326" s="1">
        <f>IFERROR(_xlfn.FLOOR.MATH(D326,POWER(10,MAX(0,INT(LOG10(D326)-2)))),"")</f>
        <v>1510000</v>
      </c>
      <c r="I326" s="1">
        <f>IFERROR(_xlfn.FLOOR.MATH(E326,POWER(10,MAX(0,INT(LOG10(E326)-2)))),"")</f>
        <v>1000000</v>
      </c>
      <c r="J326" s="4" t="str">
        <f t="shared" si="23"/>
        <v>1260000;1510000;1000000</v>
      </c>
      <c r="K326" s="1">
        <f ca="1">IFERROR(_xlfn.FLOOR.MATH($F326*控制台!K357/(控制台!O357*60)),"")</f>
        <v>53</v>
      </c>
      <c r="L326" s="1">
        <f ca="1">IFERROR(_xlfn.FLOOR.MATH($F326*控制台!L357/(控制台!P357*60)),"")</f>
        <v>46</v>
      </c>
      <c r="M326" s="1">
        <f ca="1">IFERROR(_xlfn.FLOOR.MATH($F326*控制台!M357/(控制台!Q357*60)),"")</f>
        <v>39</v>
      </c>
      <c r="N326" s="1">
        <f ca="1">IFERROR(_xlfn.FLOOR.MATH($F326*控制台!N357/(控制台!R357*60)),"")</f>
        <v>30</v>
      </c>
      <c r="O326" s="4" t="str">
        <f ca="1">控制台!W357</f>
        <v>board;brick;cement;steel</v>
      </c>
      <c r="P326" s="4" t="str">
        <f ca="1" t="shared" si="24"/>
        <v>53;46;39;30</v>
      </c>
      <c r="Q326" s="4">
        <f>_xlfn.FLOOR.MATH(K25/控制台!$H$291*控制台!$E$289,5)</f>
        <v>13500</v>
      </c>
      <c r="R326" s="4">
        <f>_xlfn.FLOOR.MATH(O25/控制台!$H$291*控制台!$E$289,5)</f>
        <v>22645</v>
      </c>
      <c r="S326" s="1" t="s">
        <v>2689</v>
      </c>
      <c r="T326" s="1" t="s">
        <v>2742</v>
      </c>
      <c r="U326" s="1">
        <f ca="1" t="shared" si="22"/>
        <v>1</v>
      </c>
    </row>
    <row r="327" spans="1:21">
      <c r="A327" s="1">
        <v>20</v>
      </c>
      <c r="B327" s="1" t="s">
        <v>180</v>
      </c>
      <c r="C327" s="1">
        <f>_xlfn.FLOOR.MATH(D27/控制台!$H$291*控制台!$E$289)</f>
        <v>1395000</v>
      </c>
      <c r="D327" s="1">
        <f>_xlfn.FLOOR.MATH(E27/控制台!$H$291*控制台!$E$289)</f>
        <v>1674000</v>
      </c>
      <c r="E327" s="1">
        <f>_xlfn.FLOOR.MATH(F27/控制台!$H$291*控制台!$E$289)</f>
        <v>1116000</v>
      </c>
      <c r="F327" s="1">
        <f ca="1">_xlfn.FLOOR.MATH(J27*60/控制台!$H$291*控制台!$E$289)</f>
        <v>139968</v>
      </c>
      <c r="G327" s="1">
        <f>IFERROR(_xlfn.FLOOR.MATH(C327,POWER(10,MAX(0,INT(LOG10(C327)-2)))),"")</f>
        <v>1390000</v>
      </c>
      <c r="H327" s="1">
        <f>IFERROR(_xlfn.FLOOR.MATH(D327,POWER(10,MAX(0,INT(LOG10(D327)-2)))),"")</f>
        <v>1670000</v>
      </c>
      <c r="I327" s="1">
        <f>IFERROR(_xlfn.FLOOR.MATH(E327,POWER(10,MAX(0,INT(LOG10(E327)-2)))),"")</f>
        <v>1110000</v>
      </c>
      <c r="J327" s="4" t="str">
        <f t="shared" si="23"/>
        <v>1390000;1670000;1110000</v>
      </c>
      <c r="K327" s="1">
        <f ca="1">IFERROR(_xlfn.FLOOR.MATH($F327*控制台!K358/(控制台!O358*60)),"")</f>
        <v>32</v>
      </c>
      <c r="L327" s="1">
        <f ca="1">IFERROR(_xlfn.FLOOR.MATH($F327*控制台!L358/(控制台!P358*60)),"")</f>
        <v>27</v>
      </c>
      <c r="M327" s="1">
        <f ca="1">IFERROR(_xlfn.FLOOR.MATH($F327*控制台!M358/(控制台!Q358*60)),"")</f>
        <v>20</v>
      </c>
      <c r="N327" s="1">
        <f ca="1">IFERROR(_xlfn.FLOOR.MATH($F327*控制台!N358/(控制台!R358*60)),"")</f>
        <v>18</v>
      </c>
      <c r="O327" s="4" t="str">
        <f ca="1">控制台!W358</f>
        <v>brick;cement;steel;pitch</v>
      </c>
      <c r="P327" s="4" t="str">
        <f ca="1" t="shared" si="24"/>
        <v>32;27;20;18</v>
      </c>
      <c r="Q327" s="4">
        <f>_xlfn.FLOOR.MATH(K26/控制台!$H$291*控制台!$E$289,5)</f>
        <v>15120</v>
      </c>
      <c r="R327" s="4">
        <f>_xlfn.FLOOR.MATH(O26/控制台!$H$291*控制台!$E$289,5)</f>
        <v>27650</v>
      </c>
      <c r="S327" s="1" t="s">
        <v>2691</v>
      </c>
      <c r="T327" s="1" t="s">
        <v>2743</v>
      </c>
      <c r="U327" s="1">
        <f ca="1" t="shared" si="22"/>
        <v>1</v>
      </c>
    </row>
    <row r="328" spans="1:21">
      <c r="A328" s="1">
        <v>21</v>
      </c>
      <c r="B328" s="1" t="s">
        <v>180</v>
      </c>
      <c r="C328" s="1">
        <f>_xlfn.FLOOR.MATH(D28/控制台!$H$291*控制台!$E$289)</f>
        <v>1485000</v>
      </c>
      <c r="D328" s="1">
        <f>_xlfn.FLOOR.MATH(E28/控制台!$H$291*控制台!$E$289)</f>
        <v>1782000</v>
      </c>
      <c r="E328" s="1">
        <f>_xlfn.FLOOR.MATH(F28/控制台!$H$291*控制台!$E$289)</f>
        <v>1188000</v>
      </c>
      <c r="F328" s="1">
        <f ca="1">_xlfn.FLOOR.MATH(J28*60/控制台!$H$291*控制台!$E$289)</f>
        <v>153964</v>
      </c>
      <c r="G328" s="1">
        <f>IFERROR(_xlfn.FLOOR.MATH(C328,POWER(10,MAX(0,INT(LOG10(C328)-2)))),"")</f>
        <v>1480000</v>
      </c>
      <c r="H328" s="1">
        <f>IFERROR(_xlfn.FLOOR.MATH(D328,POWER(10,MAX(0,INT(LOG10(D328)-2)))),"")</f>
        <v>1780000</v>
      </c>
      <c r="I328" s="1">
        <f>IFERROR(_xlfn.FLOOR.MATH(E328,POWER(10,MAX(0,INT(LOG10(E328)-2)))),"")</f>
        <v>1180000</v>
      </c>
      <c r="J328" s="4" t="str">
        <f t="shared" si="23"/>
        <v>1480000;1780000;1180000</v>
      </c>
      <c r="K328" s="1">
        <f ca="1">IFERROR(_xlfn.FLOOR.MATH($F328*控制台!K359/(控制台!O359*60)),"")</f>
        <v>51</v>
      </c>
      <c r="L328" s="1">
        <f ca="1">IFERROR(_xlfn.FLOOR.MATH($F328*控制台!L359/(控制台!P359*60)),"")</f>
        <v>45</v>
      </c>
      <c r="M328" s="1">
        <f ca="1">IFERROR(_xlfn.FLOOR.MATH($F328*控制台!M359/(控制台!Q359*60)),"")</f>
        <v>29</v>
      </c>
      <c r="N328" s="1">
        <f ca="1">IFERROR(_xlfn.FLOOR.MATH($F328*控制台!N359/(控制台!R359*60)),"")</f>
        <v>25</v>
      </c>
      <c r="O328" s="4" t="str">
        <f ca="1">控制台!W359</f>
        <v>board;brick;steel;pitch</v>
      </c>
      <c r="P328" s="4" t="str">
        <f ca="1" t="shared" si="24"/>
        <v>51;45;29;25</v>
      </c>
      <c r="Q328" s="4">
        <f>_xlfn.FLOOR.MATH(K27/控制台!$H$291*控制台!$E$289,5)</f>
        <v>16740</v>
      </c>
      <c r="R328" s="4">
        <f>_xlfn.FLOOR.MATH(O27/控制台!$H$291*控制台!$E$289,5)</f>
        <v>33210</v>
      </c>
      <c r="S328" s="1" t="s">
        <v>2693</v>
      </c>
      <c r="T328" s="1" t="s">
        <v>2744</v>
      </c>
      <c r="U328" s="1">
        <f ca="1" t="shared" si="22"/>
        <v>1</v>
      </c>
    </row>
    <row r="329" spans="1:21">
      <c r="A329" s="1">
        <v>22</v>
      </c>
      <c r="B329" s="1" t="s">
        <v>180</v>
      </c>
      <c r="C329" s="1">
        <f>_xlfn.FLOOR.MATH(D29/控制台!$H$291*控制台!$E$289)</f>
        <v>2025000</v>
      </c>
      <c r="D329" s="1">
        <f>_xlfn.FLOOR.MATH(E29/控制台!$H$291*控制台!$E$289)</f>
        <v>2430000</v>
      </c>
      <c r="E329" s="1">
        <f>_xlfn.FLOOR.MATH(F29/控制台!$H$291*控制台!$E$289)</f>
        <v>1620000</v>
      </c>
      <c r="F329" s="1">
        <f ca="1">_xlfn.FLOOR.MATH(J29*60/控制台!$H$291*控制台!$E$289)</f>
        <v>174182</v>
      </c>
      <c r="G329" s="1">
        <f>IFERROR(_xlfn.FLOOR.MATH(C329,POWER(10,MAX(0,INT(LOG10(C329)-2)))),"")</f>
        <v>2020000</v>
      </c>
      <c r="H329" s="1">
        <f>IFERROR(_xlfn.FLOOR.MATH(D329,POWER(10,MAX(0,INT(LOG10(D329)-2)))),"")</f>
        <v>2430000</v>
      </c>
      <c r="I329" s="1">
        <f>IFERROR(_xlfn.FLOOR.MATH(E329,POWER(10,MAX(0,INT(LOG10(E329)-2)))),"")</f>
        <v>1620000</v>
      </c>
      <c r="J329" s="4" t="str">
        <f t="shared" si="23"/>
        <v>2020000;2430000;1620000</v>
      </c>
      <c r="K329" s="1">
        <f ca="1">IFERROR(_xlfn.FLOOR.MATH($F329*控制台!K360/(控制台!O360*60)),"")</f>
        <v>40</v>
      </c>
      <c r="L329" s="1">
        <f ca="1">IFERROR(_xlfn.FLOOR.MATH($F329*控制台!L360/(控制台!P360*60)),"")</f>
        <v>34</v>
      </c>
      <c r="M329" s="1">
        <f ca="1">IFERROR(_xlfn.FLOOR.MATH($F329*控制台!M360/(控制台!Q360*60)),"")</f>
        <v>26</v>
      </c>
      <c r="N329" s="1">
        <f ca="1">IFERROR(_xlfn.FLOOR.MATH($F329*控制台!N360/(控制台!R360*60)),"")</f>
        <v>22</v>
      </c>
      <c r="O329" s="4" t="str">
        <f ca="1">控制台!W360</f>
        <v>brick;cement;steel;pitch</v>
      </c>
      <c r="P329" s="4" t="str">
        <f ca="1" t="shared" si="24"/>
        <v>40;34;26;22</v>
      </c>
      <c r="Q329" s="4">
        <f>_xlfn.FLOOR.MATH(K28/控制台!$H$291*控制台!$E$289,5)</f>
        <v>17820</v>
      </c>
      <c r="R329" s="4">
        <f>_xlfn.FLOOR.MATH(O28/控制台!$H$291*控制台!$E$289,5)</f>
        <v>39295</v>
      </c>
      <c r="S329" s="1" t="s">
        <v>2691</v>
      </c>
      <c r="T329" s="1" t="s">
        <v>2745</v>
      </c>
      <c r="U329" s="1">
        <f ca="1" t="shared" si="22"/>
        <v>1</v>
      </c>
    </row>
    <row r="330" spans="1:21">
      <c r="A330" s="1">
        <v>23</v>
      </c>
      <c r="B330" s="1" t="s">
        <v>180</v>
      </c>
      <c r="C330" s="1">
        <f>_xlfn.FLOOR.MATH(D30/控制台!$H$291*控制台!$E$289)</f>
        <v>4950000</v>
      </c>
      <c r="D330" s="1">
        <f>_xlfn.FLOOR.MATH(E30/控制台!$H$291*控制台!$E$289)</f>
        <v>5940000</v>
      </c>
      <c r="E330" s="1">
        <f>_xlfn.FLOOR.MATH(F30/控制台!$H$291*控制台!$E$289)</f>
        <v>3960000</v>
      </c>
      <c r="F330" s="1">
        <f ca="1">_xlfn.FLOOR.MATH(J30*60/控制台!$H$291*控制台!$E$289)</f>
        <v>290304</v>
      </c>
      <c r="G330" s="1">
        <f>IFERROR(_xlfn.FLOOR.MATH(C330,POWER(10,MAX(0,INT(LOG10(C330)-2)))),"")</f>
        <v>4950000</v>
      </c>
      <c r="H330" s="1">
        <f>IFERROR(_xlfn.FLOOR.MATH(D330,POWER(10,MAX(0,INT(LOG10(D330)-2)))),"")</f>
        <v>5940000</v>
      </c>
      <c r="I330" s="1">
        <f>IFERROR(_xlfn.FLOOR.MATH(E330,POWER(10,MAX(0,INT(LOG10(E330)-2)))),"")</f>
        <v>3960000</v>
      </c>
      <c r="J330" s="4" t="str">
        <f t="shared" si="23"/>
        <v>4950000;5940000;3960000</v>
      </c>
      <c r="K330" s="1">
        <f ca="1">IFERROR(_xlfn.FLOOR.MATH($F330*控制台!K361/(控制台!O361*60)),"")</f>
        <v>79</v>
      </c>
      <c r="L330" s="1">
        <f ca="1">IFERROR(_xlfn.FLOOR.MATH($F330*控制台!L361/(控制台!P361*60)),"")</f>
        <v>59</v>
      </c>
      <c r="M330" s="1">
        <f ca="1">IFERROR(_xlfn.FLOOR.MATH($F330*控制台!M361/(控制台!Q361*60)),"")</f>
        <v>45</v>
      </c>
      <c r="N330" s="1">
        <f ca="1">IFERROR(_xlfn.FLOOR.MATH($F330*控制台!N361/(控制台!R361*60)),"")</f>
        <v>39</v>
      </c>
      <c r="O330" s="4" t="str">
        <f ca="1">控制台!W361</f>
        <v>board;cement;steel;pitch</v>
      </c>
      <c r="P330" s="4" t="str">
        <f ca="1" t="shared" si="24"/>
        <v>79;59;45;39</v>
      </c>
      <c r="Q330" s="4">
        <f>_xlfn.FLOOR.MATH(K29/控制台!$H$291*控制台!$E$289,5)</f>
        <v>24300</v>
      </c>
      <c r="R330" s="4">
        <f>_xlfn.FLOOR.MATH(O29/控制台!$H$291*控制台!$E$289,5)</f>
        <v>46185</v>
      </c>
      <c r="S330" s="1" t="s">
        <v>2696</v>
      </c>
      <c r="T330" s="1" t="s">
        <v>2746</v>
      </c>
      <c r="U330" s="1">
        <f ca="1" t="shared" si="22"/>
        <v>1</v>
      </c>
    </row>
    <row r="331" spans="1:21">
      <c r="A331" s="1">
        <v>24</v>
      </c>
      <c r="B331" s="1" t="s">
        <v>180</v>
      </c>
      <c r="C331" s="1">
        <f>_xlfn.FLOOR.MATH(D31/控制台!$H$291*控制台!$E$289)</f>
        <v>6300000</v>
      </c>
      <c r="D331" s="1">
        <f>_xlfn.FLOOR.MATH(E31/控制台!$H$291*控制台!$E$289)</f>
        <v>7560000</v>
      </c>
      <c r="E331" s="1">
        <f>_xlfn.FLOOR.MATH(F31/控制台!$H$291*控制台!$E$289)</f>
        <v>5040000</v>
      </c>
      <c r="F331" s="1">
        <f ca="1">_xlfn.FLOOR.MATH(J31*60/控制台!$H$291*控制台!$E$289)</f>
        <v>435456</v>
      </c>
      <c r="G331" s="1">
        <f>IFERROR(_xlfn.FLOOR.MATH(C331,POWER(10,MAX(0,INT(LOG10(C331)-2)))),"")</f>
        <v>6300000</v>
      </c>
      <c r="H331" s="1">
        <f>IFERROR(_xlfn.FLOOR.MATH(D331,POWER(10,MAX(0,INT(LOG10(D331)-2)))),"")</f>
        <v>7560000</v>
      </c>
      <c r="I331" s="1">
        <f>IFERROR(_xlfn.FLOOR.MATH(E331,POWER(10,MAX(0,INT(LOG10(E331)-2)))),"")</f>
        <v>5040000</v>
      </c>
      <c r="J331" s="4" t="str">
        <f t="shared" si="23"/>
        <v>6300000;7560000;5040000</v>
      </c>
      <c r="K331" s="1">
        <f ca="1">IFERROR(_xlfn.FLOOR.MATH($F331*控制台!K362/(控制台!O362*60)),"")</f>
        <v>100</v>
      </c>
      <c r="L331" s="1">
        <f ca="1">IFERROR(_xlfn.FLOOR.MATH($F331*控制台!L362/(控制台!P362*60)),"")</f>
        <v>85</v>
      </c>
      <c r="M331" s="1">
        <f ca="1">IFERROR(_xlfn.FLOOR.MATH($F331*控制台!M362/(控制台!Q362*60)),"")</f>
        <v>65</v>
      </c>
      <c r="N331" s="1">
        <f ca="1">IFERROR(_xlfn.FLOOR.MATH($F331*控制台!N362/(控制台!R362*60)),"")</f>
        <v>57</v>
      </c>
      <c r="O331" s="4" t="str">
        <f ca="1">控制台!W362</f>
        <v>brick;cement;steel;pitch</v>
      </c>
      <c r="P331" s="4" t="str">
        <f ca="1" t="shared" si="24"/>
        <v>100;85;65;57</v>
      </c>
      <c r="Q331" s="4">
        <f>_xlfn.FLOOR.MATH(K30/控制台!$H$291*控制台!$E$289,5)</f>
        <v>59400</v>
      </c>
      <c r="R331" s="4">
        <f>_xlfn.FLOOR.MATH(O30/控制台!$H$291*控制台!$E$289,5)</f>
        <v>58650</v>
      </c>
      <c r="S331" s="1" t="s">
        <v>2691</v>
      </c>
      <c r="T331" s="1" t="s">
        <v>2747</v>
      </c>
      <c r="U331" s="1">
        <f ca="1" t="shared" si="22"/>
        <v>1</v>
      </c>
    </row>
    <row r="332" spans="1:21">
      <c r="A332" s="1">
        <v>25</v>
      </c>
      <c r="B332" s="1" t="s">
        <v>180</v>
      </c>
      <c r="C332" s="1">
        <f>_xlfn.FLOOR.MATH(D32/控制台!$H$291*控制台!$E$289)</f>
        <v>7200000</v>
      </c>
      <c r="D332" s="1">
        <f>_xlfn.FLOOR.MATH(E32/控制台!$H$291*控制台!$E$289)</f>
        <v>8640000</v>
      </c>
      <c r="E332" s="1">
        <f>_xlfn.FLOOR.MATH(F32/控制台!$H$291*控制台!$E$289)</f>
        <v>5760000</v>
      </c>
      <c r="F332" s="1">
        <f ca="1">_xlfn.FLOOR.MATH(J32*60/控制台!$H$291*控制台!$E$289)</f>
        <v>580608</v>
      </c>
      <c r="G332" s="1">
        <f>IFERROR(_xlfn.FLOOR.MATH(C332,POWER(10,MAX(0,INT(LOG10(C332)-2)))),"")</f>
        <v>7200000</v>
      </c>
      <c r="H332" s="1">
        <f>IFERROR(_xlfn.FLOOR.MATH(D332,POWER(10,MAX(0,INT(LOG10(D332)-2)))),"")</f>
        <v>8640000</v>
      </c>
      <c r="I332" s="1">
        <f>IFERROR(_xlfn.FLOOR.MATH(E332,POWER(10,MAX(0,INT(LOG10(E332)-2)))),"")</f>
        <v>5760000</v>
      </c>
      <c r="J332" s="4" t="str">
        <f t="shared" si="23"/>
        <v>7200000;8640000;5760000</v>
      </c>
      <c r="K332" s="1">
        <f ca="1">IFERROR(_xlfn.FLOOR.MATH($F332*控制台!K363/(控制台!O363*60)),"")</f>
        <v>158</v>
      </c>
      <c r="L332" s="1">
        <f ca="1">IFERROR(_xlfn.FLOOR.MATH($F332*控制台!L363/(控制台!P363*60)),"")</f>
        <v>118</v>
      </c>
      <c r="M332" s="1">
        <f ca="1">IFERROR(_xlfn.FLOOR.MATH($F332*控制台!M363/(控制台!Q363*60)),"")</f>
        <v>90</v>
      </c>
      <c r="N332" s="1">
        <f ca="1">IFERROR(_xlfn.FLOOR.MATH($F332*控制台!N363/(控制台!R363*60)),"")</f>
        <v>79</v>
      </c>
      <c r="O332" s="4" t="str">
        <f ca="1">控制台!W363</f>
        <v>board;cement;steel;pitch</v>
      </c>
      <c r="P332" s="4" t="str">
        <f ca="1" t="shared" si="24"/>
        <v>158;118;90;79</v>
      </c>
      <c r="Q332" s="4">
        <f>_xlfn.FLOOR.MATH(K31/控制台!$H$291*控制台!$E$289,5)</f>
        <v>75600</v>
      </c>
      <c r="R332" s="4">
        <f>_xlfn.FLOOR.MATH(O31/控制台!$H$291*控制台!$E$289,5)</f>
        <v>76650</v>
      </c>
      <c r="S332" s="1" t="s">
        <v>2696</v>
      </c>
      <c r="T332" s="1" t="s">
        <v>2724</v>
      </c>
      <c r="U332" s="1">
        <f ca="1" t="shared" si="22"/>
        <v>1</v>
      </c>
    </row>
    <row r="333" spans="1:21">
      <c r="A333" s="1">
        <v>26</v>
      </c>
      <c r="B333" s="1" t="s">
        <v>180</v>
      </c>
      <c r="C333" s="1">
        <f>_xlfn.FLOOR.MATH(D33/控制台!$H$291*控制台!$E$289)</f>
        <v>18000000</v>
      </c>
      <c r="D333" s="1">
        <f>_xlfn.FLOOR.MATH(E33/控制台!$H$291*控制台!$E$289)</f>
        <v>21600000</v>
      </c>
      <c r="E333" s="1">
        <f>_xlfn.FLOOR.MATH(F33/控制台!$H$291*控制台!$E$289)</f>
        <v>14400000</v>
      </c>
      <c r="F333" s="1">
        <f ca="1">_xlfn.FLOOR.MATH(J33*60/控制台!$H$291*控制台!$E$289)</f>
        <v>1285632</v>
      </c>
      <c r="G333" s="1">
        <f>IFERROR(_xlfn.FLOOR.MATH(C333,POWER(10,MAX(0,INT(LOG10(C333)-2)))),"")</f>
        <v>18000000</v>
      </c>
      <c r="H333" s="1">
        <f>IFERROR(_xlfn.FLOOR.MATH(D333,POWER(10,MAX(0,INT(LOG10(D333)-2)))),"")</f>
        <v>21600000</v>
      </c>
      <c r="I333" s="1">
        <f>IFERROR(_xlfn.FLOOR.MATH(E333,POWER(10,MAX(0,INT(LOG10(E333)-2)))),"")</f>
        <v>14400000</v>
      </c>
      <c r="J333" s="4" t="str">
        <f t="shared" si="23"/>
        <v>18000000;21600000;14400000</v>
      </c>
      <c r="K333" s="1">
        <f ca="1">IFERROR(_xlfn.FLOOR.MATH($F333*控制台!K364/(控制台!O364*60)),"")</f>
        <v>295</v>
      </c>
      <c r="L333" s="1">
        <f ca="1">IFERROR(_xlfn.FLOOR.MATH($F333*控制台!L364/(控制台!P364*60)),"")</f>
        <v>253</v>
      </c>
      <c r="M333" s="1">
        <f ca="1">IFERROR(_xlfn.FLOOR.MATH($F333*控制台!M364/(控制台!Q364*60)),"")</f>
        <v>192</v>
      </c>
      <c r="N333" s="1">
        <f ca="1">IFERROR(_xlfn.FLOOR.MATH($F333*控制台!N364/(控制台!R364*60)),"")</f>
        <v>168</v>
      </c>
      <c r="O333" s="4" t="str">
        <f ca="1">控制台!W364</f>
        <v>brick;cement;steel;pitch</v>
      </c>
      <c r="P333" s="4" t="str">
        <f ca="1" t="shared" si="24"/>
        <v>295;253;192;168</v>
      </c>
      <c r="Q333" s="4">
        <f>_xlfn.FLOOR.MATH(K32/控制台!$H$291*控制台!$E$289,5)</f>
        <v>86400</v>
      </c>
      <c r="R333" s="4">
        <f>_xlfn.FLOOR.MATH(O32/控制台!$H$291*控制台!$E$289,5)</f>
        <v>99900</v>
      </c>
      <c r="S333" s="1" t="s">
        <v>2691</v>
      </c>
      <c r="T333" s="1" t="s">
        <v>2748</v>
      </c>
      <c r="U333" s="1">
        <f ca="1" t="shared" si="22"/>
        <v>1</v>
      </c>
    </row>
    <row r="334" spans="1:21">
      <c r="A334" s="1">
        <v>27</v>
      </c>
      <c r="B334" s="1" t="s">
        <v>180</v>
      </c>
      <c r="C334" s="1">
        <f>_xlfn.FLOOR.MATH(D34/控制台!$H$291*控制台!$E$289)</f>
        <v>22500000</v>
      </c>
      <c r="D334" s="1">
        <f>_xlfn.FLOOR.MATH(E34/控制台!$H$291*控制台!$E$289)</f>
        <v>27000000</v>
      </c>
      <c r="E334" s="1">
        <f>_xlfn.FLOOR.MATH(F34/控制台!$H$291*控制台!$E$289)</f>
        <v>18000000</v>
      </c>
      <c r="F334" s="1">
        <f ca="1">_xlfn.FLOOR.MATH(J34*60/控制台!$H$291*控制台!$E$289)</f>
        <v>2239488</v>
      </c>
      <c r="G334" s="1">
        <f>IFERROR(_xlfn.FLOOR.MATH(C334,POWER(10,MAX(0,INT(LOG10(C334)-2)))),"")</f>
        <v>22500000</v>
      </c>
      <c r="H334" s="1">
        <f>IFERROR(_xlfn.FLOOR.MATH(D334,POWER(10,MAX(0,INT(LOG10(D334)-2)))),"")</f>
        <v>27000000</v>
      </c>
      <c r="I334" s="1">
        <f>IFERROR(_xlfn.FLOOR.MATH(E334,POWER(10,MAX(0,INT(LOG10(E334)-2)))),"")</f>
        <v>18000000</v>
      </c>
      <c r="J334" s="4" t="str">
        <f t="shared" si="23"/>
        <v>22500000;27000000;18000000</v>
      </c>
      <c r="K334" s="1">
        <f ca="1">IFERROR(_xlfn.FLOOR.MATH($F334*控制台!K365/(控制台!O365*60)),"")</f>
        <v>254</v>
      </c>
      <c r="L334" s="1">
        <f ca="1">IFERROR(_xlfn.FLOOR.MATH($F334*控制台!L365/(控制台!P365*60)),"")</f>
        <v>193</v>
      </c>
      <c r="M334" s="1">
        <f ca="1">IFERROR(_xlfn.FLOOR.MATH($F334*控制台!M365/(控制台!Q365*60)),"")</f>
        <v>169</v>
      </c>
      <c r="N334" s="1">
        <f ca="1">IFERROR(_xlfn.FLOOR.MATH($F334*控制台!N365/(控制台!R365*60)),"")</f>
        <v>154</v>
      </c>
      <c r="O334" s="4" t="str">
        <f ca="1">控制台!W365</f>
        <v>cement;steel;pitch;concrete</v>
      </c>
      <c r="P334" s="4" t="str">
        <f ca="1" t="shared" si="24"/>
        <v>254;193;169;154</v>
      </c>
      <c r="Q334" s="4">
        <f>_xlfn.FLOOR.MATH(K33/控制台!$H$291*控制台!$E$289,5)</f>
        <v>216000</v>
      </c>
      <c r="R334" s="4">
        <f>_xlfn.FLOOR.MATH(O33/控制台!$H$291*控制台!$E$289,5)</f>
        <v>148650</v>
      </c>
      <c r="S334" s="1" t="s">
        <v>2701</v>
      </c>
      <c r="T334" s="1" t="s">
        <v>2749</v>
      </c>
      <c r="U334" s="1">
        <f ca="1" t="shared" si="22"/>
        <v>1</v>
      </c>
    </row>
    <row r="335" spans="1:21">
      <c r="A335" s="1">
        <v>28</v>
      </c>
      <c r="B335" s="1" t="s">
        <v>180</v>
      </c>
      <c r="C335" s="1">
        <f>_xlfn.FLOOR.MATH(D35/控制台!$H$291*控制台!$E$289)</f>
        <v>42750000</v>
      </c>
      <c r="D335" s="1">
        <f>_xlfn.FLOOR.MATH(E35/控制台!$H$291*控制台!$E$289)</f>
        <v>51300000</v>
      </c>
      <c r="E335" s="1">
        <f>_xlfn.FLOOR.MATH(F35/控制台!$H$291*控制台!$E$289)</f>
        <v>34200000</v>
      </c>
      <c r="F335" s="1">
        <f ca="1">_xlfn.FLOOR.MATH(J35*60/控制台!$H$291*控制台!$E$289)</f>
        <v>3644352</v>
      </c>
      <c r="G335" s="1">
        <f>IFERROR(_xlfn.FLOOR.MATH(C335,POWER(10,MAX(0,INT(LOG10(C335)-2)))),"")</f>
        <v>42700000</v>
      </c>
      <c r="H335" s="1">
        <f>IFERROR(_xlfn.FLOOR.MATH(D335,POWER(10,MAX(0,INT(LOG10(D335)-2)))),"")</f>
        <v>51300000</v>
      </c>
      <c r="I335" s="1">
        <f>IFERROR(_xlfn.FLOOR.MATH(E335,POWER(10,MAX(0,INT(LOG10(E335)-2)))),"")</f>
        <v>34200000</v>
      </c>
      <c r="J335" s="4" t="str">
        <f t="shared" si="23"/>
        <v>42700000;51300000;34200000</v>
      </c>
      <c r="K335" s="1">
        <f ca="1">IFERROR(_xlfn.FLOOR.MATH($F335*控制台!K366/(控制台!O366*60)),"")</f>
        <v>600</v>
      </c>
      <c r="L335" s="1">
        <f ca="1">IFERROR(_xlfn.FLOOR.MATH($F335*控制台!L366/(控制台!P366*60)),"")</f>
        <v>514</v>
      </c>
      <c r="M335" s="1">
        <f ca="1">IFERROR(_xlfn.FLOOR.MATH($F335*控制台!M366/(控制台!Q366*60)),"")</f>
        <v>392</v>
      </c>
      <c r="N335" s="1">
        <f ca="1">IFERROR(_xlfn.FLOOR.MATH($F335*控制台!N366/(控制台!R366*60)),"")</f>
        <v>311</v>
      </c>
      <c r="O335" s="4" t="str">
        <f ca="1">控制台!W366</f>
        <v>brick;cement;steel;concrete</v>
      </c>
      <c r="P335" s="4" t="str">
        <f ca="1" t="shared" si="24"/>
        <v>600;514;392;311</v>
      </c>
      <c r="Q335" s="4">
        <f>_xlfn.FLOOR.MATH(K34/控制台!$H$291*控制台!$E$289,5)</f>
        <v>270000</v>
      </c>
      <c r="R335" s="4">
        <f>_xlfn.FLOOR.MATH(O34/控制台!$H$291*控制台!$E$289,5)</f>
        <v>218965</v>
      </c>
      <c r="S335" s="1" t="s">
        <v>2703</v>
      </c>
      <c r="T335" s="1" t="s">
        <v>2750</v>
      </c>
      <c r="U335" s="1">
        <f ca="1" t="shared" si="22"/>
        <v>1</v>
      </c>
    </row>
    <row r="336" spans="1:21">
      <c r="A336" s="1">
        <v>29</v>
      </c>
      <c r="B336" s="1" t="s">
        <v>180</v>
      </c>
      <c r="C336" s="1">
        <f>_xlfn.FLOOR.MATH(D36/控制台!$H$291*控制台!$E$289)</f>
        <v>43200000</v>
      </c>
      <c r="D336" s="1">
        <f>_xlfn.FLOOR.MATH(E36/控制台!$H$291*控制台!$E$289)</f>
        <v>51840000</v>
      </c>
      <c r="E336" s="1">
        <f>_xlfn.FLOOR.MATH(F36/控制台!$H$291*控制台!$E$289)</f>
        <v>34560000</v>
      </c>
      <c r="F336" s="1">
        <f ca="1">_xlfn.FLOOR.MATH(J36*60/控制台!$H$291*控制台!$E$289)</f>
        <v>3721075</v>
      </c>
      <c r="G336" s="1">
        <f>IFERROR(_xlfn.FLOOR.MATH(C336,POWER(10,MAX(0,INT(LOG10(C336)-2)))),"")</f>
        <v>43200000</v>
      </c>
      <c r="H336" s="1">
        <f>IFERROR(_xlfn.FLOOR.MATH(D336,POWER(10,MAX(0,INT(LOG10(D336)-2)))),"")</f>
        <v>51800000</v>
      </c>
      <c r="I336" s="1">
        <f>IFERROR(_xlfn.FLOOR.MATH(E336,POWER(10,MAX(0,INT(LOG10(E336)-2)))),"")</f>
        <v>34500000</v>
      </c>
      <c r="J336" s="4" t="str">
        <f t="shared" si="23"/>
        <v>43200000;51800000;34500000</v>
      </c>
      <c r="K336" s="1">
        <f ca="1">IFERROR(_xlfn.FLOOR.MATH($F336*控制台!K367/(控制台!O367*60)),"")</f>
        <v>681</v>
      </c>
      <c r="L336" s="1">
        <f ca="1">IFERROR(_xlfn.FLOOR.MATH($F336*控制台!L367/(控制台!P367*60)),"")</f>
        <v>511</v>
      </c>
      <c r="M336" s="1">
        <f ca="1">IFERROR(_xlfn.FLOOR.MATH($F336*控制台!M367/(控制台!Q367*60)),"")</f>
        <v>340</v>
      </c>
      <c r="N336" s="1">
        <f ca="1">IFERROR(_xlfn.FLOOR.MATH($F336*控制台!N367/(控制台!R367*60)),"")</f>
        <v>309</v>
      </c>
      <c r="O336" s="4" t="str">
        <f ca="1">控制台!W367</f>
        <v>board;cement;pitch;concrete</v>
      </c>
      <c r="P336" s="4" t="str">
        <f ca="1" t="shared" si="24"/>
        <v>681;511;340;309</v>
      </c>
      <c r="Q336" s="4">
        <f>_xlfn.FLOOR.MATH(K35/控制台!$H$291*控制台!$E$289,5)</f>
        <v>513000</v>
      </c>
      <c r="R336" s="4">
        <f>_xlfn.FLOOR.MATH(O35/控制台!$H$291*控制台!$E$289,5)</f>
        <v>334745</v>
      </c>
      <c r="S336" s="1" t="s">
        <v>2705</v>
      </c>
      <c r="T336" s="1" t="s">
        <v>2751</v>
      </c>
      <c r="U336" s="1">
        <f ca="1" t="shared" si="22"/>
        <v>1</v>
      </c>
    </row>
    <row r="337" spans="1:21">
      <c r="A337" s="1">
        <v>30</v>
      </c>
      <c r="B337" s="1" t="s">
        <v>180</v>
      </c>
      <c r="C337" s="1">
        <f>_xlfn.FLOOR.MATH(D37/控制台!$H$291*控制台!$E$289)</f>
        <v>44100000</v>
      </c>
      <c r="D337" s="1">
        <f>_xlfn.FLOOR.MATH(E37/控制台!$H$291*控制台!$E$289)</f>
        <v>52920000</v>
      </c>
      <c r="E337" s="1">
        <f>_xlfn.FLOOR.MATH(F37/控制台!$H$291*控制台!$E$289)</f>
        <v>35280000</v>
      </c>
      <c r="F337" s="1">
        <f ca="1">_xlfn.FLOOR.MATH(J37*60/控制台!$H$291*控制台!$E$289)</f>
        <v>3797798</v>
      </c>
      <c r="G337" s="1">
        <f>IFERROR(_xlfn.FLOOR.MATH(C337,POWER(10,MAX(0,INT(LOG10(C337)-2)))),"")</f>
        <v>44100000</v>
      </c>
      <c r="H337" s="1">
        <f>IFERROR(_xlfn.FLOOR.MATH(D337,POWER(10,MAX(0,INT(LOG10(D337)-2)))),"")</f>
        <v>52900000</v>
      </c>
      <c r="I337" s="1">
        <f>IFERROR(_xlfn.FLOOR.MATH(E337,POWER(10,MAX(0,INT(LOG10(E337)-2)))),"")</f>
        <v>35200000</v>
      </c>
      <c r="J337" s="4" t="str">
        <f t="shared" si="23"/>
        <v>44100000;52900000;35200000</v>
      </c>
      <c r="K337" s="1">
        <f ca="1">IFERROR(_xlfn.FLOOR.MATH($F337*控制台!K368/(控制台!O368*60)),"")</f>
        <v>562</v>
      </c>
      <c r="L337" s="1">
        <f ca="1">IFERROR(_xlfn.FLOOR.MATH($F337*控制台!L368/(控制台!P368*60)),"")</f>
        <v>367</v>
      </c>
      <c r="M337" s="1">
        <f ca="1">IFERROR(_xlfn.FLOOR.MATH($F337*控制台!M368/(控制台!Q368*60)),"")</f>
        <v>321</v>
      </c>
      <c r="N337" s="1">
        <f ca="1">IFERROR(_xlfn.FLOOR.MATH($F337*控制台!N368/(控制台!R368*60)),"")</f>
        <v>292</v>
      </c>
      <c r="O337" s="4" t="str">
        <f ca="1">控制台!W368</f>
        <v>brick;steel;pitch;concrete</v>
      </c>
      <c r="P337" s="4" t="str">
        <f ca="1" t="shared" si="24"/>
        <v>562;367;321;292</v>
      </c>
      <c r="Q337" s="4">
        <f>_xlfn.FLOOR.MATH(K36/控制台!$H$291*控制台!$E$289,5)</f>
        <v>518400</v>
      </c>
      <c r="R337" s="4">
        <f>_xlfn.FLOOR.MATH(O36/控制台!$H$291*控制台!$E$289,5)</f>
        <v>452685</v>
      </c>
      <c r="S337" s="1" t="s">
        <v>2707</v>
      </c>
      <c r="T337" s="1" t="s">
        <v>2752</v>
      </c>
      <c r="U337" s="1">
        <f ca="1" t="shared" si="22"/>
        <v>1</v>
      </c>
    </row>
    <row r="338" spans="1:21">
      <c r="A338" s="1">
        <v>31</v>
      </c>
      <c r="B338" s="1" t="s">
        <v>180</v>
      </c>
      <c r="C338" s="1">
        <f>_xlfn.FLOOR.MATH(D38/控制台!$H$291*控制台!$E$289)</f>
        <v>45000000</v>
      </c>
      <c r="D338" s="1">
        <f>_xlfn.FLOOR.MATH(E38/控制台!$H$291*控制台!$E$289)</f>
        <v>54000000</v>
      </c>
      <c r="E338" s="1">
        <f>_xlfn.FLOOR.MATH(F38/控制台!$H$291*控制台!$E$289)</f>
        <v>36000000</v>
      </c>
      <c r="F338" s="1">
        <f ca="1">_xlfn.FLOOR.MATH(J38*60/控制台!$H$291*控制台!$E$289)</f>
        <v>3939840</v>
      </c>
      <c r="G338" s="1">
        <f>IFERROR(_xlfn.FLOOR.MATH(C338,POWER(10,MAX(0,INT(LOG10(C338)-2)))),"")</f>
        <v>45000000</v>
      </c>
      <c r="H338" s="1">
        <f>IFERROR(_xlfn.FLOOR.MATH(D338,POWER(10,MAX(0,INT(LOG10(D338)-2)))),"")</f>
        <v>54000000</v>
      </c>
      <c r="I338" s="1">
        <f>IFERROR(_xlfn.FLOOR.MATH(E338,POWER(10,MAX(0,INT(LOG10(E338)-2)))),"")</f>
        <v>36000000</v>
      </c>
      <c r="J338" s="4" t="str">
        <f t="shared" si="23"/>
        <v>45000000;54000000;36000000</v>
      </c>
      <c r="K338" s="1">
        <f ca="1">IFERROR(_xlfn.FLOOR.MATH($F338*控制台!K369/(控制台!O369*60)),"")</f>
        <v>447</v>
      </c>
      <c r="L338" s="1">
        <f ca="1">IFERROR(_xlfn.FLOOR.MATH($F338*控制台!L369/(控制台!P369*60)),"")</f>
        <v>341</v>
      </c>
      <c r="M338" s="1">
        <f ca="1">IFERROR(_xlfn.FLOOR.MATH($F338*控制台!M369/(控制台!Q369*60)),"")</f>
        <v>298</v>
      </c>
      <c r="N338" s="1">
        <f ca="1">IFERROR(_xlfn.FLOOR.MATH($F338*控制台!N369/(控制台!R369*60)),"")</f>
        <v>271</v>
      </c>
      <c r="O338" s="4" t="str">
        <f ca="1">控制台!W369</f>
        <v>cement;steel;pitch;concrete</v>
      </c>
      <c r="P338" s="4" t="str">
        <f ca="1" t="shared" si="24"/>
        <v>447;341;298;271</v>
      </c>
      <c r="Q338" s="4">
        <f>_xlfn.FLOOR.MATH(K37/控制台!$H$291*控制台!$E$289,5)</f>
        <v>529200</v>
      </c>
      <c r="R338" s="4">
        <f>_xlfn.FLOOR.MATH(O37/控制台!$H$291*控制台!$E$289,5)</f>
        <v>573060</v>
      </c>
      <c r="S338" s="1" t="s">
        <v>2701</v>
      </c>
      <c r="T338" s="1" t="s">
        <v>2753</v>
      </c>
      <c r="U338" s="1">
        <f ca="1" t="shared" si="22"/>
        <v>1</v>
      </c>
    </row>
    <row r="339" spans="1:21">
      <c r="A339" s="1">
        <v>32</v>
      </c>
      <c r="B339" s="1" t="s">
        <v>180</v>
      </c>
      <c r="G339" s="1" t="str">
        <f>IFERROR(_xlfn.FLOOR.MATH(C339,POWER(10,MAX(0,INT(LOG10(C339)-2)))),"")</f>
        <v/>
      </c>
      <c r="H339" s="1" t="str">
        <f>IFERROR(_xlfn.FLOOR.MATH(D339,POWER(10,MAX(0,INT(LOG10(D339)-2)))),"")</f>
        <v/>
      </c>
      <c r="I339" s="1" t="str">
        <f>IFERROR(_xlfn.FLOOR.MATH(E339,POWER(10,MAX(0,INT(LOG10(E339)-2)))),"")</f>
        <v/>
      </c>
      <c r="J339" s="4" t="str">
        <f t="shared" si="23"/>
        <v/>
      </c>
      <c r="O339" s="4"/>
      <c r="P339" s="4" t="str">
        <f t="shared" si="24"/>
        <v/>
      </c>
      <c r="Q339" s="4">
        <f>_xlfn.FLOOR.MATH(K38/控制台!$H$291*控制台!$E$289,5)</f>
        <v>540000</v>
      </c>
      <c r="R339" s="4">
        <f>_xlfn.FLOOR.MATH(O38/控制台!$H$291*控制台!$E$289,5)</f>
        <v>694935</v>
      </c>
      <c r="U339" s="1">
        <f t="shared" si="22"/>
        <v>1</v>
      </c>
    </row>
    <row r="340" spans="10:17">
      <c r="J340" s="4"/>
      <c r="P340" s="4"/>
      <c r="Q340" s="4"/>
    </row>
    <row r="342" s="2" customFormat="1" spans="1:1">
      <c r="A342" s="2" t="s">
        <v>2754</v>
      </c>
    </row>
    <row r="344" spans="1:11">
      <c r="A344" s="1" t="s">
        <v>382</v>
      </c>
      <c r="B344" s="1" t="s">
        <v>138</v>
      </c>
      <c r="C344" s="1" t="s">
        <v>2755</v>
      </c>
      <c r="D344" s="1" t="s">
        <v>2756</v>
      </c>
      <c r="E344" s="1" t="s">
        <v>2757</v>
      </c>
      <c r="F344" s="1" t="s">
        <v>805</v>
      </c>
      <c r="G344" s="1" t="s">
        <v>806</v>
      </c>
      <c r="H344" s="5" t="s">
        <v>863</v>
      </c>
      <c r="I344" s="1" t="s">
        <v>805</v>
      </c>
      <c r="J344" s="1" t="s">
        <v>806</v>
      </c>
      <c r="K344" s="5" t="s">
        <v>864</v>
      </c>
    </row>
    <row r="345" spans="1:11">
      <c r="A345" s="7">
        <v>0</v>
      </c>
      <c r="B345" s="1">
        <f ca="1">IF(控制台!C107="",INDIRECT(ADDRESS(ROW()-1,COLUMN())),控制台!C107)</f>
        <v>0</v>
      </c>
      <c r="C345" s="1">
        <f ca="1">OFFSET(控制台!$B$374,MATCH(B345,控制台!$C$374:$C$445,0)-1,0)</f>
        <v>0</v>
      </c>
      <c r="D345" s="1">
        <f ca="1">IFERROR(OFFSET(控制台!$E$301,MATCH(B345+1,控制台!$B$301:$B$333,0)-1,0),"")</f>
        <v>0.1</v>
      </c>
      <c r="E345" s="1">
        <f ca="1" t="shared" ref="E345:E392" si="25">IFERROR((A345-C345)/D345,0)</f>
        <v>0</v>
      </c>
      <c r="F345" s="1">
        <f ca="1">OFFSET($C$6,MATCH(B345,$A$6:$A$38,0)-1,0)</f>
        <v>0</v>
      </c>
      <c r="G345" s="1">
        <f ca="1">IFERROR(OFFSET($C$6,MATCH(B345+1,$A$6:$A$38,0)-1,0),0)</f>
        <v>64800</v>
      </c>
      <c r="H345" s="5">
        <f ca="1">Lerp_dyy(F345,G345,E345)</f>
        <v>0</v>
      </c>
      <c r="I345" s="1">
        <f ca="1">OFFSET($H$6,MATCH(B345,$A$6:$A$38,0)-1,0)</f>
        <v>0</v>
      </c>
      <c r="J345" s="1">
        <f ca="1">IFERROR(OFFSET($H$6,MATCH(B345+1,$A$6:$A$38,0)-1,0),0)</f>
        <v>55.296</v>
      </c>
      <c r="K345" s="5">
        <f ca="1">Lerp_dyy(I345,J345,E345)</f>
        <v>0</v>
      </c>
    </row>
    <row r="346" spans="1:11">
      <c r="A346" s="7">
        <v>0.1</v>
      </c>
      <c r="B346" s="1">
        <f ca="1">IF(控制台!C108="",INDIRECT(ADDRESS(ROW()-1,COLUMN())),控制台!C108)</f>
        <v>1</v>
      </c>
      <c r="C346" s="1">
        <f ca="1">OFFSET(控制台!$B$374,MATCH(B346,控制台!$C$374:$C$445,0)-1,0)</f>
        <v>0.1</v>
      </c>
      <c r="D346" s="1">
        <f ca="1">IFERROR(OFFSET(控制台!$E$301,MATCH(B346+1,控制台!$B$301:$B$333,0)-1,0),"")</f>
        <v>0.1</v>
      </c>
      <c r="E346" s="1">
        <f ca="1" t="shared" si="25"/>
        <v>0</v>
      </c>
      <c r="F346" s="1">
        <f ca="1" t="shared" ref="F346:F409" si="26">OFFSET($C$6,MATCH(B346,$A$6:$A$38,0)-1,0)</f>
        <v>64800</v>
      </c>
      <c r="G346" s="1">
        <f ca="1" t="shared" ref="G346:G409" si="27">IFERROR(OFFSET($C$6,MATCH(B346+1,$A$6:$A$38,0)-1,0),0)</f>
        <v>194400</v>
      </c>
      <c r="H346" s="5">
        <f ca="1">Lerp_dyy(F346,G346,E346)</f>
        <v>64800</v>
      </c>
      <c r="I346" s="1">
        <f ca="1" t="shared" ref="I346:I409" si="28">OFFSET($H$6,MATCH(B346,$A$6:$A$38,0)-1,0)</f>
        <v>55.296</v>
      </c>
      <c r="J346" s="1">
        <f ca="1" t="shared" ref="J346:J409" si="29">IFERROR(OFFSET($H$6,MATCH(B346+1,$A$6:$A$38,0)-1,0),0)</f>
        <v>165.888</v>
      </c>
      <c r="K346" s="5">
        <f ca="1">Lerp_dyy(I346,J346,E346)</f>
        <v>55.296</v>
      </c>
    </row>
    <row r="347" spans="1:11">
      <c r="A347" s="7">
        <v>0.2</v>
      </c>
      <c r="B347" s="1">
        <f ca="1">IF(控制台!C109="",INDIRECT(ADDRESS(ROW()-1,COLUMN())),控制台!C109)</f>
        <v>2</v>
      </c>
      <c r="C347" s="1">
        <f ca="1">OFFSET(控制台!$B$374,MATCH(B347,控制台!$C$374:$C$445,0)-1,0)</f>
        <v>0.2</v>
      </c>
      <c r="D347" s="1">
        <f ca="1">IFERROR(OFFSET(控制台!$E$301,MATCH(B347+1,控制台!$B$301:$B$333,0)-1,0),"")</f>
        <v>0.1</v>
      </c>
      <c r="E347" s="1">
        <f ca="1" t="shared" si="25"/>
        <v>0</v>
      </c>
      <c r="F347" s="1">
        <f ca="1" t="shared" si="26"/>
        <v>194400</v>
      </c>
      <c r="G347" s="1">
        <f ca="1" t="shared" si="27"/>
        <v>388800</v>
      </c>
      <c r="H347" s="5">
        <f ca="1">Lerp_dyy(F347,G347,E347)</f>
        <v>194400</v>
      </c>
      <c r="I347" s="1">
        <f ca="1" t="shared" si="28"/>
        <v>165.888</v>
      </c>
      <c r="J347" s="1">
        <f ca="1" t="shared" si="29"/>
        <v>331.776</v>
      </c>
      <c r="K347" s="5">
        <f ca="1">Lerp_dyy(I347,J347,E347)</f>
        <v>165.888</v>
      </c>
    </row>
    <row r="348" spans="1:11">
      <c r="A348" s="7">
        <v>0.3</v>
      </c>
      <c r="B348" s="1">
        <f ca="1">IF(控制台!C110="",INDIRECT(ADDRESS(ROW()-1,COLUMN())),控制台!C110)</f>
        <v>3</v>
      </c>
      <c r="C348" s="1">
        <f ca="1">OFFSET(控制台!$B$374,MATCH(B348,控制台!$C$374:$C$445,0)-1,0)</f>
        <v>0.3</v>
      </c>
      <c r="D348" s="1">
        <f ca="1">IFERROR(OFFSET(控制台!$E$301,MATCH(B348+1,控制台!$B$301:$B$333,0)-1,0),"")</f>
        <v>0.1</v>
      </c>
      <c r="E348" s="1">
        <f ca="1" t="shared" si="25"/>
        <v>0</v>
      </c>
      <c r="F348" s="1">
        <f ca="1" t="shared" si="26"/>
        <v>388800</v>
      </c>
      <c r="G348" s="1">
        <f ca="1" t="shared" si="27"/>
        <v>648000</v>
      </c>
      <c r="H348" s="5">
        <f ca="1">Lerp_dyy(F348,G348,E348)</f>
        <v>388800</v>
      </c>
      <c r="I348" s="1">
        <f ca="1" t="shared" si="28"/>
        <v>331.776</v>
      </c>
      <c r="J348" s="1">
        <f ca="1" t="shared" si="29"/>
        <v>608.256</v>
      </c>
      <c r="K348" s="5">
        <f ca="1">Lerp_dyy(I348,J348,E348)</f>
        <v>331.776</v>
      </c>
    </row>
    <row r="349" spans="1:11">
      <c r="A349" s="7">
        <v>0.4</v>
      </c>
      <c r="B349" s="1">
        <f ca="1">IF(控制台!C111="",INDIRECT(ADDRESS(ROW()-1,COLUMN())),控制台!C111)</f>
        <v>4</v>
      </c>
      <c r="C349" s="1">
        <f ca="1">OFFSET(控制台!$B$374,MATCH(B349,控制台!$C$374:$C$445,0)-1,0)</f>
        <v>0.4</v>
      </c>
      <c r="D349" s="1">
        <f ca="1">IFERROR(OFFSET(控制台!$E$301,MATCH(B349+1,控制台!$B$301:$B$333,0)-1,0),"")</f>
        <v>0.1</v>
      </c>
      <c r="E349" s="1">
        <f ca="1" t="shared" si="25"/>
        <v>0</v>
      </c>
      <c r="F349" s="1">
        <f ca="1" t="shared" si="26"/>
        <v>648000</v>
      </c>
      <c r="G349" s="1">
        <f ca="1" t="shared" si="27"/>
        <v>1080000</v>
      </c>
      <c r="H349" s="5">
        <f ca="1">Lerp_dyy(F349,G349,E349)</f>
        <v>648000</v>
      </c>
      <c r="I349" s="1">
        <f ca="1" t="shared" si="28"/>
        <v>608.256</v>
      </c>
      <c r="J349" s="1">
        <f ca="1" t="shared" si="29"/>
        <v>1050.624</v>
      </c>
      <c r="K349" s="5">
        <f ca="1">Lerp_dyy(I349,J349,E349)</f>
        <v>608.256</v>
      </c>
    </row>
    <row r="350" spans="1:11">
      <c r="A350" s="7">
        <v>0.5</v>
      </c>
      <c r="B350" s="1">
        <f ca="1">IF(控制台!C112="",INDIRECT(ADDRESS(ROW()-1,COLUMN())),控制台!C112)</f>
        <v>5</v>
      </c>
      <c r="C350" s="1">
        <f ca="1">OFFSET(控制台!$B$374,MATCH(B350,控制台!$C$374:$C$445,0)-1,0)</f>
        <v>0.5</v>
      </c>
      <c r="D350" s="1">
        <f ca="1">IFERROR(OFFSET(控制台!$E$301,MATCH(B350+1,控制台!$B$301:$B$333,0)-1,0),"")</f>
        <v>0.1</v>
      </c>
      <c r="E350" s="1">
        <f ca="1" t="shared" si="25"/>
        <v>0</v>
      </c>
      <c r="F350" s="1">
        <f ca="1" t="shared" si="26"/>
        <v>1080000</v>
      </c>
      <c r="G350" s="1">
        <f ca="1" t="shared" si="27"/>
        <v>1944000</v>
      </c>
      <c r="H350" s="5">
        <f ca="1">Lerp_dyy(F350,G350,E350)</f>
        <v>1080000</v>
      </c>
      <c r="I350" s="1">
        <f ca="1" t="shared" si="28"/>
        <v>1050.624</v>
      </c>
      <c r="J350" s="1">
        <f ca="1" t="shared" si="29"/>
        <v>1880.064</v>
      </c>
      <c r="K350" s="5">
        <f ca="1">Lerp_dyy(I350,J350,E350)</f>
        <v>1050.624</v>
      </c>
    </row>
    <row r="351" spans="1:11">
      <c r="A351" s="7">
        <v>0.6</v>
      </c>
      <c r="B351" s="1">
        <f ca="1">IF(控制台!C113="",INDIRECT(ADDRESS(ROW()-1,COLUMN())),控制台!C113)</f>
        <v>6</v>
      </c>
      <c r="C351" s="1">
        <f ca="1">OFFSET(控制台!$B$374,MATCH(B351,控制台!$C$374:$C$445,0)-1,0)</f>
        <v>0.6</v>
      </c>
      <c r="D351" s="1">
        <f ca="1">IFERROR(OFFSET(控制台!$E$301,MATCH(B351+1,控制台!$B$301:$B$333,0)-1,0),"")</f>
        <v>0.2</v>
      </c>
      <c r="E351" s="1">
        <f ca="1" t="shared" si="25"/>
        <v>0</v>
      </c>
      <c r="F351" s="1">
        <f ca="1" t="shared" si="26"/>
        <v>1944000</v>
      </c>
      <c r="G351" s="1">
        <f ca="1" t="shared" si="27"/>
        <v>3240000</v>
      </c>
      <c r="H351" s="5">
        <f ca="1">Lerp_dyy(F351,G351,E351)</f>
        <v>1944000</v>
      </c>
      <c r="I351" s="1">
        <f ca="1" t="shared" si="28"/>
        <v>1880.064</v>
      </c>
      <c r="J351" s="1">
        <f ca="1" t="shared" si="29"/>
        <v>3538.944</v>
      </c>
      <c r="K351" s="5">
        <f ca="1">Lerp_dyy(I351,J351,E351)</f>
        <v>1880.064</v>
      </c>
    </row>
    <row r="352" spans="1:11">
      <c r="A352" s="7">
        <v>0.7</v>
      </c>
      <c r="B352" s="1">
        <f ca="1">IF(控制台!C114="",INDIRECT(ADDRESS(ROW()-1,COLUMN())),控制台!C114)</f>
        <v>6</v>
      </c>
      <c r="C352" s="1">
        <f ca="1">OFFSET(控制台!$B$374,MATCH(B352,控制台!$C$374:$C$445,0)-1,0)</f>
        <v>0.6</v>
      </c>
      <c r="D352" s="1">
        <f ca="1">IFERROR(OFFSET(控制台!$E$301,MATCH(B352+1,控制台!$B$301:$B$333,0)-1,0),"")</f>
        <v>0.2</v>
      </c>
      <c r="E352" s="1">
        <f ca="1" t="shared" si="25"/>
        <v>0.5</v>
      </c>
      <c r="F352" s="1">
        <f ca="1" t="shared" si="26"/>
        <v>1944000</v>
      </c>
      <c r="G352" s="1">
        <f ca="1" t="shared" si="27"/>
        <v>3240000</v>
      </c>
      <c r="H352" s="5">
        <f ca="1">Lerp_dyy(F352,G352,E352)</f>
        <v>2592000</v>
      </c>
      <c r="I352" s="1">
        <f ca="1" t="shared" si="28"/>
        <v>1880.064</v>
      </c>
      <c r="J352" s="1">
        <f ca="1" t="shared" si="29"/>
        <v>3538.944</v>
      </c>
      <c r="K352" s="5">
        <f ca="1">Lerp_dyy(I352,J352,E352)</f>
        <v>2709.504</v>
      </c>
    </row>
    <row r="353" spans="1:11">
      <c r="A353" s="7">
        <v>0.8</v>
      </c>
      <c r="B353" s="1">
        <f ca="1">IF(控制台!C115="",INDIRECT(ADDRESS(ROW()-1,COLUMN())),控制台!C115)</f>
        <v>7</v>
      </c>
      <c r="C353" s="1">
        <f ca="1">OFFSET(控制台!$B$374,MATCH(B353,控制台!$C$374:$C$445,0)-1,0)</f>
        <v>0.8</v>
      </c>
      <c r="D353" s="1">
        <f ca="1">IFERROR(OFFSET(控制台!$E$301,MATCH(B353+1,控制台!$B$301:$B$333,0)-1,0),"")</f>
        <v>0.2</v>
      </c>
      <c r="E353" s="1">
        <f ca="1" t="shared" si="25"/>
        <v>0</v>
      </c>
      <c r="F353" s="1">
        <f ca="1" t="shared" si="26"/>
        <v>3240000</v>
      </c>
      <c r="G353" s="1">
        <f ca="1" t="shared" si="27"/>
        <v>4968000</v>
      </c>
      <c r="H353" s="5">
        <f ca="1">Lerp_dyy(F353,G353,E353)</f>
        <v>3240000</v>
      </c>
      <c r="I353" s="1">
        <f ca="1" t="shared" si="28"/>
        <v>3538.944</v>
      </c>
      <c r="J353" s="1">
        <f ca="1" t="shared" si="29"/>
        <v>5750.784</v>
      </c>
      <c r="K353" s="5">
        <f ca="1">Lerp_dyy(I353,J353,E353)</f>
        <v>3538.944</v>
      </c>
    </row>
    <row r="354" spans="1:11">
      <c r="A354" s="7">
        <v>0.9</v>
      </c>
      <c r="B354" s="1">
        <f ca="1">IF(控制台!C116="",INDIRECT(ADDRESS(ROW()-1,COLUMN())),控制台!C116)</f>
        <v>7</v>
      </c>
      <c r="C354" s="1">
        <f ca="1">OFFSET(控制台!$B$374,MATCH(B354,控制台!$C$374:$C$445,0)-1,0)</f>
        <v>0.8</v>
      </c>
      <c r="D354" s="1">
        <f ca="1">IFERROR(OFFSET(控制台!$E$301,MATCH(B354+1,控制台!$B$301:$B$333,0)-1,0),"")</f>
        <v>0.2</v>
      </c>
      <c r="E354" s="1">
        <f ca="1" t="shared" si="25"/>
        <v>0.5</v>
      </c>
      <c r="F354" s="1">
        <f ca="1" t="shared" si="26"/>
        <v>3240000</v>
      </c>
      <c r="G354" s="1">
        <f ca="1" t="shared" si="27"/>
        <v>4968000</v>
      </c>
      <c r="H354" s="5">
        <f ca="1">Lerp_dyy(F354,G354,E354)</f>
        <v>4104000</v>
      </c>
      <c r="I354" s="1">
        <f ca="1" t="shared" si="28"/>
        <v>3538.944</v>
      </c>
      <c r="J354" s="1">
        <f ca="1" t="shared" si="29"/>
        <v>5750.784</v>
      </c>
      <c r="K354" s="5">
        <f ca="1">Lerp_dyy(I354,J354,E354)</f>
        <v>4644.864</v>
      </c>
    </row>
    <row r="355" spans="1:11">
      <c r="A355" s="7">
        <v>1</v>
      </c>
      <c r="B355" s="1">
        <f ca="1">IF(控制台!C117="",INDIRECT(ADDRESS(ROW()-1,COLUMN())),控制台!C117)</f>
        <v>8</v>
      </c>
      <c r="C355" s="1">
        <f ca="1">OFFSET(控制台!$B$374,MATCH(B355,控制台!$C$374:$C$445,0)-1,0)</f>
        <v>1</v>
      </c>
      <c r="D355" s="1">
        <f ca="1">IFERROR(OFFSET(控制台!$E$301,MATCH(B355+1,控制台!$B$301:$B$333,0)-1,0),"")</f>
        <v>0.5</v>
      </c>
      <c r="E355" s="1">
        <f ca="1" t="shared" si="25"/>
        <v>0</v>
      </c>
      <c r="F355" s="1">
        <f ca="1" t="shared" si="26"/>
        <v>4968000</v>
      </c>
      <c r="G355" s="1">
        <f ca="1" t="shared" si="27"/>
        <v>7128000</v>
      </c>
      <c r="H355" s="5">
        <f ca="1">Lerp_dyy(F355,G355,E355)</f>
        <v>4968000</v>
      </c>
      <c r="I355" s="1">
        <f ca="1" t="shared" si="28"/>
        <v>5750.784</v>
      </c>
      <c r="J355" s="1">
        <f ca="1" t="shared" si="29"/>
        <v>8515.584</v>
      </c>
      <c r="K355" s="5">
        <f ca="1">Lerp_dyy(I355,J355,E355)</f>
        <v>5750.784</v>
      </c>
    </row>
    <row r="356" spans="1:11">
      <c r="A356" s="9">
        <v>1.5</v>
      </c>
      <c r="B356" s="1">
        <f ca="1">IF(控制台!C118="",INDIRECT(ADDRESS(ROW()-1,COLUMN())),控制台!C118)</f>
        <v>9</v>
      </c>
      <c r="C356" s="1">
        <f ca="1">OFFSET(控制台!$B$374,MATCH(B356,控制台!$C$374:$C$445,0)-1,0)</f>
        <v>1.5</v>
      </c>
      <c r="D356" s="1">
        <f ca="1">IFERROR(OFFSET(控制台!$E$301,MATCH(B356+1,控制台!$B$301:$B$333,0)-1,0),"")</f>
        <v>0.5</v>
      </c>
      <c r="E356" s="1">
        <f ca="1" t="shared" si="25"/>
        <v>0</v>
      </c>
      <c r="F356" s="1">
        <f ca="1" t="shared" si="26"/>
        <v>7128000</v>
      </c>
      <c r="G356" s="1">
        <f ca="1" t="shared" si="27"/>
        <v>10152000</v>
      </c>
      <c r="H356" s="5">
        <f ca="1">Lerp_dyy(F356,G356,E356)</f>
        <v>7128000</v>
      </c>
      <c r="I356" s="1">
        <f ca="1" t="shared" si="28"/>
        <v>8515.584</v>
      </c>
      <c r="J356" s="1">
        <f ca="1" t="shared" si="29"/>
        <v>11833.344</v>
      </c>
      <c r="K356" s="5">
        <f ca="1">Lerp_dyy(I356,J356,E356)</f>
        <v>8515.584</v>
      </c>
    </row>
    <row r="357" spans="1:11">
      <c r="A357" s="9">
        <v>2</v>
      </c>
      <c r="B357" s="1">
        <f ca="1">IF(控制台!C119="",INDIRECT(ADDRESS(ROW()-1,COLUMN())),控制台!C119)</f>
        <v>10</v>
      </c>
      <c r="C357" s="1">
        <f ca="1">OFFSET(控制台!$B$374,MATCH(B357,控制台!$C$374:$C$445,0)-1,0)</f>
        <v>2</v>
      </c>
      <c r="D357" s="1">
        <f ca="1">IFERROR(OFFSET(控制台!$E$301,MATCH(B357+1,控制台!$B$301:$B$333,0)-1,0),"")</f>
        <v>0.5</v>
      </c>
      <c r="E357" s="1">
        <f ca="1" t="shared" si="25"/>
        <v>0</v>
      </c>
      <c r="F357" s="1">
        <f ca="1" t="shared" si="26"/>
        <v>10152000</v>
      </c>
      <c r="G357" s="1">
        <f ca="1" t="shared" si="27"/>
        <v>14040000</v>
      </c>
      <c r="H357" s="5">
        <f ca="1">Lerp_dyy(F357,G357,E357)</f>
        <v>10152000</v>
      </c>
      <c r="I357" s="1">
        <f ca="1" t="shared" si="28"/>
        <v>11833.344</v>
      </c>
      <c r="J357" s="1">
        <f ca="1" t="shared" si="29"/>
        <v>15704.064</v>
      </c>
      <c r="K357" s="5">
        <f ca="1">Lerp_dyy(I357,J357,E357)</f>
        <v>11833.344</v>
      </c>
    </row>
    <row r="358" spans="1:11">
      <c r="A358" s="9">
        <v>2.5</v>
      </c>
      <c r="B358" s="1">
        <f ca="1">IF(控制台!C120="",INDIRECT(ADDRESS(ROW()-1,COLUMN())),控制台!C120)</f>
        <v>11</v>
      </c>
      <c r="C358" s="1">
        <f ca="1">OFFSET(控制台!$B$374,MATCH(B358,控制台!$C$374:$C$445,0)-1,0)</f>
        <v>2.5</v>
      </c>
      <c r="D358" s="1">
        <f ca="1">IFERROR(OFFSET(控制台!$E$301,MATCH(B358+1,控制台!$B$301:$B$333,0)-1,0),"")</f>
        <v>0.5</v>
      </c>
      <c r="E358" s="1">
        <f ca="1" t="shared" si="25"/>
        <v>0</v>
      </c>
      <c r="F358" s="1">
        <f ca="1" t="shared" si="26"/>
        <v>14040000</v>
      </c>
      <c r="G358" s="1">
        <f ca="1" t="shared" si="27"/>
        <v>18360000</v>
      </c>
      <c r="H358" s="5">
        <f ca="1">Lerp_dyy(F358,G358,E358)</f>
        <v>14040000</v>
      </c>
      <c r="I358" s="1">
        <f ca="1" t="shared" si="28"/>
        <v>15704.064</v>
      </c>
      <c r="J358" s="1">
        <f ca="1" t="shared" si="29"/>
        <v>20127.744</v>
      </c>
      <c r="K358" s="5">
        <f ca="1">Lerp_dyy(I358,J358,E358)</f>
        <v>15704.064</v>
      </c>
    </row>
    <row r="359" spans="1:11">
      <c r="A359" s="9">
        <v>3</v>
      </c>
      <c r="B359" s="1">
        <f ca="1">IF(控制台!C121="",INDIRECT(ADDRESS(ROW()-1,COLUMN())),控制台!C121)</f>
        <v>12</v>
      </c>
      <c r="C359" s="1">
        <f ca="1">OFFSET(控制台!$B$374,MATCH(B359,控制台!$C$374:$C$445,0)-1,0)</f>
        <v>3</v>
      </c>
      <c r="D359" s="1">
        <f ca="1">IFERROR(OFFSET(控制台!$E$301,MATCH(B359+1,控制台!$B$301:$B$333,0)-1,0),"")</f>
        <v>1</v>
      </c>
      <c r="E359" s="1">
        <f ca="1" t="shared" si="25"/>
        <v>0</v>
      </c>
      <c r="F359" s="1">
        <f ca="1" t="shared" si="26"/>
        <v>18360000</v>
      </c>
      <c r="G359" s="1">
        <f ca="1" t="shared" si="27"/>
        <v>24840000</v>
      </c>
      <c r="H359" s="5">
        <f ca="1">Lerp_dyy(F359,G359,E359)</f>
        <v>18360000</v>
      </c>
      <c r="I359" s="1">
        <f ca="1" t="shared" si="28"/>
        <v>20127.744</v>
      </c>
      <c r="J359" s="1">
        <f ca="1" t="shared" si="29"/>
        <v>25657.344</v>
      </c>
      <c r="K359" s="5">
        <f ca="1">Lerp_dyy(I359,J359,E359)</f>
        <v>20127.744</v>
      </c>
    </row>
    <row r="360" spans="1:11">
      <c r="A360" s="9">
        <v>3.5</v>
      </c>
      <c r="B360" s="1">
        <f ca="1">IF(控制台!C122="",INDIRECT(ADDRESS(ROW()-1,COLUMN())),控制台!C122)</f>
        <v>12</v>
      </c>
      <c r="C360" s="1">
        <f ca="1">OFFSET(控制台!$B$374,MATCH(B360,控制台!$C$374:$C$445,0)-1,0)</f>
        <v>3</v>
      </c>
      <c r="D360" s="1">
        <f ca="1">IFERROR(OFFSET(控制台!$E$301,MATCH(B360+1,控制台!$B$301:$B$333,0)-1,0),"")</f>
        <v>1</v>
      </c>
      <c r="E360" s="1">
        <f ca="1" t="shared" si="25"/>
        <v>0.5</v>
      </c>
      <c r="F360" s="1">
        <f ca="1" t="shared" si="26"/>
        <v>18360000</v>
      </c>
      <c r="G360" s="1">
        <f ca="1" t="shared" si="27"/>
        <v>24840000</v>
      </c>
      <c r="H360" s="5">
        <f ca="1">Lerp_dyy(F360,G360,E360)</f>
        <v>21600000</v>
      </c>
      <c r="I360" s="1">
        <f ca="1" t="shared" si="28"/>
        <v>20127.744</v>
      </c>
      <c r="J360" s="1">
        <f ca="1" t="shared" si="29"/>
        <v>25657.344</v>
      </c>
      <c r="K360" s="5">
        <f ca="1">Lerp_dyy(I360,J360,E360)</f>
        <v>22892.544</v>
      </c>
    </row>
    <row r="361" spans="1:11">
      <c r="A361" s="9">
        <v>4</v>
      </c>
      <c r="B361" s="1">
        <f ca="1">IF(控制台!C123="",INDIRECT(ADDRESS(ROW()-1,COLUMN())),控制台!C123)</f>
        <v>13</v>
      </c>
      <c r="C361" s="1">
        <f ca="1">OFFSET(控制台!$B$374,MATCH(B361,控制台!$C$374:$C$445,0)-1,0)</f>
        <v>4</v>
      </c>
      <c r="D361" s="1">
        <f ca="1">IFERROR(OFFSET(控制台!$E$301,MATCH(B361+1,控制台!$B$301:$B$333,0)-1,0),"")</f>
        <v>1</v>
      </c>
      <c r="E361" s="1">
        <f ca="1" t="shared" si="25"/>
        <v>0</v>
      </c>
      <c r="F361" s="1">
        <f ca="1" t="shared" si="26"/>
        <v>24840000</v>
      </c>
      <c r="G361" s="1">
        <f ca="1" t="shared" si="27"/>
        <v>37800000</v>
      </c>
      <c r="H361" s="5">
        <f ca="1">Lerp_dyy(F361,G361,E361)</f>
        <v>24840000</v>
      </c>
      <c r="I361" s="1">
        <f ca="1" t="shared" si="28"/>
        <v>25657.344</v>
      </c>
      <c r="J361" s="1">
        <f ca="1" t="shared" si="29"/>
        <v>33951.744</v>
      </c>
      <c r="K361" s="5">
        <f ca="1">Lerp_dyy(I361,J361,E361)</f>
        <v>25657.344</v>
      </c>
    </row>
    <row r="362" spans="1:11">
      <c r="A362" s="9">
        <v>4.5</v>
      </c>
      <c r="B362" s="1">
        <f ca="1">IF(控制台!C124="",INDIRECT(ADDRESS(ROW()-1,COLUMN())),控制台!C124)</f>
        <v>13</v>
      </c>
      <c r="C362" s="1">
        <f ca="1">OFFSET(控制台!$B$374,MATCH(B362,控制台!$C$374:$C$445,0)-1,0)</f>
        <v>4</v>
      </c>
      <c r="D362" s="1">
        <f ca="1">IFERROR(OFFSET(控制台!$E$301,MATCH(B362+1,控制台!$B$301:$B$333,0)-1,0),"")</f>
        <v>1</v>
      </c>
      <c r="E362" s="1">
        <f ca="1" t="shared" si="25"/>
        <v>0.5</v>
      </c>
      <c r="F362" s="1">
        <f ca="1" t="shared" si="26"/>
        <v>24840000</v>
      </c>
      <c r="G362" s="1">
        <f ca="1" t="shared" si="27"/>
        <v>37800000</v>
      </c>
      <c r="H362" s="5">
        <f ca="1">Lerp_dyy(F362,G362,E362)</f>
        <v>31320000</v>
      </c>
      <c r="I362" s="1">
        <f ca="1" t="shared" si="28"/>
        <v>25657.344</v>
      </c>
      <c r="J362" s="1">
        <f ca="1" t="shared" si="29"/>
        <v>33951.744</v>
      </c>
      <c r="K362" s="5">
        <f ca="1">Lerp_dyy(I362,J362,E362)</f>
        <v>29804.544</v>
      </c>
    </row>
    <row r="363" spans="1:11">
      <c r="A363" s="9">
        <v>5</v>
      </c>
      <c r="B363" s="1">
        <f ca="1">IF(控制台!C125="",INDIRECT(ADDRESS(ROW()-1,COLUMN())),控制台!C125)</f>
        <v>14</v>
      </c>
      <c r="C363" s="1">
        <f ca="1">OFFSET(控制台!$B$374,MATCH(B363,控制台!$C$374:$C$445,0)-1,0)</f>
        <v>5</v>
      </c>
      <c r="D363" s="1">
        <f ca="1">IFERROR(OFFSET(控制台!$E$301,MATCH(B363+1,控制台!$B$301:$B$333,0)-1,0),"")</f>
        <v>2</v>
      </c>
      <c r="E363" s="1">
        <f ca="1" t="shared" si="25"/>
        <v>0</v>
      </c>
      <c r="F363" s="1">
        <f ca="1" t="shared" si="26"/>
        <v>37800000</v>
      </c>
      <c r="G363" s="1">
        <f ca="1" t="shared" si="27"/>
        <v>59400000</v>
      </c>
      <c r="H363" s="5">
        <f ca="1">Lerp_dyy(F363,G363,E363)</f>
        <v>37800000</v>
      </c>
      <c r="I363" s="1">
        <f ca="1" t="shared" si="28"/>
        <v>33951.744</v>
      </c>
      <c r="J363" s="1">
        <f ca="1" t="shared" si="29"/>
        <v>45010.944</v>
      </c>
      <c r="K363" s="5">
        <f ca="1">Lerp_dyy(I363,J363,E363)</f>
        <v>33951.744</v>
      </c>
    </row>
    <row r="364" spans="1:11">
      <c r="A364" s="9">
        <v>5.5</v>
      </c>
      <c r="B364" s="1">
        <f ca="1">IF(控制台!C126="",INDIRECT(ADDRESS(ROW()-1,COLUMN())),控制台!C126)</f>
        <v>14</v>
      </c>
      <c r="C364" s="1">
        <f ca="1">OFFSET(控制台!$B$374,MATCH(B364,控制台!$C$374:$C$445,0)-1,0)</f>
        <v>5</v>
      </c>
      <c r="D364" s="1">
        <f ca="1">IFERROR(OFFSET(控制台!$E$301,MATCH(B364+1,控制台!$B$301:$B$333,0)-1,0),"")</f>
        <v>2</v>
      </c>
      <c r="E364" s="1">
        <f ca="1" t="shared" si="25"/>
        <v>0.25</v>
      </c>
      <c r="F364" s="1">
        <f ca="1" t="shared" si="26"/>
        <v>37800000</v>
      </c>
      <c r="G364" s="1">
        <f ca="1" t="shared" si="27"/>
        <v>59400000</v>
      </c>
      <c r="H364" s="5">
        <f ca="1">Lerp_dyy(F364,G364,E364)</f>
        <v>43200000</v>
      </c>
      <c r="I364" s="1">
        <f ca="1" t="shared" si="28"/>
        <v>33951.744</v>
      </c>
      <c r="J364" s="1">
        <f ca="1" t="shared" si="29"/>
        <v>45010.944</v>
      </c>
      <c r="K364" s="5">
        <f ca="1">Lerp_dyy(I364,J364,E364)</f>
        <v>36716.544</v>
      </c>
    </row>
    <row r="365" spans="1:11">
      <c r="A365" s="9">
        <v>6</v>
      </c>
      <c r="B365" s="1">
        <f ca="1">IF(控制台!C127="",INDIRECT(ADDRESS(ROW()-1,COLUMN())),控制台!C127)</f>
        <v>14</v>
      </c>
      <c r="C365" s="1">
        <f ca="1">OFFSET(控制台!$B$374,MATCH(B365,控制台!$C$374:$C$445,0)-1,0)</f>
        <v>5</v>
      </c>
      <c r="D365" s="1">
        <f ca="1">IFERROR(OFFSET(控制台!$E$301,MATCH(B365+1,控制台!$B$301:$B$333,0)-1,0),"")</f>
        <v>2</v>
      </c>
      <c r="E365" s="1">
        <f ca="1" t="shared" si="25"/>
        <v>0.5</v>
      </c>
      <c r="F365" s="1">
        <f ca="1" t="shared" si="26"/>
        <v>37800000</v>
      </c>
      <c r="G365" s="1">
        <f ca="1" t="shared" si="27"/>
        <v>59400000</v>
      </c>
      <c r="H365" s="5">
        <f ca="1">Lerp_dyy(F365,G365,E365)</f>
        <v>48600000</v>
      </c>
      <c r="I365" s="1">
        <f ca="1" t="shared" si="28"/>
        <v>33951.744</v>
      </c>
      <c r="J365" s="1">
        <f ca="1" t="shared" si="29"/>
        <v>45010.944</v>
      </c>
      <c r="K365" s="5">
        <f ca="1">Lerp_dyy(I365,J365,E365)</f>
        <v>39481.344</v>
      </c>
    </row>
    <row r="366" spans="1:11">
      <c r="A366" s="9">
        <v>6.5</v>
      </c>
      <c r="B366" s="1">
        <f ca="1">IF(控制台!C128="",INDIRECT(ADDRESS(ROW()-1,COLUMN())),控制台!C128)</f>
        <v>14</v>
      </c>
      <c r="C366" s="1">
        <f ca="1">OFFSET(控制台!$B$374,MATCH(B366,控制台!$C$374:$C$445,0)-1,0)</f>
        <v>5</v>
      </c>
      <c r="D366" s="1">
        <f ca="1">IFERROR(OFFSET(控制台!$E$301,MATCH(B366+1,控制台!$B$301:$B$333,0)-1,0),"")</f>
        <v>2</v>
      </c>
      <c r="E366" s="1">
        <f ca="1" t="shared" si="25"/>
        <v>0.75</v>
      </c>
      <c r="F366" s="1">
        <f ca="1" t="shared" si="26"/>
        <v>37800000</v>
      </c>
      <c r="G366" s="1">
        <f ca="1" t="shared" si="27"/>
        <v>59400000</v>
      </c>
      <c r="H366" s="5">
        <f ca="1">Lerp_dyy(F366,G366,E366)</f>
        <v>54000000</v>
      </c>
      <c r="I366" s="1">
        <f ca="1" t="shared" si="28"/>
        <v>33951.744</v>
      </c>
      <c r="J366" s="1">
        <f ca="1" t="shared" si="29"/>
        <v>45010.944</v>
      </c>
      <c r="K366" s="5">
        <f ca="1">Lerp_dyy(I366,J366,E366)</f>
        <v>42246.144</v>
      </c>
    </row>
    <row r="367" spans="1:11">
      <c r="A367" s="9">
        <v>7</v>
      </c>
      <c r="B367" s="1">
        <f ca="1">IF(控制台!C129="",INDIRECT(ADDRESS(ROW()-1,COLUMN())),控制台!C129)</f>
        <v>15</v>
      </c>
      <c r="C367" s="1">
        <f ca="1">OFFSET(控制台!$B$374,MATCH(B367,控制台!$C$374:$C$445,0)-1,0)</f>
        <v>7</v>
      </c>
      <c r="D367" s="1">
        <f ca="1">IFERROR(OFFSET(控制台!$E$301,MATCH(B367+1,控制台!$B$301:$B$333,0)-1,0),"")</f>
        <v>2</v>
      </c>
      <c r="E367" s="1">
        <f ca="1" t="shared" si="25"/>
        <v>0</v>
      </c>
      <c r="F367" s="1">
        <f ca="1" t="shared" si="26"/>
        <v>59400000</v>
      </c>
      <c r="G367" s="1">
        <f ca="1" t="shared" si="27"/>
        <v>85320000</v>
      </c>
      <c r="H367" s="5">
        <f ca="1">Lerp_dyy(F367,G367,E367)</f>
        <v>59400000</v>
      </c>
      <c r="I367" s="1">
        <f ca="1" t="shared" si="28"/>
        <v>45010.944</v>
      </c>
      <c r="J367" s="1">
        <f ca="1" t="shared" si="29"/>
        <v>58834.944</v>
      </c>
      <c r="K367" s="5">
        <f ca="1">Lerp_dyy(I367,J367,E367)</f>
        <v>45010.944</v>
      </c>
    </row>
    <row r="368" spans="1:11">
      <c r="A368" s="10">
        <v>8</v>
      </c>
      <c r="B368" s="1">
        <f ca="1">IF(控制台!C130="",INDIRECT(ADDRESS(ROW()-1,COLUMN())),控制台!C130)</f>
        <v>15</v>
      </c>
      <c r="C368" s="1">
        <f ca="1">OFFSET(控制台!$B$374,MATCH(B368,控制台!$C$374:$C$445,0)-1,0)</f>
        <v>7</v>
      </c>
      <c r="D368" s="1">
        <f ca="1">IFERROR(OFFSET(控制台!$E$301,MATCH(B368+1,控制台!$B$301:$B$333,0)-1,0),"")</f>
        <v>2</v>
      </c>
      <c r="E368" s="1">
        <f ca="1" t="shared" si="25"/>
        <v>0.5</v>
      </c>
      <c r="F368" s="1">
        <f ca="1" t="shared" si="26"/>
        <v>59400000</v>
      </c>
      <c r="G368" s="1">
        <f ca="1" t="shared" si="27"/>
        <v>85320000</v>
      </c>
      <c r="H368" s="5">
        <f ca="1">Lerp_dyy(F368,G368,E368)</f>
        <v>72360000</v>
      </c>
      <c r="I368" s="1">
        <f ca="1" t="shared" si="28"/>
        <v>45010.944</v>
      </c>
      <c r="J368" s="1">
        <f ca="1" t="shared" si="29"/>
        <v>58834.944</v>
      </c>
      <c r="K368" s="5">
        <f ca="1">Lerp_dyy(I368,J368,E368)</f>
        <v>51922.944</v>
      </c>
    </row>
    <row r="369" spans="1:11">
      <c r="A369" s="10">
        <v>9</v>
      </c>
      <c r="B369" s="1">
        <f ca="1">IF(控制台!C131="",INDIRECT(ADDRESS(ROW()-1,COLUMN())),控制台!C131)</f>
        <v>16</v>
      </c>
      <c r="C369" s="1">
        <f ca="1">OFFSET(控制台!$B$374,MATCH(B369,控制台!$C$374:$C$445,0)-1,0)</f>
        <v>9</v>
      </c>
      <c r="D369" s="1">
        <f ca="1">IFERROR(OFFSET(控制台!$E$301,MATCH(B369+1,控制台!$B$301:$B$333,0)-1,0),"")</f>
        <v>2</v>
      </c>
      <c r="E369" s="1">
        <f ca="1" t="shared" si="25"/>
        <v>0</v>
      </c>
      <c r="F369" s="1">
        <f ca="1" t="shared" si="26"/>
        <v>85320000</v>
      </c>
      <c r="G369" s="1">
        <f ca="1" t="shared" si="27"/>
        <v>115560000</v>
      </c>
      <c r="H369" s="5">
        <f ca="1">Lerp_dyy(F369,G369,E369)</f>
        <v>85320000</v>
      </c>
      <c r="I369" s="1">
        <f ca="1" t="shared" si="28"/>
        <v>58834.944</v>
      </c>
      <c r="J369" s="1">
        <f ca="1" t="shared" si="29"/>
        <v>75423.744</v>
      </c>
      <c r="K369" s="5">
        <f ca="1">Lerp_dyy(I369,J369,E369)</f>
        <v>58834.944</v>
      </c>
    </row>
    <row r="370" spans="1:11">
      <c r="A370" s="10">
        <v>10</v>
      </c>
      <c r="B370" s="1">
        <f ca="1">IF(控制台!C132="",INDIRECT(ADDRESS(ROW()-1,COLUMN())),控制台!C132)</f>
        <v>16</v>
      </c>
      <c r="C370" s="1">
        <f ca="1">OFFSET(控制台!$B$374,MATCH(B370,控制台!$C$374:$C$445,0)-1,0)</f>
        <v>9</v>
      </c>
      <c r="D370" s="1">
        <f ca="1">IFERROR(OFFSET(控制台!$E$301,MATCH(B370+1,控制台!$B$301:$B$333,0)-1,0),"")</f>
        <v>2</v>
      </c>
      <c r="E370" s="1">
        <f ca="1" t="shared" si="25"/>
        <v>0.5</v>
      </c>
      <c r="F370" s="1">
        <f ca="1" t="shared" si="26"/>
        <v>85320000</v>
      </c>
      <c r="G370" s="1">
        <f ca="1" t="shared" si="27"/>
        <v>115560000</v>
      </c>
      <c r="H370" s="5">
        <f ca="1">Lerp_dyy(F370,G370,E370)</f>
        <v>100440000</v>
      </c>
      <c r="I370" s="1">
        <f ca="1" t="shared" si="28"/>
        <v>58834.944</v>
      </c>
      <c r="J370" s="1">
        <f ca="1" t="shared" si="29"/>
        <v>75423.744</v>
      </c>
      <c r="K370" s="5">
        <f ca="1">Lerp_dyy(I370,J370,E370)</f>
        <v>67129.344</v>
      </c>
    </row>
    <row r="371" spans="1:11">
      <c r="A371" s="10">
        <v>11</v>
      </c>
      <c r="B371" s="1">
        <f ca="1">IF(控制台!C133="",INDIRECT(ADDRESS(ROW()-1,COLUMN())),控制台!C133)</f>
        <v>17</v>
      </c>
      <c r="C371" s="1">
        <f ca="1">OFFSET(控制台!$B$374,MATCH(B371,控制台!$C$374:$C$445,0)-1,0)</f>
        <v>11</v>
      </c>
      <c r="D371" s="1">
        <f ca="1">IFERROR(OFFSET(控制台!$E$301,MATCH(B371+1,控制台!$B$301:$B$333,0)-1,0),"")</f>
        <v>3</v>
      </c>
      <c r="E371" s="1">
        <f ca="1" t="shared" si="25"/>
        <v>0</v>
      </c>
      <c r="F371" s="1">
        <f ca="1" t="shared" si="26"/>
        <v>115560000</v>
      </c>
      <c r="G371" s="1">
        <f ca="1" t="shared" si="27"/>
        <v>163080000</v>
      </c>
      <c r="H371" s="5">
        <f ca="1">Lerp_dyy(F371,G371,E371)</f>
        <v>115560000</v>
      </c>
      <c r="I371" s="1">
        <f ca="1" t="shared" si="28"/>
        <v>75423.744</v>
      </c>
      <c r="J371" s="1">
        <f ca="1" t="shared" si="29"/>
        <v>94777.344</v>
      </c>
      <c r="K371" s="5">
        <f ca="1">Lerp_dyy(I371,J371,E371)</f>
        <v>75423.744</v>
      </c>
    </row>
    <row r="372" spans="1:11">
      <c r="A372" s="10">
        <v>12</v>
      </c>
      <c r="B372" s="1">
        <f ca="1">IF(控制台!C134="",INDIRECT(ADDRESS(ROW()-1,COLUMN())),控制台!C134)</f>
        <v>17</v>
      </c>
      <c r="C372" s="1">
        <f ca="1">OFFSET(控制台!$B$374,MATCH(B372,控制台!$C$374:$C$445,0)-1,0)</f>
        <v>11</v>
      </c>
      <c r="D372" s="1">
        <f ca="1">IFERROR(OFFSET(控制台!$E$301,MATCH(B372+1,控制台!$B$301:$B$333,0)-1,0),"")</f>
        <v>3</v>
      </c>
      <c r="E372" s="1">
        <f ca="1" t="shared" si="25"/>
        <v>0.333333333333333</v>
      </c>
      <c r="F372" s="1">
        <f ca="1" t="shared" si="26"/>
        <v>115560000</v>
      </c>
      <c r="G372" s="1">
        <f ca="1" t="shared" si="27"/>
        <v>163080000</v>
      </c>
      <c r="H372" s="5">
        <f ca="1">Lerp_dyy(F372,G372,E372)</f>
        <v>131400000</v>
      </c>
      <c r="I372" s="1">
        <f ca="1" t="shared" si="28"/>
        <v>75423.744</v>
      </c>
      <c r="J372" s="1">
        <f ca="1" t="shared" si="29"/>
        <v>94777.344</v>
      </c>
      <c r="K372" s="5">
        <f ca="1">Lerp_dyy(I372,J372,E372)</f>
        <v>81874.944</v>
      </c>
    </row>
    <row r="373" spans="1:11">
      <c r="A373" s="10">
        <v>13</v>
      </c>
      <c r="B373" s="1">
        <f ca="1">IF(控制台!C135="",INDIRECT(ADDRESS(ROW()-1,COLUMN())),控制台!C135)</f>
        <v>17</v>
      </c>
      <c r="C373" s="1">
        <f ca="1">OFFSET(控制台!$B$374,MATCH(B373,控制台!$C$374:$C$445,0)-1,0)</f>
        <v>11</v>
      </c>
      <c r="D373" s="1">
        <f ca="1">IFERROR(OFFSET(控制台!$E$301,MATCH(B373+1,控制台!$B$301:$B$333,0)-1,0),"")</f>
        <v>3</v>
      </c>
      <c r="E373" s="1">
        <f ca="1" t="shared" si="25"/>
        <v>0.666666666666667</v>
      </c>
      <c r="F373" s="1">
        <f ca="1" t="shared" si="26"/>
        <v>115560000</v>
      </c>
      <c r="G373" s="1">
        <f ca="1" t="shared" si="27"/>
        <v>163080000</v>
      </c>
      <c r="H373" s="5">
        <f ca="1">Lerp_dyy(F373,G373,E373)</f>
        <v>147240000</v>
      </c>
      <c r="I373" s="1">
        <f ca="1" t="shared" si="28"/>
        <v>75423.744</v>
      </c>
      <c r="J373" s="1">
        <f ca="1" t="shared" si="29"/>
        <v>94777.344</v>
      </c>
      <c r="K373" s="5">
        <f ca="1">Lerp_dyy(I373,J373,E373)</f>
        <v>88326.144</v>
      </c>
    </row>
    <row r="374" spans="1:11">
      <c r="A374" s="10">
        <v>14</v>
      </c>
      <c r="B374" s="1">
        <f ca="1">IF(控制台!C136="",INDIRECT(ADDRESS(ROW()-1,COLUMN())),控制台!C136)</f>
        <v>18</v>
      </c>
      <c r="C374" s="1">
        <f ca="1">OFFSET(控制台!$B$374,MATCH(B374,控制台!$C$374:$C$445,0)-1,0)</f>
        <v>14</v>
      </c>
      <c r="D374" s="1">
        <f ca="1">IFERROR(OFFSET(控制台!$E$301,MATCH(B374+1,控制台!$B$301:$B$333,0)-1,0),"")</f>
        <v>3</v>
      </c>
      <c r="E374" s="1">
        <f ca="1" t="shared" si="25"/>
        <v>0</v>
      </c>
      <c r="F374" s="1">
        <f ca="1" t="shared" si="26"/>
        <v>163080000</v>
      </c>
      <c r="G374" s="1">
        <f ca="1" t="shared" si="27"/>
        <v>217080000</v>
      </c>
      <c r="H374" s="5">
        <f ca="1">Lerp_dyy(F374,G374,E374)</f>
        <v>163080000</v>
      </c>
      <c r="I374" s="1">
        <f ca="1" t="shared" si="28"/>
        <v>94777.344</v>
      </c>
      <c r="J374" s="1">
        <f ca="1" t="shared" si="29"/>
        <v>116895.744</v>
      </c>
      <c r="K374" s="5">
        <f ca="1">Lerp_dyy(I374,J374,E374)</f>
        <v>94777.344</v>
      </c>
    </row>
    <row r="375" spans="1:11">
      <c r="A375" s="10">
        <v>15</v>
      </c>
      <c r="B375" s="1">
        <f ca="1">IF(控制台!C137="",INDIRECT(ADDRESS(ROW()-1,COLUMN())),控制台!C137)</f>
        <v>18</v>
      </c>
      <c r="C375" s="1">
        <f ca="1">OFFSET(控制台!$B$374,MATCH(B375,控制台!$C$374:$C$445,0)-1,0)</f>
        <v>14</v>
      </c>
      <c r="D375" s="1">
        <f ca="1">IFERROR(OFFSET(控制台!$E$301,MATCH(B375+1,控制台!$B$301:$B$333,0)-1,0),"")</f>
        <v>3</v>
      </c>
      <c r="E375" s="1">
        <f ca="1" t="shared" si="25"/>
        <v>0.333333333333333</v>
      </c>
      <c r="F375" s="1">
        <f ca="1" t="shared" si="26"/>
        <v>163080000</v>
      </c>
      <c r="G375" s="1">
        <f ca="1" t="shared" si="27"/>
        <v>217080000</v>
      </c>
      <c r="H375" s="5">
        <f ca="1">Lerp_dyy(F375,G375,E375)</f>
        <v>181080000</v>
      </c>
      <c r="I375" s="1">
        <f ca="1" t="shared" si="28"/>
        <v>94777.344</v>
      </c>
      <c r="J375" s="1">
        <f ca="1" t="shared" si="29"/>
        <v>116895.744</v>
      </c>
      <c r="K375" s="5">
        <f ca="1">Lerp_dyy(I375,J375,E375)</f>
        <v>102150.144</v>
      </c>
    </row>
    <row r="376" spans="1:11">
      <c r="A376" s="10">
        <v>16</v>
      </c>
      <c r="B376" s="1">
        <f ca="1">IF(控制台!C138="",INDIRECT(ADDRESS(ROW()-1,COLUMN())),控制台!C138)</f>
        <v>18</v>
      </c>
      <c r="C376" s="1">
        <f ca="1">OFFSET(控制台!$B$374,MATCH(B376,控制台!$C$374:$C$445,0)-1,0)</f>
        <v>14</v>
      </c>
      <c r="D376" s="1">
        <f ca="1">IFERROR(OFFSET(控制台!$E$301,MATCH(B376+1,控制台!$B$301:$B$333,0)-1,0),"")</f>
        <v>3</v>
      </c>
      <c r="E376" s="1">
        <f ca="1" t="shared" si="25"/>
        <v>0.666666666666667</v>
      </c>
      <c r="F376" s="1">
        <f ca="1" t="shared" si="26"/>
        <v>163080000</v>
      </c>
      <c r="G376" s="1">
        <f ca="1" t="shared" si="27"/>
        <v>217080000</v>
      </c>
      <c r="H376" s="5">
        <f ca="1">Lerp_dyy(F376,G376,E376)</f>
        <v>199080000</v>
      </c>
      <c r="I376" s="1">
        <f ca="1" t="shared" si="28"/>
        <v>94777.344</v>
      </c>
      <c r="J376" s="1">
        <f ca="1" t="shared" si="29"/>
        <v>116895.744</v>
      </c>
      <c r="K376" s="5">
        <f ca="1">Lerp_dyy(I376,J376,E376)</f>
        <v>109522.944</v>
      </c>
    </row>
    <row r="377" spans="1:11">
      <c r="A377" s="10">
        <v>17</v>
      </c>
      <c r="B377" s="1">
        <f ca="1">IF(控制台!C139="",INDIRECT(ADDRESS(ROW()-1,COLUMN())),控制台!C139)</f>
        <v>19</v>
      </c>
      <c r="C377" s="1">
        <f ca="1">OFFSET(控制台!$B$374,MATCH(B377,控制台!$C$374:$C$445,0)-1,0)</f>
        <v>17</v>
      </c>
      <c r="D377" s="1">
        <f ca="1">IFERROR(OFFSET(控制台!$E$301,MATCH(B377+1,控制台!$B$301:$B$333,0)-1,0),"")</f>
        <v>3</v>
      </c>
      <c r="E377" s="1">
        <f ca="1" t="shared" si="25"/>
        <v>0</v>
      </c>
      <c r="F377" s="1">
        <f ca="1" t="shared" si="26"/>
        <v>217080000</v>
      </c>
      <c r="G377" s="1">
        <f ca="1" t="shared" si="27"/>
        <v>277560000</v>
      </c>
      <c r="H377" s="5">
        <f ca="1">Lerp_dyy(F377,G377,E377)</f>
        <v>217080000</v>
      </c>
      <c r="I377" s="1">
        <f ca="1" t="shared" si="28"/>
        <v>116895.744</v>
      </c>
      <c r="J377" s="1">
        <f ca="1" t="shared" si="29"/>
        <v>141778.944</v>
      </c>
      <c r="K377" s="5">
        <f ca="1">Lerp_dyy(I377,J377,E377)</f>
        <v>116895.744</v>
      </c>
    </row>
    <row r="378" spans="1:11">
      <c r="A378" s="10">
        <v>18</v>
      </c>
      <c r="B378" s="1">
        <f ca="1">IF(控制台!C140="",INDIRECT(ADDRESS(ROW()-1,COLUMN())),控制台!C140)</f>
        <v>19</v>
      </c>
      <c r="C378" s="1">
        <f ca="1">OFFSET(控制台!$B$374,MATCH(B378,控制台!$C$374:$C$445,0)-1,0)</f>
        <v>17</v>
      </c>
      <c r="D378" s="1">
        <f ca="1">IFERROR(OFFSET(控制台!$E$301,MATCH(B378+1,控制台!$B$301:$B$333,0)-1,0),"")</f>
        <v>3</v>
      </c>
      <c r="E378" s="1">
        <f ca="1" t="shared" si="25"/>
        <v>0.333333333333333</v>
      </c>
      <c r="F378" s="1">
        <f ca="1" t="shared" si="26"/>
        <v>217080000</v>
      </c>
      <c r="G378" s="1">
        <f ca="1" t="shared" si="27"/>
        <v>277560000</v>
      </c>
      <c r="H378" s="5">
        <f ca="1">Lerp_dyy(F378,G378,E378)</f>
        <v>237240000</v>
      </c>
      <c r="I378" s="1">
        <f ca="1" t="shared" si="28"/>
        <v>116895.744</v>
      </c>
      <c r="J378" s="1">
        <f ca="1" t="shared" si="29"/>
        <v>141778.944</v>
      </c>
      <c r="K378" s="5">
        <f ca="1">Lerp_dyy(I378,J378,E378)</f>
        <v>125190.144</v>
      </c>
    </row>
    <row r="379" spans="1:11">
      <c r="A379" s="10">
        <v>19</v>
      </c>
      <c r="B379" s="1">
        <f ca="1">IF(控制台!C141="",INDIRECT(ADDRESS(ROW()-1,COLUMN())),控制台!C141)</f>
        <v>19</v>
      </c>
      <c r="C379" s="1">
        <f ca="1">OFFSET(控制台!$B$374,MATCH(B379,控制台!$C$374:$C$445,0)-1,0)</f>
        <v>17</v>
      </c>
      <c r="D379" s="1">
        <f ca="1">IFERROR(OFFSET(控制台!$E$301,MATCH(B379+1,控制台!$B$301:$B$333,0)-1,0),"")</f>
        <v>3</v>
      </c>
      <c r="E379" s="1">
        <f ca="1" t="shared" si="25"/>
        <v>0.666666666666667</v>
      </c>
      <c r="F379" s="1">
        <f ca="1" t="shared" si="26"/>
        <v>217080000</v>
      </c>
      <c r="G379" s="1">
        <f ca="1" t="shared" si="27"/>
        <v>277560000</v>
      </c>
      <c r="H379" s="5">
        <f ca="1">Lerp_dyy(F379,G379,E379)</f>
        <v>257400000</v>
      </c>
      <c r="I379" s="1">
        <f ca="1" t="shared" si="28"/>
        <v>116895.744</v>
      </c>
      <c r="J379" s="1">
        <f ca="1" t="shared" si="29"/>
        <v>141778.944</v>
      </c>
      <c r="K379" s="5">
        <f ca="1">Lerp_dyy(I379,J379,E379)</f>
        <v>133484.544</v>
      </c>
    </row>
    <row r="380" spans="1:11">
      <c r="A380" s="10">
        <v>20</v>
      </c>
      <c r="B380" s="1">
        <f ca="1">IF(控制台!C142="",INDIRECT(ADDRESS(ROW()-1,COLUMN())),控制台!C142)</f>
        <v>20</v>
      </c>
      <c r="C380" s="1">
        <f ca="1">OFFSET(控制台!$B$374,MATCH(B380,控制台!$C$374:$C$445,0)-1,0)</f>
        <v>20</v>
      </c>
      <c r="D380" s="1">
        <f ca="1">IFERROR(OFFSET(控制台!$E$301,MATCH(B380+1,控制台!$B$301:$B$333,0)-1,0),"")</f>
        <v>3</v>
      </c>
      <c r="E380" s="1">
        <f ca="1" t="shared" si="25"/>
        <v>0</v>
      </c>
      <c r="F380" s="1">
        <f ca="1" t="shared" si="26"/>
        <v>277560000</v>
      </c>
      <c r="G380" s="1">
        <f ca="1" t="shared" si="27"/>
        <v>344520000</v>
      </c>
      <c r="H380" s="5">
        <f ca="1">Lerp_dyy(F380,G380,E380)</f>
        <v>277560000</v>
      </c>
      <c r="I380" s="1">
        <f ca="1" t="shared" si="28"/>
        <v>141778.944</v>
      </c>
      <c r="J380" s="1">
        <f ca="1" t="shared" si="29"/>
        <v>169426.944</v>
      </c>
      <c r="K380" s="5">
        <f ca="1">Lerp_dyy(I380,J380,E380)</f>
        <v>141778.944</v>
      </c>
    </row>
    <row r="381" spans="1:11">
      <c r="A381" s="10">
        <v>21</v>
      </c>
      <c r="B381" s="1">
        <f ca="1">IF(控制台!C143="",INDIRECT(ADDRESS(ROW()-1,COLUMN())),控制台!C143)</f>
        <v>20</v>
      </c>
      <c r="C381" s="1">
        <f ca="1">OFFSET(控制台!$B$374,MATCH(B381,控制台!$C$374:$C$445,0)-1,0)</f>
        <v>20</v>
      </c>
      <c r="D381" s="1">
        <f ca="1">IFERROR(OFFSET(控制台!$E$301,MATCH(B381+1,控制台!$B$301:$B$333,0)-1,0),"")</f>
        <v>3</v>
      </c>
      <c r="E381" s="1">
        <f ca="1" t="shared" si="25"/>
        <v>0.333333333333333</v>
      </c>
      <c r="F381" s="1">
        <f ca="1" t="shared" si="26"/>
        <v>277560000</v>
      </c>
      <c r="G381" s="1">
        <f ca="1" t="shared" si="27"/>
        <v>344520000</v>
      </c>
      <c r="H381" s="5">
        <f ca="1">Lerp_dyy(F381,G381,E381)</f>
        <v>299880000</v>
      </c>
      <c r="I381" s="1">
        <f ca="1" t="shared" si="28"/>
        <v>141778.944</v>
      </c>
      <c r="J381" s="1">
        <f ca="1" t="shared" si="29"/>
        <v>169426.944</v>
      </c>
      <c r="K381" s="5">
        <f ca="1">Lerp_dyy(I381,J381,E381)</f>
        <v>150994.944</v>
      </c>
    </row>
    <row r="382" spans="1:11">
      <c r="A382" s="10">
        <v>22</v>
      </c>
      <c r="B382" s="1">
        <f ca="1">IF(控制台!C144="",INDIRECT(ADDRESS(ROW()-1,COLUMN())),控制台!C144)</f>
        <v>20</v>
      </c>
      <c r="C382" s="1">
        <f ca="1">OFFSET(控制台!$B$374,MATCH(B382,控制台!$C$374:$C$445,0)-1,0)</f>
        <v>20</v>
      </c>
      <c r="D382" s="1">
        <f ca="1">IFERROR(OFFSET(控制台!$E$301,MATCH(B382+1,控制台!$B$301:$B$333,0)-1,0),"")</f>
        <v>3</v>
      </c>
      <c r="E382" s="1">
        <f ca="1" t="shared" si="25"/>
        <v>0.666666666666667</v>
      </c>
      <c r="F382" s="1">
        <f ca="1" t="shared" si="26"/>
        <v>277560000</v>
      </c>
      <c r="G382" s="1">
        <f ca="1" t="shared" si="27"/>
        <v>344520000</v>
      </c>
      <c r="H382" s="5">
        <f ca="1">Lerp_dyy(F382,G382,E382)</f>
        <v>322200000</v>
      </c>
      <c r="I382" s="1">
        <f ca="1" t="shared" si="28"/>
        <v>141778.944</v>
      </c>
      <c r="J382" s="1">
        <f ca="1" t="shared" si="29"/>
        <v>169426.944</v>
      </c>
      <c r="K382" s="5">
        <f ca="1">Lerp_dyy(I382,J382,E382)</f>
        <v>160210.944</v>
      </c>
    </row>
    <row r="383" spans="1:11">
      <c r="A383" s="10">
        <v>23</v>
      </c>
      <c r="B383" s="1">
        <f ca="1">IF(控制台!C145="",INDIRECT(ADDRESS(ROW()-1,COLUMN())),控制台!C145)</f>
        <v>21</v>
      </c>
      <c r="C383" s="1">
        <f ca="1">OFFSET(控制台!$B$374,MATCH(B383,控制台!$C$374:$C$445,0)-1,0)</f>
        <v>23</v>
      </c>
      <c r="D383" s="1">
        <f ca="1">IFERROR(OFFSET(控制台!$E$301,MATCH(B383+1,控制台!$B$301:$B$333,0)-1,0),"")</f>
        <v>3</v>
      </c>
      <c r="E383" s="1">
        <f ca="1" t="shared" si="25"/>
        <v>0</v>
      </c>
      <c r="F383" s="1">
        <f ca="1" t="shared" si="26"/>
        <v>344520000</v>
      </c>
      <c r="G383" s="1">
        <f ca="1" t="shared" si="27"/>
        <v>415800000</v>
      </c>
      <c r="H383" s="5">
        <f ca="1">Lerp_dyy(F383,G383,E383)</f>
        <v>344520000</v>
      </c>
      <c r="I383" s="1">
        <f ca="1" t="shared" si="28"/>
        <v>169426.944</v>
      </c>
      <c r="J383" s="1">
        <f ca="1" t="shared" si="29"/>
        <v>199839.744</v>
      </c>
      <c r="K383" s="5">
        <f ca="1">Lerp_dyy(I383,J383,E383)</f>
        <v>169426.944</v>
      </c>
    </row>
    <row r="384" spans="1:11">
      <c r="A384" s="10">
        <v>24</v>
      </c>
      <c r="B384" s="1">
        <f ca="1">IF(控制台!C146="",INDIRECT(ADDRESS(ROW()-1,COLUMN())),控制台!C146)</f>
        <v>21</v>
      </c>
      <c r="C384" s="1">
        <f ca="1">OFFSET(控制台!$B$374,MATCH(B384,控制台!$C$374:$C$445,0)-1,0)</f>
        <v>23</v>
      </c>
      <c r="D384" s="1">
        <f ca="1">IFERROR(OFFSET(控制台!$E$301,MATCH(B384+1,控制台!$B$301:$B$333,0)-1,0),"")</f>
        <v>3</v>
      </c>
      <c r="E384" s="1">
        <f ca="1" t="shared" si="25"/>
        <v>0.333333333333333</v>
      </c>
      <c r="F384" s="1">
        <f ca="1" t="shared" si="26"/>
        <v>344520000</v>
      </c>
      <c r="G384" s="1">
        <f ca="1" t="shared" si="27"/>
        <v>415800000</v>
      </c>
      <c r="H384" s="5">
        <f ca="1">Lerp_dyy(F384,G384,E384)</f>
        <v>368280000</v>
      </c>
      <c r="I384" s="1">
        <f ca="1" t="shared" si="28"/>
        <v>169426.944</v>
      </c>
      <c r="J384" s="1">
        <f ca="1" t="shared" si="29"/>
        <v>199839.744</v>
      </c>
      <c r="K384" s="5">
        <f ca="1">Lerp_dyy(I384,J384,E384)</f>
        <v>179564.544</v>
      </c>
    </row>
    <row r="385" spans="1:11">
      <c r="A385" s="10">
        <v>25</v>
      </c>
      <c r="B385" s="1">
        <f ca="1">IF(控制台!C147="",INDIRECT(ADDRESS(ROW()-1,COLUMN())),控制台!C147)</f>
        <v>21</v>
      </c>
      <c r="C385" s="1">
        <f ca="1">OFFSET(控制台!$B$374,MATCH(B385,控制台!$C$374:$C$445,0)-1,0)</f>
        <v>23</v>
      </c>
      <c r="D385" s="1">
        <f ca="1">IFERROR(OFFSET(控制台!$E$301,MATCH(B385+1,控制台!$B$301:$B$333,0)-1,0),"")</f>
        <v>3</v>
      </c>
      <c r="E385" s="1">
        <f ca="1" t="shared" si="25"/>
        <v>0.666666666666667</v>
      </c>
      <c r="F385" s="1">
        <f ca="1" t="shared" si="26"/>
        <v>344520000</v>
      </c>
      <c r="G385" s="1">
        <f ca="1" t="shared" si="27"/>
        <v>415800000</v>
      </c>
      <c r="H385" s="5">
        <f ca="1">Lerp_dyy(F385,G385,E385)</f>
        <v>392040000</v>
      </c>
      <c r="I385" s="1">
        <f ca="1" t="shared" si="28"/>
        <v>169426.944</v>
      </c>
      <c r="J385" s="1">
        <f ca="1" t="shared" si="29"/>
        <v>199839.744</v>
      </c>
      <c r="K385" s="5">
        <f ca="1">Lerp_dyy(I385,J385,E385)</f>
        <v>189702.144</v>
      </c>
    </row>
    <row r="386" spans="1:11">
      <c r="A386" s="10">
        <v>26</v>
      </c>
      <c r="B386" s="1">
        <f ca="1">IF(控制台!C148="",INDIRECT(ADDRESS(ROW()-1,COLUMN())),控制台!C148)</f>
        <v>22</v>
      </c>
      <c r="C386" s="1">
        <f ca="1">OFFSET(控制台!$B$374,MATCH(B386,控制台!$C$374:$C$445,0)-1,0)</f>
        <v>26</v>
      </c>
      <c r="D386" s="1">
        <f ca="1">IFERROR(OFFSET(控制台!$E$301,MATCH(B386+1,控制台!$B$301:$B$333,0)-1,0),"")</f>
        <v>4</v>
      </c>
      <c r="E386" s="1">
        <f ca="1" t="shared" si="25"/>
        <v>0</v>
      </c>
      <c r="F386" s="1">
        <f ca="1" t="shared" si="26"/>
        <v>415800000</v>
      </c>
      <c r="G386" s="1">
        <f ca="1" t="shared" si="27"/>
        <v>513000000</v>
      </c>
      <c r="H386" s="5">
        <f ca="1">Lerp_dyy(F386,G386,E386)</f>
        <v>415800000</v>
      </c>
      <c r="I386" s="1">
        <f ca="1" t="shared" si="28"/>
        <v>199839.744</v>
      </c>
      <c r="J386" s="1">
        <f ca="1" t="shared" si="29"/>
        <v>233017.344</v>
      </c>
      <c r="K386" s="5">
        <f ca="1">Lerp_dyy(I386,J386,E386)</f>
        <v>199839.744</v>
      </c>
    </row>
    <row r="387" spans="1:11">
      <c r="A387" s="10">
        <v>27</v>
      </c>
      <c r="B387" s="1">
        <f ca="1">IF(控制台!C149="",INDIRECT(ADDRESS(ROW()-1,COLUMN())),控制台!C149)</f>
        <v>22</v>
      </c>
      <c r="C387" s="1">
        <f ca="1">OFFSET(控制台!$B$374,MATCH(B387,控制台!$C$374:$C$445,0)-1,0)</f>
        <v>26</v>
      </c>
      <c r="D387" s="1">
        <f ca="1">IFERROR(OFFSET(控制台!$E$301,MATCH(B387+1,控制台!$B$301:$B$333,0)-1,0),"")</f>
        <v>4</v>
      </c>
      <c r="E387" s="1">
        <f ca="1" t="shared" si="25"/>
        <v>0.25</v>
      </c>
      <c r="F387" s="1">
        <f ca="1" t="shared" si="26"/>
        <v>415800000</v>
      </c>
      <c r="G387" s="1">
        <f ca="1" t="shared" si="27"/>
        <v>513000000</v>
      </c>
      <c r="H387" s="5">
        <f ca="1">Lerp_dyy(F387,G387,E387)</f>
        <v>440100000</v>
      </c>
      <c r="I387" s="1">
        <f ca="1" t="shared" si="28"/>
        <v>199839.744</v>
      </c>
      <c r="J387" s="1">
        <f ca="1" t="shared" si="29"/>
        <v>233017.344</v>
      </c>
      <c r="K387" s="5">
        <f ca="1">Lerp_dyy(I387,J387,E387)</f>
        <v>208134.144</v>
      </c>
    </row>
    <row r="388" spans="1:11">
      <c r="A388" s="10">
        <v>28</v>
      </c>
      <c r="B388" s="1">
        <f ca="1">IF(控制台!C150="",INDIRECT(ADDRESS(ROW()-1,COLUMN())),控制台!C150)</f>
        <v>22</v>
      </c>
      <c r="C388" s="1">
        <f ca="1">OFFSET(控制台!$B$374,MATCH(B388,控制台!$C$374:$C$445,0)-1,0)</f>
        <v>26</v>
      </c>
      <c r="D388" s="1">
        <f ca="1">IFERROR(OFFSET(控制台!$E$301,MATCH(B388+1,控制台!$B$301:$B$333,0)-1,0),"")</f>
        <v>4</v>
      </c>
      <c r="E388" s="1">
        <f ca="1" t="shared" si="25"/>
        <v>0.5</v>
      </c>
      <c r="F388" s="1">
        <f ca="1" t="shared" si="26"/>
        <v>415800000</v>
      </c>
      <c r="G388" s="1">
        <f ca="1" t="shared" si="27"/>
        <v>513000000</v>
      </c>
      <c r="H388" s="5">
        <f ca="1">Lerp_dyy(F388,G388,E388)</f>
        <v>464400000</v>
      </c>
      <c r="I388" s="1">
        <f ca="1" t="shared" si="28"/>
        <v>199839.744</v>
      </c>
      <c r="J388" s="1">
        <f ca="1" t="shared" si="29"/>
        <v>233017.344</v>
      </c>
      <c r="K388" s="5">
        <f ca="1">Lerp_dyy(I388,J388,E388)</f>
        <v>216428.544</v>
      </c>
    </row>
    <row r="389" spans="1:11">
      <c r="A389" s="10">
        <v>29</v>
      </c>
      <c r="B389" s="1">
        <f ca="1">IF(控制台!C151="",INDIRECT(ADDRESS(ROW()-1,COLUMN())),控制台!C151)</f>
        <v>22</v>
      </c>
      <c r="C389" s="1">
        <f ca="1">OFFSET(控制台!$B$374,MATCH(B389,控制台!$C$374:$C$445,0)-1,0)</f>
        <v>26</v>
      </c>
      <c r="D389" s="1">
        <f ca="1">IFERROR(OFFSET(控制台!$E$301,MATCH(B389+1,控制台!$B$301:$B$333,0)-1,0),"")</f>
        <v>4</v>
      </c>
      <c r="E389" s="1">
        <f ca="1" t="shared" si="25"/>
        <v>0.75</v>
      </c>
      <c r="F389" s="1">
        <f ca="1" t="shared" si="26"/>
        <v>415800000</v>
      </c>
      <c r="G389" s="1">
        <f ca="1" t="shared" si="27"/>
        <v>513000000</v>
      </c>
      <c r="H389" s="5">
        <f ca="1">Lerp_dyy(F389,G389,E389)</f>
        <v>488700000</v>
      </c>
      <c r="I389" s="1">
        <f ca="1" t="shared" si="28"/>
        <v>199839.744</v>
      </c>
      <c r="J389" s="1">
        <f ca="1" t="shared" si="29"/>
        <v>233017.344</v>
      </c>
      <c r="K389" s="5">
        <f ca="1">Lerp_dyy(I389,J389,E389)</f>
        <v>224722.944</v>
      </c>
    </row>
    <row r="390" spans="1:11">
      <c r="A390" s="10">
        <v>30</v>
      </c>
      <c r="B390" s="1">
        <f ca="1">IF(控制台!C152="",INDIRECT(ADDRESS(ROW()-1,COLUMN())),控制台!C152)</f>
        <v>23</v>
      </c>
      <c r="C390" s="1">
        <f ca="1">OFFSET(控制台!$B$374,MATCH(B390,控制台!$C$374:$C$445,0)-1,0)</f>
        <v>30</v>
      </c>
      <c r="D390" s="1">
        <f ca="1">IFERROR(OFFSET(控制台!$E$301,MATCH(B390+1,控制台!$B$301:$B$333,0)-1,0),"")</f>
        <v>10</v>
      </c>
      <c r="E390" s="1">
        <f ca="1" t="shared" si="25"/>
        <v>0</v>
      </c>
      <c r="F390" s="1">
        <f ca="1" t="shared" si="26"/>
        <v>513000000</v>
      </c>
      <c r="G390" s="1">
        <f ca="1" t="shared" si="27"/>
        <v>750600000</v>
      </c>
      <c r="H390" s="5">
        <f ca="1">Lerp_dyy(F390,G390,E390)</f>
        <v>513000000</v>
      </c>
      <c r="I390" s="1">
        <f ca="1" t="shared" si="28"/>
        <v>233017.344</v>
      </c>
      <c r="J390" s="1">
        <f ca="1" t="shared" si="29"/>
        <v>288313.344</v>
      </c>
      <c r="K390" s="5">
        <f ca="1">Lerp_dyy(I390,J390,E390)</f>
        <v>233017.344</v>
      </c>
    </row>
    <row r="391" spans="1:11">
      <c r="A391" s="11">
        <v>35</v>
      </c>
      <c r="B391" s="1">
        <f ca="1">IF(控制台!C153="",INDIRECT(ADDRESS(ROW()-1,COLUMN())),控制台!C153)</f>
        <v>23</v>
      </c>
      <c r="C391" s="1">
        <f ca="1">OFFSET(控制台!$B$374,MATCH(B391,控制台!$C$374:$C$445,0)-1,0)</f>
        <v>30</v>
      </c>
      <c r="D391" s="1">
        <f ca="1">IFERROR(OFFSET(控制台!$E$301,MATCH(B391+1,控制台!$B$301:$B$333,0)-1,0),"")</f>
        <v>10</v>
      </c>
      <c r="E391" s="1">
        <f ca="1" t="shared" si="25"/>
        <v>0.5</v>
      </c>
      <c r="F391" s="1">
        <f ca="1" t="shared" si="26"/>
        <v>513000000</v>
      </c>
      <c r="G391" s="1">
        <f ca="1" t="shared" si="27"/>
        <v>750600000</v>
      </c>
      <c r="H391" s="5">
        <f ca="1">Lerp_dyy(F391,G391,E391)</f>
        <v>631800000</v>
      </c>
      <c r="I391" s="1">
        <f ca="1" t="shared" si="28"/>
        <v>233017.344</v>
      </c>
      <c r="J391" s="1">
        <f ca="1" t="shared" si="29"/>
        <v>288313.344</v>
      </c>
      <c r="K391" s="5">
        <f ca="1">Lerp_dyy(I391,J391,E391)</f>
        <v>260665.344</v>
      </c>
    </row>
    <row r="392" spans="1:11">
      <c r="A392" s="11">
        <v>40</v>
      </c>
      <c r="B392" s="1">
        <f ca="1">IF(控制台!C154="",INDIRECT(ADDRESS(ROW()-1,COLUMN())),控制台!C154)</f>
        <v>24</v>
      </c>
      <c r="C392" s="1">
        <f ca="1">OFFSET(控制台!$B$374,MATCH(B392,控制台!$C$374:$C$445,0)-1,0)</f>
        <v>40</v>
      </c>
      <c r="D392" s="1">
        <f ca="1">IFERROR(OFFSET(控制台!$E$301,MATCH(B392+1,控制台!$B$301:$B$333,0)-1,0),"")</f>
        <v>10</v>
      </c>
      <c r="E392" s="1">
        <f ca="1" t="shared" si="25"/>
        <v>0</v>
      </c>
      <c r="F392" s="1">
        <f ca="1" t="shared" si="26"/>
        <v>750600000</v>
      </c>
      <c r="G392" s="1">
        <f ca="1" t="shared" si="27"/>
        <v>1053000000</v>
      </c>
      <c r="H392" s="5">
        <f ca="1">Lerp_dyy(F392,G392,E392)</f>
        <v>750600000</v>
      </c>
      <c r="I392" s="1">
        <f ca="1" t="shared" si="28"/>
        <v>288313.344</v>
      </c>
      <c r="J392" s="1">
        <f ca="1" t="shared" si="29"/>
        <v>371257.344</v>
      </c>
      <c r="K392" s="5">
        <f ca="1">Lerp_dyy(I392,J392,E392)</f>
        <v>288313.344</v>
      </c>
    </row>
    <row r="393" spans="1:11">
      <c r="A393" s="11">
        <v>45</v>
      </c>
      <c r="B393" s="1">
        <f ca="1">IF(控制台!C155="",INDIRECT(ADDRESS(ROW()-1,COLUMN())),控制台!C155)</f>
        <v>24</v>
      </c>
      <c r="C393" s="1">
        <f ca="1">OFFSET(控制台!$B$374,MATCH(B393,控制台!$C$374:$C$445,0)-1,0)</f>
        <v>40</v>
      </c>
      <c r="D393" s="1">
        <f ca="1">IFERROR(OFFSET(控制台!$E$301,MATCH(B393+1,控制台!$B$301:$B$333,0)-1,0),"")</f>
        <v>10</v>
      </c>
      <c r="E393" s="1">
        <f ca="1" t="shared" ref="E393:E416" si="30">IFERROR((A393-C393)/D393,0)</f>
        <v>0.5</v>
      </c>
      <c r="F393" s="1">
        <f ca="1" t="shared" si="26"/>
        <v>750600000</v>
      </c>
      <c r="G393" s="1">
        <f ca="1" t="shared" si="27"/>
        <v>1053000000</v>
      </c>
      <c r="H393" s="5">
        <f ca="1">Lerp_dyy(F393,G393,E393)</f>
        <v>901800000</v>
      </c>
      <c r="I393" s="1">
        <f ca="1" t="shared" si="28"/>
        <v>288313.344</v>
      </c>
      <c r="J393" s="1">
        <f ca="1" t="shared" si="29"/>
        <v>371257.344</v>
      </c>
      <c r="K393" s="5">
        <f ca="1">Lerp_dyy(I393,J393,E393)</f>
        <v>329785.344</v>
      </c>
    </row>
    <row r="394" spans="1:11">
      <c r="A394" s="11">
        <v>50</v>
      </c>
      <c r="B394" s="1">
        <f ca="1">IF(控制台!C156="",INDIRECT(ADDRESS(ROW()-1,COLUMN())),控制台!C156)</f>
        <v>25</v>
      </c>
      <c r="C394" s="1">
        <f ca="1">OFFSET(控制台!$B$374,MATCH(B394,控制台!$C$374:$C$445,0)-1,0)</f>
        <v>50</v>
      </c>
      <c r="D394" s="1">
        <f ca="1">IFERROR(OFFSET(控制台!$E$301,MATCH(B394+1,控制台!$B$301:$B$333,0)-1,0),"")</f>
        <v>10</v>
      </c>
      <c r="E394" s="1">
        <f ca="1" t="shared" si="30"/>
        <v>0</v>
      </c>
      <c r="F394" s="1">
        <f ca="1" t="shared" si="26"/>
        <v>1053000000</v>
      </c>
      <c r="G394" s="1">
        <f ca="1" t="shared" si="27"/>
        <v>1398600000</v>
      </c>
      <c r="H394" s="5">
        <f ca="1">Lerp_dyy(F394,G394,E394)</f>
        <v>1053000000</v>
      </c>
      <c r="I394" s="1">
        <f ca="1" t="shared" si="28"/>
        <v>371257.344</v>
      </c>
      <c r="J394" s="1">
        <f ca="1" t="shared" si="29"/>
        <v>481849.344</v>
      </c>
      <c r="K394" s="5">
        <f ca="1">Lerp_dyy(I394,J394,E394)</f>
        <v>371257.344</v>
      </c>
    </row>
    <row r="395" spans="1:11">
      <c r="A395" s="11">
        <v>55</v>
      </c>
      <c r="B395" s="1">
        <f ca="1">IF(控制台!C157="",INDIRECT(ADDRESS(ROW()-1,COLUMN())),控制台!C157)</f>
        <v>25</v>
      </c>
      <c r="C395" s="1">
        <f ca="1">OFFSET(控制台!$B$374,MATCH(B395,控制台!$C$374:$C$445,0)-1,0)</f>
        <v>50</v>
      </c>
      <c r="D395" s="1">
        <f ca="1">IFERROR(OFFSET(控制台!$E$301,MATCH(B395+1,控制台!$B$301:$B$333,0)-1,0),"")</f>
        <v>10</v>
      </c>
      <c r="E395" s="1">
        <f ca="1" t="shared" si="30"/>
        <v>0.5</v>
      </c>
      <c r="F395" s="1">
        <f ca="1" t="shared" si="26"/>
        <v>1053000000</v>
      </c>
      <c r="G395" s="1">
        <f ca="1" t="shared" si="27"/>
        <v>1398600000</v>
      </c>
      <c r="H395" s="5">
        <f ca="1">Lerp_dyy(F395,G395,E395)</f>
        <v>1225800000</v>
      </c>
      <c r="I395" s="1">
        <f ca="1" t="shared" si="28"/>
        <v>371257.344</v>
      </c>
      <c r="J395" s="1">
        <f ca="1" t="shared" si="29"/>
        <v>481849.344</v>
      </c>
      <c r="K395" s="5">
        <f ca="1">Lerp_dyy(I395,J395,E395)</f>
        <v>426553.344</v>
      </c>
    </row>
    <row r="396" spans="1:11">
      <c r="A396" s="11">
        <v>60</v>
      </c>
      <c r="B396" s="1">
        <f ca="1">IF(控制台!C158="",INDIRECT(ADDRESS(ROW()-1,COLUMN())),控制台!C158)</f>
        <v>26</v>
      </c>
      <c r="C396" s="1">
        <f ca="1">OFFSET(控制台!$B$374,MATCH(B396,控制台!$C$374:$C$445,0)-1,0)</f>
        <v>60</v>
      </c>
      <c r="D396" s="1">
        <f ca="1">IFERROR(OFFSET(控制台!$E$301,MATCH(B396+1,控制台!$B$301:$B$333,0)-1,0),"")</f>
        <v>30</v>
      </c>
      <c r="E396" s="1">
        <f ca="1" t="shared" si="30"/>
        <v>0</v>
      </c>
      <c r="F396" s="1">
        <f ca="1" t="shared" si="26"/>
        <v>1398600000</v>
      </c>
      <c r="G396" s="1">
        <f ca="1" t="shared" si="27"/>
        <v>2262600000</v>
      </c>
      <c r="H396" s="5">
        <f ca="1">Lerp_dyy(F396,G396,E396)</f>
        <v>1398600000</v>
      </c>
      <c r="I396" s="1">
        <f ca="1" t="shared" si="28"/>
        <v>481849.344</v>
      </c>
      <c r="J396" s="1">
        <f ca="1" t="shared" si="29"/>
        <v>703033.344</v>
      </c>
      <c r="K396" s="5">
        <f ca="1">Lerp_dyy(I396,J396,E396)</f>
        <v>481849.344</v>
      </c>
    </row>
    <row r="397" spans="1:11">
      <c r="A397" s="11">
        <v>65</v>
      </c>
      <c r="B397" s="1">
        <f ca="1">IF(控制台!C159="",INDIRECT(ADDRESS(ROW()-1,COLUMN())),控制台!C159)</f>
        <v>26</v>
      </c>
      <c r="C397" s="1">
        <f ca="1">OFFSET(控制台!$B$374,MATCH(B397,控制台!$C$374:$C$445,0)-1,0)</f>
        <v>60</v>
      </c>
      <c r="D397" s="1">
        <f ca="1">IFERROR(OFFSET(控制台!$E$301,MATCH(B397+1,控制台!$B$301:$B$333,0)-1,0),"")</f>
        <v>30</v>
      </c>
      <c r="E397" s="1">
        <f ca="1" t="shared" si="30"/>
        <v>0.166666666666667</v>
      </c>
      <c r="F397" s="1">
        <f ca="1" t="shared" si="26"/>
        <v>1398600000</v>
      </c>
      <c r="G397" s="1">
        <f ca="1" t="shared" si="27"/>
        <v>2262600000</v>
      </c>
      <c r="H397" s="5">
        <f ca="1">Lerp_dyy(F397,G397,E397)</f>
        <v>1542600000</v>
      </c>
      <c r="I397" s="1">
        <f ca="1" t="shared" si="28"/>
        <v>481849.344</v>
      </c>
      <c r="J397" s="1">
        <f ca="1" t="shared" si="29"/>
        <v>703033.344</v>
      </c>
      <c r="K397" s="5">
        <f ca="1">Lerp_dyy(I397,J397,E397)</f>
        <v>518713.344</v>
      </c>
    </row>
    <row r="398" spans="1:11">
      <c r="A398" s="11">
        <v>70</v>
      </c>
      <c r="B398" s="1">
        <f ca="1">IF(控制台!C160="",INDIRECT(ADDRESS(ROW()-1,COLUMN())),控制台!C160)</f>
        <v>26</v>
      </c>
      <c r="C398" s="1">
        <f ca="1">OFFSET(控制台!$B$374,MATCH(B398,控制台!$C$374:$C$445,0)-1,0)</f>
        <v>60</v>
      </c>
      <c r="D398" s="1">
        <f ca="1">IFERROR(OFFSET(控制台!$E$301,MATCH(B398+1,控制台!$B$301:$B$333,0)-1,0),"")</f>
        <v>30</v>
      </c>
      <c r="E398" s="1">
        <f ca="1" t="shared" si="30"/>
        <v>0.333333333333333</v>
      </c>
      <c r="F398" s="1">
        <f ca="1" t="shared" si="26"/>
        <v>1398600000</v>
      </c>
      <c r="G398" s="1">
        <f ca="1" t="shared" si="27"/>
        <v>2262600000</v>
      </c>
      <c r="H398" s="5">
        <f ca="1">Lerp_dyy(F398,G398,E398)</f>
        <v>1686600000</v>
      </c>
      <c r="I398" s="1">
        <f ca="1" t="shared" si="28"/>
        <v>481849.344</v>
      </c>
      <c r="J398" s="1">
        <f ca="1" t="shared" si="29"/>
        <v>703033.344</v>
      </c>
      <c r="K398" s="5">
        <f ca="1">Lerp_dyy(I398,J398,E398)</f>
        <v>555577.344</v>
      </c>
    </row>
    <row r="399" spans="1:11">
      <c r="A399" s="11">
        <v>75</v>
      </c>
      <c r="B399" s="1">
        <f ca="1">IF(控制台!C161="",INDIRECT(ADDRESS(ROW()-1,COLUMN())),控制台!C161)</f>
        <v>26</v>
      </c>
      <c r="C399" s="1">
        <f ca="1">OFFSET(控制台!$B$374,MATCH(B399,控制台!$C$374:$C$445,0)-1,0)</f>
        <v>60</v>
      </c>
      <c r="D399" s="1">
        <f ca="1">IFERROR(OFFSET(控制台!$E$301,MATCH(B399+1,控制台!$B$301:$B$333,0)-1,0),"")</f>
        <v>30</v>
      </c>
      <c r="E399" s="1">
        <f ca="1" t="shared" si="30"/>
        <v>0.5</v>
      </c>
      <c r="F399" s="1">
        <f ca="1" t="shared" si="26"/>
        <v>1398600000</v>
      </c>
      <c r="G399" s="1">
        <f ca="1" t="shared" si="27"/>
        <v>2262600000</v>
      </c>
      <c r="H399" s="5">
        <f ca="1">Lerp_dyy(F399,G399,E399)</f>
        <v>1830600000</v>
      </c>
      <c r="I399" s="1">
        <f ca="1" t="shared" si="28"/>
        <v>481849.344</v>
      </c>
      <c r="J399" s="1">
        <f ca="1" t="shared" si="29"/>
        <v>703033.344</v>
      </c>
      <c r="K399" s="5">
        <f ca="1">Lerp_dyy(I399,J399,E399)</f>
        <v>592441.344</v>
      </c>
    </row>
    <row r="400" spans="1:11">
      <c r="A400" s="11">
        <v>80</v>
      </c>
      <c r="B400" s="1">
        <f ca="1">IF(控制台!C162="",INDIRECT(ADDRESS(ROW()-1,COLUMN())),控制台!C162)</f>
        <v>26</v>
      </c>
      <c r="C400" s="1">
        <f ca="1">OFFSET(控制台!$B$374,MATCH(B400,控制台!$C$374:$C$445,0)-1,0)</f>
        <v>60</v>
      </c>
      <c r="D400" s="1">
        <f ca="1">IFERROR(OFFSET(控制台!$E$301,MATCH(B400+1,控制台!$B$301:$B$333,0)-1,0),"")</f>
        <v>30</v>
      </c>
      <c r="E400" s="1">
        <f ca="1" t="shared" si="30"/>
        <v>0.666666666666667</v>
      </c>
      <c r="F400" s="1">
        <f ca="1" t="shared" si="26"/>
        <v>1398600000</v>
      </c>
      <c r="G400" s="1">
        <f ca="1" t="shared" si="27"/>
        <v>2262600000</v>
      </c>
      <c r="H400" s="5">
        <f ca="1">Lerp_dyy(F400,G400,E400)</f>
        <v>1974600000</v>
      </c>
      <c r="I400" s="1">
        <f ca="1" t="shared" si="28"/>
        <v>481849.344</v>
      </c>
      <c r="J400" s="1">
        <f ca="1" t="shared" si="29"/>
        <v>703033.344</v>
      </c>
      <c r="K400" s="5">
        <f ca="1">Lerp_dyy(I400,J400,E400)</f>
        <v>629305.344</v>
      </c>
    </row>
    <row r="401" spans="1:11">
      <c r="A401" s="11">
        <v>85</v>
      </c>
      <c r="B401" s="1">
        <f ca="1">IF(控制台!C163="",INDIRECT(ADDRESS(ROW()-1,COLUMN())),控制台!C163)</f>
        <v>26</v>
      </c>
      <c r="C401" s="1">
        <f ca="1">OFFSET(控制台!$B$374,MATCH(B401,控制台!$C$374:$C$445,0)-1,0)</f>
        <v>60</v>
      </c>
      <c r="D401" s="1">
        <f ca="1">IFERROR(OFFSET(控制台!$E$301,MATCH(B401+1,控制台!$B$301:$B$333,0)-1,0),"")</f>
        <v>30</v>
      </c>
      <c r="E401" s="1">
        <f ca="1" t="shared" si="30"/>
        <v>0.833333333333333</v>
      </c>
      <c r="F401" s="1">
        <f ca="1" t="shared" si="26"/>
        <v>1398600000</v>
      </c>
      <c r="G401" s="1">
        <f ca="1" t="shared" si="27"/>
        <v>2262600000</v>
      </c>
      <c r="H401" s="5">
        <f ca="1">Lerp_dyy(F401,G401,E401)</f>
        <v>2118600000</v>
      </c>
      <c r="I401" s="1">
        <f ca="1" t="shared" si="28"/>
        <v>481849.344</v>
      </c>
      <c r="J401" s="1">
        <f ca="1" t="shared" si="29"/>
        <v>703033.344</v>
      </c>
      <c r="K401" s="5">
        <f ca="1">Lerp_dyy(I401,J401,E401)</f>
        <v>666169.344</v>
      </c>
    </row>
    <row r="402" spans="1:11">
      <c r="A402" s="11">
        <v>90</v>
      </c>
      <c r="B402" s="1">
        <f ca="1">IF(控制台!C164="",INDIRECT(ADDRESS(ROW()-1,COLUMN())),控制台!C164)</f>
        <v>27</v>
      </c>
      <c r="C402" s="1">
        <f ca="1">OFFSET(控制台!$B$374,MATCH(B402,控制台!$C$374:$C$445,0)-1,0)</f>
        <v>90</v>
      </c>
      <c r="D402" s="1">
        <f ca="1">IFERROR(OFFSET(控制台!$E$301,MATCH(B402+1,控制台!$B$301:$B$333,0)-1,0),"")</f>
        <v>30</v>
      </c>
      <c r="E402" s="1">
        <f ca="1" t="shared" si="30"/>
        <v>0</v>
      </c>
      <c r="F402" s="1">
        <f ca="1" t="shared" si="26"/>
        <v>2262600000</v>
      </c>
      <c r="G402" s="1">
        <f ca="1" t="shared" si="27"/>
        <v>3342600000</v>
      </c>
      <c r="H402" s="5">
        <f ca="1">Lerp_dyy(F402,G402,E402)</f>
        <v>2262600000</v>
      </c>
      <c r="I402" s="1">
        <f ca="1" t="shared" si="28"/>
        <v>703033.344</v>
      </c>
      <c r="J402" s="1">
        <f ca="1" t="shared" si="29"/>
        <v>1034809.344</v>
      </c>
      <c r="K402" s="5">
        <f ca="1">Lerp_dyy(I402,J402,E402)</f>
        <v>703033.344</v>
      </c>
    </row>
    <row r="403" spans="1:11">
      <c r="A403" s="11">
        <v>95</v>
      </c>
      <c r="B403" s="1">
        <f ca="1">IF(控制台!C165="",INDIRECT(ADDRESS(ROW()-1,COLUMN())),控制台!C165)</f>
        <v>27</v>
      </c>
      <c r="C403" s="1">
        <f ca="1">OFFSET(控制台!$B$374,MATCH(B403,控制台!$C$374:$C$445,0)-1,0)</f>
        <v>90</v>
      </c>
      <c r="D403" s="1">
        <f ca="1">IFERROR(OFFSET(控制台!$E$301,MATCH(B403+1,控制台!$B$301:$B$333,0)-1,0),"")</f>
        <v>30</v>
      </c>
      <c r="E403" s="1">
        <f ca="1" t="shared" si="30"/>
        <v>0.166666666666667</v>
      </c>
      <c r="F403" s="1">
        <f ca="1" t="shared" si="26"/>
        <v>2262600000</v>
      </c>
      <c r="G403" s="1">
        <f ca="1" t="shared" si="27"/>
        <v>3342600000</v>
      </c>
      <c r="H403" s="5">
        <f ca="1">Lerp_dyy(F403,G403,E403)</f>
        <v>2442600000</v>
      </c>
      <c r="I403" s="1">
        <f ca="1" t="shared" si="28"/>
        <v>703033.344</v>
      </c>
      <c r="J403" s="1">
        <f ca="1" t="shared" si="29"/>
        <v>1034809.344</v>
      </c>
      <c r="K403" s="5">
        <f ca="1">Lerp_dyy(I403,J403,E403)</f>
        <v>758329.344</v>
      </c>
    </row>
    <row r="404" spans="1:11">
      <c r="A404" s="11">
        <v>100</v>
      </c>
      <c r="B404" s="1">
        <f ca="1">IF(控制台!C166="",INDIRECT(ADDRESS(ROW()-1,COLUMN())),控制台!C166)</f>
        <v>27</v>
      </c>
      <c r="C404" s="1">
        <f ca="1">OFFSET(控制台!$B$374,MATCH(B404,控制台!$C$374:$C$445,0)-1,0)</f>
        <v>90</v>
      </c>
      <c r="D404" s="1">
        <f ca="1">IFERROR(OFFSET(控制台!$E$301,MATCH(B404+1,控制台!$B$301:$B$333,0)-1,0),"")</f>
        <v>30</v>
      </c>
      <c r="E404" s="1">
        <f ca="1" t="shared" si="30"/>
        <v>0.333333333333333</v>
      </c>
      <c r="F404" s="1">
        <f ca="1" t="shared" si="26"/>
        <v>2262600000</v>
      </c>
      <c r="G404" s="1">
        <f ca="1" t="shared" si="27"/>
        <v>3342600000</v>
      </c>
      <c r="H404" s="5">
        <f ca="1">Lerp_dyy(F404,G404,E404)</f>
        <v>2622600000</v>
      </c>
      <c r="I404" s="1">
        <f ca="1" t="shared" si="28"/>
        <v>703033.344</v>
      </c>
      <c r="J404" s="1">
        <f ca="1" t="shared" si="29"/>
        <v>1034809.344</v>
      </c>
      <c r="K404" s="5">
        <f ca="1">Lerp_dyy(I404,J404,E404)</f>
        <v>813625.344</v>
      </c>
    </row>
    <row r="405" spans="1:11">
      <c r="A405" s="11">
        <v>105</v>
      </c>
      <c r="B405" s="1">
        <f ca="1">IF(控制台!C167="",INDIRECT(ADDRESS(ROW()-1,COLUMN())),控制台!C167)</f>
        <v>27</v>
      </c>
      <c r="C405" s="1">
        <f ca="1">OFFSET(控制台!$B$374,MATCH(B405,控制台!$C$374:$C$445,0)-1,0)</f>
        <v>90</v>
      </c>
      <c r="D405" s="1">
        <f ca="1">IFERROR(OFFSET(控制台!$E$301,MATCH(B405+1,控制台!$B$301:$B$333,0)-1,0),"")</f>
        <v>30</v>
      </c>
      <c r="E405" s="1">
        <f ca="1" t="shared" si="30"/>
        <v>0.5</v>
      </c>
      <c r="F405" s="1">
        <f ca="1" t="shared" si="26"/>
        <v>2262600000</v>
      </c>
      <c r="G405" s="1">
        <f ca="1" t="shared" si="27"/>
        <v>3342600000</v>
      </c>
      <c r="H405" s="5">
        <f ca="1">Lerp_dyy(F405,G405,E405)</f>
        <v>2802600000</v>
      </c>
      <c r="I405" s="1">
        <f ca="1" t="shared" si="28"/>
        <v>703033.344</v>
      </c>
      <c r="J405" s="1">
        <f ca="1" t="shared" si="29"/>
        <v>1034809.344</v>
      </c>
      <c r="K405" s="5">
        <f ca="1">Lerp_dyy(I405,J405,E405)</f>
        <v>868921.344</v>
      </c>
    </row>
    <row r="406" spans="1:11">
      <c r="A406" s="11">
        <v>110</v>
      </c>
      <c r="B406" s="1">
        <f ca="1">IF(控制台!C168="",INDIRECT(ADDRESS(ROW()-1,COLUMN())),控制台!C168)</f>
        <v>27</v>
      </c>
      <c r="C406" s="1">
        <f ca="1">OFFSET(控制台!$B$374,MATCH(B406,控制台!$C$374:$C$445,0)-1,0)</f>
        <v>90</v>
      </c>
      <c r="D406" s="1">
        <f ca="1">IFERROR(OFFSET(控制台!$E$301,MATCH(B406+1,控制台!$B$301:$B$333,0)-1,0),"")</f>
        <v>30</v>
      </c>
      <c r="E406" s="1">
        <f ca="1" t="shared" si="30"/>
        <v>0.666666666666667</v>
      </c>
      <c r="F406" s="1">
        <f ca="1" t="shared" si="26"/>
        <v>2262600000</v>
      </c>
      <c r="G406" s="1">
        <f ca="1" t="shared" si="27"/>
        <v>3342600000</v>
      </c>
      <c r="H406" s="5">
        <f ca="1">Lerp_dyy(F406,G406,E406)</f>
        <v>2982600000</v>
      </c>
      <c r="I406" s="1">
        <f ca="1" t="shared" si="28"/>
        <v>703033.344</v>
      </c>
      <c r="J406" s="1">
        <f ca="1" t="shared" si="29"/>
        <v>1034809.344</v>
      </c>
      <c r="K406" s="5">
        <f ca="1">Lerp_dyy(I406,J406,E406)</f>
        <v>924217.344</v>
      </c>
    </row>
    <row r="407" spans="1:11">
      <c r="A407" s="11">
        <v>115</v>
      </c>
      <c r="B407" s="1">
        <f ca="1">IF(控制台!C169="",INDIRECT(ADDRESS(ROW()-1,COLUMN())),控制台!C169)</f>
        <v>27</v>
      </c>
      <c r="C407" s="1">
        <f ca="1">OFFSET(控制台!$B$374,MATCH(B407,控制台!$C$374:$C$445,0)-1,0)</f>
        <v>90</v>
      </c>
      <c r="D407" s="1">
        <f ca="1">IFERROR(OFFSET(控制台!$E$301,MATCH(B407+1,控制台!$B$301:$B$333,0)-1,0),"")</f>
        <v>30</v>
      </c>
      <c r="E407" s="1">
        <f ca="1" t="shared" si="30"/>
        <v>0.833333333333333</v>
      </c>
      <c r="F407" s="1">
        <f ca="1" t="shared" si="26"/>
        <v>2262600000</v>
      </c>
      <c r="G407" s="1">
        <f ca="1" t="shared" si="27"/>
        <v>3342600000</v>
      </c>
      <c r="H407" s="5">
        <f ca="1">Lerp_dyy(F407,G407,E407)</f>
        <v>3162600000</v>
      </c>
      <c r="I407" s="1">
        <f ca="1" t="shared" si="28"/>
        <v>703033.344</v>
      </c>
      <c r="J407" s="1">
        <f ca="1" t="shared" si="29"/>
        <v>1034809.344</v>
      </c>
      <c r="K407" s="5">
        <f ca="1">Lerp_dyy(I407,J407,E407)</f>
        <v>979513.344</v>
      </c>
    </row>
    <row r="408" spans="1:11">
      <c r="A408" s="11">
        <v>120</v>
      </c>
      <c r="B408" s="1">
        <f ca="1">IF(控制台!C170="",INDIRECT(ADDRESS(ROW()-1,COLUMN())),控制台!C170)</f>
        <v>28</v>
      </c>
      <c r="C408" s="1">
        <f ca="1">OFFSET(控制台!$B$374,MATCH(B408,控制台!$C$374:$C$445,0)-1,0)</f>
        <v>120</v>
      </c>
      <c r="D408" s="1">
        <f ca="1">IFERROR(OFFSET(控制台!$E$301,MATCH(B408+1,控制台!$B$301:$B$333,0)-1,0),"")</f>
        <v>60</v>
      </c>
      <c r="E408" s="1">
        <f ca="1" t="shared" si="30"/>
        <v>0</v>
      </c>
      <c r="F408" s="1">
        <f ca="1" t="shared" si="26"/>
        <v>3342600000</v>
      </c>
      <c r="G408" s="1">
        <f ca="1" t="shared" si="27"/>
        <v>5394600000</v>
      </c>
      <c r="H408" s="5">
        <f ca="1">Lerp_dyy(F408,G408,E408)</f>
        <v>3342600000</v>
      </c>
      <c r="I408" s="1">
        <f ca="1" t="shared" si="28"/>
        <v>1034809.344</v>
      </c>
      <c r="J408" s="1">
        <f ca="1" t="shared" si="29"/>
        <v>1560121.344</v>
      </c>
      <c r="K408" s="5">
        <f ca="1">Lerp_dyy(I408,J408,E408)</f>
        <v>1034809.344</v>
      </c>
    </row>
    <row r="409" spans="1:11">
      <c r="A409" s="12">
        <v>150</v>
      </c>
      <c r="B409" s="1">
        <f ca="1">IF(控制台!C171="",INDIRECT(ADDRESS(ROW()-1,COLUMN())),控制台!C171)</f>
        <v>28</v>
      </c>
      <c r="C409" s="1">
        <f ca="1">OFFSET(控制台!$B$374,MATCH(B409,控制台!$C$374:$C$445,0)-1,0)</f>
        <v>120</v>
      </c>
      <c r="D409" s="1">
        <f ca="1">IFERROR(OFFSET(控制台!$E$301,MATCH(B409+1,控制台!$B$301:$B$333,0)-1,0),"")</f>
        <v>60</v>
      </c>
      <c r="E409" s="1">
        <f ca="1" t="shared" si="30"/>
        <v>0.5</v>
      </c>
      <c r="F409" s="1">
        <f ca="1" t="shared" si="26"/>
        <v>3342600000</v>
      </c>
      <c r="G409" s="1">
        <f ca="1" t="shared" si="27"/>
        <v>5394600000</v>
      </c>
      <c r="H409" s="5">
        <f ca="1">Lerp_dyy(F409,G409,E409)</f>
        <v>4368600000</v>
      </c>
      <c r="I409" s="1">
        <f ca="1" t="shared" si="28"/>
        <v>1034809.344</v>
      </c>
      <c r="J409" s="1">
        <f ca="1" t="shared" si="29"/>
        <v>1560121.344</v>
      </c>
      <c r="K409" s="5">
        <f ca="1">Lerp_dyy(I409,J409,E409)</f>
        <v>1297465.344</v>
      </c>
    </row>
    <row r="410" spans="1:11">
      <c r="A410" s="12">
        <v>180</v>
      </c>
      <c r="B410" s="1">
        <f ca="1">IF(控制台!C172="",INDIRECT(ADDRESS(ROW()-1,COLUMN())),控制台!C172)</f>
        <v>29</v>
      </c>
      <c r="C410" s="1">
        <f ca="1">OFFSET(控制台!$B$374,MATCH(B410,控制台!$C$374:$C$445,0)-1,0)</f>
        <v>180</v>
      </c>
      <c r="D410" s="1">
        <f ca="1">IFERROR(OFFSET(控制台!$E$301,MATCH(B410+1,控制台!$B$301:$B$333,0)-1,0),"")</f>
        <v>60</v>
      </c>
      <c r="E410" s="1">
        <f ca="1" t="shared" si="30"/>
        <v>0</v>
      </c>
      <c r="F410" s="1">
        <f ca="1" t="shared" ref="F410:F416" si="31">OFFSET($C$6,MATCH(B410,$A$6:$A$38,0)-1,0)</f>
        <v>5394600000</v>
      </c>
      <c r="G410" s="1">
        <f ca="1" t="shared" ref="G410:G416" si="32">IFERROR(OFFSET($C$6,MATCH(B410+1,$A$6:$A$38,0)-1,0),0)</f>
        <v>7468200000</v>
      </c>
      <c r="H410" s="5">
        <f ca="1">Lerp_dyy(F410,G410,E410)</f>
        <v>5394600000</v>
      </c>
      <c r="I410" s="1">
        <f ca="1" t="shared" ref="I410:I416" si="33">OFFSET($H$6,MATCH(B410,$A$6:$A$38,0)-1,0)</f>
        <v>1560121.344</v>
      </c>
      <c r="J410" s="1">
        <f ca="1" t="shared" ref="J410:J416" si="34">IFERROR(OFFSET($H$6,MATCH(B410+1,$A$6:$A$38,0)-1,0),0)</f>
        <v>2096492.544</v>
      </c>
      <c r="K410" s="5">
        <f ca="1">Lerp_dyy(I410,J410,E410)</f>
        <v>1560121.344</v>
      </c>
    </row>
    <row r="411" spans="1:11">
      <c r="A411" s="12">
        <v>210</v>
      </c>
      <c r="B411" s="1">
        <f ca="1">IF(控制台!C173="",INDIRECT(ADDRESS(ROW()-1,COLUMN())),控制台!C173)</f>
        <v>29</v>
      </c>
      <c r="C411" s="1">
        <f ca="1">OFFSET(控制台!$B$374,MATCH(B411,控制台!$C$374:$C$445,0)-1,0)</f>
        <v>180</v>
      </c>
      <c r="D411" s="1">
        <f ca="1">IFERROR(OFFSET(控制台!$E$301,MATCH(B411+1,控制台!$B$301:$B$333,0)-1,0),"")</f>
        <v>60</v>
      </c>
      <c r="E411" s="1">
        <f ca="1" t="shared" si="30"/>
        <v>0.5</v>
      </c>
      <c r="F411" s="1">
        <f ca="1" t="shared" si="31"/>
        <v>5394600000</v>
      </c>
      <c r="G411" s="1">
        <f ca="1" t="shared" si="32"/>
        <v>7468200000</v>
      </c>
      <c r="H411" s="5">
        <f ca="1">Lerp_dyy(F411,G411,E411)</f>
        <v>6431400000</v>
      </c>
      <c r="I411" s="1">
        <f ca="1" t="shared" si="33"/>
        <v>1560121.344</v>
      </c>
      <c r="J411" s="1">
        <f ca="1" t="shared" si="34"/>
        <v>2096492.544</v>
      </c>
      <c r="K411" s="5">
        <f ca="1">Lerp_dyy(I411,J411,E411)</f>
        <v>1828306.944</v>
      </c>
    </row>
    <row r="412" spans="1:11">
      <c r="A412" s="12">
        <v>240</v>
      </c>
      <c r="B412" s="1">
        <f ca="1">IF(控制台!C174="",INDIRECT(ADDRESS(ROW()-1,COLUMN())),控制台!C174)</f>
        <v>30</v>
      </c>
      <c r="C412" s="1">
        <f ca="1">OFFSET(控制台!$B$374,MATCH(B412,控制台!$C$374:$C$445,0)-1,0)</f>
        <v>240</v>
      </c>
      <c r="D412" s="1">
        <f ca="1">IFERROR(OFFSET(控制台!$E$301,MATCH(B412+1,控制台!$B$301:$B$333,0)-1,0),"")</f>
        <v>60</v>
      </c>
      <c r="E412" s="1">
        <f ca="1" t="shared" si="30"/>
        <v>0</v>
      </c>
      <c r="F412" s="1">
        <f ca="1" t="shared" si="31"/>
        <v>7468200000</v>
      </c>
      <c r="G412" s="1">
        <f ca="1" t="shared" si="32"/>
        <v>9585000000</v>
      </c>
      <c r="H412" s="5">
        <f ca="1">Lerp_dyy(F412,G412,E412)</f>
        <v>7468200000</v>
      </c>
      <c r="I412" s="1">
        <f ca="1" t="shared" si="33"/>
        <v>2096492.544</v>
      </c>
      <c r="J412" s="1">
        <f ca="1" t="shared" si="34"/>
        <v>2643922.944</v>
      </c>
      <c r="K412" s="5">
        <f ca="1">Lerp_dyy(I412,J412,E412)</f>
        <v>2096492.544</v>
      </c>
    </row>
    <row r="413" spans="1:11">
      <c r="A413" s="12">
        <v>270</v>
      </c>
      <c r="B413" s="1">
        <f ca="1">IF(控制台!C175="",INDIRECT(ADDRESS(ROW()-1,COLUMN())),控制台!C175)</f>
        <v>30</v>
      </c>
      <c r="C413" s="1">
        <f ca="1">OFFSET(控制台!$B$374,MATCH(B413,控制台!$C$374:$C$445,0)-1,0)</f>
        <v>240</v>
      </c>
      <c r="D413" s="1">
        <f ca="1">IFERROR(OFFSET(控制台!$E$301,MATCH(B413+1,控制台!$B$301:$B$333,0)-1,0),"")</f>
        <v>60</v>
      </c>
      <c r="E413" s="1">
        <f ca="1" t="shared" si="30"/>
        <v>0.5</v>
      </c>
      <c r="F413" s="1">
        <f ca="1" t="shared" si="31"/>
        <v>7468200000</v>
      </c>
      <c r="G413" s="1">
        <f ca="1" t="shared" si="32"/>
        <v>9585000000</v>
      </c>
      <c r="H413" s="5">
        <f ca="1">Lerp_dyy(F413,G413,E413)</f>
        <v>8526600000</v>
      </c>
      <c r="I413" s="1">
        <f ca="1" t="shared" si="33"/>
        <v>2096492.544</v>
      </c>
      <c r="J413" s="1">
        <f ca="1" t="shared" si="34"/>
        <v>2643922.944</v>
      </c>
      <c r="K413" s="5">
        <f ca="1">Lerp_dyy(I413,J413,E413)</f>
        <v>2370207.744</v>
      </c>
    </row>
    <row r="414" spans="1:11">
      <c r="A414" s="12">
        <v>300</v>
      </c>
      <c r="B414" s="1">
        <f ca="1">IF(控制台!C176="",INDIRECT(ADDRESS(ROW()-1,COLUMN())),控制台!C176)</f>
        <v>31</v>
      </c>
      <c r="C414" s="1">
        <f ca="1">OFFSET(控制台!$B$374,MATCH(B414,控制台!$C$374:$C$445,0)-1,0)</f>
        <v>300</v>
      </c>
      <c r="D414" s="1">
        <f ca="1">IFERROR(OFFSET(控制台!$E$301,MATCH(B414+1,控制台!$B$301:$B$333,0)-1,0),"")</f>
        <v>60</v>
      </c>
      <c r="E414" s="1">
        <f ca="1" t="shared" si="30"/>
        <v>0</v>
      </c>
      <c r="F414" s="1">
        <f ca="1" t="shared" si="31"/>
        <v>9585000000</v>
      </c>
      <c r="G414" s="1">
        <f ca="1" t="shared" si="32"/>
        <v>11745000000</v>
      </c>
      <c r="H414" s="5">
        <f ca="1">Lerp_dyy(F414,G414,E414)</f>
        <v>9585000000</v>
      </c>
      <c r="I414" s="1">
        <f ca="1" t="shared" si="33"/>
        <v>2643922.944</v>
      </c>
      <c r="J414" s="1">
        <f ca="1" t="shared" si="34"/>
        <v>3196882.944</v>
      </c>
      <c r="K414" s="5">
        <f ca="1">Lerp_dyy(I414,J414,E414)</f>
        <v>2643922.944</v>
      </c>
    </row>
    <row r="415" spans="1:11">
      <c r="A415" s="12">
        <v>330</v>
      </c>
      <c r="B415" s="1">
        <f ca="1">IF(控制台!C177="",INDIRECT(ADDRESS(ROW()-1,COLUMN())),控制台!C177)</f>
        <v>31</v>
      </c>
      <c r="C415" s="1">
        <f ca="1">OFFSET(控制台!$B$374,MATCH(B415,控制台!$C$374:$C$445,0)-1,0)</f>
        <v>300</v>
      </c>
      <c r="D415" s="1">
        <f ca="1">IFERROR(OFFSET(控制台!$E$301,MATCH(B415+1,控制台!$B$301:$B$333,0)-1,0),"")</f>
        <v>60</v>
      </c>
      <c r="E415" s="1">
        <f ca="1" t="shared" si="30"/>
        <v>0.5</v>
      </c>
      <c r="F415" s="1">
        <f ca="1" t="shared" si="31"/>
        <v>9585000000</v>
      </c>
      <c r="G415" s="1">
        <f ca="1" t="shared" si="32"/>
        <v>11745000000</v>
      </c>
      <c r="H415" s="5">
        <f ca="1">Lerp_dyy(F415,G415,E415)</f>
        <v>10665000000</v>
      </c>
      <c r="I415" s="1">
        <f ca="1" t="shared" si="33"/>
        <v>2643922.944</v>
      </c>
      <c r="J415" s="1">
        <f ca="1" t="shared" si="34"/>
        <v>3196882.944</v>
      </c>
      <c r="K415" s="5">
        <f ca="1">Lerp_dyy(I415,J415,E415)</f>
        <v>2920402.944</v>
      </c>
    </row>
    <row r="416" spans="1:11">
      <c r="A416" s="12">
        <v>360</v>
      </c>
      <c r="B416" s="1">
        <f ca="1">IF(控制台!C178="",INDIRECT(ADDRESS(ROW()-1,COLUMN())),控制台!C178)</f>
        <v>32</v>
      </c>
      <c r="C416" s="1">
        <f ca="1">OFFSET(控制台!$B$374,MATCH(B416,控制台!$C$374:$C$445,0)-1,0)</f>
        <v>360</v>
      </c>
      <c r="D416" s="1" t="str">
        <f ca="1">IFERROR(OFFSET(控制台!$E$301,MATCH(B416+1,控制台!$B$301:$B$333,0)-1,0),"")</f>
        <v/>
      </c>
      <c r="E416" s="1">
        <f ca="1" t="shared" si="30"/>
        <v>0</v>
      </c>
      <c r="F416" s="1">
        <f ca="1" t="shared" si="31"/>
        <v>11745000000</v>
      </c>
      <c r="G416" s="1">
        <f ca="1" t="shared" si="32"/>
        <v>0</v>
      </c>
      <c r="H416" s="5">
        <f ca="1">Lerp_dyy(F416,G416,E416)</f>
        <v>11745000000</v>
      </c>
      <c r="I416" s="1">
        <f ca="1" t="shared" si="33"/>
        <v>3196882.944</v>
      </c>
      <c r="J416" s="1">
        <f ca="1" t="shared" si="34"/>
        <v>0</v>
      </c>
      <c r="K416" s="5">
        <f ca="1">Lerp_dyy(I416,J416,E416)</f>
        <v>3196882.944</v>
      </c>
    </row>
    <row r="418" s="2" customFormat="1" spans="1:1">
      <c r="A418" s="2" t="s">
        <v>2758</v>
      </c>
    </row>
    <row r="420" spans="1:5">
      <c r="A420" s="1" t="s">
        <v>382</v>
      </c>
      <c r="B420" s="1" t="s">
        <v>2759</v>
      </c>
      <c r="C420" s="1" t="s">
        <v>811</v>
      </c>
      <c r="D420" s="1" t="s">
        <v>2760</v>
      </c>
      <c r="E420" s="5" t="s">
        <v>864</v>
      </c>
    </row>
    <row r="421" spans="1:5">
      <c r="A421" s="7">
        <v>0</v>
      </c>
      <c r="B421" s="1">
        <f>A421</f>
        <v>0</v>
      </c>
      <c r="C421" s="1">
        <f ca="1">控制台!K374</f>
        <v>0</v>
      </c>
      <c r="D421" s="1">
        <f ca="1">B421*C421*24*60</f>
        <v>0</v>
      </c>
      <c r="E421" s="5">
        <f ca="1">D421</f>
        <v>0</v>
      </c>
    </row>
    <row r="422" spans="1:5">
      <c r="A422" s="7">
        <v>0.1</v>
      </c>
      <c r="B422" s="1">
        <f>A422-A421</f>
        <v>0.1</v>
      </c>
      <c r="C422" s="1">
        <f ca="1">控制台!K375</f>
        <v>1</v>
      </c>
      <c r="D422" s="1">
        <f ca="1" t="shared" ref="D422:D485" si="35">B422*C422*24*60</f>
        <v>144</v>
      </c>
      <c r="E422" s="5">
        <f ca="1">E421+D422</f>
        <v>144</v>
      </c>
    </row>
    <row r="423" spans="1:5">
      <c r="A423" s="7">
        <v>0.2</v>
      </c>
      <c r="B423" s="1">
        <f t="shared" ref="B423:B486" si="36">A423-A422</f>
        <v>0.1</v>
      </c>
      <c r="C423" s="1">
        <f ca="1">控制台!K376</f>
        <v>1</v>
      </c>
      <c r="D423" s="1">
        <f ca="1" t="shared" si="35"/>
        <v>144</v>
      </c>
      <c r="E423" s="5">
        <f ca="1" t="shared" ref="E423:E486" si="37">E422+D423</f>
        <v>288</v>
      </c>
    </row>
    <row r="424" spans="1:5">
      <c r="A424" s="7">
        <v>0.3</v>
      </c>
      <c r="B424" s="1">
        <f t="shared" si="36"/>
        <v>0.1</v>
      </c>
      <c r="C424" s="1">
        <f ca="1">控制台!K377</f>
        <v>1</v>
      </c>
      <c r="D424" s="1">
        <f ca="1" t="shared" si="35"/>
        <v>144</v>
      </c>
      <c r="E424" s="5">
        <f ca="1" t="shared" si="37"/>
        <v>432</v>
      </c>
    </row>
    <row r="425" spans="1:5">
      <c r="A425" s="7">
        <v>0.4</v>
      </c>
      <c r="B425" s="1">
        <f t="shared" si="36"/>
        <v>0.1</v>
      </c>
      <c r="C425" s="1">
        <f ca="1">控制台!K378</f>
        <v>1</v>
      </c>
      <c r="D425" s="1">
        <f ca="1" t="shared" si="35"/>
        <v>144</v>
      </c>
      <c r="E425" s="5">
        <f ca="1" t="shared" si="37"/>
        <v>576</v>
      </c>
    </row>
    <row r="426" spans="1:5">
      <c r="A426" s="7">
        <v>0.5</v>
      </c>
      <c r="B426" s="1">
        <f t="shared" si="36"/>
        <v>0.1</v>
      </c>
      <c r="C426" s="1">
        <f ca="1">控制台!K379</f>
        <v>1</v>
      </c>
      <c r="D426" s="1">
        <f ca="1" t="shared" si="35"/>
        <v>144</v>
      </c>
      <c r="E426" s="5">
        <f ca="1" t="shared" si="37"/>
        <v>720</v>
      </c>
    </row>
    <row r="427" spans="1:5">
      <c r="A427" s="7">
        <v>0.6</v>
      </c>
      <c r="B427" s="1">
        <f t="shared" si="36"/>
        <v>0.1</v>
      </c>
      <c r="C427" s="1">
        <f ca="1">控制台!K380</f>
        <v>1</v>
      </c>
      <c r="D427" s="1">
        <f ca="1" t="shared" si="35"/>
        <v>144</v>
      </c>
      <c r="E427" s="5">
        <f ca="1" t="shared" si="37"/>
        <v>864</v>
      </c>
    </row>
    <row r="428" spans="1:5">
      <c r="A428" s="7">
        <v>0.7</v>
      </c>
      <c r="B428" s="1">
        <f t="shared" si="36"/>
        <v>0.1</v>
      </c>
      <c r="C428" s="1">
        <f ca="1">控制台!K381</f>
        <v>1</v>
      </c>
      <c r="D428" s="1">
        <f ca="1" t="shared" si="35"/>
        <v>144</v>
      </c>
      <c r="E428" s="5">
        <f ca="1" t="shared" si="37"/>
        <v>1008</v>
      </c>
    </row>
    <row r="429" spans="1:5">
      <c r="A429" s="7">
        <v>0.8</v>
      </c>
      <c r="B429" s="1">
        <f t="shared" si="36"/>
        <v>0.1</v>
      </c>
      <c r="C429" s="1">
        <f ca="1">控制台!K382</f>
        <v>2</v>
      </c>
      <c r="D429" s="1">
        <f ca="1" t="shared" si="35"/>
        <v>288</v>
      </c>
      <c r="E429" s="5">
        <f ca="1" t="shared" si="37"/>
        <v>1296</v>
      </c>
    </row>
    <row r="430" spans="1:5">
      <c r="A430" s="7">
        <v>0.9</v>
      </c>
      <c r="B430" s="1">
        <f t="shared" si="36"/>
        <v>0.1</v>
      </c>
      <c r="C430" s="1">
        <f ca="1">控制台!K383</f>
        <v>2</v>
      </c>
      <c r="D430" s="1">
        <f ca="1" t="shared" si="35"/>
        <v>288</v>
      </c>
      <c r="E430" s="5">
        <f ca="1" t="shared" si="37"/>
        <v>1584</v>
      </c>
    </row>
    <row r="431" spans="1:5">
      <c r="A431" s="7">
        <v>1</v>
      </c>
      <c r="B431" s="1">
        <f t="shared" si="36"/>
        <v>0.1</v>
      </c>
      <c r="C431" s="1">
        <f ca="1">控制台!K384</f>
        <v>2</v>
      </c>
      <c r="D431" s="1">
        <f ca="1" t="shared" si="35"/>
        <v>288</v>
      </c>
      <c r="E431" s="5">
        <f ca="1" t="shared" si="37"/>
        <v>1872</v>
      </c>
    </row>
    <row r="432" spans="1:5">
      <c r="A432" s="9">
        <v>1.5</v>
      </c>
      <c r="B432" s="1">
        <f t="shared" si="36"/>
        <v>0.5</v>
      </c>
      <c r="C432" s="1">
        <f ca="1">控制台!K385</f>
        <v>2</v>
      </c>
      <c r="D432" s="1">
        <f ca="1" t="shared" si="35"/>
        <v>1440</v>
      </c>
      <c r="E432" s="5">
        <f ca="1" t="shared" si="37"/>
        <v>3312</v>
      </c>
    </row>
    <row r="433" spans="1:5">
      <c r="A433" s="9">
        <v>2</v>
      </c>
      <c r="B433" s="1">
        <f t="shared" si="36"/>
        <v>0.5</v>
      </c>
      <c r="C433" s="1">
        <f ca="1">控制台!K386</f>
        <v>2</v>
      </c>
      <c r="D433" s="1">
        <f ca="1" t="shared" si="35"/>
        <v>1440</v>
      </c>
      <c r="E433" s="5">
        <f ca="1" t="shared" si="37"/>
        <v>4752</v>
      </c>
    </row>
    <row r="434" spans="1:5">
      <c r="A434" s="9">
        <v>2.5</v>
      </c>
      <c r="B434" s="1">
        <f t="shared" si="36"/>
        <v>0.5</v>
      </c>
      <c r="C434" s="1">
        <f ca="1">控制台!K387</f>
        <v>2</v>
      </c>
      <c r="D434" s="1">
        <f ca="1" t="shared" si="35"/>
        <v>1440</v>
      </c>
      <c r="E434" s="5">
        <f ca="1" t="shared" si="37"/>
        <v>6192</v>
      </c>
    </row>
    <row r="435" spans="1:5">
      <c r="A435" s="9">
        <v>3</v>
      </c>
      <c r="B435" s="1">
        <f t="shared" si="36"/>
        <v>0.5</v>
      </c>
      <c r="C435" s="1">
        <f ca="1">控制台!K388</f>
        <v>2</v>
      </c>
      <c r="D435" s="1">
        <f ca="1" t="shared" si="35"/>
        <v>1440</v>
      </c>
      <c r="E435" s="5">
        <f ca="1" t="shared" si="37"/>
        <v>7632</v>
      </c>
    </row>
    <row r="436" spans="1:5">
      <c r="A436" s="9">
        <v>3.5</v>
      </c>
      <c r="B436" s="1">
        <f t="shared" si="36"/>
        <v>0.5</v>
      </c>
      <c r="C436" s="1">
        <f ca="1">控制台!K389</f>
        <v>2</v>
      </c>
      <c r="D436" s="1">
        <f ca="1" t="shared" si="35"/>
        <v>1440</v>
      </c>
      <c r="E436" s="5">
        <f ca="1" t="shared" si="37"/>
        <v>9072</v>
      </c>
    </row>
    <row r="437" spans="1:5">
      <c r="A437" s="9">
        <v>4</v>
      </c>
      <c r="B437" s="1">
        <f t="shared" si="36"/>
        <v>0.5</v>
      </c>
      <c r="C437" s="1">
        <f ca="1">控制台!K390</f>
        <v>2</v>
      </c>
      <c r="D437" s="1">
        <f ca="1" t="shared" si="35"/>
        <v>1440</v>
      </c>
      <c r="E437" s="5">
        <f ca="1" t="shared" si="37"/>
        <v>10512</v>
      </c>
    </row>
    <row r="438" spans="1:5">
      <c r="A438" s="9">
        <v>4.5</v>
      </c>
      <c r="B438" s="1">
        <f t="shared" si="36"/>
        <v>0.5</v>
      </c>
      <c r="C438" s="1">
        <f ca="1">控制台!K391</f>
        <v>2</v>
      </c>
      <c r="D438" s="1">
        <f ca="1" t="shared" si="35"/>
        <v>1440</v>
      </c>
      <c r="E438" s="5">
        <f ca="1" t="shared" si="37"/>
        <v>11952</v>
      </c>
    </row>
    <row r="439" spans="1:5">
      <c r="A439" s="9">
        <v>5</v>
      </c>
      <c r="B439" s="1">
        <f t="shared" si="36"/>
        <v>0.5</v>
      </c>
      <c r="C439" s="1">
        <f ca="1">控制台!K392</f>
        <v>2</v>
      </c>
      <c r="D439" s="1">
        <f ca="1" t="shared" si="35"/>
        <v>1440</v>
      </c>
      <c r="E439" s="5">
        <f ca="1" t="shared" si="37"/>
        <v>13392</v>
      </c>
    </row>
    <row r="440" spans="1:5">
      <c r="A440" s="9">
        <v>5.5</v>
      </c>
      <c r="B440" s="1">
        <f t="shared" si="36"/>
        <v>0.5</v>
      </c>
      <c r="C440" s="1">
        <f ca="1">控制台!K393</f>
        <v>2</v>
      </c>
      <c r="D440" s="1">
        <f ca="1" t="shared" si="35"/>
        <v>1440</v>
      </c>
      <c r="E440" s="5">
        <f ca="1" t="shared" si="37"/>
        <v>14832</v>
      </c>
    </row>
    <row r="441" spans="1:5">
      <c r="A441" s="9">
        <v>6</v>
      </c>
      <c r="B441" s="1">
        <f t="shared" si="36"/>
        <v>0.5</v>
      </c>
      <c r="C441" s="1">
        <f ca="1">控制台!K394</f>
        <v>2</v>
      </c>
      <c r="D441" s="1">
        <f ca="1" t="shared" si="35"/>
        <v>1440</v>
      </c>
      <c r="E441" s="5">
        <f ca="1" t="shared" si="37"/>
        <v>16272</v>
      </c>
    </row>
    <row r="442" spans="1:5">
      <c r="A442" s="9">
        <v>6.5</v>
      </c>
      <c r="B442" s="1">
        <f t="shared" si="36"/>
        <v>0.5</v>
      </c>
      <c r="C442" s="1">
        <f ca="1">控制台!K395</f>
        <v>2</v>
      </c>
      <c r="D442" s="1">
        <f ca="1" t="shared" si="35"/>
        <v>1440</v>
      </c>
      <c r="E442" s="5">
        <f ca="1" t="shared" si="37"/>
        <v>17712</v>
      </c>
    </row>
    <row r="443" spans="1:5">
      <c r="A443" s="9">
        <v>7</v>
      </c>
      <c r="B443" s="1">
        <f t="shared" si="36"/>
        <v>0.5</v>
      </c>
      <c r="C443" s="1">
        <f ca="1">控制台!K396</f>
        <v>3</v>
      </c>
      <c r="D443" s="1">
        <f ca="1" t="shared" si="35"/>
        <v>2160</v>
      </c>
      <c r="E443" s="5">
        <f ca="1" t="shared" si="37"/>
        <v>19872</v>
      </c>
    </row>
    <row r="444" spans="1:5">
      <c r="A444" s="10">
        <v>8</v>
      </c>
      <c r="B444" s="1">
        <f t="shared" si="36"/>
        <v>1</v>
      </c>
      <c r="C444" s="1">
        <f ca="1">控制台!K397</f>
        <v>3</v>
      </c>
      <c r="D444" s="1">
        <f ca="1" t="shared" si="35"/>
        <v>4320</v>
      </c>
      <c r="E444" s="5">
        <f ca="1" t="shared" si="37"/>
        <v>24192</v>
      </c>
    </row>
    <row r="445" spans="1:5">
      <c r="A445" s="10">
        <v>9</v>
      </c>
      <c r="B445" s="1">
        <f t="shared" si="36"/>
        <v>1</v>
      </c>
      <c r="C445" s="1">
        <f ca="1">控制台!K398</f>
        <v>3</v>
      </c>
      <c r="D445" s="1">
        <f ca="1" t="shared" si="35"/>
        <v>4320</v>
      </c>
      <c r="E445" s="5">
        <f ca="1" t="shared" si="37"/>
        <v>28512</v>
      </c>
    </row>
    <row r="446" spans="1:5">
      <c r="A446" s="10">
        <v>10</v>
      </c>
      <c r="B446" s="1">
        <f t="shared" si="36"/>
        <v>1</v>
      </c>
      <c r="C446" s="1">
        <f ca="1">控制台!K399</f>
        <v>3</v>
      </c>
      <c r="D446" s="1">
        <f ca="1" t="shared" si="35"/>
        <v>4320</v>
      </c>
      <c r="E446" s="5">
        <f ca="1" t="shared" si="37"/>
        <v>32832</v>
      </c>
    </row>
    <row r="447" spans="1:5">
      <c r="A447" s="10">
        <v>11</v>
      </c>
      <c r="B447" s="1">
        <f t="shared" si="36"/>
        <v>1</v>
      </c>
      <c r="C447" s="1">
        <f ca="1">控制台!K400</f>
        <v>3</v>
      </c>
      <c r="D447" s="1">
        <f ca="1" t="shared" si="35"/>
        <v>4320</v>
      </c>
      <c r="E447" s="5">
        <f ca="1" t="shared" si="37"/>
        <v>37152</v>
      </c>
    </row>
    <row r="448" spans="1:5">
      <c r="A448" s="10">
        <v>12</v>
      </c>
      <c r="B448" s="1">
        <f t="shared" si="36"/>
        <v>1</v>
      </c>
      <c r="C448" s="1">
        <f ca="1">控制台!K401</f>
        <v>3</v>
      </c>
      <c r="D448" s="1">
        <f ca="1" t="shared" si="35"/>
        <v>4320</v>
      </c>
      <c r="E448" s="5">
        <f ca="1" t="shared" si="37"/>
        <v>41472</v>
      </c>
    </row>
    <row r="449" spans="1:5">
      <c r="A449" s="10">
        <v>13</v>
      </c>
      <c r="B449" s="1">
        <f t="shared" si="36"/>
        <v>1</v>
      </c>
      <c r="C449" s="1">
        <f ca="1">控制台!K402</f>
        <v>3</v>
      </c>
      <c r="D449" s="1">
        <f ca="1" t="shared" si="35"/>
        <v>4320</v>
      </c>
      <c r="E449" s="5">
        <f ca="1" t="shared" si="37"/>
        <v>45792</v>
      </c>
    </row>
    <row r="450" spans="1:5">
      <c r="A450" s="10">
        <v>14</v>
      </c>
      <c r="B450" s="1">
        <f t="shared" si="36"/>
        <v>1</v>
      </c>
      <c r="C450" s="1">
        <f ca="1">控制台!K403</f>
        <v>3</v>
      </c>
      <c r="D450" s="1">
        <f ca="1" t="shared" si="35"/>
        <v>4320</v>
      </c>
      <c r="E450" s="5">
        <f ca="1" t="shared" si="37"/>
        <v>50112</v>
      </c>
    </row>
    <row r="451" spans="1:5">
      <c r="A451" s="10">
        <v>15</v>
      </c>
      <c r="B451" s="1">
        <f t="shared" si="36"/>
        <v>1</v>
      </c>
      <c r="C451" s="1">
        <f ca="1">控制台!K404</f>
        <v>3</v>
      </c>
      <c r="D451" s="1">
        <f ca="1" t="shared" si="35"/>
        <v>4320</v>
      </c>
      <c r="E451" s="5">
        <f ca="1" t="shared" si="37"/>
        <v>54432</v>
      </c>
    </row>
    <row r="452" spans="1:5">
      <c r="A452" s="10">
        <v>16</v>
      </c>
      <c r="B452" s="1">
        <f t="shared" si="36"/>
        <v>1</v>
      </c>
      <c r="C452" s="1">
        <f ca="1">控制台!K405</f>
        <v>3</v>
      </c>
      <c r="D452" s="1">
        <f ca="1" t="shared" si="35"/>
        <v>4320</v>
      </c>
      <c r="E452" s="5">
        <f ca="1" t="shared" si="37"/>
        <v>58752</v>
      </c>
    </row>
    <row r="453" spans="1:5">
      <c r="A453" s="10">
        <v>17</v>
      </c>
      <c r="B453" s="1">
        <f t="shared" si="36"/>
        <v>1</v>
      </c>
      <c r="C453" s="1">
        <f ca="1">控制台!K406</f>
        <v>3</v>
      </c>
      <c r="D453" s="1">
        <f ca="1" t="shared" si="35"/>
        <v>4320</v>
      </c>
      <c r="E453" s="5">
        <f ca="1" t="shared" si="37"/>
        <v>63072</v>
      </c>
    </row>
    <row r="454" spans="1:5">
      <c r="A454" s="10">
        <v>18</v>
      </c>
      <c r="B454" s="1">
        <f t="shared" si="36"/>
        <v>1</v>
      </c>
      <c r="C454" s="1">
        <f ca="1">控制台!K407</f>
        <v>3</v>
      </c>
      <c r="D454" s="1">
        <f ca="1" t="shared" si="35"/>
        <v>4320</v>
      </c>
      <c r="E454" s="5">
        <f ca="1" t="shared" si="37"/>
        <v>67392</v>
      </c>
    </row>
    <row r="455" spans="1:5">
      <c r="A455" s="10">
        <v>19</v>
      </c>
      <c r="B455" s="1">
        <f t="shared" si="36"/>
        <v>1</v>
      </c>
      <c r="C455" s="1">
        <f ca="1">控制台!K408</f>
        <v>3</v>
      </c>
      <c r="D455" s="1">
        <f ca="1" t="shared" si="35"/>
        <v>4320</v>
      </c>
      <c r="E455" s="5">
        <f ca="1" t="shared" si="37"/>
        <v>71712</v>
      </c>
    </row>
    <row r="456" spans="1:5">
      <c r="A456" s="10">
        <v>20</v>
      </c>
      <c r="B456" s="1">
        <f t="shared" si="36"/>
        <v>1</v>
      </c>
      <c r="C456" s="1">
        <f ca="1">控制台!K409</f>
        <v>4</v>
      </c>
      <c r="D456" s="1">
        <f ca="1" t="shared" si="35"/>
        <v>5760</v>
      </c>
      <c r="E456" s="5">
        <f ca="1" t="shared" si="37"/>
        <v>77472</v>
      </c>
    </row>
    <row r="457" spans="1:5">
      <c r="A457" s="10">
        <v>21</v>
      </c>
      <c r="B457" s="1">
        <f t="shared" si="36"/>
        <v>1</v>
      </c>
      <c r="C457" s="1">
        <f ca="1">控制台!K410</f>
        <v>4</v>
      </c>
      <c r="D457" s="1">
        <f ca="1" t="shared" si="35"/>
        <v>5760</v>
      </c>
      <c r="E457" s="5">
        <f ca="1" t="shared" si="37"/>
        <v>83232</v>
      </c>
    </row>
    <row r="458" spans="1:5">
      <c r="A458" s="10">
        <v>22</v>
      </c>
      <c r="B458" s="1">
        <f t="shared" si="36"/>
        <v>1</v>
      </c>
      <c r="C458" s="1">
        <f ca="1">控制台!K411</f>
        <v>4</v>
      </c>
      <c r="D458" s="1">
        <f ca="1" t="shared" si="35"/>
        <v>5760</v>
      </c>
      <c r="E458" s="5">
        <f ca="1" t="shared" si="37"/>
        <v>88992</v>
      </c>
    </row>
    <row r="459" spans="1:5">
      <c r="A459" s="10">
        <v>23</v>
      </c>
      <c r="B459" s="1">
        <f t="shared" si="36"/>
        <v>1</v>
      </c>
      <c r="C459" s="1">
        <f ca="1">控制台!K412</f>
        <v>4</v>
      </c>
      <c r="D459" s="1">
        <f ca="1" t="shared" si="35"/>
        <v>5760</v>
      </c>
      <c r="E459" s="5">
        <f ca="1" t="shared" si="37"/>
        <v>94752</v>
      </c>
    </row>
    <row r="460" spans="1:5">
      <c r="A460" s="10">
        <v>24</v>
      </c>
      <c r="B460" s="1">
        <f t="shared" si="36"/>
        <v>1</v>
      </c>
      <c r="C460" s="1">
        <f ca="1">控制台!K413</f>
        <v>4</v>
      </c>
      <c r="D460" s="1">
        <f ca="1" t="shared" si="35"/>
        <v>5760</v>
      </c>
      <c r="E460" s="5">
        <f ca="1" t="shared" si="37"/>
        <v>100512</v>
      </c>
    </row>
    <row r="461" spans="1:5">
      <c r="A461" s="10">
        <v>25</v>
      </c>
      <c r="B461" s="1">
        <f t="shared" si="36"/>
        <v>1</v>
      </c>
      <c r="C461" s="1">
        <f ca="1">控制台!K414</f>
        <v>4</v>
      </c>
      <c r="D461" s="1">
        <f ca="1" t="shared" si="35"/>
        <v>5760</v>
      </c>
      <c r="E461" s="5">
        <f ca="1" t="shared" si="37"/>
        <v>106272</v>
      </c>
    </row>
    <row r="462" spans="1:5">
      <c r="A462" s="10">
        <v>26</v>
      </c>
      <c r="B462" s="1">
        <f t="shared" si="36"/>
        <v>1</v>
      </c>
      <c r="C462" s="1">
        <f ca="1">控制台!K415</f>
        <v>4</v>
      </c>
      <c r="D462" s="1">
        <f ca="1" t="shared" si="35"/>
        <v>5760</v>
      </c>
      <c r="E462" s="5">
        <f ca="1" t="shared" si="37"/>
        <v>112032</v>
      </c>
    </row>
    <row r="463" spans="1:5">
      <c r="A463" s="10">
        <v>27</v>
      </c>
      <c r="B463" s="1">
        <f t="shared" si="36"/>
        <v>1</v>
      </c>
      <c r="C463" s="1">
        <f ca="1">控制台!K416</f>
        <v>4</v>
      </c>
      <c r="D463" s="1">
        <f ca="1" t="shared" si="35"/>
        <v>5760</v>
      </c>
      <c r="E463" s="5">
        <f ca="1" t="shared" si="37"/>
        <v>117792</v>
      </c>
    </row>
    <row r="464" spans="1:5">
      <c r="A464" s="10">
        <v>28</v>
      </c>
      <c r="B464" s="1">
        <f t="shared" si="36"/>
        <v>1</v>
      </c>
      <c r="C464" s="1">
        <f ca="1">控制台!K417</f>
        <v>4</v>
      </c>
      <c r="D464" s="1">
        <f ca="1" t="shared" si="35"/>
        <v>5760</v>
      </c>
      <c r="E464" s="5">
        <f ca="1" t="shared" si="37"/>
        <v>123552</v>
      </c>
    </row>
    <row r="465" spans="1:5">
      <c r="A465" s="10">
        <v>29</v>
      </c>
      <c r="B465" s="1">
        <f t="shared" si="36"/>
        <v>1</v>
      </c>
      <c r="C465" s="1">
        <f ca="1">控制台!K418</f>
        <v>4</v>
      </c>
      <c r="D465" s="1">
        <f ca="1" t="shared" si="35"/>
        <v>5760</v>
      </c>
      <c r="E465" s="5">
        <f ca="1" t="shared" si="37"/>
        <v>129312</v>
      </c>
    </row>
    <row r="466" spans="1:5">
      <c r="A466" s="10">
        <v>30</v>
      </c>
      <c r="B466" s="1">
        <f t="shared" si="36"/>
        <v>1</v>
      </c>
      <c r="C466" s="1">
        <f ca="1">控制台!K419</f>
        <v>4</v>
      </c>
      <c r="D466" s="1">
        <f ca="1" t="shared" si="35"/>
        <v>5760</v>
      </c>
      <c r="E466" s="5">
        <f ca="1" t="shared" si="37"/>
        <v>135072</v>
      </c>
    </row>
    <row r="467" spans="1:5">
      <c r="A467" s="11">
        <v>35</v>
      </c>
      <c r="B467" s="1">
        <f t="shared" si="36"/>
        <v>5</v>
      </c>
      <c r="C467" s="1">
        <f ca="1">控制台!K420</f>
        <v>4</v>
      </c>
      <c r="D467" s="1">
        <f ca="1" t="shared" si="35"/>
        <v>28800</v>
      </c>
      <c r="E467" s="5">
        <f ca="1" t="shared" si="37"/>
        <v>163872</v>
      </c>
    </row>
    <row r="468" spans="1:5">
      <c r="A468" s="11">
        <v>40</v>
      </c>
      <c r="B468" s="1">
        <f t="shared" si="36"/>
        <v>5</v>
      </c>
      <c r="C468" s="1">
        <f ca="1">控制台!K421</f>
        <v>4</v>
      </c>
      <c r="D468" s="1">
        <f ca="1" t="shared" si="35"/>
        <v>28800</v>
      </c>
      <c r="E468" s="5">
        <f ca="1" t="shared" si="37"/>
        <v>192672</v>
      </c>
    </row>
    <row r="469" spans="1:5">
      <c r="A469" s="11">
        <v>45</v>
      </c>
      <c r="B469" s="1">
        <f t="shared" si="36"/>
        <v>5</v>
      </c>
      <c r="C469" s="1">
        <f ca="1">控制台!K422</f>
        <v>4</v>
      </c>
      <c r="D469" s="1">
        <f ca="1" t="shared" si="35"/>
        <v>28800</v>
      </c>
      <c r="E469" s="5">
        <f ca="1" t="shared" si="37"/>
        <v>221472</v>
      </c>
    </row>
    <row r="470" spans="1:5">
      <c r="A470" s="11">
        <v>50</v>
      </c>
      <c r="B470" s="1">
        <f t="shared" si="36"/>
        <v>5</v>
      </c>
      <c r="C470" s="1">
        <f ca="1">控制台!K423</f>
        <v>4</v>
      </c>
      <c r="D470" s="1">
        <f ca="1" t="shared" si="35"/>
        <v>28800</v>
      </c>
      <c r="E470" s="5">
        <f ca="1" t="shared" si="37"/>
        <v>250272</v>
      </c>
    </row>
    <row r="471" spans="1:5">
      <c r="A471" s="11">
        <v>55</v>
      </c>
      <c r="B471" s="1">
        <f t="shared" si="36"/>
        <v>5</v>
      </c>
      <c r="C471" s="1">
        <f ca="1">控制台!K424</f>
        <v>4</v>
      </c>
      <c r="D471" s="1">
        <f ca="1" t="shared" si="35"/>
        <v>28800</v>
      </c>
      <c r="E471" s="5">
        <f ca="1" t="shared" si="37"/>
        <v>279072</v>
      </c>
    </row>
    <row r="472" spans="1:5">
      <c r="A472" s="11">
        <v>60</v>
      </c>
      <c r="B472" s="1">
        <f t="shared" si="36"/>
        <v>5</v>
      </c>
      <c r="C472" s="1">
        <f ca="1">控制台!K425</f>
        <v>4</v>
      </c>
      <c r="D472" s="1">
        <f ca="1" t="shared" si="35"/>
        <v>28800</v>
      </c>
      <c r="E472" s="5">
        <f ca="1" t="shared" si="37"/>
        <v>307872</v>
      </c>
    </row>
    <row r="473" spans="1:5">
      <c r="A473" s="11">
        <v>65</v>
      </c>
      <c r="B473" s="1">
        <f t="shared" si="36"/>
        <v>5</v>
      </c>
      <c r="C473" s="1">
        <f ca="1">控制台!K426</f>
        <v>4</v>
      </c>
      <c r="D473" s="1">
        <f ca="1" t="shared" si="35"/>
        <v>28800</v>
      </c>
      <c r="E473" s="5">
        <f ca="1" t="shared" si="37"/>
        <v>336672</v>
      </c>
    </row>
    <row r="474" spans="1:5">
      <c r="A474" s="11">
        <v>70</v>
      </c>
      <c r="B474" s="1">
        <f t="shared" si="36"/>
        <v>5</v>
      </c>
      <c r="C474" s="1">
        <f ca="1">控制台!K427</f>
        <v>4</v>
      </c>
      <c r="D474" s="1">
        <f ca="1" t="shared" si="35"/>
        <v>28800</v>
      </c>
      <c r="E474" s="5">
        <f ca="1" t="shared" si="37"/>
        <v>365472</v>
      </c>
    </row>
    <row r="475" spans="1:5">
      <c r="A475" s="11">
        <v>75</v>
      </c>
      <c r="B475" s="1">
        <f t="shared" si="36"/>
        <v>5</v>
      </c>
      <c r="C475" s="1">
        <f ca="1">控制台!K428</f>
        <v>4</v>
      </c>
      <c r="D475" s="1">
        <f ca="1" t="shared" si="35"/>
        <v>28800</v>
      </c>
      <c r="E475" s="5">
        <f ca="1" t="shared" si="37"/>
        <v>394272</v>
      </c>
    </row>
    <row r="476" spans="1:5">
      <c r="A476" s="11">
        <v>80</v>
      </c>
      <c r="B476" s="1">
        <f t="shared" si="36"/>
        <v>5</v>
      </c>
      <c r="C476" s="1">
        <f ca="1">控制台!K429</f>
        <v>4</v>
      </c>
      <c r="D476" s="1">
        <f ca="1" t="shared" si="35"/>
        <v>28800</v>
      </c>
      <c r="E476" s="5">
        <f ca="1" t="shared" si="37"/>
        <v>423072</v>
      </c>
    </row>
    <row r="477" spans="1:5">
      <c r="A477" s="11">
        <v>85</v>
      </c>
      <c r="B477" s="1">
        <f t="shared" si="36"/>
        <v>5</v>
      </c>
      <c r="C477" s="1">
        <f ca="1">控制台!K430</f>
        <v>4</v>
      </c>
      <c r="D477" s="1">
        <f ca="1" t="shared" si="35"/>
        <v>28800</v>
      </c>
      <c r="E477" s="5">
        <f ca="1" t="shared" si="37"/>
        <v>451872</v>
      </c>
    </row>
    <row r="478" spans="1:5">
      <c r="A478" s="11">
        <v>90</v>
      </c>
      <c r="B478" s="1">
        <f t="shared" si="36"/>
        <v>5</v>
      </c>
      <c r="C478" s="1">
        <f ca="1">控制台!K431</f>
        <v>4</v>
      </c>
      <c r="D478" s="1">
        <f ca="1" t="shared" si="35"/>
        <v>28800</v>
      </c>
      <c r="E478" s="5">
        <f ca="1" t="shared" si="37"/>
        <v>480672</v>
      </c>
    </row>
    <row r="479" spans="1:5">
      <c r="A479" s="11">
        <v>95</v>
      </c>
      <c r="B479" s="1">
        <f t="shared" si="36"/>
        <v>5</v>
      </c>
      <c r="C479" s="1">
        <f ca="1">控制台!K432</f>
        <v>4</v>
      </c>
      <c r="D479" s="1">
        <f ca="1" t="shared" si="35"/>
        <v>28800</v>
      </c>
      <c r="E479" s="5">
        <f ca="1" t="shared" si="37"/>
        <v>509472</v>
      </c>
    </row>
    <row r="480" spans="1:5">
      <c r="A480" s="11">
        <v>100</v>
      </c>
      <c r="B480" s="1">
        <f t="shared" si="36"/>
        <v>5</v>
      </c>
      <c r="C480" s="1">
        <f ca="1">控制台!K433</f>
        <v>4</v>
      </c>
      <c r="D480" s="1">
        <f ca="1" t="shared" si="35"/>
        <v>28800</v>
      </c>
      <c r="E480" s="5">
        <f ca="1" t="shared" si="37"/>
        <v>538272</v>
      </c>
    </row>
    <row r="481" spans="1:5">
      <c r="A481" s="11">
        <v>105</v>
      </c>
      <c r="B481" s="1">
        <f t="shared" si="36"/>
        <v>5</v>
      </c>
      <c r="C481" s="1">
        <f ca="1">控制台!K434</f>
        <v>4</v>
      </c>
      <c r="D481" s="1">
        <f ca="1" t="shared" si="35"/>
        <v>28800</v>
      </c>
      <c r="E481" s="5">
        <f ca="1" t="shared" si="37"/>
        <v>567072</v>
      </c>
    </row>
    <row r="482" spans="1:5">
      <c r="A482" s="11">
        <v>110</v>
      </c>
      <c r="B482" s="1">
        <f t="shared" si="36"/>
        <v>5</v>
      </c>
      <c r="C482" s="1">
        <f ca="1">控制台!K435</f>
        <v>4</v>
      </c>
      <c r="D482" s="1">
        <f ca="1" t="shared" si="35"/>
        <v>28800</v>
      </c>
      <c r="E482" s="5">
        <f ca="1" t="shared" si="37"/>
        <v>595872</v>
      </c>
    </row>
    <row r="483" spans="1:5">
      <c r="A483" s="11">
        <v>115</v>
      </c>
      <c r="B483" s="1">
        <f t="shared" si="36"/>
        <v>5</v>
      </c>
      <c r="C483" s="1">
        <f ca="1">控制台!K436</f>
        <v>4</v>
      </c>
      <c r="D483" s="1">
        <f ca="1" t="shared" si="35"/>
        <v>28800</v>
      </c>
      <c r="E483" s="5">
        <f ca="1" t="shared" si="37"/>
        <v>624672</v>
      </c>
    </row>
    <row r="484" spans="1:5">
      <c r="A484" s="11">
        <v>120</v>
      </c>
      <c r="B484" s="1">
        <f t="shared" si="36"/>
        <v>5</v>
      </c>
      <c r="C484" s="1">
        <f ca="1">控制台!K437</f>
        <v>4</v>
      </c>
      <c r="D484" s="1">
        <f ca="1" t="shared" si="35"/>
        <v>28800</v>
      </c>
      <c r="E484" s="5">
        <f ca="1" t="shared" si="37"/>
        <v>653472</v>
      </c>
    </row>
    <row r="485" spans="1:5">
      <c r="A485" s="12">
        <v>150</v>
      </c>
      <c r="B485" s="1">
        <f t="shared" si="36"/>
        <v>30</v>
      </c>
      <c r="C485" s="1">
        <f ca="1">控制台!K438</f>
        <v>4</v>
      </c>
      <c r="D485" s="1">
        <f ca="1" t="shared" si="35"/>
        <v>172800</v>
      </c>
      <c r="E485" s="5">
        <f ca="1" t="shared" si="37"/>
        <v>826272</v>
      </c>
    </row>
    <row r="486" spans="1:5">
      <c r="A486" s="12">
        <v>180</v>
      </c>
      <c r="B486" s="1">
        <f t="shared" si="36"/>
        <v>30</v>
      </c>
      <c r="C486" s="1">
        <f ca="1">控制台!K439</f>
        <v>4</v>
      </c>
      <c r="D486" s="1">
        <f ca="1" t="shared" ref="D486:D492" si="38">B486*C486*24*60</f>
        <v>172800</v>
      </c>
      <c r="E486" s="5">
        <f ca="1" t="shared" si="37"/>
        <v>999072</v>
      </c>
    </row>
    <row r="487" spans="1:5">
      <c r="A487" s="12">
        <v>210</v>
      </c>
      <c r="B487" s="1">
        <f t="shared" ref="B487:B492" si="39">A487-A486</f>
        <v>30</v>
      </c>
      <c r="C487" s="1">
        <f ca="1">控制台!K440</f>
        <v>4</v>
      </c>
      <c r="D487" s="1">
        <f ca="1" t="shared" si="38"/>
        <v>172800</v>
      </c>
      <c r="E487" s="5">
        <f ca="1" t="shared" ref="E487:E492" si="40">E486+D487</f>
        <v>1171872</v>
      </c>
    </row>
    <row r="488" spans="1:5">
      <c r="A488" s="12">
        <v>240</v>
      </c>
      <c r="B488" s="1">
        <f t="shared" si="39"/>
        <v>30</v>
      </c>
      <c r="C488" s="1">
        <f ca="1">控制台!K441</f>
        <v>4</v>
      </c>
      <c r="D488" s="1">
        <f ca="1" t="shared" si="38"/>
        <v>172800</v>
      </c>
      <c r="E488" s="5">
        <f ca="1" t="shared" si="40"/>
        <v>1344672</v>
      </c>
    </row>
    <row r="489" spans="1:5">
      <c r="A489" s="12">
        <v>270</v>
      </c>
      <c r="B489" s="1">
        <f t="shared" si="39"/>
        <v>30</v>
      </c>
      <c r="C489" s="1">
        <f ca="1">控制台!K442</f>
        <v>4</v>
      </c>
      <c r="D489" s="1">
        <f ca="1" t="shared" si="38"/>
        <v>172800</v>
      </c>
      <c r="E489" s="5">
        <f ca="1" t="shared" si="40"/>
        <v>1517472</v>
      </c>
    </row>
    <row r="490" spans="1:5">
      <c r="A490" s="12">
        <v>300</v>
      </c>
      <c r="B490" s="1">
        <f t="shared" si="39"/>
        <v>30</v>
      </c>
      <c r="C490" s="1">
        <f ca="1">控制台!K443</f>
        <v>4</v>
      </c>
      <c r="D490" s="1">
        <f ca="1" t="shared" si="38"/>
        <v>172800</v>
      </c>
      <c r="E490" s="5">
        <f ca="1" t="shared" si="40"/>
        <v>1690272</v>
      </c>
    </row>
    <row r="491" spans="1:5">
      <c r="A491" s="12">
        <v>330</v>
      </c>
      <c r="B491" s="1">
        <f t="shared" si="39"/>
        <v>30</v>
      </c>
      <c r="C491" s="1">
        <f ca="1">控制台!K444</f>
        <v>4</v>
      </c>
      <c r="D491" s="1">
        <f ca="1" t="shared" si="38"/>
        <v>172800</v>
      </c>
      <c r="E491" s="5">
        <f ca="1" t="shared" si="40"/>
        <v>1863072</v>
      </c>
    </row>
    <row r="492" spans="1:5">
      <c r="A492" s="12">
        <v>360</v>
      </c>
      <c r="B492" s="1">
        <f t="shared" si="39"/>
        <v>30</v>
      </c>
      <c r="C492" s="1">
        <f ca="1">控制台!K445</f>
        <v>4</v>
      </c>
      <c r="D492" s="1">
        <f ca="1" t="shared" si="38"/>
        <v>172800</v>
      </c>
      <c r="E492" s="5">
        <f ca="1" t="shared" si="40"/>
        <v>2035872</v>
      </c>
    </row>
  </sheetData>
  <hyperlinks>
    <hyperlink ref="A1" location="控制台_102_建筑" display="2"/>
  </hyperlinks>
  <pageMargins left="0.699305555555556" right="0.699305555555556" top="0.75" bottom="0.75" header="0.3" footer="0.3"/>
  <pageSetup paperSize="9" orientation="portrait"/>
  <headerFooter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3">
    <tabColor theme="9" tint="0.599993896298105"/>
  </sheetPr>
  <dimension ref="A1:Z395"/>
  <sheetViews>
    <sheetView zoomScale="70" zoomScaleNormal="70" workbookViewId="0">
      <selection activeCell="H6" sqref="H6"/>
    </sheetView>
  </sheetViews>
  <sheetFormatPr defaultColWidth="8.70967741935484" defaultRowHeight="13.1"/>
  <cols>
    <col min="1" max="1" width="9.62903225806452" style="1" customWidth="1"/>
    <col min="2" max="3" width="9.25" style="1" customWidth="1"/>
    <col min="4" max="4" width="17.5" style="1" customWidth="1"/>
    <col min="5" max="5" width="9.25" style="1" customWidth="1"/>
    <col min="6" max="6" width="5.5" style="1" customWidth="1"/>
    <col min="7" max="7" width="11.25" style="1" customWidth="1"/>
    <col min="8" max="12" width="14.5" style="1" customWidth="1"/>
    <col min="13" max="15" width="12" style="1" customWidth="1"/>
    <col min="16" max="16" width="35.6290322580645" style="1" customWidth="1"/>
    <col min="17" max="17" width="17.5" style="1" customWidth="1"/>
    <col min="18" max="18" width="14.5" style="1" customWidth="1"/>
    <col min="19" max="19" width="10.75" style="1" customWidth="1"/>
    <col min="20" max="20" width="9.62903225806452" style="1"/>
    <col min="21" max="21" width="14.5" style="1" customWidth="1"/>
    <col min="22" max="22" width="9.62903225806452" style="1"/>
    <col min="23" max="23" width="14.5" style="1" customWidth="1"/>
    <col min="24" max="16384" width="9.62903225806452" style="1"/>
  </cols>
  <sheetData>
    <row r="1" spans="1:11">
      <c r="A1" s="3" t="s">
        <v>2761</v>
      </c>
      <c r="E1" s="4"/>
      <c r="F1" s="5"/>
      <c r="G1" s="4"/>
      <c r="H1" s="5"/>
      <c r="K1" s="5"/>
    </row>
    <row r="2" spans="5:11">
      <c r="E2" s="4"/>
      <c r="F2" s="5"/>
      <c r="G2" s="4"/>
      <c r="H2" s="5"/>
      <c r="K2" s="5"/>
    </row>
    <row r="3" s="2" customFormat="1" spans="1:1">
      <c r="A3" s="2" t="s">
        <v>2762</v>
      </c>
    </row>
    <row r="4" spans="5:11">
      <c r="E4" s="4"/>
      <c r="F4" s="5"/>
      <c r="G4" s="4"/>
      <c r="H4" s="5"/>
      <c r="K4" s="5"/>
    </row>
    <row r="5" spans="1:26">
      <c r="A5" s="1" t="s">
        <v>879</v>
      </c>
      <c r="B5" s="1" t="s">
        <v>2763</v>
      </c>
      <c r="C5" s="1" t="s">
        <v>2419</v>
      </c>
      <c r="D5" s="1" t="s">
        <v>2764</v>
      </c>
      <c r="E5" s="1" t="s">
        <v>2765</v>
      </c>
      <c r="F5" s="1" t="s">
        <v>880</v>
      </c>
      <c r="G5" s="1" t="s">
        <v>2766</v>
      </c>
      <c r="H5" s="1" t="s">
        <v>2767</v>
      </c>
      <c r="I5" s="1" t="s">
        <v>1749</v>
      </c>
      <c r="J5" s="1" t="s">
        <v>728</v>
      </c>
      <c r="K5" s="1" t="s">
        <v>729</v>
      </c>
      <c r="L5" s="1" t="s">
        <v>730</v>
      </c>
      <c r="M5" s="1" t="s">
        <v>2669</v>
      </c>
      <c r="N5" s="1" t="s">
        <v>2670</v>
      </c>
      <c r="O5" s="1" t="s">
        <v>2671</v>
      </c>
      <c r="P5" s="4" t="s">
        <v>2672</v>
      </c>
      <c r="Q5" s="15" t="s">
        <v>2768</v>
      </c>
      <c r="R5" s="15" t="s">
        <v>2769</v>
      </c>
      <c r="S5" s="16" t="s">
        <v>1375</v>
      </c>
      <c r="T5" s="16" t="s">
        <v>930</v>
      </c>
      <c r="U5" s="1" t="s">
        <v>2770</v>
      </c>
      <c r="V5" s="1" t="s">
        <v>2771</v>
      </c>
      <c r="W5" s="5" t="s">
        <v>2772</v>
      </c>
      <c r="X5" s="15" t="s">
        <v>935</v>
      </c>
      <c r="Y5" s="16" t="s">
        <v>2773</v>
      </c>
      <c r="Z5" s="16" t="s">
        <v>2774</v>
      </c>
    </row>
    <row r="6" spans="1:26">
      <c r="A6" s="1">
        <v>10102</v>
      </c>
      <c r="B6" s="1">
        <v>1</v>
      </c>
      <c r="C6" s="1">
        <v>1</v>
      </c>
      <c r="D6" s="1" t="s">
        <v>2775</v>
      </c>
      <c r="E6" s="1">
        <f ca="1">IF(C6=1,OFFSET(控制台!$F$552,MATCH(A6,控制台!$B$552:$B$580,0)-1,0),OFFSET(控制台!$L$552,MATCH(A6,控制台!$H$552:$H$594,0)-1,0))</f>
        <v>1</v>
      </c>
      <c r="F6" s="1">
        <f ca="1">IF(C6=1,OFFSET(控制台!$D$552,MATCH(A6,控制台!$B$552:$B$580,0)-1,0),OFFSET(控制台!$J$552,MATCH(A6,控制台!$H$552:$H$594,0)-1,0))</f>
        <v>1</v>
      </c>
      <c r="G6" s="1">
        <f ca="1">IF(C6=1,OFFSET(控制台!$I$599,MATCH(F6,控制台!$B$599:$B$615,0)-1,0),OFFSET(控制台!$I$618,MATCH(F6,控制台!$B$618:$B$636,0)-1,0))</f>
        <v>1</v>
      </c>
      <c r="H6" s="1">
        <f ca="1">IF(C6=1,OFFSET(控制台!$D$599,MATCH(F6,控制台!$B$599:$B$615,0)-1,0),OFFSET(控制台!$D$618,MATCH(F6,控制台!$B$618:$B$636,0)-1,0))</f>
        <v>12960</v>
      </c>
      <c r="I6" s="1">
        <f ca="1">IF(E6=1,H6/G6,IF(E6=5,H6/G6*OFFSET(控制台!$D$641,MATCH(B6,控制台!$B$641:$B$645,0)-1,0),H6/G6*OFFSET(控制台!$H$641,MATCH(B6,控制台!$F$641:$F$650,0)-1,0)))</f>
        <v>12960</v>
      </c>
      <c r="J6" s="1">
        <f ca="1">$I6/3*控制台!H$102</f>
        <v>4320</v>
      </c>
      <c r="K6" s="1">
        <f ca="1">$I6/3*控制台!I$102</f>
        <v>3240</v>
      </c>
      <c r="L6" s="1">
        <f ca="1">$I6/3*控制台!J$102</f>
        <v>5400</v>
      </c>
      <c r="M6" s="1">
        <f ca="1">_xlfn.FLOOR.MATH(J6,POWER(10,MAX(2,INT(LOG10(J6)-2))))</f>
        <v>4300</v>
      </c>
      <c r="N6" s="1">
        <f ca="1">_xlfn.FLOOR.MATH(K6,POWER(10,MAX(2,INT(LOG10(K6)-2))))</f>
        <v>3200</v>
      </c>
      <c r="O6" s="1">
        <f ca="1">_xlfn.FLOOR.MATH(L6,POWER(10,MAX(2,INT(LOG10(L6)-2))))</f>
        <v>5400</v>
      </c>
      <c r="P6" s="4" t="str">
        <f ca="1">CONCATENATE(M6,";",N6,";",O6)</f>
        <v>4300;3200;5400</v>
      </c>
      <c r="Q6" s="15">
        <f ca="1">IF(C6=1,OFFSET(控制台!$H$599,MATCH(F6,控制台!$B$599:$B$615,0)-1,0),OFFSET(控制台!$H$618,MATCH(F6,控制台!$B$618:$B$636,0)-1,0))</f>
        <v>24.8832</v>
      </c>
      <c r="R6" s="15">
        <f ca="1">IF(E6=1,Q6/G6,IF(E6=5,Q6/G6*OFFSET(控制台!$D$641,MATCH(B6,控制台!$B$641:$B$645,0)-1,0),Q6/G6*OFFSET(控制台!$H$641,MATCH(B6,控制台!$F$641:$F$650,0)-1,0)))</f>
        <v>24.8832</v>
      </c>
      <c r="S6" s="16">
        <f ca="1">_xlfn.FLOOR.MATH(R6)*60</f>
        <v>1440</v>
      </c>
      <c r="T6" s="16">
        <f ca="1">8000+IF(C6=1,OFFSET(控制台!$K$599,MATCH(F6,控制台!$B$599:$B$615,0)-1,0),OFFSET(控制台!$K$618,MATCH(F6,控制台!$B$618:$B$636,0)-1,0))</f>
        <v>8001</v>
      </c>
      <c r="U6" s="1">
        <f ca="1">IF(C6=1,OFFSET(控制台!$F$599,MATCH(F6,控制台!$B$599:$B$615,0)-1,0),OFFSET(控制台!$F$618,MATCH(F6,控制台!$B$618:$B$636,0)-1,0))</f>
        <v>24.8832</v>
      </c>
      <c r="V6" s="1">
        <f ca="1">IF(E6=1,U6/G6,IF(E6=5,U6/G6*OFFSET(控制台!$D$641,MATCH(B6,控制台!$B$641:$B$645,0)-1,0),U6/G6*OFFSET(控制台!$H$641,MATCH(B6,控制台!$F$641:$F$650,0)-1,0)))</f>
        <v>24.8832</v>
      </c>
      <c r="W6" s="20">
        <f ca="1">V6/60/24</f>
        <v>0.01728</v>
      </c>
      <c r="X6" s="15">
        <f ca="1">IF(C6=1,OFFSET(控制台!$U$599,MATCH(F6,控制台!$B$599:$B$615,0)-1,0),OFFSET(控制台!$U$618,MATCH(F6,控制台!$B$618:$B$636,0)-1,0))</f>
        <v>70.2</v>
      </c>
      <c r="Y6" s="16">
        <f ca="1">_xlfn.FLOOR.MATH(IF(E6=1,X6/G6,IF(E6=5,X6/G6*OFFSET(控制台!$D$641,MATCH(B6,控制台!$B$641:$B$645,0)-1,0),X6/G6*OFFSET(控制台!$H$641,MATCH(B6,控制台!$F$641:$F$650,0)-1,0))))</f>
        <v>70</v>
      </c>
      <c r="Z6" s="16">
        <f ca="1">IF(B6=1,Y6,Z5+Y6)</f>
        <v>70</v>
      </c>
    </row>
    <row r="7" spans="1:26">
      <c r="A7" s="1">
        <v>10201</v>
      </c>
      <c r="B7" s="1">
        <v>1</v>
      </c>
      <c r="C7" s="1">
        <v>1</v>
      </c>
      <c r="D7" s="1" t="s">
        <v>2776</v>
      </c>
      <c r="E7" s="1">
        <f ca="1">IF(C7=1,OFFSET(控制台!$F$552,MATCH(A7,控制台!$B$552:$B$580,0)-1,0),OFFSET(控制台!$L$552,MATCH(A7,控制台!$H$552:$H$594,0)-1,0))</f>
        <v>5</v>
      </c>
      <c r="F7" s="1">
        <f ca="1">IF(C7=1,OFFSET(控制台!$D$552,MATCH(A7,控制台!$B$552:$B$580,0)-1,0),OFFSET(控制台!$J$552,MATCH(A7,控制台!$H$552:$H$594,0)-1,0))</f>
        <v>2</v>
      </c>
      <c r="G7" s="1">
        <f ca="1">IF(C7=1,OFFSET(控制台!$I$599,MATCH(F7,控制台!$B$599:$B$615,0)-1,0),OFFSET(控制台!$I$618,MATCH(F7,控制台!$B$618:$B$636,0)-1,0))</f>
        <v>2</v>
      </c>
      <c r="H7" s="1">
        <f ca="1">IF(C7=1,OFFSET(控制台!$D$599,MATCH(F7,控制台!$B$599:$B$615,0)-1,0),OFFSET(控制台!$D$618,MATCH(F7,控制台!$B$618:$B$636,0)-1,0))</f>
        <v>203040</v>
      </c>
      <c r="I7" s="1">
        <f ca="1">IF(E7=1,H7/G7,IF(E7=5,H7/G7*OFFSET(控制台!$D$641,MATCH(B7,控制台!$B$641:$B$645,0)-1,0),H7/G7*OFFSET(控制台!$H$641,MATCH(B7,控制台!$F$641:$F$650,0)-1,0)))</f>
        <v>4834.28571428571</v>
      </c>
      <c r="J7" s="1">
        <f ca="1">$I7/3*控制台!H$102</f>
        <v>1611.42857142857</v>
      </c>
      <c r="K7" s="1">
        <f ca="1">$I7/3*控制台!I$102</f>
        <v>1208.57142857143</v>
      </c>
      <c r="L7" s="1">
        <f ca="1">$I7/3*控制台!J$102</f>
        <v>2014.28571428571</v>
      </c>
      <c r="M7" s="1">
        <f ca="1">_xlfn.FLOOR.MATH(J7,POWER(10,MAX(2,INT(LOG10(J7)-2))))</f>
        <v>1600</v>
      </c>
      <c r="N7" s="1">
        <f ca="1">_xlfn.FLOOR.MATH(K7,POWER(10,MAX(2,INT(LOG10(K7)-2))))</f>
        <v>1200</v>
      </c>
      <c r="O7" s="1">
        <f ca="1">_xlfn.FLOOR.MATH(L7,POWER(10,MAX(2,INT(LOG10(L7)-2))))</f>
        <v>2000</v>
      </c>
      <c r="P7" s="4" t="str">
        <f ca="1" t="shared" ref="P7:P70" si="0">CONCATENATE(M7,";",N7,";",O7)</f>
        <v>1600;1200;2000</v>
      </c>
      <c r="Q7" s="15">
        <f ca="1">IF(C7=1,OFFSET(控制台!$H$599,MATCH(F7,控制台!$B$599:$B$615,0)-1,0),OFFSET(控制台!$H$618,MATCH(F7,控制台!$B$618:$B$636,0)-1,0))</f>
        <v>479.250432</v>
      </c>
      <c r="R7" s="15">
        <f ca="1">IF(E7=1,Q7/G7,IF(E7=5,Q7/G7*OFFSET(控制台!$D$641,MATCH(B7,控制台!$B$641:$B$645,0)-1,0),Q7/G7*OFFSET(控制台!$H$641,MATCH(B7,控制台!$F$641:$F$650,0)-1,0)))</f>
        <v>11.4107245714286</v>
      </c>
      <c r="S7" s="16">
        <f ca="1">_xlfn.FLOOR.MATH(R7)*60</f>
        <v>660</v>
      </c>
      <c r="T7" s="16">
        <f ca="1">8000+IF(C7=1,OFFSET(控制台!$K$599,MATCH(F7,控制台!$B$599:$B$615,0)-1,0),OFFSET(控制台!$K$618,MATCH(F7,控制台!$B$618:$B$636,0)-1,0))</f>
        <v>8001</v>
      </c>
      <c r="U7" s="1">
        <f ca="1">IF(C7=1,OFFSET(控制台!$F$599,MATCH(F7,控制台!$B$599:$B$615,0)-1,0),OFFSET(控制台!$F$618,MATCH(F7,控制台!$B$618:$B$636,0)-1,0))</f>
        <v>447.8976</v>
      </c>
      <c r="V7" s="1">
        <f ca="1">IF(E7=1,U7/G7,IF(E7=5,U7/G7*OFFSET(控制台!$D$641,MATCH(B7,控制台!$B$641:$B$645,0)-1,0),U7/G7*OFFSET(控制台!$H$641,MATCH(B7,控制台!$F$641:$F$650,0)-1,0)))</f>
        <v>10.6642285714286</v>
      </c>
      <c r="W7" s="20">
        <f ca="1" t="shared" ref="W7:W70" si="1">V7/60/24</f>
        <v>0.00740571428571428</v>
      </c>
      <c r="X7" s="15">
        <f ca="1">IF(C7=1,OFFSET(控制台!$U$599,MATCH(F7,控制台!$B$599:$B$615,0)-1,0),OFFSET(控制台!$U$618,MATCH(F7,控制台!$B$618:$B$636,0)-1,0))</f>
        <v>1257.3</v>
      </c>
      <c r="Y7" s="16">
        <f ca="1">_xlfn.FLOOR.MATH(IF(E7=1,X7/G7,IF(E7=5,X7/G7*OFFSET(控制台!$D$641,MATCH(B7,控制台!$B$641:$B$645,0)-1,0),X7/G7*OFFSET(控制台!$H$641,MATCH(B7,控制台!$F$641:$F$650,0)-1,0))))</f>
        <v>29</v>
      </c>
      <c r="Z7" s="16">
        <f ca="1" t="shared" ref="Z7:Z70" si="2">IF(B7=1,Y7,Z6+Y7)</f>
        <v>29</v>
      </c>
    </row>
    <row r="8" spans="1:26">
      <c r="A8" s="1">
        <v>10201</v>
      </c>
      <c r="B8" s="1">
        <v>2</v>
      </c>
      <c r="C8" s="1">
        <v>1</v>
      </c>
      <c r="D8" s="1" t="s">
        <v>2776</v>
      </c>
      <c r="E8" s="1">
        <f ca="1">IF(C8=1,OFFSET(控制台!$F$552,MATCH(A8,控制台!$B$552:$B$580,0)-1,0),OFFSET(控制台!$L$552,MATCH(A8,控制台!$H$552:$H$594,0)-1,0))</f>
        <v>5</v>
      </c>
      <c r="F8" s="1">
        <f ca="1">IF(C8=1,OFFSET(控制台!$D$552,MATCH(A8,控制台!$B$552:$B$580,0)-1,0),OFFSET(控制台!$J$552,MATCH(A8,控制台!$H$552:$H$594,0)-1,0))</f>
        <v>2</v>
      </c>
      <c r="G8" s="1">
        <f ca="1">IF(C8=1,OFFSET(控制台!$I$599,MATCH(F8,控制台!$B$599:$B$615,0)-1,0),OFFSET(控制台!$I$618,MATCH(F8,控制台!$B$618:$B$636,0)-1,0))</f>
        <v>2</v>
      </c>
      <c r="H8" s="1">
        <f ca="1">IF(C8=1,OFFSET(控制台!$D$599,MATCH(F8,控制台!$B$599:$B$615,0)-1,0),OFFSET(控制台!$D$618,MATCH(F8,控制台!$B$618:$B$636,0)-1,0))</f>
        <v>203040</v>
      </c>
      <c r="I8" s="1">
        <f ca="1">IF(E8=1,H8/G8,IF(E8=5,H8/G8*OFFSET(控制台!$D$641,MATCH(B8,控制台!$B$641:$B$645,0)-1,0),H8/G8*OFFSET(控制台!$H$641,MATCH(B8,控制台!$F$641:$F$650,0)-1,0)))</f>
        <v>9668.57142857143</v>
      </c>
      <c r="J8" s="1">
        <f ca="1">$I8/3*控制台!H$102</f>
        <v>3222.85714285714</v>
      </c>
      <c r="K8" s="1">
        <f ca="1">$I8/3*控制台!I$102</f>
        <v>2417.14285714286</v>
      </c>
      <c r="L8" s="1">
        <f ca="1">$I8/3*控制台!J$102</f>
        <v>4028.57142857143</v>
      </c>
      <c r="M8" s="1">
        <f ca="1">_xlfn.FLOOR.MATH(J8,POWER(10,MAX(2,INT(LOG10(J8)-2))))</f>
        <v>3200</v>
      </c>
      <c r="N8" s="1">
        <f ca="1">_xlfn.FLOOR.MATH(K8,POWER(10,MAX(2,INT(LOG10(K8)-2))))</f>
        <v>2400</v>
      </c>
      <c r="O8" s="1">
        <f ca="1">_xlfn.FLOOR.MATH(L8,POWER(10,MAX(2,INT(LOG10(L8)-2))))</f>
        <v>4000</v>
      </c>
      <c r="P8" s="4" t="str">
        <f ca="1" t="shared" si="0"/>
        <v>3200;2400;4000</v>
      </c>
      <c r="Q8" s="15">
        <f ca="1">IF(C8=1,OFFSET(控制台!$H$599,MATCH(F8,控制台!$B$599:$B$615,0)-1,0),OFFSET(控制台!$H$618,MATCH(F8,控制台!$B$618:$B$636,0)-1,0))</f>
        <v>479.250432</v>
      </c>
      <c r="R8" s="15">
        <f ca="1">IF(E8=1,Q8/G8,IF(E8=5,Q8/G8*OFFSET(控制台!$D$641,MATCH(B8,控制台!$B$641:$B$645,0)-1,0),Q8/G8*OFFSET(控制台!$H$641,MATCH(B8,控制台!$F$641:$F$650,0)-1,0)))</f>
        <v>22.8214491428571</v>
      </c>
      <c r="S8" s="16">
        <f ca="1">_xlfn.FLOOR.MATH(R8)*60</f>
        <v>1320</v>
      </c>
      <c r="T8" s="16">
        <f ca="1">8000+IF(C8=1,OFFSET(控制台!$K$599,MATCH(F8,控制台!$B$599:$B$615,0)-1,0),OFFSET(控制台!$K$618,MATCH(F8,控制台!$B$618:$B$636,0)-1,0))</f>
        <v>8001</v>
      </c>
      <c r="U8" s="1">
        <f ca="1">IF(C8=1,OFFSET(控制台!$F$599,MATCH(F8,控制台!$B$599:$B$615,0)-1,0),OFFSET(控制台!$F$618,MATCH(F8,控制台!$B$618:$B$636,0)-1,0))</f>
        <v>447.8976</v>
      </c>
      <c r="V8" s="1">
        <f ca="1">IF(E8=1,U8/G8,IF(E8=5,U8/G8*OFFSET(控制台!$D$641,MATCH(B8,控制台!$B$641:$B$645,0)-1,0),U8/G8*OFFSET(控制台!$H$641,MATCH(B8,控制台!$F$641:$F$650,0)-1,0)))</f>
        <v>21.3284571428571</v>
      </c>
      <c r="W8" s="20">
        <f ca="1" t="shared" si="1"/>
        <v>0.0148114285714286</v>
      </c>
      <c r="X8" s="15">
        <f ca="1">IF(C8=1,OFFSET(控制台!$U$599,MATCH(F8,控制台!$B$599:$B$615,0)-1,0),OFFSET(控制台!$U$618,MATCH(F8,控制台!$B$618:$B$636,0)-1,0))</f>
        <v>1257.3</v>
      </c>
      <c r="Y8" s="16">
        <f ca="1">_xlfn.FLOOR.MATH(IF(E8=1,X8/G8,IF(E8=5,X8/G8*OFFSET(控制台!$D$641,MATCH(B8,控制台!$B$641:$B$645,0)-1,0),X8/G8*OFFSET(控制台!$H$641,MATCH(B8,控制台!$F$641:$F$650,0)-1,0))))</f>
        <v>59</v>
      </c>
      <c r="Z8" s="16">
        <f ca="1" t="shared" si="2"/>
        <v>88</v>
      </c>
    </row>
    <row r="9" spans="1:26">
      <c r="A9" s="1">
        <v>10201</v>
      </c>
      <c r="B9" s="1">
        <v>3</v>
      </c>
      <c r="C9" s="1">
        <v>1</v>
      </c>
      <c r="D9" s="1" t="s">
        <v>2776</v>
      </c>
      <c r="E9" s="1">
        <f ca="1">IF(C9=1,OFFSET(控制台!$F$552,MATCH(A9,控制台!$B$552:$B$580,0)-1,0),OFFSET(控制台!$L$552,MATCH(A9,控制台!$H$552:$H$594,0)-1,0))</f>
        <v>5</v>
      </c>
      <c r="F9" s="1">
        <f ca="1">IF(C9=1,OFFSET(控制台!$D$552,MATCH(A9,控制台!$B$552:$B$580,0)-1,0),OFFSET(控制台!$J$552,MATCH(A9,控制台!$H$552:$H$594,0)-1,0))</f>
        <v>2</v>
      </c>
      <c r="G9" s="1">
        <f ca="1">IF(C9=1,OFFSET(控制台!$I$599,MATCH(F9,控制台!$B$599:$B$615,0)-1,0),OFFSET(控制台!$I$618,MATCH(F9,控制台!$B$618:$B$636,0)-1,0))</f>
        <v>2</v>
      </c>
      <c r="H9" s="1">
        <f ca="1">IF(C9=1,OFFSET(控制台!$D$599,MATCH(F9,控制台!$B$599:$B$615,0)-1,0),OFFSET(控制台!$D$618,MATCH(F9,控制台!$B$618:$B$636,0)-1,0))</f>
        <v>203040</v>
      </c>
      <c r="I9" s="1">
        <f ca="1">IF(E9=1,H9/G9,IF(E9=5,H9/G9*OFFSET(控制台!$D$641,MATCH(B9,控制台!$B$641:$B$645,0)-1,0),H9/G9*OFFSET(控制台!$H$641,MATCH(B9,控制台!$F$641:$F$650,0)-1,0)))</f>
        <v>14502.8571428572</v>
      </c>
      <c r="J9" s="1">
        <f ca="1">$I9/3*控制台!H$102</f>
        <v>4834.28571428572</v>
      </c>
      <c r="K9" s="1">
        <f ca="1">$I9/3*控制台!I$102</f>
        <v>3625.71428571429</v>
      </c>
      <c r="L9" s="1">
        <f ca="1">$I9/3*控制台!J$102</f>
        <v>6042.85714285715</v>
      </c>
      <c r="M9" s="1">
        <f ca="1">_xlfn.FLOOR.MATH(J9,POWER(10,MAX(2,INT(LOG10(J9)-2))))</f>
        <v>4800</v>
      </c>
      <c r="N9" s="1">
        <f ca="1">_xlfn.FLOOR.MATH(K9,POWER(10,MAX(2,INT(LOG10(K9)-2))))</f>
        <v>3600</v>
      </c>
      <c r="O9" s="1">
        <f ca="1">_xlfn.FLOOR.MATH(L9,POWER(10,MAX(2,INT(LOG10(L9)-2))))</f>
        <v>6000</v>
      </c>
      <c r="P9" s="4" t="str">
        <f ca="1" t="shared" si="0"/>
        <v>4800;3600;6000</v>
      </c>
      <c r="Q9" s="15">
        <f ca="1">IF(C9=1,OFFSET(控制台!$H$599,MATCH(F9,控制台!$B$599:$B$615,0)-1,0),OFFSET(控制台!$H$618,MATCH(F9,控制台!$B$618:$B$636,0)-1,0))</f>
        <v>479.250432</v>
      </c>
      <c r="R9" s="15">
        <f ca="1">IF(E9=1,Q9/G9,IF(E9=5,Q9/G9*OFFSET(控制台!$D$641,MATCH(B9,控制台!$B$641:$B$645,0)-1,0),Q9/G9*OFFSET(控制台!$H$641,MATCH(B9,控制台!$F$641:$F$650,0)-1,0)))</f>
        <v>34.2321737142857</v>
      </c>
      <c r="S9" s="16">
        <f ca="1">_xlfn.FLOOR.MATH(R9)*60</f>
        <v>2040</v>
      </c>
      <c r="T9" s="16">
        <f ca="1">8000+IF(C9=1,OFFSET(控制台!$K$599,MATCH(F9,控制台!$B$599:$B$615,0)-1,0),OFFSET(控制台!$K$618,MATCH(F9,控制台!$B$618:$B$636,0)-1,0))</f>
        <v>8001</v>
      </c>
      <c r="U9" s="1">
        <f ca="1">IF(C9=1,OFFSET(控制台!$F$599,MATCH(F9,控制台!$B$599:$B$615,0)-1,0),OFFSET(控制台!$F$618,MATCH(F9,控制台!$B$618:$B$636,0)-1,0))</f>
        <v>447.8976</v>
      </c>
      <c r="V9" s="1">
        <f ca="1">IF(E9=1,U9/G9,IF(E9=5,U9/G9*OFFSET(控制台!$D$641,MATCH(B9,控制台!$B$641:$B$645,0)-1,0),U9/G9*OFFSET(控制台!$H$641,MATCH(B9,控制台!$F$641:$F$650,0)-1,0)))</f>
        <v>31.9926857142857</v>
      </c>
      <c r="W9" s="20">
        <f ca="1" t="shared" si="1"/>
        <v>0.0222171428571429</v>
      </c>
      <c r="X9" s="15">
        <f ca="1">IF(C9=1,OFFSET(控制台!$U$599,MATCH(F9,控制台!$B$599:$B$615,0)-1,0),OFFSET(控制台!$U$618,MATCH(F9,控制台!$B$618:$B$636,0)-1,0))</f>
        <v>1257.3</v>
      </c>
      <c r="Y9" s="16">
        <f ca="1">_xlfn.FLOOR.MATH(IF(E9=1,X9/G9,IF(E9=5,X9/G9*OFFSET(控制台!$D$641,MATCH(B9,控制台!$B$641:$B$645,0)-1,0),X9/G9*OFFSET(控制台!$H$641,MATCH(B9,控制台!$F$641:$F$650,0)-1,0))))</f>
        <v>89</v>
      </c>
      <c r="Z9" s="16">
        <f ca="1" t="shared" si="2"/>
        <v>177</v>
      </c>
    </row>
    <row r="10" spans="1:26">
      <c r="A10" s="1">
        <v>10201</v>
      </c>
      <c r="B10" s="1">
        <v>4</v>
      </c>
      <c r="C10" s="1">
        <v>1</v>
      </c>
      <c r="D10" s="1" t="s">
        <v>2776</v>
      </c>
      <c r="E10" s="1">
        <f ca="1">IF(C10=1,OFFSET(控制台!$F$552,MATCH(A10,控制台!$B$552:$B$580,0)-1,0),OFFSET(控制台!$L$552,MATCH(A10,控制台!$H$552:$H$594,0)-1,0))</f>
        <v>5</v>
      </c>
      <c r="F10" s="1">
        <f ca="1">IF(C10=1,OFFSET(控制台!$D$552,MATCH(A10,控制台!$B$552:$B$580,0)-1,0),OFFSET(控制台!$J$552,MATCH(A10,控制台!$H$552:$H$594,0)-1,0))</f>
        <v>2</v>
      </c>
      <c r="G10" s="1">
        <f ca="1">IF(C10=1,OFFSET(控制台!$I$599,MATCH(F10,控制台!$B$599:$B$615,0)-1,0),OFFSET(控制台!$I$618,MATCH(F10,控制台!$B$618:$B$636,0)-1,0))</f>
        <v>2</v>
      </c>
      <c r="H10" s="1">
        <f ca="1">IF(C10=1,OFFSET(控制台!$D$599,MATCH(F10,控制台!$B$599:$B$615,0)-1,0),OFFSET(控制台!$D$618,MATCH(F10,控制台!$B$618:$B$636,0)-1,0))</f>
        <v>203040</v>
      </c>
      <c r="I10" s="1">
        <f ca="1">IF(E10=1,H10/G10,IF(E10=5,H10/G10*OFFSET(控制台!$D$641,MATCH(B10,控制台!$B$641:$B$645,0)-1,0),H10/G10*OFFSET(控制台!$H$641,MATCH(B10,控制台!$F$641:$F$650,0)-1,0)))</f>
        <v>24171.4285714286</v>
      </c>
      <c r="J10" s="1">
        <f ca="1">$I10/3*控制台!H$102</f>
        <v>8057.14285714285</v>
      </c>
      <c r="K10" s="1">
        <f ca="1">$I10/3*控制台!I$102</f>
        <v>6042.85714285714</v>
      </c>
      <c r="L10" s="1">
        <f ca="1">$I10/3*控制台!J$102</f>
        <v>10071.4285714286</v>
      </c>
      <c r="M10" s="1">
        <f ca="1">_xlfn.FLOOR.MATH(J10,POWER(10,MAX(2,INT(LOG10(J10)-2))))</f>
        <v>8000</v>
      </c>
      <c r="N10" s="1">
        <f ca="1">_xlfn.FLOOR.MATH(K10,POWER(10,MAX(2,INT(LOG10(K10)-2))))</f>
        <v>6000</v>
      </c>
      <c r="O10" s="1">
        <f ca="1">_xlfn.FLOOR.MATH(L10,POWER(10,MAX(2,INT(LOG10(L10)-2))))</f>
        <v>10000</v>
      </c>
      <c r="P10" s="4" t="str">
        <f ca="1" t="shared" si="0"/>
        <v>8000;6000;10000</v>
      </c>
      <c r="Q10" s="15">
        <f ca="1">IF(C10=1,OFFSET(控制台!$H$599,MATCH(F10,控制台!$B$599:$B$615,0)-1,0),OFFSET(控制台!$H$618,MATCH(F10,控制台!$B$618:$B$636,0)-1,0))</f>
        <v>479.250432</v>
      </c>
      <c r="R10" s="15">
        <f ca="1">IF(E10=1,Q10/G10,IF(E10=5,Q10/G10*OFFSET(控制台!$D$641,MATCH(B10,控制台!$B$641:$B$645,0)-1,0),Q10/G10*OFFSET(控制台!$H$641,MATCH(B10,控制台!$F$641:$F$650,0)-1,0)))</f>
        <v>57.0536228571428</v>
      </c>
      <c r="S10" s="16">
        <f ca="1">_xlfn.FLOOR.MATH(R10)*60</f>
        <v>3420</v>
      </c>
      <c r="T10" s="16">
        <f ca="1">8000+IF(C10=1,OFFSET(控制台!$K$599,MATCH(F10,控制台!$B$599:$B$615,0)-1,0),OFFSET(控制台!$K$618,MATCH(F10,控制台!$B$618:$B$636,0)-1,0))</f>
        <v>8001</v>
      </c>
      <c r="U10" s="1">
        <f ca="1">IF(C10=1,OFFSET(控制台!$F$599,MATCH(F10,控制台!$B$599:$B$615,0)-1,0),OFFSET(控制台!$F$618,MATCH(F10,控制台!$B$618:$B$636,0)-1,0))</f>
        <v>447.8976</v>
      </c>
      <c r="V10" s="1">
        <f ca="1">IF(E10=1,U10/G10,IF(E10=5,U10/G10*OFFSET(控制台!$D$641,MATCH(B10,控制台!$B$641:$B$645,0)-1,0),U10/G10*OFFSET(控制台!$H$641,MATCH(B10,控制台!$F$641:$F$650,0)-1,0)))</f>
        <v>53.3211428571428</v>
      </c>
      <c r="W10" s="20">
        <f ca="1" t="shared" si="1"/>
        <v>0.0370285714285714</v>
      </c>
      <c r="X10" s="15">
        <f ca="1">IF(C10=1,OFFSET(控制台!$U$599,MATCH(F10,控制台!$B$599:$B$615,0)-1,0),OFFSET(控制台!$U$618,MATCH(F10,控制台!$B$618:$B$636,0)-1,0))</f>
        <v>1257.3</v>
      </c>
      <c r="Y10" s="16">
        <f ca="1">_xlfn.FLOOR.MATH(IF(E10=1,X10/G10,IF(E10=5,X10/G10*OFFSET(控制台!$D$641,MATCH(B10,控制台!$B$641:$B$645,0)-1,0),X10/G10*OFFSET(控制台!$H$641,MATCH(B10,控制台!$F$641:$F$650,0)-1,0))))</f>
        <v>149</v>
      </c>
      <c r="Z10" s="16">
        <f ca="1" t="shared" si="2"/>
        <v>326</v>
      </c>
    </row>
    <row r="11" spans="1:26">
      <c r="A11" s="1">
        <v>10201</v>
      </c>
      <c r="B11" s="1">
        <v>5</v>
      </c>
      <c r="C11" s="1">
        <v>1</v>
      </c>
      <c r="D11" s="1" t="s">
        <v>2776</v>
      </c>
      <c r="E11" s="1">
        <f ca="1">IF(C11=1,OFFSET(控制台!$F$552,MATCH(A11,控制台!$B$552:$B$580,0)-1,0),OFFSET(控制台!$L$552,MATCH(A11,控制台!$H$552:$H$594,0)-1,0))</f>
        <v>5</v>
      </c>
      <c r="F11" s="1">
        <f ca="1">IF(C11=1,OFFSET(控制台!$D$552,MATCH(A11,控制台!$B$552:$B$580,0)-1,0),OFFSET(控制台!$J$552,MATCH(A11,控制台!$H$552:$H$594,0)-1,0))</f>
        <v>2</v>
      </c>
      <c r="G11" s="1">
        <f ca="1">IF(C11=1,OFFSET(控制台!$I$599,MATCH(F11,控制台!$B$599:$B$615,0)-1,0),OFFSET(控制台!$I$618,MATCH(F11,控制台!$B$618:$B$636,0)-1,0))</f>
        <v>2</v>
      </c>
      <c r="H11" s="1">
        <f ca="1">IF(C11=1,OFFSET(控制台!$D$599,MATCH(F11,控制台!$B$599:$B$615,0)-1,0),OFFSET(控制台!$D$618,MATCH(F11,控制台!$B$618:$B$636,0)-1,0))</f>
        <v>203040</v>
      </c>
      <c r="I11" s="1">
        <f ca="1">IF(E11=1,H11/G11,IF(E11=5,H11/G11*OFFSET(控制台!$D$641,MATCH(B11,控制台!$B$641:$B$645,0)-1,0),H11/G11*OFFSET(控制台!$H$641,MATCH(B11,控制台!$F$641:$F$650,0)-1,0)))</f>
        <v>48342.8571428571</v>
      </c>
      <c r="J11" s="1">
        <f ca="1">$I11/3*控制台!H$102</f>
        <v>16114.2857142857</v>
      </c>
      <c r="K11" s="1">
        <f ca="1">$I11/3*控制台!I$102</f>
        <v>12085.7142857143</v>
      </c>
      <c r="L11" s="1">
        <f ca="1">$I11/3*控制台!J$102</f>
        <v>20142.8571428571</v>
      </c>
      <c r="M11" s="1">
        <f ca="1">_xlfn.FLOOR.MATH(J11,POWER(10,MAX(2,INT(LOG10(J11)-2))))</f>
        <v>16100</v>
      </c>
      <c r="N11" s="1">
        <f ca="1">_xlfn.FLOOR.MATH(K11,POWER(10,MAX(2,INT(LOG10(K11)-2))))</f>
        <v>12000</v>
      </c>
      <c r="O11" s="1">
        <f ca="1">_xlfn.FLOOR.MATH(L11,POWER(10,MAX(2,INT(LOG10(L11)-2))))</f>
        <v>20100</v>
      </c>
      <c r="P11" s="4" t="str">
        <f ca="1" t="shared" si="0"/>
        <v>16100;12000;20100</v>
      </c>
      <c r="Q11" s="15">
        <f ca="1">IF(C11=1,OFFSET(控制台!$H$599,MATCH(F11,控制台!$B$599:$B$615,0)-1,0),OFFSET(控制台!$H$618,MATCH(F11,控制台!$B$618:$B$636,0)-1,0))</f>
        <v>479.250432</v>
      </c>
      <c r="R11" s="15">
        <f ca="1">IF(E11=1,Q11/G11,IF(E11=5,Q11/G11*OFFSET(控制台!$D$641,MATCH(B11,控制台!$B$641:$B$645,0)-1,0),Q11/G11*OFFSET(控制台!$H$641,MATCH(B11,控制台!$F$641:$F$650,0)-1,0)))</f>
        <v>114.107245714286</v>
      </c>
      <c r="S11" s="16">
        <f ca="1">_xlfn.FLOOR.MATH(R11)*60</f>
        <v>6840</v>
      </c>
      <c r="T11" s="16">
        <f ca="1">8000+IF(C11=1,OFFSET(控制台!$K$599,MATCH(F11,控制台!$B$599:$B$615,0)-1,0),OFFSET(控制台!$K$618,MATCH(F11,控制台!$B$618:$B$636,0)-1,0))</f>
        <v>8001</v>
      </c>
      <c r="U11" s="1">
        <f ca="1">IF(C11=1,OFFSET(控制台!$F$599,MATCH(F11,控制台!$B$599:$B$615,0)-1,0),OFFSET(控制台!$F$618,MATCH(F11,控制台!$B$618:$B$636,0)-1,0))</f>
        <v>447.8976</v>
      </c>
      <c r="V11" s="1">
        <f ca="1">IF(E11=1,U11/G11,IF(E11=5,U11/G11*OFFSET(控制台!$D$641,MATCH(B11,控制台!$B$641:$B$645,0)-1,0),U11/G11*OFFSET(控制台!$H$641,MATCH(B11,控制台!$F$641:$F$650,0)-1,0)))</f>
        <v>106.642285714286</v>
      </c>
      <c r="W11" s="20">
        <f ca="1" t="shared" si="1"/>
        <v>0.0740571428571428</v>
      </c>
      <c r="X11" s="15">
        <f ca="1">IF(C11=1,OFFSET(控制台!$U$599,MATCH(F11,控制台!$B$599:$B$615,0)-1,0),OFFSET(控制台!$U$618,MATCH(F11,控制台!$B$618:$B$636,0)-1,0))</f>
        <v>1257.3</v>
      </c>
      <c r="Y11" s="16">
        <f ca="1">_xlfn.FLOOR.MATH(IF(E11=1,X11/G11,IF(E11=5,X11/G11*OFFSET(控制台!$D$641,MATCH(B11,控制台!$B$641:$B$645,0)-1,0),X11/G11*OFFSET(控制台!$H$641,MATCH(B11,控制台!$F$641:$F$650,0)-1,0))))</f>
        <v>299</v>
      </c>
      <c r="Z11" s="16">
        <f ca="1" t="shared" si="2"/>
        <v>625</v>
      </c>
    </row>
    <row r="12" spans="1:26">
      <c r="A12" s="1">
        <v>10203</v>
      </c>
      <c r="B12" s="1">
        <v>1</v>
      </c>
      <c r="C12" s="1">
        <v>1</v>
      </c>
      <c r="D12" s="1" t="s">
        <v>2777</v>
      </c>
      <c r="E12" s="1">
        <f ca="1">IF(C12=1,OFFSET(控制台!$F$552,MATCH(A12,控制台!$B$552:$B$580,0)-1,0),OFFSET(控制台!$L$552,MATCH(A12,控制台!$H$552:$H$594,0)-1,0))</f>
        <v>5</v>
      </c>
      <c r="F12" s="1">
        <f ca="1">IF(C12=1,OFFSET(控制台!$D$552,MATCH(A12,控制台!$B$552:$B$580,0)-1,0),OFFSET(控制台!$J$552,MATCH(A12,控制台!$H$552:$H$594,0)-1,0))</f>
        <v>2</v>
      </c>
      <c r="G12" s="1">
        <f ca="1">IF(C12=1,OFFSET(控制台!$I$599,MATCH(F12,控制台!$B$599:$B$615,0)-1,0),OFFSET(控制台!$I$618,MATCH(F12,控制台!$B$618:$B$636,0)-1,0))</f>
        <v>2</v>
      </c>
      <c r="H12" s="1">
        <f ca="1">IF(C12=1,OFFSET(控制台!$D$599,MATCH(F12,控制台!$B$599:$B$615,0)-1,0),OFFSET(控制台!$D$618,MATCH(F12,控制台!$B$618:$B$636,0)-1,0))</f>
        <v>203040</v>
      </c>
      <c r="I12" s="1">
        <f ca="1">IF(E12=1,H12/G12,IF(E12=5,H12/G12*OFFSET(控制台!$D$641,MATCH(B12,控制台!$B$641:$B$645,0)-1,0),H12/G12*OFFSET(控制台!$H$641,MATCH(B12,控制台!$F$641:$F$650,0)-1,0)))</f>
        <v>4834.28571428571</v>
      </c>
      <c r="J12" s="1">
        <f ca="1">$I12/3*控制台!H$102</f>
        <v>1611.42857142857</v>
      </c>
      <c r="K12" s="1">
        <f ca="1">$I12/3*控制台!I$102</f>
        <v>1208.57142857143</v>
      </c>
      <c r="L12" s="1">
        <f ca="1">$I12/3*控制台!J$102</f>
        <v>2014.28571428571</v>
      </c>
      <c r="M12" s="1">
        <f ca="1">_xlfn.FLOOR.MATH(J12,POWER(10,MAX(2,INT(LOG10(J12)-2))))</f>
        <v>1600</v>
      </c>
      <c r="N12" s="1">
        <f ca="1">_xlfn.FLOOR.MATH(K12,POWER(10,MAX(2,INT(LOG10(K12)-2))))</f>
        <v>1200</v>
      </c>
      <c r="O12" s="1">
        <f ca="1">_xlfn.FLOOR.MATH(L12,POWER(10,MAX(2,INT(LOG10(L12)-2))))</f>
        <v>2000</v>
      </c>
      <c r="P12" s="4" t="str">
        <f ca="1" t="shared" si="0"/>
        <v>1600;1200;2000</v>
      </c>
      <c r="Q12" s="15">
        <f ca="1">IF(C12=1,OFFSET(控制台!$H$599,MATCH(F12,控制台!$B$599:$B$615,0)-1,0),OFFSET(控制台!$H$618,MATCH(F12,控制台!$B$618:$B$636,0)-1,0))</f>
        <v>479.250432</v>
      </c>
      <c r="R12" s="15">
        <f ca="1">IF(E12=1,Q12/G12,IF(E12=5,Q12/G12*OFFSET(控制台!$D$641,MATCH(B12,控制台!$B$641:$B$645,0)-1,0),Q12/G12*OFFSET(控制台!$H$641,MATCH(B12,控制台!$F$641:$F$650,0)-1,0)))</f>
        <v>11.4107245714286</v>
      </c>
      <c r="S12" s="16">
        <f ca="1">_xlfn.FLOOR.MATH(R12)*60</f>
        <v>660</v>
      </c>
      <c r="T12" s="16">
        <f ca="1">8000+IF(C12=1,OFFSET(控制台!$K$599,MATCH(F12,控制台!$B$599:$B$615,0)-1,0),OFFSET(控制台!$K$618,MATCH(F12,控制台!$B$618:$B$636,0)-1,0))</f>
        <v>8001</v>
      </c>
      <c r="U12" s="1">
        <f ca="1">IF(C12=1,OFFSET(控制台!$F$599,MATCH(F12,控制台!$B$599:$B$615,0)-1,0),OFFSET(控制台!$F$618,MATCH(F12,控制台!$B$618:$B$636,0)-1,0))</f>
        <v>447.8976</v>
      </c>
      <c r="V12" s="1">
        <f ca="1">IF(E12=1,U12/G12,IF(E12=5,U12/G12*OFFSET(控制台!$D$641,MATCH(B12,控制台!$B$641:$B$645,0)-1,0),U12/G12*OFFSET(控制台!$H$641,MATCH(B12,控制台!$F$641:$F$650,0)-1,0)))</f>
        <v>10.6642285714286</v>
      </c>
      <c r="W12" s="20">
        <f ca="1" t="shared" si="1"/>
        <v>0.00740571428571428</v>
      </c>
      <c r="X12" s="15">
        <f ca="1">IF(C12=1,OFFSET(控制台!$U$599,MATCH(F12,控制台!$B$599:$B$615,0)-1,0),OFFSET(控制台!$U$618,MATCH(F12,控制台!$B$618:$B$636,0)-1,0))</f>
        <v>1257.3</v>
      </c>
      <c r="Y12" s="16">
        <f ca="1">_xlfn.FLOOR.MATH(IF(E12=1,X12/G12,IF(E12=5,X12/G12*OFFSET(控制台!$D$641,MATCH(B12,控制台!$B$641:$B$645,0)-1,0),X12/G12*OFFSET(控制台!$H$641,MATCH(B12,控制台!$F$641:$F$650,0)-1,0))))</f>
        <v>29</v>
      </c>
      <c r="Z12" s="16">
        <f ca="1" t="shared" si="2"/>
        <v>29</v>
      </c>
    </row>
    <row r="13" spans="1:26">
      <c r="A13" s="1">
        <v>10203</v>
      </c>
      <c r="B13" s="1">
        <v>2</v>
      </c>
      <c r="C13" s="1">
        <v>1</v>
      </c>
      <c r="D13" s="1" t="s">
        <v>2777</v>
      </c>
      <c r="E13" s="1">
        <f ca="1">IF(C13=1,OFFSET(控制台!$F$552,MATCH(A13,控制台!$B$552:$B$580,0)-1,0),OFFSET(控制台!$L$552,MATCH(A13,控制台!$H$552:$H$594,0)-1,0))</f>
        <v>5</v>
      </c>
      <c r="F13" s="1">
        <f ca="1">IF(C13=1,OFFSET(控制台!$D$552,MATCH(A13,控制台!$B$552:$B$580,0)-1,0),OFFSET(控制台!$J$552,MATCH(A13,控制台!$H$552:$H$594,0)-1,0))</f>
        <v>2</v>
      </c>
      <c r="G13" s="1">
        <f ca="1">IF(C13=1,OFFSET(控制台!$I$599,MATCH(F13,控制台!$B$599:$B$615,0)-1,0),OFFSET(控制台!$I$618,MATCH(F13,控制台!$B$618:$B$636,0)-1,0))</f>
        <v>2</v>
      </c>
      <c r="H13" s="1">
        <f ca="1">IF(C13=1,OFFSET(控制台!$D$599,MATCH(F13,控制台!$B$599:$B$615,0)-1,0),OFFSET(控制台!$D$618,MATCH(F13,控制台!$B$618:$B$636,0)-1,0))</f>
        <v>203040</v>
      </c>
      <c r="I13" s="1">
        <f ca="1">IF(E13=1,H13/G13,IF(E13=5,H13/G13*OFFSET(控制台!$D$641,MATCH(B13,控制台!$B$641:$B$645,0)-1,0),H13/G13*OFFSET(控制台!$H$641,MATCH(B13,控制台!$F$641:$F$650,0)-1,0)))</f>
        <v>9668.57142857143</v>
      </c>
      <c r="J13" s="1">
        <f ca="1">$I13/3*控制台!H$102</f>
        <v>3222.85714285714</v>
      </c>
      <c r="K13" s="1">
        <f ca="1">$I13/3*控制台!I$102</f>
        <v>2417.14285714286</v>
      </c>
      <c r="L13" s="1">
        <f ca="1">$I13/3*控制台!J$102</f>
        <v>4028.57142857143</v>
      </c>
      <c r="M13" s="1">
        <f ca="1">_xlfn.FLOOR.MATH(J13,POWER(10,MAX(2,INT(LOG10(J13)-2))))</f>
        <v>3200</v>
      </c>
      <c r="N13" s="1">
        <f ca="1">_xlfn.FLOOR.MATH(K13,POWER(10,MAX(2,INT(LOG10(K13)-2))))</f>
        <v>2400</v>
      </c>
      <c r="O13" s="1">
        <f ca="1">_xlfn.FLOOR.MATH(L13,POWER(10,MAX(2,INT(LOG10(L13)-2))))</f>
        <v>4000</v>
      </c>
      <c r="P13" s="4" t="str">
        <f ca="1" t="shared" si="0"/>
        <v>3200;2400;4000</v>
      </c>
      <c r="Q13" s="15">
        <f ca="1">IF(C13=1,OFFSET(控制台!$H$599,MATCH(F13,控制台!$B$599:$B$615,0)-1,0),OFFSET(控制台!$H$618,MATCH(F13,控制台!$B$618:$B$636,0)-1,0))</f>
        <v>479.250432</v>
      </c>
      <c r="R13" s="15">
        <f ca="1">IF(E13=1,Q13/G13,IF(E13=5,Q13/G13*OFFSET(控制台!$D$641,MATCH(B13,控制台!$B$641:$B$645,0)-1,0),Q13/G13*OFFSET(控制台!$H$641,MATCH(B13,控制台!$F$641:$F$650,0)-1,0)))</f>
        <v>22.8214491428571</v>
      </c>
      <c r="S13" s="16">
        <f ca="1">_xlfn.FLOOR.MATH(R13)*60</f>
        <v>1320</v>
      </c>
      <c r="T13" s="16">
        <f ca="1">8000+IF(C13=1,OFFSET(控制台!$K$599,MATCH(F13,控制台!$B$599:$B$615,0)-1,0),OFFSET(控制台!$K$618,MATCH(F13,控制台!$B$618:$B$636,0)-1,0))</f>
        <v>8001</v>
      </c>
      <c r="U13" s="1">
        <f ca="1">IF(C13=1,OFFSET(控制台!$F$599,MATCH(F13,控制台!$B$599:$B$615,0)-1,0),OFFSET(控制台!$F$618,MATCH(F13,控制台!$B$618:$B$636,0)-1,0))</f>
        <v>447.8976</v>
      </c>
      <c r="V13" s="1">
        <f ca="1">IF(E13=1,U13/G13,IF(E13=5,U13/G13*OFFSET(控制台!$D$641,MATCH(B13,控制台!$B$641:$B$645,0)-1,0),U13/G13*OFFSET(控制台!$H$641,MATCH(B13,控制台!$F$641:$F$650,0)-1,0)))</f>
        <v>21.3284571428571</v>
      </c>
      <c r="W13" s="20">
        <f ca="1" t="shared" si="1"/>
        <v>0.0148114285714286</v>
      </c>
      <c r="X13" s="15">
        <f ca="1">IF(C13=1,OFFSET(控制台!$U$599,MATCH(F13,控制台!$B$599:$B$615,0)-1,0),OFFSET(控制台!$U$618,MATCH(F13,控制台!$B$618:$B$636,0)-1,0))</f>
        <v>1257.3</v>
      </c>
      <c r="Y13" s="16">
        <f ca="1">_xlfn.FLOOR.MATH(IF(E13=1,X13/G13,IF(E13=5,X13/G13*OFFSET(控制台!$D$641,MATCH(B13,控制台!$B$641:$B$645,0)-1,0),X13/G13*OFFSET(控制台!$H$641,MATCH(B13,控制台!$F$641:$F$650,0)-1,0))))</f>
        <v>59</v>
      </c>
      <c r="Z13" s="16">
        <f ca="1" t="shared" si="2"/>
        <v>88</v>
      </c>
    </row>
    <row r="14" spans="1:26">
      <c r="A14" s="1">
        <v>10203</v>
      </c>
      <c r="B14" s="1">
        <v>3</v>
      </c>
      <c r="C14" s="1">
        <v>1</v>
      </c>
      <c r="D14" s="1" t="s">
        <v>2777</v>
      </c>
      <c r="E14" s="1">
        <f ca="1">IF(C14=1,OFFSET(控制台!$F$552,MATCH(A14,控制台!$B$552:$B$580,0)-1,0),OFFSET(控制台!$L$552,MATCH(A14,控制台!$H$552:$H$594,0)-1,0))</f>
        <v>5</v>
      </c>
      <c r="F14" s="1">
        <f ca="1">IF(C14=1,OFFSET(控制台!$D$552,MATCH(A14,控制台!$B$552:$B$580,0)-1,0),OFFSET(控制台!$J$552,MATCH(A14,控制台!$H$552:$H$594,0)-1,0))</f>
        <v>2</v>
      </c>
      <c r="G14" s="1">
        <f ca="1">IF(C14=1,OFFSET(控制台!$I$599,MATCH(F14,控制台!$B$599:$B$615,0)-1,0),OFFSET(控制台!$I$618,MATCH(F14,控制台!$B$618:$B$636,0)-1,0))</f>
        <v>2</v>
      </c>
      <c r="H14" s="1">
        <f ca="1">IF(C14=1,OFFSET(控制台!$D$599,MATCH(F14,控制台!$B$599:$B$615,0)-1,0),OFFSET(控制台!$D$618,MATCH(F14,控制台!$B$618:$B$636,0)-1,0))</f>
        <v>203040</v>
      </c>
      <c r="I14" s="1">
        <f ca="1">IF(E14=1,H14/G14,IF(E14=5,H14/G14*OFFSET(控制台!$D$641,MATCH(B14,控制台!$B$641:$B$645,0)-1,0),H14/G14*OFFSET(控制台!$H$641,MATCH(B14,控制台!$F$641:$F$650,0)-1,0)))</f>
        <v>14502.8571428572</v>
      </c>
      <c r="J14" s="1">
        <f ca="1">$I14/3*控制台!H$102</f>
        <v>4834.28571428572</v>
      </c>
      <c r="K14" s="1">
        <f ca="1">$I14/3*控制台!I$102</f>
        <v>3625.71428571429</v>
      </c>
      <c r="L14" s="1">
        <f ca="1">$I14/3*控制台!J$102</f>
        <v>6042.85714285715</v>
      </c>
      <c r="M14" s="1">
        <f ca="1">_xlfn.FLOOR.MATH(J14,POWER(10,MAX(2,INT(LOG10(J14)-2))))</f>
        <v>4800</v>
      </c>
      <c r="N14" s="1">
        <f ca="1">_xlfn.FLOOR.MATH(K14,POWER(10,MAX(2,INT(LOG10(K14)-2))))</f>
        <v>3600</v>
      </c>
      <c r="O14" s="1">
        <f ca="1">_xlfn.FLOOR.MATH(L14,POWER(10,MAX(2,INT(LOG10(L14)-2))))</f>
        <v>6000</v>
      </c>
      <c r="P14" s="4" t="str">
        <f ca="1" t="shared" si="0"/>
        <v>4800;3600;6000</v>
      </c>
      <c r="Q14" s="15">
        <f ca="1">IF(C14=1,OFFSET(控制台!$H$599,MATCH(F14,控制台!$B$599:$B$615,0)-1,0),OFFSET(控制台!$H$618,MATCH(F14,控制台!$B$618:$B$636,0)-1,0))</f>
        <v>479.250432</v>
      </c>
      <c r="R14" s="15">
        <f ca="1">IF(E14=1,Q14/G14,IF(E14=5,Q14/G14*OFFSET(控制台!$D$641,MATCH(B14,控制台!$B$641:$B$645,0)-1,0),Q14/G14*OFFSET(控制台!$H$641,MATCH(B14,控制台!$F$641:$F$650,0)-1,0)))</f>
        <v>34.2321737142857</v>
      </c>
      <c r="S14" s="16">
        <f ca="1">_xlfn.FLOOR.MATH(R14)*60</f>
        <v>2040</v>
      </c>
      <c r="T14" s="16">
        <f ca="1">8000+IF(C14=1,OFFSET(控制台!$K$599,MATCH(F14,控制台!$B$599:$B$615,0)-1,0),OFFSET(控制台!$K$618,MATCH(F14,控制台!$B$618:$B$636,0)-1,0))</f>
        <v>8001</v>
      </c>
      <c r="U14" s="1">
        <f ca="1">IF(C14=1,OFFSET(控制台!$F$599,MATCH(F14,控制台!$B$599:$B$615,0)-1,0),OFFSET(控制台!$F$618,MATCH(F14,控制台!$B$618:$B$636,0)-1,0))</f>
        <v>447.8976</v>
      </c>
      <c r="V14" s="1">
        <f ca="1">IF(E14=1,U14/G14,IF(E14=5,U14/G14*OFFSET(控制台!$D$641,MATCH(B14,控制台!$B$641:$B$645,0)-1,0),U14/G14*OFFSET(控制台!$H$641,MATCH(B14,控制台!$F$641:$F$650,0)-1,0)))</f>
        <v>31.9926857142857</v>
      </c>
      <c r="W14" s="20">
        <f ca="1" t="shared" si="1"/>
        <v>0.0222171428571429</v>
      </c>
      <c r="X14" s="15">
        <f ca="1">IF(C14=1,OFFSET(控制台!$U$599,MATCH(F14,控制台!$B$599:$B$615,0)-1,0),OFFSET(控制台!$U$618,MATCH(F14,控制台!$B$618:$B$636,0)-1,0))</f>
        <v>1257.3</v>
      </c>
      <c r="Y14" s="16">
        <f ca="1">_xlfn.FLOOR.MATH(IF(E14=1,X14/G14,IF(E14=5,X14/G14*OFFSET(控制台!$D$641,MATCH(B14,控制台!$B$641:$B$645,0)-1,0),X14/G14*OFFSET(控制台!$H$641,MATCH(B14,控制台!$F$641:$F$650,0)-1,0))))</f>
        <v>89</v>
      </c>
      <c r="Z14" s="16">
        <f ca="1" t="shared" si="2"/>
        <v>177</v>
      </c>
    </row>
    <row r="15" spans="1:26">
      <c r="A15" s="1">
        <v>10203</v>
      </c>
      <c r="B15" s="1">
        <v>4</v>
      </c>
      <c r="C15" s="1">
        <v>1</v>
      </c>
      <c r="D15" s="1" t="s">
        <v>2777</v>
      </c>
      <c r="E15" s="1">
        <f ca="1">IF(C15=1,OFFSET(控制台!$F$552,MATCH(A15,控制台!$B$552:$B$580,0)-1,0),OFFSET(控制台!$L$552,MATCH(A15,控制台!$H$552:$H$594,0)-1,0))</f>
        <v>5</v>
      </c>
      <c r="F15" s="1">
        <f ca="1">IF(C15=1,OFFSET(控制台!$D$552,MATCH(A15,控制台!$B$552:$B$580,0)-1,0),OFFSET(控制台!$J$552,MATCH(A15,控制台!$H$552:$H$594,0)-1,0))</f>
        <v>2</v>
      </c>
      <c r="G15" s="1">
        <f ca="1">IF(C15=1,OFFSET(控制台!$I$599,MATCH(F15,控制台!$B$599:$B$615,0)-1,0),OFFSET(控制台!$I$618,MATCH(F15,控制台!$B$618:$B$636,0)-1,0))</f>
        <v>2</v>
      </c>
      <c r="H15" s="1">
        <f ca="1">IF(C15=1,OFFSET(控制台!$D$599,MATCH(F15,控制台!$B$599:$B$615,0)-1,0),OFFSET(控制台!$D$618,MATCH(F15,控制台!$B$618:$B$636,0)-1,0))</f>
        <v>203040</v>
      </c>
      <c r="I15" s="1">
        <f ca="1">IF(E15=1,H15/G15,IF(E15=5,H15/G15*OFFSET(控制台!$D$641,MATCH(B15,控制台!$B$641:$B$645,0)-1,0),H15/G15*OFFSET(控制台!$H$641,MATCH(B15,控制台!$F$641:$F$650,0)-1,0)))</f>
        <v>24171.4285714286</v>
      </c>
      <c r="J15" s="1">
        <f ca="1">$I15/3*控制台!H$102</f>
        <v>8057.14285714285</v>
      </c>
      <c r="K15" s="1">
        <f ca="1">$I15/3*控制台!I$102</f>
        <v>6042.85714285714</v>
      </c>
      <c r="L15" s="1">
        <f ca="1">$I15/3*控制台!J$102</f>
        <v>10071.4285714286</v>
      </c>
      <c r="M15" s="1">
        <f ca="1">_xlfn.FLOOR.MATH(J15,POWER(10,MAX(2,INT(LOG10(J15)-2))))</f>
        <v>8000</v>
      </c>
      <c r="N15" s="1">
        <f ca="1">_xlfn.FLOOR.MATH(K15,POWER(10,MAX(2,INT(LOG10(K15)-2))))</f>
        <v>6000</v>
      </c>
      <c r="O15" s="1">
        <f ca="1">_xlfn.FLOOR.MATH(L15,POWER(10,MAX(2,INT(LOG10(L15)-2))))</f>
        <v>10000</v>
      </c>
      <c r="P15" s="4" t="str">
        <f ca="1" t="shared" si="0"/>
        <v>8000;6000;10000</v>
      </c>
      <c r="Q15" s="15">
        <f ca="1">IF(C15=1,OFFSET(控制台!$H$599,MATCH(F15,控制台!$B$599:$B$615,0)-1,0),OFFSET(控制台!$H$618,MATCH(F15,控制台!$B$618:$B$636,0)-1,0))</f>
        <v>479.250432</v>
      </c>
      <c r="R15" s="15">
        <f ca="1">IF(E15=1,Q15/G15,IF(E15=5,Q15/G15*OFFSET(控制台!$D$641,MATCH(B15,控制台!$B$641:$B$645,0)-1,0),Q15/G15*OFFSET(控制台!$H$641,MATCH(B15,控制台!$F$641:$F$650,0)-1,0)))</f>
        <v>57.0536228571428</v>
      </c>
      <c r="S15" s="16">
        <f ca="1">_xlfn.FLOOR.MATH(R15)*60</f>
        <v>3420</v>
      </c>
      <c r="T15" s="16">
        <f ca="1">8000+IF(C15=1,OFFSET(控制台!$K$599,MATCH(F15,控制台!$B$599:$B$615,0)-1,0),OFFSET(控制台!$K$618,MATCH(F15,控制台!$B$618:$B$636,0)-1,0))</f>
        <v>8001</v>
      </c>
      <c r="U15" s="1">
        <f ca="1">IF(C15=1,OFFSET(控制台!$F$599,MATCH(F15,控制台!$B$599:$B$615,0)-1,0),OFFSET(控制台!$F$618,MATCH(F15,控制台!$B$618:$B$636,0)-1,0))</f>
        <v>447.8976</v>
      </c>
      <c r="V15" s="1">
        <f ca="1">IF(E15=1,U15/G15,IF(E15=5,U15/G15*OFFSET(控制台!$D$641,MATCH(B15,控制台!$B$641:$B$645,0)-1,0),U15/G15*OFFSET(控制台!$H$641,MATCH(B15,控制台!$F$641:$F$650,0)-1,0)))</f>
        <v>53.3211428571428</v>
      </c>
      <c r="W15" s="20">
        <f ca="1" t="shared" si="1"/>
        <v>0.0370285714285714</v>
      </c>
      <c r="X15" s="15">
        <f ca="1">IF(C15=1,OFFSET(控制台!$U$599,MATCH(F15,控制台!$B$599:$B$615,0)-1,0),OFFSET(控制台!$U$618,MATCH(F15,控制台!$B$618:$B$636,0)-1,0))</f>
        <v>1257.3</v>
      </c>
      <c r="Y15" s="16">
        <f ca="1">_xlfn.FLOOR.MATH(IF(E15=1,X15/G15,IF(E15=5,X15/G15*OFFSET(控制台!$D$641,MATCH(B15,控制台!$B$641:$B$645,0)-1,0),X15/G15*OFFSET(控制台!$H$641,MATCH(B15,控制台!$F$641:$F$650,0)-1,0))))</f>
        <v>149</v>
      </c>
      <c r="Z15" s="16">
        <f ca="1" t="shared" si="2"/>
        <v>326</v>
      </c>
    </row>
    <row r="16" spans="1:26">
      <c r="A16" s="1">
        <v>10203</v>
      </c>
      <c r="B16" s="1">
        <v>5</v>
      </c>
      <c r="C16" s="1">
        <v>1</v>
      </c>
      <c r="D16" s="1" t="s">
        <v>2777</v>
      </c>
      <c r="E16" s="1">
        <f ca="1">IF(C16=1,OFFSET(控制台!$F$552,MATCH(A16,控制台!$B$552:$B$580,0)-1,0),OFFSET(控制台!$L$552,MATCH(A16,控制台!$H$552:$H$594,0)-1,0))</f>
        <v>5</v>
      </c>
      <c r="F16" s="1">
        <f ca="1">IF(C16=1,OFFSET(控制台!$D$552,MATCH(A16,控制台!$B$552:$B$580,0)-1,0),OFFSET(控制台!$J$552,MATCH(A16,控制台!$H$552:$H$594,0)-1,0))</f>
        <v>2</v>
      </c>
      <c r="G16" s="1">
        <f ca="1">IF(C16=1,OFFSET(控制台!$I$599,MATCH(F16,控制台!$B$599:$B$615,0)-1,0),OFFSET(控制台!$I$618,MATCH(F16,控制台!$B$618:$B$636,0)-1,0))</f>
        <v>2</v>
      </c>
      <c r="H16" s="1">
        <f ca="1">IF(C16=1,OFFSET(控制台!$D$599,MATCH(F16,控制台!$B$599:$B$615,0)-1,0),OFFSET(控制台!$D$618,MATCH(F16,控制台!$B$618:$B$636,0)-1,0))</f>
        <v>203040</v>
      </c>
      <c r="I16" s="1">
        <f ca="1">IF(E16=1,H16/G16,IF(E16=5,H16/G16*OFFSET(控制台!$D$641,MATCH(B16,控制台!$B$641:$B$645,0)-1,0),H16/G16*OFFSET(控制台!$H$641,MATCH(B16,控制台!$F$641:$F$650,0)-1,0)))</f>
        <v>48342.8571428571</v>
      </c>
      <c r="J16" s="1">
        <f ca="1">$I16/3*控制台!H$102</f>
        <v>16114.2857142857</v>
      </c>
      <c r="K16" s="1">
        <f ca="1">$I16/3*控制台!I$102</f>
        <v>12085.7142857143</v>
      </c>
      <c r="L16" s="1">
        <f ca="1">$I16/3*控制台!J$102</f>
        <v>20142.8571428571</v>
      </c>
      <c r="M16" s="1">
        <f ca="1">_xlfn.FLOOR.MATH(J16,POWER(10,MAX(2,INT(LOG10(J16)-2))))</f>
        <v>16100</v>
      </c>
      <c r="N16" s="1">
        <f ca="1">_xlfn.FLOOR.MATH(K16,POWER(10,MAX(2,INT(LOG10(K16)-2))))</f>
        <v>12000</v>
      </c>
      <c r="O16" s="1">
        <f ca="1">_xlfn.FLOOR.MATH(L16,POWER(10,MAX(2,INT(LOG10(L16)-2))))</f>
        <v>20100</v>
      </c>
      <c r="P16" s="4" t="str">
        <f ca="1" t="shared" si="0"/>
        <v>16100;12000;20100</v>
      </c>
      <c r="Q16" s="15">
        <f ca="1">IF(C16=1,OFFSET(控制台!$H$599,MATCH(F16,控制台!$B$599:$B$615,0)-1,0),OFFSET(控制台!$H$618,MATCH(F16,控制台!$B$618:$B$636,0)-1,0))</f>
        <v>479.250432</v>
      </c>
      <c r="R16" s="15">
        <f ca="1">IF(E16=1,Q16/G16,IF(E16=5,Q16/G16*OFFSET(控制台!$D$641,MATCH(B16,控制台!$B$641:$B$645,0)-1,0),Q16/G16*OFFSET(控制台!$H$641,MATCH(B16,控制台!$F$641:$F$650,0)-1,0)))</f>
        <v>114.107245714286</v>
      </c>
      <c r="S16" s="16">
        <f ca="1">_xlfn.FLOOR.MATH(R16)*60</f>
        <v>6840</v>
      </c>
      <c r="T16" s="16">
        <f ca="1">8000+IF(C16=1,OFFSET(控制台!$K$599,MATCH(F16,控制台!$B$599:$B$615,0)-1,0),OFFSET(控制台!$K$618,MATCH(F16,控制台!$B$618:$B$636,0)-1,0))</f>
        <v>8001</v>
      </c>
      <c r="U16" s="1">
        <f ca="1">IF(C16=1,OFFSET(控制台!$F$599,MATCH(F16,控制台!$B$599:$B$615,0)-1,0),OFFSET(控制台!$F$618,MATCH(F16,控制台!$B$618:$B$636,0)-1,0))</f>
        <v>447.8976</v>
      </c>
      <c r="V16" s="1">
        <f ca="1">IF(E16=1,U16/G16,IF(E16=5,U16/G16*OFFSET(控制台!$D$641,MATCH(B16,控制台!$B$641:$B$645,0)-1,0),U16/G16*OFFSET(控制台!$H$641,MATCH(B16,控制台!$F$641:$F$650,0)-1,0)))</f>
        <v>106.642285714286</v>
      </c>
      <c r="W16" s="20">
        <f ca="1" t="shared" si="1"/>
        <v>0.0740571428571428</v>
      </c>
      <c r="X16" s="15">
        <f ca="1">IF(C16=1,OFFSET(控制台!$U$599,MATCH(F16,控制台!$B$599:$B$615,0)-1,0),OFFSET(控制台!$U$618,MATCH(F16,控制台!$B$618:$B$636,0)-1,0))</f>
        <v>1257.3</v>
      </c>
      <c r="Y16" s="16">
        <f ca="1">_xlfn.FLOOR.MATH(IF(E16=1,X16/G16,IF(E16=5,X16/G16*OFFSET(控制台!$D$641,MATCH(B16,控制台!$B$641:$B$645,0)-1,0),X16/G16*OFFSET(控制台!$H$641,MATCH(B16,控制台!$F$641:$F$650,0)-1,0))))</f>
        <v>299</v>
      </c>
      <c r="Z16" s="16">
        <f ca="1" t="shared" si="2"/>
        <v>625</v>
      </c>
    </row>
    <row r="17" spans="1:26">
      <c r="A17" s="1">
        <v>10301</v>
      </c>
      <c r="B17" s="1">
        <v>1</v>
      </c>
      <c r="C17" s="1">
        <v>1</v>
      </c>
      <c r="D17" s="1" t="s">
        <v>2778</v>
      </c>
      <c r="E17" s="1">
        <f ca="1">IF(C17=1,OFFSET(控制台!$F$552,MATCH(A17,控制台!$B$552:$B$580,0)-1,0),OFFSET(控制台!$L$552,MATCH(A17,控制台!$H$552:$H$594,0)-1,0))</f>
        <v>1</v>
      </c>
      <c r="F17" s="1">
        <f ca="1">IF(C17=1,OFFSET(控制台!$D$552,MATCH(A17,控制台!$B$552:$B$580,0)-1,0),OFFSET(控制台!$J$552,MATCH(A17,控制台!$H$552:$H$594,0)-1,0))</f>
        <v>3</v>
      </c>
      <c r="G17" s="1">
        <f ca="1">IF(C17=1,OFFSET(控制台!$I$599,MATCH(F17,控制台!$B$599:$B$615,0)-1,0),OFFSET(控制台!$I$618,MATCH(F17,控制台!$B$618:$B$636,0)-1,0))</f>
        <v>2</v>
      </c>
      <c r="H17" s="1">
        <f ca="1">IF(C17=1,OFFSET(控制台!$D$599,MATCH(F17,控制台!$B$599:$B$615,0)-1,0),OFFSET(控制台!$D$618,MATCH(F17,控制台!$B$618:$B$636,0)-1,0))</f>
        <v>777600</v>
      </c>
      <c r="I17" s="1">
        <f ca="1">IF(E17=1,H17/G17,IF(E17=5,H17/G17*OFFSET(控制台!$D$641,MATCH(B17,控制台!$B$641:$B$645,0)-1,0),H17/G17*OFFSET(控制台!$H$641,MATCH(B17,控制台!$F$641:$F$650,0)-1,0)))</f>
        <v>388800</v>
      </c>
      <c r="J17" s="1">
        <f ca="1">$I17/3*控制台!H$102</f>
        <v>129600</v>
      </c>
      <c r="K17" s="1">
        <f ca="1">$I17/3*控制台!I$102</f>
        <v>97200</v>
      </c>
      <c r="L17" s="1">
        <f ca="1">$I17/3*控制台!J$102</f>
        <v>162000</v>
      </c>
      <c r="M17" s="1">
        <f ca="1">_xlfn.FLOOR.MATH(J17,POWER(10,MAX(2,INT(LOG10(J17)-2))))</f>
        <v>129000</v>
      </c>
      <c r="N17" s="1">
        <f ca="1">_xlfn.FLOOR.MATH(K17,POWER(10,MAX(2,INT(LOG10(K17)-2))))</f>
        <v>97200</v>
      </c>
      <c r="O17" s="1">
        <f ca="1">_xlfn.FLOOR.MATH(L17,POWER(10,MAX(2,INT(LOG10(L17)-2))))</f>
        <v>162000</v>
      </c>
      <c r="P17" s="4" t="str">
        <f ca="1" t="shared" si="0"/>
        <v>129000;97200;162000</v>
      </c>
      <c r="Q17" s="15">
        <f ca="1">IF(C17=1,OFFSET(控制台!$H$599,MATCH(F17,控制台!$B$599:$B$615,0)-1,0),OFFSET(控制台!$H$618,MATCH(F17,控制台!$B$618:$B$636,0)-1,0))</f>
        <v>2294.85312</v>
      </c>
      <c r="R17" s="15">
        <f ca="1">IF(E17=1,Q17/G17,IF(E17=5,Q17/G17*OFFSET(控制台!$D$641,MATCH(B17,控制台!$B$641:$B$645,0)-1,0),Q17/G17*OFFSET(控制台!$H$641,MATCH(B17,控制台!$F$641:$F$650,0)-1,0)))</f>
        <v>1147.42656</v>
      </c>
      <c r="S17" s="16">
        <f ca="1">_xlfn.FLOOR.MATH(R17)*60</f>
        <v>68820</v>
      </c>
      <c r="T17" s="16">
        <f ca="1">8000+IF(C17=1,OFFSET(控制台!$K$599,MATCH(F17,控制台!$B$599:$B$615,0)-1,0),OFFSET(控制台!$K$618,MATCH(F17,控制台!$B$618:$B$636,0)-1,0))</f>
        <v>8008</v>
      </c>
      <c r="U17" s="1">
        <f ca="1">IF(C17=1,OFFSET(控制台!$F$599,MATCH(F17,控制台!$B$599:$B$615,0)-1,0),OFFSET(控制台!$F$618,MATCH(F17,控制台!$B$618:$B$636,0)-1,0))</f>
        <v>2115.072</v>
      </c>
      <c r="V17" s="1">
        <f ca="1">IF(E17=1,U17/G17,IF(E17=5,U17/G17*OFFSET(控制台!$D$641,MATCH(B17,控制台!$B$641:$B$645,0)-1,0),U17/G17*OFFSET(控制台!$H$641,MATCH(B17,控制台!$F$641:$F$650,0)-1,0)))</f>
        <v>1057.536</v>
      </c>
      <c r="W17" s="20">
        <f ca="1" t="shared" si="1"/>
        <v>0.7344</v>
      </c>
      <c r="X17" s="15">
        <f ca="1">IF(C17=1,OFFSET(控制台!$U$599,MATCH(F17,控制台!$B$599:$B$615,0)-1,0),OFFSET(控制台!$U$618,MATCH(F17,控制台!$B$618:$B$636,0)-1,0))</f>
        <v>5899.5</v>
      </c>
      <c r="Y17" s="16">
        <f ca="1">_xlfn.FLOOR.MATH(IF(E17=1,X17/G17,IF(E17=5,X17/G17*OFFSET(控制台!$D$641,MATCH(B17,控制台!$B$641:$B$645,0)-1,0),X17/G17*OFFSET(控制台!$H$641,MATCH(B17,控制台!$F$641:$F$650,0)-1,0))))</f>
        <v>2949</v>
      </c>
      <c r="Z17" s="16">
        <f ca="1" t="shared" si="2"/>
        <v>2949</v>
      </c>
    </row>
    <row r="18" spans="1:26">
      <c r="A18" s="1">
        <v>10303</v>
      </c>
      <c r="B18" s="1">
        <v>1</v>
      </c>
      <c r="C18" s="1">
        <v>1</v>
      </c>
      <c r="D18" s="1" t="s">
        <v>2779</v>
      </c>
      <c r="E18" s="1">
        <f ca="1">IF(C18=1,OFFSET(控制台!$F$552,MATCH(A18,控制台!$B$552:$B$580,0)-1,0),OFFSET(控制台!$L$552,MATCH(A18,控制台!$H$552:$H$594,0)-1,0))</f>
        <v>1</v>
      </c>
      <c r="F18" s="1">
        <f ca="1">IF(C18=1,OFFSET(控制台!$D$552,MATCH(A18,控制台!$B$552:$B$580,0)-1,0),OFFSET(控制台!$J$552,MATCH(A18,控制台!$H$552:$H$594,0)-1,0))</f>
        <v>3</v>
      </c>
      <c r="G18" s="1">
        <f ca="1">IF(C18=1,OFFSET(控制台!$I$599,MATCH(F18,控制台!$B$599:$B$615,0)-1,0),OFFSET(控制台!$I$618,MATCH(F18,控制台!$B$618:$B$636,0)-1,0))</f>
        <v>2</v>
      </c>
      <c r="H18" s="1">
        <f ca="1">IF(C18=1,OFFSET(控制台!$D$599,MATCH(F18,控制台!$B$599:$B$615,0)-1,0),OFFSET(控制台!$D$618,MATCH(F18,控制台!$B$618:$B$636,0)-1,0))</f>
        <v>777600</v>
      </c>
      <c r="I18" s="1">
        <f ca="1">IF(E18=1,H18/G18,IF(E18=5,H18/G18*OFFSET(控制台!$D$641,MATCH(B18,控制台!$B$641:$B$645,0)-1,0),H18/G18*OFFSET(控制台!$H$641,MATCH(B18,控制台!$F$641:$F$650,0)-1,0)))</f>
        <v>388800</v>
      </c>
      <c r="J18" s="1">
        <f ca="1">$I18/3*控制台!H$102</f>
        <v>129600</v>
      </c>
      <c r="K18" s="1">
        <f ca="1">$I18/3*控制台!I$102</f>
        <v>97200</v>
      </c>
      <c r="L18" s="1">
        <f ca="1">$I18/3*控制台!J$102</f>
        <v>162000</v>
      </c>
      <c r="M18" s="1">
        <f ca="1">_xlfn.FLOOR.MATH(J18,POWER(10,MAX(2,INT(LOG10(J18)-2))))</f>
        <v>129000</v>
      </c>
      <c r="N18" s="1">
        <f ca="1">_xlfn.FLOOR.MATH(K18,POWER(10,MAX(2,INT(LOG10(K18)-2))))</f>
        <v>97200</v>
      </c>
      <c r="O18" s="1">
        <f ca="1">_xlfn.FLOOR.MATH(L18,POWER(10,MAX(2,INT(LOG10(L18)-2))))</f>
        <v>162000</v>
      </c>
      <c r="P18" s="4" t="str">
        <f ca="1" t="shared" si="0"/>
        <v>129000;97200;162000</v>
      </c>
      <c r="Q18" s="15">
        <f ca="1">IF(C18=1,OFFSET(控制台!$H$599,MATCH(F18,控制台!$B$599:$B$615,0)-1,0),OFFSET(控制台!$H$618,MATCH(F18,控制台!$B$618:$B$636,0)-1,0))</f>
        <v>2294.85312</v>
      </c>
      <c r="R18" s="15">
        <f ca="1">IF(E18=1,Q18/G18,IF(E18=5,Q18/G18*OFFSET(控制台!$D$641,MATCH(B18,控制台!$B$641:$B$645,0)-1,0),Q18/G18*OFFSET(控制台!$H$641,MATCH(B18,控制台!$F$641:$F$650,0)-1,0)))</f>
        <v>1147.42656</v>
      </c>
      <c r="S18" s="16">
        <f ca="1">_xlfn.FLOOR.MATH(R18)*60</f>
        <v>68820</v>
      </c>
      <c r="T18" s="16">
        <f ca="1">8000+IF(C18=1,OFFSET(控制台!$K$599,MATCH(F18,控制台!$B$599:$B$615,0)-1,0),OFFSET(控制台!$K$618,MATCH(F18,控制台!$B$618:$B$636,0)-1,0))</f>
        <v>8008</v>
      </c>
      <c r="U18" s="1">
        <f ca="1">IF(C18=1,OFFSET(控制台!$F$599,MATCH(F18,控制台!$B$599:$B$615,0)-1,0),OFFSET(控制台!$F$618,MATCH(F18,控制台!$B$618:$B$636,0)-1,0))</f>
        <v>2115.072</v>
      </c>
      <c r="V18" s="1">
        <f ca="1">IF(E18=1,U18/G18,IF(E18=5,U18/G18*OFFSET(控制台!$D$641,MATCH(B18,控制台!$B$641:$B$645,0)-1,0),U18/G18*OFFSET(控制台!$H$641,MATCH(B18,控制台!$F$641:$F$650,0)-1,0)))</f>
        <v>1057.536</v>
      </c>
      <c r="W18" s="20">
        <f ca="1" t="shared" si="1"/>
        <v>0.7344</v>
      </c>
      <c r="X18" s="15">
        <f ca="1">IF(C18=1,OFFSET(控制台!$U$599,MATCH(F18,控制台!$B$599:$B$615,0)-1,0),OFFSET(控制台!$U$618,MATCH(F18,控制台!$B$618:$B$636,0)-1,0))</f>
        <v>5899.5</v>
      </c>
      <c r="Y18" s="16">
        <f ca="1">_xlfn.FLOOR.MATH(IF(E18=1,X18/G18,IF(E18=5,X18/G18*OFFSET(控制台!$D$641,MATCH(B18,控制台!$B$641:$B$645,0)-1,0),X18/G18*OFFSET(控制台!$H$641,MATCH(B18,控制台!$F$641:$F$650,0)-1,0))))</f>
        <v>2949</v>
      </c>
      <c r="Z18" s="16">
        <f ca="1" t="shared" si="2"/>
        <v>2949</v>
      </c>
    </row>
    <row r="19" spans="1:26">
      <c r="A19" s="1">
        <v>10402</v>
      </c>
      <c r="B19" s="1">
        <v>1</v>
      </c>
      <c r="C19" s="1">
        <v>1</v>
      </c>
      <c r="D19" s="1" t="s">
        <v>2780</v>
      </c>
      <c r="E19" s="1">
        <f ca="1">IF(C19=1,OFFSET(控制台!$F$552,MATCH(A19,控制台!$B$552:$B$580,0)-1,0),OFFSET(控制台!$L$552,MATCH(A19,控制台!$H$552:$H$594,0)-1,0))</f>
        <v>5</v>
      </c>
      <c r="F19" s="1">
        <f ca="1">IF(C19=1,OFFSET(控制台!$D$552,MATCH(A19,控制台!$B$552:$B$580,0)-1,0),OFFSET(控制台!$J$552,MATCH(A19,控制台!$H$552:$H$594,0)-1,0))</f>
        <v>4</v>
      </c>
      <c r="G19" s="1">
        <f ca="1">IF(C19=1,OFFSET(控制台!$I$599,MATCH(F19,控制台!$B$599:$B$615,0)-1,0),OFFSET(控制台!$I$618,MATCH(F19,控制台!$B$618:$B$636,0)-1,0))</f>
        <v>1</v>
      </c>
      <c r="H19" s="1">
        <f ca="1">IF(C19=1,OFFSET(控制台!$D$599,MATCH(F19,控制台!$B$599:$B$615,0)-1,0),OFFSET(控制台!$D$618,MATCH(F19,控制台!$B$618:$B$636,0)-1,0))</f>
        <v>432000</v>
      </c>
      <c r="I19" s="1">
        <f ca="1">IF(E19=1,H19/G19,IF(E19=5,H19/G19*OFFSET(控制台!$D$641,MATCH(B19,控制台!$B$641:$B$645,0)-1,0),H19/G19*OFFSET(控制台!$H$641,MATCH(B19,控制台!$F$641:$F$650,0)-1,0)))</f>
        <v>20571.4285714286</v>
      </c>
      <c r="J19" s="1">
        <f ca="1">$I19/3*控制台!H$102</f>
        <v>6857.14285714286</v>
      </c>
      <c r="K19" s="1">
        <f ca="1">$I19/3*控制台!I$102</f>
        <v>5142.85714285714</v>
      </c>
      <c r="L19" s="1">
        <f ca="1">$I19/3*控制台!J$102</f>
        <v>8571.42857142857</v>
      </c>
      <c r="M19" s="1">
        <f ca="1">_xlfn.FLOOR.MATH(J19,POWER(10,MAX(2,INT(LOG10(J19)-2))))</f>
        <v>6800</v>
      </c>
      <c r="N19" s="1">
        <f ca="1">_xlfn.FLOOR.MATH(K19,POWER(10,MAX(2,INT(LOG10(K19)-2))))</f>
        <v>5100</v>
      </c>
      <c r="O19" s="1">
        <f ca="1">_xlfn.FLOOR.MATH(L19,POWER(10,MAX(2,INT(LOG10(L19)-2))))</f>
        <v>8500</v>
      </c>
      <c r="P19" s="4" t="str">
        <f ca="1" t="shared" si="0"/>
        <v>6800;5100;8500</v>
      </c>
      <c r="Q19" s="15">
        <f ca="1">IF(C19=1,OFFSET(控制台!$H$599,MATCH(F19,控制台!$B$599:$B$615,0)-1,0),OFFSET(控制台!$H$618,MATCH(F19,控制台!$B$618:$B$636,0)-1,0))</f>
        <v>1356.1344</v>
      </c>
      <c r="R19" s="15">
        <f ca="1">IF(E19=1,Q19/G19,IF(E19=5,Q19/G19*OFFSET(控制台!$D$641,MATCH(B19,控制台!$B$641:$B$645,0)-1,0),Q19/G19*OFFSET(控制台!$H$641,MATCH(B19,控制台!$F$641:$F$650,0)-1,0)))</f>
        <v>64.5778285714285</v>
      </c>
      <c r="S19" s="16">
        <f ca="1">_xlfn.FLOOR.MATH(R19)*60</f>
        <v>3840</v>
      </c>
      <c r="T19" s="16">
        <f ca="1">8000+IF(C19=1,OFFSET(控制台!$K$599,MATCH(F19,控制台!$B$599:$B$615,0)-1,0),OFFSET(控制台!$K$618,MATCH(F19,控制台!$B$618:$B$636,0)-1,0))</f>
        <v>8009</v>
      </c>
      <c r="U19" s="1">
        <f ca="1">IF(C19=1,OFFSET(控制台!$F$599,MATCH(F19,控制台!$B$599:$B$615,0)-1,0),OFFSET(控制台!$F$618,MATCH(F19,控制台!$B$618:$B$636,0)-1,0))</f>
        <v>1244.16</v>
      </c>
      <c r="V19" s="1">
        <f ca="1">IF(E19=1,U19/G19,IF(E19=5,U19/G19*OFFSET(控制台!$D$641,MATCH(B19,控制台!$B$641:$B$645,0)-1,0),U19/G19*OFFSET(控制台!$H$641,MATCH(B19,控制台!$F$641:$F$650,0)-1,0)))</f>
        <v>59.2457142857143</v>
      </c>
      <c r="W19" s="20">
        <f ca="1" t="shared" si="1"/>
        <v>0.0411428571428571</v>
      </c>
      <c r="X19" s="15">
        <f ca="1">IF(C19=1,OFFSET(控制台!$U$599,MATCH(F19,控制台!$B$599:$B$615,0)-1,0),OFFSET(控制台!$U$618,MATCH(F19,控制台!$B$618:$B$636,0)-1,0))</f>
        <v>3465</v>
      </c>
      <c r="Y19" s="16">
        <f ca="1">_xlfn.FLOOR.MATH(IF(E19=1,X19/G19,IF(E19=5,X19/G19*OFFSET(控制台!$D$641,MATCH(B19,控制台!$B$641:$B$645,0)-1,0),X19/G19*OFFSET(控制台!$H$641,MATCH(B19,控制台!$F$641:$F$650,0)-1,0))))</f>
        <v>165</v>
      </c>
      <c r="Z19" s="16">
        <f ca="1" t="shared" si="2"/>
        <v>165</v>
      </c>
    </row>
    <row r="20" spans="1:26">
      <c r="A20" s="1">
        <v>10402</v>
      </c>
      <c r="B20" s="1">
        <v>2</v>
      </c>
      <c r="C20" s="1">
        <v>1</v>
      </c>
      <c r="D20" s="1" t="s">
        <v>2780</v>
      </c>
      <c r="E20" s="1">
        <f ca="1">IF(C20=1,OFFSET(控制台!$F$552,MATCH(A20,控制台!$B$552:$B$580,0)-1,0),OFFSET(控制台!$L$552,MATCH(A20,控制台!$H$552:$H$594,0)-1,0))</f>
        <v>5</v>
      </c>
      <c r="F20" s="1">
        <f ca="1">IF(C20=1,OFFSET(控制台!$D$552,MATCH(A20,控制台!$B$552:$B$580,0)-1,0),OFFSET(控制台!$J$552,MATCH(A20,控制台!$H$552:$H$594,0)-1,0))</f>
        <v>4</v>
      </c>
      <c r="G20" s="1">
        <f ca="1">IF(C20=1,OFFSET(控制台!$I$599,MATCH(F20,控制台!$B$599:$B$615,0)-1,0),OFFSET(控制台!$I$618,MATCH(F20,控制台!$B$618:$B$636,0)-1,0))</f>
        <v>1</v>
      </c>
      <c r="H20" s="1">
        <f ca="1">IF(C20=1,OFFSET(控制台!$D$599,MATCH(F20,控制台!$B$599:$B$615,0)-1,0),OFFSET(控制台!$D$618,MATCH(F20,控制台!$B$618:$B$636,0)-1,0))</f>
        <v>432000</v>
      </c>
      <c r="I20" s="1">
        <f ca="1">IF(E20=1,H20/G20,IF(E20=5,H20/G20*OFFSET(控制台!$D$641,MATCH(B20,控制台!$B$641:$B$645,0)-1,0),H20/G20*OFFSET(控制台!$H$641,MATCH(B20,控制台!$F$641:$F$650,0)-1,0)))</f>
        <v>41142.8571428571</v>
      </c>
      <c r="J20" s="1">
        <f ca="1">$I20/3*控制台!H$102</f>
        <v>13714.2857142857</v>
      </c>
      <c r="K20" s="1">
        <f ca="1">$I20/3*控制台!I$102</f>
        <v>10285.7142857143</v>
      </c>
      <c r="L20" s="1">
        <f ca="1">$I20/3*控制台!J$102</f>
        <v>17142.8571428571</v>
      </c>
      <c r="M20" s="1">
        <f ca="1">_xlfn.FLOOR.MATH(J20,POWER(10,MAX(2,INT(LOG10(J20)-2))))</f>
        <v>13700</v>
      </c>
      <c r="N20" s="1">
        <f ca="1">_xlfn.FLOOR.MATH(K20,POWER(10,MAX(2,INT(LOG10(K20)-2))))</f>
        <v>10200</v>
      </c>
      <c r="O20" s="1">
        <f ca="1">_xlfn.FLOOR.MATH(L20,POWER(10,MAX(2,INT(LOG10(L20)-2))))</f>
        <v>17100</v>
      </c>
      <c r="P20" s="4" t="str">
        <f ca="1" t="shared" si="0"/>
        <v>13700;10200;17100</v>
      </c>
      <c r="Q20" s="15">
        <f ca="1">IF(C20=1,OFFSET(控制台!$H$599,MATCH(F20,控制台!$B$599:$B$615,0)-1,0),OFFSET(控制台!$H$618,MATCH(F20,控制台!$B$618:$B$636,0)-1,0))</f>
        <v>1356.1344</v>
      </c>
      <c r="R20" s="15">
        <f ca="1">IF(E20=1,Q20/G20,IF(E20=5,Q20/G20*OFFSET(控制台!$D$641,MATCH(B20,控制台!$B$641:$B$645,0)-1,0),Q20/G20*OFFSET(控制台!$H$641,MATCH(B20,控制台!$F$641:$F$650,0)-1,0)))</f>
        <v>129.155657142857</v>
      </c>
      <c r="S20" s="16">
        <f ca="1">_xlfn.FLOOR.MATH(R20)*60</f>
        <v>7740</v>
      </c>
      <c r="T20" s="16">
        <f ca="1">8000+IF(C20=1,OFFSET(控制台!$K$599,MATCH(F20,控制台!$B$599:$B$615,0)-1,0),OFFSET(控制台!$K$618,MATCH(F20,控制台!$B$618:$B$636,0)-1,0))</f>
        <v>8009</v>
      </c>
      <c r="U20" s="1">
        <f ca="1">IF(C20=1,OFFSET(控制台!$F$599,MATCH(F20,控制台!$B$599:$B$615,0)-1,0),OFFSET(控制台!$F$618,MATCH(F20,控制台!$B$618:$B$636,0)-1,0))</f>
        <v>1244.16</v>
      </c>
      <c r="V20" s="1">
        <f ca="1">IF(E20=1,U20/G20,IF(E20=5,U20/G20*OFFSET(控制台!$D$641,MATCH(B20,控制台!$B$641:$B$645,0)-1,0),U20/G20*OFFSET(控制台!$H$641,MATCH(B20,控制台!$F$641:$F$650,0)-1,0)))</f>
        <v>118.491428571429</v>
      </c>
      <c r="W20" s="20">
        <f ca="1" t="shared" si="1"/>
        <v>0.0822857142857143</v>
      </c>
      <c r="X20" s="15">
        <f ca="1">IF(C20=1,OFFSET(控制台!$U$599,MATCH(F20,控制台!$B$599:$B$615,0)-1,0),OFFSET(控制台!$U$618,MATCH(F20,控制台!$B$618:$B$636,0)-1,0))</f>
        <v>3465</v>
      </c>
      <c r="Y20" s="16">
        <f ca="1">_xlfn.FLOOR.MATH(IF(E20=1,X20/G20,IF(E20=5,X20/G20*OFFSET(控制台!$D$641,MATCH(B20,控制台!$B$641:$B$645,0)-1,0),X20/G20*OFFSET(控制台!$H$641,MATCH(B20,控制台!$F$641:$F$650,0)-1,0))))</f>
        <v>330</v>
      </c>
      <c r="Z20" s="16">
        <f ca="1" t="shared" si="2"/>
        <v>495</v>
      </c>
    </row>
    <row r="21" spans="1:26">
      <c r="A21" s="1">
        <v>10402</v>
      </c>
      <c r="B21" s="1">
        <v>3</v>
      </c>
      <c r="C21" s="1">
        <v>1</v>
      </c>
      <c r="D21" s="1" t="s">
        <v>2780</v>
      </c>
      <c r="E21" s="1">
        <f ca="1">IF(C21=1,OFFSET(控制台!$F$552,MATCH(A21,控制台!$B$552:$B$580,0)-1,0),OFFSET(控制台!$L$552,MATCH(A21,控制台!$H$552:$H$594,0)-1,0))</f>
        <v>5</v>
      </c>
      <c r="F21" s="1">
        <f ca="1">IF(C21=1,OFFSET(控制台!$D$552,MATCH(A21,控制台!$B$552:$B$580,0)-1,0),OFFSET(控制台!$J$552,MATCH(A21,控制台!$H$552:$H$594,0)-1,0))</f>
        <v>4</v>
      </c>
      <c r="G21" s="1">
        <f ca="1">IF(C21=1,OFFSET(控制台!$I$599,MATCH(F21,控制台!$B$599:$B$615,0)-1,0),OFFSET(控制台!$I$618,MATCH(F21,控制台!$B$618:$B$636,0)-1,0))</f>
        <v>1</v>
      </c>
      <c r="H21" s="1">
        <f ca="1">IF(C21=1,OFFSET(控制台!$D$599,MATCH(F21,控制台!$B$599:$B$615,0)-1,0),OFFSET(控制台!$D$618,MATCH(F21,控制台!$B$618:$B$636,0)-1,0))</f>
        <v>432000</v>
      </c>
      <c r="I21" s="1">
        <f ca="1">IF(E21=1,H21/G21,IF(E21=5,H21/G21*OFFSET(控制台!$D$641,MATCH(B21,控制台!$B$641:$B$645,0)-1,0),H21/G21*OFFSET(控制台!$H$641,MATCH(B21,控制台!$F$641:$F$650,0)-1,0)))</f>
        <v>61714.2857142858</v>
      </c>
      <c r="J21" s="1">
        <f ca="1">$I21/3*控制台!H$102</f>
        <v>20571.4285714286</v>
      </c>
      <c r="K21" s="1">
        <f ca="1">$I21/3*控制台!I$102</f>
        <v>15428.5714285714</v>
      </c>
      <c r="L21" s="1">
        <f ca="1">$I21/3*控制台!J$102</f>
        <v>25714.2857142857</v>
      </c>
      <c r="M21" s="1">
        <f ca="1">_xlfn.FLOOR.MATH(J21,POWER(10,MAX(2,INT(LOG10(J21)-2))))</f>
        <v>20500</v>
      </c>
      <c r="N21" s="1">
        <f ca="1">_xlfn.FLOOR.MATH(K21,POWER(10,MAX(2,INT(LOG10(K21)-2))))</f>
        <v>15400</v>
      </c>
      <c r="O21" s="1">
        <f ca="1">_xlfn.FLOOR.MATH(L21,POWER(10,MAX(2,INT(LOG10(L21)-2))))</f>
        <v>25700</v>
      </c>
      <c r="P21" s="4" t="str">
        <f ca="1" t="shared" si="0"/>
        <v>20500;15400;25700</v>
      </c>
      <c r="Q21" s="15">
        <f ca="1">IF(C21=1,OFFSET(控制台!$H$599,MATCH(F21,控制台!$B$599:$B$615,0)-1,0),OFFSET(控制台!$H$618,MATCH(F21,控制台!$B$618:$B$636,0)-1,0))</f>
        <v>1356.1344</v>
      </c>
      <c r="R21" s="15">
        <f ca="1">IF(E21=1,Q21/G21,IF(E21=5,Q21/G21*OFFSET(控制台!$D$641,MATCH(B21,控制台!$B$641:$B$645,0)-1,0),Q21/G21*OFFSET(控制台!$H$641,MATCH(B21,控制台!$F$641:$F$650,0)-1,0)))</f>
        <v>193.733485714286</v>
      </c>
      <c r="S21" s="16">
        <f ca="1">_xlfn.FLOOR.MATH(R21)*60</f>
        <v>11580</v>
      </c>
      <c r="T21" s="16">
        <f ca="1">8000+IF(C21=1,OFFSET(控制台!$K$599,MATCH(F21,控制台!$B$599:$B$615,0)-1,0),OFFSET(控制台!$K$618,MATCH(F21,控制台!$B$618:$B$636,0)-1,0))</f>
        <v>8009</v>
      </c>
      <c r="U21" s="1">
        <f ca="1">IF(C21=1,OFFSET(控制台!$F$599,MATCH(F21,控制台!$B$599:$B$615,0)-1,0),OFFSET(控制台!$F$618,MATCH(F21,控制台!$B$618:$B$636,0)-1,0))</f>
        <v>1244.16</v>
      </c>
      <c r="V21" s="1">
        <f ca="1">IF(E21=1,U21/G21,IF(E21=5,U21/G21*OFFSET(控制台!$D$641,MATCH(B21,控制台!$B$641:$B$645,0)-1,0),U21/G21*OFFSET(控制台!$H$641,MATCH(B21,控制台!$F$641:$F$650,0)-1,0)))</f>
        <v>177.737142857143</v>
      </c>
      <c r="W21" s="20">
        <f ca="1" t="shared" si="1"/>
        <v>0.123428571428572</v>
      </c>
      <c r="X21" s="15">
        <f ca="1">IF(C21=1,OFFSET(控制台!$U$599,MATCH(F21,控制台!$B$599:$B$615,0)-1,0),OFFSET(控制台!$U$618,MATCH(F21,控制台!$B$618:$B$636,0)-1,0))</f>
        <v>3465</v>
      </c>
      <c r="Y21" s="16">
        <f ca="1">_xlfn.FLOOR.MATH(IF(E21=1,X21/G21,IF(E21=5,X21/G21*OFFSET(控制台!$D$641,MATCH(B21,控制台!$B$641:$B$645,0)-1,0),X21/G21*OFFSET(控制台!$H$641,MATCH(B21,控制台!$F$641:$F$650,0)-1,0))))</f>
        <v>495</v>
      </c>
      <c r="Z21" s="16">
        <f ca="1" t="shared" si="2"/>
        <v>990</v>
      </c>
    </row>
    <row r="22" spans="1:26">
      <c r="A22" s="1">
        <v>10402</v>
      </c>
      <c r="B22" s="1">
        <v>4</v>
      </c>
      <c r="C22" s="1">
        <v>1</v>
      </c>
      <c r="D22" s="1" t="s">
        <v>2780</v>
      </c>
      <c r="E22" s="1">
        <f ca="1">IF(C22=1,OFFSET(控制台!$F$552,MATCH(A22,控制台!$B$552:$B$580,0)-1,0),OFFSET(控制台!$L$552,MATCH(A22,控制台!$H$552:$H$594,0)-1,0))</f>
        <v>5</v>
      </c>
      <c r="F22" s="1">
        <f ca="1">IF(C22=1,OFFSET(控制台!$D$552,MATCH(A22,控制台!$B$552:$B$580,0)-1,0),OFFSET(控制台!$J$552,MATCH(A22,控制台!$H$552:$H$594,0)-1,0))</f>
        <v>4</v>
      </c>
      <c r="G22" s="1">
        <f ca="1">IF(C22=1,OFFSET(控制台!$I$599,MATCH(F22,控制台!$B$599:$B$615,0)-1,0),OFFSET(控制台!$I$618,MATCH(F22,控制台!$B$618:$B$636,0)-1,0))</f>
        <v>1</v>
      </c>
      <c r="H22" s="1">
        <f ca="1">IF(C22=1,OFFSET(控制台!$D$599,MATCH(F22,控制台!$B$599:$B$615,0)-1,0),OFFSET(控制台!$D$618,MATCH(F22,控制台!$B$618:$B$636,0)-1,0))</f>
        <v>432000</v>
      </c>
      <c r="I22" s="1">
        <f ca="1">IF(E22=1,H22/G22,IF(E22=5,H22/G22*OFFSET(控制台!$D$641,MATCH(B22,控制台!$B$641:$B$645,0)-1,0),H22/G22*OFFSET(控制台!$H$641,MATCH(B22,控制台!$F$641:$F$650,0)-1,0)))</f>
        <v>102857.142857143</v>
      </c>
      <c r="J22" s="1">
        <f ca="1">$I22/3*控制台!H$102</f>
        <v>34285.7142857143</v>
      </c>
      <c r="K22" s="1">
        <f ca="1">$I22/3*控制台!I$102</f>
        <v>25714.2857142857</v>
      </c>
      <c r="L22" s="1">
        <f ca="1">$I22/3*控制台!J$102</f>
        <v>42857.1428571428</v>
      </c>
      <c r="M22" s="1">
        <f ca="1">_xlfn.FLOOR.MATH(J22,POWER(10,MAX(2,INT(LOG10(J22)-2))))</f>
        <v>34200</v>
      </c>
      <c r="N22" s="1">
        <f ca="1">_xlfn.FLOOR.MATH(K22,POWER(10,MAX(2,INT(LOG10(K22)-2))))</f>
        <v>25700</v>
      </c>
      <c r="O22" s="1">
        <f ca="1">_xlfn.FLOOR.MATH(L22,POWER(10,MAX(2,INT(LOG10(L22)-2))))</f>
        <v>42800</v>
      </c>
      <c r="P22" s="4" t="str">
        <f ca="1" t="shared" si="0"/>
        <v>34200;25700;42800</v>
      </c>
      <c r="Q22" s="15">
        <f ca="1">IF(C22=1,OFFSET(控制台!$H$599,MATCH(F22,控制台!$B$599:$B$615,0)-1,0),OFFSET(控制台!$H$618,MATCH(F22,控制台!$B$618:$B$636,0)-1,0))</f>
        <v>1356.1344</v>
      </c>
      <c r="R22" s="15">
        <f ca="1">IF(E22=1,Q22/G22,IF(E22=5,Q22/G22*OFFSET(控制台!$D$641,MATCH(B22,控制台!$B$641:$B$645,0)-1,0),Q22/G22*OFFSET(控制台!$H$641,MATCH(B22,控制台!$F$641:$F$650,0)-1,0)))</f>
        <v>322.889142857143</v>
      </c>
      <c r="S22" s="16">
        <f ca="1">_xlfn.FLOOR.MATH(R22)*60</f>
        <v>19320</v>
      </c>
      <c r="T22" s="16">
        <f ca="1">8000+IF(C22=1,OFFSET(控制台!$K$599,MATCH(F22,控制台!$B$599:$B$615,0)-1,0),OFFSET(控制台!$K$618,MATCH(F22,控制台!$B$618:$B$636,0)-1,0))</f>
        <v>8009</v>
      </c>
      <c r="U22" s="1">
        <f ca="1">IF(C22=1,OFFSET(控制台!$F$599,MATCH(F22,控制台!$B$599:$B$615,0)-1,0),OFFSET(控制台!$F$618,MATCH(F22,控制台!$B$618:$B$636,0)-1,0))</f>
        <v>1244.16</v>
      </c>
      <c r="V22" s="1">
        <f ca="1">IF(E22=1,U22/G22,IF(E22=5,U22/G22*OFFSET(控制台!$D$641,MATCH(B22,控制台!$B$641:$B$645,0)-1,0),U22/G22*OFFSET(控制台!$H$641,MATCH(B22,控制台!$F$641:$F$650,0)-1,0)))</f>
        <v>296.228571428571</v>
      </c>
      <c r="W22" s="20">
        <f ca="1" t="shared" si="1"/>
        <v>0.205714285714286</v>
      </c>
      <c r="X22" s="15">
        <f ca="1">IF(C22=1,OFFSET(控制台!$U$599,MATCH(F22,控制台!$B$599:$B$615,0)-1,0),OFFSET(控制台!$U$618,MATCH(F22,控制台!$B$618:$B$636,0)-1,0))</f>
        <v>3465</v>
      </c>
      <c r="Y22" s="16">
        <f ca="1">_xlfn.FLOOR.MATH(IF(E22=1,X22/G22,IF(E22=5,X22/G22*OFFSET(控制台!$D$641,MATCH(B22,控制台!$B$641:$B$645,0)-1,0),X22/G22*OFFSET(控制台!$H$641,MATCH(B22,控制台!$F$641:$F$650,0)-1,0))))</f>
        <v>825</v>
      </c>
      <c r="Z22" s="16">
        <f ca="1" t="shared" si="2"/>
        <v>1815</v>
      </c>
    </row>
    <row r="23" spans="1:26">
      <c r="A23" s="1">
        <v>10402</v>
      </c>
      <c r="B23" s="1">
        <v>5</v>
      </c>
      <c r="C23" s="1">
        <v>1</v>
      </c>
      <c r="D23" s="1" t="s">
        <v>2780</v>
      </c>
      <c r="E23" s="1">
        <f ca="1">IF(C23=1,OFFSET(控制台!$F$552,MATCH(A23,控制台!$B$552:$B$580,0)-1,0),OFFSET(控制台!$L$552,MATCH(A23,控制台!$H$552:$H$594,0)-1,0))</f>
        <v>5</v>
      </c>
      <c r="F23" s="1">
        <f ca="1">IF(C23=1,OFFSET(控制台!$D$552,MATCH(A23,控制台!$B$552:$B$580,0)-1,0),OFFSET(控制台!$J$552,MATCH(A23,控制台!$H$552:$H$594,0)-1,0))</f>
        <v>4</v>
      </c>
      <c r="G23" s="1">
        <f ca="1">IF(C23=1,OFFSET(控制台!$I$599,MATCH(F23,控制台!$B$599:$B$615,0)-1,0),OFFSET(控制台!$I$618,MATCH(F23,控制台!$B$618:$B$636,0)-1,0))</f>
        <v>1</v>
      </c>
      <c r="H23" s="1">
        <f ca="1">IF(C23=1,OFFSET(控制台!$D$599,MATCH(F23,控制台!$B$599:$B$615,0)-1,0),OFFSET(控制台!$D$618,MATCH(F23,控制台!$B$618:$B$636,0)-1,0))</f>
        <v>432000</v>
      </c>
      <c r="I23" s="1">
        <f ca="1">IF(E23=1,H23/G23,IF(E23=5,H23/G23*OFFSET(控制台!$D$641,MATCH(B23,控制台!$B$641:$B$645,0)-1,0),H23/G23*OFFSET(控制台!$H$641,MATCH(B23,控制台!$F$641:$F$650,0)-1,0)))</f>
        <v>205714.285714286</v>
      </c>
      <c r="J23" s="1">
        <f ca="1">$I23/3*控制台!H$102</f>
        <v>68571.4285714285</v>
      </c>
      <c r="K23" s="1">
        <f ca="1">$I23/3*控制台!I$102</f>
        <v>51428.5714285714</v>
      </c>
      <c r="L23" s="1">
        <f ca="1">$I23/3*控制台!J$102</f>
        <v>85714.2857142857</v>
      </c>
      <c r="M23" s="1">
        <f ca="1">_xlfn.FLOOR.MATH(J23,POWER(10,MAX(2,INT(LOG10(J23)-2))))</f>
        <v>68500</v>
      </c>
      <c r="N23" s="1">
        <f ca="1">_xlfn.FLOOR.MATH(K23,POWER(10,MAX(2,INT(LOG10(K23)-2))))</f>
        <v>51400</v>
      </c>
      <c r="O23" s="1">
        <f ca="1">_xlfn.FLOOR.MATH(L23,POWER(10,MAX(2,INT(LOG10(L23)-2))))</f>
        <v>85700</v>
      </c>
      <c r="P23" s="4" t="str">
        <f ca="1" t="shared" si="0"/>
        <v>68500;51400;85700</v>
      </c>
      <c r="Q23" s="15">
        <f ca="1">IF(C23=1,OFFSET(控制台!$H$599,MATCH(F23,控制台!$B$599:$B$615,0)-1,0),OFFSET(控制台!$H$618,MATCH(F23,控制台!$B$618:$B$636,0)-1,0))</f>
        <v>1356.1344</v>
      </c>
      <c r="R23" s="15">
        <f ca="1">IF(E23=1,Q23/G23,IF(E23=5,Q23/G23*OFFSET(控制台!$D$641,MATCH(B23,控制台!$B$641:$B$645,0)-1,0),Q23/G23*OFFSET(控制台!$H$641,MATCH(B23,控制台!$F$641:$F$650,0)-1,0)))</f>
        <v>645.778285714285</v>
      </c>
      <c r="S23" s="16">
        <f ca="1">_xlfn.FLOOR.MATH(R23)*60</f>
        <v>38700</v>
      </c>
      <c r="T23" s="16">
        <f ca="1">8000+IF(C23=1,OFFSET(控制台!$K$599,MATCH(F23,控制台!$B$599:$B$615,0)-1,0),OFFSET(控制台!$K$618,MATCH(F23,控制台!$B$618:$B$636,0)-1,0))</f>
        <v>8009</v>
      </c>
      <c r="U23" s="1">
        <f ca="1">IF(C23=1,OFFSET(控制台!$F$599,MATCH(F23,控制台!$B$599:$B$615,0)-1,0),OFFSET(控制台!$F$618,MATCH(F23,控制台!$B$618:$B$636,0)-1,0))</f>
        <v>1244.16</v>
      </c>
      <c r="V23" s="1">
        <f ca="1">IF(E23=1,U23/G23,IF(E23=5,U23/G23*OFFSET(控制台!$D$641,MATCH(B23,控制台!$B$641:$B$645,0)-1,0),U23/G23*OFFSET(控制台!$H$641,MATCH(B23,控制台!$F$641:$F$650,0)-1,0)))</f>
        <v>592.457142857143</v>
      </c>
      <c r="W23" s="20">
        <f ca="1" t="shared" si="1"/>
        <v>0.411428571428571</v>
      </c>
      <c r="X23" s="15">
        <f ca="1">IF(C23=1,OFFSET(控制台!$U$599,MATCH(F23,控制台!$B$599:$B$615,0)-1,0),OFFSET(控制台!$U$618,MATCH(F23,控制台!$B$618:$B$636,0)-1,0))</f>
        <v>3465</v>
      </c>
      <c r="Y23" s="16">
        <f ca="1">_xlfn.FLOOR.MATH(IF(E23=1,X23/G23,IF(E23=5,X23/G23*OFFSET(控制台!$D$641,MATCH(B23,控制台!$B$641:$B$645,0)-1,0),X23/G23*OFFSET(控制台!$H$641,MATCH(B23,控制台!$F$641:$F$650,0)-1,0))))</f>
        <v>1650</v>
      </c>
      <c r="Z23" s="16">
        <f ca="1" t="shared" si="2"/>
        <v>3465</v>
      </c>
    </row>
    <row r="24" spans="1:26">
      <c r="A24" s="1">
        <v>10501</v>
      </c>
      <c r="B24" s="1">
        <v>1</v>
      </c>
      <c r="C24" s="1">
        <v>1</v>
      </c>
      <c r="D24" s="1" t="s">
        <v>2781</v>
      </c>
      <c r="E24" s="1">
        <f ca="1">IF(C24=1,OFFSET(控制台!$F$552,MATCH(A24,控制台!$B$552:$B$580,0)-1,0),OFFSET(控制台!$L$552,MATCH(A24,控制台!$H$552:$H$594,0)-1,0))</f>
        <v>5</v>
      </c>
      <c r="F24" s="1">
        <f ca="1">IF(C24=1,OFFSET(控制台!$D$552,MATCH(A24,控制台!$B$552:$B$580,0)-1,0),OFFSET(控制台!$J$552,MATCH(A24,控制台!$H$552:$H$594,0)-1,0))</f>
        <v>5</v>
      </c>
      <c r="G24" s="1">
        <f ca="1">IF(C24=1,OFFSET(控制台!$I$599,MATCH(F24,控制台!$B$599:$B$615,0)-1,0),OFFSET(控制台!$I$618,MATCH(F24,控制台!$B$618:$B$636,0)-1,0))</f>
        <v>3</v>
      </c>
      <c r="H24" s="1">
        <f ca="1">IF(C24=1,OFFSET(控制台!$D$599,MATCH(F24,控制台!$B$599:$B$615,0)-1,0),OFFSET(控制台!$D$618,MATCH(F24,控制台!$B$618:$B$636,0)-1,0))</f>
        <v>604800</v>
      </c>
      <c r="I24" s="1">
        <f ca="1">IF(E24=1,H24/G24,IF(E24=5,H24/G24*OFFSET(控制台!$D$641,MATCH(B24,控制台!$B$641:$B$645,0)-1,0),H24/G24*OFFSET(控制台!$H$641,MATCH(B24,控制台!$F$641:$F$650,0)-1,0)))</f>
        <v>9600</v>
      </c>
      <c r="J24" s="1">
        <f ca="1">$I24/3*控制台!H$102</f>
        <v>3200</v>
      </c>
      <c r="K24" s="1">
        <f ca="1">$I24/3*控制台!I$102</f>
        <v>2400</v>
      </c>
      <c r="L24" s="1">
        <f ca="1">$I24/3*控制台!J$102</f>
        <v>4000</v>
      </c>
      <c r="M24" s="1">
        <f ca="1">_xlfn.FLOOR.MATH(J24,POWER(10,MAX(2,INT(LOG10(J24)-2))))</f>
        <v>3200</v>
      </c>
      <c r="N24" s="1">
        <f ca="1">_xlfn.FLOOR.MATH(K24,POWER(10,MAX(2,INT(LOG10(K24)-2))))</f>
        <v>2400</v>
      </c>
      <c r="O24" s="1">
        <f ca="1">_xlfn.FLOOR.MATH(L24,POWER(10,MAX(2,INT(LOG10(L24)-2))))</f>
        <v>4000</v>
      </c>
      <c r="P24" s="4" t="str">
        <f ca="1" t="shared" si="0"/>
        <v>3200;2400;4000</v>
      </c>
      <c r="Q24" s="15">
        <f ca="1">IF(C24=1,OFFSET(控制台!$H$599,MATCH(F24,控制台!$B$599:$B$615,0)-1,0),OFFSET(控制台!$H$618,MATCH(F24,控制台!$B$618:$B$636,0)-1,0))</f>
        <v>1634.82624</v>
      </c>
      <c r="R24" s="15">
        <f ca="1">IF(E24=1,Q24/G24,IF(E24=5,Q24/G24*OFFSET(控制台!$D$641,MATCH(B24,控制台!$B$641:$B$645,0)-1,0),Q24/G24*OFFSET(控制台!$H$641,MATCH(B24,控制台!$F$641:$F$650,0)-1,0)))</f>
        <v>25.9496228571428</v>
      </c>
      <c r="S24" s="16">
        <f ca="1">_xlfn.FLOOR.MATH(R24)*60</f>
        <v>1500</v>
      </c>
      <c r="T24" s="16">
        <f ca="1">8000+IF(C24=1,OFFSET(控制台!$K$599,MATCH(F24,控制台!$B$599:$B$615,0)-1,0),OFFSET(控制台!$K$618,MATCH(F24,控制台!$B$618:$B$636,0)-1,0))</f>
        <v>8010</v>
      </c>
      <c r="U24" s="1">
        <f ca="1">IF(C24=1,OFFSET(控制台!$F$599,MATCH(F24,控制台!$B$599:$B$615,0)-1,0),OFFSET(控制台!$F$618,MATCH(F24,控制台!$B$618:$B$636,0)-1,0))</f>
        <v>1492.992</v>
      </c>
      <c r="V24" s="1">
        <f ca="1">IF(E24=1,U24/G24,IF(E24=5,U24/G24*OFFSET(控制台!$D$641,MATCH(B24,控制台!$B$641:$B$645,0)-1,0),U24/G24*OFFSET(控制台!$H$641,MATCH(B24,控制台!$F$641:$F$650,0)-1,0)))</f>
        <v>23.6982857142857</v>
      </c>
      <c r="W24" s="20">
        <f ca="1" t="shared" si="1"/>
        <v>0.0164571428571428</v>
      </c>
      <c r="X24" s="15">
        <f ca="1">IF(C24=1,OFFSET(控制台!$U$599,MATCH(F24,控制台!$B$599:$B$615,0)-1,0),OFFSET(控制台!$U$618,MATCH(F24,控制台!$B$618:$B$636,0)-1,0))</f>
        <v>4176</v>
      </c>
      <c r="Y24" s="16">
        <f ca="1">_xlfn.FLOOR.MATH(IF(E24=1,X24/G24,IF(E24=5,X24/G24*OFFSET(控制台!$D$641,MATCH(B24,控制台!$B$641:$B$645,0)-1,0),X24/G24*OFFSET(控制台!$H$641,MATCH(B24,控制台!$F$641:$F$650,0)-1,0))))</f>
        <v>66</v>
      </c>
      <c r="Z24" s="16">
        <f ca="1" t="shared" si="2"/>
        <v>66</v>
      </c>
    </row>
    <row r="25" spans="1:26">
      <c r="A25" s="1">
        <v>10501</v>
      </c>
      <c r="B25" s="1">
        <v>2</v>
      </c>
      <c r="C25" s="1">
        <v>1</v>
      </c>
      <c r="D25" s="1" t="s">
        <v>2781</v>
      </c>
      <c r="E25" s="1">
        <f ca="1">IF(C25=1,OFFSET(控制台!$F$552,MATCH(A25,控制台!$B$552:$B$580,0)-1,0),OFFSET(控制台!$L$552,MATCH(A25,控制台!$H$552:$H$594,0)-1,0))</f>
        <v>5</v>
      </c>
      <c r="F25" s="1">
        <f ca="1">IF(C25=1,OFFSET(控制台!$D$552,MATCH(A25,控制台!$B$552:$B$580,0)-1,0),OFFSET(控制台!$J$552,MATCH(A25,控制台!$H$552:$H$594,0)-1,0))</f>
        <v>5</v>
      </c>
      <c r="G25" s="1">
        <f ca="1">IF(C25=1,OFFSET(控制台!$I$599,MATCH(F25,控制台!$B$599:$B$615,0)-1,0),OFFSET(控制台!$I$618,MATCH(F25,控制台!$B$618:$B$636,0)-1,0))</f>
        <v>3</v>
      </c>
      <c r="H25" s="1">
        <f ca="1">IF(C25=1,OFFSET(控制台!$D$599,MATCH(F25,控制台!$B$599:$B$615,0)-1,0),OFFSET(控制台!$D$618,MATCH(F25,控制台!$B$618:$B$636,0)-1,0))</f>
        <v>604800</v>
      </c>
      <c r="I25" s="1">
        <f ca="1">IF(E25=1,H25/G25,IF(E25=5,H25/G25*OFFSET(控制台!$D$641,MATCH(B25,控制台!$B$641:$B$645,0)-1,0),H25/G25*OFFSET(控制台!$H$641,MATCH(B25,控制台!$F$641:$F$650,0)-1,0)))</f>
        <v>19200</v>
      </c>
      <c r="J25" s="1">
        <f ca="1">$I25/3*控制台!H$102</f>
        <v>6400</v>
      </c>
      <c r="K25" s="1">
        <f ca="1">$I25/3*控制台!I$102</f>
        <v>4800</v>
      </c>
      <c r="L25" s="1">
        <f ca="1">$I25/3*控制台!J$102</f>
        <v>8000</v>
      </c>
      <c r="M25" s="1">
        <f ca="1">_xlfn.FLOOR.MATH(J25,POWER(10,MAX(2,INT(LOG10(J25)-2))))</f>
        <v>6400</v>
      </c>
      <c r="N25" s="1">
        <f ca="1">_xlfn.FLOOR.MATH(K25,POWER(10,MAX(2,INT(LOG10(K25)-2))))</f>
        <v>4800</v>
      </c>
      <c r="O25" s="1">
        <f ca="1">_xlfn.FLOOR.MATH(L25,POWER(10,MAX(2,INT(LOG10(L25)-2))))</f>
        <v>8000</v>
      </c>
      <c r="P25" s="4" t="str">
        <f ca="1" t="shared" si="0"/>
        <v>6400;4800;8000</v>
      </c>
      <c r="Q25" s="15">
        <f ca="1">IF(C25=1,OFFSET(控制台!$H$599,MATCH(F25,控制台!$B$599:$B$615,0)-1,0),OFFSET(控制台!$H$618,MATCH(F25,控制台!$B$618:$B$636,0)-1,0))</f>
        <v>1634.82624</v>
      </c>
      <c r="R25" s="15">
        <f ca="1">IF(E25=1,Q25/G25,IF(E25=5,Q25/G25*OFFSET(控制台!$D$641,MATCH(B25,控制台!$B$641:$B$645,0)-1,0),Q25/G25*OFFSET(控制台!$H$641,MATCH(B25,控制台!$F$641:$F$650,0)-1,0)))</f>
        <v>51.8992457142857</v>
      </c>
      <c r="S25" s="16">
        <f ca="1">_xlfn.FLOOR.MATH(R25)*60</f>
        <v>3060</v>
      </c>
      <c r="T25" s="16">
        <f ca="1">8000+IF(C25=1,OFFSET(控制台!$K$599,MATCH(F25,控制台!$B$599:$B$615,0)-1,0),OFFSET(控制台!$K$618,MATCH(F25,控制台!$B$618:$B$636,0)-1,0))</f>
        <v>8010</v>
      </c>
      <c r="U25" s="1">
        <f ca="1">IF(C25=1,OFFSET(控制台!$F$599,MATCH(F25,控制台!$B$599:$B$615,0)-1,0),OFFSET(控制台!$F$618,MATCH(F25,控制台!$B$618:$B$636,0)-1,0))</f>
        <v>1492.992</v>
      </c>
      <c r="V25" s="1">
        <f ca="1">IF(E25=1,U25/G25,IF(E25=5,U25/G25*OFFSET(控制台!$D$641,MATCH(B25,控制台!$B$641:$B$645,0)-1,0),U25/G25*OFFSET(控制台!$H$641,MATCH(B25,控制台!$F$641:$F$650,0)-1,0)))</f>
        <v>47.3965714285714</v>
      </c>
      <c r="W25" s="20">
        <f ca="1" t="shared" si="1"/>
        <v>0.0329142857142857</v>
      </c>
      <c r="X25" s="15">
        <f ca="1">IF(C25=1,OFFSET(控制台!$U$599,MATCH(F25,控制台!$B$599:$B$615,0)-1,0),OFFSET(控制台!$U$618,MATCH(F25,控制台!$B$618:$B$636,0)-1,0))</f>
        <v>4176</v>
      </c>
      <c r="Y25" s="16">
        <f ca="1">_xlfn.FLOOR.MATH(IF(E25=1,X25/G25,IF(E25=5,X25/G25*OFFSET(控制台!$D$641,MATCH(B25,控制台!$B$641:$B$645,0)-1,0),X25/G25*OFFSET(控制台!$H$641,MATCH(B25,控制台!$F$641:$F$650,0)-1,0))))</f>
        <v>132</v>
      </c>
      <c r="Z25" s="16">
        <f ca="1" t="shared" si="2"/>
        <v>198</v>
      </c>
    </row>
    <row r="26" spans="1:26">
      <c r="A26" s="1">
        <v>10501</v>
      </c>
      <c r="B26" s="1">
        <v>3</v>
      </c>
      <c r="C26" s="1">
        <v>1</v>
      </c>
      <c r="D26" s="1" t="s">
        <v>2781</v>
      </c>
      <c r="E26" s="1">
        <f ca="1">IF(C26=1,OFFSET(控制台!$F$552,MATCH(A26,控制台!$B$552:$B$580,0)-1,0),OFFSET(控制台!$L$552,MATCH(A26,控制台!$H$552:$H$594,0)-1,0))</f>
        <v>5</v>
      </c>
      <c r="F26" s="1">
        <f ca="1">IF(C26=1,OFFSET(控制台!$D$552,MATCH(A26,控制台!$B$552:$B$580,0)-1,0),OFFSET(控制台!$J$552,MATCH(A26,控制台!$H$552:$H$594,0)-1,0))</f>
        <v>5</v>
      </c>
      <c r="G26" s="1">
        <f ca="1">IF(C26=1,OFFSET(控制台!$I$599,MATCH(F26,控制台!$B$599:$B$615,0)-1,0),OFFSET(控制台!$I$618,MATCH(F26,控制台!$B$618:$B$636,0)-1,0))</f>
        <v>3</v>
      </c>
      <c r="H26" s="1">
        <f ca="1">IF(C26=1,OFFSET(控制台!$D$599,MATCH(F26,控制台!$B$599:$B$615,0)-1,0),OFFSET(控制台!$D$618,MATCH(F26,控制台!$B$618:$B$636,0)-1,0))</f>
        <v>604800</v>
      </c>
      <c r="I26" s="1">
        <f ca="1">IF(E26=1,H26/G26,IF(E26=5,H26/G26*OFFSET(控制台!$D$641,MATCH(B26,控制台!$B$641:$B$645,0)-1,0),H26/G26*OFFSET(控制台!$H$641,MATCH(B26,控制台!$F$641:$F$650,0)-1,0)))</f>
        <v>28800</v>
      </c>
      <c r="J26" s="1">
        <f ca="1">$I26/3*控制台!H$102</f>
        <v>9600.00000000001</v>
      </c>
      <c r="K26" s="1">
        <f ca="1">$I26/3*控制台!I$102</f>
        <v>7200.00000000001</v>
      </c>
      <c r="L26" s="1">
        <f ca="1">$I26/3*控制台!J$102</f>
        <v>12000</v>
      </c>
      <c r="M26" s="1">
        <f ca="1">_xlfn.FLOOR.MATH(J26,POWER(10,MAX(2,INT(LOG10(J26)-2))))</f>
        <v>9600</v>
      </c>
      <c r="N26" s="1">
        <f ca="1">_xlfn.FLOOR.MATH(K26,POWER(10,MAX(2,INT(LOG10(K26)-2))))</f>
        <v>7200</v>
      </c>
      <c r="O26" s="1">
        <f ca="1">_xlfn.FLOOR.MATH(L26,POWER(10,MAX(2,INT(LOG10(L26)-2))))</f>
        <v>12000</v>
      </c>
      <c r="P26" s="4" t="str">
        <f ca="1" t="shared" si="0"/>
        <v>9600;7200;12000</v>
      </c>
      <c r="Q26" s="15">
        <f ca="1">IF(C26=1,OFFSET(控制台!$H$599,MATCH(F26,控制台!$B$599:$B$615,0)-1,0),OFFSET(控制台!$H$618,MATCH(F26,控制台!$B$618:$B$636,0)-1,0))</f>
        <v>1634.82624</v>
      </c>
      <c r="R26" s="15">
        <f ca="1">IF(E26=1,Q26/G26,IF(E26=5,Q26/G26*OFFSET(控制台!$D$641,MATCH(B26,控制台!$B$641:$B$645,0)-1,0),Q26/G26*OFFSET(控制台!$H$641,MATCH(B26,控制台!$F$641:$F$650,0)-1,0)))</f>
        <v>77.8488685714286</v>
      </c>
      <c r="S26" s="16">
        <f ca="1">_xlfn.FLOOR.MATH(R26)*60</f>
        <v>4620</v>
      </c>
      <c r="T26" s="16">
        <f ca="1">8000+IF(C26=1,OFFSET(控制台!$K$599,MATCH(F26,控制台!$B$599:$B$615,0)-1,0),OFFSET(控制台!$K$618,MATCH(F26,控制台!$B$618:$B$636,0)-1,0))</f>
        <v>8010</v>
      </c>
      <c r="U26" s="1">
        <f ca="1">IF(C26=1,OFFSET(控制台!$F$599,MATCH(F26,控制台!$B$599:$B$615,0)-1,0),OFFSET(控制台!$F$618,MATCH(F26,控制台!$B$618:$B$636,0)-1,0))</f>
        <v>1492.992</v>
      </c>
      <c r="V26" s="1">
        <f ca="1">IF(E26=1,U26/G26,IF(E26=5,U26/G26*OFFSET(控制台!$D$641,MATCH(B26,控制台!$B$641:$B$645,0)-1,0),U26/G26*OFFSET(控制台!$H$641,MATCH(B26,控制台!$F$641:$F$650,0)-1,0)))</f>
        <v>71.0948571428572</v>
      </c>
      <c r="W26" s="20">
        <f ca="1" t="shared" si="1"/>
        <v>0.0493714285714286</v>
      </c>
      <c r="X26" s="15">
        <f ca="1">IF(C26=1,OFFSET(控制台!$U$599,MATCH(F26,控制台!$B$599:$B$615,0)-1,0),OFFSET(控制台!$U$618,MATCH(F26,控制台!$B$618:$B$636,0)-1,0))</f>
        <v>4176</v>
      </c>
      <c r="Y26" s="16">
        <f ca="1">_xlfn.FLOOR.MATH(IF(E26=1,X26/G26,IF(E26=5,X26/G26*OFFSET(控制台!$D$641,MATCH(B26,控制台!$B$641:$B$645,0)-1,0),X26/G26*OFFSET(控制台!$H$641,MATCH(B26,控制台!$F$641:$F$650,0)-1,0))))</f>
        <v>198</v>
      </c>
      <c r="Z26" s="16">
        <f ca="1" t="shared" si="2"/>
        <v>396</v>
      </c>
    </row>
    <row r="27" spans="1:26">
      <c r="A27" s="1">
        <v>10501</v>
      </c>
      <c r="B27" s="1">
        <v>4</v>
      </c>
      <c r="C27" s="1">
        <v>1</v>
      </c>
      <c r="D27" s="1" t="s">
        <v>2781</v>
      </c>
      <c r="E27" s="1">
        <f ca="1">IF(C27=1,OFFSET(控制台!$F$552,MATCH(A27,控制台!$B$552:$B$580,0)-1,0),OFFSET(控制台!$L$552,MATCH(A27,控制台!$H$552:$H$594,0)-1,0))</f>
        <v>5</v>
      </c>
      <c r="F27" s="1">
        <f ca="1">IF(C27=1,OFFSET(控制台!$D$552,MATCH(A27,控制台!$B$552:$B$580,0)-1,0),OFFSET(控制台!$J$552,MATCH(A27,控制台!$H$552:$H$594,0)-1,0))</f>
        <v>5</v>
      </c>
      <c r="G27" s="1">
        <f ca="1">IF(C27=1,OFFSET(控制台!$I$599,MATCH(F27,控制台!$B$599:$B$615,0)-1,0),OFFSET(控制台!$I$618,MATCH(F27,控制台!$B$618:$B$636,0)-1,0))</f>
        <v>3</v>
      </c>
      <c r="H27" s="1">
        <f ca="1">IF(C27=1,OFFSET(控制台!$D$599,MATCH(F27,控制台!$B$599:$B$615,0)-1,0),OFFSET(控制台!$D$618,MATCH(F27,控制台!$B$618:$B$636,0)-1,0))</f>
        <v>604800</v>
      </c>
      <c r="I27" s="1">
        <f ca="1">IF(E27=1,H27/G27,IF(E27=5,H27/G27*OFFSET(控制台!$D$641,MATCH(B27,控制台!$B$641:$B$645,0)-1,0),H27/G27*OFFSET(控制台!$H$641,MATCH(B27,控制台!$F$641:$F$650,0)-1,0)))</f>
        <v>48000</v>
      </c>
      <c r="J27" s="1">
        <f ca="1">$I27/3*控制台!H$102</f>
        <v>16000</v>
      </c>
      <c r="K27" s="1">
        <f ca="1">$I27/3*控制台!I$102</f>
        <v>12000</v>
      </c>
      <c r="L27" s="1">
        <f ca="1">$I27/3*控制台!J$102</f>
        <v>20000</v>
      </c>
      <c r="M27" s="1">
        <f ca="1">_xlfn.FLOOR.MATH(J27,POWER(10,MAX(2,INT(LOG10(J27)-2))))</f>
        <v>16000</v>
      </c>
      <c r="N27" s="1">
        <f ca="1">_xlfn.FLOOR.MATH(K27,POWER(10,MAX(2,INT(LOG10(K27)-2))))</f>
        <v>12000</v>
      </c>
      <c r="O27" s="1">
        <f ca="1">_xlfn.FLOOR.MATH(L27,POWER(10,MAX(2,INT(LOG10(L27)-2))))</f>
        <v>20000</v>
      </c>
      <c r="P27" s="4" t="str">
        <f ca="1" t="shared" si="0"/>
        <v>16000;12000;20000</v>
      </c>
      <c r="Q27" s="15">
        <f ca="1">IF(C27=1,OFFSET(控制台!$H$599,MATCH(F27,控制台!$B$599:$B$615,0)-1,0),OFFSET(控制台!$H$618,MATCH(F27,控制台!$B$618:$B$636,0)-1,0))</f>
        <v>1634.82624</v>
      </c>
      <c r="R27" s="15">
        <f ca="1">IF(E27=1,Q27/G27,IF(E27=5,Q27/G27*OFFSET(控制台!$D$641,MATCH(B27,控制台!$B$641:$B$645,0)-1,0),Q27/G27*OFFSET(控制台!$H$641,MATCH(B27,控制台!$F$641:$F$650,0)-1,0)))</f>
        <v>129.748114285714</v>
      </c>
      <c r="S27" s="16">
        <f ca="1">_xlfn.FLOOR.MATH(R27)*60</f>
        <v>7740</v>
      </c>
      <c r="T27" s="16">
        <f ca="1">8000+IF(C27=1,OFFSET(控制台!$K$599,MATCH(F27,控制台!$B$599:$B$615,0)-1,0),OFFSET(控制台!$K$618,MATCH(F27,控制台!$B$618:$B$636,0)-1,0))</f>
        <v>8010</v>
      </c>
      <c r="U27" s="1">
        <f ca="1">IF(C27=1,OFFSET(控制台!$F$599,MATCH(F27,控制台!$B$599:$B$615,0)-1,0),OFFSET(控制台!$F$618,MATCH(F27,控制台!$B$618:$B$636,0)-1,0))</f>
        <v>1492.992</v>
      </c>
      <c r="V27" s="1">
        <f ca="1">IF(E27=1,U27/G27,IF(E27=5,U27/G27*OFFSET(控制台!$D$641,MATCH(B27,控制台!$B$641:$B$645,0)-1,0),U27/G27*OFFSET(控制台!$H$641,MATCH(B27,控制台!$F$641:$F$650,0)-1,0)))</f>
        <v>118.491428571428</v>
      </c>
      <c r="W27" s="20">
        <f ca="1" t="shared" si="1"/>
        <v>0.0822857142857142</v>
      </c>
      <c r="X27" s="15">
        <f ca="1">IF(C27=1,OFFSET(控制台!$U$599,MATCH(F27,控制台!$B$599:$B$615,0)-1,0),OFFSET(控制台!$U$618,MATCH(F27,控制台!$B$618:$B$636,0)-1,0))</f>
        <v>4176</v>
      </c>
      <c r="Y27" s="16">
        <f ca="1">_xlfn.FLOOR.MATH(IF(E27=1,X27/G27,IF(E27=5,X27/G27*OFFSET(控制台!$D$641,MATCH(B27,控制台!$B$641:$B$645,0)-1,0),X27/G27*OFFSET(控制台!$H$641,MATCH(B27,控制台!$F$641:$F$650,0)-1,0))))</f>
        <v>331</v>
      </c>
      <c r="Z27" s="16">
        <f ca="1" t="shared" si="2"/>
        <v>727</v>
      </c>
    </row>
    <row r="28" spans="1:26">
      <c r="A28" s="1">
        <v>10501</v>
      </c>
      <c r="B28" s="1">
        <v>5</v>
      </c>
      <c r="C28" s="1">
        <v>1</v>
      </c>
      <c r="D28" s="1" t="s">
        <v>2781</v>
      </c>
      <c r="E28" s="1">
        <f ca="1">IF(C28=1,OFFSET(控制台!$F$552,MATCH(A28,控制台!$B$552:$B$580,0)-1,0),OFFSET(控制台!$L$552,MATCH(A28,控制台!$H$552:$H$594,0)-1,0))</f>
        <v>5</v>
      </c>
      <c r="F28" s="1">
        <f ca="1">IF(C28=1,OFFSET(控制台!$D$552,MATCH(A28,控制台!$B$552:$B$580,0)-1,0),OFFSET(控制台!$J$552,MATCH(A28,控制台!$H$552:$H$594,0)-1,0))</f>
        <v>5</v>
      </c>
      <c r="G28" s="1">
        <f ca="1">IF(C28=1,OFFSET(控制台!$I$599,MATCH(F28,控制台!$B$599:$B$615,0)-1,0),OFFSET(控制台!$I$618,MATCH(F28,控制台!$B$618:$B$636,0)-1,0))</f>
        <v>3</v>
      </c>
      <c r="H28" s="1">
        <f ca="1">IF(C28=1,OFFSET(控制台!$D$599,MATCH(F28,控制台!$B$599:$B$615,0)-1,0),OFFSET(控制台!$D$618,MATCH(F28,控制台!$B$618:$B$636,0)-1,0))</f>
        <v>604800</v>
      </c>
      <c r="I28" s="1">
        <f ca="1">IF(E28=1,H28/G28,IF(E28=5,H28/G28*OFFSET(控制台!$D$641,MATCH(B28,控制台!$B$641:$B$645,0)-1,0),H28/G28*OFFSET(控制台!$H$641,MATCH(B28,控制台!$F$641:$F$650,0)-1,0)))</f>
        <v>96000</v>
      </c>
      <c r="J28" s="1">
        <f ca="1">$I28/3*控制台!H$102</f>
        <v>32000</v>
      </c>
      <c r="K28" s="1">
        <f ca="1">$I28/3*控制台!I$102</f>
        <v>24000</v>
      </c>
      <c r="L28" s="1">
        <f ca="1">$I28/3*控制台!J$102</f>
        <v>40000</v>
      </c>
      <c r="M28" s="1">
        <f ca="1">_xlfn.FLOOR.MATH(J28,POWER(10,MAX(2,INT(LOG10(J28)-2))))</f>
        <v>32000</v>
      </c>
      <c r="N28" s="1">
        <f ca="1">_xlfn.FLOOR.MATH(K28,POWER(10,MAX(2,INT(LOG10(K28)-2))))</f>
        <v>24000</v>
      </c>
      <c r="O28" s="1">
        <f ca="1">_xlfn.FLOOR.MATH(L28,POWER(10,MAX(2,INT(LOG10(L28)-2))))</f>
        <v>40000</v>
      </c>
      <c r="P28" s="4" t="str">
        <f ca="1" t="shared" si="0"/>
        <v>32000;24000;40000</v>
      </c>
      <c r="Q28" s="15">
        <f ca="1">IF(C28=1,OFFSET(控制台!$H$599,MATCH(F28,控制台!$B$599:$B$615,0)-1,0),OFFSET(控制台!$H$618,MATCH(F28,控制台!$B$618:$B$636,0)-1,0))</f>
        <v>1634.82624</v>
      </c>
      <c r="R28" s="15">
        <f ca="1">IF(E28=1,Q28/G28,IF(E28=5,Q28/G28*OFFSET(控制台!$D$641,MATCH(B28,控制台!$B$641:$B$645,0)-1,0),Q28/G28*OFFSET(控制台!$H$641,MATCH(B28,控制台!$F$641:$F$650,0)-1,0)))</f>
        <v>259.496228571428</v>
      </c>
      <c r="S28" s="16">
        <f ca="1">_xlfn.FLOOR.MATH(R28)*60</f>
        <v>15540</v>
      </c>
      <c r="T28" s="16">
        <f ca="1">8000+IF(C28=1,OFFSET(控制台!$K$599,MATCH(F28,控制台!$B$599:$B$615,0)-1,0),OFFSET(控制台!$K$618,MATCH(F28,控制台!$B$618:$B$636,0)-1,0))</f>
        <v>8010</v>
      </c>
      <c r="U28" s="1">
        <f ca="1">IF(C28=1,OFFSET(控制台!$F$599,MATCH(F28,控制台!$B$599:$B$615,0)-1,0),OFFSET(控制台!$F$618,MATCH(F28,控制台!$B$618:$B$636,0)-1,0))</f>
        <v>1492.992</v>
      </c>
      <c r="V28" s="1">
        <f ca="1">IF(E28=1,U28/G28,IF(E28=5,U28/G28*OFFSET(控制台!$D$641,MATCH(B28,控制台!$B$641:$B$645,0)-1,0),U28/G28*OFFSET(控制台!$H$641,MATCH(B28,控制台!$F$641:$F$650,0)-1,0)))</f>
        <v>236.982857142857</v>
      </c>
      <c r="W28" s="20">
        <f ca="1" t="shared" si="1"/>
        <v>0.164571428571428</v>
      </c>
      <c r="X28" s="15">
        <f ca="1">IF(C28=1,OFFSET(控制台!$U$599,MATCH(F28,控制台!$B$599:$B$615,0)-1,0),OFFSET(控制台!$U$618,MATCH(F28,控制台!$B$618:$B$636,0)-1,0))</f>
        <v>4176</v>
      </c>
      <c r="Y28" s="16">
        <f ca="1">_xlfn.FLOOR.MATH(IF(E28=1,X28/G28,IF(E28=5,X28/G28*OFFSET(控制台!$D$641,MATCH(B28,控制台!$B$641:$B$645,0)-1,0),X28/G28*OFFSET(控制台!$H$641,MATCH(B28,控制台!$F$641:$F$650,0)-1,0))))</f>
        <v>662</v>
      </c>
      <c r="Z28" s="16">
        <f ca="1" t="shared" si="2"/>
        <v>1389</v>
      </c>
    </row>
    <row r="29" spans="1:26">
      <c r="A29" s="1">
        <v>10502</v>
      </c>
      <c r="B29" s="1">
        <v>1</v>
      </c>
      <c r="C29" s="1">
        <v>1</v>
      </c>
      <c r="D29" s="1" t="s">
        <v>2782</v>
      </c>
      <c r="E29" s="1">
        <f ca="1">IF(C29=1,OFFSET(控制台!$F$552,MATCH(A29,控制台!$B$552:$B$580,0)-1,0),OFFSET(控制台!$L$552,MATCH(A29,控制台!$H$552:$H$594,0)-1,0))</f>
        <v>5</v>
      </c>
      <c r="F29" s="1">
        <f ca="1">IF(C29=1,OFFSET(控制台!$D$552,MATCH(A29,控制台!$B$552:$B$580,0)-1,0),OFFSET(控制台!$J$552,MATCH(A29,控制台!$H$552:$H$594,0)-1,0))</f>
        <v>5</v>
      </c>
      <c r="G29" s="1">
        <f ca="1">IF(C29=1,OFFSET(控制台!$I$599,MATCH(F29,控制台!$B$599:$B$615,0)-1,0),OFFSET(控制台!$I$618,MATCH(F29,控制台!$B$618:$B$636,0)-1,0))</f>
        <v>3</v>
      </c>
      <c r="H29" s="1">
        <f ca="1">IF(C29=1,OFFSET(控制台!$D$599,MATCH(F29,控制台!$B$599:$B$615,0)-1,0),OFFSET(控制台!$D$618,MATCH(F29,控制台!$B$618:$B$636,0)-1,0))</f>
        <v>604800</v>
      </c>
      <c r="I29" s="1">
        <f ca="1">IF(E29=1,H29/G29,IF(E29=5,H29/G29*OFFSET(控制台!$D$641,MATCH(B29,控制台!$B$641:$B$645,0)-1,0),H29/G29*OFFSET(控制台!$H$641,MATCH(B29,控制台!$F$641:$F$650,0)-1,0)))</f>
        <v>9600</v>
      </c>
      <c r="J29" s="1">
        <f ca="1">$I29/3*控制台!H$102</f>
        <v>3200</v>
      </c>
      <c r="K29" s="1">
        <f ca="1">$I29/3*控制台!I$102</f>
        <v>2400</v>
      </c>
      <c r="L29" s="1">
        <f ca="1">$I29/3*控制台!J$102</f>
        <v>4000</v>
      </c>
      <c r="M29" s="1">
        <f ca="1">_xlfn.FLOOR.MATH(J29,POWER(10,MAX(2,INT(LOG10(J29)-2))))</f>
        <v>3200</v>
      </c>
      <c r="N29" s="1">
        <f ca="1">_xlfn.FLOOR.MATH(K29,POWER(10,MAX(2,INT(LOG10(K29)-2))))</f>
        <v>2400</v>
      </c>
      <c r="O29" s="1">
        <f ca="1">_xlfn.FLOOR.MATH(L29,POWER(10,MAX(2,INT(LOG10(L29)-2))))</f>
        <v>4000</v>
      </c>
      <c r="P29" s="4" t="str">
        <f ca="1" t="shared" si="0"/>
        <v>3200;2400;4000</v>
      </c>
      <c r="Q29" s="15">
        <f ca="1">IF(C29=1,OFFSET(控制台!$H$599,MATCH(F29,控制台!$B$599:$B$615,0)-1,0),OFFSET(控制台!$H$618,MATCH(F29,控制台!$B$618:$B$636,0)-1,0))</f>
        <v>1634.82624</v>
      </c>
      <c r="R29" s="15">
        <f ca="1">IF(E29=1,Q29/G29,IF(E29=5,Q29/G29*OFFSET(控制台!$D$641,MATCH(B29,控制台!$B$641:$B$645,0)-1,0),Q29/G29*OFFSET(控制台!$H$641,MATCH(B29,控制台!$F$641:$F$650,0)-1,0)))</f>
        <v>25.9496228571428</v>
      </c>
      <c r="S29" s="16">
        <f ca="1">_xlfn.FLOOR.MATH(R29)*60</f>
        <v>1500</v>
      </c>
      <c r="T29" s="16">
        <f ca="1">8000+IF(C29=1,OFFSET(控制台!$K$599,MATCH(F29,控制台!$B$599:$B$615,0)-1,0),OFFSET(控制台!$K$618,MATCH(F29,控制台!$B$618:$B$636,0)-1,0))</f>
        <v>8010</v>
      </c>
      <c r="U29" s="1">
        <f ca="1">IF(C29=1,OFFSET(控制台!$F$599,MATCH(F29,控制台!$B$599:$B$615,0)-1,0),OFFSET(控制台!$F$618,MATCH(F29,控制台!$B$618:$B$636,0)-1,0))</f>
        <v>1492.992</v>
      </c>
      <c r="V29" s="1">
        <f ca="1">IF(E29=1,U29/G29,IF(E29=5,U29/G29*OFFSET(控制台!$D$641,MATCH(B29,控制台!$B$641:$B$645,0)-1,0),U29/G29*OFFSET(控制台!$H$641,MATCH(B29,控制台!$F$641:$F$650,0)-1,0)))</f>
        <v>23.6982857142857</v>
      </c>
      <c r="W29" s="20">
        <f ca="1" t="shared" si="1"/>
        <v>0.0164571428571428</v>
      </c>
      <c r="X29" s="15">
        <f ca="1">IF(C29=1,OFFSET(控制台!$U$599,MATCH(F29,控制台!$B$599:$B$615,0)-1,0),OFFSET(控制台!$U$618,MATCH(F29,控制台!$B$618:$B$636,0)-1,0))</f>
        <v>4176</v>
      </c>
      <c r="Y29" s="16">
        <f ca="1">_xlfn.FLOOR.MATH(IF(E29=1,X29/G29,IF(E29=5,X29/G29*OFFSET(控制台!$D$641,MATCH(B29,控制台!$B$641:$B$645,0)-1,0),X29/G29*OFFSET(控制台!$H$641,MATCH(B29,控制台!$F$641:$F$650,0)-1,0))))</f>
        <v>66</v>
      </c>
      <c r="Z29" s="16">
        <f ca="1" t="shared" si="2"/>
        <v>66</v>
      </c>
    </row>
    <row r="30" spans="1:26">
      <c r="A30" s="1">
        <v>10502</v>
      </c>
      <c r="B30" s="1">
        <v>2</v>
      </c>
      <c r="C30" s="1">
        <v>1</v>
      </c>
      <c r="D30" s="1" t="s">
        <v>2782</v>
      </c>
      <c r="E30" s="1">
        <f ca="1">IF(C30=1,OFFSET(控制台!$F$552,MATCH(A30,控制台!$B$552:$B$580,0)-1,0),OFFSET(控制台!$L$552,MATCH(A30,控制台!$H$552:$H$594,0)-1,0))</f>
        <v>5</v>
      </c>
      <c r="F30" s="1">
        <f ca="1">IF(C30=1,OFFSET(控制台!$D$552,MATCH(A30,控制台!$B$552:$B$580,0)-1,0),OFFSET(控制台!$J$552,MATCH(A30,控制台!$H$552:$H$594,0)-1,0))</f>
        <v>5</v>
      </c>
      <c r="G30" s="1">
        <f ca="1">IF(C30=1,OFFSET(控制台!$I$599,MATCH(F30,控制台!$B$599:$B$615,0)-1,0),OFFSET(控制台!$I$618,MATCH(F30,控制台!$B$618:$B$636,0)-1,0))</f>
        <v>3</v>
      </c>
      <c r="H30" s="1">
        <f ca="1">IF(C30=1,OFFSET(控制台!$D$599,MATCH(F30,控制台!$B$599:$B$615,0)-1,0),OFFSET(控制台!$D$618,MATCH(F30,控制台!$B$618:$B$636,0)-1,0))</f>
        <v>604800</v>
      </c>
      <c r="I30" s="1">
        <f ca="1">IF(E30=1,H30/G30,IF(E30=5,H30/G30*OFFSET(控制台!$D$641,MATCH(B30,控制台!$B$641:$B$645,0)-1,0),H30/G30*OFFSET(控制台!$H$641,MATCH(B30,控制台!$F$641:$F$650,0)-1,0)))</f>
        <v>19200</v>
      </c>
      <c r="J30" s="1">
        <f ca="1">$I30/3*控制台!H$102</f>
        <v>6400</v>
      </c>
      <c r="K30" s="1">
        <f ca="1">$I30/3*控制台!I$102</f>
        <v>4800</v>
      </c>
      <c r="L30" s="1">
        <f ca="1">$I30/3*控制台!J$102</f>
        <v>8000</v>
      </c>
      <c r="M30" s="1">
        <f ca="1">_xlfn.FLOOR.MATH(J30,POWER(10,MAX(2,INT(LOG10(J30)-2))))</f>
        <v>6400</v>
      </c>
      <c r="N30" s="1">
        <f ca="1">_xlfn.FLOOR.MATH(K30,POWER(10,MAX(2,INT(LOG10(K30)-2))))</f>
        <v>4800</v>
      </c>
      <c r="O30" s="1">
        <f ca="1">_xlfn.FLOOR.MATH(L30,POWER(10,MAX(2,INT(LOG10(L30)-2))))</f>
        <v>8000</v>
      </c>
      <c r="P30" s="4" t="str">
        <f ca="1" t="shared" si="0"/>
        <v>6400;4800;8000</v>
      </c>
      <c r="Q30" s="15">
        <f ca="1">IF(C30=1,OFFSET(控制台!$H$599,MATCH(F30,控制台!$B$599:$B$615,0)-1,0),OFFSET(控制台!$H$618,MATCH(F30,控制台!$B$618:$B$636,0)-1,0))</f>
        <v>1634.82624</v>
      </c>
      <c r="R30" s="15">
        <f ca="1">IF(E30=1,Q30/G30,IF(E30=5,Q30/G30*OFFSET(控制台!$D$641,MATCH(B30,控制台!$B$641:$B$645,0)-1,0),Q30/G30*OFFSET(控制台!$H$641,MATCH(B30,控制台!$F$641:$F$650,0)-1,0)))</f>
        <v>51.8992457142857</v>
      </c>
      <c r="S30" s="16">
        <f ca="1">_xlfn.FLOOR.MATH(R30)*60</f>
        <v>3060</v>
      </c>
      <c r="T30" s="16">
        <f ca="1">8000+IF(C30=1,OFFSET(控制台!$K$599,MATCH(F30,控制台!$B$599:$B$615,0)-1,0),OFFSET(控制台!$K$618,MATCH(F30,控制台!$B$618:$B$636,0)-1,0))</f>
        <v>8010</v>
      </c>
      <c r="U30" s="1">
        <f ca="1">IF(C30=1,OFFSET(控制台!$F$599,MATCH(F30,控制台!$B$599:$B$615,0)-1,0),OFFSET(控制台!$F$618,MATCH(F30,控制台!$B$618:$B$636,0)-1,0))</f>
        <v>1492.992</v>
      </c>
      <c r="V30" s="1">
        <f ca="1">IF(E30=1,U30/G30,IF(E30=5,U30/G30*OFFSET(控制台!$D$641,MATCH(B30,控制台!$B$641:$B$645,0)-1,0),U30/G30*OFFSET(控制台!$H$641,MATCH(B30,控制台!$F$641:$F$650,0)-1,0)))</f>
        <v>47.3965714285714</v>
      </c>
      <c r="W30" s="20">
        <f ca="1" t="shared" si="1"/>
        <v>0.0329142857142857</v>
      </c>
      <c r="X30" s="15">
        <f ca="1">IF(C30=1,OFFSET(控制台!$U$599,MATCH(F30,控制台!$B$599:$B$615,0)-1,0),OFFSET(控制台!$U$618,MATCH(F30,控制台!$B$618:$B$636,0)-1,0))</f>
        <v>4176</v>
      </c>
      <c r="Y30" s="16">
        <f ca="1">_xlfn.FLOOR.MATH(IF(E30=1,X30/G30,IF(E30=5,X30/G30*OFFSET(控制台!$D$641,MATCH(B30,控制台!$B$641:$B$645,0)-1,0),X30/G30*OFFSET(控制台!$H$641,MATCH(B30,控制台!$F$641:$F$650,0)-1,0))))</f>
        <v>132</v>
      </c>
      <c r="Z30" s="16">
        <f ca="1" t="shared" si="2"/>
        <v>198</v>
      </c>
    </row>
    <row r="31" spans="1:26">
      <c r="A31" s="1">
        <v>10502</v>
      </c>
      <c r="B31" s="1">
        <v>3</v>
      </c>
      <c r="C31" s="1">
        <v>1</v>
      </c>
      <c r="D31" s="1" t="s">
        <v>2782</v>
      </c>
      <c r="E31" s="1">
        <f ca="1">IF(C31=1,OFFSET(控制台!$F$552,MATCH(A31,控制台!$B$552:$B$580,0)-1,0),OFFSET(控制台!$L$552,MATCH(A31,控制台!$H$552:$H$594,0)-1,0))</f>
        <v>5</v>
      </c>
      <c r="F31" s="1">
        <f ca="1">IF(C31=1,OFFSET(控制台!$D$552,MATCH(A31,控制台!$B$552:$B$580,0)-1,0),OFFSET(控制台!$J$552,MATCH(A31,控制台!$H$552:$H$594,0)-1,0))</f>
        <v>5</v>
      </c>
      <c r="G31" s="1">
        <f ca="1">IF(C31=1,OFFSET(控制台!$I$599,MATCH(F31,控制台!$B$599:$B$615,0)-1,0),OFFSET(控制台!$I$618,MATCH(F31,控制台!$B$618:$B$636,0)-1,0))</f>
        <v>3</v>
      </c>
      <c r="H31" s="1">
        <f ca="1">IF(C31=1,OFFSET(控制台!$D$599,MATCH(F31,控制台!$B$599:$B$615,0)-1,0),OFFSET(控制台!$D$618,MATCH(F31,控制台!$B$618:$B$636,0)-1,0))</f>
        <v>604800</v>
      </c>
      <c r="I31" s="1">
        <f ca="1">IF(E31=1,H31/G31,IF(E31=5,H31/G31*OFFSET(控制台!$D$641,MATCH(B31,控制台!$B$641:$B$645,0)-1,0),H31/G31*OFFSET(控制台!$H$641,MATCH(B31,控制台!$F$641:$F$650,0)-1,0)))</f>
        <v>28800</v>
      </c>
      <c r="J31" s="1">
        <f ca="1">$I31/3*控制台!H$102</f>
        <v>9600.00000000001</v>
      </c>
      <c r="K31" s="1">
        <f ca="1">$I31/3*控制台!I$102</f>
        <v>7200.00000000001</v>
      </c>
      <c r="L31" s="1">
        <f ca="1">$I31/3*控制台!J$102</f>
        <v>12000</v>
      </c>
      <c r="M31" s="1">
        <f ca="1">_xlfn.FLOOR.MATH(J31,POWER(10,MAX(2,INT(LOG10(J31)-2))))</f>
        <v>9600</v>
      </c>
      <c r="N31" s="1">
        <f ca="1">_xlfn.FLOOR.MATH(K31,POWER(10,MAX(2,INT(LOG10(K31)-2))))</f>
        <v>7200</v>
      </c>
      <c r="O31" s="1">
        <f ca="1">_xlfn.FLOOR.MATH(L31,POWER(10,MAX(2,INT(LOG10(L31)-2))))</f>
        <v>12000</v>
      </c>
      <c r="P31" s="4" t="str">
        <f ca="1" t="shared" si="0"/>
        <v>9600;7200;12000</v>
      </c>
      <c r="Q31" s="15">
        <f ca="1">IF(C31=1,OFFSET(控制台!$H$599,MATCH(F31,控制台!$B$599:$B$615,0)-1,0),OFFSET(控制台!$H$618,MATCH(F31,控制台!$B$618:$B$636,0)-1,0))</f>
        <v>1634.82624</v>
      </c>
      <c r="R31" s="15">
        <f ca="1">IF(E31=1,Q31/G31,IF(E31=5,Q31/G31*OFFSET(控制台!$D$641,MATCH(B31,控制台!$B$641:$B$645,0)-1,0),Q31/G31*OFFSET(控制台!$H$641,MATCH(B31,控制台!$F$641:$F$650,0)-1,0)))</f>
        <v>77.8488685714286</v>
      </c>
      <c r="S31" s="16">
        <f ca="1">_xlfn.FLOOR.MATH(R31)*60</f>
        <v>4620</v>
      </c>
      <c r="T31" s="16">
        <f ca="1">8000+IF(C31=1,OFFSET(控制台!$K$599,MATCH(F31,控制台!$B$599:$B$615,0)-1,0),OFFSET(控制台!$K$618,MATCH(F31,控制台!$B$618:$B$636,0)-1,0))</f>
        <v>8010</v>
      </c>
      <c r="U31" s="1">
        <f ca="1">IF(C31=1,OFFSET(控制台!$F$599,MATCH(F31,控制台!$B$599:$B$615,0)-1,0),OFFSET(控制台!$F$618,MATCH(F31,控制台!$B$618:$B$636,0)-1,0))</f>
        <v>1492.992</v>
      </c>
      <c r="V31" s="1">
        <f ca="1">IF(E31=1,U31/G31,IF(E31=5,U31/G31*OFFSET(控制台!$D$641,MATCH(B31,控制台!$B$641:$B$645,0)-1,0),U31/G31*OFFSET(控制台!$H$641,MATCH(B31,控制台!$F$641:$F$650,0)-1,0)))</f>
        <v>71.0948571428572</v>
      </c>
      <c r="W31" s="20">
        <f ca="1" t="shared" si="1"/>
        <v>0.0493714285714286</v>
      </c>
      <c r="X31" s="15">
        <f ca="1">IF(C31=1,OFFSET(控制台!$U$599,MATCH(F31,控制台!$B$599:$B$615,0)-1,0),OFFSET(控制台!$U$618,MATCH(F31,控制台!$B$618:$B$636,0)-1,0))</f>
        <v>4176</v>
      </c>
      <c r="Y31" s="16">
        <f ca="1">_xlfn.FLOOR.MATH(IF(E31=1,X31/G31,IF(E31=5,X31/G31*OFFSET(控制台!$D$641,MATCH(B31,控制台!$B$641:$B$645,0)-1,0),X31/G31*OFFSET(控制台!$H$641,MATCH(B31,控制台!$F$641:$F$650,0)-1,0))))</f>
        <v>198</v>
      </c>
      <c r="Z31" s="16">
        <f ca="1" t="shared" si="2"/>
        <v>396</v>
      </c>
    </row>
    <row r="32" spans="1:26">
      <c r="A32" s="1">
        <v>10502</v>
      </c>
      <c r="B32" s="1">
        <v>4</v>
      </c>
      <c r="C32" s="1">
        <v>1</v>
      </c>
      <c r="D32" s="1" t="s">
        <v>2782</v>
      </c>
      <c r="E32" s="1">
        <f ca="1">IF(C32=1,OFFSET(控制台!$F$552,MATCH(A32,控制台!$B$552:$B$580,0)-1,0),OFFSET(控制台!$L$552,MATCH(A32,控制台!$H$552:$H$594,0)-1,0))</f>
        <v>5</v>
      </c>
      <c r="F32" s="1">
        <f ca="1">IF(C32=1,OFFSET(控制台!$D$552,MATCH(A32,控制台!$B$552:$B$580,0)-1,0),OFFSET(控制台!$J$552,MATCH(A32,控制台!$H$552:$H$594,0)-1,0))</f>
        <v>5</v>
      </c>
      <c r="G32" s="1">
        <f ca="1">IF(C32=1,OFFSET(控制台!$I$599,MATCH(F32,控制台!$B$599:$B$615,0)-1,0),OFFSET(控制台!$I$618,MATCH(F32,控制台!$B$618:$B$636,0)-1,0))</f>
        <v>3</v>
      </c>
      <c r="H32" s="1">
        <f ca="1">IF(C32=1,OFFSET(控制台!$D$599,MATCH(F32,控制台!$B$599:$B$615,0)-1,0),OFFSET(控制台!$D$618,MATCH(F32,控制台!$B$618:$B$636,0)-1,0))</f>
        <v>604800</v>
      </c>
      <c r="I32" s="1">
        <f ca="1">IF(E32=1,H32/G32,IF(E32=5,H32/G32*OFFSET(控制台!$D$641,MATCH(B32,控制台!$B$641:$B$645,0)-1,0),H32/G32*OFFSET(控制台!$H$641,MATCH(B32,控制台!$F$641:$F$650,0)-1,0)))</f>
        <v>48000</v>
      </c>
      <c r="J32" s="1">
        <f ca="1">$I32/3*控制台!H$102</f>
        <v>16000</v>
      </c>
      <c r="K32" s="1">
        <f ca="1">$I32/3*控制台!I$102</f>
        <v>12000</v>
      </c>
      <c r="L32" s="1">
        <f ca="1">$I32/3*控制台!J$102</f>
        <v>20000</v>
      </c>
      <c r="M32" s="1">
        <f ca="1">_xlfn.FLOOR.MATH(J32,POWER(10,MAX(2,INT(LOG10(J32)-2))))</f>
        <v>16000</v>
      </c>
      <c r="N32" s="1">
        <f ca="1">_xlfn.FLOOR.MATH(K32,POWER(10,MAX(2,INT(LOG10(K32)-2))))</f>
        <v>12000</v>
      </c>
      <c r="O32" s="1">
        <f ca="1">_xlfn.FLOOR.MATH(L32,POWER(10,MAX(2,INT(LOG10(L32)-2))))</f>
        <v>20000</v>
      </c>
      <c r="P32" s="4" t="str">
        <f ca="1" t="shared" si="0"/>
        <v>16000;12000;20000</v>
      </c>
      <c r="Q32" s="15">
        <f ca="1">IF(C32=1,OFFSET(控制台!$H$599,MATCH(F32,控制台!$B$599:$B$615,0)-1,0),OFFSET(控制台!$H$618,MATCH(F32,控制台!$B$618:$B$636,0)-1,0))</f>
        <v>1634.82624</v>
      </c>
      <c r="R32" s="15">
        <f ca="1">IF(E32=1,Q32/G32,IF(E32=5,Q32/G32*OFFSET(控制台!$D$641,MATCH(B32,控制台!$B$641:$B$645,0)-1,0),Q32/G32*OFFSET(控制台!$H$641,MATCH(B32,控制台!$F$641:$F$650,0)-1,0)))</f>
        <v>129.748114285714</v>
      </c>
      <c r="S32" s="16">
        <f ca="1">_xlfn.FLOOR.MATH(R32)*60</f>
        <v>7740</v>
      </c>
      <c r="T32" s="16">
        <f ca="1">8000+IF(C32=1,OFFSET(控制台!$K$599,MATCH(F32,控制台!$B$599:$B$615,0)-1,0),OFFSET(控制台!$K$618,MATCH(F32,控制台!$B$618:$B$636,0)-1,0))</f>
        <v>8010</v>
      </c>
      <c r="U32" s="1">
        <f ca="1">IF(C32=1,OFFSET(控制台!$F$599,MATCH(F32,控制台!$B$599:$B$615,0)-1,0),OFFSET(控制台!$F$618,MATCH(F32,控制台!$B$618:$B$636,0)-1,0))</f>
        <v>1492.992</v>
      </c>
      <c r="V32" s="1">
        <f ca="1">IF(E32=1,U32/G32,IF(E32=5,U32/G32*OFFSET(控制台!$D$641,MATCH(B32,控制台!$B$641:$B$645,0)-1,0),U32/G32*OFFSET(控制台!$H$641,MATCH(B32,控制台!$F$641:$F$650,0)-1,0)))</f>
        <v>118.491428571428</v>
      </c>
      <c r="W32" s="20">
        <f ca="1" t="shared" si="1"/>
        <v>0.0822857142857142</v>
      </c>
      <c r="X32" s="15">
        <f ca="1">IF(C32=1,OFFSET(控制台!$U$599,MATCH(F32,控制台!$B$599:$B$615,0)-1,0),OFFSET(控制台!$U$618,MATCH(F32,控制台!$B$618:$B$636,0)-1,0))</f>
        <v>4176</v>
      </c>
      <c r="Y32" s="16">
        <f ca="1">_xlfn.FLOOR.MATH(IF(E32=1,X32/G32,IF(E32=5,X32/G32*OFFSET(控制台!$D$641,MATCH(B32,控制台!$B$641:$B$645,0)-1,0),X32/G32*OFFSET(控制台!$H$641,MATCH(B32,控制台!$F$641:$F$650,0)-1,0))))</f>
        <v>331</v>
      </c>
      <c r="Z32" s="16">
        <f ca="1" t="shared" si="2"/>
        <v>727</v>
      </c>
    </row>
    <row r="33" spans="1:26">
      <c r="A33" s="1">
        <v>10502</v>
      </c>
      <c r="B33" s="1">
        <v>5</v>
      </c>
      <c r="C33" s="1">
        <v>1</v>
      </c>
      <c r="D33" s="1" t="s">
        <v>2782</v>
      </c>
      <c r="E33" s="1">
        <f ca="1">IF(C33=1,OFFSET(控制台!$F$552,MATCH(A33,控制台!$B$552:$B$580,0)-1,0),OFFSET(控制台!$L$552,MATCH(A33,控制台!$H$552:$H$594,0)-1,0))</f>
        <v>5</v>
      </c>
      <c r="F33" s="1">
        <f ca="1">IF(C33=1,OFFSET(控制台!$D$552,MATCH(A33,控制台!$B$552:$B$580,0)-1,0),OFFSET(控制台!$J$552,MATCH(A33,控制台!$H$552:$H$594,0)-1,0))</f>
        <v>5</v>
      </c>
      <c r="G33" s="1">
        <f ca="1">IF(C33=1,OFFSET(控制台!$I$599,MATCH(F33,控制台!$B$599:$B$615,0)-1,0),OFFSET(控制台!$I$618,MATCH(F33,控制台!$B$618:$B$636,0)-1,0))</f>
        <v>3</v>
      </c>
      <c r="H33" s="1">
        <f ca="1">IF(C33=1,OFFSET(控制台!$D$599,MATCH(F33,控制台!$B$599:$B$615,0)-1,0),OFFSET(控制台!$D$618,MATCH(F33,控制台!$B$618:$B$636,0)-1,0))</f>
        <v>604800</v>
      </c>
      <c r="I33" s="1">
        <f ca="1">IF(E33=1,H33/G33,IF(E33=5,H33/G33*OFFSET(控制台!$D$641,MATCH(B33,控制台!$B$641:$B$645,0)-1,0),H33/G33*OFFSET(控制台!$H$641,MATCH(B33,控制台!$F$641:$F$650,0)-1,0)))</f>
        <v>96000</v>
      </c>
      <c r="J33" s="1">
        <f ca="1">$I33/3*控制台!H$102</f>
        <v>32000</v>
      </c>
      <c r="K33" s="1">
        <f ca="1">$I33/3*控制台!I$102</f>
        <v>24000</v>
      </c>
      <c r="L33" s="1">
        <f ca="1">$I33/3*控制台!J$102</f>
        <v>40000</v>
      </c>
      <c r="M33" s="1">
        <f ca="1">_xlfn.FLOOR.MATH(J33,POWER(10,MAX(2,INT(LOG10(J33)-2))))</f>
        <v>32000</v>
      </c>
      <c r="N33" s="1">
        <f ca="1">_xlfn.FLOOR.MATH(K33,POWER(10,MAX(2,INT(LOG10(K33)-2))))</f>
        <v>24000</v>
      </c>
      <c r="O33" s="1">
        <f ca="1">_xlfn.FLOOR.MATH(L33,POWER(10,MAX(2,INT(LOG10(L33)-2))))</f>
        <v>40000</v>
      </c>
      <c r="P33" s="4" t="str">
        <f ca="1" t="shared" si="0"/>
        <v>32000;24000;40000</v>
      </c>
      <c r="Q33" s="15">
        <f ca="1">IF(C33=1,OFFSET(控制台!$H$599,MATCH(F33,控制台!$B$599:$B$615,0)-1,0),OFFSET(控制台!$H$618,MATCH(F33,控制台!$B$618:$B$636,0)-1,0))</f>
        <v>1634.82624</v>
      </c>
      <c r="R33" s="15">
        <f ca="1">IF(E33=1,Q33/G33,IF(E33=5,Q33/G33*OFFSET(控制台!$D$641,MATCH(B33,控制台!$B$641:$B$645,0)-1,0),Q33/G33*OFFSET(控制台!$H$641,MATCH(B33,控制台!$F$641:$F$650,0)-1,0)))</f>
        <v>259.496228571428</v>
      </c>
      <c r="S33" s="16">
        <f ca="1">_xlfn.FLOOR.MATH(R33)*60</f>
        <v>15540</v>
      </c>
      <c r="T33" s="16">
        <f ca="1">8000+IF(C33=1,OFFSET(控制台!$K$599,MATCH(F33,控制台!$B$599:$B$615,0)-1,0),OFFSET(控制台!$K$618,MATCH(F33,控制台!$B$618:$B$636,0)-1,0))</f>
        <v>8010</v>
      </c>
      <c r="U33" s="1">
        <f ca="1">IF(C33=1,OFFSET(控制台!$F$599,MATCH(F33,控制台!$B$599:$B$615,0)-1,0),OFFSET(控制台!$F$618,MATCH(F33,控制台!$B$618:$B$636,0)-1,0))</f>
        <v>1492.992</v>
      </c>
      <c r="V33" s="1">
        <f ca="1">IF(E33=1,U33/G33,IF(E33=5,U33/G33*OFFSET(控制台!$D$641,MATCH(B33,控制台!$B$641:$B$645,0)-1,0),U33/G33*OFFSET(控制台!$H$641,MATCH(B33,控制台!$F$641:$F$650,0)-1,0)))</f>
        <v>236.982857142857</v>
      </c>
      <c r="W33" s="20">
        <f ca="1" t="shared" si="1"/>
        <v>0.164571428571428</v>
      </c>
      <c r="X33" s="15">
        <f ca="1">IF(C33=1,OFFSET(控制台!$U$599,MATCH(F33,控制台!$B$599:$B$615,0)-1,0),OFFSET(控制台!$U$618,MATCH(F33,控制台!$B$618:$B$636,0)-1,0))</f>
        <v>4176</v>
      </c>
      <c r="Y33" s="16">
        <f ca="1">_xlfn.FLOOR.MATH(IF(E33=1,X33/G33,IF(E33=5,X33/G33*OFFSET(控制台!$D$641,MATCH(B33,控制台!$B$641:$B$645,0)-1,0),X33/G33*OFFSET(控制台!$H$641,MATCH(B33,控制台!$F$641:$F$650,0)-1,0))))</f>
        <v>662</v>
      </c>
      <c r="Z33" s="16">
        <f ca="1" t="shared" si="2"/>
        <v>1389</v>
      </c>
    </row>
    <row r="34" spans="1:26">
      <c r="A34" s="1">
        <v>10503</v>
      </c>
      <c r="B34" s="1">
        <v>1</v>
      </c>
      <c r="C34" s="1">
        <v>1</v>
      </c>
      <c r="D34" s="1" t="s">
        <v>2783</v>
      </c>
      <c r="E34" s="1">
        <f ca="1">IF(C34=1,OFFSET(控制台!$F$552,MATCH(A34,控制台!$B$552:$B$580,0)-1,0),OFFSET(控制台!$L$552,MATCH(A34,控制台!$H$552:$H$594,0)-1,0))</f>
        <v>5</v>
      </c>
      <c r="F34" s="1">
        <f ca="1">IF(C34=1,OFFSET(控制台!$D$552,MATCH(A34,控制台!$B$552:$B$580,0)-1,0),OFFSET(控制台!$J$552,MATCH(A34,控制台!$H$552:$H$594,0)-1,0))</f>
        <v>5</v>
      </c>
      <c r="G34" s="1">
        <f ca="1">IF(C34=1,OFFSET(控制台!$I$599,MATCH(F34,控制台!$B$599:$B$615,0)-1,0),OFFSET(控制台!$I$618,MATCH(F34,控制台!$B$618:$B$636,0)-1,0))</f>
        <v>3</v>
      </c>
      <c r="H34" s="1">
        <f ca="1">IF(C34=1,OFFSET(控制台!$D$599,MATCH(F34,控制台!$B$599:$B$615,0)-1,0),OFFSET(控制台!$D$618,MATCH(F34,控制台!$B$618:$B$636,0)-1,0))</f>
        <v>604800</v>
      </c>
      <c r="I34" s="1">
        <f ca="1">IF(E34=1,H34/G34,IF(E34=5,H34/G34*OFFSET(控制台!$D$641,MATCH(B34,控制台!$B$641:$B$645,0)-1,0),H34/G34*OFFSET(控制台!$H$641,MATCH(B34,控制台!$F$641:$F$650,0)-1,0)))</f>
        <v>9600</v>
      </c>
      <c r="J34" s="1">
        <f ca="1">$I34/3*控制台!H$102</f>
        <v>3200</v>
      </c>
      <c r="K34" s="1">
        <f ca="1">$I34/3*控制台!I$102</f>
        <v>2400</v>
      </c>
      <c r="L34" s="1">
        <f ca="1">$I34/3*控制台!J$102</f>
        <v>4000</v>
      </c>
      <c r="M34" s="1">
        <f ca="1">_xlfn.FLOOR.MATH(J34,POWER(10,MAX(2,INT(LOG10(J34)-2))))</f>
        <v>3200</v>
      </c>
      <c r="N34" s="1">
        <f ca="1">_xlfn.FLOOR.MATH(K34,POWER(10,MAX(2,INT(LOG10(K34)-2))))</f>
        <v>2400</v>
      </c>
      <c r="O34" s="1">
        <f ca="1">_xlfn.FLOOR.MATH(L34,POWER(10,MAX(2,INT(LOG10(L34)-2))))</f>
        <v>4000</v>
      </c>
      <c r="P34" s="4" t="str">
        <f ca="1" t="shared" si="0"/>
        <v>3200;2400;4000</v>
      </c>
      <c r="Q34" s="15">
        <f ca="1">IF(C34=1,OFFSET(控制台!$H$599,MATCH(F34,控制台!$B$599:$B$615,0)-1,0),OFFSET(控制台!$H$618,MATCH(F34,控制台!$B$618:$B$636,0)-1,0))</f>
        <v>1634.82624</v>
      </c>
      <c r="R34" s="15">
        <f ca="1">IF(E34=1,Q34/G34,IF(E34=5,Q34/G34*OFFSET(控制台!$D$641,MATCH(B34,控制台!$B$641:$B$645,0)-1,0),Q34/G34*OFFSET(控制台!$H$641,MATCH(B34,控制台!$F$641:$F$650,0)-1,0)))</f>
        <v>25.9496228571428</v>
      </c>
      <c r="S34" s="16">
        <f ca="1">_xlfn.FLOOR.MATH(R34)*60</f>
        <v>1500</v>
      </c>
      <c r="T34" s="16">
        <f ca="1">8000+IF(C34=1,OFFSET(控制台!$K$599,MATCH(F34,控制台!$B$599:$B$615,0)-1,0),OFFSET(控制台!$K$618,MATCH(F34,控制台!$B$618:$B$636,0)-1,0))</f>
        <v>8010</v>
      </c>
      <c r="U34" s="1">
        <f ca="1">IF(C34=1,OFFSET(控制台!$F$599,MATCH(F34,控制台!$B$599:$B$615,0)-1,0),OFFSET(控制台!$F$618,MATCH(F34,控制台!$B$618:$B$636,0)-1,0))</f>
        <v>1492.992</v>
      </c>
      <c r="V34" s="1">
        <f ca="1">IF(E34=1,U34/G34,IF(E34=5,U34/G34*OFFSET(控制台!$D$641,MATCH(B34,控制台!$B$641:$B$645,0)-1,0),U34/G34*OFFSET(控制台!$H$641,MATCH(B34,控制台!$F$641:$F$650,0)-1,0)))</f>
        <v>23.6982857142857</v>
      </c>
      <c r="W34" s="20">
        <f ca="1" t="shared" si="1"/>
        <v>0.0164571428571428</v>
      </c>
      <c r="X34" s="15">
        <f ca="1">IF(C34=1,OFFSET(控制台!$U$599,MATCH(F34,控制台!$B$599:$B$615,0)-1,0),OFFSET(控制台!$U$618,MATCH(F34,控制台!$B$618:$B$636,0)-1,0))</f>
        <v>4176</v>
      </c>
      <c r="Y34" s="16">
        <f ca="1">_xlfn.FLOOR.MATH(IF(E34=1,X34/G34,IF(E34=5,X34/G34*OFFSET(控制台!$D$641,MATCH(B34,控制台!$B$641:$B$645,0)-1,0),X34/G34*OFFSET(控制台!$H$641,MATCH(B34,控制台!$F$641:$F$650,0)-1,0))))</f>
        <v>66</v>
      </c>
      <c r="Z34" s="16">
        <f ca="1" t="shared" si="2"/>
        <v>66</v>
      </c>
    </row>
    <row r="35" spans="1:26">
      <c r="A35" s="1">
        <v>10503</v>
      </c>
      <c r="B35" s="1">
        <v>2</v>
      </c>
      <c r="C35" s="1">
        <v>1</v>
      </c>
      <c r="D35" s="1" t="s">
        <v>2783</v>
      </c>
      <c r="E35" s="1">
        <f ca="1">IF(C35=1,OFFSET(控制台!$F$552,MATCH(A35,控制台!$B$552:$B$580,0)-1,0),OFFSET(控制台!$L$552,MATCH(A35,控制台!$H$552:$H$594,0)-1,0))</f>
        <v>5</v>
      </c>
      <c r="F35" s="1">
        <f ca="1">IF(C35=1,OFFSET(控制台!$D$552,MATCH(A35,控制台!$B$552:$B$580,0)-1,0),OFFSET(控制台!$J$552,MATCH(A35,控制台!$H$552:$H$594,0)-1,0))</f>
        <v>5</v>
      </c>
      <c r="G35" s="1">
        <f ca="1">IF(C35=1,OFFSET(控制台!$I$599,MATCH(F35,控制台!$B$599:$B$615,0)-1,0),OFFSET(控制台!$I$618,MATCH(F35,控制台!$B$618:$B$636,0)-1,0))</f>
        <v>3</v>
      </c>
      <c r="H35" s="1">
        <f ca="1">IF(C35=1,OFFSET(控制台!$D$599,MATCH(F35,控制台!$B$599:$B$615,0)-1,0),OFFSET(控制台!$D$618,MATCH(F35,控制台!$B$618:$B$636,0)-1,0))</f>
        <v>604800</v>
      </c>
      <c r="I35" s="1">
        <f ca="1">IF(E35=1,H35/G35,IF(E35=5,H35/G35*OFFSET(控制台!$D$641,MATCH(B35,控制台!$B$641:$B$645,0)-1,0),H35/G35*OFFSET(控制台!$H$641,MATCH(B35,控制台!$F$641:$F$650,0)-1,0)))</f>
        <v>19200</v>
      </c>
      <c r="J35" s="1">
        <f ca="1">$I35/3*控制台!H$102</f>
        <v>6400</v>
      </c>
      <c r="K35" s="1">
        <f ca="1">$I35/3*控制台!I$102</f>
        <v>4800</v>
      </c>
      <c r="L35" s="1">
        <f ca="1">$I35/3*控制台!J$102</f>
        <v>8000</v>
      </c>
      <c r="M35" s="1">
        <f ca="1">_xlfn.FLOOR.MATH(J35,POWER(10,MAX(2,INT(LOG10(J35)-2))))</f>
        <v>6400</v>
      </c>
      <c r="N35" s="1">
        <f ca="1">_xlfn.FLOOR.MATH(K35,POWER(10,MAX(2,INT(LOG10(K35)-2))))</f>
        <v>4800</v>
      </c>
      <c r="O35" s="1">
        <f ca="1">_xlfn.FLOOR.MATH(L35,POWER(10,MAX(2,INT(LOG10(L35)-2))))</f>
        <v>8000</v>
      </c>
      <c r="P35" s="4" t="str">
        <f ca="1" t="shared" si="0"/>
        <v>6400;4800;8000</v>
      </c>
      <c r="Q35" s="15">
        <f ca="1">IF(C35=1,OFFSET(控制台!$H$599,MATCH(F35,控制台!$B$599:$B$615,0)-1,0),OFFSET(控制台!$H$618,MATCH(F35,控制台!$B$618:$B$636,0)-1,0))</f>
        <v>1634.82624</v>
      </c>
      <c r="R35" s="15">
        <f ca="1">IF(E35=1,Q35/G35,IF(E35=5,Q35/G35*OFFSET(控制台!$D$641,MATCH(B35,控制台!$B$641:$B$645,0)-1,0),Q35/G35*OFFSET(控制台!$H$641,MATCH(B35,控制台!$F$641:$F$650,0)-1,0)))</f>
        <v>51.8992457142857</v>
      </c>
      <c r="S35" s="16">
        <f ca="1">_xlfn.FLOOR.MATH(R35)*60</f>
        <v>3060</v>
      </c>
      <c r="T35" s="16">
        <f ca="1">8000+IF(C35=1,OFFSET(控制台!$K$599,MATCH(F35,控制台!$B$599:$B$615,0)-1,0),OFFSET(控制台!$K$618,MATCH(F35,控制台!$B$618:$B$636,0)-1,0))</f>
        <v>8010</v>
      </c>
      <c r="U35" s="1">
        <f ca="1">IF(C35=1,OFFSET(控制台!$F$599,MATCH(F35,控制台!$B$599:$B$615,0)-1,0),OFFSET(控制台!$F$618,MATCH(F35,控制台!$B$618:$B$636,0)-1,0))</f>
        <v>1492.992</v>
      </c>
      <c r="V35" s="1">
        <f ca="1">IF(E35=1,U35/G35,IF(E35=5,U35/G35*OFFSET(控制台!$D$641,MATCH(B35,控制台!$B$641:$B$645,0)-1,0),U35/G35*OFFSET(控制台!$H$641,MATCH(B35,控制台!$F$641:$F$650,0)-1,0)))</f>
        <v>47.3965714285714</v>
      </c>
      <c r="W35" s="20">
        <f ca="1" t="shared" si="1"/>
        <v>0.0329142857142857</v>
      </c>
      <c r="X35" s="15">
        <f ca="1">IF(C35=1,OFFSET(控制台!$U$599,MATCH(F35,控制台!$B$599:$B$615,0)-1,0),OFFSET(控制台!$U$618,MATCH(F35,控制台!$B$618:$B$636,0)-1,0))</f>
        <v>4176</v>
      </c>
      <c r="Y35" s="16">
        <f ca="1">_xlfn.FLOOR.MATH(IF(E35=1,X35/G35,IF(E35=5,X35/G35*OFFSET(控制台!$D$641,MATCH(B35,控制台!$B$641:$B$645,0)-1,0),X35/G35*OFFSET(控制台!$H$641,MATCH(B35,控制台!$F$641:$F$650,0)-1,0))))</f>
        <v>132</v>
      </c>
      <c r="Z35" s="16">
        <f ca="1" t="shared" si="2"/>
        <v>198</v>
      </c>
    </row>
    <row r="36" spans="1:26">
      <c r="A36" s="1">
        <v>10503</v>
      </c>
      <c r="B36" s="1">
        <v>3</v>
      </c>
      <c r="C36" s="1">
        <v>1</v>
      </c>
      <c r="D36" s="1" t="s">
        <v>2783</v>
      </c>
      <c r="E36" s="1">
        <f ca="1">IF(C36=1,OFFSET(控制台!$F$552,MATCH(A36,控制台!$B$552:$B$580,0)-1,0),OFFSET(控制台!$L$552,MATCH(A36,控制台!$H$552:$H$594,0)-1,0))</f>
        <v>5</v>
      </c>
      <c r="F36" s="1">
        <f ca="1">IF(C36=1,OFFSET(控制台!$D$552,MATCH(A36,控制台!$B$552:$B$580,0)-1,0),OFFSET(控制台!$J$552,MATCH(A36,控制台!$H$552:$H$594,0)-1,0))</f>
        <v>5</v>
      </c>
      <c r="G36" s="1">
        <f ca="1">IF(C36=1,OFFSET(控制台!$I$599,MATCH(F36,控制台!$B$599:$B$615,0)-1,0),OFFSET(控制台!$I$618,MATCH(F36,控制台!$B$618:$B$636,0)-1,0))</f>
        <v>3</v>
      </c>
      <c r="H36" s="1">
        <f ca="1">IF(C36=1,OFFSET(控制台!$D$599,MATCH(F36,控制台!$B$599:$B$615,0)-1,0),OFFSET(控制台!$D$618,MATCH(F36,控制台!$B$618:$B$636,0)-1,0))</f>
        <v>604800</v>
      </c>
      <c r="I36" s="1">
        <f ca="1">IF(E36=1,H36/G36,IF(E36=5,H36/G36*OFFSET(控制台!$D$641,MATCH(B36,控制台!$B$641:$B$645,0)-1,0),H36/G36*OFFSET(控制台!$H$641,MATCH(B36,控制台!$F$641:$F$650,0)-1,0)))</f>
        <v>28800</v>
      </c>
      <c r="J36" s="1">
        <f ca="1">$I36/3*控制台!H$102</f>
        <v>9600.00000000001</v>
      </c>
      <c r="K36" s="1">
        <f ca="1">$I36/3*控制台!I$102</f>
        <v>7200.00000000001</v>
      </c>
      <c r="L36" s="1">
        <f ca="1">$I36/3*控制台!J$102</f>
        <v>12000</v>
      </c>
      <c r="M36" s="1">
        <f ca="1">_xlfn.FLOOR.MATH(J36,POWER(10,MAX(2,INT(LOG10(J36)-2))))</f>
        <v>9600</v>
      </c>
      <c r="N36" s="1">
        <f ca="1">_xlfn.FLOOR.MATH(K36,POWER(10,MAX(2,INT(LOG10(K36)-2))))</f>
        <v>7200</v>
      </c>
      <c r="O36" s="1">
        <f ca="1">_xlfn.FLOOR.MATH(L36,POWER(10,MAX(2,INT(LOG10(L36)-2))))</f>
        <v>12000</v>
      </c>
      <c r="P36" s="4" t="str">
        <f ca="1" t="shared" si="0"/>
        <v>9600;7200;12000</v>
      </c>
      <c r="Q36" s="15">
        <f ca="1">IF(C36=1,OFFSET(控制台!$H$599,MATCH(F36,控制台!$B$599:$B$615,0)-1,0),OFFSET(控制台!$H$618,MATCH(F36,控制台!$B$618:$B$636,0)-1,0))</f>
        <v>1634.82624</v>
      </c>
      <c r="R36" s="15">
        <f ca="1">IF(E36=1,Q36/G36,IF(E36=5,Q36/G36*OFFSET(控制台!$D$641,MATCH(B36,控制台!$B$641:$B$645,0)-1,0),Q36/G36*OFFSET(控制台!$H$641,MATCH(B36,控制台!$F$641:$F$650,0)-1,0)))</f>
        <v>77.8488685714286</v>
      </c>
      <c r="S36" s="16">
        <f ca="1">_xlfn.FLOOR.MATH(R36)*60</f>
        <v>4620</v>
      </c>
      <c r="T36" s="16">
        <f ca="1">8000+IF(C36=1,OFFSET(控制台!$K$599,MATCH(F36,控制台!$B$599:$B$615,0)-1,0),OFFSET(控制台!$K$618,MATCH(F36,控制台!$B$618:$B$636,0)-1,0))</f>
        <v>8010</v>
      </c>
      <c r="U36" s="1">
        <f ca="1">IF(C36=1,OFFSET(控制台!$F$599,MATCH(F36,控制台!$B$599:$B$615,0)-1,0),OFFSET(控制台!$F$618,MATCH(F36,控制台!$B$618:$B$636,0)-1,0))</f>
        <v>1492.992</v>
      </c>
      <c r="V36" s="1">
        <f ca="1">IF(E36=1,U36/G36,IF(E36=5,U36/G36*OFFSET(控制台!$D$641,MATCH(B36,控制台!$B$641:$B$645,0)-1,0),U36/G36*OFFSET(控制台!$H$641,MATCH(B36,控制台!$F$641:$F$650,0)-1,0)))</f>
        <v>71.0948571428572</v>
      </c>
      <c r="W36" s="20">
        <f ca="1" t="shared" si="1"/>
        <v>0.0493714285714286</v>
      </c>
      <c r="X36" s="15">
        <f ca="1">IF(C36=1,OFFSET(控制台!$U$599,MATCH(F36,控制台!$B$599:$B$615,0)-1,0),OFFSET(控制台!$U$618,MATCH(F36,控制台!$B$618:$B$636,0)-1,0))</f>
        <v>4176</v>
      </c>
      <c r="Y36" s="16">
        <f ca="1">_xlfn.FLOOR.MATH(IF(E36=1,X36/G36,IF(E36=5,X36/G36*OFFSET(控制台!$D$641,MATCH(B36,控制台!$B$641:$B$645,0)-1,0),X36/G36*OFFSET(控制台!$H$641,MATCH(B36,控制台!$F$641:$F$650,0)-1,0))))</f>
        <v>198</v>
      </c>
      <c r="Z36" s="16">
        <f ca="1" t="shared" si="2"/>
        <v>396</v>
      </c>
    </row>
    <row r="37" spans="1:26">
      <c r="A37" s="1">
        <v>10503</v>
      </c>
      <c r="B37" s="1">
        <v>4</v>
      </c>
      <c r="C37" s="1">
        <v>1</v>
      </c>
      <c r="D37" s="1" t="s">
        <v>2783</v>
      </c>
      <c r="E37" s="1">
        <f ca="1">IF(C37=1,OFFSET(控制台!$F$552,MATCH(A37,控制台!$B$552:$B$580,0)-1,0),OFFSET(控制台!$L$552,MATCH(A37,控制台!$H$552:$H$594,0)-1,0))</f>
        <v>5</v>
      </c>
      <c r="F37" s="1">
        <f ca="1">IF(C37=1,OFFSET(控制台!$D$552,MATCH(A37,控制台!$B$552:$B$580,0)-1,0),OFFSET(控制台!$J$552,MATCH(A37,控制台!$H$552:$H$594,0)-1,0))</f>
        <v>5</v>
      </c>
      <c r="G37" s="1">
        <f ca="1">IF(C37=1,OFFSET(控制台!$I$599,MATCH(F37,控制台!$B$599:$B$615,0)-1,0),OFFSET(控制台!$I$618,MATCH(F37,控制台!$B$618:$B$636,0)-1,0))</f>
        <v>3</v>
      </c>
      <c r="H37" s="1">
        <f ca="1">IF(C37=1,OFFSET(控制台!$D$599,MATCH(F37,控制台!$B$599:$B$615,0)-1,0),OFFSET(控制台!$D$618,MATCH(F37,控制台!$B$618:$B$636,0)-1,0))</f>
        <v>604800</v>
      </c>
      <c r="I37" s="1">
        <f ca="1">IF(E37=1,H37/G37,IF(E37=5,H37/G37*OFFSET(控制台!$D$641,MATCH(B37,控制台!$B$641:$B$645,0)-1,0),H37/G37*OFFSET(控制台!$H$641,MATCH(B37,控制台!$F$641:$F$650,0)-1,0)))</f>
        <v>48000</v>
      </c>
      <c r="J37" s="1">
        <f ca="1">$I37/3*控制台!H$102</f>
        <v>16000</v>
      </c>
      <c r="K37" s="1">
        <f ca="1">$I37/3*控制台!I$102</f>
        <v>12000</v>
      </c>
      <c r="L37" s="1">
        <f ca="1">$I37/3*控制台!J$102</f>
        <v>20000</v>
      </c>
      <c r="M37" s="1">
        <f ca="1">_xlfn.FLOOR.MATH(J37,POWER(10,MAX(2,INT(LOG10(J37)-2))))</f>
        <v>16000</v>
      </c>
      <c r="N37" s="1">
        <f ca="1">_xlfn.FLOOR.MATH(K37,POWER(10,MAX(2,INT(LOG10(K37)-2))))</f>
        <v>12000</v>
      </c>
      <c r="O37" s="1">
        <f ca="1">_xlfn.FLOOR.MATH(L37,POWER(10,MAX(2,INT(LOG10(L37)-2))))</f>
        <v>20000</v>
      </c>
      <c r="P37" s="4" t="str">
        <f ca="1" t="shared" si="0"/>
        <v>16000;12000;20000</v>
      </c>
      <c r="Q37" s="15">
        <f ca="1">IF(C37=1,OFFSET(控制台!$H$599,MATCH(F37,控制台!$B$599:$B$615,0)-1,0),OFFSET(控制台!$H$618,MATCH(F37,控制台!$B$618:$B$636,0)-1,0))</f>
        <v>1634.82624</v>
      </c>
      <c r="R37" s="15">
        <f ca="1">IF(E37=1,Q37/G37,IF(E37=5,Q37/G37*OFFSET(控制台!$D$641,MATCH(B37,控制台!$B$641:$B$645,0)-1,0),Q37/G37*OFFSET(控制台!$H$641,MATCH(B37,控制台!$F$641:$F$650,0)-1,0)))</f>
        <v>129.748114285714</v>
      </c>
      <c r="S37" s="16">
        <f ca="1">_xlfn.FLOOR.MATH(R37)*60</f>
        <v>7740</v>
      </c>
      <c r="T37" s="16">
        <f ca="1">8000+IF(C37=1,OFFSET(控制台!$K$599,MATCH(F37,控制台!$B$599:$B$615,0)-1,0),OFFSET(控制台!$K$618,MATCH(F37,控制台!$B$618:$B$636,0)-1,0))</f>
        <v>8010</v>
      </c>
      <c r="U37" s="1">
        <f ca="1">IF(C37=1,OFFSET(控制台!$F$599,MATCH(F37,控制台!$B$599:$B$615,0)-1,0),OFFSET(控制台!$F$618,MATCH(F37,控制台!$B$618:$B$636,0)-1,0))</f>
        <v>1492.992</v>
      </c>
      <c r="V37" s="1">
        <f ca="1">IF(E37=1,U37/G37,IF(E37=5,U37/G37*OFFSET(控制台!$D$641,MATCH(B37,控制台!$B$641:$B$645,0)-1,0),U37/G37*OFFSET(控制台!$H$641,MATCH(B37,控制台!$F$641:$F$650,0)-1,0)))</f>
        <v>118.491428571428</v>
      </c>
      <c r="W37" s="20">
        <f ca="1" t="shared" si="1"/>
        <v>0.0822857142857142</v>
      </c>
      <c r="X37" s="15">
        <f ca="1">IF(C37=1,OFFSET(控制台!$U$599,MATCH(F37,控制台!$B$599:$B$615,0)-1,0),OFFSET(控制台!$U$618,MATCH(F37,控制台!$B$618:$B$636,0)-1,0))</f>
        <v>4176</v>
      </c>
      <c r="Y37" s="16">
        <f ca="1">_xlfn.FLOOR.MATH(IF(E37=1,X37/G37,IF(E37=5,X37/G37*OFFSET(控制台!$D$641,MATCH(B37,控制台!$B$641:$B$645,0)-1,0),X37/G37*OFFSET(控制台!$H$641,MATCH(B37,控制台!$F$641:$F$650,0)-1,0))))</f>
        <v>331</v>
      </c>
      <c r="Z37" s="16">
        <f ca="1" t="shared" si="2"/>
        <v>727</v>
      </c>
    </row>
    <row r="38" spans="1:26">
      <c r="A38" s="1">
        <v>10503</v>
      </c>
      <c r="B38" s="1">
        <v>5</v>
      </c>
      <c r="C38" s="1">
        <v>1</v>
      </c>
      <c r="D38" s="1" t="s">
        <v>2783</v>
      </c>
      <c r="E38" s="1">
        <f ca="1">IF(C38=1,OFFSET(控制台!$F$552,MATCH(A38,控制台!$B$552:$B$580,0)-1,0),OFFSET(控制台!$L$552,MATCH(A38,控制台!$H$552:$H$594,0)-1,0))</f>
        <v>5</v>
      </c>
      <c r="F38" s="1">
        <f ca="1">IF(C38=1,OFFSET(控制台!$D$552,MATCH(A38,控制台!$B$552:$B$580,0)-1,0),OFFSET(控制台!$J$552,MATCH(A38,控制台!$H$552:$H$594,0)-1,0))</f>
        <v>5</v>
      </c>
      <c r="G38" s="1">
        <f ca="1">IF(C38=1,OFFSET(控制台!$I$599,MATCH(F38,控制台!$B$599:$B$615,0)-1,0),OFFSET(控制台!$I$618,MATCH(F38,控制台!$B$618:$B$636,0)-1,0))</f>
        <v>3</v>
      </c>
      <c r="H38" s="1">
        <f ca="1">IF(C38=1,OFFSET(控制台!$D$599,MATCH(F38,控制台!$B$599:$B$615,0)-1,0),OFFSET(控制台!$D$618,MATCH(F38,控制台!$B$618:$B$636,0)-1,0))</f>
        <v>604800</v>
      </c>
      <c r="I38" s="1">
        <f ca="1">IF(E38=1,H38/G38,IF(E38=5,H38/G38*OFFSET(控制台!$D$641,MATCH(B38,控制台!$B$641:$B$645,0)-1,0),H38/G38*OFFSET(控制台!$H$641,MATCH(B38,控制台!$F$641:$F$650,0)-1,0)))</f>
        <v>96000</v>
      </c>
      <c r="J38" s="1">
        <f ca="1">$I38/3*控制台!H$102</f>
        <v>32000</v>
      </c>
      <c r="K38" s="1">
        <f ca="1">$I38/3*控制台!I$102</f>
        <v>24000</v>
      </c>
      <c r="L38" s="1">
        <f ca="1">$I38/3*控制台!J$102</f>
        <v>40000</v>
      </c>
      <c r="M38" s="1">
        <f ca="1">_xlfn.FLOOR.MATH(J38,POWER(10,MAX(2,INT(LOG10(J38)-2))))</f>
        <v>32000</v>
      </c>
      <c r="N38" s="1">
        <f ca="1">_xlfn.FLOOR.MATH(K38,POWER(10,MAX(2,INT(LOG10(K38)-2))))</f>
        <v>24000</v>
      </c>
      <c r="O38" s="1">
        <f ca="1">_xlfn.FLOOR.MATH(L38,POWER(10,MAX(2,INT(LOG10(L38)-2))))</f>
        <v>40000</v>
      </c>
      <c r="P38" s="4" t="str">
        <f ca="1" t="shared" si="0"/>
        <v>32000;24000;40000</v>
      </c>
      <c r="Q38" s="15">
        <f ca="1">IF(C38=1,OFFSET(控制台!$H$599,MATCH(F38,控制台!$B$599:$B$615,0)-1,0),OFFSET(控制台!$H$618,MATCH(F38,控制台!$B$618:$B$636,0)-1,0))</f>
        <v>1634.82624</v>
      </c>
      <c r="R38" s="15">
        <f ca="1">IF(E38=1,Q38/G38,IF(E38=5,Q38/G38*OFFSET(控制台!$D$641,MATCH(B38,控制台!$B$641:$B$645,0)-1,0),Q38/G38*OFFSET(控制台!$H$641,MATCH(B38,控制台!$F$641:$F$650,0)-1,0)))</f>
        <v>259.496228571428</v>
      </c>
      <c r="S38" s="16">
        <f ca="1">_xlfn.FLOOR.MATH(R38)*60</f>
        <v>15540</v>
      </c>
      <c r="T38" s="16">
        <f ca="1">8000+IF(C38=1,OFFSET(控制台!$K$599,MATCH(F38,控制台!$B$599:$B$615,0)-1,0),OFFSET(控制台!$K$618,MATCH(F38,控制台!$B$618:$B$636,0)-1,0))</f>
        <v>8010</v>
      </c>
      <c r="U38" s="1">
        <f ca="1">IF(C38=1,OFFSET(控制台!$F$599,MATCH(F38,控制台!$B$599:$B$615,0)-1,0),OFFSET(控制台!$F$618,MATCH(F38,控制台!$B$618:$B$636,0)-1,0))</f>
        <v>1492.992</v>
      </c>
      <c r="V38" s="1">
        <f ca="1">IF(E38=1,U38/G38,IF(E38=5,U38/G38*OFFSET(控制台!$D$641,MATCH(B38,控制台!$B$641:$B$645,0)-1,0),U38/G38*OFFSET(控制台!$H$641,MATCH(B38,控制台!$F$641:$F$650,0)-1,0)))</f>
        <v>236.982857142857</v>
      </c>
      <c r="W38" s="20">
        <f ca="1" t="shared" si="1"/>
        <v>0.164571428571428</v>
      </c>
      <c r="X38" s="15">
        <f ca="1">IF(C38=1,OFFSET(控制台!$U$599,MATCH(F38,控制台!$B$599:$B$615,0)-1,0),OFFSET(控制台!$U$618,MATCH(F38,控制台!$B$618:$B$636,0)-1,0))</f>
        <v>4176</v>
      </c>
      <c r="Y38" s="16">
        <f ca="1">_xlfn.FLOOR.MATH(IF(E38=1,X38/G38,IF(E38=5,X38/G38*OFFSET(控制台!$D$641,MATCH(B38,控制台!$B$641:$B$645,0)-1,0),X38/G38*OFFSET(控制台!$H$641,MATCH(B38,控制台!$F$641:$F$650,0)-1,0))))</f>
        <v>662</v>
      </c>
      <c r="Z38" s="16">
        <f ca="1" t="shared" si="2"/>
        <v>1389</v>
      </c>
    </row>
    <row r="39" spans="1:26">
      <c r="A39" s="1">
        <v>10602</v>
      </c>
      <c r="B39" s="1">
        <v>1</v>
      </c>
      <c r="C39" s="1">
        <v>1</v>
      </c>
      <c r="D39" s="1" t="s">
        <v>2784</v>
      </c>
      <c r="E39" s="1">
        <f ca="1">IF(C39=1,OFFSET(控制台!$F$552,MATCH(A39,控制台!$B$552:$B$580,0)-1,0),OFFSET(控制台!$L$552,MATCH(A39,控制台!$H$552:$H$594,0)-1,0))</f>
        <v>5</v>
      </c>
      <c r="F39" s="1">
        <f ca="1">IF(C39=1,OFFSET(控制台!$D$552,MATCH(A39,控制台!$B$552:$B$580,0)-1,0),OFFSET(控制台!$J$552,MATCH(A39,控制台!$H$552:$H$594,0)-1,0))</f>
        <v>6</v>
      </c>
      <c r="G39" s="1">
        <f ca="1">IF(C39=1,OFFSET(控制台!$I$599,MATCH(F39,控制台!$B$599:$B$615,0)-1,0),OFFSET(控制台!$I$618,MATCH(F39,控制台!$B$618:$B$636,0)-1,0))</f>
        <v>1</v>
      </c>
      <c r="H39" s="1">
        <f ca="1">IF(C39=1,OFFSET(控制台!$D$599,MATCH(F39,控制台!$B$599:$B$615,0)-1,0),OFFSET(控制台!$D$618,MATCH(F39,控制台!$B$618:$B$636,0)-1,0))</f>
        <v>1641600</v>
      </c>
      <c r="I39" s="1">
        <f ca="1">IF(E39=1,H39/G39,IF(E39=5,H39/G39*OFFSET(控制台!$D$641,MATCH(B39,控制台!$B$641:$B$645,0)-1,0),H39/G39*OFFSET(控制台!$H$641,MATCH(B39,控制台!$F$641:$F$650,0)-1,0)))</f>
        <v>78171.4285714286</v>
      </c>
      <c r="J39" s="1">
        <f ca="1">$I39/3*控制台!H$102</f>
        <v>26057.1428571429</v>
      </c>
      <c r="K39" s="1">
        <f ca="1">$I39/3*控制台!I$102</f>
        <v>19542.8571428571</v>
      </c>
      <c r="L39" s="1">
        <f ca="1">$I39/3*控制台!J$102</f>
        <v>32571.4285714286</v>
      </c>
      <c r="M39" s="1">
        <f ca="1">_xlfn.FLOOR.MATH(J39,POWER(10,MAX(2,INT(LOG10(J39)-2))))</f>
        <v>26000</v>
      </c>
      <c r="N39" s="1">
        <f ca="1">_xlfn.FLOOR.MATH(K39,POWER(10,MAX(2,INT(LOG10(K39)-2))))</f>
        <v>19500</v>
      </c>
      <c r="O39" s="1">
        <f ca="1">_xlfn.FLOOR.MATH(L39,POWER(10,MAX(2,INT(LOG10(L39)-2))))</f>
        <v>32500</v>
      </c>
      <c r="P39" s="4" t="str">
        <f ca="1" t="shared" si="0"/>
        <v>26000;19500;32500</v>
      </c>
      <c r="Q39" s="15">
        <f ca="1">IF(C39=1,OFFSET(控制台!$H$599,MATCH(F39,控制台!$B$599:$B$615,0)-1,0),OFFSET(控制台!$H$618,MATCH(F39,控制台!$B$618:$B$636,0)-1,0))</f>
        <v>4124.3904</v>
      </c>
      <c r="R39" s="15">
        <f ca="1">IF(E39=1,Q39/G39,IF(E39=5,Q39/G39*OFFSET(控制台!$D$641,MATCH(B39,控制台!$B$641:$B$645,0)-1,0),Q39/G39*OFFSET(控制台!$H$641,MATCH(B39,控制台!$F$641:$F$650,0)-1,0)))</f>
        <v>196.399542857143</v>
      </c>
      <c r="S39" s="16">
        <f ca="1">_xlfn.FLOOR.MATH(R39)*60</f>
        <v>11760</v>
      </c>
      <c r="T39" s="16">
        <f ca="1">8000+IF(C39=1,OFFSET(控制台!$K$599,MATCH(F39,控制台!$B$599:$B$615,0)-1,0),OFFSET(控制台!$K$618,MATCH(F39,控制台!$B$618:$B$636,0)-1,0))</f>
        <v>8012</v>
      </c>
      <c r="U39" s="1">
        <f ca="1">IF(C39=1,OFFSET(控制台!$F$599,MATCH(F39,控制台!$B$599:$B$615,0)-1,0),OFFSET(控制台!$F$618,MATCH(F39,控制台!$B$618:$B$636,0)-1,0))</f>
        <v>3732.48</v>
      </c>
      <c r="V39" s="1">
        <f ca="1">IF(E39=1,U39/G39,IF(E39=5,U39/G39*OFFSET(控制台!$D$641,MATCH(B39,控制台!$B$641:$B$645,0)-1,0),U39/G39*OFFSET(控制台!$H$641,MATCH(B39,控制台!$F$641:$F$650,0)-1,0)))</f>
        <v>177.737142857143</v>
      </c>
      <c r="W39" s="20">
        <f ca="1" t="shared" si="1"/>
        <v>0.123428571428571</v>
      </c>
      <c r="X39" s="15">
        <f ca="1">IF(C39=1,OFFSET(控制台!$U$599,MATCH(F39,控制台!$B$599:$B$615,0)-1,0),OFFSET(控制台!$U$618,MATCH(F39,控制台!$B$618:$B$636,0)-1,0))</f>
        <v>10467</v>
      </c>
      <c r="Y39" s="16">
        <f ca="1">_xlfn.FLOOR.MATH(IF(E39=1,X39/G39,IF(E39=5,X39/G39*OFFSET(控制台!$D$641,MATCH(B39,控制台!$B$641:$B$645,0)-1,0),X39/G39*OFFSET(控制台!$H$641,MATCH(B39,控制台!$F$641:$F$650,0)-1,0))))</f>
        <v>498</v>
      </c>
      <c r="Z39" s="16">
        <f ca="1" t="shared" si="2"/>
        <v>498</v>
      </c>
    </row>
    <row r="40" spans="1:26">
      <c r="A40" s="1">
        <v>10602</v>
      </c>
      <c r="B40" s="1">
        <v>2</v>
      </c>
      <c r="C40" s="1">
        <v>1</v>
      </c>
      <c r="D40" s="1" t="s">
        <v>2784</v>
      </c>
      <c r="E40" s="1">
        <f ca="1">IF(C40=1,OFFSET(控制台!$F$552,MATCH(A40,控制台!$B$552:$B$580,0)-1,0),OFFSET(控制台!$L$552,MATCH(A40,控制台!$H$552:$H$594,0)-1,0))</f>
        <v>5</v>
      </c>
      <c r="F40" s="1">
        <f ca="1">IF(C40=1,OFFSET(控制台!$D$552,MATCH(A40,控制台!$B$552:$B$580,0)-1,0),OFFSET(控制台!$J$552,MATCH(A40,控制台!$H$552:$H$594,0)-1,0))</f>
        <v>6</v>
      </c>
      <c r="G40" s="1">
        <f ca="1">IF(C40=1,OFFSET(控制台!$I$599,MATCH(F40,控制台!$B$599:$B$615,0)-1,0),OFFSET(控制台!$I$618,MATCH(F40,控制台!$B$618:$B$636,0)-1,0))</f>
        <v>1</v>
      </c>
      <c r="H40" s="1">
        <f ca="1">IF(C40=1,OFFSET(控制台!$D$599,MATCH(F40,控制台!$B$599:$B$615,0)-1,0),OFFSET(控制台!$D$618,MATCH(F40,控制台!$B$618:$B$636,0)-1,0))</f>
        <v>1641600</v>
      </c>
      <c r="I40" s="1">
        <f ca="1">IF(E40=1,H40/G40,IF(E40=5,H40/G40*OFFSET(控制台!$D$641,MATCH(B40,控制台!$B$641:$B$645,0)-1,0),H40/G40*OFFSET(控制台!$H$641,MATCH(B40,控制台!$F$641:$F$650,0)-1,0)))</f>
        <v>156342.857142857</v>
      </c>
      <c r="J40" s="1">
        <f ca="1">$I40/3*控制台!H$102</f>
        <v>52114.2857142857</v>
      </c>
      <c r="K40" s="1">
        <f ca="1">$I40/3*控制台!I$102</f>
        <v>39085.7142857143</v>
      </c>
      <c r="L40" s="1">
        <f ca="1">$I40/3*控制台!J$102</f>
        <v>65142.8571428571</v>
      </c>
      <c r="M40" s="1">
        <f ca="1">_xlfn.FLOOR.MATH(J40,POWER(10,MAX(2,INT(LOG10(J40)-2))))</f>
        <v>52100</v>
      </c>
      <c r="N40" s="1">
        <f ca="1">_xlfn.FLOOR.MATH(K40,POWER(10,MAX(2,INT(LOG10(K40)-2))))</f>
        <v>39000</v>
      </c>
      <c r="O40" s="1">
        <f ca="1">_xlfn.FLOOR.MATH(L40,POWER(10,MAX(2,INT(LOG10(L40)-2))))</f>
        <v>65100</v>
      </c>
      <c r="P40" s="4" t="str">
        <f ca="1" t="shared" si="0"/>
        <v>52100;39000;65100</v>
      </c>
      <c r="Q40" s="15">
        <f ca="1">IF(C40=1,OFFSET(控制台!$H$599,MATCH(F40,控制台!$B$599:$B$615,0)-1,0),OFFSET(控制台!$H$618,MATCH(F40,控制台!$B$618:$B$636,0)-1,0))</f>
        <v>4124.3904</v>
      </c>
      <c r="R40" s="15">
        <f ca="1">IF(E40=1,Q40/G40,IF(E40=5,Q40/G40*OFFSET(控制台!$D$641,MATCH(B40,控制台!$B$641:$B$645,0)-1,0),Q40/G40*OFFSET(控制台!$H$641,MATCH(B40,控制台!$F$641:$F$650,0)-1,0)))</f>
        <v>392.799085714286</v>
      </c>
      <c r="S40" s="16">
        <f ca="1">_xlfn.FLOOR.MATH(R40)*60</f>
        <v>23520</v>
      </c>
      <c r="T40" s="16">
        <f ca="1">8000+IF(C40=1,OFFSET(控制台!$K$599,MATCH(F40,控制台!$B$599:$B$615,0)-1,0),OFFSET(控制台!$K$618,MATCH(F40,控制台!$B$618:$B$636,0)-1,0))</f>
        <v>8012</v>
      </c>
      <c r="U40" s="1">
        <f ca="1">IF(C40=1,OFFSET(控制台!$F$599,MATCH(F40,控制台!$B$599:$B$615,0)-1,0),OFFSET(控制台!$F$618,MATCH(F40,控制台!$B$618:$B$636,0)-1,0))</f>
        <v>3732.48</v>
      </c>
      <c r="V40" s="1">
        <f ca="1">IF(E40=1,U40/G40,IF(E40=5,U40/G40*OFFSET(控制台!$D$641,MATCH(B40,控制台!$B$641:$B$645,0)-1,0),U40/G40*OFFSET(控制台!$H$641,MATCH(B40,控制台!$F$641:$F$650,0)-1,0)))</f>
        <v>355.474285714286</v>
      </c>
      <c r="W40" s="20">
        <f ca="1" t="shared" si="1"/>
        <v>0.246857142857143</v>
      </c>
      <c r="X40" s="15">
        <f ca="1">IF(C40=1,OFFSET(控制台!$U$599,MATCH(F40,控制台!$B$599:$B$615,0)-1,0),OFFSET(控制台!$U$618,MATCH(F40,控制台!$B$618:$B$636,0)-1,0))</f>
        <v>10467</v>
      </c>
      <c r="Y40" s="16">
        <f ca="1">_xlfn.FLOOR.MATH(IF(E40=1,X40/G40,IF(E40=5,X40/G40*OFFSET(控制台!$D$641,MATCH(B40,控制台!$B$641:$B$645,0)-1,0),X40/G40*OFFSET(控制台!$H$641,MATCH(B40,控制台!$F$641:$F$650,0)-1,0))))</f>
        <v>996</v>
      </c>
      <c r="Z40" s="16">
        <f ca="1" t="shared" si="2"/>
        <v>1494</v>
      </c>
    </row>
    <row r="41" spans="1:26">
      <c r="A41" s="1">
        <v>10602</v>
      </c>
      <c r="B41" s="1">
        <v>3</v>
      </c>
      <c r="C41" s="1">
        <v>1</v>
      </c>
      <c r="D41" s="1" t="s">
        <v>2784</v>
      </c>
      <c r="E41" s="1">
        <f ca="1">IF(C41=1,OFFSET(控制台!$F$552,MATCH(A41,控制台!$B$552:$B$580,0)-1,0),OFFSET(控制台!$L$552,MATCH(A41,控制台!$H$552:$H$594,0)-1,0))</f>
        <v>5</v>
      </c>
      <c r="F41" s="1">
        <f ca="1">IF(C41=1,OFFSET(控制台!$D$552,MATCH(A41,控制台!$B$552:$B$580,0)-1,0),OFFSET(控制台!$J$552,MATCH(A41,控制台!$H$552:$H$594,0)-1,0))</f>
        <v>6</v>
      </c>
      <c r="G41" s="1">
        <f ca="1">IF(C41=1,OFFSET(控制台!$I$599,MATCH(F41,控制台!$B$599:$B$615,0)-1,0),OFFSET(控制台!$I$618,MATCH(F41,控制台!$B$618:$B$636,0)-1,0))</f>
        <v>1</v>
      </c>
      <c r="H41" s="1">
        <f ca="1">IF(C41=1,OFFSET(控制台!$D$599,MATCH(F41,控制台!$B$599:$B$615,0)-1,0),OFFSET(控制台!$D$618,MATCH(F41,控制台!$B$618:$B$636,0)-1,0))</f>
        <v>1641600</v>
      </c>
      <c r="I41" s="1">
        <f ca="1">IF(E41=1,H41/G41,IF(E41=5,H41/G41*OFFSET(控制台!$D$641,MATCH(B41,控制台!$B$641:$B$645,0)-1,0),H41/G41*OFFSET(控制台!$H$641,MATCH(B41,控制台!$F$641:$F$650,0)-1,0)))</f>
        <v>234514.285714286</v>
      </c>
      <c r="J41" s="1">
        <f ca="1">$I41/3*控制台!H$102</f>
        <v>78171.4285714287</v>
      </c>
      <c r="K41" s="1">
        <f ca="1">$I41/3*控制台!I$102</f>
        <v>58628.5714285715</v>
      </c>
      <c r="L41" s="1">
        <f ca="1">$I41/3*控制台!J$102</f>
        <v>97714.2857142858</v>
      </c>
      <c r="M41" s="1">
        <f ca="1">_xlfn.FLOOR.MATH(J41,POWER(10,MAX(2,INT(LOG10(J41)-2))))</f>
        <v>78100</v>
      </c>
      <c r="N41" s="1">
        <f ca="1">_xlfn.FLOOR.MATH(K41,POWER(10,MAX(2,INT(LOG10(K41)-2))))</f>
        <v>58600</v>
      </c>
      <c r="O41" s="1">
        <f ca="1">_xlfn.FLOOR.MATH(L41,POWER(10,MAX(2,INT(LOG10(L41)-2))))</f>
        <v>97700</v>
      </c>
      <c r="P41" s="4" t="str">
        <f ca="1" t="shared" si="0"/>
        <v>78100;58600;97700</v>
      </c>
      <c r="Q41" s="15">
        <f ca="1">IF(C41=1,OFFSET(控制台!$H$599,MATCH(F41,控制台!$B$599:$B$615,0)-1,0),OFFSET(控制台!$H$618,MATCH(F41,控制台!$B$618:$B$636,0)-1,0))</f>
        <v>4124.3904</v>
      </c>
      <c r="R41" s="15">
        <f ca="1">IF(E41=1,Q41/G41,IF(E41=5,Q41/G41*OFFSET(控制台!$D$641,MATCH(B41,控制台!$B$641:$B$645,0)-1,0),Q41/G41*OFFSET(控制台!$H$641,MATCH(B41,控制台!$F$641:$F$650,0)-1,0)))</f>
        <v>589.198628571429</v>
      </c>
      <c r="S41" s="16">
        <f ca="1">_xlfn.FLOOR.MATH(R41)*60</f>
        <v>35340</v>
      </c>
      <c r="T41" s="16">
        <f ca="1">8000+IF(C41=1,OFFSET(控制台!$K$599,MATCH(F41,控制台!$B$599:$B$615,0)-1,0),OFFSET(控制台!$K$618,MATCH(F41,控制台!$B$618:$B$636,0)-1,0))</f>
        <v>8012</v>
      </c>
      <c r="U41" s="1">
        <f ca="1">IF(C41=1,OFFSET(控制台!$F$599,MATCH(F41,控制台!$B$599:$B$615,0)-1,0),OFFSET(控制台!$F$618,MATCH(F41,控制台!$B$618:$B$636,0)-1,0))</f>
        <v>3732.48</v>
      </c>
      <c r="V41" s="1">
        <f ca="1">IF(E41=1,U41/G41,IF(E41=5,U41/G41*OFFSET(控制台!$D$641,MATCH(B41,控制台!$B$641:$B$645,0)-1,0),U41/G41*OFFSET(控制台!$H$641,MATCH(B41,控制台!$F$641:$F$650,0)-1,0)))</f>
        <v>533.211428571429</v>
      </c>
      <c r="W41" s="20">
        <f ca="1" t="shared" si="1"/>
        <v>0.370285714285715</v>
      </c>
      <c r="X41" s="15">
        <f ca="1">IF(C41=1,OFFSET(控制台!$U$599,MATCH(F41,控制台!$B$599:$B$615,0)-1,0),OFFSET(控制台!$U$618,MATCH(F41,控制台!$B$618:$B$636,0)-1,0))</f>
        <v>10467</v>
      </c>
      <c r="Y41" s="16">
        <f ca="1">_xlfn.FLOOR.MATH(IF(E41=1,X41/G41,IF(E41=5,X41/G41*OFFSET(控制台!$D$641,MATCH(B41,控制台!$B$641:$B$645,0)-1,0),X41/G41*OFFSET(控制台!$H$641,MATCH(B41,控制台!$F$641:$F$650,0)-1,0))))</f>
        <v>1495</v>
      </c>
      <c r="Z41" s="16">
        <f ca="1" t="shared" si="2"/>
        <v>2989</v>
      </c>
    </row>
    <row r="42" spans="1:26">
      <c r="A42" s="1">
        <v>10602</v>
      </c>
      <c r="B42" s="1">
        <v>4</v>
      </c>
      <c r="C42" s="1">
        <v>1</v>
      </c>
      <c r="D42" s="1" t="s">
        <v>2784</v>
      </c>
      <c r="E42" s="1">
        <f ca="1">IF(C42=1,OFFSET(控制台!$F$552,MATCH(A42,控制台!$B$552:$B$580,0)-1,0),OFFSET(控制台!$L$552,MATCH(A42,控制台!$H$552:$H$594,0)-1,0))</f>
        <v>5</v>
      </c>
      <c r="F42" s="1">
        <f ca="1">IF(C42=1,OFFSET(控制台!$D$552,MATCH(A42,控制台!$B$552:$B$580,0)-1,0),OFFSET(控制台!$J$552,MATCH(A42,控制台!$H$552:$H$594,0)-1,0))</f>
        <v>6</v>
      </c>
      <c r="G42" s="1">
        <f ca="1">IF(C42=1,OFFSET(控制台!$I$599,MATCH(F42,控制台!$B$599:$B$615,0)-1,0),OFFSET(控制台!$I$618,MATCH(F42,控制台!$B$618:$B$636,0)-1,0))</f>
        <v>1</v>
      </c>
      <c r="H42" s="1">
        <f ca="1">IF(C42=1,OFFSET(控制台!$D$599,MATCH(F42,控制台!$B$599:$B$615,0)-1,0),OFFSET(控制台!$D$618,MATCH(F42,控制台!$B$618:$B$636,0)-1,0))</f>
        <v>1641600</v>
      </c>
      <c r="I42" s="1">
        <f ca="1">IF(E42=1,H42/G42,IF(E42=5,H42/G42*OFFSET(控制台!$D$641,MATCH(B42,控制台!$B$641:$B$645,0)-1,0),H42/G42*OFFSET(控制台!$H$641,MATCH(B42,控制台!$F$641:$F$650,0)-1,0)))</f>
        <v>390857.142857143</v>
      </c>
      <c r="J42" s="1">
        <f ca="1">$I42/3*控制台!H$102</f>
        <v>130285.714285714</v>
      </c>
      <c r="K42" s="1">
        <f ca="1">$I42/3*控制台!I$102</f>
        <v>97714.2857142857</v>
      </c>
      <c r="L42" s="1">
        <f ca="1">$I42/3*控制台!J$102</f>
        <v>162857.142857143</v>
      </c>
      <c r="M42" s="1">
        <f ca="1">_xlfn.FLOOR.MATH(J42,POWER(10,MAX(2,INT(LOG10(J42)-2))))</f>
        <v>130000</v>
      </c>
      <c r="N42" s="1">
        <f ca="1">_xlfn.FLOOR.MATH(K42,POWER(10,MAX(2,INT(LOG10(K42)-2))))</f>
        <v>97700</v>
      </c>
      <c r="O42" s="1">
        <f ca="1">_xlfn.FLOOR.MATH(L42,POWER(10,MAX(2,INT(LOG10(L42)-2))))</f>
        <v>162000</v>
      </c>
      <c r="P42" s="4" t="str">
        <f ca="1" t="shared" si="0"/>
        <v>130000;97700;162000</v>
      </c>
      <c r="Q42" s="15">
        <f ca="1">IF(C42=1,OFFSET(控制台!$H$599,MATCH(F42,控制台!$B$599:$B$615,0)-1,0),OFFSET(控制台!$H$618,MATCH(F42,控制台!$B$618:$B$636,0)-1,0))</f>
        <v>4124.3904</v>
      </c>
      <c r="R42" s="15">
        <f ca="1">IF(E42=1,Q42/G42,IF(E42=5,Q42/G42*OFFSET(控制台!$D$641,MATCH(B42,控制台!$B$641:$B$645,0)-1,0),Q42/G42*OFFSET(控制台!$H$641,MATCH(B42,控制台!$F$641:$F$650,0)-1,0)))</f>
        <v>981.997714285714</v>
      </c>
      <c r="S42" s="16">
        <f ca="1">_xlfn.FLOOR.MATH(R42)*60</f>
        <v>58860</v>
      </c>
      <c r="T42" s="16">
        <f ca="1">8000+IF(C42=1,OFFSET(控制台!$K$599,MATCH(F42,控制台!$B$599:$B$615,0)-1,0),OFFSET(控制台!$K$618,MATCH(F42,控制台!$B$618:$B$636,0)-1,0))</f>
        <v>8012</v>
      </c>
      <c r="U42" s="1">
        <f ca="1">IF(C42=1,OFFSET(控制台!$F$599,MATCH(F42,控制台!$B$599:$B$615,0)-1,0),OFFSET(控制台!$F$618,MATCH(F42,控制台!$B$618:$B$636,0)-1,0))</f>
        <v>3732.48</v>
      </c>
      <c r="V42" s="1">
        <f ca="1">IF(E42=1,U42/G42,IF(E42=5,U42/G42*OFFSET(控制台!$D$641,MATCH(B42,控制台!$B$641:$B$645,0)-1,0),U42/G42*OFFSET(控制台!$H$641,MATCH(B42,控制台!$F$641:$F$650,0)-1,0)))</f>
        <v>888.685714285714</v>
      </c>
      <c r="W42" s="20">
        <f ca="1" t="shared" si="1"/>
        <v>0.617142857142857</v>
      </c>
      <c r="X42" s="15">
        <f ca="1">IF(C42=1,OFFSET(控制台!$U$599,MATCH(F42,控制台!$B$599:$B$615,0)-1,0),OFFSET(控制台!$U$618,MATCH(F42,控制台!$B$618:$B$636,0)-1,0))</f>
        <v>10467</v>
      </c>
      <c r="Y42" s="16">
        <f ca="1">_xlfn.FLOOR.MATH(IF(E42=1,X42/G42,IF(E42=5,X42/G42*OFFSET(控制台!$D$641,MATCH(B42,控制台!$B$641:$B$645,0)-1,0),X42/G42*OFFSET(控制台!$H$641,MATCH(B42,控制台!$F$641:$F$650,0)-1,0))))</f>
        <v>2492</v>
      </c>
      <c r="Z42" s="16">
        <f ca="1" t="shared" si="2"/>
        <v>5481</v>
      </c>
    </row>
    <row r="43" spans="1:26">
      <c r="A43" s="1">
        <v>10602</v>
      </c>
      <c r="B43" s="1">
        <v>5</v>
      </c>
      <c r="C43" s="1">
        <v>1</v>
      </c>
      <c r="D43" s="1" t="s">
        <v>2784</v>
      </c>
      <c r="E43" s="1">
        <f ca="1">IF(C43=1,OFFSET(控制台!$F$552,MATCH(A43,控制台!$B$552:$B$580,0)-1,0),OFFSET(控制台!$L$552,MATCH(A43,控制台!$H$552:$H$594,0)-1,0))</f>
        <v>5</v>
      </c>
      <c r="F43" s="1">
        <f ca="1">IF(C43=1,OFFSET(控制台!$D$552,MATCH(A43,控制台!$B$552:$B$580,0)-1,0),OFFSET(控制台!$J$552,MATCH(A43,控制台!$H$552:$H$594,0)-1,0))</f>
        <v>6</v>
      </c>
      <c r="G43" s="1">
        <f ca="1">IF(C43=1,OFFSET(控制台!$I$599,MATCH(F43,控制台!$B$599:$B$615,0)-1,0),OFFSET(控制台!$I$618,MATCH(F43,控制台!$B$618:$B$636,0)-1,0))</f>
        <v>1</v>
      </c>
      <c r="H43" s="1">
        <f ca="1">IF(C43=1,OFFSET(控制台!$D$599,MATCH(F43,控制台!$B$599:$B$615,0)-1,0),OFFSET(控制台!$D$618,MATCH(F43,控制台!$B$618:$B$636,0)-1,0))</f>
        <v>1641600</v>
      </c>
      <c r="I43" s="1">
        <f ca="1">IF(E43=1,H43/G43,IF(E43=5,H43/G43*OFFSET(控制台!$D$641,MATCH(B43,控制台!$B$641:$B$645,0)-1,0),H43/G43*OFFSET(控制台!$H$641,MATCH(B43,控制台!$F$641:$F$650,0)-1,0)))</f>
        <v>781714.285714285</v>
      </c>
      <c r="J43" s="1">
        <f ca="1">$I43/3*控制台!H$102</f>
        <v>260571.428571428</v>
      </c>
      <c r="K43" s="1">
        <f ca="1">$I43/3*控制台!I$102</f>
        <v>195428.571428571</v>
      </c>
      <c r="L43" s="1">
        <f ca="1">$I43/3*控制台!J$102</f>
        <v>325714.285714286</v>
      </c>
      <c r="M43" s="1">
        <f ca="1">_xlfn.FLOOR.MATH(J43,POWER(10,MAX(2,INT(LOG10(J43)-2))))</f>
        <v>260000</v>
      </c>
      <c r="N43" s="1">
        <f ca="1">_xlfn.FLOOR.MATH(K43,POWER(10,MAX(2,INT(LOG10(K43)-2))))</f>
        <v>195000</v>
      </c>
      <c r="O43" s="1">
        <f ca="1">_xlfn.FLOOR.MATH(L43,POWER(10,MAX(2,INT(LOG10(L43)-2))))</f>
        <v>325000</v>
      </c>
      <c r="P43" s="4" t="str">
        <f ca="1" t="shared" si="0"/>
        <v>260000;195000;325000</v>
      </c>
      <c r="Q43" s="15">
        <f ca="1">IF(C43=1,OFFSET(控制台!$H$599,MATCH(F43,控制台!$B$599:$B$615,0)-1,0),OFFSET(控制台!$H$618,MATCH(F43,控制台!$B$618:$B$636,0)-1,0))</f>
        <v>4124.3904</v>
      </c>
      <c r="R43" s="15">
        <f ca="1">IF(E43=1,Q43/G43,IF(E43=5,Q43/G43*OFFSET(控制台!$D$641,MATCH(B43,控制台!$B$641:$B$645,0)-1,0),Q43/G43*OFFSET(控制台!$H$641,MATCH(B43,控制台!$F$641:$F$650,0)-1,0)))</f>
        <v>1963.99542857143</v>
      </c>
      <c r="S43" s="16">
        <f ca="1">_xlfn.FLOOR.MATH(R43)*60</f>
        <v>117780</v>
      </c>
      <c r="T43" s="16">
        <f ca="1">8000+IF(C43=1,OFFSET(控制台!$K$599,MATCH(F43,控制台!$B$599:$B$615,0)-1,0),OFFSET(控制台!$K$618,MATCH(F43,控制台!$B$618:$B$636,0)-1,0))</f>
        <v>8012</v>
      </c>
      <c r="U43" s="1">
        <f ca="1">IF(C43=1,OFFSET(控制台!$F$599,MATCH(F43,控制台!$B$599:$B$615,0)-1,0),OFFSET(控制台!$F$618,MATCH(F43,控制台!$B$618:$B$636,0)-1,0))</f>
        <v>3732.48</v>
      </c>
      <c r="V43" s="1">
        <f ca="1">IF(E43=1,U43/G43,IF(E43=5,U43/G43*OFFSET(控制台!$D$641,MATCH(B43,控制台!$B$641:$B$645,0)-1,0),U43/G43*OFFSET(控制台!$H$641,MATCH(B43,控制台!$F$641:$F$650,0)-1,0)))</f>
        <v>1777.37142857143</v>
      </c>
      <c r="W43" s="20">
        <f ca="1" t="shared" si="1"/>
        <v>1.23428571428571</v>
      </c>
      <c r="X43" s="15">
        <f ca="1">IF(C43=1,OFFSET(控制台!$U$599,MATCH(F43,控制台!$B$599:$B$615,0)-1,0),OFFSET(控制台!$U$618,MATCH(F43,控制台!$B$618:$B$636,0)-1,0))</f>
        <v>10467</v>
      </c>
      <c r="Y43" s="16">
        <f ca="1">_xlfn.FLOOR.MATH(IF(E43=1,X43/G43,IF(E43=5,X43/G43*OFFSET(控制台!$D$641,MATCH(B43,控制台!$B$641:$B$645,0)-1,0),X43/G43*OFFSET(控制台!$H$641,MATCH(B43,控制台!$F$641:$F$650,0)-1,0))))</f>
        <v>4984</v>
      </c>
      <c r="Z43" s="16">
        <f ca="1" t="shared" si="2"/>
        <v>10465</v>
      </c>
    </row>
    <row r="44" spans="1:26">
      <c r="A44" s="1">
        <v>10701</v>
      </c>
      <c r="B44" s="1">
        <v>1</v>
      </c>
      <c r="C44" s="1">
        <v>1</v>
      </c>
      <c r="D44" s="1" t="s">
        <v>2785</v>
      </c>
      <c r="E44" s="1">
        <f ca="1">IF(C44=1,OFFSET(控制台!$F$552,MATCH(A44,控制台!$B$552:$B$580,0)-1,0),OFFSET(控制台!$L$552,MATCH(A44,控制台!$H$552:$H$594,0)-1,0))</f>
        <v>1</v>
      </c>
      <c r="F44" s="1">
        <f ca="1">IF(C44=1,OFFSET(控制台!$D$552,MATCH(A44,控制台!$B$552:$B$580,0)-1,0),OFFSET(控制台!$J$552,MATCH(A44,控制台!$H$552:$H$594,0)-1,0))</f>
        <v>7</v>
      </c>
      <c r="G44" s="1">
        <f ca="1">IF(C44=1,OFFSET(控制台!$I$599,MATCH(F44,控制台!$B$599:$B$615,0)-1,0),OFFSET(控制台!$I$618,MATCH(F44,控制台!$B$618:$B$636,0)-1,0))</f>
        <v>2</v>
      </c>
      <c r="H44" s="1">
        <f ca="1">IF(C44=1,OFFSET(控制台!$D$599,MATCH(F44,控制台!$B$599:$B$615,0)-1,0),OFFSET(控制台!$D$618,MATCH(F44,控制台!$B$618:$B$636,0)-1,0))</f>
        <v>1296000</v>
      </c>
      <c r="I44" s="1">
        <f ca="1">IF(E44=1,H44/G44,IF(E44=5,H44/G44*OFFSET(控制台!$D$641,MATCH(B44,控制台!$B$641:$B$645,0)-1,0),H44/G44*OFFSET(控制台!$H$641,MATCH(B44,控制台!$F$641:$F$650,0)-1,0)))</f>
        <v>648000</v>
      </c>
      <c r="J44" s="1">
        <f ca="1">$I44/3*控制台!H$102</f>
        <v>216000</v>
      </c>
      <c r="K44" s="1">
        <f ca="1">$I44/3*控制台!I$102</f>
        <v>162000</v>
      </c>
      <c r="L44" s="1">
        <f ca="1">$I44/3*控制台!J$102</f>
        <v>270000</v>
      </c>
      <c r="M44" s="1">
        <f ca="1">_xlfn.FLOOR.MATH(J44,POWER(10,MAX(2,INT(LOG10(J44)-2))))</f>
        <v>216000</v>
      </c>
      <c r="N44" s="1">
        <f ca="1">_xlfn.FLOOR.MATH(K44,POWER(10,MAX(2,INT(LOG10(K44)-2))))</f>
        <v>162000</v>
      </c>
      <c r="O44" s="1">
        <f ca="1">_xlfn.FLOOR.MATH(L44,POWER(10,MAX(2,INT(LOG10(L44)-2))))</f>
        <v>270000</v>
      </c>
      <c r="P44" s="4" t="str">
        <f ca="1" t="shared" si="0"/>
        <v>216000;162000;270000</v>
      </c>
      <c r="Q44" s="15">
        <f ca="1">IF(C44=1,OFFSET(控制台!$H$599,MATCH(F44,控制台!$B$599:$B$615,0)-1,0),OFFSET(控制台!$H$618,MATCH(F44,控制台!$B$618:$B$636,0)-1,0))</f>
        <v>2762.0352</v>
      </c>
      <c r="R44" s="15">
        <f ca="1">IF(E44=1,Q44/G44,IF(E44=5,Q44/G44*OFFSET(控制台!$D$641,MATCH(B44,控制台!$B$641:$B$645,0)-1,0),Q44/G44*OFFSET(控制台!$H$641,MATCH(B44,控制台!$F$641:$F$650,0)-1,0)))</f>
        <v>1381.0176</v>
      </c>
      <c r="S44" s="16">
        <f ca="1">_xlfn.FLOOR.MATH(R44)*60</f>
        <v>82860</v>
      </c>
      <c r="T44" s="16">
        <f ca="1">8000+IF(C44=1,OFFSET(控制台!$K$599,MATCH(F44,控制台!$B$599:$B$615,0)-1,0),OFFSET(控制台!$K$618,MATCH(F44,控制台!$B$618:$B$636,0)-1,0))</f>
        <v>8013</v>
      </c>
      <c r="U44" s="1">
        <f ca="1">IF(C44=1,OFFSET(控制台!$F$599,MATCH(F44,控制台!$B$599:$B$615,0)-1,0),OFFSET(控制台!$F$618,MATCH(F44,控制台!$B$618:$B$636,0)-1,0))</f>
        <v>2488.32</v>
      </c>
      <c r="V44" s="1">
        <f ca="1">IF(E44=1,U44/G44,IF(E44=5,U44/G44*OFFSET(控制台!$D$641,MATCH(B44,控制台!$B$641:$B$645,0)-1,0),U44/G44*OFFSET(控制台!$H$641,MATCH(B44,控制台!$F$641:$F$650,0)-1,0)))</f>
        <v>1244.16</v>
      </c>
      <c r="W44" s="20">
        <f ca="1" t="shared" si="1"/>
        <v>0.864</v>
      </c>
      <c r="X44" s="15">
        <f ca="1">IF(C44=1,OFFSET(控制台!$U$599,MATCH(F44,控制台!$B$599:$B$615,0)-1,0),OFFSET(控制台!$U$618,MATCH(F44,控制台!$B$618:$B$636,0)-1,0))</f>
        <v>7020</v>
      </c>
      <c r="Y44" s="16">
        <f ca="1">_xlfn.FLOOR.MATH(IF(E44=1,X44/G44,IF(E44=5,X44/G44*OFFSET(控制台!$D$641,MATCH(B44,控制台!$B$641:$B$645,0)-1,0),X44/G44*OFFSET(控制台!$H$641,MATCH(B44,控制台!$F$641:$F$650,0)-1,0))))</f>
        <v>3510</v>
      </c>
      <c r="Z44" s="16">
        <f ca="1" t="shared" si="2"/>
        <v>3510</v>
      </c>
    </row>
    <row r="45" spans="1:26">
      <c r="A45" s="1">
        <v>10703</v>
      </c>
      <c r="B45" s="1">
        <v>1</v>
      </c>
      <c r="C45" s="1">
        <v>1</v>
      </c>
      <c r="D45" s="1" t="s">
        <v>2786</v>
      </c>
      <c r="E45" s="1">
        <f ca="1">IF(C45=1,OFFSET(控制台!$F$552,MATCH(A45,控制台!$B$552:$B$580,0)-1,0),OFFSET(控制台!$L$552,MATCH(A45,控制台!$H$552:$H$594,0)-1,0))</f>
        <v>1</v>
      </c>
      <c r="F45" s="1">
        <f ca="1">IF(C45=1,OFFSET(控制台!$D$552,MATCH(A45,控制台!$B$552:$B$580,0)-1,0),OFFSET(控制台!$J$552,MATCH(A45,控制台!$H$552:$H$594,0)-1,0))</f>
        <v>7</v>
      </c>
      <c r="G45" s="1">
        <f ca="1">IF(C45=1,OFFSET(控制台!$I$599,MATCH(F45,控制台!$B$599:$B$615,0)-1,0),OFFSET(控制台!$I$618,MATCH(F45,控制台!$B$618:$B$636,0)-1,0))</f>
        <v>2</v>
      </c>
      <c r="H45" s="1">
        <f ca="1">IF(C45=1,OFFSET(控制台!$D$599,MATCH(F45,控制台!$B$599:$B$615,0)-1,0),OFFSET(控制台!$D$618,MATCH(F45,控制台!$B$618:$B$636,0)-1,0))</f>
        <v>1296000</v>
      </c>
      <c r="I45" s="1">
        <f ca="1">IF(E45=1,H45/G45,IF(E45=5,H45/G45*OFFSET(控制台!$D$641,MATCH(B45,控制台!$B$641:$B$645,0)-1,0),H45/G45*OFFSET(控制台!$H$641,MATCH(B45,控制台!$F$641:$F$650,0)-1,0)))</f>
        <v>648000</v>
      </c>
      <c r="J45" s="1">
        <f ca="1">$I45/3*控制台!H$102</f>
        <v>216000</v>
      </c>
      <c r="K45" s="1">
        <f ca="1">$I45/3*控制台!I$102</f>
        <v>162000</v>
      </c>
      <c r="L45" s="1">
        <f ca="1">$I45/3*控制台!J$102</f>
        <v>270000</v>
      </c>
      <c r="M45" s="1">
        <f ca="1">_xlfn.FLOOR.MATH(J45,POWER(10,MAX(2,INT(LOG10(J45)-2))))</f>
        <v>216000</v>
      </c>
      <c r="N45" s="1">
        <f ca="1">_xlfn.FLOOR.MATH(K45,POWER(10,MAX(2,INT(LOG10(K45)-2))))</f>
        <v>162000</v>
      </c>
      <c r="O45" s="1">
        <f ca="1">_xlfn.FLOOR.MATH(L45,POWER(10,MAX(2,INT(LOG10(L45)-2))))</f>
        <v>270000</v>
      </c>
      <c r="P45" s="4" t="str">
        <f ca="1" t="shared" si="0"/>
        <v>216000;162000;270000</v>
      </c>
      <c r="Q45" s="15">
        <f ca="1">IF(C45=1,OFFSET(控制台!$H$599,MATCH(F45,控制台!$B$599:$B$615,0)-1,0),OFFSET(控制台!$H$618,MATCH(F45,控制台!$B$618:$B$636,0)-1,0))</f>
        <v>2762.0352</v>
      </c>
      <c r="R45" s="15">
        <f ca="1">IF(E45=1,Q45/G45,IF(E45=5,Q45/G45*OFFSET(控制台!$D$641,MATCH(B45,控制台!$B$641:$B$645,0)-1,0),Q45/G45*OFFSET(控制台!$H$641,MATCH(B45,控制台!$F$641:$F$650,0)-1,0)))</f>
        <v>1381.0176</v>
      </c>
      <c r="S45" s="16">
        <f ca="1">_xlfn.FLOOR.MATH(R45)*60</f>
        <v>82860</v>
      </c>
      <c r="T45" s="16">
        <f ca="1">8000+IF(C45=1,OFFSET(控制台!$K$599,MATCH(F45,控制台!$B$599:$B$615,0)-1,0),OFFSET(控制台!$K$618,MATCH(F45,控制台!$B$618:$B$636,0)-1,0))</f>
        <v>8013</v>
      </c>
      <c r="U45" s="1">
        <f ca="1">IF(C45=1,OFFSET(控制台!$F$599,MATCH(F45,控制台!$B$599:$B$615,0)-1,0),OFFSET(控制台!$F$618,MATCH(F45,控制台!$B$618:$B$636,0)-1,0))</f>
        <v>2488.32</v>
      </c>
      <c r="V45" s="1">
        <f ca="1">IF(E45=1,U45/G45,IF(E45=5,U45/G45*OFFSET(控制台!$D$641,MATCH(B45,控制台!$B$641:$B$645,0)-1,0),U45/G45*OFFSET(控制台!$H$641,MATCH(B45,控制台!$F$641:$F$650,0)-1,0)))</f>
        <v>1244.16</v>
      </c>
      <c r="W45" s="20">
        <f ca="1" t="shared" si="1"/>
        <v>0.864</v>
      </c>
      <c r="X45" s="15">
        <f ca="1">IF(C45=1,OFFSET(控制台!$U$599,MATCH(F45,控制台!$B$599:$B$615,0)-1,0),OFFSET(控制台!$U$618,MATCH(F45,控制台!$B$618:$B$636,0)-1,0))</f>
        <v>7020</v>
      </c>
      <c r="Y45" s="16">
        <f ca="1">_xlfn.FLOOR.MATH(IF(E45=1,X45/G45,IF(E45=5,X45/G45*OFFSET(控制台!$D$641,MATCH(B45,控制台!$B$641:$B$645,0)-1,0),X45/G45*OFFSET(控制台!$H$641,MATCH(B45,控制台!$F$641:$F$650,0)-1,0))))</f>
        <v>3510</v>
      </c>
      <c r="Z45" s="16">
        <f ca="1" t="shared" si="2"/>
        <v>3510</v>
      </c>
    </row>
    <row r="46" spans="1:26">
      <c r="A46" s="1">
        <v>10801</v>
      </c>
      <c r="B46" s="1">
        <v>1</v>
      </c>
      <c r="C46" s="1">
        <v>1</v>
      </c>
      <c r="D46" s="1" t="s">
        <v>2787</v>
      </c>
      <c r="E46" s="1">
        <f ca="1">IF(C46=1,OFFSET(控制台!$F$552,MATCH(A46,控制台!$B$552:$B$580,0)-1,0),OFFSET(控制台!$L$552,MATCH(A46,控制台!$H$552:$H$594,0)-1,0))</f>
        <v>5</v>
      </c>
      <c r="F46" s="1">
        <f ca="1">IF(C46=1,OFFSET(控制台!$D$552,MATCH(A46,控制台!$B$552:$B$580,0)-1,0),OFFSET(控制台!$J$552,MATCH(A46,控制台!$H$552:$H$594,0)-1,0))</f>
        <v>8</v>
      </c>
      <c r="G46" s="1">
        <f ca="1">IF(C46=1,OFFSET(控制台!$I$599,MATCH(F46,控制台!$B$599:$B$615,0)-1,0),OFFSET(控制台!$I$618,MATCH(F46,控制台!$B$618:$B$636,0)-1,0))</f>
        <v>3</v>
      </c>
      <c r="H46" s="1">
        <f ca="1">IF(C46=1,OFFSET(控制台!$D$599,MATCH(F46,控制台!$B$599:$B$615,0)-1,0),OFFSET(控制台!$D$618,MATCH(F46,控制台!$B$618:$B$636,0)-1,0))</f>
        <v>9504000</v>
      </c>
      <c r="I46" s="1">
        <f ca="1">IF(E46=1,H46/G46,IF(E46=5,H46/G46*OFFSET(控制台!$D$641,MATCH(B46,控制台!$B$641:$B$645,0)-1,0),H46/G46*OFFSET(控制台!$H$641,MATCH(B46,控制台!$F$641:$F$650,0)-1,0)))</f>
        <v>150857.142857143</v>
      </c>
      <c r="J46" s="1">
        <f ca="1">$I46/3*控制台!H$102</f>
        <v>50285.7142857143</v>
      </c>
      <c r="K46" s="1">
        <f ca="1">$I46/3*控制台!I$102</f>
        <v>37714.2857142857</v>
      </c>
      <c r="L46" s="1">
        <f ca="1">$I46/3*控制台!J$102</f>
        <v>62857.1428571428</v>
      </c>
      <c r="M46" s="1">
        <f ca="1">_xlfn.FLOOR.MATH(J46,POWER(10,MAX(2,INT(LOG10(J46)-2))))</f>
        <v>50200</v>
      </c>
      <c r="N46" s="1">
        <f ca="1">_xlfn.FLOOR.MATH(K46,POWER(10,MAX(2,INT(LOG10(K46)-2))))</f>
        <v>37700</v>
      </c>
      <c r="O46" s="1">
        <f ca="1">_xlfn.FLOOR.MATH(L46,POWER(10,MAX(2,INT(LOG10(L46)-2))))</f>
        <v>62800</v>
      </c>
      <c r="P46" s="4" t="str">
        <f ca="1" t="shared" si="0"/>
        <v>50200;37700;62800</v>
      </c>
      <c r="Q46" s="15">
        <f ca="1">IF(C46=1,OFFSET(控制台!$H$599,MATCH(F46,控制台!$B$599:$B$615,0)-1,0),OFFSET(控制台!$H$618,MATCH(F46,控制台!$B$618:$B$636,0)-1,0))</f>
        <v>13237.8624</v>
      </c>
      <c r="R46" s="15">
        <f ca="1">IF(E46=1,Q46/G46,IF(E46=5,Q46/G46*OFFSET(控制台!$D$641,MATCH(B46,控制台!$B$641:$B$645,0)-1,0),Q46/G46*OFFSET(控制台!$H$641,MATCH(B46,控制台!$F$641:$F$650,0)-1,0)))</f>
        <v>210.1248</v>
      </c>
      <c r="S46" s="16">
        <f ca="1">_xlfn.FLOOR.MATH(R46)*60</f>
        <v>12600</v>
      </c>
      <c r="T46" s="16">
        <f ca="1">8000+IF(C46=1,OFFSET(控制台!$K$599,MATCH(F46,控制台!$B$599:$B$615,0)-1,0),OFFSET(控制台!$K$618,MATCH(F46,控制台!$B$618:$B$636,0)-1,0))</f>
        <v>8015</v>
      </c>
      <c r="U46" s="1">
        <f ca="1">IF(C46=1,OFFSET(控制台!$F$599,MATCH(F46,控制台!$B$599:$B$615,0)-1,0),OFFSET(控制台!$F$618,MATCH(F46,控制台!$B$618:$B$636,0)-1,0))</f>
        <v>11819.52</v>
      </c>
      <c r="V46" s="1">
        <f ca="1">IF(E46=1,U46/G46,IF(E46=5,U46/G46*OFFSET(控制台!$D$641,MATCH(B46,控制台!$B$641:$B$645,0)-1,0),U46/G46*OFFSET(控制台!$H$641,MATCH(B46,控制台!$F$641:$F$650,0)-1,0)))</f>
        <v>187.611428571429</v>
      </c>
      <c r="W46" s="20">
        <f ca="1" t="shared" si="1"/>
        <v>0.130285714285714</v>
      </c>
      <c r="X46" s="15">
        <f ca="1">IF(C46=1,OFFSET(控制台!$U$599,MATCH(F46,控制台!$B$599:$B$615,0)-1,0),OFFSET(控制台!$U$618,MATCH(F46,控制台!$B$618:$B$636,0)-1,0))</f>
        <v>34042.5</v>
      </c>
      <c r="Y46" s="16">
        <f ca="1">_xlfn.FLOOR.MATH(IF(E46=1,X46/G46,IF(E46=5,X46/G46*OFFSET(控制台!$D$641,MATCH(B46,控制台!$B$641:$B$645,0)-1,0),X46/G46*OFFSET(控制台!$H$641,MATCH(B46,控制台!$F$641:$F$650,0)-1,0))))</f>
        <v>540</v>
      </c>
      <c r="Z46" s="16">
        <f ca="1" t="shared" si="2"/>
        <v>540</v>
      </c>
    </row>
    <row r="47" spans="1:26">
      <c r="A47" s="1">
        <v>10801</v>
      </c>
      <c r="B47" s="1">
        <v>2</v>
      </c>
      <c r="C47" s="1">
        <v>1</v>
      </c>
      <c r="D47" s="1" t="s">
        <v>2787</v>
      </c>
      <c r="E47" s="1">
        <f ca="1">IF(C47=1,OFFSET(控制台!$F$552,MATCH(A47,控制台!$B$552:$B$580,0)-1,0),OFFSET(控制台!$L$552,MATCH(A47,控制台!$H$552:$H$594,0)-1,0))</f>
        <v>5</v>
      </c>
      <c r="F47" s="1">
        <f ca="1">IF(C47=1,OFFSET(控制台!$D$552,MATCH(A47,控制台!$B$552:$B$580,0)-1,0),OFFSET(控制台!$J$552,MATCH(A47,控制台!$H$552:$H$594,0)-1,0))</f>
        <v>8</v>
      </c>
      <c r="G47" s="1">
        <f ca="1">IF(C47=1,OFFSET(控制台!$I$599,MATCH(F47,控制台!$B$599:$B$615,0)-1,0),OFFSET(控制台!$I$618,MATCH(F47,控制台!$B$618:$B$636,0)-1,0))</f>
        <v>3</v>
      </c>
      <c r="H47" s="1">
        <f ca="1">IF(C47=1,OFFSET(控制台!$D$599,MATCH(F47,控制台!$B$599:$B$615,0)-1,0),OFFSET(控制台!$D$618,MATCH(F47,控制台!$B$618:$B$636,0)-1,0))</f>
        <v>9504000</v>
      </c>
      <c r="I47" s="1">
        <f ca="1">IF(E47=1,H47/G47,IF(E47=5,H47/G47*OFFSET(控制台!$D$641,MATCH(B47,控制台!$B$641:$B$645,0)-1,0),H47/G47*OFFSET(控制台!$H$641,MATCH(B47,控制台!$F$641:$F$650,0)-1,0)))</f>
        <v>301714.285714286</v>
      </c>
      <c r="J47" s="1">
        <f ca="1">$I47/3*控制台!H$102</f>
        <v>100571.428571429</v>
      </c>
      <c r="K47" s="1">
        <f ca="1">$I47/3*控制台!I$102</f>
        <v>75428.5714285714</v>
      </c>
      <c r="L47" s="1">
        <f ca="1">$I47/3*控制台!J$102</f>
        <v>125714.285714286</v>
      </c>
      <c r="M47" s="1">
        <f ca="1">_xlfn.FLOOR.MATH(J47,POWER(10,MAX(2,INT(LOG10(J47)-2))))</f>
        <v>100000</v>
      </c>
      <c r="N47" s="1">
        <f ca="1">_xlfn.FLOOR.MATH(K47,POWER(10,MAX(2,INT(LOG10(K47)-2))))</f>
        <v>75400</v>
      </c>
      <c r="O47" s="1">
        <f ca="1">_xlfn.FLOOR.MATH(L47,POWER(10,MAX(2,INT(LOG10(L47)-2))))</f>
        <v>125000</v>
      </c>
      <c r="P47" s="4" t="str">
        <f ca="1" t="shared" si="0"/>
        <v>100000;75400;125000</v>
      </c>
      <c r="Q47" s="15">
        <f ca="1">IF(C47=1,OFFSET(控制台!$H$599,MATCH(F47,控制台!$B$599:$B$615,0)-1,0),OFFSET(控制台!$H$618,MATCH(F47,控制台!$B$618:$B$636,0)-1,0))</f>
        <v>13237.8624</v>
      </c>
      <c r="R47" s="15">
        <f ca="1">IF(E47=1,Q47/G47,IF(E47=5,Q47/G47*OFFSET(控制台!$D$641,MATCH(B47,控制台!$B$641:$B$645,0)-1,0),Q47/G47*OFFSET(控制台!$H$641,MATCH(B47,控制台!$F$641:$F$650,0)-1,0)))</f>
        <v>420.2496</v>
      </c>
      <c r="S47" s="16">
        <f ca="1">_xlfn.FLOOR.MATH(R47)*60</f>
        <v>25200</v>
      </c>
      <c r="T47" s="16">
        <f ca="1">8000+IF(C47=1,OFFSET(控制台!$K$599,MATCH(F47,控制台!$B$599:$B$615,0)-1,0),OFFSET(控制台!$K$618,MATCH(F47,控制台!$B$618:$B$636,0)-1,0))</f>
        <v>8015</v>
      </c>
      <c r="U47" s="1">
        <f ca="1">IF(C47=1,OFFSET(控制台!$F$599,MATCH(F47,控制台!$B$599:$B$615,0)-1,0),OFFSET(控制台!$F$618,MATCH(F47,控制台!$B$618:$B$636,0)-1,0))</f>
        <v>11819.52</v>
      </c>
      <c r="V47" s="1">
        <f ca="1">IF(E47=1,U47/G47,IF(E47=5,U47/G47*OFFSET(控制台!$D$641,MATCH(B47,控制台!$B$641:$B$645,0)-1,0),U47/G47*OFFSET(控制台!$H$641,MATCH(B47,控制台!$F$641:$F$650,0)-1,0)))</f>
        <v>375.222857142857</v>
      </c>
      <c r="W47" s="20">
        <f ca="1" t="shared" si="1"/>
        <v>0.260571428571429</v>
      </c>
      <c r="X47" s="15">
        <f ca="1">IF(C47=1,OFFSET(控制台!$U$599,MATCH(F47,控制台!$B$599:$B$615,0)-1,0),OFFSET(控制台!$U$618,MATCH(F47,控制台!$B$618:$B$636,0)-1,0))</f>
        <v>34042.5</v>
      </c>
      <c r="Y47" s="16">
        <f ca="1">_xlfn.FLOOR.MATH(IF(E47=1,X47/G47,IF(E47=5,X47/G47*OFFSET(控制台!$D$641,MATCH(B47,控制台!$B$641:$B$645,0)-1,0),X47/G47*OFFSET(控制台!$H$641,MATCH(B47,控制台!$F$641:$F$650,0)-1,0))))</f>
        <v>1080</v>
      </c>
      <c r="Z47" s="16">
        <f ca="1" t="shared" si="2"/>
        <v>1620</v>
      </c>
    </row>
    <row r="48" spans="1:26">
      <c r="A48" s="1">
        <v>10801</v>
      </c>
      <c r="B48" s="1">
        <v>3</v>
      </c>
      <c r="C48" s="1">
        <v>1</v>
      </c>
      <c r="D48" s="1" t="s">
        <v>2787</v>
      </c>
      <c r="E48" s="1">
        <f ca="1">IF(C48=1,OFFSET(控制台!$F$552,MATCH(A48,控制台!$B$552:$B$580,0)-1,0),OFFSET(控制台!$L$552,MATCH(A48,控制台!$H$552:$H$594,0)-1,0))</f>
        <v>5</v>
      </c>
      <c r="F48" s="1">
        <f ca="1">IF(C48=1,OFFSET(控制台!$D$552,MATCH(A48,控制台!$B$552:$B$580,0)-1,0),OFFSET(控制台!$J$552,MATCH(A48,控制台!$H$552:$H$594,0)-1,0))</f>
        <v>8</v>
      </c>
      <c r="G48" s="1">
        <f ca="1">IF(C48=1,OFFSET(控制台!$I$599,MATCH(F48,控制台!$B$599:$B$615,0)-1,0),OFFSET(控制台!$I$618,MATCH(F48,控制台!$B$618:$B$636,0)-1,0))</f>
        <v>3</v>
      </c>
      <c r="H48" s="1">
        <f ca="1">IF(C48=1,OFFSET(控制台!$D$599,MATCH(F48,控制台!$B$599:$B$615,0)-1,0),OFFSET(控制台!$D$618,MATCH(F48,控制台!$B$618:$B$636,0)-1,0))</f>
        <v>9504000</v>
      </c>
      <c r="I48" s="1">
        <f ca="1">IF(E48=1,H48/G48,IF(E48=5,H48/G48*OFFSET(控制台!$D$641,MATCH(B48,控制台!$B$641:$B$645,0)-1,0),H48/G48*OFFSET(控制台!$H$641,MATCH(B48,控制台!$F$641:$F$650,0)-1,0)))</f>
        <v>452571.428571429</v>
      </c>
      <c r="J48" s="1">
        <f ca="1">$I48/3*控制台!H$102</f>
        <v>150857.142857143</v>
      </c>
      <c r="K48" s="1">
        <f ca="1">$I48/3*控制台!I$102</f>
        <v>113142.857142857</v>
      </c>
      <c r="L48" s="1">
        <f ca="1">$I48/3*控制台!J$102</f>
        <v>188571.428571429</v>
      </c>
      <c r="M48" s="1">
        <f ca="1">_xlfn.FLOOR.MATH(J48,POWER(10,MAX(2,INT(LOG10(J48)-2))))</f>
        <v>150000</v>
      </c>
      <c r="N48" s="1">
        <f ca="1">_xlfn.FLOOR.MATH(K48,POWER(10,MAX(2,INT(LOG10(K48)-2))))</f>
        <v>113000</v>
      </c>
      <c r="O48" s="1">
        <f ca="1">_xlfn.FLOOR.MATH(L48,POWER(10,MAX(2,INT(LOG10(L48)-2))))</f>
        <v>188000</v>
      </c>
      <c r="P48" s="4" t="str">
        <f ca="1" t="shared" si="0"/>
        <v>150000;113000;188000</v>
      </c>
      <c r="Q48" s="15">
        <f ca="1">IF(C48=1,OFFSET(控制台!$H$599,MATCH(F48,控制台!$B$599:$B$615,0)-1,0),OFFSET(控制台!$H$618,MATCH(F48,控制台!$B$618:$B$636,0)-1,0))</f>
        <v>13237.8624</v>
      </c>
      <c r="R48" s="15">
        <f ca="1">IF(E48=1,Q48/G48,IF(E48=5,Q48/G48*OFFSET(控制台!$D$641,MATCH(B48,控制台!$B$641:$B$645,0)-1,0),Q48/G48*OFFSET(控制台!$H$641,MATCH(B48,控制台!$F$641:$F$650,0)-1,0)))</f>
        <v>630.374400000001</v>
      </c>
      <c r="S48" s="16">
        <f ca="1">_xlfn.FLOOR.MATH(R48)*60</f>
        <v>37800</v>
      </c>
      <c r="T48" s="16">
        <f ca="1">8000+IF(C48=1,OFFSET(控制台!$K$599,MATCH(F48,控制台!$B$599:$B$615,0)-1,0),OFFSET(控制台!$K$618,MATCH(F48,控制台!$B$618:$B$636,0)-1,0))</f>
        <v>8015</v>
      </c>
      <c r="U48" s="1">
        <f ca="1">IF(C48=1,OFFSET(控制台!$F$599,MATCH(F48,控制台!$B$599:$B$615,0)-1,0),OFFSET(控制台!$F$618,MATCH(F48,控制台!$B$618:$B$636,0)-1,0))</f>
        <v>11819.52</v>
      </c>
      <c r="V48" s="1">
        <f ca="1">IF(E48=1,U48/G48,IF(E48=5,U48/G48*OFFSET(控制台!$D$641,MATCH(B48,控制台!$B$641:$B$645,0)-1,0),U48/G48*OFFSET(控制台!$H$641,MATCH(B48,控制台!$F$641:$F$650,0)-1,0)))</f>
        <v>562.834285714286</v>
      </c>
      <c r="W48" s="20">
        <f ca="1" t="shared" si="1"/>
        <v>0.390857142857143</v>
      </c>
      <c r="X48" s="15">
        <f ca="1">IF(C48=1,OFFSET(控制台!$U$599,MATCH(F48,控制台!$B$599:$B$615,0)-1,0),OFFSET(控制台!$U$618,MATCH(F48,控制台!$B$618:$B$636,0)-1,0))</f>
        <v>34042.5</v>
      </c>
      <c r="Y48" s="16">
        <f ca="1">_xlfn.FLOOR.MATH(IF(E48=1,X48/G48,IF(E48=5,X48/G48*OFFSET(控制台!$D$641,MATCH(B48,控制台!$B$641:$B$645,0)-1,0),X48/G48*OFFSET(控制台!$H$641,MATCH(B48,控制台!$F$641:$F$650,0)-1,0))))</f>
        <v>1621</v>
      </c>
      <c r="Z48" s="16">
        <f ca="1" t="shared" si="2"/>
        <v>3241</v>
      </c>
    </row>
    <row r="49" spans="1:26">
      <c r="A49" s="1">
        <v>10801</v>
      </c>
      <c r="B49" s="1">
        <v>4</v>
      </c>
      <c r="C49" s="1">
        <v>1</v>
      </c>
      <c r="D49" s="1" t="s">
        <v>2787</v>
      </c>
      <c r="E49" s="1">
        <f ca="1">IF(C49=1,OFFSET(控制台!$F$552,MATCH(A49,控制台!$B$552:$B$580,0)-1,0),OFFSET(控制台!$L$552,MATCH(A49,控制台!$H$552:$H$594,0)-1,0))</f>
        <v>5</v>
      </c>
      <c r="F49" s="1">
        <f ca="1">IF(C49=1,OFFSET(控制台!$D$552,MATCH(A49,控制台!$B$552:$B$580,0)-1,0),OFFSET(控制台!$J$552,MATCH(A49,控制台!$H$552:$H$594,0)-1,0))</f>
        <v>8</v>
      </c>
      <c r="G49" s="1">
        <f ca="1">IF(C49=1,OFFSET(控制台!$I$599,MATCH(F49,控制台!$B$599:$B$615,0)-1,0),OFFSET(控制台!$I$618,MATCH(F49,控制台!$B$618:$B$636,0)-1,0))</f>
        <v>3</v>
      </c>
      <c r="H49" s="1">
        <f ca="1">IF(C49=1,OFFSET(控制台!$D$599,MATCH(F49,控制台!$B$599:$B$615,0)-1,0),OFFSET(控制台!$D$618,MATCH(F49,控制台!$B$618:$B$636,0)-1,0))</f>
        <v>9504000</v>
      </c>
      <c r="I49" s="1">
        <f ca="1">IF(E49=1,H49/G49,IF(E49=5,H49/G49*OFFSET(控制台!$D$641,MATCH(B49,控制台!$B$641:$B$645,0)-1,0),H49/G49*OFFSET(控制台!$H$641,MATCH(B49,控制台!$F$641:$F$650,0)-1,0)))</f>
        <v>754285.714285714</v>
      </c>
      <c r="J49" s="1">
        <f ca="1">$I49/3*控制台!H$102</f>
        <v>251428.571428571</v>
      </c>
      <c r="K49" s="1">
        <f ca="1">$I49/3*控制台!I$102</f>
        <v>188571.428571428</v>
      </c>
      <c r="L49" s="1">
        <f ca="1">$I49/3*控制台!J$102</f>
        <v>314285.714285714</v>
      </c>
      <c r="M49" s="1">
        <f ca="1">_xlfn.FLOOR.MATH(J49,POWER(10,MAX(2,INT(LOG10(J49)-2))))</f>
        <v>251000</v>
      </c>
      <c r="N49" s="1">
        <f ca="1">_xlfn.FLOOR.MATH(K49,POWER(10,MAX(2,INT(LOG10(K49)-2))))</f>
        <v>188000</v>
      </c>
      <c r="O49" s="1">
        <f ca="1">_xlfn.FLOOR.MATH(L49,POWER(10,MAX(2,INT(LOG10(L49)-2))))</f>
        <v>314000</v>
      </c>
      <c r="P49" s="4" t="str">
        <f ca="1" t="shared" si="0"/>
        <v>251000;188000;314000</v>
      </c>
      <c r="Q49" s="15">
        <f ca="1">IF(C49=1,OFFSET(控制台!$H$599,MATCH(F49,控制台!$B$599:$B$615,0)-1,0),OFFSET(控制台!$H$618,MATCH(F49,控制台!$B$618:$B$636,0)-1,0))</f>
        <v>13237.8624</v>
      </c>
      <c r="R49" s="15">
        <f ca="1">IF(E49=1,Q49/G49,IF(E49=5,Q49/G49*OFFSET(控制台!$D$641,MATCH(B49,控制台!$B$641:$B$645,0)-1,0),Q49/G49*OFFSET(控制台!$H$641,MATCH(B49,控制台!$F$641:$F$650,0)-1,0)))</f>
        <v>1050.624</v>
      </c>
      <c r="S49" s="16">
        <f ca="1">_xlfn.FLOOR.MATH(R49)*60</f>
        <v>63000</v>
      </c>
      <c r="T49" s="16">
        <f ca="1">8000+IF(C49=1,OFFSET(控制台!$K$599,MATCH(F49,控制台!$B$599:$B$615,0)-1,0),OFFSET(控制台!$K$618,MATCH(F49,控制台!$B$618:$B$636,0)-1,0))</f>
        <v>8015</v>
      </c>
      <c r="U49" s="1">
        <f ca="1">IF(C49=1,OFFSET(控制台!$F$599,MATCH(F49,控制台!$B$599:$B$615,0)-1,0),OFFSET(控制台!$F$618,MATCH(F49,控制台!$B$618:$B$636,0)-1,0))</f>
        <v>11819.52</v>
      </c>
      <c r="V49" s="1">
        <f ca="1">IF(E49=1,U49/G49,IF(E49=5,U49/G49*OFFSET(控制台!$D$641,MATCH(B49,控制台!$B$641:$B$645,0)-1,0),U49/G49*OFFSET(控制台!$H$641,MATCH(B49,控制台!$F$641:$F$650,0)-1,0)))</f>
        <v>938.057142857142</v>
      </c>
      <c r="W49" s="20">
        <f ca="1" t="shared" si="1"/>
        <v>0.651428571428571</v>
      </c>
      <c r="X49" s="15">
        <f ca="1">IF(C49=1,OFFSET(控制台!$U$599,MATCH(F49,控制台!$B$599:$B$615,0)-1,0),OFFSET(控制台!$U$618,MATCH(F49,控制台!$B$618:$B$636,0)-1,0))</f>
        <v>34042.5</v>
      </c>
      <c r="Y49" s="16">
        <f ca="1">_xlfn.FLOOR.MATH(IF(E49=1,X49/G49,IF(E49=5,X49/G49*OFFSET(控制台!$D$641,MATCH(B49,控制台!$B$641:$B$645,0)-1,0),X49/G49*OFFSET(控制台!$H$641,MATCH(B49,控制台!$F$641:$F$650,0)-1,0))))</f>
        <v>2701</v>
      </c>
      <c r="Z49" s="16">
        <f ca="1" t="shared" si="2"/>
        <v>5942</v>
      </c>
    </row>
    <row r="50" spans="1:26">
      <c r="A50" s="1">
        <v>10801</v>
      </c>
      <c r="B50" s="1">
        <v>5</v>
      </c>
      <c r="C50" s="1">
        <v>1</v>
      </c>
      <c r="D50" s="1" t="s">
        <v>2787</v>
      </c>
      <c r="E50" s="1">
        <f ca="1">IF(C50=1,OFFSET(控制台!$F$552,MATCH(A50,控制台!$B$552:$B$580,0)-1,0),OFFSET(控制台!$L$552,MATCH(A50,控制台!$H$552:$H$594,0)-1,0))</f>
        <v>5</v>
      </c>
      <c r="F50" s="1">
        <f ca="1">IF(C50=1,OFFSET(控制台!$D$552,MATCH(A50,控制台!$B$552:$B$580,0)-1,0),OFFSET(控制台!$J$552,MATCH(A50,控制台!$H$552:$H$594,0)-1,0))</f>
        <v>8</v>
      </c>
      <c r="G50" s="1">
        <f ca="1">IF(C50=1,OFFSET(控制台!$I$599,MATCH(F50,控制台!$B$599:$B$615,0)-1,0),OFFSET(控制台!$I$618,MATCH(F50,控制台!$B$618:$B$636,0)-1,0))</f>
        <v>3</v>
      </c>
      <c r="H50" s="1">
        <f ca="1">IF(C50=1,OFFSET(控制台!$D$599,MATCH(F50,控制台!$B$599:$B$615,0)-1,0),OFFSET(控制台!$D$618,MATCH(F50,控制台!$B$618:$B$636,0)-1,0))</f>
        <v>9504000</v>
      </c>
      <c r="I50" s="1">
        <f ca="1">IF(E50=1,H50/G50,IF(E50=5,H50/G50*OFFSET(控制台!$D$641,MATCH(B50,控制台!$B$641:$B$645,0)-1,0),H50/G50*OFFSET(控制台!$H$641,MATCH(B50,控制台!$F$641:$F$650,0)-1,0)))</f>
        <v>1508571.42857143</v>
      </c>
      <c r="J50" s="1">
        <f ca="1">$I50/3*控制台!H$102</f>
        <v>502857.142857143</v>
      </c>
      <c r="K50" s="1">
        <f ca="1">$I50/3*控制台!I$102</f>
        <v>377142.857142857</v>
      </c>
      <c r="L50" s="1">
        <f ca="1">$I50/3*控制台!J$102</f>
        <v>628571.428571428</v>
      </c>
      <c r="M50" s="1">
        <f ca="1">_xlfn.FLOOR.MATH(J50,POWER(10,MAX(2,INT(LOG10(J50)-2))))</f>
        <v>502000</v>
      </c>
      <c r="N50" s="1">
        <f ca="1">_xlfn.FLOOR.MATH(K50,POWER(10,MAX(2,INT(LOG10(K50)-2))))</f>
        <v>377000</v>
      </c>
      <c r="O50" s="1">
        <f ca="1">_xlfn.FLOOR.MATH(L50,POWER(10,MAX(2,INT(LOG10(L50)-2))))</f>
        <v>628000</v>
      </c>
      <c r="P50" s="4" t="str">
        <f ca="1" t="shared" si="0"/>
        <v>502000;377000;628000</v>
      </c>
      <c r="Q50" s="15">
        <f ca="1">IF(C50=1,OFFSET(控制台!$H$599,MATCH(F50,控制台!$B$599:$B$615,0)-1,0),OFFSET(控制台!$H$618,MATCH(F50,控制台!$B$618:$B$636,0)-1,0))</f>
        <v>13237.8624</v>
      </c>
      <c r="R50" s="15">
        <f ca="1">IF(E50=1,Q50/G50,IF(E50=5,Q50/G50*OFFSET(控制台!$D$641,MATCH(B50,控制台!$B$641:$B$645,0)-1,0),Q50/G50*OFFSET(控制台!$H$641,MATCH(B50,控制台!$F$641:$F$650,0)-1,0)))</f>
        <v>2101.248</v>
      </c>
      <c r="S50" s="16">
        <f ca="1">_xlfn.FLOOR.MATH(R50)*60</f>
        <v>126060</v>
      </c>
      <c r="T50" s="16">
        <f ca="1">8000+IF(C50=1,OFFSET(控制台!$K$599,MATCH(F50,控制台!$B$599:$B$615,0)-1,0),OFFSET(控制台!$K$618,MATCH(F50,控制台!$B$618:$B$636,0)-1,0))</f>
        <v>8015</v>
      </c>
      <c r="U50" s="1">
        <f ca="1">IF(C50=1,OFFSET(控制台!$F$599,MATCH(F50,控制台!$B$599:$B$615,0)-1,0),OFFSET(控制台!$F$618,MATCH(F50,控制台!$B$618:$B$636,0)-1,0))</f>
        <v>11819.52</v>
      </c>
      <c r="V50" s="1">
        <f ca="1">IF(E50=1,U50/G50,IF(E50=5,U50/G50*OFFSET(控制台!$D$641,MATCH(B50,控制台!$B$641:$B$645,0)-1,0),U50/G50*OFFSET(控制台!$H$641,MATCH(B50,控制台!$F$641:$F$650,0)-1,0)))</f>
        <v>1876.11428571428</v>
      </c>
      <c r="W50" s="20">
        <f ca="1" t="shared" si="1"/>
        <v>1.30285714285714</v>
      </c>
      <c r="X50" s="15">
        <f ca="1">IF(C50=1,OFFSET(控制台!$U$599,MATCH(F50,控制台!$B$599:$B$615,0)-1,0),OFFSET(控制台!$U$618,MATCH(F50,控制台!$B$618:$B$636,0)-1,0))</f>
        <v>34042.5</v>
      </c>
      <c r="Y50" s="16">
        <f ca="1">_xlfn.FLOOR.MATH(IF(E50=1,X50/G50,IF(E50=5,X50/G50*OFFSET(控制台!$D$641,MATCH(B50,控制台!$B$641:$B$645,0)-1,0),X50/G50*OFFSET(控制台!$H$641,MATCH(B50,控制台!$F$641:$F$650,0)-1,0))))</f>
        <v>5403</v>
      </c>
      <c r="Z50" s="16">
        <f ca="1" t="shared" si="2"/>
        <v>11345</v>
      </c>
    </row>
    <row r="51" spans="1:26">
      <c r="A51" s="1">
        <v>10802</v>
      </c>
      <c r="B51" s="1">
        <v>1</v>
      </c>
      <c r="C51" s="1">
        <v>1</v>
      </c>
      <c r="D51" s="1" t="s">
        <v>2439</v>
      </c>
      <c r="E51" s="1">
        <f ca="1">IF(C51=1,OFFSET(控制台!$F$552,MATCH(A51,控制台!$B$552:$B$580,0)-1,0),OFFSET(控制台!$L$552,MATCH(A51,控制台!$H$552:$H$594,0)-1,0))</f>
        <v>5</v>
      </c>
      <c r="F51" s="1">
        <f ca="1">IF(C51=1,OFFSET(控制台!$D$552,MATCH(A51,控制台!$B$552:$B$580,0)-1,0),OFFSET(控制台!$J$552,MATCH(A51,控制台!$H$552:$H$594,0)-1,0))</f>
        <v>8</v>
      </c>
      <c r="G51" s="1">
        <f ca="1">IF(C51=1,OFFSET(控制台!$I$599,MATCH(F51,控制台!$B$599:$B$615,0)-1,0),OFFSET(控制台!$I$618,MATCH(F51,控制台!$B$618:$B$636,0)-1,0))</f>
        <v>3</v>
      </c>
      <c r="H51" s="1">
        <f ca="1">IF(C51=1,OFFSET(控制台!$D$599,MATCH(F51,控制台!$B$599:$B$615,0)-1,0),OFFSET(控制台!$D$618,MATCH(F51,控制台!$B$618:$B$636,0)-1,0))</f>
        <v>9504000</v>
      </c>
      <c r="I51" s="1">
        <f ca="1">IF(E51=1,H51/G51,IF(E51=5,H51/G51*OFFSET(控制台!$D$641,MATCH(B51,控制台!$B$641:$B$645,0)-1,0),H51/G51*OFFSET(控制台!$H$641,MATCH(B51,控制台!$F$641:$F$650,0)-1,0)))</f>
        <v>150857.142857143</v>
      </c>
      <c r="J51" s="1">
        <f ca="1">$I51/3*控制台!H$102</f>
        <v>50285.7142857143</v>
      </c>
      <c r="K51" s="1">
        <f ca="1">$I51/3*控制台!I$102</f>
        <v>37714.2857142857</v>
      </c>
      <c r="L51" s="1">
        <f ca="1">$I51/3*控制台!J$102</f>
        <v>62857.1428571428</v>
      </c>
      <c r="M51" s="1">
        <f ca="1">_xlfn.FLOOR.MATH(J51,POWER(10,MAX(2,INT(LOG10(J51)-2))))</f>
        <v>50200</v>
      </c>
      <c r="N51" s="1">
        <f ca="1">_xlfn.FLOOR.MATH(K51,POWER(10,MAX(2,INT(LOG10(K51)-2))))</f>
        <v>37700</v>
      </c>
      <c r="O51" s="1">
        <f ca="1">_xlfn.FLOOR.MATH(L51,POWER(10,MAX(2,INT(LOG10(L51)-2))))</f>
        <v>62800</v>
      </c>
      <c r="P51" s="4" t="str">
        <f ca="1" t="shared" si="0"/>
        <v>50200;37700;62800</v>
      </c>
      <c r="Q51" s="15">
        <f ca="1">IF(C51=1,OFFSET(控制台!$H$599,MATCH(F51,控制台!$B$599:$B$615,0)-1,0),OFFSET(控制台!$H$618,MATCH(F51,控制台!$B$618:$B$636,0)-1,0))</f>
        <v>13237.8624</v>
      </c>
      <c r="R51" s="15">
        <f ca="1">IF(E51=1,Q51/G51,IF(E51=5,Q51/G51*OFFSET(控制台!$D$641,MATCH(B51,控制台!$B$641:$B$645,0)-1,0),Q51/G51*OFFSET(控制台!$H$641,MATCH(B51,控制台!$F$641:$F$650,0)-1,0)))</f>
        <v>210.1248</v>
      </c>
      <c r="S51" s="16">
        <f ca="1">_xlfn.FLOOR.MATH(R51)*60</f>
        <v>12600</v>
      </c>
      <c r="T51" s="16">
        <f ca="1">8000+IF(C51=1,OFFSET(控制台!$K$599,MATCH(F51,控制台!$B$599:$B$615,0)-1,0),OFFSET(控制台!$K$618,MATCH(F51,控制台!$B$618:$B$636,0)-1,0))</f>
        <v>8015</v>
      </c>
      <c r="U51" s="1">
        <f ca="1">IF(C51=1,OFFSET(控制台!$F$599,MATCH(F51,控制台!$B$599:$B$615,0)-1,0),OFFSET(控制台!$F$618,MATCH(F51,控制台!$B$618:$B$636,0)-1,0))</f>
        <v>11819.52</v>
      </c>
      <c r="V51" s="1">
        <f ca="1">IF(E51=1,U51/G51,IF(E51=5,U51/G51*OFFSET(控制台!$D$641,MATCH(B51,控制台!$B$641:$B$645,0)-1,0),U51/G51*OFFSET(控制台!$H$641,MATCH(B51,控制台!$F$641:$F$650,0)-1,0)))</f>
        <v>187.611428571429</v>
      </c>
      <c r="W51" s="20">
        <f ca="1" t="shared" si="1"/>
        <v>0.130285714285714</v>
      </c>
      <c r="X51" s="15">
        <f ca="1">IF(C51=1,OFFSET(控制台!$U$599,MATCH(F51,控制台!$B$599:$B$615,0)-1,0),OFFSET(控制台!$U$618,MATCH(F51,控制台!$B$618:$B$636,0)-1,0))</f>
        <v>34042.5</v>
      </c>
      <c r="Y51" s="16">
        <f ca="1">_xlfn.FLOOR.MATH(IF(E51=1,X51/G51,IF(E51=5,X51/G51*OFFSET(控制台!$D$641,MATCH(B51,控制台!$B$641:$B$645,0)-1,0),X51/G51*OFFSET(控制台!$H$641,MATCH(B51,控制台!$F$641:$F$650,0)-1,0))))</f>
        <v>540</v>
      </c>
      <c r="Z51" s="16">
        <f ca="1" t="shared" si="2"/>
        <v>540</v>
      </c>
    </row>
    <row r="52" spans="1:26">
      <c r="A52" s="1">
        <v>10802</v>
      </c>
      <c r="B52" s="1">
        <v>2</v>
      </c>
      <c r="C52" s="1">
        <v>1</v>
      </c>
      <c r="D52" s="1" t="s">
        <v>2439</v>
      </c>
      <c r="E52" s="1">
        <f ca="1">IF(C52=1,OFFSET(控制台!$F$552,MATCH(A52,控制台!$B$552:$B$580,0)-1,0),OFFSET(控制台!$L$552,MATCH(A52,控制台!$H$552:$H$594,0)-1,0))</f>
        <v>5</v>
      </c>
      <c r="F52" s="1">
        <f ca="1">IF(C52=1,OFFSET(控制台!$D$552,MATCH(A52,控制台!$B$552:$B$580,0)-1,0),OFFSET(控制台!$J$552,MATCH(A52,控制台!$H$552:$H$594,0)-1,0))</f>
        <v>8</v>
      </c>
      <c r="G52" s="1">
        <f ca="1">IF(C52=1,OFFSET(控制台!$I$599,MATCH(F52,控制台!$B$599:$B$615,0)-1,0),OFFSET(控制台!$I$618,MATCH(F52,控制台!$B$618:$B$636,0)-1,0))</f>
        <v>3</v>
      </c>
      <c r="H52" s="1">
        <f ca="1">IF(C52=1,OFFSET(控制台!$D$599,MATCH(F52,控制台!$B$599:$B$615,0)-1,0),OFFSET(控制台!$D$618,MATCH(F52,控制台!$B$618:$B$636,0)-1,0))</f>
        <v>9504000</v>
      </c>
      <c r="I52" s="1">
        <f ca="1">IF(E52=1,H52/G52,IF(E52=5,H52/G52*OFFSET(控制台!$D$641,MATCH(B52,控制台!$B$641:$B$645,0)-1,0),H52/G52*OFFSET(控制台!$H$641,MATCH(B52,控制台!$F$641:$F$650,0)-1,0)))</f>
        <v>301714.285714286</v>
      </c>
      <c r="J52" s="1">
        <f ca="1">$I52/3*控制台!H$102</f>
        <v>100571.428571429</v>
      </c>
      <c r="K52" s="1">
        <f ca="1">$I52/3*控制台!I$102</f>
        <v>75428.5714285714</v>
      </c>
      <c r="L52" s="1">
        <f ca="1">$I52/3*控制台!J$102</f>
        <v>125714.285714286</v>
      </c>
      <c r="M52" s="1">
        <f ca="1">_xlfn.FLOOR.MATH(J52,POWER(10,MAX(2,INT(LOG10(J52)-2))))</f>
        <v>100000</v>
      </c>
      <c r="N52" s="1">
        <f ca="1">_xlfn.FLOOR.MATH(K52,POWER(10,MAX(2,INT(LOG10(K52)-2))))</f>
        <v>75400</v>
      </c>
      <c r="O52" s="1">
        <f ca="1">_xlfn.FLOOR.MATH(L52,POWER(10,MAX(2,INT(LOG10(L52)-2))))</f>
        <v>125000</v>
      </c>
      <c r="P52" s="4" t="str">
        <f ca="1" t="shared" si="0"/>
        <v>100000;75400;125000</v>
      </c>
      <c r="Q52" s="15">
        <f ca="1">IF(C52=1,OFFSET(控制台!$H$599,MATCH(F52,控制台!$B$599:$B$615,0)-1,0),OFFSET(控制台!$H$618,MATCH(F52,控制台!$B$618:$B$636,0)-1,0))</f>
        <v>13237.8624</v>
      </c>
      <c r="R52" s="15">
        <f ca="1">IF(E52=1,Q52/G52,IF(E52=5,Q52/G52*OFFSET(控制台!$D$641,MATCH(B52,控制台!$B$641:$B$645,0)-1,0),Q52/G52*OFFSET(控制台!$H$641,MATCH(B52,控制台!$F$641:$F$650,0)-1,0)))</f>
        <v>420.2496</v>
      </c>
      <c r="S52" s="16">
        <f ca="1">_xlfn.FLOOR.MATH(R52)*60</f>
        <v>25200</v>
      </c>
      <c r="T52" s="16">
        <f ca="1">8000+IF(C52=1,OFFSET(控制台!$K$599,MATCH(F52,控制台!$B$599:$B$615,0)-1,0),OFFSET(控制台!$K$618,MATCH(F52,控制台!$B$618:$B$636,0)-1,0))</f>
        <v>8015</v>
      </c>
      <c r="U52" s="1">
        <f ca="1">IF(C52=1,OFFSET(控制台!$F$599,MATCH(F52,控制台!$B$599:$B$615,0)-1,0),OFFSET(控制台!$F$618,MATCH(F52,控制台!$B$618:$B$636,0)-1,0))</f>
        <v>11819.52</v>
      </c>
      <c r="V52" s="1">
        <f ca="1">IF(E52=1,U52/G52,IF(E52=5,U52/G52*OFFSET(控制台!$D$641,MATCH(B52,控制台!$B$641:$B$645,0)-1,0),U52/G52*OFFSET(控制台!$H$641,MATCH(B52,控制台!$F$641:$F$650,0)-1,0)))</f>
        <v>375.222857142857</v>
      </c>
      <c r="W52" s="20">
        <f ca="1" t="shared" si="1"/>
        <v>0.260571428571429</v>
      </c>
      <c r="X52" s="15">
        <f ca="1">IF(C52=1,OFFSET(控制台!$U$599,MATCH(F52,控制台!$B$599:$B$615,0)-1,0),OFFSET(控制台!$U$618,MATCH(F52,控制台!$B$618:$B$636,0)-1,0))</f>
        <v>34042.5</v>
      </c>
      <c r="Y52" s="16">
        <f ca="1">_xlfn.FLOOR.MATH(IF(E52=1,X52/G52,IF(E52=5,X52/G52*OFFSET(控制台!$D$641,MATCH(B52,控制台!$B$641:$B$645,0)-1,0),X52/G52*OFFSET(控制台!$H$641,MATCH(B52,控制台!$F$641:$F$650,0)-1,0))))</f>
        <v>1080</v>
      </c>
      <c r="Z52" s="16">
        <f ca="1" t="shared" si="2"/>
        <v>1620</v>
      </c>
    </row>
    <row r="53" spans="1:26">
      <c r="A53" s="1">
        <v>10802</v>
      </c>
      <c r="B53" s="1">
        <v>3</v>
      </c>
      <c r="C53" s="1">
        <v>1</v>
      </c>
      <c r="D53" s="1" t="s">
        <v>2439</v>
      </c>
      <c r="E53" s="1">
        <f ca="1">IF(C53=1,OFFSET(控制台!$F$552,MATCH(A53,控制台!$B$552:$B$580,0)-1,0),OFFSET(控制台!$L$552,MATCH(A53,控制台!$H$552:$H$594,0)-1,0))</f>
        <v>5</v>
      </c>
      <c r="F53" s="1">
        <f ca="1">IF(C53=1,OFFSET(控制台!$D$552,MATCH(A53,控制台!$B$552:$B$580,0)-1,0),OFFSET(控制台!$J$552,MATCH(A53,控制台!$H$552:$H$594,0)-1,0))</f>
        <v>8</v>
      </c>
      <c r="G53" s="1">
        <f ca="1">IF(C53=1,OFFSET(控制台!$I$599,MATCH(F53,控制台!$B$599:$B$615,0)-1,0),OFFSET(控制台!$I$618,MATCH(F53,控制台!$B$618:$B$636,0)-1,0))</f>
        <v>3</v>
      </c>
      <c r="H53" s="1">
        <f ca="1">IF(C53=1,OFFSET(控制台!$D$599,MATCH(F53,控制台!$B$599:$B$615,0)-1,0),OFFSET(控制台!$D$618,MATCH(F53,控制台!$B$618:$B$636,0)-1,0))</f>
        <v>9504000</v>
      </c>
      <c r="I53" s="1">
        <f ca="1">IF(E53=1,H53/G53,IF(E53=5,H53/G53*OFFSET(控制台!$D$641,MATCH(B53,控制台!$B$641:$B$645,0)-1,0),H53/G53*OFFSET(控制台!$H$641,MATCH(B53,控制台!$F$641:$F$650,0)-1,0)))</f>
        <v>452571.428571429</v>
      </c>
      <c r="J53" s="1">
        <f ca="1">$I53/3*控制台!H$102</f>
        <v>150857.142857143</v>
      </c>
      <c r="K53" s="1">
        <f ca="1">$I53/3*控制台!I$102</f>
        <v>113142.857142857</v>
      </c>
      <c r="L53" s="1">
        <f ca="1">$I53/3*控制台!J$102</f>
        <v>188571.428571429</v>
      </c>
      <c r="M53" s="1">
        <f ca="1">_xlfn.FLOOR.MATH(J53,POWER(10,MAX(2,INT(LOG10(J53)-2))))</f>
        <v>150000</v>
      </c>
      <c r="N53" s="1">
        <f ca="1">_xlfn.FLOOR.MATH(K53,POWER(10,MAX(2,INT(LOG10(K53)-2))))</f>
        <v>113000</v>
      </c>
      <c r="O53" s="1">
        <f ca="1">_xlfn.FLOOR.MATH(L53,POWER(10,MAX(2,INT(LOG10(L53)-2))))</f>
        <v>188000</v>
      </c>
      <c r="P53" s="4" t="str">
        <f ca="1" t="shared" si="0"/>
        <v>150000;113000;188000</v>
      </c>
      <c r="Q53" s="15">
        <f ca="1">IF(C53=1,OFFSET(控制台!$H$599,MATCH(F53,控制台!$B$599:$B$615,0)-1,0),OFFSET(控制台!$H$618,MATCH(F53,控制台!$B$618:$B$636,0)-1,0))</f>
        <v>13237.8624</v>
      </c>
      <c r="R53" s="15">
        <f ca="1">IF(E53=1,Q53/G53,IF(E53=5,Q53/G53*OFFSET(控制台!$D$641,MATCH(B53,控制台!$B$641:$B$645,0)-1,0),Q53/G53*OFFSET(控制台!$H$641,MATCH(B53,控制台!$F$641:$F$650,0)-1,0)))</f>
        <v>630.374400000001</v>
      </c>
      <c r="S53" s="16">
        <f ca="1">_xlfn.FLOOR.MATH(R53)*60</f>
        <v>37800</v>
      </c>
      <c r="T53" s="16">
        <f ca="1">8000+IF(C53=1,OFFSET(控制台!$K$599,MATCH(F53,控制台!$B$599:$B$615,0)-1,0),OFFSET(控制台!$K$618,MATCH(F53,控制台!$B$618:$B$636,0)-1,0))</f>
        <v>8015</v>
      </c>
      <c r="U53" s="1">
        <f ca="1">IF(C53=1,OFFSET(控制台!$F$599,MATCH(F53,控制台!$B$599:$B$615,0)-1,0),OFFSET(控制台!$F$618,MATCH(F53,控制台!$B$618:$B$636,0)-1,0))</f>
        <v>11819.52</v>
      </c>
      <c r="V53" s="1">
        <f ca="1">IF(E53=1,U53/G53,IF(E53=5,U53/G53*OFFSET(控制台!$D$641,MATCH(B53,控制台!$B$641:$B$645,0)-1,0),U53/G53*OFFSET(控制台!$H$641,MATCH(B53,控制台!$F$641:$F$650,0)-1,0)))</f>
        <v>562.834285714286</v>
      </c>
      <c r="W53" s="20">
        <f ca="1" t="shared" si="1"/>
        <v>0.390857142857143</v>
      </c>
      <c r="X53" s="15">
        <f ca="1">IF(C53=1,OFFSET(控制台!$U$599,MATCH(F53,控制台!$B$599:$B$615,0)-1,0),OFFSET(控制台!$U$618,MATCH(F53,控制台!$B$618:$B$636,0)-1,0))</f>
        <v>34042.5</v>
      </c>
      <c r="Y53" s="16">
        <f ca="1">_xlfn.FLOOR.MATH(IF(E53=1,X53/G53,IF(E53=5,X53/G53*OFFSET(控制台!$D$641,MATCH(B53,控制台!$B$641:$B$645,0)-1,0),X53/G53*OFFSET(控制台!$H$641,MATCH(B53,控制台!$F$641:$F$650,0)-1,0))))</f>
        <v>1621</v>
      </c>
      <c r="Z53" s="16">
        <f ca="1" t="shared" si="2"/>
        <v>3241</v>
      </c>
    </row>
    <row r="54" spans="1:26">
      <c r="A54" s="1">
        <v>10802</v>
      </c>
      <c r="B54" s="1">
        <v>4</v>
      </c>
      <c r="C54" s="1">
        <v>1</v>
      </c>
      <c r="D54" s="1" t="s">
        <v>2439</v>
      </c>
      <c r="E54" s="1">
        <f ca="1">IF(C54=1,OFFSET(控制台!$F$552,MATCH(A54,控制台!$B$552:$B$580,0)-1,0),OFFSET(控制台!$L$552,MATCH(A54,控制台!$H$552:$H$594,0)-1,0))</f>
        <v>5</v>
      </c>
      <c r="F54" s="1">
        <f ca="1">IF(C54=1,OFFSET(控制台!$D$552,MATCH(A54,控制台!$B$552:$B$580,0)-1,0),OFFSET(控制台!$J$552,MATCH(A54,控制台!$H$552:$H$594,0)-1,0))</f>
        <v>8</v>
      </c>
      <c r="G54" s="1">
        <f ca="1">IF(C54=1,OFFSET(控制台!$I$599,MATCH(F54,控制台!$B$599:$B$615,0)-1,0),OFFSET(控制台!$I$618,MATCH(F54,控制台!$B$618:$B$636,0)-1,0))</f>
        <v>3</v>
      </c>
      <c r="H54" s="1">
        <f ca="1">IF(C54=1,OFFSET(控制台!$D$599,MATCH(F54,控制台!$B$599:$B$615,0)-1,0),OFFSET(控制台!$D$618,MATCH(F54,控制台!$B$618:$B$636,0)-1,0))</f>
        <v>9504000</v>
      </c>
      <c r="I54" s="1">
        <f ca="1">IF(E54=1,H54/G54,IF(E54=5,H54/G54*OFFSET(控制台!$D$641,MATCH(B54,控制台!$B$641:$B$645,0)-1,0),H54/G54*OFFSET(控制台!$H$641,MATCH(B54,控制台!$F$641:$F$650,0)-1,0)))</f>
        <v>754285.714285714</v>
      </c>
      <c r="J54" s="1">
        <f ca="1">$I54/3*控制台!H$102</f>
        <v>251428.571428571</v>
      </c>
      <c r="K54" s="1">
        <f ca="1">$I54/3*控制台!I$102</f>
        <v>188571.428571428</v>
      </c>
      <c r="L54" s="1">
        <f ca="1">$I54/3*控制台!J$102</f>
        <v>314285.714285714</v>
      </c>
      <c r="M54" s="1">
        <f ca="1">_xlfn.FLOOR.MATH(J54,POWER(10,MAX(2,INT(LOG10(J54)-2))))</f>
        <v>251000</v>
      </c>
      <c r="N54" s="1">
        <f ca="1">_xlfn.FLOOR.MATH(K54,POWER(10,MAX(2,INT(LOG10(K54)-2))))</f>
        <v>188000</v>
      </c>
      <c r="O54" s="1">
        <f ca="1">_xlfn.FLOOR.MATH(L54,POWER(10,MAX(2,INT(LOG10(L54)-2))))</f>
        <v>314000</v>
      </c>
      <c r="P54" s="4" t="str">
        <f ca="1" t="shared" si="0"/>
        <v>251000;188000;314000</v>
      </c>
      <c r="Q54" s="15">
        <f ca="1">IF(C54=1,OFFSET(控制台!$H$599,MATCH(F54,控制台!$B$599:$B$615,0)-1,0),OFFSET(控制台!$H$618,MATCH(F54,控制台!$B$618:$B$636,0)-1,0))</f>
        <v>13237.8624</v>
      </c>
      <c r="R54" s="15">
        <f ca="1">IF(E54=1,Q54/G54,IF(E54=5,Q54/G54*OFFSET(控制台!$D$641,MATCH(B54,控制台!$B$641:$B$645,0)-1,0),Q54/G54*OFFSET(控制台!$H$641,MATCH(B54,控制台!$F$641:$F$650,0)-1,0)))</f>
        <v>1050.624</v>
      </c>
      <c r="S54" s="16">
        <f ca="1">_xlfn.FLOOR.MATH(R54)*60</f>
        <v>63000</v>
      </c>
      <c r="T54" s="16">
        <f ca="1">8000+IF(C54=1,OFFSET(控制台!$K$599,MATCH(F54,控制台!$B$599:$B$615,0)-1,0),OFFSET(控制台!$K$618,MATCH(F54,控制台!$B$618:$B$636,0)-1,0))</f>
        <v>8015</v>
      </c>
      <c r="U54" s="1">
        <f ca="1">IF(C54=1,OFFSET(控制台!$F$599,MATCH(F54,控制台!$B$599:$B$615,0)-1,0),OFFSET(控制台!$F$618,MATCH(F54,控制台!$B$618:$B$636,0)-1,0))</f>
        <v>11819.52</v>
      </c>
      <c r="V54" s="1">
        <f ca="1">IF(E54=1,U54/G54,IF(E54=5,U54/G54*OFFSET(控制台!$D$641,MATCH(B54,控制台!$B$641:$B$645,0)-1,0),U54/G54*OFFSET(控制台!$H$641,MATCH(B54,控制台!$F$641:$F$650,0)-1,0)))</f>
        <v>938.057142857142</v>
      </c>
      <c r="W54" s="20">
        <f ca="1" t="shared" si="1"/>
        <v>0.651428571428571</v>
      </c>
      <c r="X54" s="15">
        <f ca="1">IF(C54=1,OFFSET(控制台!$U$599,MATCH(F54,控制台!$B$599:$B$615,0)-1,0),OFFSET(控制台!$U$618,MATCH(F54,控制台!$B$618:$B$636,0)-1,0))</f>
        <v>34042.5</v>
      </c>
      <c r="Y54" s="16">
        <f ca="1">_xlfn.FLOOR.MATH(IF(E54=1,X54/G54,IF(E54=5,X54/G54*OFFSET(控制台!$D$641,MATCH(B54,控制台!$B$641:$B$645,0)-1,0),X54/G54*OFFSET(控制台!$H$641,MATCH(B54,控制台!$F$641:$F$650,0)-1,0))))</f>
        <v>2701</v>
      </c>
      <c r="Z54" s="16">
        <f ca="1" t="shared" si="2"/>
        <v>5942</v>
      </c>
    </row>
    <row r="55" spans="1:26">
      <c r="A55" s="1">
        <v>10802</v>
      </c>
      <c r="B55" s="1">
        <v>5</v>
      </c>
      <c r="C55" s="1">
        <v>1</v>
      </c>
      <c r="D55" s="1" t="s">
        <v>2439</v>
      </c>
      <c r="E55" s="1">
        <f ca="1">IF(C55=1,OFFSET(控制台!$F$552,MATCH(A55,控制台!$B$552:$B$580,0)-1,0),OFFSET(控制台!$L$552,MATCH(A55,控制台!$H$552:$H$594,0)-1,0))</f>
        <v>5</v>
      </c>
      <c r="F55" s="1">
        <f ca="1">IF(C55=1,OFFSET(控制台!$D$552,MATCH(A55,控制台!$B$552:$B$580,0)-1,0),OFFSET(控制台!$J$552,MATCH(A55,控制台!$H$552:$H$594,0)-1,0))</f>
        <v>8</v>
      </c>
      <c r="G55" s="1">
        <f ca="1">IF(C55=1,OFFSET(控制台!$I$599,MATCH(F55,控制台!$B$599:$B$615,0)-1,0),OFFSET(控制台!$I$618,MATCH(F55,控制台!$B$618:$B$636,0)-1,0))</f>
        <v>3</v>
      </c>
      <c r="H55" s="1">
        <f ca="1">IF(C55=1,OFFSET(控制台!$D$599,MATCH(F55,控制台!$B$599:$B$615,0)-1,0),OFFSET(控制台!$D$618,MATCH(F55,控制台!$B$618:$B$636,0)-1,0))</f>
        <v>9504000</v>
      </c>
      <c r="I55" s="1">
        <f ca="1">IF(E55=1,H55/G55,IF(E55=5,H55/G55*OFFSET(控制台!$D$641,MATCH(B55,控制台!$B$641:$B$645,0)-1,0),H55/G55*OFFSET(控制台!$H$641,MATCH(B55,控制台!$F$641:$F$650,0)-1,0)))</f>
        <v>1508571.42857143</v>
      </c>
      <c r="J55" s="1">
        <f ca="1">$I55/3*控制台!H$102</f>
        <v>502857.142857143</v>
      </c>
      <c r="K55" s="1">
        <f ca="1">$I55/3*控制台!I$102</f>
        <v>377142.857142857</v>
      </c>
      <c r="L55" s="1">
        <f ca="1">$I55/3*控制台!J$102</f>
        <v>628571.428571428</v>
      </c>
      <c r="M55" s="1">
        <f ca="1">_xlfn.FLOOR.MATH(J55,POWER(10,MAX(2,INT(LOG10(J55)-2))))</f>
        <v>502000</v>
      </c>
      <c r="N55" s="1">
        <f ca="1">_xlfn.FLOOR.MATH(K55,POWER(10,MAX(2,INT(LOG10(K55)-2))))</f>
        <v>377000</v>
      </c>
      <c r="O55" s="1">
        <f ca="1">_xlfn.FLOOR.MATH(L55,POWER(10,MAX(2,INT(LOG10(L55)-2))))</f>
        <v>628000</v>
      </c>
      <c r="P55" s="4" t="str">
        <f ca="1" t="shared" si="0"/>
        <v>502000;377000;628000</v>
      </c>
      <c r="Q55" s="15">
        <f ca="1">IF(C55=1,OFFSET(控制台!$H$599,MATCH(F55,控制台!$B$599:$B$615,0)-1,0),OFFSET(控制台!$H$618,MATCH(F55,控制台!$B$618:$B$636,0)-1,0))</f>
        <v>13237.8624</v>
      </c>
      <c r="R55" s="15">
        <f ca="1">IF(E55=1,Q55/G55,IF(E55=5,Q55/G55*OFFSET(控制台!$D$641,MATCH(B55,控制台!$B$641:$B$645,0)-1,0),Q55/G55*OFFSET(控制台!$H$641,MATCH(B55,控制台!$F$641:$F$650,0)-1,0)))</f>
        <v>2101.248</v>
      </c>
      <c r="S55" s="16">
        <f ca="1">_xlfn.FLOOR.MATH(R55)*60</f>
        <v>126060</v>
      </c>
      <c r="T55" s="16">
        <f ca="1">8000+IF(C55=1,OFFSET(控制台!$K$599,MATCH(F55,控制台!$B$599:$B$615,0)-1,0),OFFSET(控制台!$K$618,MATCH(F55,控制台!$B$618:$B$636,0)-1,0))</f>
        <v>8015</v>
      </c>
      <c r="U55" s="1">
        <f ca="1">IF(C55=1,OFFSET(控制台!$F$599,MATCH(F55,控制台!$B$599:$B$615,0)-1,0),OFFSET(控制台!$F$618,MATCH(F55,控制台!$B$618:$B$636,0)-1,0))</f>
        <v>11819.52</v>
      </c>
      <c r="V55" s="1">
        <f ca="1">IF(E55=1,U55/G55,IF(E55=5,U55/G55*OFFSET(控制台!$D$641,MATCH(B55,控制台!$B$641:$B$645,0)-1,0),U55/G55*OFFSET(控制台!$H$641,MATCH(B55,控制台!$F$641:$F$650,0)-1,0)))</f>
        <v>1876.11428571428</v>
      </c>
      <c r="W55" s="20">
        <f ca="1" t="shared" si="1"/>
        <v>1.30285714285714</v>
      </c>
      <c r="X55" s="15">
        <f ca="1">IF(C55=1,OFFSET(控制台!$U$599,MATCH(F55,控制台!$B$599:$B$615,0)-1,0),OFFSET(控制台!$U$618,MATCH(F55,控制台!$B$618:$B$636,0)-1,0))</f>
        <v>34042.5</v>
      </c>
      <c r="Y55" s="16">
        <f ca="1">_xlfn.FLOOR.MATH(IF(E55=1,X55/G55,IF(E55=5,X55/G55*OFFSET(控制台!$D$641,MATCH(B55,控制台!$B$641:$B$645,0)-1,0),X55/G55*OFFSET(控制台!$H$641,MATCH(B55,控制台!$F$641:$F$650,0)-1,0))))</f>
        <v>5403</v>
      </c>
      <c r="Z55" s="16">
        <f ca="1" t="shared" si="2"/>
        <v>11345</v>
      </c>
    </row>
    <row r="56" spans="1:26">
      <c r="A56" s="1">
        <v>10803</v>
      </c>
      <c r="B56" s="1">
        <v>1</v>
      </c>
      <c r="C56" s="1">
        <v>1</v>
      </c>
      <c r="D56" s="1" t="s">
        <v>2788</v>
      </c>
      <c r="E56" s="1">
        <f ca="1">IF(C56=1,OFFSET(控制台!$F$552,MATCH(A56,控制台!$B$552:$B$580,0)-1,0),OFFSET(控制台!$L$552,MATCH(A56,控制台!$H$552:$H$594,0)-1,0))</f>
        <v>5</v>
      </c>
      <c r="F56" s="1">
        <f ca="1">IF(C56=1,OFFSET(控制台!$D$552,MATCH(A56,控制台!$B$552:$B$580,0)-1,0),OFFSET(控制台!$J$552,MATCH(A56,控制台!$H$552:$H$594,0)-1,0))</f>
        <v>8</v>
      </c>
      <c r="G56" s="1">
        <f ca="1">IF(C56=1,OFFSET(控制台!$I$599,MATCH(F56,控制台!$B$599:$B$615,0)-1,0),OFFSET(控制台!$I$618,MATCH(F56,控制台!$B$618:$B$636,0)-1,0))</f>
        <v>3</v>
      </c>
      <c r="H56" s="1">
        <f ca="1">IF(C56=1,OFFSET(控制台!$D$599,MATCH(F56,控制台!$B$599:$B$615,0)-1,0),OFFSET(控制台!$D$618,MATCH(F56,控制台!$B$618:$B$636,0)-1,0))</f>
        <v>9504000</v>
      </c>
      <c r="I56" s="1">
        <f ca="1">IF(E56=1,H56/G56,IF(E56=5,H56/G56*OFFSET(控制台!$D$641,MATCH(B56,控制台!$B$641:$B$645,0)-1,0),H56/G56*OFFSET(控制台!$H$641,MATCH(B56,控制台!$F$641:$F$650,0)-1,0)))</f>
        <v>150857.142857143</v>
      </c>
      <c r="J56" s="1">
        <f ca="1">$I56/3*控制台!H$102</f>
        <v>50285.7142857143</v>
      </c>
      <c r="K56" s="1">
        <f ca="1">$I56/3*控制台!I$102</f>
        <v>37714.2857142857</v>
      </c>
      <c r="L56" s="1">
        <f ca="1">$I56/3*控制台!J$102</f>
        <v>62857.1428571428</v>
      </c>
      <c r="M56" s="1">
        <f ca="1">_xlfn.FLOOR.MATH(J56,POWER(10,MAX(2,INT(LOG10(J56)-2))))</f>
        <v>50200</v>
      </c>
      <c r="N56" s="1">
        <f ca="1">_xlfn.FLOOR.MATH(K56,POWER(10,MAX(2,INT(LOG10(K56)-2))))</f>
        <v>37700</v>
      </c>
      <c r="O56" s="1">
        <f ca="1">_xlfn.FLOOR.MATH(L56,POWER(10,MAX(2,INT(LOG10(L56)-2))))</f>
        <v>62800</v>
      </c>
      <c r="P56" s="4" t="str">
        <f ca="1" t="shared" si="0"/>
        <v>50200;37700;62800</v>
      </c>
      <c r="Q56" s="15">
        <f ca="1">IF(C56=1,OFFSET(控制台!$H$599,MATCH(F56,控制台!$B$599:$B$615,0)-1,0),OFFSET(控制台!$H$618,MATCH(F56,控制台!$B$618:$B$636,0)-1,0))</f>
        <v>13237.8624</v>
      </c>
      <c r="R56" s="15">
        <f ca="1">IF(E56=1,Q56/G56,IF(E56=5,Q56/G56*OFFSET(控制台!$D$641,MATCH(B56,控制台!$B$641:$B$645,0)-1,0),Q56/G56*OFFSET(控制台!$H$641,MATCH(B56,控制台!$F$641:$F$650,0)-1,0)))</f>
        <v>210.1248</v>
      </c>
      <c r="S56" s="16">
        <f ca="1">_xlfn.FLOOR.MATH(R56)*60</f>
        <v>12600</v>
      </c>
      <c r="T56" s="16">
        <f ca="1">8000+IF(C56=1,OFFSET(控制台!$K$599,MATCH(F56,控制台!$B$599:$B$615,0)-1,0),OFFSET(控制台!$K$618,MATCH(F56,控制台!$B$618:$B$636,0)-1,0))</f>
        <v>8015</v>
      </c>
      <c r="U56" s="1">
        <f ca="1">IF(C56=1,OFFSET(控制台!$F$599,MATCH(F56,控制台!$B$599:$B$615,0)-1,0),OFFSET(控制台!$F$618,MATCH(F56,控制台!$B$618:$B$636,0)-1,0))</f>
        <v>11819.52</v>
      </c>
      <c r="V56" s="1">
        <f ca="1">IF(E56=1,U56/G56,IF(E56=5,U56/G56*OFFSET(控制台!$D$641,MATCH(B56,控制台!$B$641:$B$645,0)-1,0),U56/G56*OFFSET(控制台!$H$641,MATCH(B56,控制台!$F$641:$F$650,0)-1,0)))</f>
        <v>187.611428571429</v>
      </c>
      <c r="W56" s="20">
        <f ca="1" t="shared" si="1"/>
        <v>0.130285714285714</v>
      </c>
      <c r="X56" s="15">
        <f ca="1">IF(C56=1,OFFSET(控制台!$U$599,MATCH(F56,控制台!$B$599:$B$615,0)-1,0),OFFSET(控制台!$U$618,MATCH(F56,控制台!$B$618:$B$636,0)-1,0))</f>
        <v>34042.5</v>
      </c>
      <c r="Y56" s="16">
        <f ca="1">_xlfn.FLOOR.MATH(IF(E56=1,X56/G56,IF(E56=5,X56/G56*OFFSET(控制台!$D$641,MATCH(B56,控制台!$B$641:$B$645,0)-1,0),X56/G56*OFFSET(控制台!$H$641,MATCH(B56,控制台!$F$641:$F$650,0)-1,0))))</f>
        <v>540</v>
      </c>
      <c r="Z56" s="16">
        <f ca="1" t="shared" si="2"/>
        <v>540</v>
      </c>
    </row>
    <row r="57" spans="1:26">
      <c r="A57" s="1">
        <v>10803</v>
      </c>
      <c r="B57" s="1">
        <v>2</v>
      </c>
      <c r="C57" s="1">
        <v>1</v>
      </c>
      <c r="D57" s="1" t="s">
        <v>2788</v>
      </c>
      <c r="E57" s="1">
        <f ca="1">IF(C57=1,OFFSET(控制台!$F$552,MATCH(A57,控制台!$B$552:$B$580,0)-1,0),OFFSET(控制台!$L$552,MATCH(A57,控制台!$H$552:$H$594,0)-1,0))</f>
        <v>5</v>
      </c>
      <c r="F57" s="1">
        <f ca="1">IF(C57=1,OFFSET(控制台!$D$552,MATCH(A57,控制台!$B$552:$B$580,0)-1,0),OFFSET(控制台!$J$552,MATCH(A57,控制台!$H$552:$H$594,0)-1,0))</f>
        <v>8</v>
      </c>
      <c r="G57" s="1">
        <f ca="1">IF(C57=1,OFFSET(控制台!$I$599,MATCH(F57,控制台!$B$599:$B$615,0)-1,0),OFFSET(控制台!$I$618,MATCH(F57,控制台!$B$618:$B$636,0)-1,0))</f>
        <v>3</v>
      </c>
      <c r="H57" s="1">
        <f ca="1">IF(C57=1,OFFSET(控制台!$D$599,MATCH(F57,控制台!$B$599:$B$615,0)-1,0),OFFSET(控制台!$D$618,MATCH(F57,控制台!$B$618:$B$636,0)-1,0))</f>
        <v>9504000</v>
      </c>
      <c r="I57" s="1">
        <f ca="1">IF(E57=1,H57/G57,IF(E57=5,H57/G57*OFFSET(控制台!$D$641,MATCH(B57,控制台!$B$641:$B$645,0)-1,0),H57/G57*OFFSET(控制台!$H$641,MATCH(B57,控制台!$F$641:$F$650,0)-1,0)))</f>
        <v>301714.285714286</v>
      </c>
      <c r="J57" s="1">
        <f ca="1">$I57/3*控制台!H$102</f>
        <v>100571.428571429</v>
      </c>
      <c r="K57" s="1">
        <f ca="1">$I57/3*控制台!I$102</f>
        <v>75428.5714285714</v>
      </c>
      <c r="L57" s="1">
        <f ca="1">$I57/3*控制台!J$102</f>
        <v>125714.285714286</v>
      </c>
      <c r="M57" s="1">
        <f ca="1">_xlfn.FLOOR.MATH(J57,POWER(10,MAX(2,INT(LOG10(J57)-2))))</f>
        <v>100000</v>
      </c>
      <c r="N57" s="1">
        <f ca="1">_xlfn.FLOOR.MATH(K57,POWER(10,MAX(2,INT(LOG10(K57)-2))))</f>
        <v>75400</v>
      </c>
      <c r="O57" s="1">
        <f ca="1">_xlfn.FLOOR.MATH(L57,POWER(10,MAX(2,INT(LOG10(L57)-2))))</f>
        <v>125000</v>
      </c>
      <c r="P57" s="4" t="str">
        <f ca="1" t="shared" si="0"/>
        <v>100000;75400;125000</v>
      </c>
      <c r="Q57" s="15">
        <f ca="1">IF(C57=1,OFFSET(控制台!$H$599,MATCH(F57,控制台!$B$599:$B$615,0)-1,0),OFFSET(控制台!$H$618,MATCH(F57,控制台!$B$618:$B$636,0)-1,0))</f>
        <v>13237.8624</v>
      </c>
      <c r="R57" s="15">
        <f ca="1">IF(E57=1,Q57/G57,IF(E57=5,Q57/G57*OFFSET(控制台!$D$641,MATCH(B57,控制台!$B$641:$B$645,0)-1,0),Q57/G57*OFFSET(控制台!$H$641,MATCH(B57,控制台!$F$641:$F$650,0)-1,0)))</f>
        <v>420.2496</v>
      </c>
      <c r="S57" s="16">
        <f ca="1">_xlfn.FLOOR.MATH(R57)*60</f>
        <v>25200</v>
      </c>
      <c r="T57" s="16">
        <f ca="1">8000+IF(C57=1,OFFSET(控制台!$K$599,MATCH(F57,控制台!$B$599:$B$615,0)-1,0),OFFSET(控制台!$K$618,MATCH(F57,控制台!$B$618:$B$636,0)-1,0))</f>
        <v>8015</v>
      </c>
      <c r="U57" s="1">
        <f ca="1">IF(C57=1,OFFSET(控制台!$F$599,MATCH(F57,控制台!$B$599:$B$615,0)-1,0),OFFSET(控制台!$F$618,MATCH(F57,控制台!$B$618:$B$636,0)-1,0))</f>
        <v>11819.52</v>
      </c>
      <c r="V57" s="1">
        <f ca="1">IF(E57=1,U57/G57,IF(E57=5,U57/G57*OFFSET(控制台!$D$641,MATCH(B57,控制台!$B$641:$B$645,0)-1,0),U57/G57*OFFSET(控制台!$H$641,MATCH(B57,控制台!$F$641:$F$650,0)-1,0)))</f>
        <v>375.222857142857</v>
      </c>
      <c r="W57" s="20">
        <f ca="1" t="shared" si="1"/>
        <v>0.260571428571429</v>
      </c>
      <c r="X57" s="15">
        <f ca="1">IF(C57=1,OFFSET(控制台!$U$599,MATCH(F57,控制台!$B$599:$B$615,0)-1,0),OFFSET(控制台!$U$618,MATCH(F57,控制台!$B$618:$B$636,0)-1,0))</f>
        <v>34042.5</v>
      </c>
      <c r="Y57" s="16">
        <f ca="1">_xlfn.FLOOR.MATH(IF(E57=1,X57/G57,IF(E57=5,X57/G57*OFFSET(控制台!$D$641,MATCH(B57,控制台!$B$641:$B$645,0)-1,0),X57/G57*OFFSET(控制台!$H$641,MATCH(B57,控制台!$F$641:$F$650,0)-1,0))))</f>
        <v>1080</v>
      </c>
      <c r="Z57" s="16">
        <f ca="1" t="shared" si="2"/>
        <v>1620</v>
      </c>
    </row>
    <row r="58" spans="1:26">
      <c r="A58" s="1">
        <v>10803</v>
      </c>
      <c r="B58" s="1">
        <v>3</v>
      </c>
      <c r="C58" s="1">
        <v>1</v>
      </c>
      <c r="D58" s="1" t="s">
        <v>2788</v>
      </c>
      <c r="E58" s="1">
        <f ca="1">IF(C58=1,OFFSET(控制台!$F$552,MATCH(A58,控制台!$B$552:$B$580,0)-1,0),OFFSET(控制台!$L$552,MATCH(A58,控制台!$H$552:$H$594,0)-1,0))</f>
        <v>5</v>
      </c>
      <c r="F58" s="1">
        <f ca="1">IF(C58=1,OFFSET(控制台!$D$552,MATCH(A58,控制台!$B$552:$B$580,0)-1,0),OFFSET(控制台!$J$552,MATCH(A58,控制台!$H$552:$H$594,0)-1,0))</f>
        <v>8</v>
      </c>
      <c r="G58" s="1">
        <f ca="1">IF(C58=1,OFFSET(控制台!$I$599,MATCH(F58,控制台!$B$599:$B$615,0)-1,0),OFFSET(控制台!$I$618,MATCH(F58,控制台!$B$618:$B$636,0)-1,0))</f>
        <v>3</v>
      </c>
      <c r="H58" s="1">
        <f ca="1">IF(C58=1,OFFSET(控制台!$D$599,MATCH(F58,控制台!$B$599:$B$615,0)-1,0),OFFSET(控制台!$D$618,MATCH(F58,控制台!$B$618:$B$636,0)-1,0))</f>
        <v>9504000</v>
      </c>
      <c r="I58" s="1">
        <f ca="1">IF(E58=1,H58/G58,IF(E58=5,H58/G58*OFFSET(控制台!$D$641,MATCH(B58,控制台!$B$641:$B$645,0)-1,0),H58/G58*OFFSET(控制台!$H$641,MATCH(B58,控制台!$F$641:$F$650,0)-1,0)))</f>
        <v>452571.428571429</v>
      </c>
      <c r="J58" s="1">
        <f ca="1">$I58/3*控制台!H$102</f>
        <v>150857.142857143</v>
      </c>
      <c r="K58" s="1">
        <f ca="1">$I58/3*控制台!I$102</f>
        <v>113142.857142857</v>
      </c>
      <c r="L58" s="1">
        <f ca="1">$I58/3*控制台!J$102</f>
        <v>188571.428571429</v>
      </c>
      <c r="M58" s="1">
        <f ca="1">_xlfn.FLOOR.MATH(J58,POWER(10,MAX(2,INT(LOG10(J58)-2))))</f>
        <v>150000</v>
      </c>
      <c r="N58" s="1">
        <f ca="1">_xlfn.FLOOR.MATH(K58,POWER(10,MAX(2,INT(LOG10(K58)-2))))</f>
        <v>113000</v>
      </c>
      <c r="O58" s="1">
        <f ca="1">_xlfn.FLOOR.MATH(L58,POWER(10,MAX(2,INT(LOG10(L58)-2))))</f>
        <v>188000</v>
      </c>
      <c r="P58" s="4" t="str">
        <f ca="1" t="shared" si="0"/>
        <v>150000;113000;188000</v>
      </c>
      <c r="Q58" s="15">
        <f ca="1">IF(C58=1,OFFSET(控制台!$H$599,MATCH(F58,控制台!$B$599:$B$615,0)-1,0),OFFSET(控制台!$H$618,MATCH(F58,控制台!$B$618:$B$636,0)-1,0))</f>
        <v>13237.8624</v>
      </c>
      <c r="R58" s="15">
        <f ca="1">IF(E58=1,Q58/G58,IF(E58=5,Q58/G58*OFFSET(控制台!$D$641,MATCH(B58,控制台!$B$641:$B$645,0)-1,0),Q58/G58*OFFSET(控制台!$H$641,MATCH(B58,控制台!$F$641:$F$650,0)-1,0)))</f>
        <v>630.374400000001</v>
      </c>
      <c r="S58" s="16">
        <f ca="1">_xlfn.FLOOR.MATH(R58)*60</f>
        <v>37800</v>
      </c>
      <c r="T58" s="16">
        <f ca="1">8000+IF(C58=1,OFFSET(控制台!$K$599,MATCH(F58,控制台!$B$599:$B$615,0)-1,0),OFFSET(控制台!$K$618,MATCH(F58,控制台!$B$618:$B$636,0)-1,0))</f>
        <v>8015</v>
      </c>
      <c r="U58" s="1">
        <f ca="1">IF(C58=1,OFFSET(控制台!$F$599,MATCH(F58,控制台!$B$599:$B$615,0)-1,0),OFFSET(控制台!$F$618,MATCH(F58,控制台!$B$618:$B$636,0)-1,0))</f>
        <v>11819.52</v>
      </c>
      <c r="V58" s="1">
        <f ca="1">IF(E58=1,U58/G58,IF(E58=5,U58/G58*OFFSET(控制台!$D$641,MATCH(B58,控制台!$B$641:$B$645,0)-1,0),U58/G58*OFFSET(控制台!$H$641,MATCH(B58,控制台!$F$641:$F$650,0)-1,0)))</f>
        <v>562.834285714286</v>
      </c>
      <c r="W58" s="20">
        <f ca="1" t="shared" si="1"/>
        <v>0.390857142857143</v>
      </c>
      <c r="X58" s="15">
        <f ca="1">IF(C58=1,OFFSET(控制台!$U$599,MATCH(F58,控制台!$B$599:$B$615,0)-1,0),OFFSET(控制台!$U$618,MATCH(F58,控制台!$B$618:$B$636,0)-1,0))</f>
        <v>34042.5</v>
      </c>
      <c r="Y58" s="16">
        <f ca="1">_xlfn.FLOOR.MATH(IF(E58=1,X58/G58,IF(E58=5,X58/G58*OFFSET(控制台!$D$641,MATCH(B58,控制台!$B$641:$B$645,0)-1,0),X58/G58*OFFSET(控制台!$H$641,MATCH(B58,控制台!$F$641:$F$650,0)-1,0))))</f>
        <v>1621</v>
      </c>
      <c r="Z58" s="16">
        <f ca="1" t="shared" si="2"/>
        <v>3241</v>
      </c>
    </row>
    <row r="59" spans="1:26">
      <c r="A59" s="1">
        <v>10803</v>
      </c>
      <c r="B59" s="1">
        <v>4</v>
      </c>
      <c r="C59" s="1">
        <v>1</v>
      </c>
      <c r="D59" s="1" t="s">
        <v>2788</v>
      </c>
      <c r="E59" s="1">
        <f ca="1">IF(C59=1,OFFSET(控制台!$F$552,MATCH(A59,控制台!$B$552:$B$580,0)-1,0),OFFSET(控制台!$L$552,MATCH(A59,控制台!$H$552:$H$594,0)-1,0))</f>
        <v>5</v>
      </c>
      <c r="F59" s="1">
        <f ca="1">IF(C59=1,OFFSET(控制台!$D$552,MATCH(A59,控制台!$B$552:$B$580,0)-1,0),OFFSET(控制台!$J$552,MATCH(A59,控制台!$H$552:$H$594,0)-1,0))</f>
        <v>8</v>
      </c>
      <c r="G59" s="1">
        <f ca="1">IF(C59=1,OFFSET(控制台!$I$599,MATCH(F59,控制台!$B$599:$B$615,0)-1,0),OFFSET(控制台!$I$618,MATCH(F59,控制台!$B$618:$B$636,0)-1,0))</f>
        <v>3</v>
      </c>
      <c r="H59" s="1">
        <f ca="1">IF(C59=1,OFFSET(控制台!$D$599,MATCH(F59,控制台!$B$599:$B$615,0)-1,0),OFFSET(控制台!$D$618,MATCH(F59,控制台!$B$618:$B$636,0)-1,0))</f>
        <v>9504000</v>
      </c>
      <c r="I59" s="1">
        <f ca="1">IF(E59=1,H59/G59,IF(E59=5,H59/G59*OFFSET(控制台!$D$641,MATCH(B59,控制台!$B$641:$B$645,0)-1,0),H59/G59*OFFSET(控制台!$H$641,MATCH(B59,控制台!$F$641:$F$650,0)-1,0)))</f>
        <v>754285.714285714</v>
      </c>
      <c r="J59" s="1">
        <f ca="1">$I59/3*控制台!H$102</f>
        <v>251428.571428571</v>
      </c>
      <c r="K59" s="1">
        <f ca="1">$I59/3*控制台!I$102</f>
        <v>188571.428571428</v>
      </c>
      <c r="L59" s="1">
        <f ca="1">$I59/3*控制台!J$102</f>
        <v>314285.714285714</v>
      </c>
      <c r="M59" s="1">
        <f ca="1">_xlfn.FLOOR.MATH(J59,POWER(10,MAX(2,INT(LOG10(J59)-2))))</f>
        <v>251000</v>
      </c>
      <c r="N59" s="1">
        <f ca="1">_xlfn.FLOOR.MATH(K59,POWER(10,MAX(2,INT(LOG10(K59)-2))))</f>
        <v>188000</v>
      </c>
      <c r="O59" s="1">
        <f ca="1">_xlfn.FLOOR.MATH(L59,POWER(10,MAX(2,INT(LOG10(L59)-2))))</f>
        <v>314000</v>
      </c>
      <c r="P59" s="4" t="str">
        <f ca="1" t="shared" si="0"/>
        <v>251000;188000;314000</v>
      </c>
      <c r="Q59" s="15">
        <f ca="1">IF(C59=1,OFFSET(控制台!$H$599,MATCH(F59,控制台!$B$599:$B$615,0)-1,0),OFFSET(控制台!$H$618,MATCH(F59,控制台!$B$618:$B$636,0)-1,0))</f>
        <v>13237.8624</v>
      </c>
      <c r="R59" s="15">
        <f ca="1">IF(E59=1,Q59/G59,IF(E59=5,Q59/G59*OFFSET(控制台!$D$641,MATCH(B59,控制台!$B$641:$B$645,0)-1,0),Q59/G59*OFFSET(控制台!$H$641,MATCH(B59,控制台!$F$641:$F$650,0)-1,0)))</f>
        <v>1050.624</v>
      </c>
      <c r="S59" s="16">
        <f ca="1">_xlfn.FLOOR.MATH(R59)*60</f>
        <v>63000</v>
      </c>
      <c r="T59" s="16">
        <f ca="1">8000+IF(C59=1,OFFSET(控制台!$K$599,MATCH(F59,控制台!$B$599:$B$615,0)-1,0),OFFSET(控制台!$K$618,MATCH(F59,控制台!$B$618:$B$636,0)-1,0))</f>
        <v>8015</v>
      </c>
      <c r="U59" s="1">
        <f ca="1">IF(C59=1,OFFSET(控制台!$F$599,MATCH(F59,控制台!$B$599:$B$615,0)-1,0),OFFSET(控制台!$F$618,MATCH(F59,控制台!$B$618:$B$636,0)-1,0))</f>
        <v>11819.52</v>
      </c>
      <c r="V59" s="1">
        <f ca="1">IF(E59=1,U59/G59,IF(E59=5,U59/G59*OFFSET(控制台!$D$641,MATCH(B59,控制台!$B$641:$B$645,0)-1,0),U59/G59*OFFSET(控制台!$H$641,MATCH(B59,控制台!$F$641:$F$650,0)-1,0)))</f>
        <v>938.057142857142</v>
      </c>
      <c r="W59" s="20">
        <f ca="1" t="shared" si="1"/>
        <v>0.651428571428571</v>
      </c>
      <c r="X59" s="15">
        <f ca="1">IF(C59=1,OFFSET(控制台!$U$599,MATCH(F59,控制台!$B$599:$B$615,0)-1,0),OFFSET(控制台!$U$618,MATCH(F59,控制台!$B$618:$B$636,0)-1,0))</f>
        <v>34042.5</v>
      </c>
      <c r="Y59" s="16">
        <f ca="1">_xlfn.FLOOR.MATH(IF(E59=1,X59/G59,IF(E59=5,X59/G59*OFFSET(控制台!$D$641,MATCH(B59,控制台!$B$641:$B$645,0)-1,0),X59/G59*OFFSET(控制台!$H$641,MATCH(B59,控制台!$F$641:$F$650,0)-1,0))))</f>
        <v>2701</v>
      </c>
      <c r="Z59" s="16">
        <f ca="1" t="shared" si="2"/>
        <v>5942</v>
      </c>
    </row>
    <row r="60" spans="1:26">
      <c r="A60" s="1">
        <v>10803</v>
      </c>
      <c r="B60" s="1">
        <v>5</v>
      </c>
      <c r="C60" s="1">
        <v>1</v>
      </c>
      <c r="D60" s="1" t="s">
        <v>2788</v>
      </c>
      <c r="E60" s="1">
        <f ca="1">IF(C60=1,OFFSET(控制台!$F$552,MATCH(A60,控制台!$B$552:$B$580,0)-1,0),OFFSET(控制台!$L$552,MATCH(A60,控制台!$H$552:$H$594,0)-1,0))</f>
        <v>5</v>
      </c>
      <c r="F60" s="1">
        <f ca="1">IF(C60=1,OFFSET(控制台!$D$552,MATCH(A60,控制台!$B$552:$B$580,0)-1,0),OFFSET(控制台!$J$552,MATCH(A60,控制台!$H$552:$H$594,0)-1,0))</f>
        <v>8</v>
      </c>
      <c r="G60" s="1">
        <f ca="1">IF(C60=1,OFFSET(控制台!$I$599,MATCH(F60,控制台!$B$599:$B$615,0)-1,0),OFFSET(控制台!$I$618,MATCH(F60,控制台!$B$618:$B$636,0)-1,0))</f>
        <v>3</v>
      </c>
      <c r="H60" s="1">
        <f ca="1">IF(C60=1,OFFSET(控制台!$D$599,MATCH(F60,控制台!$B$599:$B$615,0)-1,0),OFFSET(控制台!$D$618,MATCH(F60,控制台!$B$618:$B$636,0)-1,0))</f>
        <v>9504000</v>
      </c>
      <c r="I60" s="1">
        <f ca="1">IF(E60=1,H60/G60,IF(E60=5,H60/G60*OFFSET(控制台!$D$641,MATCH(B60,控制台!$B$641:$B$645,0)-1,0),H60/G60*OFFSET(控制台!$H$641,MATCH(B60,控制台!$F$641:$F$650,0)-1,0)))</f>
        <v>1508571.42857143</v>
      </c>
      <c r="J60" s="1">
        <f ca="1">$I60/3*控制台!H$102</f>
        <v>502857.142857143</v>
      </c>
      <c r="K60" s="1">
        <f ca="1">$I60/3*控制台!I$102</f>
        <v>377142.857142857</v>
      </c>
      <c r="L60" s="1">
        <f ca="1">$I60/3*控制台!J$102</f>
        <v>628571.428571428</v>
      </c>
      <c r="M60" s="1">
        <f ca="1">_xlfn.FLOOR.MATH(J60,POWER(10,MAX(2,INT(LOG10(J60)-2))))</f>
        <v>502000</v>
      </c>
      <c r="N60" s="1">
        <f ca="1">_xlfn.FLOOR.MATH(K60,POWER(10,MAX(2,INT(LOG10(K60)-2))))</f>
        <v>377000</v>
      </c>
      <c r="O60" s="1">
        <f ca="1">_xlfn.FLOOR.MATH(L60,POWER(10,MAX(2,INT(LOG10(L60)-2))))</f>
        <v>628000</v>
      </c>
      <c r="P60" s="4" t="str">
        <f ca="1" t="shared" si="0"/>
        <v>502000;377000;628000</v>
      </c>
      <c r="Q60" s="15">
        <f ca="1">IF(C60=1,OFFSET(控制台!$H$599,MATCH(F60,控制台!$B$599:$B$615,0)-1,0),OFFSET(控制台!$H$618,MATCH(F60,控制台!$B$618:$B$636,0)-1,0))</f>
        <v>13237.8624</v>
      </c>
      <c r="R60" s="15">
        <f ca="1">IF(E60=1,Q60/G60,IF(E60=5,Q60/G60*OFFSET(控制台!$D$641,MATCH(B60,控制台!$B$641:$B$645,0)-1,0),Q60/G60*OFFSET(控制台!$H$641,MATCH(B60,控制台!$F$641:$F$650,0)-1,0)))</f>
        <v>2101.248</v>
      </c>
      <c r="S60" s="16">
        <f ca="1">_xlfn.FLOOR.MATH(R60)*60</f>
        <v>126060</v>
      </c>
      <c r="T60" s="16">
        <f ca="1">8000+IF(C60=1,OFFSET(控制台!$K$599,MATCH(F60,控制台!$B$599:$B$615,0)-1,0),OFFSET(控制台!$K$618,MATCH(F60,控制台!$B$618:$B$636,0)-1,0))</f>
        <v>8015</v>
      </c>
      <c r="U60" s="1">
        <f ca="1">IF(C60=1,OFFSET(控制台!$F$599,MATCH(F60,控制台!$B$599:$B$615,0)-1,0),OFFSET(控制台!$F$618,MATCH(F60,控制台!$B$618:$B$636,0)-1,0))</f>
        <v>11819.52</v>
      </c>
      <c r="V60" s="1">
        <f ca="1">IF(E60=1,U60/G60,IF(E60=5,U60/G60*OFFSET(控制台!$D$641,MATCH(B60,控制台!$B$641:$B$645,0)-1,0),U60/G60*OFFSET(控制台!$H$641,MATCH(B60,控制台!$F$641:$F$650,0)-1,0)))</f>
        <v>1876.11428571428</v>
      </c>
      <c r="W60" s="20">
        <f ca="1" t="shared" si="1"/>
        <v>1.30285714285714</v>
      </c>
      <c r="X60" s="15">
        <f ca="1">IF(C60=1,OFFSET(控制台!$U$599,MATCH(F60,控制台!$B$599:$B$615,0)-1,0),OFFSET(控制台!$U$618,MATCH(F60,控制台!$B$618:$B$636,0)-1,0))</f>
        <v>34042.5</v>
      </c>
      <c r="Y60" s="16">
        <f ca="1">_xlfn.FLOOR.MATH(IF(E60=1,X60/G60,IF(E60=5,X60/G60*OFFSET(控制台!$D$641,MATCH(B60,控制台!$B$641:$B$645,0)-1,0),X60/G60*OFFSET(控制台!$H$641,MATCH(B60,控制台!$F$641:$F$650,0)-1,0))))</f>
        <v>5403</v>
      </c>
      <c r="Z60" s="16">
        <f ca="1" t="shared" si="2"/>
        <v>11345</v>
      </c>
    </row>
    <row r="61" spans="1:26">
      <c r="A61" s="1">
        <v>10902</v>
      </c>
      <c r="B61" s="1">
        <v>1</v>
      </c>
      <c r="C61" s="1">
        <v>1</v>
      </c>
      <c r="D61" s="1" t="s">
        <v>2789</v>
      </c>
      <c r="E61" s="1">
        <f ca="1">IF(C61=1,OFFSET(控制台!$F$552,MATCH(A61,控制台!$B$552:$B$580,0)-1,0),OFFSET(控制台!$L$552,MATCH(A61,控制台!$H$552:$H$594,0)-1,0))</f>
        <v>5</v>
      </c>
      <c r="F61" s="1">
        <f ca="1">IF(C61=1,OFFSET(控制台!$D$552,MATCH(A61,控制台!$B$552:$B$580,0)-1,0),OFFSET(控制台!$J$552,MATCH(A61,控制台!$H$552:$H$594,0)-1,0))</f>
        <v>9</v>
      </c>
      <c r="G61" s="1">
        <f ca="1">IF(C61=1,OFFSET(控制台!$I$599,MATCH(F61,控制台!$B$599:$B$615,0)-1,0),OFFSET(控制台!$I$618,MATCH(F61,控制台!$B$618:$B$636,0)-1,0))</f>
        <v>1</v>
      </c>
      <c r="H61" s="1">
        <f ca="1">IF(C61=1,OFFSET(控制台!$D$599,MATCH(F61,控制台!$B$599:$B$615,0)-1,0),OFFSET(控制台!$D$618,MATCH(F61,控制台!$B$618:$B$636,0)-1,0))</f>
        <v>5616000</v>
      </c>
      <c r="I61" s="1">
        <f ca="1">IF(E61=1,H61/G61,IF(E61=5,H61/G61*OFFSET(控制台!$D$641,MATCH(B61,控制台!$B$641:$B$645,0)-1,0),H61/G61*OFFSET(控制台!$H$641,MATCH(B61,控制台!$F$641:$F$650,0)-1,0)))</f>
        <v>267428.571428571</v>
      </c>
      <c r="J61" s="1">
        <f ca="1">$I61/3*控制台!H$102</f>
        <v>89142.8571428571</v>
      </c>
      <c r="K61" s="1">
        <f ca="1">$I61/3*控制台!I$102</f>
        <v>66857.1428571428</v>
      </c>
      <c r="L61" s="1">
        <f ca="1">$I61/3*控制台!J$102</f>
        <v>111428.571428571</v>
      </c>
      <c r="M61" s="1">
        <f ca="1">_xlfn.FLOOR.MATH(J61,POWER(10,MAX(2,INT(LOG10(J61)-2))))</f>
        <v>89100</v>
      </c>
      <c r="N61" s="1">
        <f ca="1">_xlfn.FLOOR.MATH(K61,POWER(10,MAX(2,INT(LOG10(K61)-2))))</f>
        <v>66800</v>
      </c>
      <c r="O61" s="1">
        <f ca="1">_xlfn.FLOOR.MATH(L61,POWER(10,MAX(2,INT(LOG10(L61)-2))))</f>
        <v>111000</v>
      </c>
      <c r="P61" s="4" t="str">
        <f ca="1" t="shared" si="0"/>
        <v>89100;66800;111000</v>
      </c>
      <c r="Q61" s="15">
        <f ca="1">IF(C61=1,OFFSET(控制台!$H$599,MATCH(F61,控制台!$B$599:$B$615,0)-1,0),OFFSET(控制台!$H$618,MATCH(F61,控制台!$B$618:$B$636,0)-1,0))</f>
        <v>7698.24</v>
      </c>
      <c r="R61" s="15">
        <f ca="1">IF(E61=1,Q61/G61,IF(E61=5,Q61/G61*OFFSET(控制台!$D$641,MATCH(B61,控制台!$B$641:$B$645,0)-1,0),Q61/G61*OFFSET(控制台!$H$641,MATCH(B61,控制台!$F$641:$F$650,0)-1,0)))</f>
        <v>366.582857142857</v>
      </c>
      <c r="S61" s="16">
        <f ca="1">_xlfn.FLOOR.MATH(R61)*60</f>
        <v>21960</v>
      </c>
      <c r="T61" s="16">
        <f ca="1">8000+IF(C61=1,OFFSET(控制台!$K$599,MATCH(F61,控制台!$B$599:$B$615,0)-1,0),OFFSET(控制台!$K$618,MATCH(F61,控制台!$B$618:$B$636,0)-1,0))</f>
        <v>8016</v>
      </c>
      <c r="U61" s="1">
        <f ca="1">IF(C61=1,OFFSET(控制台!$F$599,MATCH(F61,控制台!$B$599:$B$615,0)-1,0),OFFSET(控制台!$F$618,MATCH(F61,控制台!$B$618:$B$636,0)-1,0))</f>
        <v>6842.88</v>
      </c>
      <c r="V61" s="1">
        <f ca="1">IF(E61=1,U61/G61,IF(E61=5,U61/G61*OFFSET(控制台!$D$641,MATCH(B61,控制台!$B$641:$B$645,0)-1,0),U61/G61*OFFSET(控制台!$H$641,MATCH(B61,控制台!$F$641:$F$650,0)-1,0)))</f>
        <v>325.851428571428</v>
      </c>
      <c r="W61" s="20">
        <f ca="1" t="shared" si="1"/>
        <v>0.226285714285714</v>
      </c>
      <c r="X61" s="15">
        <f ca="1">IF(C61=1,OFFSET(控制台!$U$599,MATCH(F61,控制台!$B$599:$B$615,0)-1,0),OFFSET(控制台!$U$618,MATCH(F61,控制台!$B$618:$B$636,0)-1,0))</f>
        <v>19732.5</v>
      </c>
      <c r="Y61" s="16">
        <f ca="1">_xlfn.FLOOR.MATH(IF(E61=1,X61/G61,IF(E61=5,X61/G61*OFFSET(控制台!$D$641,MATCH(B61,控制台!$B$641:$B$645,0)-1,0),X61/G61*OFFSET(控制台!$H$641,MATCH(B61,控制台!$F$641:$F$650,0)-1,0))))</f>
        <v>939</v>
      </c>
      <c r="Z61" s="16">
        <f ca="1" t="shared" si="2"/>
        <v>939</v>
      </c>
    </row>
    <row r="62" spans="1:26">
      <c r="A62" s="1">
        <v>10902</v>
      </c>
      <c r="B62" s="1">
        <v>2</v>
      </c>
      <c r="C62" s="1">
        <v>1</v>
      </c>
      <c r="D62" s="1" t="s">
        <v>2789</v>
      </c>
      <c r="E62" s="1">
        <f ca="1">IF(C62=1,OFFSET(控制台!$F$552,MATCH(A62,控制台!$B$552:$B$580,0)-1,0),OFFSET(控制台!$L$552,MATCH(A62,控制台!$H$552:$H$594,0)-1,0))</f>
        <v>5</v>
      </c>
      <c r="F62" s="1">
        <f ca="1">IF(C62=1,OFFSET(控制台!$D$552,MATCH(A62,控制台!$B$552:$B$580,0)-1,0),OFFSET(控制台!$J$552,MATCH(A62,控制台!$H$552:$H$594,0)-1,0))</f>
        <v>9</v>
      </c>
      <c r="G62" s="1">
        <f ca="1">IF(C62=1,OFFSET(控制台!$I$599,MATCH(F62,控制台!$B$599:$B$615,0)-1,0),OFFSET(控制台!$I$618,MATCH(F62,控制台!$B$618:$B$636,0)-1,0))</f>
        <v>1</v>
      </c>
      <c r="H62" s="1">
        <f ca="1">IF(C62=1,OFFSET(控制台!$D$599,MATCH(F62,控制台!$B$599:$B$615,0)-1,0),OFFSET(控制台!$D$618,MATCH(F62,控制台!$B$618:$B$636,0)-1,0))</f>
        <v>5616000</v>
      </c>
      <c r="I62" s="1">
        <f ca="1">IF(E62=1,H62/G62,IF(E62=5,H62/G62*OFFSET(控制台!$D$641,MATCH(B62,控制台!$B$641:$B$645,0)-1,0),H62/G62*OFFSET(控制台!$H$641,MATCH(B62,控制台!$F$641:$F$650,0)-1,0)))</f>
        <v>534857.142857143</v>
      </c>
      <c r="J62" s="1">
        <f ca="1">$I62/3*控制台!H$102</f>
        <v>178285.714285714</v>
      </c>
      <c r="K62" s="1">
        <f ca="1">$I62/3*控制台!I$102</f>
        <v>133714.285714286</v>
      </c>
      <c r="L62" s="1">
        <f ca="1">$I62/3*控制台!J$102</f>
        <v>222857.142857143</v>
      </c>
      <c r="M62" s="1">
        <f ca="1">_xlfn.FLOOR.MATH(J62,POWER(10,MAX(2,INT(LOG10(J62)-2))))</f>
        <v>178000</v>
      </c>
      <c r="N62" s="1">
        <f ca="1">_xlfn.FLOOR.MATH(K62,POWER(10,MAX(2,INT(LOG10(K62)-2))))</f>
        <v>133000</v>
      </c>
      <c r="O62" s="1">
        <f ca="1">_xlfn.FLOOR.MATH(L62,POWER(10,MAX(2,INT(LOG10(L62)-2))))</f>
        <v>222000</v>
      </c>
      <c r="P62" s="4" t="str">
        <f ca="1" t="shared" si="0"/>
        <v>178000;133000;222000</v>
      </c>
      <c r="Q62" s="15">
        <f ca="1">IF(C62=1,OFFSET(控制台!$H$599,MATCH(F62,控制台!$B$599:$B$615,0)-1,0),OFFSET(控制台!$H$618,MATCH(F62,控制台!$B$618:$B$636,0)-1,0))</f>
        <v>7698.24</v>
      </c>
      <c r="R62" s="15">
        <f ca="1">IF(E62=1,Q62/G62,IF(E62=5,Q62/G62*OFFSET(控制台!$D$641,MATCH(B62,控制台!$B$641:$B$645,0)-1,0),Q62/G62*OFFSET(控制台!$H$641,MATCH(B62,控制台!$F$641:$F$650,0)-1,0)))</f>
        <v>733.165714285714</v>
      </c>
      <c r="S62" s="16">
        <f ca="1">_xlfn.FLOOR.MATH(R62)*60</f>
        <v>43980</v>
      </c>
      <c r="T62" s="16">
        <f ca="1">8000+IF(C62=1,OFFSET(控制台!$K$599,MATCH(F62,控制台!$B$599:$B$615,0)-1,0),OFFSET(控制台!$K$618,MATCH(F62,控制台!$B$618:$B$636,0)-1,0))</f>
        <v>8016</v>
      </c>
      <c r="U62" s="1">
        <f ca="1">IF(C62=1,OFFSET(控制台!$F$599,MATCH(F62,控制台!$B$599:$B$615,0)-1,0),OFFSET(控制台!$F$618,MATCH(F62,控制台!$B$618:$B$636,0)-1,0))</f>
        <v>6842.88</v>
      </c>
      <c r="V62" s="1">
        <f ca="1">IF(E62=1,U62/G62,IF(E62=5,U62/G62*OFFSET(控制台!$D$641,MATCH(B62,控制台!$B$641:$B$645,0)-1,0),U62/G62*OFFSET(控制台!$H$641,MATCH(B62,控制台!$F$641:$F$650,0)-1,0)))</f>
        <v>651.702857142857</v>
      </c>
      <c r="W62" s="20">
        <f ca="1" t="shared" si="1"/>
        <v>0.452571428571428</v>
      </c>
      <c r="X62" s="15">
        <f ca="1">IF(C62=1,OFFSET(控制台!$U$599,MATCH(F62,控制台!$B$599:$B$615,0)-1,0),OFFSET(控制台!$U$618,MATCH(F62,控制台!$B$618:$B$636,0)-1,0))</f>
        <v>19732.5</v>
      </c>
      <c r="Y62" s="16">
        <f ca="1">_xlfn.FLOOR.MATH(IF(E62=1,X62/G62,IF(E62=5,X62/G62*OFFSET(控制台!$D$641,MATCH(B62,控制台!$B$641:$B$645,0)-1,0),X62/G62*OFFSET(控制台!$H$641,MATCH(B62,控制台!$F$641:$F$650,0)-1,0))))</f>
        <v>1879</v>
      </c>
      <c r="Z62" s="16">
        <f ca="1" t="shared" si="2"/>
        <v>2818</v>
      </c>
    </row>
    <row r="63" spans="1:26">
      <c r="A63" s="1">
        <v>10902</v>
      </c>
      <c r="B63" s="1">
        <v>3</v>
      </c>
      <c r="C63" s="1">
        <v>1</v>
      </c>
      <c r="D63" s="1" t="s">
        <v>2789</v>
      </c>
      <c r="E63" s="1">
        <f ca="1">IF(C63=1,OFFSET(控制台!$F$552,MATCH(A63,控制台!$B$552:$B$580,0)-1,0),OFFSET(控制台!$L$552,MATCH(A63,控制台!$H$552:$H$594,0)-1,0))</f>
        <v>5</v>
      </c>
      <c r="F63" s="1">
        <f ca="1">IF(C63=1,OFFSET(控制台!$D$552,MATCH(A63,控制台!$B$552:$B$580,0)-1,0),OFFSET(控制台!$J$552,MATCH(A63,控制台!$H$552:$H$594,0)-1,0))</f>
        <v>9</v>
      </c>
      <c r="G63" s="1">
        <f ca="1">IF(C63=1,OFFSET(控制台!$I$599,MATCH(F63,控制台!$B$599:$B$615,0)-1,0),OFFSET(控制台!$I$618,MATCH(F63,控制台!$B$618:$B$636,0)-1,0))</f>
        <v>1</v>
      </c>
      <c r="H63" s="1">
        <f ca="1">IF(C63=1,OFFSET(控制台!$D$599,MATCH(F63,控制台!$B$599:$B$615,0)-1,0),OFFSET(控制台!$D$618,MATCH(F63,控制台!$B$618:$B$636,0)-1,0))</f>
        <v>5616000</v>
      </c>
      <c r="I63" s="1">
        <f ca="1">IF(E63=1,H63/G63,IF(E63=5,H63/G63*OFFSET(控制台!$D$641,MATCH(B63,控制台!$B$641:$B$645,0)-1,0),H63/G63*OFFSET(控制台!$H$641,MATCH(B63,控制台!$F$641:$F$650,0)-1,0)))</f>
        <v>802285.714285715</v>
      </c>
      <c r="J63" s="1">
        <f ca="1">$I63/3*控制台!H$102</f>
        <v>267428.571428572</v>
      </c>
      <c r="K63" s="1">
        <f ca="1">$I63/3*控制台!I$102</f>
        <v>200571.428571429</v>
      </c>
      <c r="L63" s="1">
        <f ca="1">$I63/3*控制台!J$102</f>
        <v>334285.714285715</v>
      </c>
      <c r="M63" s="1">
        <f ca="1">_xlfn.FLOOR.MATH(J63,POWER(10,MAX(2,INT(LOG10(J63)-2))))</f>
        <v>267000</v>
      </c>
      <c r="N63" s="1">
        <f ca="1">_xlfn.FLOOR.MATH(K63,POWER(10,MAX(2,INT(LOG10(K63)-2))))</f>
        <v>200000</v>
      </c>
      <c r="O63" s="1">
        <f ca="1">_xlfn.FLOOR.MATH(L63,POWER(10,MAX(2,INT(LOG10(L63)-2))))</f>
        <v>334000</v>
      </c>
      <c r="P63" s="4" t="str">
        <f ca="1" t="shared" si="0"/>
        <v>267000;200000;334000</v>
      </c>
      <c r="Q63" s="15">
        <f ca="1">IF(C63=1,OFFSET(控制台!$H$599,MATCH(F63,控制台!$B$599:$B$615,0)-1,0),OFFSET(控制台!$H$618,MATCH(F63,控制台!$B$618:$B$636,0)-1,0))</f>
        <v>7698.24</v>
      </c>
      <c r="R63" s="15">
        <f ca="1">IF(E63=1,Q63/G63,IF(E63=5,Q63/G63*OFFSET(控制台!$D$641,MATCH(B63,控制台!$B$641:$B$645,0)-1,0),Q63/G63*OFFSET(控制台!$H$641,MATCH(B63,控制台!$F$641:$F$650,0)-1,0)))</f>
        <v>1099.74857142857</v>
      </c>
      <c r="S63" s="16">
        <f ca="1">_xlfn.FLOOR.MATH(R63)*60</f>
        <v>65940</v>
      </c>
      <c r="T63" s="16">
        <f ca="1">8000+IF(C63=1,OFFSET(控制台!$K$599,MATCH(F63,控制台!$B$599:$B$615,0)-1,0),OFFSET(控制台!$K$618,MATCH(F63,控制台!$B$618:$B$636,0)-1,0))</f>
        <v>8016</v>
      </c>
      <c r="U63" s="1">
        <f ca="1">IF(C63=1,OFFSET(控制台!$F$599,MATCH(F63,控制台!$B$599:$B$615,0)-1,0),OFFSET(控制台!$F$618,MATCH(F63,控制台!$B$618:$B$636,0)-1,0))</f>
        <v>6842.88</v>
      </c>
      <c r="V63" s="1">
        <f ca="1">IF(E63=1,U63/G63,IF(E63=5,U63/G63*OFFSET(控制台!$D$641,MATCH(B63,控制台!$B$641:$B$645,0)-1,0),U63/G63*OFFSET(控制台!$H$641,MATCH(B63,控制台!$F$641:$F$650,0)-1,0)))</f>
        <v>977.554285714286</v>
      </c>
      <c r="W63" s="20">
        <f ca="1" t="shared" si="1"/>
        <v>0.678857142857143</v>
      </c>
      <c r="X63" s="15">
        <f ca="1">IF(C63=1,OFFSET(控制台!$U$599,MATCH(F63,控制台!$B$599:$B$615,0)-1,0),OFFSET(控制台!$U$618,MATCH(F63,控制台!$B$618:$B$636,0)-1,0))</f>
        <v>19732.5</v>
      </c>
      <c r="Y63" s="16">
        <f ca="1">_xlfn.FLOOR.MATH(IF(E63=1,X63/G63,IF(E63=5,X63/G63*OFFSET(控制台!$D$641,MATCH(B63,控制台!$B$641:$B$645,0)-1,0),X63/G63*OFFSET(控制台!$H$641,MATCH(B63,控制台!$F$641:$F$650,0)-1,0))))</f>
        <v>2818</v>
      </c>
      <c r="Z63" s="16">
        <f ca="1" t="shared" si="2"/>
        <v>5636</v>
      </c>
    </row>
    <row r="64" spans="1:26">
      <c r="A64" s="1">
        <v>10902</v>
      </c>
      <c r="B64" s="1">
        <v>4</v>
      </c>
      <c r="C64" s="1">
        <v>1</v>
      </c>
      <c r="D64" s="1" t="s">
        <v>2789</v>
      </c>
      <c r="E64" s="1">
        <f ca="1">IF(C64=1,OFFSET(控制台!$F$552,MATCH(A64,控制台!$B$552:$B$580,0)-1,0),OFFSET(控制台!$L$552,MATCH(A64,控制台!$H$552:$H$594,0)-1,0))</f>
        <v>5</v>
      </c>
      <c r="F64" s="1">
        <f ca="1">IF(C64=1,OFFSET(控制台!$D$552,MATCH(A64,控制台!$B$552:$B$580,0)-1,0),OFFSET(控制台!$J$552,MATCH(A64,控制台!$H$552:$H$594,0)-1,0))</f>
        <v>9</v>
      </c>
      <c r="G64" s="1">
        <f ca="1">IF(C64=1,OFFSET(控制台!$I$599,MATCH(F64,控制台!$B$599:$B$615,0)-1,0),OFFSET(控制台!$I$618,MATCH(F64,控制台!$B$618:$B$636,0)-1,0))</f>
        <v>1</v>
      </c>
      <c r="H64" s="1">
        <f ca="1">IF(C64=1,OFFSET(控制台!$D$599,MATCH(F64,控制台!$B$599:$B$615,0)-1,0),OFFSET(控制台!$D$618,MATCH(F64,控制台!$B$618:$B$636,0)-1,0))</f>
        <v>5616000</v>
      </c>
      <c r="I64" s="1">
        <f ca="1">IF(E64=1,H64/G64,IF(E64=5,H64/G64*OFFSET(控制台!$D$641,MATCH(B64,控制台!$B$641:$B$645,0)-1,0),H64/G64*OFFSET(控制台!$H$641,MATCH(B64,控制台!$F$641:$F$650,0)-1,0)))</f>
        <v>1337142.85714286</v>
      </c>
      <c r="J64" s="1">
        <f ca="1">$I64/3*控制台!H$102</f>
        <v>445714.285714286</v>
      </c>
      <c r="K64" s="1">
        <f ca="1">$I64/3*控制台!I$102</f>
        <v>334285.714285714</v>
      </c>
      <c r="L64" s="1">
        <f ca="1">$I64/3*控制台!J$102</f>
        <v>557142.857142857</v>
      </c>
      <c r="M64" s="1">
        <f ca="1">_xlfn.FLOOR.MATH(J64,POWER(10,MAX(2,INT(LOG10(J64)-2))))</f>
        <v>445000</v>
      </c>
      <c r="N64" s="1">
        <f ca="1">_xlfn.FLOOR.MATH(K64,POWER(10,MAX(2,INT(LOG10(K64)-2))))</f>
        <v>334000</v>
      </c>
      <c r="O64" s="1">
        <f ca="1">_xlfn.FLOOR.MATH(L64,POWER(10,MAX(2,INT(LOG10(L64)-2))))</f>
        <v>557000</v>
      </c>
      <c r="P64" s="4" t="str">
        <f ca="1" t="shared" si="0"/>
        <v>445000;334000;557000</v>
      </c>
      <c r="Q64" s="15">
        <f ca="1">IF(C64=1,OFFSET(控制台!$H$599,MATCH(F64,控制台!$B$599:$B$615,0)-1,0),OFFSET(控制台!$H$618,MATCH(F64,控制台!$B$618:$B$636,0)-1,0))</f>
        <v>7698.24</v>
      </c>
      <c r="R64" s="15">
        <f ca="1">IF(E64=1,Q64/G64,IF(E64=5,Q64/G64*OFFSET(控制台!$D$641,MATCH(B64,控制台!$B$641:$B$645,0)-1,0),Q64/G64*OFFSET(控制台!$H$641,MATCH(B64,控制台!$F$641:$F$650,0)-1,0)))</f>
        <v>1832.91428571428</v>
      </c>
      <c r="S64" s="16">
        <f ca="1">_xlfn.FLOOR.MATH(R64)*60</f>
        <v>109920</v>
      </c>
      <c r="T64" s="16">
        <f ca="1">8000+IF(C64=1,OFFSET(控制台!$K$599,MATCH(F64,控制台!$B$599:$B$615,0)-1,0),OFFSET(控制台!$K$618,MATCH(F64,控制台!$B$618:$B$636,0)-1,0))</f>
        <v>8016</v>
      </c>
      <c r="U64" s="1">
        <f ca="1">IF(C64=1,OFFSET(控制台!$F$599,MATCH(F64,控制台!$B$599:$B$615,0)-1,0),OFFSET(控制台!$F$618,MATCH(F64,控制台!$B$618:$B$636,0)-1,0))</f>
        <v>6842.88</v>
      </c>
      <c r="V64" s="1">
        <f ca="1">IF(E64=1,U64/G64,IF(E64=5,U64/G64*OFFSET(控制台!$D$641,MATCH(B64,控制台!$B$641:$B$645,0)-1,0),U64/G64*OFFSET(控制台!$H$641,MATCH(B64,控制台!$F$641:$F$650,0)-1,0)))</f>
        <v>1629.25714285714</v>
      </c>
      <c r="W64" s="20">
        <f ca="1" t="shared" si="1"/>
        <v>1.13142857142857</v>
      </c>
      <c r="X64" s="15">
        <f ca="1">IF(C64=1,OFFSET(控制台!$U$599,MATCH(F64,控制台!$B$599:$B$615,0)-1,0),OFFSET(控制台!$U$618,MATCH(F64,控制台!$B$618:$B$636,0)-1,0))</f>
        <v>19732.5</v>
      </c>
      <c r="Y64" s="16">
        <f ca="1">_xlfn.FLOOR.MATH(IF(E64=1,X64/G64,IF(E64=5,X64/G64*OFFSET(控制台!$D$641,MATCH(B64,控制台!$B$641:$B$645,0)-1,0),X64/G64*OFFSET(控制台!$H$641,MATCH(B64,控制台!$F$641:$F$650,0)-1,0))))</f>
        <v>4698</v>
      </c>
      <c r="Z64" s="16">
        <f ca="1" t="shared" si="2"/>
        <v>10334</v>
      </c>
    </row>
    <row r="65" spans="1:26">
      <c r="A65" s="1">
        <v>10902</v>
      </c>
      <c r="B65" s="1">
        <v>5</v>
      </c>
      <c r="C65" s="1">
        <v>1</v>
      </c>
      <c r="D65" s="1" t="s">
        <v>2789</v>
      </c>
      <c r="E65" s="1">
        <f ca="1">IF(C65=1,OFFSET(控制台!$F$552,MATCH(A65,控制台!$B$552:$B$580,0)-1,0),OFFSET(控制台!$L$552,MATCH(A65,控制台!$H$552:$H$594,0)-1,0))</f>
        <v>5</v>
      </c>
      <c r="F65" s="1">
        <f ca="1">IF(C65=1,OFFSET(控制台!$D$552,MATCH(A65,控制台!$B$552:$B$580,0)-1,0),OFFSET(控制台!$J$552,MATCH(A65,控制台!$H$552:$H$594,0)-1,0))</f>
        <v>9</v>
      </c>
      <c r="G65" s="1">
        <f ca="1">IF(C65=1,OFFSET(控制台!$I$599,MATCH(F65,控制台!$B$599:$B$615,0)-1,0),OFFSET(控制台!$I$618,MATCH(F65,控制台!$B$618:$B$636,0)-1,0))</f>
        <v>1</v>
      </c>
      <c r="H65" s="1">
        <f ca="1">IF(C65=1,OFFSET(控制台!$D$599,MATCH(F65,控制台!$B$599:$B$615,0)-1,0),OFFSET(控制台!$D$618,MATCH(F65,控制台!$B$618:$B$636,0)-1,0))</f>
        <v>5616000</v>
      </c>
      <c r="I65" s="1">
        <f ca="1">IF(E65=1,H65/G65,IF(E65=5,H65/G65*OFFSET(控制台!$D$641,MATCH(B65,控制台!$B$641:$B$645,0)-1,0),H65/G65*OFFSET(控制台!$H$641,MATCH(B65,控制台!$F$641:$F$650,0)-1,0)))</f>
        <v>2674285.71428571</v>
      </c>
      <c r="J65" s="1">
        <f ca="1">$I65/3*控制台!H$102</f>
        <v>891428.571428571</v>
      </c>
      <c r="K65" s="1">
        <f ca="1">$I65/3*控制台!I$102</f>
        <v>668571.428571428</v>
      </c>
      <c r="L65" s="1">
        <f ca="1">$I65/3*控制台!J$102</f>
        <v>1114285.71428571</v>
      </c>
      <c r="M65" s="1">
        <f ca="1">_xlfn.FLOOR.MATH(J65,POWER(10,MAX(2,INT(LOG10(J65)-2))))</f>
        <v>891000</v>
      </c>
      <c r="N65" s="1">
        <f ca="1">_xlfn.FLOOR.MATH(K65,POWER(10,MAX(2,INT(LOG10(K65)-2))))</f>
        <v>668000</v>
      </c>
      <c r="O65" s="1">
        <f ca="1">_xlfn.FLOOR.MATH(L65,POWER(10,MAX(2,INT(LOG10(L65)-2))))</f>
        <v>1110000</v>
      </c>
      <c r="P65" s="4" t="str">
        <f ca="1" t="shared" si="0"/>
        <v>891000;668000;1110000</v>
      </c>
      <c r="Q65" s="15">
        <f ca="1">IF(C65=1,OFFSET(控制台!$H$599,MATCH(F65,控制台!$B$599:$B$615,0)-1,0),OFFSET(控制台!$H$618,MATCH(F65,控制台!$B$618:$B$636,0)-1,0))</f>
        <v>7698.24</v>
      </c>
      <c r="R65" s="15">
        <f ca="1">IF(E65=1,Q65/G65,IF(E65=5,Q65/G65*OFFSET(控制台!$D$641,MATCH(B65,控制台!$B$641:$B$645,0)-1,0),Q65/G65*OFFSET(控制台!$H$641,MATCH(B65,控制台!$F$641:$F$650,0)-1,0)))</f>
        <v>3665.82857142857</v>
      </c>
      <c r="S65" s="16">
        <f ca="1">_xlfn.FLOOR.MATH(R65)*60</f>
        <v>219900</v>
      </c>
      <c r="T65" s="16">
        <f ca="1">8000+IF(C65=1,OFFSET(控制台!$K$599,MATCH(F65,控制台!$B$599:$B$615,0)-1,0),OFFSET(控制台!$K$618,MATCH(F65,控制台!$B$618:$B$636,0)-1,0))</f>
        <v>8016</v>
      </c>
      <c r="U65" s="1">
        <f ca="1">IF(C65=1,OFFSET(控制台!$F$599,MATCH(F65,控制台!$B$599:$B$615,0)-1,0),OFFSET(控制台!$F$618,MATCH(F65,控制台!$B$618:$B$636,0)-1,0))</f>
        <v>6842.88</v>
      </c>
      <c r="V65" s="1">
        <f ca="1">IF(E65=1,U65/G65,IF(E65=5,U65/G65*OFFSET(控制台!$D$641,MATCH(B65,控制台!$B$641:$B$645,0)-1,0),U65/G65*OFFSET(控制台!$H$641,MATCH(B65,控制台!$F$641:$F$650,0)-1,0)))</f>
        <v>3258.51428571428</v>
      </c>
      <c r="W65" s="20">
        <f ca="1" t="shared" si="1"/>
        <v>2.26285714285714</v>
      </c>
      <c r="X65" s="15">
        <f ca="1">IF(C65=1,OFFSET(控制台!$U$599,MATCH(F65,控制台!$B$599:$B$615,0)-1,0),OFFSET(控制台!$U$618,MATCH(F65,控制台!$B$618:$B$636,0)-1,0))</f>
        <v>19732.5</v>
      </c>
      <c r="Y65" s="16">
        <f ca="1">_xlfn.FLOOR.MATH(IF(E65=1,X65/G65,IF(E65=5,X65/G65*OFFSET(控制台!$D$641,MATCH(B65,控制台!$B$641:$B$645,0)-1,0),X65/G65*OFFSET(控制台!$H$641,MATCH(B65,控制台!$F$641:$F$650,0)-1,0))))</f>
        <v>9396</v>
      </c>
      <c r="Z65" s="16">
        <f ca="1" t="shared" si="2"/>
        <v>19730</v>
      </c>
    </row>
    <row r="66" spans="1:26">
      <c r="A66" s="1">
        <v>11001</v>
      </c>
      <c r="B66" s="1">
        <v>1</v>
      </c>
      <c r="C66" s="1">
        <v>1</v>
      </c>
      <c r="D66" s="1" t="s">
        <v>2790</v>
      </c>
      <c r="E66" s="1">
        <f ca="1">IF(C66=1,OFFSET(控制台!$F$552,MATCH(A66,控制台!$B$552:$B$580,0)-1,0),OFFSET(控制台!$L$552,MATCH(A66,控制台!$H$552:$H$594,0)-1,0))</f>
        <v>1</v>
      </c>
      <c r="F66" s="1">
        <f ca="1">IF(C66=1,OFFSET(控制台!$D$552,MATCH(A66,控制台!$B$552:$B$580,0)-1,0),OFFSET(控制台!$J$552,MATCH(A66,控制台!$H$552:$H$594,0)-1,0))</f>
        <v>10</v>
      </c>
      <c r="G66" s="1">
        <f ca="1">IF(C66=1,OFFSET(控制台!$I$599,MATCH(F66,控制台!$B$599:$B$615,0)-1,0),OFFSET(控制台!$I$618,MATCH(F66,控制台!$B$618:$B$636,0)-1,0))</f>
        <v>2</v>
      </c>
      <c r="H66" s="1">
        <f ca="1">IF(C66=1,OFFSET(控制台!$D$599,MATCH(F66,控制台!$B$599:$B$615,0)-1,0),OFFSET(控制台!$D$618,MATCH(F66,控制台!$B$618:$B$636,0)-1,0))</f>
        <v>12528000</v>
      </c>
      <c r="I66" s="1">
        <f ca="1">IF(E66=1,H66/G66,IF(E66=5,H66/G66*OFFSET(控制台!$D$641,MATCH(B66,控制台!$B$641:$B$645,0)-1,0),H66/G66*OFFSET(控制台!$H$641,MATCH(B66,控制台!$F$641:$F$650,0)-1,0)))</f>
        <v>6264000</v>
      </c>
      <c r="J66" s="1">
        <f ca="1">$I66/3*控制台!H$102</f>
        <v>2088000</v>
      </c>
      <c r="K66" s="1">
        <f ca="1">$I66/3*控制台!I$102</f>
        <v>1566000</v>
      </c>
      <c r="L66" s="1">
        <f ca="1">$I66/3*控制台!J$102</f>
        <v>2610000</v>
      </c>
      <c r="M66" s="1">
        <f ca="1">_xlfn.FLOOR.MATH(J66,POWER(10,MAX(2,INT(LOG10(J66)-2))))</f>
        <v>2080000</v>
      </c>
      <c r="N66" s="1">
        <f ca="1">_xlfn.FLOOR.MATH(K66,POWER(10,MAX(2,INT(LOG10(K66)-2))))</f>
        <v>1560000</v>
      </c>
      <c r="O66" s="1">
        <f ca="1">_xlfn.FLOOR.MATH(L66,POWER(10,MAX(2,INT(LOG10(L66)-2))))</f>
        <v>2610000</v>
      </c>
      <c r="P66" s="4" t="str">
        <f ca="1" t="shared" si="0"/>
        <v>2080000;1560000;2610000</v>
      </c>
      <c r="Q66" s="15">
        <f ca="1">IF(C66=1,OFFSET(控制台!$H$599,MATCH(F66,控制台!$B$599:$B$615,0)-1,0),OFFSET(控制台!$H$618,MATCH(F66,控制台!$B$618:$B$636,0)-1,0))</f>
        <v>14121.216</v>
      </c>
      <c r="R66" s="15">
        <f ca="1">IF(E66=1,Q66/G66,IF(E66=5,Q66/G66*OFFSET(控制台!$D$641,MATCH(B66,控制台!$B$641:$B$645,0)-1,0),Q66/G66*OFFSET(控制台!$H$641,MATCH(B66,控制台!$F$641:$F$650,0)-1,0)))</f>
        <v>7060.608</v>
      </c>
      <c r="S66" s="16">
        <f ca="1">_xlfn.FLOOR.MATH(R66)*60</f>
        <v>423600</v>
      </c>
      <c r="T66" s="16">
        <f ca="1">8000+IF(C66=1,OFFSET(控制台!$K$599,MATCH(F66,控制台!$B$599:$B$615,0)-1,0),OFFSET(控制台!$K$618,MATCH(F66,控制台!$B$618:$B$636,0)-1,0))</f>
        <v>8018</v>
      </c>
      <c r="U66" s="1">
        <f ca="1">IF(C66=1,OFFSET(控制台!$F$599,MATCH(F66,控制台!$B$599:$B$615,0)-1,0),OFFSET(控制台!$F$618,MATCH(F66,控制台!$B$618:$B$636,0)-1,0))</f>
        <v>12441.6</v>
      </c>
      <c r="V66" s="1">
        <f ca="1">IF(E66=1,U66/G66,IF(E66=5,U66/G66*OFFSET(控制台!$D$641,MATCH(B66,控制台!$B$641:$B$645,0)-1,0),U66/G66*OFFSET(控制台!$H$641,MATCH(B66,控制台!$F$641:$F$650,0)-1,0)))</f>
        <v>6220.8</v>
      </c>
      <c r="W66" s="20">
        <f ca="1" t="shared" si="1"/>
        <v>4.32</v>
      </c>
      <c r="X66" s="15">
        <f ca="1">IF(C66=1,OFFSET(控制台!$U$599,MATCH(F66,控制台!$B$599:$B$615,0)-1,0),OFFSET(控制台!$U$618,MATCH(F66,控制台!$B$618:$B$636,0)-1,0))</f>
        <v>36360</v>
      </c>
      <c r="Y66" s="16">
        <f ca="1">_xlfn.FLOOR.MATH(IF(E66=1,X66/G66,IF(E66=5,X66/G66*OFFSET(控制台!$D$641,MATCH(B66,控制台!$B$641:$B$645,0)-1,0),X66/G66*OFFSET(控制台!$H$641,MATCH(B66,控制台!$F$641:$F$650,0)-1,0))))</f>
        <v>18180</v>
      </c>
      <c r="Z66" s="16">
        <f ca="1" t="shared" si="2"/>
        <v>18180</v>
      </c>
    </row>
    <row r="67" spans="1:26">
      <c r="A67" s="1">
        <v>11003</v>
      </c>
      <c r="B67" s="1">
        <v>1</v>
      </c>
      <c r="C67" s="1">
        <v>1</v>
      </c>
      <c r="D67" s="1" t="s">
        <v>2791</v>
      </c>
      <c r="E67" s="1">
        <f ca="1">IF(C67=1,OFFSET(控制台!$F$552,MATCH(A67,控制台!$B$552:$B$580,0)-1,0),OFFSET(控制台!$L$552,MATCH(A67,控制台!$H$552:$H$594,0)-1,0))</f>
        <v>1</v>
      </c>
      <c r="F67" s="1">
        <f ca="1">IF(C67=1,OFFSET(控制台!$D$552,MATCH(A67,控制台!$B$552:$B$580,0)-1,0),OFFSET(控制台!$J$552,MATCH(A67,控制台!$H$552:$H$594,0)-1,0))</f>
        <v>10</v>
      </c>
      <c r="G67" s="1">
        <f ca="1">IF(C67=1,OFFSET(控制台!$I$599,MATCH(F67,控制台!$B$599:$B$615,0)-1,0),OFFSET(控制台!$I$618,MATCH(F67,控制台!$B$618:$B$636,0)-1,0))</f>
        <v>2</v>
      </c>
      <c r="H67" s="1">
        <f ca="1">IF(C67=1,OFFSET(控制台!$D$599,MATCH(F67,控制台!$B$599:$B$615,0)-1,0),OFFSET(控制台!$D$618,MATCH(F67,控制台!$B$618:$B$636,0)-1,0))</f>
        <v>12528000</v>
      </c>
      <c r="I67" s="1">
        <f ca="1">IF(E67=1,H67/G67,IF(E67=5,H67/G67*OFFSET(控制台!$D$641,MATCH(B67,控制台!$B$641:$B$645,0)-1,0),H67/G67*OFFSET(控制台!$H$641,MATCH(B67,控制台!$F$641:$F$650,0)-1,0)))</f>
        <v>6264000</v>
      </c>
      <c r="J67" s="1">
        <f ca="1">$I67/3*控制台!H$102</f>
        <v>2088000</v>
      </c>
      <c r="K67" s="1">
        <f ca="1">$I67/3*控制台!I$102</f>
        <v>1566000</v>
      </c>
      <c r="L67" s="1">
        <f ca="1">$I67/3*控制台!J$102</f>
        <v>2610000</v>
      </c>
      <c r="M67" s="1">
        <f ca="1">_xlfn.FLOOR.MATH(J67,POWER(10,MAX(2,INT(LOG10(J67)-2))))</f>
        <v>2080000</v>
      </c>
      <c r="N67" s="1">
        <f ca="1">_xlfn.FLOOR.MATH(K67,POWER(10,MAX(2,INT(LOG10(K67)-2))))</f>
        <v>1560000</v>
      </c>
      <c r="O67" s="1">
        <f ca="1">_xlfn.FLOOR.MATH(L67,POWER(10,MAX(2,INT(LOG10(L67)-2))))</f>
        <v>2610000</v>
      </c>
      <c r="P67" s="4" t="str">
        <f ca="1" t="shared" si="0"/>
        <v>2080000;1560000;2610000</v>
      </c>
      <c r="Q67" s="15">
        <f ca="1">IF(C67=1,OFFSET(控制台!$H$599,MATCH(F67,控制台!$B$599:$B$615,0)-1,0),OFFSET(控制台!$H$618,MATCH(F67,控制台!$B$618:$B$636,0)-1,0))</f>
        <v>14121.216</v>
      </c>
      <c r="R67" s="15">
        <f ca="1">IF(E67=1,Q67/G67,IF(E67=5,Q67/G67*OFFSET(控制台!$D$641,MATCH(B67,控制台!$B$641:$B$645,0)-1,0),Q67/G67*OFFSET(控制台!$H$641,MATCH(B67,控制台!$F$641:$F$650,0)-1,0)))</f>
        <v>7060.608</v>
      </c>
      <c r="S67" s="16">
        <f ca="1">_xlfn.FLOOR.MATH(R67)*60</f>
        <v>423600</v>
      </c>
      <c r="T67" s="16">
        <f ca="1">8000+IF(C67=1,OFFSET(控制台!$K$599,MATCH(F67,控制台!$B$599:$B$615,0)-1,0),OFFSET(控制台!$K$618,MATCH(F67,控制台!$B$618:$B$636,0)-1,0))</f>
        <v>8018</v>
      </c>
      <c r="U67" s="1">
        <f ca="1">IF(C67=1,OFFSET(控制台!$F$599,MATCH(F67,控制台!$B$599:$B$615,0)-1,0),OFFSET(控制台!$F$618,MATCH(F67,控制台!$B$618:$B$636,0)-1,0))</f>
        <v>12441.6</v>
      </c>
      <c r="V67" s="1">
        <f ca="1">IF(E67=1,U67/G67,IF(E67=5,U67/G67*OFFSET(控制台!$D$641,MATCH(B67,控制台!$B$641:$B$645,0)-1,0),U67/G67*OFFSET(控制台!$H$641,MATCH(B67,控制台!$F$641:$F$650,0)-1,0)))</f>
        <v>6220.8</v>
      </c>
      <c r="W67" s="20">
        <f ca="1" t="shared" si="1"/>
        <v>4.32</v>
      </c>
      <c r="X67" s="15">
        <f ca="1">IF(C67=1,OFFSET(控制台!$U$599,MATCH(F67,控制台!$B$599:$B$615,0)-1,0),OFFSET(控制台!$U$618,MATCH(F67,控制台!$B$618:$B$636,0)-1,0))</f>
        <v>36360</v>
      </c>
      <c r="Y67" s="16">
        <f ca="1">_xlfn.FLOOR.MATH(IF(E67=1,X67/G67,IF(E67=5,X67/G67*OFFSET(控制台!$D$641,MATCH(B67,控制台!$B$641:$B$645,0)-1,0),X67/G67*OFFSET(控制台!$H$641,MATCH(B67,控制台!$F$641:$F$650,0)-1,0))))</f>
        <v>18180</v>
      </c>
      <c r="Z67" s="16">
        <f ca="1" t="shared" si="2"/>
        <v>18180</v>
      </c>
    </row>
    <row r="68" spans="1:26">
      <c r="A68" s="1">
        <v>11101</v>
      </c>
      <c r="B68" s="1">
        <v>1</v>
      </c>
      <c r="C68" s="1">
        <v>1</v>
      </c>
      <c r="D68" s="1" t="s">
        <v>2792</v>
      </c>
      <c r="E68" s="1">
        <f ca="1">IF(C68=1,OFFSET(控制台!$F$552,MATCH(A68,控制台!$B$552:$B$580,0)-1,0),OFFSET(控制台!$L$552,MATCH(A68,控制台!$H$552:$H$594,0)-1,0))</f>
        <v>10</v>
      </c>
      <c r="F68" s="1">
        <f ca="1">IF(C68=1,OFFSET(控制台!$D$552,MATCH(A68,控制台!$B$552:$B$580,0)-1,0),OFFSET(控制台!$J$552,MATCH(A68,控制台!$H$552:$H$594,0)-1,0))</f>
        <v>11</v>
      </c>
      <c r="G68" s="1">
        <f ca="1">IF(C68=1,OFFSET(控制台!$I$599,MATCH(F68,控制台!$B$599:$B$615,0)-1,0),OFFSET(控制台!$I$618,MATCH(F68,控制台!$B$618:$B$636,0)-1,0))</f>
        <v>2</v>
      </c>
      <c r="H68" s="1">
        <f ca="1">IF(C68=1,OFFSET(控制台!$D$599,MATCH(F68,控制台!$B$599:$B$615,0)-1,0),OFFSET(控制台!$D$618,MATCH(F68,控制台!$B$618:$B$636,0)-1,0))</f>
        <v>22896000</v>
      </c>
      <c r="I68" s="1">
        <f ca="1">IF(E68=1,H68/G68,IF(E68=5,H68/G68*OFFSET(控制台!$D$641,MATCH(B68,控制台!$B$641:$B$645,0)-1,0),H68/G68*OFFSET(控制台!$H$641,MATCH(B68,控制台!$F$641:$F$650,0)-1,0)))</f>
        <v>104072.727272727</v>
      </c>
      <c r="J68" s="1">
        <f ca="1">$I68/3*控制台!H$102</f>
        <v>34690.9090909091</v>
      </c>
      <c r="K68" s="1">
        <f ca="1">$I68/3*控制台!I$102</f>
        <v>26018.1818181818</v>
      </c>
      <c r="L68" s="1">
        <f ca="1">$I68/3*控制台!J$102</f>
        <v>43363.6363636364</v>
      </c>
      <c r="M68" s="1">
        <f ca="1">_xlfn.FLOOR.MATH(J68,POWER(10,MAX(2,INT(LOG10(J68)-2))))</f>
        <v>34600</v>
      </c>
      <c r="N68" s="1">
        <f ca="1">_xlfn.FLOOR.MATH(K68,POWER(10,MAX(2,INT(LOG10(K68)-2))))</f>
        <v>26000</v>
      </c>
      <c r="O68" s="1">
        <f ca="1">_xlfn.FLOOR.MATH(L68,POWER(10,MAX(2,INT(LOG10(L68)-2))))</f>
        <v>43300</v>
      </c>
      <c r="P68" s="4" t="str">
        <f ca="1" t="shared" si="0"/>
        <v>34600;26000;43300</v>
      </c>
      <c r="Q68" s="15">
        <f ca="1">IF(C68=1,OFFSET(控制台!$H$599,MATCH(F68,控制台!$B$599:$B$615,0)-1,0),OFFSET(控制台!$H$618,MATCH(F68,控制台!$B$618:$B$636,0)-1,0))</f>
        <v>29611.008</v>
      </c>
      <c r="R68" s="15">
        <f ca="1">IF(E68=1,Q68/G68,IF(E68=5,Q68/G68*OFFSET(控制台!$D$641,MATCH(B68,控制台!$B$641:$B$645,0)-1,0),Q68/G68*OFFSET(控制台!$H$641,MATCH(B68,控制台!$F$641:$F$650,0)-1,0)))</f>
        <v>134.595490909091</v>
      </c>
      <c r="S68" s="16">
        <f ca="1">_xlfn.FLOOR.MATH(R68)*60</f>
        <v>8040</v>
      </c>
      <c r="T68" s="16">
        <f ca="1">8000+IF(C68=1,OFFSET(控制台!$K$599,MATCH(F68,控制台!$B$599:$B$615,0)-1,0),OFFSET(控制台!$K$618,MATCH(F68,控制台!$B$618:$B$636,0)-1,0))</f>
        <v>8020</v>
      </c>
      <c r="U68" s="1">
        <f ca="1">IF(C68=1,OFFSET(控制台!$F$599,MATCH(F68,控制台!$B$599:$B$615,0)-1,0),OFFSET(控制台!$F$618,MATCH(F68,控制台!$B$618:$B$636,0)-1,0))</f>
        <v>21150.72</v>
      </c>
      <c r="V68" s="1">
        <f ca="1">IF(E68=1,U68/G68,IF(E68=5,U68/G68*OFFSET(控制台!$D$641,MATCH(B68,控制台!$B$641:$B$645,0)-1,0),U68/G68*OFFSET(控制台!$H$641,MATCH(B68,控制台!$F$641:$F$650,0)-1,0)))</f>
        <v>96.1396363636363</v>
      </c>
      <c r="W68" s="20">
        <f ca="1" t="shared" si="1"/>
        <v>0.0667636363636363</v>
      </c>
      <c r="X68" s="15">
        <f ca="1">IF(C68=1,OFFSET(控制台!$U$599,MATCH(F68,控制台!$B$599:$B$615,0)-1,0),OFFSET(控制台!$U$618,MATCH(F68,控制台!$B$618:$B$636,0)-1,0))</f>
        <v>62145</v>
      </c>
      <c r="Y68" s="16">
        <f ca="1">_xlfn.FLOOR.MATH(IF(E68=1,X68/G68,IF(E68=5,X68/G68*OFFSET(控制台!$D$641,MATCH(B68,控制台!$B$641:$B$645,0)-1,0),X68/G68*OFFSET(控制台!$H$641,MATCH(B68,控制台!$F$641:$F$650,0)-1,0))))</f>
        <v>282</v>
      </c>
      <c r="Z68" s="16">
        <f ca="1" t="shared" si="2"/>
        <v>282</v>
      </c>
    </row>
    <row r="69" spans="1:26">
      <c r="A69" s="1">
        <v>11101</v>
      </c>
      <c r="B69" s="1">
        <v>2</v>
      </c>
      <c r="C69" s="1">
        <v>1</v>
      </c>
      <c r="D69" s="1" t="s">
        <v>2792</v>
      </c>
      <c r="E69" s="1">
        <f ca="1">IF(C69=1,OFFSET(控制台!$F$552,MATCH(A69,控制台!$B$552:$B$580,0)-1,0),OFFSET(控制台!$L$552,MATCH(A69,控制台!$H$552:$H$594,0)-1,0))</f>
        <v>10</v>
      </c>
      <c r="F69" s="1">
        <f ca="1">IF(C69=1,OFFSET(控制台!$D$552,MATCH(A69,控制台!$B$552:$B$580,0)-1,0),OFFSET(控制台!$J$552,MATCH(A69,控制台!$H$552:$H$594,0)-1,0))</f>
        <v>11</v>
      </c>
      <c r="G69" s="1">
        <f ca="1">IF(C69=1,OFFSET(控制台!$I$599,MATCH(F69,控制台!$B$599:$B$615,0)-1,0),OFFSET(控制台!$I$618,MATCH(F69,控制台!$B$618:$B$636,0)-1,0))</f>
        <v>2</v>
      </c>
      <c r="H69" s="1">
        <f ca="1">IF(C69=1,OFFSET(控制台!$D$599,MATCH(F69,控制台!$B$599:$B$615,0)-1,0),OFFSET(控制台!$D$618,MATCH(F69,控制台!$B$618:$B$636,0)-1,0))</f>
        <v>22896000</v>
      </c>
      <c r="I69" s="1">
        <f ca="1">IF(E69=1,H69/G69,IF(E69=5,H69/G69*OFFSET(控制台!$D$641,MATCH(B69,控制台!$B$641:$B$645,0)-1,0),H69/G69*OFFSET(控制台!$H$641,MATCH(B69,控制台!$F$641:$F$650,0)-1,0)))</f>
        <v>156109.09090909</v>
      </c>
      <c r="J69" s="1">
        <f ca="1">$I69/3*控制台!H$102</f>
        <v>52036.3636363635</v>
      </c>
      <c r="K69" s="1">
        <f ca="1">$I69/3*控制台!I$102</f>
        <v>39027.2727272726</v>
      </c>
      <c r="L69" s="1">
        <f ca="1">$I69/3*控制台!J$102</f>
        <v>65045.4545454544</v>
      </c>
      <c r="M69" s="1">
        <f ca="1">_xlfn.FLOOR.MATH(J69,POWER(10,MAX(2,INT(LOG10(J69)-2))))</f>
        <v>52000</v>
      </c>
      <c r="N69" s="1">
        <f ca="1">_xlfn.FLOOR.MATH(K69,POWER(10,MAX(2,INT(LOG10(K69)-2))))</f>
        <v>39000</v>
      </c>
      <c r="O69" s="1">
        <f ca="1">_xlfn.FLOOR.MATH(L69,POWER(10,MAX(2,INT(LOG10(L69)-2))))</f>
        <v>65000</v>
      </c>
      <c r="P69" s="4" t="str">
        <f ca="1" t="shared" si="0"/>
        <v>52000;39000;65000</v>
      </c>
      <c r="Q69" s="15">
        <f ca="1">IF(C69=1,OFFSET(控制台!$H$599,MATCH(F69,控制台!$B$599:$B$615,0)-1,0),OFFSET(控制台!$H$618,MATCH(F69,控制台!$B$618:$B$636,0)-1,0))</f>
        <v>29611.008</v>
      </c>
      <c r="R69" s="15">
        <f ca="1">IF(E69=1,Q69/G69,IF(E69=5,Q69/G69*OFFSET(控制台!$D$641,MATCH(B69,控制台!$B$641:$B$645,0)-1,0),Q69/G69*OFFSET(控制台!$H$641,MATCH(B69,控制台!$F$641:$F$650,0)-1,0)))</f>
        <v>201.893236363636</v>
      </c>
      <c r="S69" s="16">
        <f ca="1">_xlfn.FLOOR.MATH(R69)*60</f>
        <v>12060</v>
      </c>
      <c r="T69" s="16">
        <f ca="1">8000+IF(C69=1,OFFSET(控制台!$K$599,MATCH(F69,控制台!$B$599:$B$615,0)-1,0),OFFSET(控制台!$K$618,MATCH(F69,控制台!$B$618:$B$636,0)-1,0))</f>
        <v>8020</v>
      </c>
      <c r="U69" s="1">
        <f ca="1">IF(C69=1,OFFSET(控制台!$F$599,MATCH(F69,控制台!$B$599:$B$615,0)-1,0),OFFSET(控制台!$F$618,MATCH(F69,控制台!$B$618:$B$636,0)-1,0))</f>
        <v>21150.72</v>
      </c>
      <c r="V69" s="1">
        <f ca="1">IF(E69=1,U69/G69,IF(E69=5,U69/G69*OFFSET(控制台!$D$641,MATCH(B69,控制台!$B$641:$B$645,0)-1,0),U69/G69*OFFSET(控制台!$H$641,MATCH(B69,控制台!$F$641:$F$650,0)-1,0)))</f>
        <v>144.209454545454</v>
      </c>
      <c r="W69" s="20">
        <f ca="1" t="shared" si="1"/>
        <v>0.100145454545454</v>
      </c>
      <c r="X69" s="15">
        <f ca="1">IF(C69=1,OFFSET(控制台!$U$599,MATCH(F69,控制台!$B$599:$B$615,0)-1,0),OFFSET(控制台!$U$618,MATCH(F69,控制台!$B$618:$B$636,0)-1,0))</f>
        <v>62145</v>
      </c>
      <c r="Y69" s="16">
        <f ca="1">_xlfn.FLOOR.MATH(IF(E69=1,X69/G69,IF(E69=5,X69/G69*OFFSET(控制台!$D$641,MATCH(B69,控制台!$B$641:$B$645,0)-1,0),X69/G69*OFFSET(控制台!$H$641,MATCH(B69,控制台!$F$641:$F$650,0)-1,0))))</f>
        <v>423</v>
      </c>
      <c r="Z69" s="16">
        <f ca="1" t="shared" si="2"/>
        <v>705</v>
      </c>
    </row>
    <row r="70" spans="1:26">
      <c r="A70" s="1">
        <v>11101</v>
      </c>
      <c r="B70" s="1">
        <v>3</v>
      </c>
      <c r="C70" s="1">
        <v>1</v>
      </c>
      <c r="D70" s="1" t="s">
        <v>2792</v>
      </c>
      <c r="E70" s="1">
        <f ca="1">IF(C70=1,OFFSET(控制台!$F$552,MATCH(A70,控制台!$B$552:$B$580,0)-1,0),OFFSET(控制台!$L$552,MATCH(A70,控制台!$H$552:$H$594,0)-1,0))</f>
        <v>10</v>
      </c>
      <c r="F70" s="1">
        <f ca="1">IF(C70=1,OFFSET(控制台!$D$552,MATCH(A70,控制台!$B$552:$B$580,0)-1,0),OFFSET(控制台!$J$552,MATCH(A70,控制台!$H$552:$H$594,0)-1,0))</f>
        <v>11</v>
      </c>
      <c r="G70" s="1">
        <f ca="1">IF(C70=1,OFFSET(控制台!$I$599,MATCH(F70,控制台!$B$599:$B$615,0)-1,0),OFFSET(控制台!$I$618,MATCH(F70,控制台!$B$618:$B$636,0)-1,0))</f>
        <v>2</v>
      </c>
      <c r="H70" s="1">
        <f ca="1">IF(C70=1,OFFSET(控制台!$D$599,MATCH(F70,控制台!$B$599:$B$615,0)-1,0),OFFSET(控制台!$D$618,MATCH(F70,控制台!$B$618:$B$636,0)-1,0))</f>
        <v>22896000</v>
      </c>
      <c r="I70" s="1">
        <f ca="1">IF(E70=1,H70/G70,IF(E70=5,H70/G70*OFFSET(控制台!$D$641,MATCH(B70,控制台!$B$641:$B$645,0)-1,0),H70/G70*OFFSET(控制台!$H$641,MATCH(B70,控制台!$F$641:$F$650,0)-1,0)))</f>
        <v>208145.454545455</v>
      </c>
      <c r="J70" s="1">
        <f ca="1">$I70/3*控制台!H$102</f>
        <v>69381.8181818182</v>
      </c>
      <c r="K70" s="1">
        <f ca="1">$I70/3*控制台!I$102</f>
        <v>52036.3636363637</v>
      </c>
      <c r="L70" s="1">
        <f ca="1">$I70/3*控制台!J$102</f>
        <v>86727.2727272728</v>
      </c>
      <c r="M70" s="1">
        <f ca="1">_xlfn.FLOOR.MATH(J70,POWER(10,MAX(2,INT(LOG10(J70)-2))))</f>
        <v>69300</v>
      </c>
      <c r="N70" s="1">
        <f ca="1">_xlfn.FLOOR.MATH(K70,POWER(10,MAX(2,INT(LOG10(K70)-2))))</f>
        <v>52000</v>
      </c>
      <c r="O70" s="1">
        <f ca="1">_xlfn.FLOOR.MATH(L70,POWER(10,MAX(2,INT(LOG10(L70)-2))))</f>
        <v>86700</v>
      </c>
      <c r="P70" s="4" t="str">
        <f ca="1" t="shared" si="0"/>
        <v>69300;52000;86700</v>
      </c>
      <c r="Q70" s="15">
        <f ca="1">IF(C70=1,OFFSET(控制台!$H$599,MATCH(F70,控制台!$B$599:$B$615,0)-1,0),OFFSET(控制台!$H$618,MATCH(F70,控制台!$B$618:$B$636,0)-1,0))</f>
        <v>29611.008</v>
      </c>
      <c r="R70" s="15">
        <f ca="1">IF(E70=1,Q70/G70,IF(E70=5,Q70/G70*OFFSET(控制台!$D$641,MATCH(B70,控制台!$B$641:$B$645,0)-1,0),Q70/G70*OFFSET(控制台!$H$641,MATCH(B70,控制台!$F$641:$F$650,0)-1,0)))</f>
        <v>269.190981818182</v>
      </c>
      <c r="S70" s="16">
        <f ca="1">_xlfn.FLOOR.MATH(R70)*60</f>
        <v>16140</v>
      </c>
      <c r="T70" s="16">
        <f ca="1">8000+IF(C70=1,OFFSET(控制台!$K$599,MATCH(F70,控制台!$B$599:$B$615,0)-1,0),OFFSET(控制台!$K$618,MATCH(F70,控制台!$B$618:$B$636,0)-1,0))</f>
        <v>8020</v>
      </c>
      <c r="U70" s="1">
        <f ca="1">IF(C70=1,OFFSET(控制台!$F$599,MATCH(F70,控制台!$B$599:$B$615,0)-1,0),OFFSET(控制台!$F$618,MATCH(F70,控制台!$B$618:$B$636,0)-1,0))</f>
        <v>21150.72</v>
      </c>
      <c r="V70" s="1">
        <f ca="1">IF(E70=1,U70/G70,IF(E70=5,U70/G70*OFFSET(控制台!$D$641,MATCH(B70,控制台!$B$641:$B$645,0)-1,0),U70/G70*OFFSET(控制台!$H$641,MATCH(B70,控制台!$F$641:$F$650,0)-1,0)))</f>
        <v>192.279272727273</v>
      </c>
      <c r="W70" s="20">
        <f ca="1" t="shared" si="1"/>
        <v>0.133527272727273</v>
      </c>
      <c r="X70" s="15">
        <f ca="1">IF(C70=1,OFFSET(控制台!$U$599,MATCH(F70,控制台!$B$599:$B$615,0)-1,0),OFFSET(控制台!$U$618,MATCH(F70,控制台!$B$618:$B$636,0)-1,0))</f>
        <v>62145</v>
      </c>
      <c r="Y70" s="16">
        <f ca="1">_xlfn.FLOOR.MATH(IF(E70=1,X70/G70,IF(E70=5,X70/G70*OFFSET(控制台!$D$641,MATCH(B70,控制台!$B$641:$B$645,0)-1,0),X70/G70*OFFSET(控制台!$H$641,MATCH(B70,控制台!$F$641:$F$650,0)-1,0))))</f>
        <v>564</v>
      </c>
      <c r="Z70" s="16">
        <f ca="1" t="shared" si="2"/>
        <v>1269</v>
      </c>
    </row>
    <row r="71" spans="1:26">
      <c r="A71" s="1">
        <v>11101</v>
      </c>
      <c r="B71" s="1">
        <v>4</v>
      </c>
      <c r="C71" s="1">
        <v>1</v>
      </c>
      <c r="D71" s="1" t="s">
        <v>2792</v>
      </c>
      <c r="E71" s="1">
        <f ca="1">IF(C71=1,OFFSET(控制台!$F$552,MATCH(A71,控制台!$B$552:$B$580,0)-1,0),OFFSET(控制台!$L$552,MATCH(A71,控制台!$H$552:$H$594,0)-1,0))</f>
        <v>10</v>
      </c>
      <c r="F71" s="1">
        <f ca="1">IF(C71=1,OFFSET(控制台!$D$552,MATCH(A71,控制台!$B$552:$B$580,0)-1,0),OFFSET(控制台!$J$552,MATCH(A71,控制台!$H$552:$H$594,0)-1,0))</f>
        <v>11</v>
      </c>
      <c r="G71" s="1">
        <f ca="1">IF(C71=1,OFFSET(控制台!$I$599,MATCH(F71,控制台!$B$599:$B$615,0)-1,0),OFFSET(控制台!$I$618,MATCH(F71,控制台!$B$618:$B$636,0)-1,0))</f>
        <v>2</v>
      </c>
      <c r="H71" s="1">
        <f ca="1">IF(C71=1,OFFSET(控制台!$D$599,MATCH(F71,控制台!$B$599:$B$615,0)-1,0),OFFSET(控制台!$D$618,MATCH(F71,控制台!$B$618:$B$636,0)-1,0))</f>
        <v>22896000</v>
      </c>
      <c r="I71" s="1">
        <f ca="1">IF(E71=1,H71/G71,IF(E71=5,H71/G71*OFFSET(控制台!$D$641,MATCH(B71,控制台!$B$641:$B$645,0)-1,0),H71/G71*OFFSET(控制台!$H$641,MATCH(B71,控制台!$F$641:$F$650,0)-1,0)))</f>
        <v>312218.181818182</v>
      </c>
      <c r="J71" s="1">
        <f ca="1">$I71/3*控制台!H$102</f>
        <v>104072.727272727</v>
      </c>
      <c r="K71" s="1">
        <f ca="1">$I71/3*控制台!I$102</f>
        <v>78054.5454545455</v>
      </c>
      <c r="L71" s="1">
        <f ca="1">$I71/3*控制台!J$102</f>
        <v>130090.909090909</v>
      </c>
      <c r="M71" s="1">
        <f ca="1">_xlfn.FLOOR.MATH(J71,POWER(10,MAX(2,INT(LOG10(J71)-2))))</f>
        <v>104000</v>
      </c>
      <c r="N71" s="1">
        <f ca="1">_xlfn.FLOOR.MATH(K71,POWER(10,MAX(2,INT(LOG10(K71)-2))))</f>
        <v>78000</v>
      </c>
      <c r="O71" s="1">
        <f ca="1">_xlfn.FLOOR.MATH(L71,POWER(10,MAX(2,INT(LOG10(L71)-2))))</f>
        <v>130000</v>
      </c>
      <c r="P71" s="4" t="str">
        <f ca="1" t="shared" ref="P71:P134" si="3">CONCATENATE(M71,";",N71,";",O71)</f>
        <v>104000;78000;130000</v>
      </c>
      <c r="Q71" s="15">
        <f ca="1">IF(C71=1,OFFSET(控制台!$H$599,MATCH(F71,控制台!$B$599:$B$615,0)-1,0),OFFSET(控制台!$H$618,MATCH(F71,控制台!$B$618:$B$636,0)-1,0))</f>
        <v>29611.008</v>
      </c>
      <c r="R71" s="15">
        <f ca="1">IF(E71=1,Q71/G71,IF(E71=5,Q71/G71*OFFSET(控制台!$D$641,MATCH(B71,控制台!$B$641:$B$645,0)-1,0),Q71/G71*OFFSET(控制台!$H$641,MATCH(B71,控制台!$F$641:$F$650,0)-1,0)))</f>
        <v>403.786472727273</v>
      </c>
      <c r="S71" s="16">
        <f ca="1">_xlfn.FLOOR.MATH(R71)*60</f>
        <v>24180</v>
      </c>
      <c r="T71" s="16">
        <f ca="1">8000+IF(C71=1,OFFSET(控制台!$K$599,MATCH(F71,控制台!$B$599:$B$615,0)-1,0),OFFSET(控制台!$K$618,MATCH(F71,控制台!$B$618:$B$636,0)-1,0))</f>
        <v>8020</v>
      </c>
      <c r="U71" s="1">
        <f ca="1">IF(C71=1,OFFSET(控制台!$F$599,MATCH(F71,控制台!$B$599:$B$615,0)-1,0),OFFSET(控制台!$F$618,MATCH(F71,控制台!$B$618:$B$636,0)-1,0))</f>
        <v>21150.72</v>
      </c>
      <c r="V71" s="1">
        <f ca="1">IF(E71=1,U71/G71,IF(E71=5,U71/G71*OFFSET(控制台!$D$641,MATCH(B71,控制台!$B$641:$B$645,0)-1,0),U71/G71*OFFSET(控制台!$H$641,MATCH(B71,控制台!$F$641:$F$650,0)-1,0)))</f>
        <v>288.418909090909</v>
      </c>
      <c r="W71" s="20">
        <f ca="1" t="shared" ref="W71:W134" si="4">V71/60/24</f>
        <v>0.200290909090909</v>
      </c>
      <c r="X71" s="15">
        <f ca="1">IF(C71=1,OFFSET(控制台!$U$599,MATCH(F71,控制台!$B$599:$B$615,0)-1,0),OFFSET(控制台!$U$618,MATCH(F71,控制台!$B$618:$B$636,0)-1,0))</f>
        <v>62145</v>
      </c>
      <c r="Y71" s="16">
        <f ca="1">_xlfn.FLOOR.MATH(IF(E71=1,X71/G71,IF(E71=5,X71/G71*OFFSET(控制台!$D$641,MATCH(B71,控制台!$B$641:$B$645,0)-1,0),X71/G71*OFFSET(控制台!$H$641,MATCH(B71,控制台!$F$641:$F$650,0)-1,0))))</f>
        <v>847</v>
      </c>
      <c r="Z71" s="16">
        <f ca="1" t="shared" ref="Z71:Z134" si="5">IF(B71=1,Y71,Z70+Y71)</f>
        <v>2116</v>
      </c>
    </row>
    <row r="72" spans="1:26">
      <c r="A72" s="1">
        <v>11101</v>
      </c>
      <c r="B72" s="1">
        <v>5</v>
      </c>
      <c r="C72" s="1">
        <v>1</v>
      </c>
      <c r="D72" s="1" t="s">
        <v>2792</v>
      </c>
      <c r="E72" s="1">
        <f ca="1">IF(C72=1,OFFSET(控制台!$F$552,MATCH(A72,控制台!$B$552:$B$580,0)-1,0),OFFSET(控制台!$L$552,MATCH(A72,控制台!$H$552:$H$594,0)-1,0))</f>
        <v>10</v>
      </c>
      <c r="F72" s="1">
        <f ca="1">IF(C72=1,OFFSET(控制台!$D$552,MATCH(A72,控制台!$B$552:$B$580,0)-1,0),OFFSET(控制台!$J$552,MATCH(A72,控制台!$H$552:$H$594,0)-1,0))</f>
        <v>11</v>
      </c>
      <c r="G72" s="1">
        <f ca="1">IF(C72=1,OFFSET(控制台!$I$599,MATCH(F72,控制台!$B$599:$B$615,0)-1,0),OFFSET(控制台!$I$618,MATCH(F72,控制台!$B$618:$B$636,0)-1,0))</f>
        <v>2</v>
      </c>
      <c r="H72" s="1">
        <f ca="1">IF(C72=1,OFFSET(控制台!$D$599,MATCH(F72,控制台!$B$599:$B$615,0)-1,0),OFFSET(控制台!$D$618,MATCH(F72,控制台!$B$618:$B$636,0)-1,0))</f>
        <v>22896000</v>
      </c>
      <c r="I72" s="1">
        <f ca="1">IF(E72=1,H72/G72,IF(E72=5,H72/G72*OFFSET(控制台!$D$641,MATCH(B72,控制台!$B$641:$B$645,0)-1,0),H72/G72*OFFSET(控制台!$H$641,MATCH(B72,控制台!$F$641:$F$650,0)-1,0)))</f>
        <v>520363.636363637</v>
      </c>
      <c r="J72" s="1">
        <f ca="1">$I72/3*控制台!H$102</f>
        <v>173454.545454546</v>
      </c>
      <c r="K72" s="1">
        <f ca="1">$I72/3*控制台!I$102</f>
        <v>130090.909090909</v>
      </c>
      <c r="L72" s="1">
        <f ca="1">$I72/3*控制台!J$102</f>
        <v>216818.181818182</v>
      </c>
      <c r="M72" s="1">
        <f ca="1">_xlfn.FLOOR.MATH(J72,POWER(10,MAX(2,INT(LOG10(J72)-2))))</f>
        <v>173000</v>
      </c>
      <c r="N72" s="1">
        <f ca="1">_xlfn.FLOOR.MATH(K72,POWER(10,MAX(2,INT(LOG10(K72)-2))))</f>
        <v>130000</v>
      </c>
      <c r="O72" s="1">
        <f ca="1">_xlfn.FLOOR.MATH(L72,POWER(10,MAX(2,INT(LOG10(L72)-2))))</f>
        <v>216000</v>
      </c>
      <c r="P72" s="4" t="str">
        <f ca="1" t="shared" si="3"/>
        <v>173000;130000;216000</v>
      </c>
      <c r="Q72" s="15">
        <f ca="1">IF(C72=1,OFFSET(控制台!$H$599,MATCH(F72,控制台!$B$599:$B$615,0)-1,0),OFFSET(控制台!$H$618,MATCH(F72,控制台!$B$618:$B$636,0)-1,0))</f>
        <v>29611.008</v>
      </c>
      <c r="R72" s="15">
        <f ca="1">IF(E72=1,Q72/G72,IF(E72=5,Q72/G72*OFFSET(控制台!$D$641,MATCH(B72,控制台!$B$641:$B$645,0)-1,0),Q72/G72*OFFSET(控制台!$H$641,MATCH(B72,控制台!$F$641:$F$650,0)-1,0)))</f>
        <v>672.977454545455</v>
      </c>
      <c r="S72" s="16">
        <f ca="1">_xlfn.FLOOR.MATH(R72)*60</f>
        <v>40320</v>
      </c>
      <c r="T72" s="16">
        <f ca="1">8000+IF(C72=1,OFFSET(控制台!$K$599,MATCH(F72,控制台!$B$599:$B$615,0)-1,0),OFFSET(控制台!$K$618,MATCH(F72,控制台!$B$618:$B$636,0)-1,0))</f>
        <v>8020</v>
      </c>
      <c r="U72" s="1">
        <f ca="1">IF(C72=1,OFFSET(控制台!$F$599,MATCH(F72,控制台!$B$599:$B$615,0)-1,0),OFFSET(控制台!$F$618,MATCH(F72,控制台!$B$618:$B$636,0)-1,0))</f>
        <v>21150.72</v>
      </c>
      <c r="V72" s="1">
        <f ca="1">IF(E72=1,U72/G72,IF(E72=5,U72/G72*OFFSET(控制台!$D$641,MATCH(B72,控制台!$B$641:$B$645,0)-1,0),U72/G72*OFFSET(控制台!$H$641,MATCH(B72,控制台!$F$641:$F$650,0)-1,0)))</f>
        <v>480.698181818182</v>
      </c>
      <c r="W72" s="20">
        <f ca="1" t="shared" si="4"/>
        <v>0.333818181818182</v>
      </c>
      <c r="X72" s="15">
        <f ca="1">IF(C72=1,OFFSET(控制台!$U$599,MATCH(F72,控制台!$B$599:$B$615,0)-1,0),OFFSET(控制台!$U$618,MATCH(F72,控制台!$B$618:$B$636,0)-1,0))</f>
        <v>62145</v>
      </c>
      <c r="Y72" s="16">
        <f ca="1">_xlfn.FLOOR.MATH(IF(E72=1,X72/G72,IF(E72=5,X72/G72*OFFSET(控制台!$D$641,MATCH(B72,控制台!$B$641:$B$645,0)-1,0),X72/G72*OFFSET(控制台!$H$641,MATCH(B72,控制台!$F$641:$F$650,0)-1,0))))</f>
        <v>1412</v>
      </c>
      <c r="Z72" s="16">
        <f ca="1" t="shared" si="5"/>
        <v>3528</v>
      </c>
    </row>
    <row r="73" spans="1:26">
      <c r="A73" s="1">
        <v>11101</v>
      </c>
      <c r="B73" s="1">
        <v>6</v>
      </c>
      <c r="C73" s="1">
        <v>1</v>
      </c>
      <c r="D73" s="1" t="s">
        <v>2792</v>
      </c>
      <c r="E73" s="1">
        <f ca="1">IF(C73=1,OFFSET(控制台!$F$552,MATCH(A73,控制台!$B$552:$B$580,0)-1,0),OFFSET(控制台!$L$552,MATCH(A73,控制台!$H$552:$H$594,0)-1,0))</f>
        <v>10</v>
      </c>
      <c r="F73" s="1">
        <f ca="1">IF(C73=1,OFFSET(控制台!$D$552,MATCH(A73,控制台!$B$552:$B$580,0)-1,0),OFFSET(控制台!$J$552,MATCH(A73,控制台!$H$552:$H$594,0)-1,0))</f>
        <v>11</v>
      </c>
      <c r="G73" s="1">
        <f ca="1">IF(C73=1,OFFSET(控制台!$I$599,MATCH(F73,控制台!$B$599:$B$615,0)-1,0),OFFSET(控制台!$I$618,MATCH(F73,控制台!$B$618:$B$636,0)-1,0))</f>
        <v>2</v>
      </c>
      <c r="H73" s="1">
        <f ca="1">IF(C73=1,OFFSET(控制台!$D$599,MATCH(F73,控制台!$B$599:$B$615,0)-1,0),OFFSET(控制台!$D$618,MATCH(F73,控制台!$B$618:$B$636,0)-1,0))</f>
        <v>22896000</v>
      </c>
      <c r="I73" s="1">
        <f ca="1">IF(E73=1,H73/G73,IF(E73=5,H73/G73*OFFSET(控制台!$D$641,MATCH(B73,控制台!$B$641:$B$645,0)-1,0),H73/G73*OFFSET(控制台!$H$641,MATCH(B73,控制台!$F$641:$F$650,0)-1,0)))</f>
        <v>780545.454545455</v>
      </c>
      <c r="J73" s="1">
        <f ca="1">$I73/3*控制台!H$102</f>
        <v>260181.818181818</v>
      </c>
      <c r="K73" s="1">
        <f ca="1">$I73/3*控制台!I$102</f>
        <v>195136.363636364</v>
      </c>
      <c r="L73" s="1">
        <f ca="1">$I73/3*控制台!J$102</f>
        <v>325227.272727273</v>
      </c>
      <c r="M73" s="1">
        <f ca="1">_xlfn.FLOOR.MATH(J73,POWER(10,MAX(2,INT(LOG10(J73)-2))))</f>
        <v>260000</v>
      </c>
      <c r="N73" s="1">
        <f ca="1">_xlfn.FLOOR.MATH(K73,POWER(10,MAX(2,INT(LOG10(K73)-2))))</f>
        <v>195000</v>
      </c>
      <c r="O73" s="1">
        <f ca="1">_xlfn.FLOOR.MATH(L73,POWER(10,MAX(2,INT(LOG10(L73)-2))))</f>
        <v>325000</v>
      </c>
      <c r="P73" s="4" t="str">
        <f ca="1" t="shared" si="3"/>
        <v>260000;195000;325000</v>
      </c>
      <c r="Q73" s="15">
        <f ca="1">IF(C73=1,OFFSET(控制台!$H$599,MATCH(F73,控制台!$B$599:$B$615,0)-1,0),OFFSET(控制台!$H$618,MATCH(F73,控制台!$B$618:$B$636,0)-1,0))</f>
        <v>29611.008</v>
      </c>
      <c r="R73" s="15">
        <f ca="1">IF(E73=1,Q73/G73,IF(E73=5,Q73/G73*OFFSET(控制台!$D$641,MATCH(B73,控制台!$B$641:$B$645,0)-1,0),Q73/G73*OFFSET(控制台!$H$641,MATCH(B73,控制台!$F$641:$F$650,0)-1,0)))</f>
        <v>1009.46618181818</v>
      </c>
      <c r="S73" s="16">
        <f ca="1">_xlfn.FLOOR.MATH(R73)*60</f>
        <v>60540</v>
      </c>
      <c r="T73" s="16">
        <f ca="1">8000+IF(C73=1,OFFSET(控制台!$K$599,MATCH(F73,控制台!$B$599:$B$615,0)-1,0),OFFSET(控制台!$K$618,MATCH(F73,控制台!$B$618:$B$636,0)-1,0))</f>
        <v>8020</v>
      </c>
      <c r="U73" s="1">
        <f ca="1">IF(C73=1,OFFSET(控制台!$F$599,MATCH(F73,控制台!$B$599:$B$615,0)-1,0),OFFSET(控制台!$F$618,MATCH(F73,控制台!$B$618:$B$636,0)-1,0))</f>
        <v>21150.72</v>
      </c>
      <c r="V73" s="1">
        <f ca="1">IF(E73=1,U73/G73,IF(E73=5,U73/G73*OFFSET(控制台!$D$641,MATCH(B73,控制台!$B$641:$B$645,0)-1,0),U73/G73*OFFSET(控制台!$H$641,MATCH(B73,控制台!$F$641:$F$650,0)-1,0)))</f>
        <v>721.047272727272</v>
      </c>
      <c r="W73" s="20">
        <f ca="1" t="shared" si="4"/>
        <v>0.500727272727273</v>
      </c>
      <c r="X73" s="15">
        <f ca="1">IF(C73=1,OFFSET(控制台!$U$599,MATCH(F73,控制台!$B$599:$B$615,0)-1,0),OFFSET(控制台!$U$618,MATCH(F73,控制台!$B$618:$B$636,0)-1,0))</f>
        <v>62145</v>
      </c>
      <c r="Y73" s="16">
        <f ca="1">_xlfn.FLOOR.MATH(IF(E73=1,X73/G73,IF(E73=5,X73/G73*OFFSET(控制台!$D$641,MATCH(B73,控制台!$B$641:$B$645,0)-1,0),X73/G73*OFFSET(控制台!$H$641,MATCH(B73,控制台!$F$641:$F$650,0)-1,0))))</f>
        <v>2118</v>
      </c>
      <c r="Z73" s="16">
        <f ca="1" t="shared" si="5"/>
        <v>5646</v>
      </c>
    </row>
    <row r="74" spans="1:26">
      <c r="A74" s="1">
        <v>11101</v>
      </c>
      <c r="B74" s="1">
        <v>7</v>
      </c>
      <c r="C74" s="1">
        <v>1</v>
      </c>
      <c r="D74" s="1" t="s">
        <v>2792</v>
      </c>
      <c r="E74" s="1">
        <f ca="1">IF(C74=1,OFFSET(控制台!$F$552,MATCH(A74,控制台!$B$552:$B$580,0)-1,0),OFFSET(控制台!$L$552,MATCH(A74,控制台!$H$552:$H$594,0)-1,0))</f>
        <v>10</v>
      </c>
      <c r="F74" s="1">
        <f ca="1">IF(C74=1,OFFSET(控制台!$D$552,MATCH(A74,控制台!$B$552:$B$580,0)-1,0),OFFSET(控制台!$J$552,MATCH(A74,控制台!$H$552:$H$594,0)-1,0))</f>
        <v>11</v>
      </c>
      <c r="G74" s="1">
        <f ca="1">IF(C74=1,OFFSET(控制台!$I$599,MATCH(F74,控制台!$B$599:$B$615,0)-1,0),OFFSET(控制台!$I$618,MATCH(F74,控制台!$B$618:$B$636,0)-1,0))</f>
        <v>2</v>
      </c>
      <c r="H74" s="1">
        <f ca="1">IF(C74=1,OFFSET(控制台!$D$599,MATCH(F74,控制台!$B$599:$B$615,0)-1,0),OFFSET(控制台!$D$618,MATCH(F74,控制台!$B$618:$B$636,0)-1,0))</f>
        <v>22896000</v>
      </c>
      <c r="I74" s="1">
        <f ca="1">IF(E74=1,H74/G74,IF(E74=5,H74/G74*OFFSET(控制台!$D$641,MATCH(B74,控制台!$B$641:$B$645,0)-1,0),H74/G74*OFFSET(控制台!$H$641,MATCH(B74,控制台!$F$641:$F$650,0)-1,0)))</f>
        <v>1040727.27272727</v>
      </c>
      <c r="J74" s="1">
        <f ca="1">$I74/3*控制台!H$102</f>
        <v>346909.090909091</v>
      </c>
      <c r="K74" s="1">
        <f ca="1">$I74/3*控制台!I$102</f>
        <v>260181.818181818</v>
      </c>
      <c r="L74" s="1">
        <f ca="1">$I74/3*控制台!J$102</f>
        <v>433636.363636364</v>
      </c>
      <c r="M74" s="1">
        <f ca="1">_xlfn.FLOOR.MATH(J74,POWER(10,MAX(2,INT(LOG10(J74)-2))))</f>
        <v>346000</v>
      </c>
      <c r="N74" s="1">
        <f ca="1">_xlfn.FLOOR.MATH(K74,POWER(10,MAX(2,INT(LOG10(K74)-2))))</f>
        <v>260000</v>
      </c>
      <c r="O74" s="1">
        <f ca="1">_xlfn.FLOOR.MATH(L74,POWER(10,MAX(2,INT(LOG10(L74)-2))))</f>
        <v>433000</v>
      </c>
      <c r="P74" s="4" t="str">
        <f ca="1" t="shared" si="3"/>
        <v>346000;260000;433000</v>
      </c>
      <c r="Q74" s="15">
        <f ca="1">IF(C74=1,OFFSET(控制台!$H$599,MATCH(F74,控制台!$B$599:$B$615,0)-1,0),OFFSET(控制台!$H$618,MATCH(F74,控制台!$B$618:$B$636,0)-1,0))</f>
        <v>29611.008</v>
      </c>
      <c r="R74" s="15">
        <f ca="1">IF(E74=1,Q74/G74,IF(E74=5,Q74/G74*OFFSET(控制台!$D$641,MATCH(B74,控制台!$B$641:$B$645,0)-1,0),Q74/G74*OFFSET(控制台!$H$641,MATCH(B74,控制台!$F$641:$F$650,0)-1,0)))</f>
        <v>1345.95490909091</v>
      </c>
      <c r="S74" s="16">
        <f ca="1">_xlfn.FLOOR.MATH(R74)*60</f>
        <v>80700</v>
      </c>
      <c r="T74" s="16">
        <f ca="1">8000+IF(C74=1,OFFSET(控制台!$K$599,MATCH(F74,控制台!$B$599:$B$615,0)-1,0),OFFSET(控制台!$K$618,MATCH(F74,控制台!$B$618:$B$636,0)-1,0))</f>
        <v>8020</v>
      </c>
      <c r="U74" s="1">
        <f ca="1">IF(C74=1,OFFSET(控制台!$F$599,MATCH(F74,控制台!$B$599:$B$615,0)-1,0),OFFSET(控制台!$F$618,MATCH(F74,控制台!$B$618:$B$636,0)-1,0))</f>
        <v>21150.72</v>
      </c>
      <c r="V74" s="1">
        <f ca="1">IF(E74=1,U74/G74,IF(E74=5,U74/G74*OFFSET(控制台!$D$641,MATCH(B74,控制台!$B$641:$B$645,0)-1,0),U74/G74*OFFSET(控制台!$H$641,MATCH(B74,控制台!$F$641:$F$650,0)-1,0)))</f>
        <v>961.396363636363</v>
      </c>
      <c r="W74" s="20">
        <f ca="1" t="shared" si="4"/>
        <v>0.667636363636363</v>
      </c>
      <c r="X74" s="15">
        <f ca="1">IF(C74=1,OFFSET(控制台!$U$599,MATCH(F74,控制台!$B$599:$B$615,0)-1,0),OFFSET(控制台!$U$618,MATCH(F74,控制台!$B$618:$B$636,0)-1,0))</f>
        <v>62145</v>
      </c>
      <c r="Y74" s="16">
        <f ca="1">_xlfn.FLOOR.MATH(IF(E74=1,X74/G74,IF(E74=5,X74/G74*OFFSET(控制台!$D$641,MATCH(B74,控制台!$B$641:$B$645,0)-1,0),X74/G74*OFFSET(控制台!$H$641,MATCH(B74,控制台!$F$641:$F$650,0)-1,0))))</f>
        <v>2824</v>
      </c>
      <c r="Z74" s="16">
        <f ca="1" t="shared" si="5"/>
        <v>8470</v>
      </c>
    </row>
    <row r="75" spans="1:26">
      <c r="A75" s="1">
        <v>11101</v>
      </c>
      <c r="B75" s="1">
        <v>8</v>
      </c>
      <c r="C75" s="1">
        <v>1</v>
      </c>
      <c r="D75" s="1" t="s">
        <v>2792</v>
      </c>
      <c r="E75" s="1">
        <f ca="1">IF(C75=1,OFFSET(控制台!$F$552,MATCH(A75,控制台!$B$552:$B$580,0)-1,0),OFFSET(控制台!$L$552,MATCH(A75,控制台!$H$552:$H$594,0)-1,0))</f>
        <v>10</v>
      </c>
      <c r="F75" s="1">
        <f ca="1">IF(C75=1,OFFSET(控制台!$D$552,MATCH(A75,控制台!$B$552:$B$580,0)-1,0),OFFSET(控制台!$J$552,MATCH(A75,控制台!$H$552:$H$594,0)-1,0))</f>
        <v>11</v>
      </c>
      <c r="G75" s="1">
        <f ca="1">IF(C75=1,OFFSET(控制台!$I$599,MATCH(F75,控制台!$B$599:$B$615,0)-1,0),OFFSET(控制台!$I$618,MATCH(F75,控制台!$B$618:$B$636,0)-1,0))</f>
        <v>2</v>
      </c>
      <c r="H75" s="1">
        <f ca="1">IF(C75=1,OFFSET(控制台!$D$599,MATCH(F75,控制台!$B$599:$B$615,0)-1,0),OFFSET(控制台!$D$618,MATCH(F75,控制台!$B$618:$B$636,0)-1,0))</f>
        <v>22896000</v>
      </c>
      <c r="I75" s="1">
        <f ca="1">IF(E75=1,H75/G75,IF(E75=5,H75/G75*OFFSET(控制台!$D$641,MATCH(B75,控制台!$B$641:$B$645,0)-1,0),H75/G75*OFFSET(控制台!$H$641,MATCH(B75,控制台!$F$641:$F$650,0)-1,0)))</f>
        <v>1561090.9090909</v>
      </c>
      <c r="J75" s="1">
        <f ca="1">$I75/3*控制台!H$102</f>
        <v>520363.636363635</v>
      </c>
      <c r="K75" s="1">
        <f ca="1">$I75/3*控制台!I$102</f>
        <v>390272.727272726</v>
      </c>
      <c r="L75" s="1">
        <f ca="1">$I75/3*控制台!J$102</f>
        <v>650454.545454544</v>
      </c>
      <c r="M75" s="1">
        <f ca="1">_xlfn.FLOOR.MATH(J75,POWER(10,MAX(2,INT(LOG10(J75)-2))))</f>
        <v>520000</v>
      </c>
      <c r="N75" s="1">
        <f ca="1">_xlfn.FLOOR.MATH(K75,POWER(10,MAX(2,INT(LOG10(K75)-2))))</f>
        <v>390000</v>
      </c>
      <c r="O75" s="1">
        <f ca="1">_xlfn.FLOOR.MATH(L75,POWER(10,MAX(2,INT(LOG10(L75)-2))))</f>
        <v>650000</v>
      </c>
      <c r="P75" s="4" t="str">
        <f ca="1" t="shared" si="3"/>
        <v>520000;390000;650000</v>
      </c>
      <c r="Q75" s="15">
        <f ca="1">IF(C75=1,OFFSET(控制台!$H$599,MATCH(F75,控制台!$B$599:$B$615,0)-1,0),OFFSET(控制台!$H$618,MATCH(F75,控制台!$B$618:$B$636,0)-1,0))</f>
        <v>29611.008</v>
      </c>
      <c r="R75" s="15">
        <f ca="1">IF(E75=1,Q75/G75,IF(E75=5,Q75/G75*OFFSET(控制台!$D$641,MATCH(B75,控制台!$B$641:$B$645,0)-1,0),Q75/G75*OFFSET(控制台!$H$641,MATCH(B75,控制台!$F$641:$F$650,0)-1,0)))</f>
        <v>2018.93236363636</v>
      </c>
      <c r="S75" s="16">
        <f ca="1">_xlfn.FLOOR.MATH(R75)*60</f>
        <v>121080</v>
      </c>
      <c r="T75" s="16">
        <f ca="1">8000+IF(C75=1,OFFSET(控制台!$K$599,MATCH(F75,控制台!$B$599:$B$615,0)-1,0),OFFSET(控制台!$K$618,MATCH(F75,控制台!$B$618:$B$636,0)-1,0))</f>
        <v>8020</v>
      </c>
      <c r="U75" s="1">
        <f ca="1">IF(C75=1,OFFSET(控制台!$F$599,MATCH(F75,控制台!$B$599:$B$615,0)-1,0),OFFSET(控制台!$F$618,MATCH(F75,控制台!$B$618:$B$636,0)-1,0))</f>
        <v>21150.72</v>
      </c>
      <c r="V75" s="1">
        <f ca="1">IF(E75=1,U75/G75,IF(E75=5,U75/G75*OFFSET(控制台!$D$641,MATCH(B75,控制台!$B$641:$B$645,0)-1,0),U75/G75*OFFSET(控制台!$H$641,MATCH(B75,控制台!$F$641:$F$650,0)-1,0)))</f>
        <v>1442.09454545454</v>
      </c>
      <c r="W75" s="20">
        <f ca="1" t="shared" si="4"/>
        <v>1.00145454545454</v>
      </c>
      <c r="X75" s="15">
        <f ca="1">IF(C75=1,OFFSET(控制台!$U$599,MATCH(F75,控制台!$B$599:$B$615,0)-1,0),OFFSET(控制台!$U$618,MATCH(F75,控制台!$B$618:$B$636,0)-1,0))</f>
        <v>62145</v>
      </c>
      <c r="Y75" s="16">
        <f ca="1">_xlfn.FLOOR.MATH(IF(E75=1,X75/G75,IF(E75=5,X75/G75*OFFSET(控制台!$D$641,MATCH(B75,控制台!$B$641:$B$645,0)-1,0),X75/G75*OFFSET(控制台!$H$641,MATCH(B75,控制台!$F$641:$F$650,0)-1,0))))</f>
        <v>4237</v>
      </c>
      <c r="Z75" s="16">
        <f ca="1" t="shared" si="5"/>
        <v>12707</v>
      </c>
    </row>
    <row r="76" spans="1:26">
      <c r="A76" s="1">
        <v>11101</v>
      </c>
      <c r="B76" s="1">
        <v>9</v>
      </c>
      <c r="C76" s="1">
        <v>1</v>
      </c>
      <c r="D76" s="1" t="s">
        <v>2792</v>
      </c>
      <c r="E76" s="1">
        <f ca="1">IF(C76=1,OFFSET(控制台!$F$552,MATCH(A76,控制台!$B$552:$B$580,0)-1,0),OFFSET(控制台!$L$552,MATCH(A76,控制台!$H$552:$H$594,0)-1,0))</f>
        <v>10</v>
      </c>
      <c r="F76" s="1">
        <f ca="1">IF(C76=1,OFFSET(控制台!$D$552,MATCH(A76,控制台!$B$552:$B$580,0)-1,0),OFFSET(控制台!$J$552,MATCH(A76,控制台!$H$552:$H$594,0)-1,0))</f>
        <v>11</v>
      </c>
      <c r="G76" s="1">
        <f ca="1">IF(C76=1,OFFSET(控制台!$I$599,MATCH(F76,控制台!$B$599:$B$615,0)-1,0),OFFSET(控制台!$I$618,MATCH(F76,控制台!$B$618:$B$636,0)-1,0))</f>
        <v>2</v>
      </c>
      <c r="H76" s="1">
        <f ca="1">IF(C76=1,OFFSET(控制台!$D$599,MATCH(F76,控制台!$B$599:$B$615,0)-1,0),OFFSET(控制台!$D$618,MATCH(F76,控制台!$B$618:$B$636,0)-1,0))</f>
        <v>22896000</v>
      </c>
      <c r="I76" s="1">
        <f ca="1">IF(E76=1,H76/G76,IF(E76=5,H76/G76*OFFSET(控制台!$D$641,MATCH(B76,控制台!$B$641:$B$645,0)-1,0),H76/G76*OFFSET(控制台!$H$641,MATCH(B76,控制台!$F$641:$F$650,0)-1,0)))</f>
        <v>2601818.18181818</v>
      </c>
      <c r="J76" s="1">
        <f ca="1">$I76/3*控制台!H$102</f>
        <v>867272.727272726</v>
      </c>
      <c r="K76" s="1">
        <f ca="1">$I76/3*控制台!I$102</f>
        <v>650454.545454545</v>
      </c>
      <c r="L76" s="1">
        <f ca="1">$I76/3*控制台!J$102</f>
        <v>1084090.90909091</v>
      </c>
      <c r="M76" s="1">
        <f ca="1">_xlfn.FLOOR.MATH(J76,POWER(10,MAX(2,INT(LOG10(J76)-2))))</f>
        <v>867000</v>
      </c>
      <c r="N76" s="1">
        <f ca="1">_xlfn.FLOOR.MATH(K76,POWER(10,MAX(2,INT(LOG10(K76)-2))))</f>
        <v>650000</v>
      </c>
      <c r="O76" s="1">
        <f ca="1">_xlfn.FLOOR.MATH(L76,POWER(10,MAX(2,INT(LOG10(L76)-2))))</f>
        <v>1080000</v>
      </c>
      <c r="P76" s="4" t="str">
        <f ca="1" t="shared" si="3"/>
        <v>867000;650000;1080000</v>
      </c>
      <c r="Q76" s="15">
        <f ca="1">IF(C76=1,OFFSET(控制台!$H$599,MATCH(F76,控制台!$B$599:$B$615,0)-1,0),OFFSET(控制台!$H$618,MATCH(F76,控制台!$B$618:$B$636,0)-1,0))</f>
        <v>29611.008</v>
      </c>
      <c r="R76" s="15">
        <f ca="1">IF(E76=1,Q76/G76,IF(E76=5,Q76/G76*OFFSET(控制台!$D$641,MATCH(B76,控制台!$B$641:$B$645,0)-1,0),Q76/G76*OFFSET(控制台!$H$641,MATCH(B76,控制台!$F$641:$F$650,0)-1,0)))</f>
        <v>3364.88727272727</v>
      </c>
      <c r="S76" s="16">
        <f ca="1">_xlfn.FLOOR.MATH(R76)*60</f>
        <v>201840</v>
      </c>
      <c r="T76" s="16">
        <f ca="1">8000+IF(C76=1,OFFSET(控制台!$K$599,MATCH(F76,控制台!$B$599:$B$615,0)-1,0),OFFSET(控制台!$K$618,MATCH(F76,控制台!$B$618:$B$636,0)-1,0))</f>
        <v>8020</v>
      </c>
      <c r="U76" s="1">
        <f ca="1">IF(C76=1,OFFSET(控制台!$F$599,MATCH(F76,控制台!$B$599:$B$615,0)-1,0),OFFSET(控制台!$F$618,MATCH(F76,控制台!$B$618:$B$636,0)-1,0))</f>
        <v>21150.72</v>
      </c>
      <c r="V76" s="1">
        <f ca="1">IF(E76=1,U76/G76,IF(E76=5,U76/G76*OFFSET(控制台!$D$641,MATCH(B76,控制台!$B$641:$B$645,0)-1,0),U76/G76*OFFSET(控制台!$H$641,MATCH(B76,控制台!$F$641:$F$650,0)-1,0)))</f>
        <v>2403.4909090909</v>
      </c>
      <c r="W76" s="20">
        <f ca="1" t="shared" si="4"/>
        <v>1.66909090909091</v>
      </c>
      <c r="X76" s="15">
        <f ca="1">IF(C76=1,OFFSET(控制台!$U$599,MATCH(F76,控制台!$B$599:$B$615,0)-1,0),OFFSET(控制台!$U$618,MATCH(F76,控制台!$B$618:$B$636,0)-1,0))</f>
        <v>62145</v>
      </c>
      <c r="Y76" s="16">
        <f ca="1">_xlfn.FLOOR.MATH(IF(E76=1,X76/G76,IF(E76=5,X76/G76*OFFSET(控制台!$D$641,MATCH(B76,控制台!$B$641:$B$645,0)-1,0),X76/G76*OFFSET(控制台!$H$641,MATCH(B76,控制台!$F$641:$F$650,0)-1,0))))</f>
        <v>7061</v>
      </c>
      <c r="Z76" s="16">
        <f ca="1" t="shared" si="5"/>
        <v>19768</v>
      </c>
    </row>
    <row r="77" spans="1:26">
      <c r="A77" s="1">
        <v>11101</v>
      </c>
      <c r="B77" s="1">
        <v>10</v>
      </c>
      <c r="C77" s="1">
        <v>1</v>
      </c>
      <c r="D77" s="1" t="s">
        <v>2792</v>
      </c>
      <c r="E77" s="1">
        <f ca="1">IF(C77=1,OFFSET(控制台!$F$552,MATCH(A77,控制台!$B$552:$B$580,0)-1,0),OFFSET(控制台!$L$552,MATCH(A77,控制台!$H$552:$H$594,0)-1,0))</f>
        <v>10</v>
      </c>
      <c r="F77" s="1">
        <f ca="1">IF(C77=1,OFFSET(控制台!$D$552,MATCH(A77,控制台!$B$552:$B$580,0)-1,0),OFFSET(控制台!$J$552,MATCH(A77,控制台!$H$552:$H$594,0)-1,0))</f>
        <v>11</v>
      </c>
      <c r="G77" s="1">
        <f ca="1">IF(C77=1,OFFSET(控制台!$I$599,MATCH(F77,控制台!$B$599:$B$615,0)-1,0),OFFSET(控制台!$I$618,MATCH(F77,控制台!$B$618:$B$636,0)-1,0))</f>
        <v>2</v>
      </c>
      <c r="H77" s="1">
        <f ca="1">IF(C77=1,OFFSET(控制台!$D$599,MATCH(F77,控制台!$B$599:$B$615,0)-1,0),OFFSET(控制台!$D$618,MATCH(F77,控制台!$B$618:$B$636,0)-1,0))</f>
        <v>22896000</v>
      </c>
      <c r="I77" s="1">
        <f ca="1">IF(E77=1,H77/G77,IF(E77=5,H77/G77*OFFSET(控制台!$D$641,MATCH(B77,控制台!$B$641:$B$645,0)-1,0),H77/G77*OFFSET(控制台!$H$641,MATCH(B77,控制台!$F$641:$F$650,0)-1,0)))</f>
        <v>4162909.0909091</v>
      </c>
      <c r="J77" s="1">
        <f ca="1">$I77/3*控制台!H$102</f>
        <v>1387636.36363636</v>
      </c>
      <c r="K77" s="1">
        <f ca="1">$I77/3*控制台!I$102</f>
        <v>1040727.27272727</v>
      </c>
      <c r="L77" s="1">
        <f ca="1">$I77/3*控制台!J$102</f>
        <v>1734545.45454546</v>
      </c>
      <c r="M77" s="1">
        <f ca="1">_xlfn.FLOOR.MATH(J77,POWER(10,MAX(2,INT(LOG10(J77)-2))))</f>
        <v>1380000</v>
      </c>
      <c r="N77" s="1">
        <f ca="1">_xlfn.FLOOR.MATH(K77,POWER(10,MAX(2,INT(LOG10(K77)-2))))</f>
        <v>1040000</v>
      </c>
      <c r="O77" s="1">
        <f ca="1">_xlfn.FLOOR.MATH(L77,POWER(10,MAX(2,INT(LOG10(L77)-2))))</f>
        <v>1730000</v>
      </c>
      <c r="P77" s="4" t="str">
        <f ca="1" t="shared" si="3"/>
        <v>1380000;1040000;1730000</v>
      </c>
      <c r="Q77" s="15">
        <f ca="1">IF(C77=1,OFFSET(控制台!$H$599,MATCH(F77,控制台!$B$599:$B$615,0)-1,0),OFFSET(控制台!$H$618,MATCH(F77,控制台!$B$618:$B$636,0)-1,0))</f>
        <v>29611.008</v>
      </c>
      <c r="R77" s="15">
        <f ca="1">IF(E77=1,Q77/G77,IF(E77=5,Q77/G77*OFFSET(控制台!$D$641,MATCH(B77,控制台!$B$641:$B$645,0)-1,0),Q77/G77*OFFSET(控制台!$H$641,MATCH(B77,控制台!$F$641:$F$650,0)-1,0)))</f>
        <v>5383.81963636364</v>
      </c>
      <c r="S77" s="16">
        <f ca="1">_xlfn.FLOOR.MATH(R77)*60</f>
        <v>322980</v>
      </c>
      <c r="T77" s="16">
        <f ca="1">8000+IF(C77=1,OFFSET(控制台!$K$599,MATCH(F77,控制台!$B$599:$B$615,0)-1,0),OFFSET(控制台!$K$618,MATCH(F77,控制台!$B$618:$B$636,0)-1,0))</f>
        <v>8020</v>
      </c>
      <c r="U77" s="1">
        <f ca="1">IF(C77=1,OFFSET(控制台!$F$599,MATCH(F77,控制台!$B$599:$B$615,0)-1,0),OFFSET(控制台!$F$618,MATCH(F77,控制台!$B$618:$B$636,0)-1,0))</f>
        <v>21150.72</v>
      </c>
      <c r="V77" s="1">
        <f ca="1">IF(E77=1,U77/G77,IF(E77=5,U77/G77*OFFSET(控制台!$D$641,MATCH(B77,控制台!$B$641:$B$645,0)-1,0),U77/G77*OFFSET(控制台!$H$641,MATCH(B77,控制台!$F$641:$F$650,0)-1,0)))</f>
        <v>3845.58545454546</v>
      </c>
      <c r="W77" s="20">
        <f ca="1" t="shared" si="4"/>
        <v>2.67054545454546</v>
      </c>
      <c r="X77" s="15">
        <f ca="1">IF(C77=1,OFFSET(控制台!$U$599,MATCH(F77,控制台!$B$599:$B$615,0)-1,0),OFFSET(控制台!$U$618,MATCH(F77,控制台!$B$618:$B$636,0)-1,0))</f>
        <v>62145</v>
      </c>
      <c r="Y77" s="16">
        <f ca="1">_xlfn.FLOOR.MATH(IF(E77=1,X77/G77,IF(E77=5,X77/G77*OFFSET(控制台!$D$641,MATCH(B77,控制台!$B$641:$B$645,0)-1,0),X77/G77*OFFSET(控制台!$H$641,MATCH(B77,控制台!$F$641:$F$650,0)-1,0))))</f>
        <v>11299</v>
      </c>
      <c r="Z77" s="16">
        <f ca="1" t="shared" si="5"/>
        <v>31067</v>
      </c>
    </row>
    <row r="78" spans="1:26">
      <c r="A78" s="1">
        <v>11103</v>
      </c>
      <c r="B78" s="1">
        <v>1</v>
      </c>
      <c r="C78" s="1">
        <v>1</v>
      </c>
      <c r="D78" s="1" t="s">
        <v>2793</v>
      </c>
      <c r="E78" s="1">
        <f ca="1">IF(C78=1,OFFSET(控制台!$F$552,MATCH(A78,控制台!$B$552:$B$580,0)-1,0),OFFSET(控制台!$L$552,MATCH(A78,控制台!$H$552:$H$594,0)-1,0))</f>
        <v>10</v>
      </c>
      <c r="F78" s="1">
        <f ca="1">IF(C78=1,OFFSET(控制台!$D$552,MATCH(A78,控制台!$B$552:$B$580,0)-1,0),OFFSET(控制台!$J$552,MATCH(A78,控制台!$H$552:$H$594,0)-1,0))</f>
        <v>11</v>
      </c>
      <c r="G78" s="1">
        <f ca="1">IF(C78=1,OFFSET(控制台!$I$599,MATCH(F78,控制台!$B$599:$B$615,0)-1,0),OFFSET(控制台!$I$618,MATCH(F78,控制台!$B$618:$B$636,0)-1,0))</f>
        <v>2</v>
      </c>
      <c r="H78" s="1">
        <f ca="1">IF(C78=1,OFFSET(控制台!$D$599,MATCH(F78,控制台!$B$599:$B$615,0)-1,0),OFFSET(控制台!$D$618,MATCH(F78,控制台!$B$618:$B$636,0)-1,0))</f>
        <v>22896000</v>
      </c>
      <c r="I78" s="1">
        <f ca="1">IF(E78=1,H78/G78,IF(E78=5,H78/G78*OFFSET(控制台!$D$641,MATCH(B78,控制台!$B$641:$B$645,0)-1,0),H78/G78*OFFSET(控制台!$H$641,MATCH(B78,控制台!$F$641:$F$650,0)-1,0)))</f>
        <v>104072.727272727</v>
      </c>
      <c r="J78" s="1">
        <f ca="1">$I78/3*控制台!H$102</f>
        <v>34690.9090909091</v>
      </c>
      <c r="K78" s="1">
        <f ca="1">$I78/3*控制台!I$102</f>
        <v>26018.1818181818</v>
      </c>
      <c r="L78" s="1">
        <f ca="1">$I78/3*控制台!J$102</f>
        <v>43363.6363636364</v>
      </c>
      <c r="M78" s="1">
        <f ca="1">_xlfn.FLOOR.MATH(J78,POWER(10,MAX(2,INT(LOG10(J78)-2))))</f>
        <v>34600</v>
      </c>
      <c r="N78" s="1">
        <f ca="1">_xlfn.FLOOR.MATH(K78,POWER(10,MAX(2,INT(LOG10(K78)-2))))</f>
        <v>26000</v>
      </c>
      <c r="O78" s="1">
        <f ca="1">_xlfn.FLOOR.MATH(L78,POWER(10,MAX(2,INT(LOG10(L78)-2))))</f>
        <v>43300</v>
      </c>
      <c r="P78" s="4" t="str">
        <f ca="1" t="shared" si="3"/>
        <v>34600;26000;43300</v>
      </c>
      <c r="Q78" s="15">
        <f ca="1">IF(C78=1,OFFSET(控制台!$H$599,MATCH(F78,控制台!$B$599:$B$615,0)-1,0),OFFSET(控制台!$H$618,MATCH(F78,控制台!$B$618:$B$636,0)-1,0))</f>
        <v>29611.008</v>
      </c>
      <c r="R78" s="15">
        <f ca="1">IF(E78=1,Q78/G78,IF(E78=5,Q78/G78*OFFSET(控制台!$D$641,MATCH(B78,控制台!$B$641:$B$645,0)-1,0),Q78/G78*OFFSET(控制台!$H$641,MATCH(B78,控制台!$F$641:$F$650,0)-1,0)))</f>
        <v>134.595490909091</v>
      </c>
      <c r="S78" s="16">
        <f ca="1">_xlfn.FLOOR.MATH(R78)*60</f>
        <v>8040</v>
      </c>
      <c r="T78" s="16">
        <f ca="1">8000+IF(C78=1,OFFSET(控制台!$K$599,MATCH(F78,控制台!$B$599:$B$615,0)-1,0),OFFSET(控制台!$K$618,MATCH(F78,控制台!$B$618:$B$636,0)-1,0))</f>
        <v>8020</v>
      </c>
      <c r="U78" s="1">
        <f ca="1">IF(C78=1,OFFSET(控制台!$F$599,MATCH(F78,控制台!$B$599:$B$615,0)-1,0),OFFSET(控制台!$F$618,MATCH(F78,控制台!$B$618:$B$636,0)-1,0))</f>
        <v>21150.72</v>
      </c>
      <c r="V78" s="1">
        <f ca="1">IF(E78=1,U78/G78,IF(E78=5,U78/G78*OFFSET(控制台!$D$641,MATCH(B78,控制台!$B$641:$B$645,0)-1,0),U78/G78*OFFSET(控制台!$H$641,MATCH(B78,控制台!$F$641:$F$650,0)-1,0)))</f>
        <v>96.1396363636363</v>
      </c>
      <c r="W78" s="20">
        <f ca="1" t="shared" si="4"/>
        <v>0.0667636363636363</v>
      </c>
      <c r="X78" s="15">
        <f ca="1">IF(C78=1,OFFSET(控制台!$U$599,MATCH(F78,控制台!$B$599:$B$615,0)-1,0),OFFSET(控制台!$U$618,MATCH(F78,控制台!$B$618:$B$636,0)-1,0))</f>
        <v>62145</v>
      </c>
      <c r="Y78" s="16">
        <f ca="1">_xlfn.FLOOR.MATH(IF(E78=1,X78/G78,IF(E78=5,X78/G78*OFFSET(控制台!$D$641,MATCH(B78,控制台!$B$641:$B$645,0)-1,0),X78/G78*OFFSET(控制台!$H$641,MATCH(B78,控制台!$F$641:$F$650,0)-1,0))))</f>
        <v>282</v>
      </c>
      <c r="Z78" s="16">
        <f ca="1" t="shared" si="5"/>
        <v>282</v>
      </c>
    </row>
    <row r="79" spans="1:26">
      <c r="A79" s="1">
        <v>11103</v>
      </c>
      <c r="B79" s="1">
        <v>2</v>
      </c>
      <c r="C79" s="1">
        <v>1</v>
      </c>
      <c r="D79" s="1" t="s">
        <v>2793</v>
      </c>
      <c r="E79" s="1">
        <f ca="1">IF(C79=1,OFFSET(控制台!$F$552,MATCH(A79,控制台!$B$552:$B$580,0)-1,0),OFFSET(控制台!$L$552,MATCH(A79,控制台!$H$552:$H$594,0)-1,0))</f>
        <v>10</v>
      </c>
      <c r="F79" s="1">
        <f ca="1">IF(C79=1,OFFSET(控制台!$D$552,MATCH(A79,控制台!$B$552:$B$580,0)-1,0),OFFSET(控制台!$J$552,MATCH(A79,控制台!$H$552:$H$594,0)-1,0))</f>
        <v>11</v>
      </c>
      <c r="G79" s="1">
        <f ca="1">IF(C79=1,OFFSET(控制台!$I$599,MATCH(F79,控制台!$B$599:$B$615,0)-1,0),OFFSET(控制台!$I$618,MATCH(F79,控制台!$B$618:$B$636,0)-1,0))</f>
        <v>2</v>
      </c>
      <c r="H79" s="1">
        <f ca="1">IF(C79=1,OFFSET(控制台!$D$599,MATCH(F79,控制台!$B$599:$B$615,0)-1,0),OFFSET(控制台!$D$618,MATCH(F79,控制台!$B$618:$B$636,0)-1,0))</f>
        <v>22896000</v>
      </c>
      <c r="I79" s="1">
        <f ca="1">IF(E79=1,H79/G79,IF(E79=5,H79/G79*OFFSET(控制台!$D$641,MATCH(B79,控制台!$B$641:$B$645,0)-1,0),H79/G79*OFFSET(控制台!$H$641,MATCH(B79,控制台!$F$641:$F$650,0)-1,0)))</f>
        <v>156109.09090909</v>
      </c>
      <c r="J79" s="1">
        <f ca="1">$I79/3*控制台!H$102</f>
        <v>52036.3636363635</v>
      </c>
      <c r="K79" s="1">
        <f ca="1">$I79/3*控制台!I$102</f>
        <v>39027.2727272726</v>
      </c>
      <c r="L79" s="1">
        <f ca="1">$I79/3*控制台!J$102</f>
        <v>65045.4545454544</v>
      </c>
      <c r="M79" s="1">
        <f ca="1">_xlfn.FLOOR.MATH(J79,POWER(10,MAX(2,INT(LOG10(J79)-2))))</f>
        <v>52000</v>
      </c>
      <c r="N79" s="1">
        <f ca="1">_xlfn.FLOOR.MATH(K79,POWER(10,MAX(2,INT(LOG10(K79)-2))))</f>
        <v>39000</v>
      </c>
      <c r="O79" s="1">
        <f ca="1">_xlfn.FLOOR.MATH(L79,POWER(10,MAX(2,INT(LOG10(L79)-2))))</f>
        <v>65000</v>
      </c>
      <c r="P79" s="4" t="str">
        <f ca="1" t="shared" si="3"/>
        <v>52000;39000;65000</v>
      </c>
      <c r="Q79" s="15">
        <f ca="1">IF(C79=1,OFFSET(控制台!$H$599,MATCH(F79,控制台!$B$599:$B$615,0)-1,0),OFFSET(控制台!$H$618,MATCH(F79,控制台!$B$618:$B$636,0)-1,0))</f>
        <v>29611.008</v>
      </c>
      <c r="R79" s="15">
        <f ca="1">IF(E79=1,Q79/G79,IF(E79=5,Q79/G79*OFFSET(控制台!$D$641,MATCH(B79,控制台!$B$641:$B$645,0)-1,0),Q79/G79*OFFSET(控制台!$H$641,MATCH(B79,控制台!$F$641:$F$650,0)-1,0)))</f>
        <v>201.893236363636</v>
      </c>
      <c r="S79" s="16">
        <f ca="1">_xlfn.FLOOR.MATH(R79)*60</f>
        <v>12060</v>
      </c>
      <c r="T79" s="16">
        <f ca="1">8000+IF(C79=1,OFFSET(控制台!$K$599,MATCH(F79,控制台!$B$599:$B$615,0)-1,0),OFFSET(控制台!$K$618,MATCH(F79,控制台!$B$618:$B$636,0)-1,0))</f>
        <v>8020</v>
      </c>
      <c r="U79" s="1">
        <f ca="1">IF(C79=1,OFFSET(控制台!$F$599,MATCH(F79,控制台!$B$599:$B$615,0)-1,0),OFFSET(控制台!$F$618,MATCH(F79,控制台!$B$618:$B$636,0)-1,0))</f>
        <v>21150.72</v>
      </c>
      <c r="V79" s="1">
        <f ca="1">IF(E79=1,U79/G79,IF(E79=5,U79/G79*OFFSET(控制台!$D$641,MATCH(B79,控制台!$B$641:$B$645,0)-1,0),U79/G79*OFFSET(控制台!$H$641,MATCH(B79,控制台!$F$641:$F$650,0)-1,0)))</f>
        <v>144.209454545454</v>
      </c>
      <c r="W79" s="20">
        <f ca="1" t="shared" si="4"/>
        <v>0.100145454545454</v>
      </c>
      <c r="X79" s="15">
        <f ca="1">IF(C79=1,OFFSET(控制台!$U$599,MATCH(F79,控制台!$B$599:$B$615,0)-1,0),OFFSET(控制台!$U$618,MATCH(F79,控制台!$B$618:$B$636,0)-1,0))</f>
        <v>62145</v>
      </c>
      <c r="Y79" s="16">
        <f ca="1">_xlfn.FLOOR.MATH(IF(E79=1,X79/G79,IF(E79=5,X79/G79*OFFSET(控制台!$D$641,MATCH(B79,控制台!$B$641:$B$645,0)-1,0),X79/G79*OFFSET(控制台!$H$641,MATCH(B79,控制台!$F$641:$F$650,0)-1,0))))</f>
        <v>423</v>
      </c>
      <c r="Z79" s="16">
        <f ca="1" t="shared" si="5"/>
        <v>705</v>
      </c>
    </row>
    <row r="80" spans="1:26">
      <c r="A80" s="1">
        <v>11103</v>
      </c>
      <c r="B80" s="1">
        <v>3</v>
      </c>
      <c r="C80" s="1">
        <v>1</v>
      </c>
      <c r="D80" s="1" t="s">
        <v>2793</v>
      </c>
      <c r="E80" s="1">
        <f ca="1">IF(C80=1,OFFSET(控制台!$F$552,MATCH(A80,控制台!$B$552:$B$580,0)-1,0),OFFSET(控制台!$L$552,MATCH(A80,控制台!$H$552:$H$594,0)-1,0))</f>
        <v>10</v>
      </c>
      <c r="F80" s="1">
        <f ca="1">IF(C80=1,OFFSET(控制台!$D$552,MATCH(A80,控制台!$B$552:$B$580,0)-1,0),OFFSET(控制台!$J$552,MATCH(A80,控制台!$H$552:$H$594,0)-1,0))</f>
        <v>11</v>
      </c>
      <c r="G80" s="1">
        <f ca="1">IF(C80=1,OFFSET(控制台!$I$599,MATCH(F80,控制台!$B$599:$B$615,0)-1,0),OFFSET(控制台!$I$618,MATCH(F80,控制台!$B$618:$B$636,0)-1,0))</f>
        <v>2</v>
      </c>
      <c r="H80" s="1">
        <f ca="1">IF(C80=1,OFFSET(控制台!$D$599,MATCH(F80,控制台!$B$599:$B$615,0)-1,0),OFFSET(控制台!$D$618,MATCH(F80,控制台!$B$618:$B$636,0)-1,0))</f>
        <v>22896000</v>
      </c>
      <c r="I80" s="1">
        <f ca="1">IF(E80=1,H80/G80,IF(E80=5,H80/G80*OFFSET(控制台!$D$641,MATCH(B80,控制台!$B$641:$B$645,0)-1,0),H80/G80*OFFSET(控制台!$H$641,MATCH(B80,控制台!$F$641:$F$650,0)-1,0)))</f>
        <v>208145.454545455</v>
      </c>
      <c r="J80" s="1">
        <f ca="1">$I80/3*控制台!H$102</f>
        <v>69381.8181818182</v>
      </c>
      <c r="K80" s="1">
        <f ca="1">$I80/3*控制台!I$102</f>
        <v>52036.3636363637</v>
      </c>
      <c r="L80" s="1">
        <f ca="1">$I80/3*控制台!J$102</f>
        <v>86727.2727272728</v>
      </c>
      <c r="M80" s="1">
        <f ca="1">_xlfn.FLOOR.MATH(J80,POWER(10,MAX(2,INT(LOG10(J80)-2))))</f>
        <v>69300</v>
      </c>
      <c r="N80" s="1">
        <f ca="1">_xlfn.FLOOR.MATH(K80,POWER(10,MAX(2,INT(LOG10(K80)-2))))</f>
        <v>52000</v>
      </c>
      <c r="O80" s="1">
        <f ca="1">_xlfn.FLOOR.MATH(L80,POWER(10,MAX(2,INT(LOG10(L80)-2))))</f>
        <v>86700</v>
      </c>
      <c r="P80" s="4" t="str">
        <f ca="1" t="shared" si="3"/>
        <v>69300;52000;86700</v>
      </c>
      <c r="Q80" s="15">
        <f ca="1">IF(C80=1,OFFSET(控制台!$H$599,MATCH(F80,控制台!$B$599:$B$615,0)-1,0),OFFSET(控制台!$H$618,MATCH(F80,控制台!$B$618:$B$636,0)-1,0))</f>
        <v>29611.008</v>
      </c>
      <c r="R80" s="15">
        <f ca="1">IF(E80=1,Q80/G80,IF(E80=5,Q80/G80*OFFSET(控制台!$D$641,MATCH(B80,控制台!$B$641:$B$645,0)-1,0),Q80/G80*OFFSET(控制台!$H$641,MATCH(B80,控制台!$F$641:$F$650,0)-1,0)))</f>
        <v>269.190981818182</v>
      </c>
      <c r="S80" s="16">
        <f ca="1">_xlfn.FLOOR.MATH(R80)*60</f>
        <v>16140</v>
      </c>
      <c r="T80" s="16">
        <f ca="1">8000+IF(C80=1,OFFSET(控制台!$K$599,MATCH(F80,控制台!$B$599:$B$615,0)-1,0),OFFSET(控制台!$K$618,MATCH(F80,控制台!$B$618:$B$636,0)-1,0))</f>
        <v>8020</v>
      </c>
      <c r="U80" s="1">
        <f ca="1">IF(C80=1,OFFSET(控制台!$F$599,MATCH(F80,控制台!$B$599:$B$615,0)-1,0),OFFSET(控制台!$F$618,MATCH(F80,控制台!$B$618:$B$636,0)-1,0))</f>
        <v>21150.72</v>
      </c>
      <c r="V80" s="1">
        <f ca="1">IF(E80=1,U80/G80,IF(E80=5,U80/G80*OFFSET(控制台!$D$641,MATCH(B80,控制台!$B$641:$B$645,0)-1,0),U80/G80*OFFSET(控制台!$H$641,MATCH(B80,控制台!$F$641:$F$650,0)-1,0)))</f>
        <v>192.279272727273</v>
      </c>
      <c r="W80" s="20">
        <f ca="1" t="shared" si="4"/>
        <v>0.133527272727273</v>
      </c>
      <c r="X80" s="15">
        <f ca="1">IF(C80=1,OFFSET(控制台!$U$599,MATCH(F80,控制台!$B$599:$B$615,0)-1,0),OFFSET(控制台!$U$618,MATCH(F80,控制台!$B$618:$B$636,0)-1,0))</f>
        <v>62145</v>
      </c>
      <c r="Y80" s="16">
        <f ca="1">_xlfn.FLOOR.MATH(IF(E80=1,X80/G80,IF(E80=5,X80/G80*OFFSET(控制台!$D$641,MATCH(B80,控制台!$B$641:$B$645,0)-1,0),X80/G80*OFFSET(控制台!$H$641,MATCH(B80,控制台!$F$641:$F$650,0)-1,0))))</f>
        <v>564</v>
      </c>
      <c r="Z80" s="16">
        <f ca="1" t="shared" si="5"/>
        <v>1269</v>
      </c>
    </row>
    <row r="81" spans="1:26">
      <c r="A81" s="1">
        <v>11103</v>
      </c>
      <c r="B81" s="1">
        <v>4</v>
      </c>
      <c r="C81" s="1">
        <v>1</v>
      </c>
      <c r="D81" s="1" t="s">
        <v>2793</v>
      </c>
      <c r="E81" s="1">
        <f ca="1">IF(C81=1,OFFSET(控制台!$F$552,MATCH(A81,控制台!$B$552:$B$580,0)-1,0),OFFSET(控制台!$L$552,MATCH(A81,控制台!$H$552:$H$594,0)-1,0))</f>
        <v>10</v>
      </c>
      <c r="F81" s="1">
        <f ca="1">IF(C81=1,OFFSET(控制台!$D$552,MATCH(A81,控制台!$B$552:$B$580,0)-1,0),OFFSET(控制台!$J$552,MATCH(A81,控制台!$H$552:$H$594,0)-1,0))</f>
        <v>11</v>
      </c>
      <c r="G81" s="1">
        <f ca="1">IF(C81=1,OFFSET(控制台!$I$599,MATCH(F81,控制台!$B$599:$B$615,0)-1,0),OFFSET(控制台!$I$618,MATCH(F81,控制台!$B$618:$B$636,0)-1,0))</f>
        <v>2</v>
      </c>
      <c r="H81" s="1">
        <f ca="1">IF(C81=1,OFFSET(控制台!$D$599,MATCH(F81,控制台!$B$599:$B$615,0)-1,0),OFFSET(控制台!$D$618,MATCH(F81,控制台!$B$618:$B$636,0)-1,0))</f>
        <v>22896000</v>
      </c>
      <c r="I81" s="1">
        <f ca="1">IF(E81=1,H81/G81,IF(E81=5,H81/G81*OFFSET(控制台!$D$641,MATCH(B81,控制台!$B$641:$B$645,0)-1,0),H81/G81*OFFSET(控制台!$H$641,MATCH(B81,控制台!$F$641:$F$650,0)-1,0)))</f>
        <v>312218.181818182</v>
      </c>
      <c r="J81" s="1">
        <f ca="1">$I81/3*控制台!H$102</f>
        <v>104072.727272727</v>
      </c>
      <c r="K81" s="1">
        <f ca="1">$I81/3*控制台!I$102</f>
        <v>78054.5454545455</v>
      </c>
      <c r="L81" s="1">
        <f ca="1">$I81/3*控制台!J$102</f>
        <v>130090.909090909</v>
      </c>
      <c r="M81" s="1">
        <f ca="1">_xlfn.FLOOR.MATH(J81,POWER(10,MAX(2,INT(LOG10(J81)-2))))</f>
        <v>104000</v>
      </c>
      <c r="N81" s="1">
        <f ca="1">_xlfn.FLOOR.MATH(K81,POWER(10,MAX(2,INT(LOG10(K81)-2))))</f>
        <v>78000</v>
      </c>
      <c r="O81" s="1">
        <f ca="1">_xlfn.FLOOR.MATH(L81,POWER(10,MAX(2,INT(LOG10(L81)-2))))</f>
        <v>130000</v>
      </c>
      <c r="P81" s="4" t="str">
        <f ca="1" t="shared" si="3"/>
        <v>104000;78000;130000</v>
      </c>
      <c r="Q81" s="15">
        <f ca="1">IF(C81=1,OFFSET(控制台!$H$599,MATCH(F81,控制台!$B$599:$B$615,0)-1,0),OFFSET(控制台!$H$618,MATCH(F81,控制台!$B$618:$B$636,0)-1,0))</f>
        <v>29611.008</v>
      </c>
      <c r="R81" s="15">
        <f ca="1">IF(E81=1,Q81/G81,IF(E81=5,Q81/G81*OFFSET(控制台!$D$641,MATCH(B81,控制台!$B$641:$B$645,0)-1,0),Q81/G81*OFFSET(控制台!$H$641,MATCH(B81,控制台!$F$641:$F$650,0)-1,0)))</f>
        <v>403.786472727273</v>
      </c>
      <c r="S81" s="16">
        <f ca="1">_xlfn.FLOOR.MATH(R81)*60</f>
        <v>24180</v>
      </c>
      <c r="T81" s="16">
        <f ca="1">8000+IF(C81=1,OFFSET(控制台!$K$599,MATCH(F81,控制台!$B$599:$B$615,0)-1,0),OFFSET(控制台!$K$618,MATCH(F81,控制台!$B$618:$B$636,0)-1,0))</f>
        <v>8020</v>
      </c>
      <c r="U81" s="1">
        <f ca="1">IF(C81=1,OFFSET(控制台!$F$599,MATCH(F81,控制台!$B$599:$B$615,0)-1,0),OFFSET(控制台!$F$618,MATCH(F81,控制台!$B$618:$B$636,0)-1,0))</f>
        <v>21150.72</v>
      </c>
      <c r="V81" s="1">
        <f ca="1">IF(E81=1,U81/G81,IF(E81=5,U81/G81*OFFSET(控制台!$D$641,MATCH(B81,控制台!$B$641:$B$645,0)-1,0),U81/G81*OFFSET(控制台!$H$641,MATCH(B81,控制台!$F$641:$F$650,0)-1,0)))</f>
        <v>288.418909090909</v>
      </c>
      <c r="W81" s="20">
        <f ca="1" t="shared" si="4"/>
        <v>0.200290909090909</v>
      </c>
      <c r="X81" s="15">
        <f ca="1">IF(C81=1,OFFSET(控制台!$U$599,MATCH(F81,控制台!$B$599:$B$615,0)-1,0),OFFSET(控制台!$U$618,MATCH(F81,控制台!$B$618:$B$636,0)-1,0))</f>
        <v>62145</v>
      </c>
      <c r="Y81" s="16">
        <f ca="1">_xlfn.FLOOR.MATH(IF(E81=1,X81/G81,IF(E81=5,X81/G81*OFFSET(控制台!$D$641,MATCH(B81,控制台!$B$641:$B$645,0)-1,0),X81/G81*OFFSET(控制台!$H$641,MATCH(B81,控制台!$F$641:$F$650,0)-1,0))))</f>
        <v>847</v>
      </c>
      <c r="Z81" s="16">
        <f ca="1" t="shared" si="5"/>
        <v>2116</v>
      </c>
    </row>
    <row r="82" spans="1:26">
      <c r="A82" s="1">
        <v>11103</v>
      </c>
      <c r="B82" s="1">
        <v>5</v>
      </c>
      <c r="C82" s="1">
        <v>1</v>
      </c>
      <c r="D82" s="1" t="s">
        <v>2793</v>
      </c>
      <c r="E82" s="1">
        <f ca="1">IF(C82=1,OFFSET(控制台!$F$552,MATCH(A82,控制台!$B$552:$B$580,0)-1,0),OFFSET(控制台!$L$552,MATCH(A82,控制台!$H$552:$H$594,0)-1,0))</f>
        <v>10</v>
      </c>
      <c r="F82" s="1">
        <f ca="1">IF(C82=1,OFFSET(控制台!$D$552,MATCH(A82,控制台!$B$552:$B$580,0)-1,0),OFFSET(控制台!$J$552,MATCH(A82,控制台!$H$552:$H$594,0)-1,0))</f>
        <v>11</v>
      </c>
      <c r="G82" s="1">
        <f ca="1">IF(C82=1,OFFSET(控制台!$I$599,MATCH(F82,控制台!$B$599:$B$615,0)-1,0),OFFSET(控制台!$I$618,MATCH(F82,控制台!$B$618:$B$636,0)-1,0))</f>
        <v>2</v>
      </c>
      <c r="H82" s="1">
        <f ca="1">IF(C82=1,OFFSET(控制台!$D$599,MATCH(F82,控制台!$B$599:$B$615,0)-1,0),OFFSET(控制台!$D$618,MATCH(F82,控制台!$B$618:$B$636,0)-1,0))</f>
        <v>22896000</v>
      </c>
      <c r="I82" s="1">
        <f ca="1">IF(E82=1,H82/G82,IF(E82=5,H82/G82*OFFSET(控制台!$D$641,MATCH(B82,控制台!$B$641:$B$645,0)-1,0),H82/G82*OFFSET(控制台!$H$641,MATCH(B82,控制台!$F$641:$F$650,0)-1,0)))</f>
        <v>520363.636363637</v>
      </c>
      <c r="J82" s="1">
        <f ca="1">$I82/3*控制台!H$102</f>
        <v>173454.545454546</v>
      </c>
      <c r="K82" s="1">
        <f ca="1">$I82/3*控制台!I$102</f>
        <v>130090.909090909</v>
      </c>
      <c r="L82" s="1">
        <f ca="1">$I82/3*控制台!J$102</f>
        <v>216818.181818182</v>
      </c>
      <c r="M82" s="1">
        <f ca="1">_xlfn.FLOOR.MATH(J82,POWER(10,MAX(2,INT(LOG10(J82)-2))))</f>
        <v>173000</v>
      </c>
      <c r="N82" s="1">
        <f ca="1">_xlfn.FLOOR.MATH(K82,POWER(10,MAX(2,INT(LOG10(K82)-2))))</f>
        <v>130000</v>
      </c>
      <c r="O82" s="1">
        <f ca="1">_xlfn.FLOOR.MATH(L82,POWER(10,MAX(2,INT(LOG10(L82)-2))))</f>
        <v>216000</v>
      </c>
      <c r="P82" s="4" t="str">
        <f ca="1" t="shared" si="3"/>
        <v>173000;130000;216000</v>
      </c>
      <c r="Q82" s="15">
        <f ca="1">IF(C82=1,OFFSET(控制台!$H$599,MATCH(F82,控制台!$B$599:$B$615,0)-1,0),OFFSET(控制台!$H$618,MATCH(F82,控制台!$B$618:$B$636,0)-1,0))</f>
        <v>29611.008</v>
      </c>
      <c r="R82" s="15">
        <f ca="1">IF(E82=1,Q82/G82,IF(E82=5,Q82/G82*OFFSET(控制台!$D$641,MATCH(B82,控制台!$B$641:$B$645,0)-1,0),Q82/G82*OFFSET(控制台!$H$641,MATCH(B82,控制台!$F$641:$F$650,0)-1,0)))</f>
        <v>672.977454545455</v>
      </c>
      <c r="S82" s="16">
        <f ca="1">_xlfn.FLOOR.MATH(R82)*60</f>
        <v>40320</v>
      </c>
      <c r="T82" s="16">
        <f ca="1">8000+IF(C82=1,OFFSET(控制台!$K$599,MATCH(F82,控制台!$B$599:$B$615,0)-1,0),OFFSET(控制台!$K$618,MATCH(F82,控制台!$B$618:$B$636,0)-1,0))</f>
        <v>8020</v>
      </c>
      <c r="U82" s="1">
        <f ca="1">IF(C82=1,OFFSET(控制台!$F$599,MATCH(F82,控制台!$B$599:$B$615,0)-1,0),OFFSET(控制台!$F$618,MATCH(F82,控制台!$B$618:$B$636,0)-1,0))</f>
        <v>21150.72</v>
      </c>
      <c r="V82" s="1">
        <f ca="1">IF(E82=1,U82/G82,IF(E82=5,U82/G82*OFFSET(控制台!$D$641,MATCH(B82,控制台!$B$641:$B$645,0)-1,0),U82/G82*OFFSET(控制台!$H$641,MATCH(B82,控制台!$F$641:$F$650,0)-1,0)))</f>
        <v>480.698181818182</v>
      </c>
      <c r="W82" s="20">
        <f ca="1" t="shared" si="4"/>
        <v>0.333818181818182</v>
      </c>
      <c r="X82" s="15">
        <f ca="1">IF(C82=1,OFFSET(控制台!$U$599,MATCH(F82,控制台!$B$599:$B$615,0)-1,0),OFFSET(控制台!$U$618,MATCH(F82,控制台!$B$618:$B$636,0)-1,0))</f>
        <v>62145</v>
      </c>
      <c r="Y82" s="16">
        <f ca="1">_xlfn.FLOOR.MATH(IF(E82=1,X82/G82,IF(E82=5,X82/G82*OFFSET(控制台!$D$641,MATCH(B82,控制台!$B$641:$B$645,0)-1,0),X82/G82*OFFSET(控制台!$H$641,MATCH(B82,控制台!$F$641:$F$650,0)-1,0))))</f>
        <v>1412</v>
      </c>
      <c r="Z82" s="16">
        <f ca="1" t="shared" si="5"/>
        <v>3528</v>
      </c>
    </row>
    <row r="83" spans="1:26">
      <c r="A83" s="1">
        <v>11103</v>
      </c>
      <c r="B83" s="1">
        <v>6</v>
      </c>
      <c r="C83" s="1">
        <v>1</v>
      </c>
      <c r="D83" s="1" t="s">
        <v>2793</v>
      </c>
      <c r="E83" s="1">
        <f ca="1">IF(C83=1,OFFSET(控制台!$F$552,MATCH(A83,控制台!$B$552:$B$580,0)-1,0),OFFSET(控制台!$L$552,MATCH(A83,控制台!$H$552:$H$594,0)-1,0))</f>
        <v>10</v>
      </c>
      <c r="F83" s="1">
        <f ca="1">IF(C83=1,OFFSET(控制台!$D$552,MATCH(A83,控制台!$B$552:$B$580,0)-1,0),OFFSET(控制台!$J$552,MATCH(A83,控制台!$H$552:$H$594,0)-1,0))</f>
        <v>11</v>
      </c>
      <c r="G83" s="1">
        <f ca="1">IF(C83=1,OFFSET(控制台!$I$599,MATCH(F83,控制台!$B$599:$B$615,0)-1,0),OFFSET(控制台!$I$618,MATCH(F83,控制台!$B$618:$B$636,0)-1,0))</f>
        <v>2</v>
      </c>
      <c r="H83" s="1">
        <f ca="1">IF(C83=1,OFFSET(控制台!$D$599,MATCH(F83,控制台!$B$599:$B$615,0)-1,0),OFFSET(控制台!$D$618,MATCH(F83,控制台!$B$618:$B$636,0)-1,0))</f>
        <v>22896000</v>
      </c>
      <c r="I83" s="1">
        <f ca="1">IF(E83=1,H83/G83,IF(E83=5,H83/G83*OFFSET(控制台!$D$641,MATCH(B83,控制台!$B$641:$B$645,0)-1,0),H83/G83*OFFSET(控制台!$H$641,MATCH(B83,控制台!$F$641:$F$650,0)-1,0)))</f>
        <v>780545.454545455</v>
      </c>
      <c r="J83" s="1">
        <f ca="1">$I83/3*控制台!H$102</f>
        <v>260181.818181818</v>
      </c>
      <c r="K83" s="1">
        <f ca="1">$I83/3*控制台!I$102</f>
        <v>195136.363636364</v>
      </c>
      <c r="L83" s="1">
        <f ca="1">$I83/3*控制台!J$102</f>
        <v>325227.272727273</v>
      </c>
      <c r="M83" s="1">
        <f ca="1">_xlfn.FLOOR.MATH(J83,POWER(10,MAX(2,INT(LOG10(J83)-2))))</f>
        <v>260000</v>
      </c>
      <c r="N83" s="1">
        <f ca="1">_xlfn.FLOOR.MATH(K83,POWER(10,MAX(2,INT(LOG10(K83)-2))))</f>
        <v>195000</v>
      </c>
      <c r="O83" s="1">
        <f ca="1">_xlfn.FLOOR.MATH(L83,POWER(10,MAX(2,INT(LOG10(L83)-2))))</f>
        <v>325000</v>
      </c>
      <c r="P83" s="4" t="str">
        <f ca="1" t="shared" si="3"/>
        <v>260000;195000;325000</v>
      </c>
      <c r="Q83" s="15">
        <f ca="1">IF(C83=1,OFFSET(控制台!$H$599,MATCH(F83,控制台!$B$599:$B$615,0)-1,0),OFFSET(控制台!$H$618,MATCH(F83,控制台!$B$618:$B$636,0)-1,0))</f>
        <v>29611.008</v>
      </c>
      <c r="R83" s="15">
        <f ca="1">IF(E83=1,Q83/G83,IF(E83=5,Q83/G83*OFFSET(控制台!$D$641,MATCH(B83,控制台!$B$641:$B$645,0)-1,0),Q83/G83*OFFSET(控制台!$H$641,MATCH(B83,控制台!$F$641:$F$650,0)-1,0)))</f>
        <v>1009.46618181818</v>
      </c>
      <c r="S83" s="16">
        <f ca="1">_xlfn.FLOOR.MATH(R83)*60</f>
        <v>60540</v>
      </c>
      <c r="T83" s="16">
        <f ca="1">8000+IF(C83=1,OFFSET(控制台!$K$599,MATCH(F83,控制台!$B$599:$B$615,0)-1,0),OFFSET(控制台!$K$618,MATCH(F83,控制台!$B$618:$B$636,0)-1,0))</f>
        <v>8020</v>
      </c>
      <c r="U83" s="1">
        <f ca="1">IF(C83=1,OFFSET(控制台!$F$599,MATCH(F83,控制台!$B$599:$B$615,0)-1,0),OFFSET(控制台!$F$618,MATCH(F83,控制台!$B$618:$B$636,0)-1,0))</f>
        <v>21150.72</v>
      </c>
      <c r="V83" s="1">
        <f ca="1">IF(E83=1,U83/G83,IF(E83=5,U83/G83*OFFSET(控制台!$D$641,MATCH(B83,控制台!$B$641:$B$645,0)-1,0),U83/G83*OFFSET(控制台!$H$641,MATCH(B83,控制台!$F$641:$F$650,0)-1,0)))</f>
        <v>721.047272727272</v>
      </c>
      <c r="W83" s="20">
        <f ca="1" t="shared" si="4"/>
        <v>0.500727272727273</v>
      </c>
      <c r="X83" s="15">
        <f ca="1">IF(C83=1,OFFSET(控制台!$U$599,MATCH(F83,控制台!$B$599:$B$615,0)-1,0),OFFSET(控制台!$U$618,MATCH(F83,控制台!$B$618:$B$636,0)-1,0))</f>
        <v>62145</v>
      </c>
      <c r="Y83" s="16">
        <f ca="1">_xlfn.FLOOR.MATH(IF(E83=1,X83/G83,IF(E83=5,X83/G83*OFFSET(控制台!$D$641,MATCH(B83,控制台!$B$641:$B$645,0)-1,0),X83/G83*OFFSET(控制台!$H$641,MATCH(B83,控制台!$F$641:$F$650,0)-1,0))))</f>
        <v>2118</v>
      </c>
      <c r="Z83" s="16">
        <f ca="1" t="shared" si="5"/>
        <v>5646</v>
      </c>
    </row>
    <row r="84" spans="1:26">
      <c r="A84" s="1">
        <v>11103</v>
      </c>
      <c r="B84" s="1">
        <v>7</v>
      </c>
      <c r="C84" s="1">
        <v>1</v>
      </c>
      <c r="D84" s="1" t="s">
        <v>2793</v>
      </c>
      <c r="E84" s="1">
        <f ca="1">IF(C84=1,OFFSET(控制台!$F$552,MATCH(A84,控制台!$B$552:$B$580,0)-1,0),OFFSET(控制台!$L$552,MATCH(A84,控制台!$H$552:$H$594,0)-1,0))</f>
        <v>10</v>
      </c>
      <c r="F84" s="1">
        <f ca="1">IF(C84=1,OFFSET(控制台!$D$552,MATCH(A84,控制台!$B$552:$B$580,0)-1,0),OFFSET(控制台!$J$552,MATCH(A84,控制台!$H$552:$H$594,0)-1,0))</f>
        <v>11</v>
      </c>
      <c r="G84" s="1">
        <f ca="1">IF(C84=1,OFFSET(控制台!$I$599,MATCH(F84,控制台!$B$599:$B$615,0)-1,0),OFFSET(控制台!$I$618,MATCH(F84,控制台!$B$618:$B$636,0)-1,0))</f>
        <v>2</v>
      </c>
      <c r="H84" s="1">
        <f ca="1">IF(C84=1,OFFSET(控制台!$D$599,MATCH(F84,控制台!$B$599:$B$615,0)-1,0),OFFSET(控制台!$D$618,MATCH(F84,控制台!$B$618:$B$636,0)-1,0))</f>
        <v>22896000</v>
      </c>
      <c r="I84" s="1">
        <f ca="1">IF(E84=1,H84/G84,IF(E84=5,H84/G84*OFFSET(控制台!$D$641,MATCH(B84,控制台!$B$641:$B$645,0)-1,0),H84/G84*OFFSET(控制台!$H$641,MATCH(B84,控制台!$F$641:$F$650,0)-1,0)))</f>
        <v>1040727.27272727</v>
      </c>
      <c r="J84" s="1">
        <f ca="1">$I84/3*控制台!H$102</f>
        <v>346909.090909091</v>
      </c>
      <c r="K84" s="1">
        <f ca="1">$I84/3*控制台!I$102</f>
        <v>260181.818181818</v>
      </c>
      <c r="L84" s="1">
        <f ca="1">$I84/3*控制台!J$102</f>
        <v>433636.363636364</v>
      </c>
      <c r="M84" s="1">
        <f ca="1">_xlfn.FLOOR.MATH(J84,POWER(10,MAX(2,INT(LOG10(J84)-2))))</f>
        <v>346000</v>
      </c>
      <c r="N84" s="1">
        <f ca="1">_xlfn.FLOOR.MATH(K84,POWER(10,MAX(2,INT(LOG10(K84)-2))))</f>
        <v>260000</v>
      </c>
      <c r="O84" s="1">
        <f ca="1">_xlfn.FLOOR.MATH(L84,POWER(10,MAX(2,INT(LOG10(L84)-2))))</f>
        <v>433000</v>
      </c>
      <c r="P84" s="4" t="str">
        <f ca="1" t="shared" si="3"/>
        <v>346000;260000;433000</v>
      </c>
      <c r="Q84" s="15">
        <f ca="1">IF(C84=1,OFFSET(控制台!$H$599,MATCH(F84,控制台!$B$599:$B$615,0)-1,0),OFFSET(控制台!$H$618,MATCH(F84,控制台!$B$618:$B$636,0)-1,0))</f>
        <v>29611.008</v>
      </c>
      <c r="R84" s="15">
        <f ca="1">IF(E84=1,Q84/G84,IF(E84=5,Q84/G84*OFFSET(控制台!$D$641,MATCH(B84,控制台!$B$641:$B$645,0)-1,0),Q84/G84*OFFSET(控制台!$H$641,MATCH(B84,控制台!$F$641:$F$650,0)-1,0)))</f>
        <v>1345.95490909091</v>
      </c>
      <c r="S84" s="16">
        <f ca="1">_xlfn.FLOOR.MATH(R84)*60</f>
        <v>80700</v>
      </c>
      <c r="T84" s="16">
        <f ca="1">8000+IF(C84=1,OFFSET(控制台!$K$599,MATCH(F84,控制台!$B$599:$B$615,0)-1,0),OFFSET(控制台!$K$618,MATCH(F84,控制台!$B$618:$B$636,0)-1,0))</f>
        <v>8020</v>
      </c>
      <c r="U84" s="1">
        <f ca="1">IF(C84=1,OFFSET(控制台!$F$599,MATCH(F84,控制台!$B$599:$B$615,0)-1,0),OFFSET(控制台!$F$618,MATCH(F84,控制台!$B$618:$B$636,0)-1,0))</f>
        <v>21150.72</v>
      </c>
      <c r="V84" s="1">
        <f ca="1">IF(E84=1,U84/G84,IF(E84=5,U84/G84*OFFSET(控制台!$D$641,MATCH(B84,控制台!$B$641:$B$645,0)-1,0),U84/G84*OFFSET(控制台!$H$641,MATCH(B84,控制台!$F$641:$F$650,0)-1,0)))</f>
        <v>961.396363636363</v>
      </c>
      <c r="W84" s="20">
        <f ca="1" t="shared" si="4"/>
        <v>0.667636363636363</v>
      </c>
      <c r="X84" s="15">
        <f ca="1">IF(C84=1,OFFSET(控制台!$U$599,MATCH(F84,控制台!$B$599:$B$615,0)-1,0),OFFSET(控制台!$U$618,MATCH(F84,控制台!$B$618:$B$636,0)-1,0))</f>
        <v>62145</v>
      </c>
      <c r="Y84" s="16">
        <f ca="1">_xlfn.FLOOR.MATH(IF(E84=1,X84/G84,IF(E84=5,X84/G84*OFFSET(控制台!$D$641,MATCH(B84,控制台!$B$641:$B$645,0)-1,0),X84/G84*OFFSET(控制台!$H$641,MATCH(B84,控制台!$F$641:$F$650,0)-1,0))))</f>
        <v>2824</v>
      </c>
      <c r="Z84" s="16">
        <f ca="1" t="shared" si="5"/>
        <v>8470</v>
      </c>
    </row>
    <row r="85" spans="1:26">
      <c r="A85" s="1">
        <v>11103</v>
      </c>
      <c r="B85" s="1">
        <v>8</v>
      </c>
      <c r="C85" s="1">
        <v>1</v>
      </c>
      <c r="D85" s="1" t="s">
        <v>2793</v>
      </c>
      <c r="E85" s="1">
        <f ca="1">IF(C85=1,OFFSET(控制台!$F$552,MATCH(A85,控制台!$B$552:$B$580,0)-1,0),OFFSET(控制台!$L$552,MATCH(A85,控制台!$H$552:$H$594,0)-1,0))</f>
        <v>10</v>
      </c>
      <c r="F85" s="1">
        <f ca="1">IF(C85=1,OFFSET(控制台!$D$552,MATCH(A85,控制台!$B$552:$B$580,0)-1,0),OFFSET(控制台!$J$552,MATCH(A85,控制台!$H$552:$H$594,0)-1,0))</f>
        <v>11</v>
      </c>
      <c r="G85" s="1">
        <f ca="1">IF(C85=1,OFFSET(控制台!$I$599,MATCH(F85,控制台!$B$599:$B$615,0)-1,0),OFFSET(控制台!$I$618,MATCH(F85,控制台!$B$618:$B$636,0)-1,0))</f>
        <v>2</v>
      </c>
      <c r="H85" s="1">
        <f ca="1">IF(C85=1,OFFSET(控制台!$D$599,MATCH(F85,控制台!$B$599:$B$615,0)-1,0),OFFSET(控制台!$D$618,MATCH(F85,控制台!$B$618:$B$636,0)-1,0))</f>
        <v>22896000</v>
      </c>
      <c r="I85" s="1">
        <f ca="1">IF(E85=1,H85/G85,IF(E85=5,H85/G85*OFFSET(控制台!$D$641,MATCH(B85,控制台!$B$641:$B$645,0)-1,0),H85/G85*OFFSET(控制台!$H$641,MATCH(B85,控制台!$F$641:$F$650,0)-1,0)))</f>
        <v>1561090.9090909</v>
      </c>
      <c r="J85" s="1">
        <f ca="1">$I85/3*控制台!H$102</f>
        <v>520363.636363635</v>
      </c>
      <c r="K85" s="1">
        <f ca="1">$I85/3*控制台!I$102</f>
        <v>390272.727272726</v>
      </c>
      <c r="L85" s="1">
        <f ca="1">$I85/3*控制台!J$102</f>
        <v>650454.545454544</v>
      </c>
      <c r="M85" s="1">
        <f ca="1">_xlfn.FLOOR.MATH(J85,POWER(10,MAX(2,INT(LOG10(J85)-2))))</f>
        <v>520000</v>
      </c>
      <c r="N85" s="1">
        <f ca="1">_xlfn.FLOOR.MATH(K85,POWER(10,MAX(2,INT(LOG10(K85)-2))))</f>
        <v>390000</v>
      </c>
      <c r="O85" s="1">
        <f ca="1">_xlfn.FLOOR.MATH(L85,POWER(10,MAX(2,INT(LOG10(L85)-2))))</f>
        <v>650000</v>
      </c>
      <c r="P85" s="4" t="str">
        <f ca="1" t="shared" si="3"/>
        <v>520000;390000;650000</v>
      </c>
      <c r="Q85" s="15">
        <f ca="1">IF(C85=1,OFFSET(控制台!$H$599,MATCH(F85,控制台!$B$599:$B$615,0)-1,0),OFFSET(控制台!$H$618,MATCH(F85,控制台!$B$618:$B$636,0)-1,0))</f>
        <v>29611.008</v>
      </c>
      <c r="R85" s="15">
        <f ca="1">IF(E85=1,Q85/G85,IF(E85=5,Q85/G85*OFFSET(控制台!$D$641,MATCH(B85,控制台!$B$641:$B$645,0)-1,0),Q85/G85*OFFSET(控制台!$H$641,MATCH(B85,控制台!$F$641:$F$650,0)-1,0)))</f>
        <v>2018.93236363636</v>
      </c>
      <c r="S85" s="16">
        <f ca="1">_xlfn.FLOOR.MATH(R85)*60</f>
        <v>121080</v>
      </c>
      <c r="T85" s="16">
        <f ca="1">8000+IF(C85=1,OFFSET(控制台!$K$599,MATCH(F85,控制台!$B$599:$B$615,0)-1,0),OFFSET(控制台!$K$618,MATCH(F85,控制台!$B$618:$B$636,0)-1,0))</f>
        <v>8020</v>
      </c>
      <c r="U85" s="1">
        <f ca="1">IF(C85=1,OFFSET(控制台!$F$599,MATCH(F85,控制台!$B$599:$B$615,0)-1,0),OFFSET(控制台!$F$618,MATCH(F85,控制台!$B$618:$B$636,0)-1,0))</f>
        <v>21150.72</v>
      </c>
      <c r="V85" s="1">
        <f ca="1">IF(E85=1,U85/G85,IF(E85=5,U85/G85*OFFSET(控制台!$D$641,MATCH(B85,控制台!$B$641:$B$645,0)-1,0),U85/G85*OFFSET(控制台!$H$641,MATCH(B85,控制台!$F$641:$F$650,0)-1,0)))</f>
        <v>1442.09454545454</v>
      </c>
      <c r="W85" s="20">
        <f ca="1" t="shared" si="4"/>
        <v>1.00145454545454</v>
      </c>
      <c r="X85" s="15">
        <f ca="1">IF(C85=1,OFFSET(控制台!$U$599,MATCH(F85,控制台!$B$599:$B$615,0)-1,0),OFFSET(控制台!$U$618,MATCH(F85,控制台!$B$618:$B$636,0)-1,0))</f>
        <v>62145</v>
      </c>
      <c r="Y85" s="16">
        <f ca="1">_xlfn.FLOOR.MATH(IF(E85=1,X85/G85,IF(E85=5,X85/G85*OFFSET(控制台!$D$641,MATCH(B85,控制台!$B$641:$B$645,0)-1,0),X85/G85*OFFSET(控制台!$H$641,MATCH(B85,控制台!$F$641:$F$650,0)-1,0))))</f>
        <v>4237</v>
      </c>
      <c r="Z85" s="16">
        <f ca="1" t="shared" si="5"/>
        <v>12707</v>
      </c>
    </row>
    <row r="86" spans="1:26">
      <c r="A86" s="1">
        <v>11103</v>
      </c>
      <c r="B86" s="1">
        <v>9</v>
      </c>
      <c r="C86" s="1">
        <v>1</v>
      </c>
      <c r="D86" s="1" t="s">
        <v>2793</v>
      </c>
      <c r="E86" s="1">
        <f ca="1">IF(C86=1,OFFSET(控制台!$F$552,MATCH(A86,控制台!$B$552:$B$580,0)-1,0),OFFSET(控制台!$L$552,MATCH(A86,控制台!$H$552:$H$594,0)-1,0))</f>
        <v>10</v>
      </c>
      <c r="F86" s="1">
        <f ca="1">IF(C86=1,OFFSET(控制台!$D$552,MATCH(A86,控制台!$B$552:$B$580,0)-1,0),OFFSET(控制台!$J$552,MATCH(A86,控制台!$H$552:$H$594,0)-1,0))</f>
        <v>11</v>
      </c>
      <c r="G86" s="1">
        <f ca="1">IF(C86=1,OFFSET(控制台!$I$599,MATCH(F86,控制台!$B$599:$B$615,0)-1,0),OFFSET(控制台!$I$618,MATCH(F86,控制台!$B$618:$B$636,0)-1,0))</f>
        <v>2</v>
      </c>
      <c r="H86" s="1">
        <f ca="1">IF(C86=1,OFFSET(控制台!$D$599,MATCH(F86,控制台!$B$599:$B$615,0)-1,0),OFFSET(控制台!$D$618,MATCH(F86,控制台!$B$618:$B$636,0)-1,0))</f>
        <v>22896000</v>
      </c>
      <c r="I86" s="1">
        <f ca="1">IF(E86=1,H86/G86,IF(E86=5,H86/G86*OFFSET(控制台!$D$641,MATCH(B86,控制台!$B$641:$B$645,0)-1,0),H86/G86*OFFSET(控制台!$H$641,MATCH(B86,控制台!$F$641:$F$650,0)-1,0)))</f>
        <v>2601818.18181818</v>
      </c>
      <c r="J86" s="1">
        <f ca="1">$I86/3*控制台!H$102</f>
        <v>867272.727272726</v>
      </c>
      <c r="K86" s="1">
        <f ca="1">$I86/3*控制台!I$102</f>
        <v>650454.545454545</v>
      </c>
      <c r="L86" s="1">
        <f ca="1">$I86/3*控制台!J$102</f>
        <v>1084090.90909091</v>
      </c>
      <c r="M86" s="1">
        <f ca="1">_xlfn.FLOOR.MATH(J86,POWER(10,MAX(2,INT(LOG10(J86)-2))))</f>
        <v>867000</v>
      </c>
      <c r="N86" s="1">
        <f ca="1">_xlfn.FLOOR.MATH(K86,POWER(10,MAX(2,INT(LOG10(K86)-2))))</f>
        <v>650000</v>
      </c>
      <c r="O86" s="1">
        <f ca="1">_xlfn.FLOOR.MATH(L86,POWER(10,MAX(2,INT(LOG10(L86)-2))))</f>
        <v>1080000</v>
      </c>
      <c r="P86" s="4" t="str">
        <f ca="1" t="shared" si="3"/>
        <v>867000;650000;1080000</v>
      </c>
      <c r="Q86" s="15">
        <f ca="1">IF(C86=1,OFFSET(控制台!$H$599,MATCH(F86,控制台!$B$599:$B$615,0)-1,0),OFFSET(控制台!$H$618,MATCH(F86,控制台!$B$618:$B$636,0)-1,0))</f>
        <v>29611.008</v>
      </c>
      <c r="R86" s="15">
        <f ca="1">IF(E86=1,Q86/G86,IF(E86=5,Q86/G86*OFFSET(控制台!$D$641,MATCH(B86,控制台!$B$641:$B$645,0)-1,0),Q86/G86*OFFSET(控制台!$H$641,MATCH(B86,控制台!$F$641:$F$650,0)-1,0)))</f>
        <v>3364.88727272727</v>
      </c>
      <c r="S86" s="16">
        <f ca="1">_xlfn.FLOOR.MATH(R86)*60</f>
        <v>201840</v>
      </c>
      <c r="T86" s="16">
        <f ca="1">8000+IF(C86=1,OFFSET(控制台!$K$599,MATCH(F86,控制台!$B$599:$B$615,0)-1,0),OFFSET(控制台!$K$618,MATCH(F86,控制台!$B$618:$B$636,0)-1,0))</f>
        <v>8020</v>
      </c>
      <c r="U86" s="1">
        <f ca="1">IF(C86=1,OFFSET(控制台!$F$599,MATCH(F86,控制台!$B$599:$B$615,0)-1,0),OFFSET(控制台!$F$618,MATCH(F86,控制台!$B$618:$B$636,0)-1,0))</f>
        <v>21150.72</v>
      </c>
      <c r="V86" s="1">
        <f ca="1">IF(E86=1,U86/G86,IF(E86=5,U86/G86*OFFSET(控制台!$D$641,MATCH(B86,控制台!$B$641:$B$645,0)-1,0),U86/G86*OFFSET(控制台!$H$641,MATCH(B86,控制台!$F$641:$F$650,0)-1,0)))</f>
        <v>2403.4909090909</v>
      </c>
      <c r="W86" s="20">
        <f ca="1" t="shared" si="4"/>
        <v>1.66909090909091</v>
      </c>
      <c r="X86" s="15">
        <f ca="1">IF(C86=1,OFFSET(控制台!$U$599,MATCH(F86,控制台!$B$599:$B$615,0)-1,0),OFFSET(控制台!$U$618,MATCH(F86,控制台!$B$618:$B$636,0)-1,0))</f>
        <v>62145</v>
      </c>
      <c r="Y86" s="16">
        <f ca="1">_xlfn.FLOOR.MATH(IF(E86=1,X86/G86,IF(E86=5,X86/G86*OFFSET(控制台!$D$641,MATCH(B86,控制台!$B$641:$B$645,0)-1,0),X86/G86*OFFSET(控制台!$H$641,MATCH(B86,控制台!$F$641:$F$650,0)-1,0))))</f>
        <v>7061</v>
      </c>
      <c r="Z86" s="16">
        <f ca="1" t="shared" si="5"/>
        <v>19768</v>
      </c>
    </row>
    <row r="87" spans="1:26">
      <c r="A87" s="1">
        <v>11103</v>
      </c>
      <c r="B87" s="1">
        <v>10</v>
      </c>
      <c r="C87" s="1">
        <v>1</v>
      </c>
      <c r="D87" s="1" t="s">
        <v>2793</v>
      </c>
      <c r="E87" s="1">
        <f ca="1">IF(C87=1,OFFSET(控制台!$F$552,MATCH(A87,控制台!$B$552:$B$580,0)-1,0),OFFSET(控制台!$L$552,MATCH(A87,控制台!$H$552:$H$594,0)-1,0))</f>
        <v>10</v>
      </c>
      <c r="F87" s="1">
        <f ca="1">IF(C87=1,OFFSET(控制台!$D$552,MATCH(A87,控制台!$B$552:$B$580,0)-1,0),OFFSET(控制台!$J$552,MATCH(A87,控制台!$H$552:$H$594,0)-1,0))</f>
        <v>11</v>
      </c>
      <c r="G87" s="1">
        <f ca="1">IF(C87=1,OFFSET(控制台!$I$599,MATCH(F87,控制台!$B$599:$B$615,0)-1,0),OFFSET(控制台!$I$618,MATCH(F87,控制台!$B$618:$B$636,0)-1,0))</f>
        <v>2</v>
      </c>
      <c r="H87" s="1">
        <f ca="1">IF(C87=1,OFFSET(控制台!$D$599,MATCH(F87,控制台!$B$599:$B$615,0)-1,0),OFFSET(控制台!$D$618,MATCH(F87,控制台!$B$618:$B$636,0)-1,0))</f>
        <v>22896000</v>
      </c>
      <c r="I87" s="1">
        <f ca="1">IF(E87=1,H87/G87,IF(E87=5,H87/G87*OFFSET(控制台!$D$641,MATCH(B87,控制台!$B$641:$B$645,0)-1,0),H87/G87*OFFSET(控制台!$H$641,MATCH(B87,控制台!$F$641:$F$650,0)-1,0)))</f>
        <v>4162909.0909091</v>
      </c>
      <c r="J87" s="1">
        <f ca="1">$I87/3*控制台!H$102</f>
        <v>1387636.36363636</v>
      </c>
      <c r="K87" s="1">
        <f ca="1">$I87/3*控制台!I$102</f>
        <v>1040727.27272727</v>
      </c>
      <c r="L87" s="1">
        <f ca="1">$I87/3*控制台!J$102</f>
        <v>1734545.45454546</v>
      </c>
      <c r="M87" s="1">
        <f ca="1">_xlfn.FLOOR.MATH(J87,POWER(10,MAX(2,INT(LOG10(J87)-2))))</f>
        <v>1380000</v>
      </c>
      <c r="N87" s="1">
        <f ca="1">_xlfn.FLOOR.MATH(K87,POWER(10,MAX(2,INT(LOG10(K87)-2))))</f>
        <v>1040000</v>
      </c>
      <c r="O87" s="1">
        <f ca="1">_xlfn.FLOOR.MATH(L87,POWER(10,MAX(2,INT(LOG10(L87)-2))))</f>
        <v>1730000</v>
      </c>
      <c r="P87" s="4" t="str">
        <f ca="1" t="shared" si="3"/>
        <v>1380000;1040000;1730000</v>
      </c>
      <c r="Q87" s="15">
        <f ca="1">IF(C87=1,OFFSET(控制台!$H$599,MATCH(F87,控制台!$B$599:$B$615,0)-1,0),OFFSET(控制台!$H$618,MATCH(F87,控制台!$B$618:$B$636,0)-1,0))</f>
        <v>29611.008</v>
      </c>
      <c r="R87" s="15">
        <f ca="1">IF(E87=1,Q87/G87,IF(E87=5,Q87/G87*OFFSET(控制台!$D$641,MATCH(B87,控制台!$B$641:$B$645,0)-1,0),Q87/G87*OFFSET(控制台!$H$641,MATCH(B87,控制台!$F$641:$F$650,0)-1,0)))</f>
        <v>5383.81963636364</v>
      </c>
      <c r="S87" s="16">
        <f ca="1">_xlfn.FLOOR.MATH(R87)*60</f>
        <v>322980</v>
      </c>
      <c r="T87" s="16">
        <f ca="1">8000+IF(C87=1,OFFSET(控制台!$K$599,MATCH(F87,控制台!$B$599:$B$615,0)-1,0),OFFSET(控制台!$K$618,MATCH(F87,控制台!$B$618:$B$636,0)-1,0))</f>
        <v>8020</v>
      </c>
      <c r="U87" s="1">
        <f ca="1">IF(C87=1,OFFSET(控制台!$F$599,MATCH(F87,控制台!$B$599:$B$615,0)-1,0),OFFSET(控制台!$F$618,MATCH(F87,控制台!$B$618:$B$636,0)-1,0))</f>
        <v>21150.72</v>
      </c>
      <c r="V87" s="1">
        <f ca="1">IF(E87=1,U87/G87,IF(E87=5,U87/G87*OFFSET(控制台!$D$641,MATCH(B87,控制台!$B$641:$B$645,0)-1,0),U87/G87*OFFSET(控制台!$H$641,MATCH(B87,控制台!$F$641:$F$650,0)-1,0)))</f>
        <v>3845.58545454546</v>
      </c>
      <c r="W87" s="20">
        <f ca="1" t="shared" si="4"/>
        <v>2.67054545454546</v>
      </c>
      <c r="X87" s="15">
        <f ca="1">IF(C87=1,OFFSET(控制台!$U$599,MATCH(F87,控制台!$B$599:$B$615,0)-1,0),OFFSET(控制台!$U$618,MATCH(F87,控制台!$B$618:$B$636,0)-1,0))</f>
        <v>62145</v>
      </c>
      <c r="Y87" s="16">
        <f ca="1">_xlfn.FLOOR.MATH(IF(E87=1,X87/G87,IF(E87=5,X87/G87*OFFSET(控制台!$D$641,MATCH(B87,控制台!$B$641:$B$645,0)-1,0),X87/G87*OFFSET(控制台!$H$641,MATCH(B87,控制台!$F$641:$F$650,0)-1,0))))</f>
        <v>11299</v>
      </c>
      <c r="Z87" s="16">
        <f ca="1" t="shared" si="5"/>
        <v>31067</v>
      </c>
    </row>
    <row r="88" spans="1:26">
      <c r="A88" s="1">
        <v>11202</v>
      </c>
      <c r="B88" s="1">
        <v>1</v>
      </c>
      <c r="C88" s="1">
        <v>1</v>
      </c>
      <c r="D88" s="1" t="s">
        <v>2794</v>
      </c>
      <c r="E88" s="1">
        <f ca="1">IF(C88=1,OFFSET(控制台!$F$552,MATCH(A88,控制台!$B$552:$B$580,0)-1,0),OFFSET(控制台!$L$552,MATCH(A88,控制台!$H$552:$H$594,0)-1,0))</f>
        <v>10</v>
      </c>
      <c r="F88" s="1">
        <f ca="1">IF(C88=1,OFFSET(控制台!$D$552,MATCH(A88,控制台!$B$552:$B$580,0)-1,0),OFFSET(控制台!$J$552,MATCH(A88,控制台!$H$552:$H$594,0)-1,0))</f>
        <v>12</v>
      </c>
      <c r="G88" s="1">
        <f ca="1">IF(C88=1,OFFSET(控制台!$I$599,MATCH(F88,控制台!$B$599:$B$615,0)-1,0),OFFSET(控制台!$I$618,MATCH(F88,控制台!$B$618:$B$636,0)-1,0))</f>
        <v>1</v>
      </c>
      <c r="H88" s="1">
        <f ca="1">IF(C88=1,OFFSET(控制台!$D$599,MATCH(F88,控制台!$B$599:$B$615,0)-1,0),OFFSET(控制台!$D$618,MATCH(F88,控制台!$B$618:$B$636,0)-1,0))</f>
        <v>18144000</v>
      </c>
      <c r="I88" s="1">
        <f ca="1">IF(E88=1,H88/G88,IF(E88=5,H88/G88*OFFSET(控制台!$D$641,MATCH(B88,控制台!$B$641:$B$645,0)-1,0),H88/G88*OFFSET(控制台!$H$641,MATCH(B88,控制台!$F$641:$F$650,0)-1,0)))</f>
        <v>164945.454545455</v>
      </c>
      <c r="J88" s="1">
        <f ca="1">$I88/3*控制台!H$102</f>
        <v>54981.8181818182</v>
      </c>
      <c r="K88" s="1">
        <f ca="1">$I88/3*控制台!I$102</f>
        <v>41236.3636363636</v>
      </c>
      <c r="L88" s="1">
        <f ca="1">$I88/3*控制台!J$102</f>
        <v>68727.2727272727</v>
      </c>
      <c r="M88" s="1">
        <f ca="1">_xlfn.FLOOR.MATH(J88,POWER(10,MAX(2,INT(LOG10(J88)-2))))</f>
        <v>54900</v>
      </c>
      <c r="N88" s="1">
        <f ca="1">_xlfn.FLOOR.MATH(K88,POWER(10,MAX(2,INT(LOG10(K88)-2))))</f>
        <v>41200</v>
      </c>
      <c r="O88" s="1">
        <f ca="1">_xlfn.FLOOR.MATH(L88,POWER(10,MAX(2,INT(LOG10(L88)-2))))</f>
        <v>68700</v>
      </c>
      <c r="P88" s="4" t="str">
        <f ca="1" t="shared" si="3"/>
        <v>54900;41200;68700</v>
      </c>
      <c r="Q88" s="15">
        <f ca="1">IF(C88=1,OFFSET(控制台!$H$599,MATCH(F88,控制台!$B$599:$B$615,0)-1,0),OFFSET(控制台!$H$618,MATCH(F88,控制台!$B$618:$B$636,0)-1,0))</f>
        <v>23974.9632</v>
      </c>
      <c r="R88" s="15">
        <f ca="1">IF(E88=1,Q88/G88,IF(E88=5,Q88/G88*OFFSET(控制台!$D$641,MATCH(B88,控制台!$B$641:$B$645,0)-1,0),Q88/G88*OFFSET(控制台!$H$641,MATCH(B88,控制台!$F$641:$F$650,0)-1,0)))</f>
        <v>217.954210909091</v>
      </c>
      <c r="S88" s="16">
        <f ca="1">_xlfn.FLOOR.MATH(R88)*60</f>
        <v>13020</v>
      </c>
      <c r="T88" s="16">
        <f ca="1">8000+IF(C88=1,OFFSET(控制台!$K$599,MATCH(F88,控制台!$B$599:$B$615,0)-1,0),OFFSET(控制台!$K$618,MATCH(F88,控制台!$B$618:$B$636,0)-1,0))</f>
        <v>8021</v>
      </c>
      <c r="U88" s="1">
        <f ca="1">IF(C88=1,OFFSET(控制台!$F$599,MATCH(F88,控制台!$B$599:$B$615,0)-1,0),OFFSET(控制台!$F$618,MATCH(F88,控制台!$B$618:$B$636,0)-1,0))</f>
        <v>17003.52</v>
      </c>
      <c r="V88" s="1">
        <f ca="1">IF(E88=1,U88/G88,IF(E88=5,U88/G88*OFFSET(控制台!$D$641,MATCH(B88,控制台!$B$641:$B$645,0)-1,0),U88/G88*OFFSET(控制台!$H$641,MATCH(B88,控制台!$F$641:$F$650,0)-1,0)))</f>
        <v>154.577454545455</v>
      </c>
      <c r="W88" s="20">
        <f ca="1" t="shared" si="4"/>
        <v>0.107345454545455</v>
      </c>
      <c r="X88" s="15">
        <f ca="1">IF(C88=1,OFFSET(控制台!$U$599,MATCH(F88,控制台!$B$599:$B$615,0)-1,0),OFFSET(控制台!$U$618,MATCH(F88,控制台!$B$618:$B$636,0)-1,0))</f>
        <v>49905</v>
      </c>
      <c r="Y88" s="16">
        <f ca="1">_xlfn.FLOOR.MATH(IF(E88=1,X88/G88,IF(E88=5,X88/G88*OFFSET(控制台!$D$641,MATCH(B88,控制台!$B$641:$B$645,0)-1,0),X88/G88*OFFSET(控制台!$H$641,MATCH(B88,控制台!$F$641:$F$650,0)-1,0))))</f>
        <v>453</v>
      </c>
      <c r="Z88" s="16">
        <f ca="1" t="shared" si="5"/>
        <v>453</v>
      </c>
    </row>
    <row r="89" spans="1:26">
      <c r="A89" s="1">
        <v>11202</v>
      </c>
      <c r="B89" s="1">
        <v>2</v>
      </c>
      <c r="C89" s="1">
        <v>1</v>
      </c>
      <c r="D89" s="1" t="s">
        <v>2794</v>
      </c>
      <c r="E89" s="1">
        <f ca="1">IF(C89=1,OFFSET(控制台!$F$552,MATCH(A89,控制台!$B$552:$B$580,0)-1,0),OFFSET(控制台!$L$552,MATCH(A89,控制台!$H$552:$H$594,0)-1,0))</f>
        <v>10</v>
      </c>
      <c r="F89" s="1">
        <f ca="1">IF(C89=1,OFFSET(控制台!$D$552,MATCH(A89,控制台!$B$552:$B$580,0)-1,0),OFFSET(控制台!$J$552,MATCH(A89,控制台!$H$552:$H$594,0)-1,0))</f>
        <v>12</v>
      </c>
      <c r="G89" s="1">
        <f ca="1">IF(C89=1,OFFSET(控制台!$I$599,MATCH(F89,控制台!$B$599:$B$615,0)-1,0),OFFSET(控制台!$I$618,MATCH(F89,控制台!$B$618:$B$636,0)-1,0))</f>
        <v>1</v>
      </c>
      <c r="H89" s="1">
        <f ca="1">IF(C89=1,OFFSET(控制台!$D$599,MATCH(F89,控制台!$B$599:$B$615,0)-1,0),OFFSET(控制台!$D$618,MATCH(F89,控制台!$B$618:$B$636,0)-1,0))</f>
        <v>18144000</v>
      </c>
      <c r="I89" s="1">
        <f ca="1">IF(E89=1,H89/G89,IF(E89=5,H89/G89*OFFSET(控制台!$D$641,MATCH(B89,控制台!$B$641:$B$645,0)-1,0),H89/G89*OFFSET(控制台!$H$641,MATCH(B89,控制台!$F$641:$F$650,0)-1,0)))</f>
        <v>247418.181818181</v>
      </c>
      <c r="J89" s="1">
        <f ca="1">$I89/3*控制台!H$102</f>
        <v>82472.727272727</v>
      </c>
      <c r="K89" s="1">
        <f ca="1">$I89/3*控制台!I$102</f>
        <v>61854.5454545453</v>
      </c>
      <c r="L89" s="1">
        <f ca="1">$I89/3*控制台!J$102</f>
        <v>103090.909090909</v>
      </c>
      <c r="M89" s="1">
        <f ca="1">_xlfn.FLOOR.MATH(J89,POWER(10,MAX(2,INT(LOG10(J89)-2))))</f>
        <v>82400</v>
      </c>
      <c r="N89" s="1">
        <f ca="1">_xlfn.FLOOR.MATH(K89,POWER(10,MAX(2,INT(LOG10(K89)-2))))</f>
        <v>61800</v>
      </c>
      <c r="O89" s="1">
        <f ca="1">_xlfn.FLOOR.MATH(L89,POWER(10,MAX(2,INT(LOG10(L89)-2))))</f>
        <v>103000</v>
      </c>
      <c r="P89" s="4" t="str">
        <f ca="1" t="shared" si="3"/>
        <v>82400;61800;103000</v>
      </c>
      <c r="Q89" s="15">
        <f ca="1">IF(C89=1,OFFSET(控制台!$H$599,MATCH(F89,控制台!$B$599:$B$615,0)-1,0),OFFSET(控制台!$H$618,MATCH(F89,控制台!$B$618:$B$636,0)-1,0))</f>
        <v>23974.9632</v>
      </c>
      <c r="R89" s="15">
        <f ca="1">IF(E89=1,Q89/G89,IF(E89=5,Q89/G89*OFFSET(控制台!$D$641,MATCH(B89,控制台!$B$641:$B$645,0)-1,0),Q89/G89*OFFSET(控制台!$H$641,MATCH(B89,控制台!$F$641:$F$650,0)-1,0)))</f>
        <v>326.931316363636</v>
      </c>
      <c r="S89" s="16">
        <f ca="1">_xlfn.FLOOR.MATH(R89)*60</f>
        <v>19560</v>
      </c>
      <c r="T89" s="16">
        <f ca="1">8000+IF(C89=1,OFFSET(控制台!$K$599,MATCH(F89,控制台!$B$599:$B$615,0)-1,0),OFFSET(控制台!$K$618,MATCH(F89,控制台!$B$618:$B$636,0)-1,0))</f>
        <v>8021</v>
      </c>
      <c r="U89" s="1">
        <f ca="1">IF(C89=1,OFFSET(控制台!$F$599,MATCH(F89,控制台!$B$599:$B$615,0)-1,0),OFFSET(控制台!$F$618,MATCH(F89,控制台!$B$618:$B$636,0)-1,0))</f>
        <v>17003.52</v>
      </c>
      <c r="V89" s="1">
        <f ca="1">IF(E89=1,U89/G89,IF(E89=5,U89/G89*OFFSET(控制台!$D$641,MATCH(B89,控制台!$B$641:$B$645,0)-1,0),U89/G89*OFFSET(控制台!$H$641,MATCH(B89,控制台!$F$641:$F$650,0)-1,0)))</f>
        <v>231.866181818181</v>
      </c>
      <c r="W89" s="20">
        <f ca="1" t="shared" si="4"/>
        <v>0.161018181818181</v>
      </c>
      <c r="X89" s="15">
        <f ca="1">IF(C89=1,OFFSET(控制台!$U$599,MATCH(F89,控制台!$B$599:$B$615,0)-1,0),OFFSET(控制台!$U$618,MATCH(F89,控制台!$B$618:$B$636,0)-1,0))</f>
        <v>49905</v>
      </c>
      <c r="Y89" s="16">
        <f ca="1">_xlfn.FLOOR.MATH(IF(E89=1,X89/G89,IF(E89=5,X89/G89*OFFSET(控制台!$D$641,MATCH(B89,控制台!$B$641:$B$645,0)-1,0),X89/G89*OFFSET(控制台!$H$641,MATCH(B89,控制台!$F$641:$F$650,0)-1,0))))</f>
        <v>680</v>
      </c>
      <c r="Z89" s="16">
        <f ca="1" t="shared" si="5"/>
        <v>1133</v>
      </c>
    </row>
    <row r="90" spans="1:26">
      <c r="A90" s="1">
        <v>11202</v>
      </c>
      <c r="B90" s="1">
        <v>3</v>
      </c>
      <c r="C90" s="1">
        <v>1</v>
      </c>
      <c r="D90" s="1" t="s">
        <v>2794</v>
      </c>
      <c r="E90" s="1">
        <f ca="1">IF(C90=1,OFFSET(控制台!$F$552,MATCH(A90,控制台!$B$552:$B$580,0)-1,0),OFFSET(控制台!$L$552,MATCH(A90,控制台!$H$552:$H$594,0)-1,0))</f>
        <v>10</v>
      </c>
      <c r="F90" s="1">
        <f ca="1">IF(C90=1,OFFSET(控制台!$D$552,MATCH(A90,控制台!$B$552:$B$580,0)-1,0),OFFSET(控制台!$J$552,MATCH(A90,控制台!$H$552:$H$594,0)-1,0))</f>
        <v>12</v>
      </c>
      <c r="G90" s="1">
        <f ca="1">IF(C90=1,OFFSET(控制台!$I$599,MATCH(F90,控制台!$B$599:$B$615,0)-1,0),OFFSET(控制台!$I$618,MATCH(F90,控制台!$B$618:$B$636,0)-1,0))</f>
        <v>1</v>
      </c>
      <c r="H90" s="1">
        <f ca="1">IF(C90=1,OFFSET(控制台!$D$599,MATCH(F90,控制台!$B$599:$B$615,0)-1,0),OFFSET(控制台!$D$618,MATCH(F90,控制台!$B$618:$B$636,0)-1,0))</f>
        <v>18144000</v>
      </c>
      <c r="I90" s="1">
        <f ca="1">IF(E90=1,H90/G90,IF(E90=5,H90/G90*OFFSET(控制台!$D$641,MATCH(B90,控制台!$B$641:$B$645,0)-1,0),H90/G90*OFFSET(控制台!$H$641,MATCH(B90,控制台!$F$641:$F$650,0)-1,0)))</f>
        <v>329890.909090909</v>
      </c>
      <c r="J90" s="1">
        <f ca="1">$I90/3*控制台!H$102</f>
        <v>109963.636363636</v>
      </c>
      <c r="K90" s="1">
        <f ca="1">$I90/3*控制台!I$102</f>
        <v>82472.7272727274</v>
      </c>
      <c r="L90" s="1">
        <f ca="1">$I90/3*控制台!J$102</f>
        <v>137454.545454546</v>
      </c>
      <c r="M90" s="1">
        <f ca="1">_xlfn.FLOOR.MATH(J90,POWER(10,MAX(2,INT(LOG10(J90)-2))))</f>
        <v>109000</v>
      </c>
      <c r="N90" s="1">
        <f ca="1">_xlfn.FLOOR.MATH(K90,POWER(10,MAX(2,INT(LOG10(K90)-2))))</f>
        <v>82400</v>
      </c>
      <c r="O90" s="1">
        <f ca="1">_xlfn.FLOOR.MATH(L90,POWER(10,MAX(2,INT(LOG10(L90)-2))))</f>
        <v>137000</v>
      </c>
      <c r="P90" s="4" t="str">
        <f ca="1" t="shared" si="3"/>
        <v>109000;82400;137000</v>
      </c>
      <c r="Q90" s="15">
        <f ca="1">IF(C90=1,OFFSET(控制台!$H$599,MATCH(F90,控制台!$B$599:$B$615,0)-1,0),OFFSET(控制台!$H$618,MATCH(F90,控制台!$B$618:$B$636,0)-1,0))</f>
        <v>23974.9632</v>
      </c>
      <c r="R90" s="15">
        <f ca="1">IF(E90=1,Q90/G90,IF(E90=5,Q90/G90*OFFSET(控制台!$D$641,MATCH(B90,控制台!$B$641:$B$645,0)-1,0),Q90/G90*OFFSET(控制台!$H$641,MATCH(B90,控制台!$F$641:$F$650,0)-1,0)))</f>
        <v>435.908421818183</v>
      </c>
      <c r="S90" s="16">
        <f ca="1">_xlfn.FLOOR.MATH(R90)*60</f>
        <v>26100</v>
      </c>
      <c r="T90" s="16">
        <f ca="1">8000+IF(C90=1,OFFSET(控制台!$K$599,MATCH(F90,控制台!$B$599:$B$615,0)-1,0),OFFSET(控制台!$K$618,MATCH(F90,控制台!$B$618:$B$636,0)-1,0))</f>
        <v>8021</v>
      </c>
      <c r="U90" s="1">
        <f ca="1">IF(C90=1,OFFSET(控制台!$F$599,MATCH(F90,控制台!$B$599:$B$615,0)-1,0),OFFSET(控制台!$F$618,MATCH(F90,控制台!$B$618:$B$636,0)-1,0))</f>
        <v>17003.52</v>
      </c>
      <c r="V90" s="1">
        <f ca="1">IF(E90=1,U90/G90,IF(E90=5,U90/G90*OFFSET(控制台!$D$641,MATCH(B90,控制台!$B$641:$B$645,0)-1,0),U90/G90*OFFSET(控制台!$H$641,MATCH(B90,控制台!$F$641:$F$650,0)-1,0)))</f>
        <v>309.15490909091</v>
      </c>
      <c r="W90" s="20">
        <f ca="1" t="shared" si="4"/>
        <v>0.214690909090909</v>
      </c>
      <c r="X90" s="15">
        <f ca="1">IF(C90=1,OFFSET(控制台!$U$599,MATCH(F90,控制台!$B$599:$B$615,0)-1,0),OFFSET(控制台!$U$618,MATCH(F90,控制台!$B$618:$B$636,0)-1,0))</f>
        <v>49905</v>
      </c>
      <c r="Y90" s="16">
        <f ca="1">_xlfn.FLOOR.MATH(IF(E90=1,X90/G90,IF(E90=5,X90/G90*OFFSET(控制台!$D$641,MATCH(B90,控制台!$B$641:$B$645,0)-1,0),X90/G90*OFFSET(控制台!$H$641,MATCH(B90,控制台!$F$641:$F$650,0)-1,0))))</f>
        <v>907</v>
      </c>
      <c r="Z90" s="16">
        <f ca="1" t="shared" si="5"/>
        <v>2040</v>
      </c>
    </row>
    <row r="91" spans="1:26">
      <c r="A91" s="1">
        <v>11202</v>
      </c>
      <c r="B91" s="1">
        <v>4</v>
      </c>
      <c r="C91" s="1">
        <v>1</v>
      </c>
      <c r="D91" s="1" t="s">
        <v>2794</v>
      </c>
      <c r="E91" s="1">
        <f ca="1">IF(C91=1,OFFSET(控制台!$F$552,MATCH(A91,控制台!$B$552:$B$580,0)-1,0),OFFSET(控制台!$L$552,MATCH(A91,控制台!$H$552:$H$594,0)-1,0))</f>
        <v>10</v>
      </c>
      <c r="F91" s="1">
        <f ca="1">IF(C91=1,OFFSET(控制台!$D$552,MATCH(A91,控制台!$B$552:$B$580,0)-1,0),OFFSET(控制台!$J$552,MATCH(A91,控制台!$H$552:$H$594,0)-1,0))</f>
        <v>12</v>
      </c>
      <c r="G91" s="1">
        <f ca="1">IF(C91=1,OFFSET(控制台!$I$599,MATCH(F91,控制台!$B$599:$B$615,0)-1,0),OFFSET(控制台!$I$618,MATCH(F91,控制台!$B$618:$B$636,0)-1,0))</f>
        <v>1</v>
      </c>
      <c r="H91" s="1">
        <f ca="1">IF(C91=1,OFFSET(控制台!$D$599,MATCH(F91,控制台!$B$599:$B$615,0)-1,0),OFFSET(控制台!$D$618,MATCH(F91,控制台!$B$618:$B$636,0)-1,0))</f>
        <v>18144000</v>
      </c>
      <c r="I91" s="1">
        <f ca="1">IF(E91=1,H91/G91,IF(E91=5,H91/G91*OFFSET(控制台!$D$641,MATCH(B91,控制台!$B$641:$B$645,0)-1,0),H91/G91*OFFSET(控制台!$H$641,MATCH(B91,控制台!$F$641:$F$650,0)-1,0)))</f>
        <v>494836.363636364</v>
      </c>
      <c r="J91" s="1">
        <f ca="1">$I91/3*控制台!H$102</f>
        <v>164945.454545455</v>
      </c>
      <c r="K91" s="1">
        <f ca="1">$I91/3*控制台!I$102</f>
        <v>123709.090909091</v>
      </c>
      <c r="L91" s="1">
        <f ca="1">$I91/3*控制台!J$102</f>
        <v>206181.818181818</v>
      </c>
      <c r="M91" s="1">
        <f ca="1">_xlfn.FLOOR.MATH(J91,POWER(10,MAX(2,INT(LOG10(J91)-2))))</f>
        <v>164000</v>
      </c>
      <c r="N91" s="1">
        <f ca="1">_xlfn.FLOOR.MATH(K91,POWER(10,MAX(2,INT(LOG10(K91)-2))))</f>
        <v>123000</v>
      </c>
      <c r="O91" s="1">
        <f ca="1">_xlfn.FLOOR.MATH(L91,POWER(10,MAX(2,INT(LOG10(L91)-2))))</f>
        <v>206000</v>
      </c>
      <c r="P91" s="4" t="str">
        <f ca="1" t="shared" si="3"/>
        <v>164000;123000;206000</v>
      </c>
      <c r="Q91" s="15">
        <f ca="1">IF(C91=1,OFFSET(控制台!$H$599,MATCH(F91,控制台!$B$599:$B$615,0)-1,0),OFFSET(控制台!$H$618,MATCH(F91,控制台!$B$618:$B$636,0)-1,0))</f>
        <v>23974.9632</v>
      </c>
      <c r="R91" s="15">
        <f ca="1">IF(E91=1,Q91/G91,IF(E91=5,Q91/G91*OFFSET(控制台!$D$641,MATCH(B91,控制台!$B$641:$B$645,0)-1,0),Q91/G91*OFFSET(控制台!$H$641,MATCH(B91,控制台!$F$641:$F$650,0)-1,0)))</f>
        <v>653.862632727274</v>
      </c>
      <c r="S91" s="16">
        <f ca="1">_xlfn.FLOOR.MATH(R91)*60</f>
        <v>39180</v>
      </c>
      <c r="T91" s="16">
        <f ca="1">8000+IF(C91=1,OFFSET(控制台!$K$599,MATCH(F91,控制台!$B$599:$B$615,0)-1,0),OFFSET(控制台!$K$618,MATCH(F91,控制台!$B$618:$B$636,0)-1,0))</f>
        <v>8021</v>
      </c>
      <c r="U91" s="1">
        <f ca="1">IF(C91=1,OFFSET(控制台!$F$599,MATCH(F91,控制台!$B$599:$B$615,0)-1,0),OFFSET(控制台!$F$618,MATCH(F91,控制台!$B$618:$B$636,0)-1,0))</f>
        <v>17003.52</v>
      </c>
      <c r="V91" s="1">
        <f ca="1">IF(E91=1,U91/G91,IF(E91=5,U91/G91*OFFSET(控制台!$D$641,MATCH(B91,控制台!$B$641:$B$645,0)-1,0),U91/G91*OFFSET(控制台!$H$641,MATCH(B91,控制台!$F$641:$F$650,0)-1,0)))</f>
        <v>463.732363636364</v>
      </c>
      <c r="W91" s="20">
        <f ca="1" t="shared" si="4"/>
        <v>0.322036363636364</v>
      </c>
      <c r="X91" s="15">
        <f ca="1">IF(C91=1,OFFSET(控制台!$U$599,MATCH(F91,控制台!$B$599:$B$615,0)-1,0),OFFSET(控制台!$U$618,MATCH(F91,控制台!$B$618:$B$636,0)-1,0))</f>
        <v>49905</v>
      </c>
      <c r="Y91" s="16">
        <f ca="1">_xlfn.FLOOR.MATH(IF(E91=1,X91/G91,IF(E91=5,X91/G91*OFFSET(控制台!$D$641,MATCH(B91,控制台!$B$641:$B$645,0)-1,0),X91/G91*OFFSET(控制台!$H$641,MATCH(B91,控制台!$F$641:$F$650,0)-1,0))))</f>
        <v>1361</v>
      </c>
      <c r="Z91" s="16">
        <f ca="1" t="shared" si="5"/>
        <v>3401</v>
      </c>
    </row>
    <row r="92" spans="1:26">
      <c r="A92" s="1">
        <v>11202</v>
      </c>
      <c r="B92" s="1">
        <v>5</v>
      </c>
      <c r="C92" s="1">
        <v>1</v>
      </c>
      <c r="D92" s="1" t="s">
        <v>2794</v>
      </c>
      <c r="E92" s="1">
        <f ca="1">IF(C92=1,OFFSET(控制台!$F$552,MATCH(A92,控制台!$B$552:$B$580,0)-1,0),OFFSET(控制台!$L$552,MATCH(A92,控制台!$H$552:$H$594,0)-1,0))</f>
        <v>10</v>
      </c>
      <c r="F92" s="1">
        <f ca="1">IF(C92=1,OFFSET(控制台!$D$552,MATCH(A92,控制台!$B$552:$B$580,0)-1,0),OFFSET(控制台!$J$552,MATCH(A92,控制台!$H$552:$H$594,0)-1,0))</f>
        <v>12</v>
      </c>
      <c r="G92" s="1">
        <f ca="1">IF(C92=1,OFFSET(控制台!$I$599,MATCH(F92,控制台!$B$599:$B$615,0)-1,0),OFFSET(控制台!$I$618,MATCH(F92,控制台!$B$618:$B$636,0)-1,0))</f>
        <v>1</v>
      </c>
      <c r="H92" s="1">
        <f ca="1">IF(C92=1,OFFSET(控制台!$D$599,MATCH(F92,控制台!$B$599:$B$615,0)-1,0),OFFSET(控制台!$D$618,MATCH(F92,控制台!$B$618:$B$636,0)-1,0))</f>
        <v>18144000</v>
      </c>
      <c r="I92" s="1">
        <f ca="1">IF(E92=1,H92/G92,IF(E92=5,H92/G92*OFFSET(控制台!$D$641,MATCH(B92,控制台!$B$641:$B$645,0)-1,0),H92/G92*OFFSET(控制台!$H$641,MATCH(B92,控制台!$F$641:$F$650,0)-1,0)))</f>
        <v>824727.272727274</v>
      </c>
      <c r="J92" s="1">
        <f ca="1">$I92/3*控制台!H$102</f>
        <v>274909.090909091</v>
      </c>
      <c r="K92" s="1">
        <f ca="1">$I92/3*控制台!I$102</f>
        <v>206181.818181818</v>
      </c>
      <c r="L92" s="1">
        <f ca="1">$I92/3*控制台!J$102</f>
        <v>343636.363636364</v>
      </c>
      <c r="M92" s="1">
        <f ca="1">_xlfn.FLOOR.MATH(J92,POWER(10,MAX(2,INT(LOG10(J92)-2))))</f>
        <v>274000</v>
      </c>
      <c r="N92" s="1">
        <f ca="1">_xlfn.FLOOR.MATH(K92,POWER(10,MAX(2,INT(LOG10(K92)-2))))</f>
        <v>206000</v>
      </c>
      <c r="O92" s="1">
        <f ca="1">_xlfn.FLOOR.MATH(L92,POWER(10,MAX(2,INT(LOG10(L92)-2))))</f>
        <v>343000</v>
      </c>
      <c r="P92" s="4" t="str">
        <f ca="1" t="shared" si="3"/>
        <v>274000;206000;343000</v>
      </c>
      <c r="Q92" s="15">
        <f ca="1">IF(C92=1,OFFSET(控制台!$H$599,MATCH(F92,控制台!$B$599:$B$615,0)-1,0),OFFSET(控制台!$H$618,MATCH(F92,控制台!$B$618:$B$636,0)-1,0))</f>
        <v>23974.9632</v>
      </c>
      <c r="R92" s="15">
        <f ca="1">IF(E92=1,Q92/G92,IF(E92=5,Q92/G92*OFFSET(控制台!$D$641,MATCH(B92,控制台!$B$641:$B$645,0)-1,0),Q92/G92*OFFSET(控制台!$H$641,MATCH(B92,控制台!$F$641:$F$650,0)-1,0)))</f>
        <v>1089.77105454546</v>
      </c>
      <c r="S92" s="16">
        <f ca="1">_xlfn.FLOOR.MATH(R92)*60</f>
        <v>65340</v>
      </c>
      <c r="T92" s="16">
        <f ca="1">8000+IF(C92=1,OFFSET(控制台!$K$599,MATCH(F92,控制台!$B$599:$B$615,0)-1,0),OFFSET(控制台!$K$618,MATCH(F92,控制台!$B$618:$B$636,0)-1,0))</f>
        <v>8021</v>
      </c>
      <c r="U92" s="1">
        <f ca="1">IF(C92=1,OFFSET(控制台!$F$599,MATCH(F92,控制台!$B$599:$B$615,0)-1,0),OFFSET(控制台!$F$618,MATCH(F92,控制台!$B$618:$B$636,0)-1,0))</f>
        <v>17003.52</v>
      </c>
      <c r="V92" s="1">
        <f ca="1">IF(E92=1,U92/G92,IF(E92=5,U92/G92*OFFSET(控制台!$D$641,MATCH(B92,控制台!$B$641:$B$645,0)-1,0),U92/G92*OFFSET(控制台!$H$641,MATCH(B92,控制台!$F$641:$F$650,0)-1,0)))</f>
        <v>772.887272727274</v>
      </c>
      <c r="W92" s="20">
        <f ca="1" t="shared" si="4"/>
        <v>0.536727272727274</v>
      </c>
      <c r="X92" s="15">
        <f ca="1">IF(C92=1,OFFSET(控制台!$U$599,MATCH(F92,控制台!$B$599:$B$615,0)-1,0),OFFSET(控制台!$U$618,MATCH(F92,控制台!$B$618:$B$636,0)-1,0))</f>
        <v>49905</v>
      </c>
      <c r="Y92" s="16">
        <f ca="1">_xlfn.FLOOR.MATH(IF(E92=1,X92/G92,IF(E92=5,X92/G92*OFFSET(控制台!$D$641,MATCH(B92,控制台!$B$641:$B$645,0)-1,0),X92/G92*OFFSET(控制台!$H$641,MATCH(B92,控制台!$F$641:$F$650,0)-1,0))))</f>
        <v>2268</v>
      </c>
      <c r="Z92" s="16">
        <f ca="1" t="shared" si="5"/>
        <v>5669</v>
      </c>
    </row>
    <row r="93" spans="1:26">
      <c r="A93" s="1">
        <v>11202</v>
      </c>
      <c r="B93" s="1">
        <v>6</v>
      </c>
      <c r="C93" s="1">
        <v>1</v>
      </c>
      <c r="D93" s="1" t="s">
        <v>2794</v>
      </c>
      <c r="E93" s="1">
        <f ca="1">IF(C93=1,OFFSET(控制台!$F$552,MATCH(A93,控制台!$B$552:$B$580,0)-1,0),OFFSET(控制台!$L$552,MATCH(A93,控制台!$H$552:$H$594,0)-1,0))</f>
        <v>10</v>
      </c>
      <c r="F93" s="1">
        <f ca="1">IF(C93=1,OFFSET(控制台!$D$552,MATCH(A93,控制台!$B$552:$B$580,0)-1,0),OFFSET(控制台!$J$552,MATCH(A93,控制台!$H$552:$H$594,0)-1,0))</f>
        <v>12</v>
      </c>
      <c r="G93" s="1">
        <f ca="1">IF(C93=1,OFFSET(控制台!$I$599,MATCH(F93,控制台!$B$599:$B$615,0)-1,0),OFFSET(控制台!$I$618,MATCH(F93,控制台!$B$618:$B$636,0)-1,0))</f>
        <v>1</v>
      </c>
      <c r="H93" s="1">
        <f ca="1">IF(C93=1,OFFSET(控制台!$D$599,MATCH(F93,控制台!$B$599:$B$615,0)-1,0),OFFSET(控制台!$D$618,MATCH(F93,控制台!$B$618:$B$636,0)-1,0))</f>
        <v>18144000</v>
      </c>
      <c r="I93" s="1">
        <f ca="1">IF(E93=1,H93/G93,IF(E93=5,H93/G93*OFFSET(控制台!$D$641,MATCH(B93,控制台!$B$641:$B$645,0)-1,0),H93/G93*OFFSET(控制台!$H$641,MATCH(B93,控制台!$F$641:$F$650,0)-1,0)))</f>
        <v>1237090.90909091</v>
      </c>
      <c r="J93" s="1">
        <f ca="1">$I93/3*控制台!H$102</f>
        <v>412363.636363636</v>
      </c>
      <c r="K93" s="1">
        <f ca="1">$I93/3*控制台!I$102</f>
        <v>309272.727272727</v>
      </c>
      <c r="L93" s="1">
        <f ca="1">$I93/3*控制台!J$102</f>
        <v>515454.545454546</v>
      </c>
      <c r="M93" s="1">
        <f ca="1">_xlfn.FLOOR.MATH(J93,POWER(10,MAX(2,INT(LOG10(J93)-2))))</f>
        <v>412000</v>
      </c>
      <c r="N93" s="1">
        <f ca="1">_xlfn.FLOOR.MATH(K93,POWER(10,MAX(2,INT(LOG10(K93)-2))))</f>
        <v>309000</v>
      </c>
      <c r="O93" s="1">
        <f ca="1">_xlfn.FLOOR.MATH(L93,POWER(10,MAX(2,INT(LOG10(L93)-2))))</f>
        <v>515000</v>
      </c>
      <c r="P93" s="4" t="str">
        <f ca="1" t="shared" si="3"/>
        <v>412000;309000;515000</v>
      </c>
      <c r="Q93" s="15">
        <f ca="1">IF(C93=1,OFFSET(控制台!$H$599,MATCH(F93,控制台!$B$599:$B$615,0)-1,0),OFFSET(控制台!$H$618,MATCH(F93,控制台!$B$618:$B$636,0)-1,0))</f>
        <v>23974.9632</v>
      </c>
      <c r="R93" s="15">
        <f ca="1">IF(E93=1,Q93/G93,IF(E93=5,Q93/G93*OFFSET(控制台!$D$641,MATCH(B93,控制台!$B$641:$B$645,0)-1,0),Q93/G93*OFFSET(控制台!$H$641,MATCH(B93,控制台!$F$641:$F$650,0)-1,0)))</f>
        <v>1634.65658181818</v>
      </c>
      <c r="S93" s="16">
        <f ca="1">_xlfn.FLOOR.MATH(R93)*60</f>
        <v>98040</v>
      </c>
      <c r="T93" s="16">
        <f ca="1">8000+IF(C93=1,OFFSET(控制台!$K$599,MATCH(F93,控制台!$B$599:$B$615,0)-1,0),OFFSET(控制台!$K$618,MATCH(F93,控制台!$B$618:$B$636,0)-1,0))</f>
        <v>8021</v>
      </c>
      <c r="U93" s="1">
        <f ca="1">IF(C93=1,OFFSET(控制台!$F$599,MATCH(F93,控制台!$B$599:$B$615,0)-1,0),OFFSET(控制台!$F$618,MATCH(F93,控制台!$B$618:$B$636,0)-1,0))</f>
        <v>17003.52</v>
      </c>
      <c r="V93" s="1">
        <f ca="1">IF(E93=1,U93/G93,IF(E93=5,U93/G93*OFFSET(控制台!$D$641,MATCH(B93,控制台!$B$641:$B$645,0)-1,0),U93/G93*OFFSET(控制台!$H$641,MATCH(B93,控制台!$F$641:$F$650,0)-1,0)))</f>
        <v>1159.33090909091</v>
      </c>
      <c r="W93" s="20">
        <f ca="1" t="shared" si="4"/>
        <v>0.80509090909091</v>
      </c>
      <c r="X93" s="15">
        <f ca="1">IF(C93=1,OFFSET(控制台!$U$599,MATCH(F93,控制台!$B$599:$B$615,0)-1,0),OFFSET(控制台!$U$618,MATCH(F93,控制台!$B$618:$B$636,0)-1,0))</f>
        <v>49905</v>
      </c>
      <c r="Y93" s="16">
        <f ca="1">_xlfn.FLOOR.MATH(IF(E93=1,X93/G93,IF(E93=5,X93/G93*OFFSET(控制台!$D$641,MATCH(B93,控制台!$B$641:$B$645,0)-1,0),X93/G93*OFFSET(控制台!$H$641,MATCH(B93,控制台!$F$641:$F$650,0)-1,0))))</f>
        <v>3402</v>
      </c>
      <c r="Z93" s="16">
        <f ca="1" t="shared" si="5"/>
        <v>9071</v>
      </c>
    </row>
    <row r="94" spans="1:26">
      <c r="A94" s="1">
        <v>11202</v>
      </c>
      <c r="B94" s="1">
        <v>7</v>
      </c>
      <c r="C94" s="1">
        <v>1</v>
      </c>
      <c r="D94" s="1" t="s">
        <v>2794</v>
      </c>
      <c r="E94" s="1">
        <f ca="1">IF(C94=1,OFFSET(控制台!$F$552,MATCH(A94,控制台!$B$552:$B$580,0)-1,0),OFFSET(控制台!$L$552,MATCH(A94,控制台!$H$552:$H$594,0)-1,0))</f>
        <v>10</v>
      </c>
      <c r="F94" s="1">
        <f ca="1">IF(C94=1,OFFSET(控制台!$D$552,MATCH(A94,控制台!$B$552:$B$580,0)-1,0),OFFSET(控制台!$J$552,MATCH(A94,控制台!$H$552:$H$594,0)-1,0))</f>
        <v>12</v>
      </c>
      <c r="G94" s="1">
        <f ca="1">IF(C94=1,OFFSET(控制台!$I$599,MATCH(F94,控制台!$B$599:$B$615,0)-1,0),OFFSET(控制台!$I$618,MATCH(F94,控制台!$B$618:$B$636,0)-1,0))</f>
        <v>1</v>
      </c>
      <c r="H94" s="1">
        <f ca="1">IF(C94=1,OFFSET(控制台!$D$599,MATCH(F94,控制台!$B$599:$B$615,0)-1,0),OFFSET(控制台!$D$618,MATCH(F94,控制台!$B$618:$B$636,0)-1,0))</f>
        <v>18144000</v>
      </c>
      <c r="I94" s="1">
        <f ca="1">IF(E94=1,H94/G94,IF(E94=5,H94/G94*OFFSET(控制台!$D$641,MATCH(B94,控制台!$B$641:$B$645,0)-1,0),H94/G94*OFFSET(控制台!$H$641,MATCH(B94,控制台!$F$641:$F$650,0)-1,0)))</f>
        <v>1649454.54545455</v>
      </c>
      <c r="J94" s="1">
        <f ca="1">$I94/3*控制台!H$102</f>
        <v>549818.181818182</v>
      </c>
      <c r="K94" s="1">
        <f ca="1">$I94/3*控制台!I$102</f>
        <v>412363.636363636</v>
      </c>
      <c r="L94" s="1">
        <f ca="1">$I94/3*控制台!J$102</f>
        <v>687272.727272727</v>
      </c>
      <c r="M94" s="1">
        <f ca="1">_xlfn.FLOOR.MATH(J94,POWER(10,MAX(2,INT(LOG10(J94)-2))))</f>
        <v>549000</v>
      </c>
      <c r="N94" s="1">
        <f ca="1">_xlfn.FLOOR.MATH(K94,POWER(10,MAX(2,INT(LOG10(K94)-2))))</f>
        <v>412000</v>
      </c>
      <c r="O94" s="1">
        <f ca="1">_xlfn.FLOOR.MATH(L94,POWER(10,MAX(2,INT(LOG10(L94)-2))))</f>
        <v>687000</v>
      </c>
      <c r="P94" s="4" t="str">
        <f ca="1" t="shared" si="3"/>
        <v>549000;412000;687000</v>
      </c>
      <c r="Q94" s="15">
        <f ca="1">IF(C94=1,OFFSET(控制台!$H$599,MATCH(F94,控制台!$B$599:$B$615,0)-1,0),OFFSET(控制台!$H$618,MATCH(F94,控制台!$B$618:$B$636,0)-1,0))</f>
        <v>23974.9632</v>
      </c>
      <c r="R94" s="15">
        <f ca="1">IF(E94=1,Q94/G94,IF(E94=5,Q94/G94*OFFSET(控制台!$D$641,MATCH(B94,控制台!$B$641:$B$645,0)-1,0),Q94/G94*OFFSET(控制台!$H$641,MATCH(B94,控制台!$F$641:$F$650,0)-1,0)))</f>
        <v>2179.54210909091</v>
      </c>
      <c r="S94" s="16">
        <f ca="1">_xlfn.FLOOR.MATH(R94)*60</f>
        <v>130740</v>
      </c>
      <c r="T94" s="16">
        <f ca="1">8000+IF(C94=1,OFFSET(控制台!$K$599,MATCH(F94,控制台!$B$599:$B$615,0)-1,0),OFFSET(控制台!$K$618,MATCH(F94,控制台!$B$618:$B$636,0)-1,0))</f>
        <v>8021</v>
      </c>
      <c r="U94" s="1">
        <f ca="1">IF(C94=1,OFFSET(控制台!$F$599,MATCH(F94,控制台!$B$599:$B$615,0)-1,0),OFFSET(控制台!$F$618,MATCH(F94,控制台!$B$618:$B$636,0)-1,0))</f>
        <v>17003.52</v>
      </c>
      <c r="V94" s="1">
        <f ca="1">IF(E94=1,U94/G94,IF(E94=5,U94/G94*OFFSET(控制台!$D$641,MATCH(B94,控制台!$B$641:$B$645,0)-1,0),U94/G94*OFFSET(控制台!$H$641,MATCH(B94,控制台!$F$641:$F$650,0)-1,0)))</f>
        <v>1545.77454545455</v>
      </c>
      <c r="W94" s="20">
        <f ca="1" t="shared" si="4"/>
        <v>1.07345454545455</v>
      </c>
      <c r="X94" s="15">
        <f ca="1">IF(C94=1,OFFSET(控制台!$U$599,MATCH(F94,控制台!$B$599:$B$615,0)-1,0),OFFSET(控制台!$U$618,MATCH(F94,控制台!$B$618:$B$636,0)-1,0))</f>
        <v>49905</v>
      </c>
      <c r="Y94" s="16">
        <f ca="1">_xlfn.FLOOR.MATH(IF(E94=1,X94/G94,IF(E94=5,X94/G94*OFFSET(控制台!$D$641,MATCH(B94,控制台!$B$641:$B$645,0)-1,0),X94/G94*OFFSET(控制台!$H$641,MATCH(B94,控制台!$F$641:$F$650,0)-1,0))))</f>
        <v>4536</v>
      </c>
      <c r="Z94" s="16">
        <f ca="1" t="shared" si="5"/>
        <v>13607</v>
      </c>
    </row>
    <row r="95" spans="1:26">
      <c r="A95" s="1">
        <v>11202</v>
      </c>
      <c r="B95" s="1">
        <v>8</v>
      </c>
      <c r="C95" s="1">
        <v>1</v>
      </c>
      <c r="D95" s="1" t="s">
        <v>2794</v>
      </c>
      <c r="E95" s="1">
        <f ca="1">IF(C95=1,OFFSET(控制台!$F$552,MATCH(A95,控制台!$B$552:$B$580,0)-1,0),OFFSET(控制台!$L$552,MATCH(A95,控制台!$H$552:$H$594,0)-1,0))</f>
        <v>10</v>
      </c>
      <c r="F95" s="1">
        <f ca="1">IF(C95=1,OFFSET(控制台!$D$552,MATCH(A95,控制台!$B$552:$B$580,0)-1,0),OFFSET(控制台!$J$552,MATCH(A95,控制台!$H$552:$H$594,0)-1,0))</f>
        <v>12</v>
      </c>
      <c r="G95" s="1">
        <f ca="1">IF(C95=1,OFFSET(控制台!$I$599,MATCH(F95,控制台!$B$599:$B$615,0)-1,0),OFFSET(控制台!$I$618,MATCH(F95,控制台!$B$618:$B$636,0)-1,0))</f>
        <v>1</v>
      </c>
      <c r="H95" s="1">
        <f ca="1">IF(C95=1,OFFSET(控制台!$D$599,MATCH(F95,控制台!$B$599:$B$615,0)-1,0),OFFSET(控制台!$D$618,MATCH(F95,控制台!$B$618:$B$636,0)-1,0))</f>
        <v>18144000</v>
      </c>
      <c r="I95" s="1">
        <f ca="1">IF(E95=1,H95/G95,IF(E95=5,H95/G95*OFFSET(控制台!$D$641,MATCH(B95,控制台!$B$641:$B$645,0)-1,0),H95/G95*OFFSET(控制台!$H$641,MATCH(B95,控制台!$F$641:$F$650,0)-1,0)))</f>
        <v>2474181.81818181</v>
      </c>
      <c r="J95" s="1">
        <f ca="1">$I95/3*控制台!H$102</f>
        <v>824727.27272727</v>
      </c>
      <c r="K95" s="1">
        <f ca="1">$I95/3*控制台!I$102</f>
        <v>618545.454545453</v>
      </c>
      <c r="L95" s="1">
        <f ca="1">$I95/3*控制台!J$102</f>
        <v>1030909.09090909</v>
      </c>
      <c r="M95" s="1">
        <f ca="1">_xlfn.FLOOR.MATH(J95,POWER(10,MAX(2,INT(LOG10(J95)-2))))</f>
        <v>824000</v>
      </c>
      <c r="N95" s="1">
        <f ca="1">_xlfn.FLOOR.MATH(K95,POWER(10,MAX(2,INT(LOG10(K95)-2))))</f>
        <v>618000</v>
      </c>
      <c r="O95" s="1">
        <f ca="1">_xlfn.FLOOR.MATH(L95,POWER(10,MAX(2,INT(LOG10(L95)-2))))</f>
        <v>1030000</v>
      </c>
      <c r="P95" s="4" t="str">
        <f ca="1" t="shared" si="3"/>
        <v>824000;618000;1030000</v>
      </c>
      <c r="Q95" s="15">
        <f ca="1">IF(C95=1,OFFSET(控制台!$H$599,MATCH(F95,控制台!$B$599:$B$615,0)-1,0),OFFSET(控制台!$H$618,MATCH(F95,控制台!$B$618:$B$636,0)-1,0))</f>
        <v>23974.9632</v>
      </c>
      <c r="R95" s="15">
        <f ca="1">IF(E95=1,Q95/G95,IF(E95=5,Q95/G95*OFFSET(控制台!$D$641,MATCH(B95,控制台!$B$641:$B$645,0)-1,0),Q95/G95*OFFSET(控制台!$H$641,MATCH(B95,控制台!$F$641:$F$650,0)-1,0)))</f>
        <v>3269.31316363636</v>
      </c>
      <c r="S95" s="16">
        <f ca="1">_xlfn.FLOOR.MATH(R95)*60</f>
        <v>196140</v>
      </c>
      <c r="T95" s="16">
        <f ca="1">8000+IF(C95=1,OFFSET(控制台!$K$599,MATCH(F95,控制台!$B$599:$B$615,0)-1,0),OFFSET(控制台!$K$618,MATCH(F95,控制台!$B$618:$B$636,0)-1,0))</f>
        <v>8021</v>
      </c>
      <c r="U95" s="1">
        <f ca="1">IF(C95=1,OFFSET(控制台!$F$599,MATCH(F95,控制台!$B$599:$B$615,0)-1,0),OFFSET(控制台!$F$618,MATCH(F95,控制台!$B$618:$B$636,0)-1,0))</f>
        <v>17003.52</v>
      </c>
      <c r="V95" s="1">
        <f ca="1">IF(E95=1,U95/G95,IF(E95=5,U95/G95*OFFSET(控制台!$D$641,MATCH(B95,控制台!$B$641:$B$645,0)-1,0),U95/G95*OFFSET(控制台!$H$641,MATCH(B95,控制台!$F$641:$F$650,0)-1,0)))</f>
        <v>2318.66181818181</v>
      </c>
      <c r="W95" s="20">
        <f ca="1" t="shared" si="4"/>
        <v>1.61018181818181</v>
      </c>
      <c r="X95" s="15">
        <f ca="1">IF(C95=1,OFFSET(控制台!$U$599,MATCH(F95,控制台!$B$599:$B$615,0)-1,0),OFFSET(控制台!$U$618,MATCH(F95,控制台!$B$618:$B$636,0)-1,0))</f>
        <v>49905</v>
      </c>
      <c r="Y95" s="16">
        <f ca="1">_xlfn.FLOOR.MATH(IF(E95=1,X95/G95,IF(E95=5,X95/G95*OFFSET(控制台!$D$641,MATCH(B95,控制台!$B$641:$B$645,0)-1,0),X95/G95*OFFSET(控制台!$H$641,MATCH(B95,控制台!$F$641:$F$650,0)-1,0))))</f>
        <v>6805</v>
      </c>
      <c r="Z95" s="16">
        <f ca="1" t="shared" si="5"/>
        <v>20412</v>
      </c>
    </row>
    <row r="96" spans="1:26">
      <c r="A96" s="1">
        <v>11202</v>
      </c>
      <c r="B96" s="1">
        <v>9</v>
      </c>
      <c r="C96" s="1">
        <v>1</v>
      </c>
      <c r="D96" s="1" t="s">
        <v>2794</v>
      </c>
      <c r="E96" s="1">
        <f ca="1">IF(C96=1,OFFSET(控制台!$F$552,MATCH(A96,控制台!$B$552:$B$580,0)-1,0),OFFSET(控制台!$L$552,MATCH(A96,控制台!$H$552:$H$594,0)-1,0))</f>
        <v>10</v>
      </c>
      <c r="F96" s="1">
        <f ca="1">IF(C96=1,OFFSET(控制台!$D$552,MATCH(A96,控制台!$B$552:$B$580,0)-1,0),OFFSET(控制台!$J$552,MATCH(A96,控制台!$H$552:$H$594,0)-1,0))</f>
        <v>12</v>
      </c>
      <c r="G96" s="1">
        <f ca="1">IF(C96=1,OFFSET(控制台!$I$599,MATCH(F96,控制台!$B$599:$B$615,0)-1,0),OFFSET(控制台!$I$618,MATCH(F96,控制台!$B$618:$B$636,0)-1,0))</f>
        <v>1</v>
      </c>
      <c r="H96" s="1">
        <f ca="1">IF(C96=1,OFFSET(控制台!$D$599,MATCH(F96,控制台!$B$599:$B$615,0)-1,0),OFFSET(控制台!$D$618,MATCH(F96,控制台!$B$618:$B$636,0)-1,0))</f>
        <v>18144000</v>
      </c>
      <c r="I96" s="1">
        <f ca="1">IF(E96=1,H96/G96,IF(E96=5,H96/G96*OFFSET(控制台!$D$641,MATCH(B96,控制台!$B$641:$B$645,0)-1,0),H96/G96*OFFSET(控制台!$H$641,MATCH(B96,控制台!$F$641:$F$650,0)-1,0)))</f>
        <v>4123636.36363636</v>
      </c>
      <c r="J96" s="1">
        <f ca="1">$I96/3*控制台!H$102</f>
        <v>1374545.45454545</v>
      </c>
      <c r="K96" s="1">
        <f ca="1">$I96/3*控制台!I$102</f>
        <v>1030909.09090909</v>
      </c>
      <c r="L96" s="1">
        <f ca="1">$I96/3*控制台!J$102</f>
        <v>1718181.81818182</v>
      </c>
      <c r="M96" s="1">
        <f ca="1">_xlfn.FLOOR.MATH(J96,POWER(10,MAX(2,INT(LOG10(J96)-2))))</f>
        <v>1370000</v>
      </c>
      <c r="N96" s="1">
        <f ca="1">_xlfn.FLOOR.MATH(K96,POWER(10,MAX(2,INT(LOG10(K96)-2))))</f>
        <v>1030000</v>
      </c>
      <c r="O96" s="1">
        <f ca="1">_xlfn.FLOOR.MATH(L96,POWER(10,MAX(2,INT(LOG10(L96)-2))))</f>
        <v>1710000</v>
      </c>
      <c r="P96" s="4" t="str">
        <f ca="1" t="shared" si="3"/>
        <v>1370000;1030000;1710000</v>
      </c>
      <c r="Q96" s="15">
        <f ca="1">IF(C96=1,OFFSET(控制台!$H$599,MATCH(F96,控制台!$B$599:$B$615,0)-1,0),OFFSET(控制台!$H$618,MATCH(F96,控制台!$B$618:$B$636,0)-1,0))</f>
        <v>23974.9632</v>
      </c>
      <c r="R96" s="15">
        <f ca="1">IF(E96=1,Q96/G96,IF(E96=5,Q96/G96*OFFSET(控制台!$D$641,MATCH(B96,控制台!$B$641:$B$645,0)-1,0),Q96/G96*OFFSET(控制台!$H$641,MATCH(B96,控制台!$F$641:$F$650,0)-1,0)))</f>
        <v>5448.85527272727</v>
      </c>
      <c r="S96" s="16">
        <f ca="1">_xlfn.FLOOR.MATH(R96)*60</f>
        <v>326880</v>
      </c>
      <c r="T96" s="16">
        <f ca="1">8000+IF(C96=1,OFFSET(控制台!$K$599,MATCH(F96,控制台!$B$599:$B$615,0)-1,0),OFFSET(控制台!$K$618,MATCH(F96,控制台!$B$618:$B$636,0)-1,0))</f>
        <v>8021</v>
      </c>
      <c r="U96" s="1">
        <f ca="1">IF(C96=1,OFFSET(控制台!$F$599,MATCH(F96,控制台!$B$599:$B$615,0)-1,0),OFFSET(控制台!$F$618,MATCH(F96,控制台!$B$618:$B$636,0)-1,0))</f>
        <v>17003.52</v>
      </c>
      <c r="V96" s="1">
        <f ca="1">IF(E96=1,U96/G96,IF(E96=5,U96/G96*OFFSET(控制台!$D$641,MATCH(B96,控制台!$B$641:$B$645,0)-1,0),U96/G96*OFFSET(控制台!$H$641,MATCH(B96,控制台!$F$641:$F$650,0)-1,0)))</f>
        <v>3864.43636363636</v>
      </c>
      <c r="W96" s="20">
        <f ca="1" t="shared" si="4"/>
        <v>2.68363636363636</v>
      </c>
      <c r="X96" s="15">
        <f ca="1">IF(C96=1,OFFSET(控制台!$U$599,MATCH(F96,控制台!$B$599:$B$615,0)-1,0),OFFSET(控制台!$U$618,MATCH(F96,控制台!$B$618:$B$636,0)-1,0))</f>
        <v>49905</v>
      </c>
      <c r="Y96" s="16">
        <f ca="1">_xlfn.FLOOR.MATH(IF(E96=1,X96/G96,IF(E96=5,X96/G96*OFFSET(控制台!$D$641,MATCH(B96,控制台!$B$641:$B$645,0)-1,0),X96/G96*OFFSET(控制台!$H$641,MATCH(B96,控制台!$F$641:$F$650,0)-1,0))))</f>
        <v>11342</v>
      </c>
      <c r="Z96" s="16">
        <f ca="1" t="shared" si="5"/>
        <v>31754</v>
      </c>
    </row>
    <row r="97" spans="1:26">
      <c r="A97" s="1">
        <v>11202</v>
      </c>
      <c r="B97" s="1">
        <v>10</v>
      </c>
      <c r="C97" s="1">
        <v>1</v>
      </c>
      <c r="D97" s="1" t="s">
        <v>2794</v>
      </c>
      <c r="E97" s="1">
        <f ca="1">IF(C97=1,OFFSET(控制台!$F$552,MATCH(A97,控制台!$B$552:$B$580,0)-1,0),OFFSET(控制台!$L$552,MATCH(A97,控制台!$H$552:$H$594,0)-1,0))</f>
        <v>10</v>
      </c>
      <c r="F97" s="1">
        <f ca="1">IF(C97=1,OFFSET(控制台!$D$552,MATCH(A97,控制台!$B$552:$B$580,0)-1,0),OFFSET(控制台!$J$552,MATCH(A97,控制台!$H$552:$H$594,0)-1,0))</f>
        <v>12</v>
      </c>
      <c r="G97" s="1">
        <f ca="1">IF(C97=1,OFFSET(控制台!$I$599,MATCH(F97,控制台!$B$599:$B$615,0)-1,0),OFFSET(控制台!$I$618,MATCH(F97,控制台!$B$618:$B$636,0)-1,0))</f>
        <v>1</v>
      </c>
      <c r="H97" s="1">
        <f ca="1">IF(C97=1,OFFSET(控制台!$D$599,MATCH(F97,控制台!$B$599:$B$615,0)-1,0),OFFSET(控制台!$D$618,MATCH(F97,控制台!$B$618:$B$636,0)-1,0))</f>
        <v>18144000</v>
      </c>
      <c r="I97" s="1">
        <f ca="1">IF(E97=1,H97/G97,IF(E97=5,H97/G97*OFFSET(控制台!$D$641,MATCH(B97,控制台!$B$641:$B$645,0)-1,0),H97/G97*OFFSET(控制台!$H$641,MATCH(B97,控制台!$F$641:$F$650,0)-1,0)))</f>
        <v>6597818.18181819</v>
      </c>
      <c r="J97" s="1">
        <f ca="1">$I97/3*控制台!H$102</f>
        <v>2199272.72727273</v>
      </c>
      <c r="K97" s="1">
        <f ca="1">$I97/3*控制台!I$102</f>
        <v>1649454.54545455</v>
      </c>
      <c r="L97" s="1">
        <f ca="1">$I97/3*控制台!J$102</f>
        <v>2749090.90909091</v>
      </c>
      <c r="M97" s="1">
        <f ca="1">_xlfn.FLOOR.MATH(J97,POWER(10,MAX(2,INT(LOG10(J97)-2))))</f>
        <v>2190000</v>
      </c>
      <c r="N97" s="1">
        <f ca="1">_xlfn.FLOOR.MATH(K97,POWER(10,MAX(2,INT(LOG10(K97)-2))))</f>
        <v>1640000</v>
      </c>
      <c r="O97" s="1">
        <f ca="1">_xlfn.FLOOR.MATH(L97,POWER(10,MAX(2,INT(LOG10(L97)-2))))</f>
        <v>2740000</v>
      </c>
      <c r="P97" s="4" t="str">
        <f ca="1" t="shared" si="3"/>
        <v>2190000;1640000;2740000</v>
      </c>
      <c r="Q97" s="15">
        <f ca="1">IF(C97=1,OFFSET(控制台!$H$599,MATCH(F97,控制台!$B$599:$B$615,0)-1,0),OFFSET(控制台!$H$618,MATCH(F97,控制台!$B$618:$B$636,0)-1,0))</f>
        <v>23974.9632</v>
      </c>
      <c r="R97" s="15">
        <f ca="1">IF(E97=1,Q97/G97,IF(E97=5,Q97/G97*OFFSET(控制台!$D$641,MATCH(B97,控制台!$B$641:$B$645,0)-1,0),Q97/G97*OFFSET(控制台!$H$641,MATCH(B97,控制台!$F$641:$F$650,0)-1,0)))</f>
        <v>8718.16843636365</v>
      </c>
      <c r="S97" s="16">
        <f ca="1">_xlfn.FLOOR.MATH(R97)*60</f>
        <v>523080</v>
      </c>
      <c r="T97" s="16">
        <f ca="1">8000+IF(C97=1,OFFSET(控制台!$K$599,MATCH(F97,控制台!$B$599:$B$615,0)-1,0),OFFSET(控制台!$K$618,MATCH(F97,控制台!$B$618:$B$636,0)-1,0))</f>
        <v>8021</v>
      </c>
      <c r="U97" s="1">
        <f ca="1">IF(C97=1,OFFSET(控制台!$F$599,MATCH(F97,控制台!$B$599:$B$615,0)-1,0),OFFSET(控制台!$F$618,MATCH(F97,控制台!$B$618:$B$636,0)-1,0))</f>
        <v>17003.52</v>
      </c>
      <c r="V97" s="1">
        <f ca="1">IF(E97=1,U97/G97,IF(E97=5,U97/G97*OFFSET(控制台!$D$641,MATCH(B97,控制台!$B$641:$B$645,0)-1,0),U97/G97*OFFSET(控制台!$H$641,MATCH(B97,控制台!$F$641:$F$650,0)-1,0)))</f>
        <v>6183.09818181819</v>
      </c>
      <c r="W97" s="20">
        <f ca="1" t="shared" si="4"/>
        <v>4.29381818181819</v>
      </c>
      <c r="X97" s="15">
        <f ca="1">IF(C97=1,OFFSET(控制台!$U$599,MATCH(F97,控制台!$B$599:$B$615,0)-1,0),OFFSET(控制台!$U$618,MATCH(F97,控制台!$B$618:$B$636,0)-1,0))</f>
        <v>49905</v>
      </c>
      <c r="Y97" s="16">
        <f ca="1">_xlfn.FLOOR.MATH(IF(E97=1,X97/G97,IF(E97=5,X97/G97*OFFSET(控制台!$D$641,MATCH(B97,控制台!$B$641:$B$645,0)-1,0),X97/G97*OFFSET(控制台!$H$641,MATCH(B97,控制台!$F$641:$F$650,0)-1,0))))</f>
        <v>18147</v>
      </c>
      <c r="Z97" s="16">
        <f ca="1" t="shared" si="5"/>
        <v>49901</v>
      </c>
    </row>
    <row r="98" spans="1:26">
      <c r="A98" s="1">
        <v>11301</v>
      </c>
      <c r="B98" s="1">
        <v>1</v>
      </c>
      <c r="C98" s="1">
        <v>1</v>
      </c>
      <c r="D98" s="1" t="s">
        <v>2795</v>
      </c>
      <c r="E98" s="1">
        <f ca="1">IF(C98=1,OFFSET(控制台!$F$552,MATCH(A98,控制台!$B$552:$B$580,0)-1,0),OFFSET(控制台!$L$552,MATCH(A98,控制台!$H$552:$H$594,0)-1,0))</f>
        <v>1</v>
      </c>
      <c r="F98" s="1">
        <f ca="1">IF(C98=1,OFFSET(控制台!$D$552,MATCH(A98,控制台!$B$552:$B$580,0)-1,0),OFFSET(控制台!$J$552,MATCH(A98,控制台!$H$552:$H$594,0)-1,0))</f>
        <v>13</v>
      </c>
      <c r="G98" s="1">
        <f ca="1">IF(C98=1,OFFSET(控制台!$I$599,MATCH(F98,控制台!$B$599:$B$615,0)-1,0),OFFSET(控制台!$I$618,MATCH(F98,控制台!$B$618:$B$636,0)-1,0))</f>
        <v>2</v>
      </c>
      <c r="H98" s="1">
        <f ca="1">IF(C98=1,OFFSET(控制台!$D$599,MATCH(F98,控制台!$B$599:$B$615,0)-1,0),OFFSET(控制台!$D$618,MATCH(F98,控制台!$B$618:$B$636,0)-1,0))</f>
        <v>19224000</v>
      </c>
      <c r="I98" s="1">
        <f ca="1">IF(E98=1,H98/G98,IF(E98=5,H98/G98*OFFSET(控制台!$D$641,MATCH(B98,控制台!$B$641:$B$645,0)-1,0),H98/G98*OFFSET(控制台!$H$641,MATCH(B98,控制台!$F$641:$F$650,0)-1,0)))</f>
        <v>9612000</v>
      </c>
      <c r="J98" s="1">
        <f ca="1">$I98/3*控制台!H$102</f>
        <v>3204000</v>
      </c>
      <c r="K98" s="1">
        <f ca="1">$I98/3*控制台!I$102</f>
        <v>2403000</v>
      </c>
      <c r="L98" s="1">
        <f ca="1">$I98/3*控制台!J$102</f>
        <v>4005000</v>
      </c>
      <c r="M98" s="1">
        <f ca="1">_xlfn.FLOOR.MATH(J98,POWER(10,MAX(2,INT(LOG10(J98)-2))))</f>
        <v>3200000</v>
      </c>
      <c r="N98" s="1">
        <f ca="1">_xlfn.FLOOR.MATH(K98,POWER(10,MAX(2,INT(LOG10(K98)-2))))</f>
        <v>2400000</v>
      </c>
      <c r="O98" s="1">
        <f ca="1">_xlfn.FLOOR.MATH(L98,POWER(10,MAX(2,INT(LOG10(L98)-2))))</f>
        <v>4000000</v>
      </c>
      <c r="P98" s="4" t="str">
        <f ca="1" t="shared" si="3"/>
        <v>3200000;2400000;4000000</v>
      </c>
      <c r="Q98" s="15">
        <f ca="1">IF(C98=1,OFFSET(控制台!$H$599,MATCH(F98,控制台!$B$599:$B$615,0)-1,0),OFFSET(控制台!$H$618,MATCH(F98,控制台!$B$618:$B$636,0)-1,0))</f>
        <v>23556.096</v>
      </c>
      <c r="R98" s="15">
        <f ca="1">IF(E98=1,Q98/G98,IF(E98=5,Q98/G98*OFFSET(控制台!$D$641,MATCH(B98,控制台!$B$641:$B$645,0)-1,0),Q98/G98*OFFSET(控制台!$H$641,MATCH(B98,控制台!$F$641:$F$650,0)-1,0)))</f>
        <v>11778.048</v>
      </c>
      <c r="S98" s="16">
        <f ca="1">_xlfn.FLOOR.MATH(R98)*60</f>
        <v>706680</v>
      </c>
      <c r="T98" s="16">
        <f ca="1">8000+IF(C98=1,OFFSET(控制台!$K$599,MATCH(F98,控制台!$B$599:$B$615,0)-1,0),OFFSET(控制台!$K$618,MATCH(F98,控制台!$B$618:$B$636,0)-1,0))</f>
        <v>8022</v>
      </c>
      <c r="U98" s="1">
        <f ca="1">IF(C98=1,OFFSET(控制台!$F$599,MATCH(F98,控制台!$B$599:$B$615,0)-1,0),OFFSET(控制台!$F$618,MATCH(F98,控制台!$B$618:$B$636,0)-1,0))</f>
        <v>16588.8</v>
      </c>
      <c r="V98" s="1">
        <f ca="1">IF(E98=1,U98/G98,IF(E98=5,U98/G98*OFFSET(控制台!$D$641,MATCH(B98,控制台!$B$641:$B$645,0)-1,0),U98/G98*OFFSET(控制台!$H$641,MATCH(B98,控制台!$F$641:$F$650,0)-1,0)))</f>
        <v>8294.4</v>
      </c>
      <c r="W98" s="20">
        <f ca="1" t="shared" si="4"/>
        <v>5.76</v>
      </c>
      <c r="X98" s="15">
        <f ca="1">IF(C98=1,OFFSET(控制台!$U$599,MATCH(F98,控制台!$B$599:$B$615,0)-1,0),OFFSET(控制台!$U$618,MATCH(F98,控制台!$B$618:$B$636,0)-1,0))</f>
        <v>49005</v>
      </c>
      <c r="Y98" s="16">
        <f ca="1">_xlfn.FLOOR.MATH(IF(E98=1,X98/G98,IF(E98=5,X98/G98*OFFSET(控制台!$D$641,MATCH(B98,控制台!$B$641:$B$645,0)-1,0),X98/G98*OFFSET(控制台!$H$641,MATCH(B98,控制台!$F$641:$F$650,0)-1,0))))</f>
        <v>24502</v>
      </c>
      <c r="Z98" s="16">
        <f ca="1" t="shared" si="5"/>
        <v>24502</v>
      </c>
    </row>
    <row r="99" spans="1:26">
      <c r="A99" s="1">
        <v>11303</v>
      </c>
      <c r="B99" s="1">
        <v>1</v>
      </c>
      <c r="C99" s="1">
        <v>1</v>
      </c>
      <c r="D99" s="1" t="s">
        <v>2796</v>
      </c>
      <c r="E99" s="1">
        <f ca="1">IF(C99=1,OFFSET(控制台!$F$552,MATCH(A99,控制台!$B$552:$B$580,0)-1,0),OFFSET(控制台!$L$552,MATCH(A99,控制台!$H$552:$H$594,0)-1,0))</f>
        <v>1</v>
      </c>
      <c r="F99" s="1">
        <f ca="1">IF(C99=1,OFFSET(控制台!$D$552,MATCH(A99,控制台!$B$552:$B$580,0)-1,0),OFFSET(控制台!$J$552,MATCH(A99,控制台!$H$552:$H$594,0)-1,0))</f>
        <v>13</v>
      </c>
      <c r="G99" s="1">
        <f ca="1">IF(C99=1,OFFSET(控制台!$I$599,MATCH(F99,控制台!$B$599:$B$615,0)-1,0),OFFSET(控制台!$I$618,MATCH(F99,控制台!$B$618:$B$636,0)-1,0))</f>
        <v>2</v>
      </c>
      <c r="H99" s="1">
        <f ca="1">IF(C99=1,OFFSET(控制台!$D$599,MATCH(F99,控制台!$B$599:$B$615,0)-1,0),OFFSET(控制台!$D$618,MATCH(F99,控制台!$B$618:$B$636,0)-1,0))</f>
        <v>19224000</v>
      </c>
      <c r="I99" s="1">
        <f ca="1">IF(E99=1,H99/G99,IF(E99=5,H99/G99*OFFSET(控制台!$D$641,MATCH(B99,控制台!$B$641:$B$645,0)-1,0),H99/G99*OFFSET(控制台!$H$641,MATCH(B99,控制台!$F$641:$F$650,0)-1,0)))</f>
        <v>9612000</v>
      </c>
      <c r="J99" s="1">
        <f ca="1">$I99/3*控制台!H$102</f>
        <v>3204000</v>
      </c>
      <c r="K99" s="1">
        <f ca="1">$I99/3*控制台!I$102</f>
        <v>2403000</v>
      </c>
      <c r="L99" s="1">
        <f ca="1">$I99/3*控制台!J$102</f>
        <v>4005000</v>
      </c>
      <c r="M99" s="1">
        <f ca="1">_xlfn.FLOOR.MATH(J99,POWER(10,MAX(2,INT(LOG10(J99)-2))))</f>
        <v>3200000</v>
      </c>
      <c r="N99" s="1">
        <f ca="1">_xlfn.FLOOR.MATH(K99,POWER(10,MAX(2,INT(LOG10(K99)-2))))</f>
        <v>2400000</v>
      </c>
      <c r="O99" s="1">
        <f ca="1">_xlfn.FLOOR.MATH(L99,POWER(10,MAX(2,INT(LOG10(L99)-2))))</f>
        <v>4000000</v>
      </c>
      <c r="P99" s="4" t="str">
        <f ca="1" t="shared" si="3"/>
        <v>3200000;2400000;4000000</v>
      </c>
      <c r="Q99" s="15">
        <f ca="1">IF(C99=1,OFFSET(控制台!$H$599,MATCH(F99,控制台!$B$599:$B$615,0)-1,0),OFFSET(控制台!$H$618,MATCH(F99,控制台!$B$618:$B$636,0)-1,0))</f>
        <v>23556.096</v>
      </c>
      <c r="R99" s="15">
        <f ca="1">IF(E99=1,Q99/G99,IF(E99=5,Q99/G99*OFFSET(控制台!$D$641,MATCH(B99,控制台!$B$641:$B$645,0)-1,0),Q99/G99*OFFSET(控制台!$H$641,MATCH(B99,控制台!$F$641:$F$650,0)-1,0)))</f>
        <v>11778.048</v>
      </c>
      <c r="S99" s="16">
        <f ca="1">_xlfn.FLOOR.MATH(R99)*60</f>
        <v>706680</v>
      </c>
      <c r="T99" s="16">
        <f ca="1">8000+IF(C99=1,OFFSET(控制台!$K$599,MATCH(F99,控制台!$B$599:$B$615,0)-1,0),OFFSET(控制台!$K$618,MATCH(F99,控制台!$B$618:$B$636,0)-1,0))</f>
        <v>8022</v>
      </c>
      <c r="U99" s="1">
        <f ca="1">IF(C99=1,OFFSET(控制台!$F$599,MATCH(F99,控制台!$B$599:$B$615,0)-1,0),OFFSET(控制台!$F$618,MATCH(F99,控制台!$B$618:$B$636,0)-1,0))</f>
        <v>16588.8</v>
      </c>
      <c r="V99" s="1">
        <f ca="1">IF(E99=1,U99/G99,IF(E99=5,U99/G99*OFFSET(控制台!$D$641,MATCH(B99,控制台!$B$641:$B$645,0)-1,0),U99/G99*OFFSET(控制台!$H$641,MATCH(B99,控制台!$F$641:$F$650,0)-1,0)))</f>
        <v>8294.4</v>
      </c>
      <c r="W99" s="20">
        <f ca="1" t="shared" si="4"/>
        <v>5.76</v>
      </c>
      <c r="X99" s="15">
        <f ca="1">IF(C99=1,OFFSET(控制台!$U$599,MATCH(F99,控制台!$B$599:$B$615,0)-1,0),OFFSET(控制台!$U$618,MATCH(F99,控制台!$B$618:$B$636,0)-1,0))</f>
        <v>49005</v>
      </c>
      <c r="Y99" s="16">
        <f ca="1">_xlfn.FLOOR.MATH(IF(E99=1,X99/G99,IF(E99=5,X99/G99*OFFSET(控制台!$D$641,MATCH(B99,控制台!$B$641:$B$645,0)-1,0),X99/G99*OFFSET(控制台!$H$641,MATCH(B99,控制台!$F$641:$F$650,0)-1,0))))</f>
        <v>24502</v>
      </c>
      <c r="Z99" s="16">
        <f ca="1" t="shared" si="5"/>
        <v>24502</v>
      </c>
    </row>
    <row r="100" spans="1:26">
      <c r="A100" s="1">
        <v>11402</v>
      </c>
      <c r="B100" s="1">
        <v>1</v>
      </c>
      <c r="C100" s="1">
        <v>1</v>
      </c>
      <c r="D100" s="1" t="s">
        <v>2797</v>
      </c>
      <c r="E100" s="1">
        <f ca="1">IF(C100=1,OFFSET(控制台!$F$552,MATCH(A100,控制台!$B$552:$B$580,0)-1,0),OFFSET(控制台!$L$552,MATCH(A100,控制台!$H$552:$H$594,0)-1,0))</f>
        <v>10</v>
      </c>
      <c r="F100" s="1">
        <f ca="1">IF(C100=1,OFFSET(控制台!$D$552,MATCH(A100,控制台!$B$552:$B$580,0)-1,0),OFFSET(控制台!$J$552,MATCH(A100,控制台!$H$552:$H$594,0)-1,0))</f>
        <v>14</v>
      </c>
      <c r="G100" s="1">
        <f ca="1">IF(C100=1,OFFSET(控制台!$I$599,MATCH(F100,控制台!$B$599:$B$615,0)-1,0),OFFSET(控制台!$I$618,MATCH(F100,控制台!$B$618:$B$636,0)-1,0))</f>
        <v>1</v>
      </c>
      <c r="H100" s="1">
        <f ca="1">IF(C100=1,OFFSET(控制台!$D$599,MATCH(F100,控制台!$B$599:$B$615,0)-1,0),OFFSET(控制台!$D$618,MATCH(F100,控制台!$B$618:$B$636,0)-1,0))</f>
        <v>87480000</v>
      </c>
      <c r="I100" s="1">
        <f ca="1">IF(E100=1,H100/G100,IF(E100=5,H100/G100*OFFSET(控制台!$D$641,MATCH(B100,控制台!$B$641:$B$645,0)-1,0),H100/G100*OFFSET(控制台!$H$641,MATCH(B100,控制台!$F$641:$F$650,0)-1,0)))</f>
        <v>795272.727272727</v>
      </c>
      <c r="J100" s="1">
        <f ca="1">$I100/3*控制台!H$102</f>
        <v>265090.909090909</v>
      </c>
      <c r="K100" s="1">
        <f ca="1">$I100/3*控制台!I$102</f>
        <v>198818.181818182</v>
      </c>
      <c r="L100" s="1">
        <f ca="1">$I100/3*控制台!J$102</f>
        <v>331363.636363636</v>
      </c>
      <c r="M100" s="1">
        <f ca="1">_xlfn.FLOOR.MATH(J100,POWER(10,MAX(2,INT(LOG10(J100)-2))))</f>
        <v>265000</v>
      </c>
      <c r="N100" s="1">
        <f ca="1">_xlfn.FLOOR.MATH(K100,POWER(10,MAX(2,INT(LOG10(K100)-2))))</f>
        <v>198000</v>
      </c>
      <c r="O100" s="1">
        <f ca="1">_xlfn.FLOOR.MATH(L100,POWER(10,MAX(2,INT(LOG10(L100)-2))))</f>
        <v>331000</v>
      </c>
      <c r="P100" s="4" t="str">
        <f ca="1" t="shared" si="3"/>
        <v>265000;198000;331000</v>
      </c>
      <c r="Q100" s="15">
        <f ca="1">IF(C100=1,OFFSET(控制台!$H$599,MATCH(F100,控制台!$B$599:$B$615,0)-1,0),OFFSET(控制台!$H$618,MATCH(F100,控制台!$B$618:$B$636,0)-1,0))</f>
        <v>76005.7344</v>
      </c>
      <c r="R100" s="15">
        <f ca="1">IF(E100=1,Q100/G100,IF(E100=5,Q100/G100*OFFSET(控制台!$D$641,MATCH(B100,控制台!$B$641:$B$645,0)-1,0),Q100/G100*OFFSET(控制台!$H$641,MATCH(B100,控制台!$F$641:$F$650,0)-1,0)))</f>
        <v>690.961221818181</v>
      </c>
      <c r="S100" s="16">
        <f ca="1">_xlfn.FLOOR.MATH(R100)*60</f>
        <v>41400</v>
      </c>
      <c r="T100" s="16">
        <f ca="1">8000+IF(C100=1,OFFSET(控制台!$K$599,MATCH(F100,控制台!$B$599:$B$615,0)-1,0),OFFSET(控制台!$K$618,MATCH(F100,控制台!$B$618:$B$636,0)-1,0))</f>
        <v>8024</v>
      </c>
      <c r="U100" s="1">
        <f ca="1">IF(C100=1,OFFSET(控制台!$F$599,MATCH(F100,控制台!$B$599:$B$615,0)-1,0),OFFSET(控制台!$F$618,MATCH(F100,控制台!$B$618:$B$636,0)-1,0))</f>
        <v>51010.56</v>
      </c>
      <c r="V100" s="1">
        <f ca="1">IF(E100=1,U100/G100,IF(E100=5,U100/G100*OFFSET(控制台!$D$641,MATCH(B100,控制台!$B$641:$B$645,0)-1,0),U100/G100*OFFSET(控制台!$H$641,MATCH(B100,控制台!$F$641:$F$650,0)-1,0)))</f>
        <v>463.732363636363</v>
      </c>
      <c r="W100" s="20">
        <f ca="1" t="shared" si="4"/>
        <v>0.322036363636363</v>
      </c>
      <c r="X100" s="15">
        <f ca="1">IF(C100=1,OFFSET(控制台!$U$599,MATCH(F100,控制台!$B$599:$B$615,0)-1,0),OFFSET(控制台!$U$618,MATCH(F100,控制台!$B$618:$B$636,0)-1,0))</f>
        <v>156600</v>
      </c>
      <c r="Y100" s="16">
        <f ca="1">_xlfn.FLOOR.MATH(IF(E100=1,X100/G100,IF(E100=5,X100/G100*OFFSET(控制台!$D$641,MATCH(B100,控制台!$B$641:$B$645,0)-1,0),X100/G100*OFFSET(控制台!$H$641,MATCH(B100,控制台!$F$641:$F$650,0)-1,0))))</f>
        <v>1423</v>
      </c>
      <c r="Z100" s="16">
        <f ca="1" t="shared" si="5"/>
        <v>1423</v>
      </c>
    </row>
    <row r="101" spans="1:26">
      <c r="A101" s="1">
        <v>11402</v>
      </c>
      <c r="B101" s="1">
        <v>2</v>
      </c>
      <c r="C101" s="1">
        <v>1</v>
      </c>
      <c r="D101" s="1" t="s">
        <v>2797</v>
      </c>
      <c r="E101" s="1">
        <f ca="1">IF(C101=1,OFFSET(控制台!$F$552,MATCH(A101,控制台!$B$552:$B$580,0)-1,0),OFFSET(控制台!$L$552,MATCH(A101,控制台!$H$552:$H$594,0)-1,0))</f>
        <v>10</v>
      </c>
      <c r="F101" s="1">
        <f ca="1">IF(C101=1,OFFSET(控制台!$D$552,MATCH(A101,控制台!$B$552:$B$580,0)-1,0),OFFSET(控制台!$J$552,MATCH(A101,控制台!$H$552:$H$594,0)-1,0))</f>
        <v>14</v>
      </c>
      <c r="G101" s="1">
        <f ca="1">IF(C101=1,OFFSET(控制台!$I$599,MATCH(F101,控制台!$B$599:$B$615,0)-1,0),OFFSET(控制台!$I$618,MATCH(F101,控制台!$B$618:$B$636,0)-1,0))</f>
        <v>1</v>
      </c>
      <c r="H101" s="1">
        <f ca="1">IF(C101=1,OFFSET(控制台!$D$599,MATCH(F101,控制台!$B$599:$B$615,0)-1,0),OFFSET(控制台!$D$618,MATCH(F101,控制台!$B$618:$B$636,0)-1,0))</f>
        <v>87480000</v>
      </c>
      <c r="I101" s="1">
        <f ca="1">IF(E101=1,H101/G101,IF(E101=5,H101/G101*OFFSET(控制台!$D$641,MATCH(B101,控制台!$B$641:$B$645,0)-1,0),H101/G101*OFFSET(控制台!$H$641,MATCH(B101,控制台!$F$641:$F$650,0)-1,0)))</f>
        <v>1192909.09090909</v>
      </c>
      <c r="J101" s="1">
        <f ca="1">$I101/3*控制台!H$102</f>
        <v>397636.363636363</v>
      </c>
      <c r="K101" s="1">
        <f ca="1">$I101/3*控制台!I$102</f>
        <v>298227.272727272</v>
      </c>
      <c r="L101" s="1">
        <f ca="1">$I101/3*控制台!J$102</f>
        <v>497045.454545453</v>
      </c>
      <c r="M101" s="1">
        <f ca="1">_xlfn.FLOOR.MATH(J101,POWER(10,MAX(2,INT(LOG10(J101)-2))))</f>
        <v>397000</v>
      </c>
      <c r="N101" s="1">
        <f ca="1">_xlfn.FLOOR.MATH(K101,POWER(10,MAX(2,INT(LOG10(K101)-2))))</f>
        <v>298000</v>
      </c>
      <c r="O101" s="1">
        <f ca="1">_xlfn.FLOOR.MATH(L101,POWER(10,MAX(2,INT(LOG10(L101)-2))))</f>
        <v>497000</v>
      </c>
      <c r="P101" s="4" t="str">
        <f ca="1" t="shared" si="3"/>
        <v>397000;298000;497000</v>
      </c>
      <c r="Q101" s="15">
        <f ca="1">IF(C101=1,OFFSET(控制台!$H$599,MATCH(F101,控制台!$B$599:$B$615,0)-1,0),OFFSET(控制台!$H$618,MATCH(F101,控制台!$B$618:$B$636,0)-1,0))</f>
        <v>76005.7344</v>
      </c>
      <c r="R101" s="15">
        <f ca="1">IF(E101=1,Q101/G101,IF(E101=5,Q101/G101*OFFSET(控制台!$D$641,MATCH(B101,控制台!$B$641:$B$645,0)-1,0),Q101/G101*OFFSET(控制台!$H$641,MATCH(B101,控制台!$F$641:$F$650,0)-1,0)))</f>
        <v>1036.44183272727</v>
      </c>
      <c r="S101" s="16">
        <f ca="1">_xlfn.FLOOR.MATH(R101)*60</f>
        <v>62160</v>
      </c>
      <c r="T101" s="16">
        <f ca="1">8000+IF(C101=1,OFFSET(控制台!$K$599,MATCH(F101,控制台!$B$599:$B$615,0)-1,0),OFFSET(控制台!$K$618,MATCH(F101,控制台!$B$618:$B$636,0)-1,0))</f>
        <v>8024</v>
      </c>
      <c r="U101" s="1">
        <f ca="1">IF(C101=1,OFFSET(控制台!$F$599,MATCH(F101,控制台!$B$599:$B$615,0)-1,0),OFFSET(控制台!$F$618,MATCH(F101,控制台!$B$618:$B$636,0)-1,0))</f>
        <v>51010.56</v>
      </c>
      <c r="V101" s="1">
        <f ca="1">IF(E101=1,U101/G101,IF(E101=5,U101/G101*OFFSET(控制台!$D$641,MATCH(B101,控制台!$B$641:$B$645,0)-1,0),U101/G101*OFFSET(控制台!$H$641,MATCH(B101,控制台!$F$641:$F$650,0)-1,0)))</f>
        <v>695.598545454543</v>
      </c>
      <c r="W101" s="20">
        <f ca="1" t="shared" si="4"/>
        <v>0.483054545454544</v>
      </c>
      <c r="X101" s="15">
        <f ca="1">IF(C101=1,OFFSET(控制台!$U$599,MATCH(F101,控制台!$B$599:$B$615,0)-1,0),OFFSET(控制台!$U$618,MATCH(F101,控制台!$B$618:$B$636,0)-1,0))</f>
        <v>156600</v>
      </c>
      <c r="Y101" s="16">
        <f ca="1">_xlfn.FLOOR.MATH(IF(E101=1,X101/G101,IF(E101=5,X101/G101*OFFSET(控制台!$D$641,MATCH(B101,控制台!$B$641:$B$645,0)-1,0),X101/G101*OFFSET(控制台!$H$641,MATCH(B101,控制台!$F$641:$F$650,0)-1,0))))</f>
        <v>2135</v>
      </c>
      <c r="Z101" s="16">
        <f ca="1" t="shared" si="5"/>
        <v>3558</v>
      </c>
    </row>
    <row r="102" spans="1:26">
      <c r="A102" s="1">
        <v>11402</v>
      </c>
      <c r="B102" s="1">
        <v>3</v>
      </c>
      <c r="C102" s="1">
        <v>1</v>
      </c>
      <c r="D102" s="1" t="s">
        <v>2797</v>
      </c>
      <c r="E102" s="1">
        <f ca="1">IF(C102=1,OFFSET(控制台!$F$552,MATCH(A102,控制台!$B$552:$B$580,0)-1,0),OFFSET(控制台!$L$552,MATCH(A102,控制台!$H$552:$H$594,0)-1,0))</f>
        <v>10</v>
      </c>
      <c r="F102" s="1">
        <f ca="1">IF(C102=1,OFFSET(控制台!$D$552,MATCH(A102,控制台!$B$552:$B$580,0)-1,0),OFFSET(控制台!$J$552,MATCH(A102,控制台!$H$552:$H$594,0)-1,0))</f>
        <v>14</v>
      </c>
      <c r="G102" s="1">
        <f ca="1">IF(C102=1,OFFSET(控制台!$I$599,MATCH(F102,控制台!$B$599:$B$615,0)-1,0),OFFSET(控制台!$I$618,MATCH(F102,控制台!$B$618:$B$636,0)-1,0))</f>
        <v>1</v>
      </c>
      <c r="H102" s="1">
        <f ca="1">IF(C102=1,OFFSET(控制台!$D$599,MATCH(F102,控制台!$B$599:$B$615,0)-1,0),OFFSET(控制台!$D$618,MATCH(F102,控制台!$B$618:$B$636,0)-1,0))</f>
        <v>87480000</v>
      </c>
      <c r="I102" s="1">
        <f ca="1">IF(E102=1,H102/G102,IF(E102=5,H102/G102*OFFSET(控制台!$D$641,MATCH(B102,控制台!$B$641:$B$645,0)-1,0),H102/G102*OFFSET(控制台!$H$641,MATCH(B102,控制台!$F$641:$F$650,0)-1,0)))</f>
        <v>1590545.45454546</v>
      </c>
      <c r="J102" s="1">
        <f ca="1">$I102/3*控制台!H$102</f>
        <v>530181.818181819</v>
      </c>
      <c r="K102" s="1">
        <f ca="1">$I102/3*控制台!I$102</f>
        <v>397636.363636364</v>
      </c>
      <c r="L102" s="1">
        <f ca="1">$I102/3*控制台!J$102</f>
        <v>662727.272727273</v>
      </c>
      <c r="M102" s="1">
        <f ca="1">_xlfn.FLOOR.MATH(J102,POWER(10,MAX(2,INT(LOG10(J102)-2))))</f>
        <v>530000</v>
      </c>
      <c r="N102" s="1">
        <f ca="1">_xlfn.FLOOR.MATH(K102,POWER(10,MAX(2,INT(LOG10(K102)-2))))</f>
        <v>397000</v>
      </c>
      <c r="O102" s="1">
        <f ca="1">_xlfn.FLOOR.MATH(L102,POWER(10,MAX(2,INT(LOG10(L102)-2))))</f>
        <v>662000</v>
      </c>
      <c r="P102" s="4" t="str">
        <f ca="1" t="shared" si="3"/>
        <v>530000;397000;662000</v>
      </c>
      <c r="Q102" s="15">
        <f ca="1">IF(C102=1,OFFSET(控制台!$H$599,MATCH(F102,控制台!$B$599:$B$615,0)-1,0),OFFSET(控制台!$H$618,MATCH(F102,控制台!$B$618:$B$636,0)-1,0))</f>
        <v>76005.7344</v>
      </c>
      <c r="R102" s="15">
        <f ca="1">IF(E102=1,Q102/G102,IF(E102=5,Q102/G102*OFFSET(控制台!$D$641,MATCH(B102,控制台!$B$641:$B$645,0)-1,0),Q102/G102*OFFSET(控制台!$H$641,MATCH(B102,控制台!$F$641:$F$650,0)-1,0)))</f>
        <v>1381.92244363636</v>
      </c>
      <c r="S102" s="16">
        <f ca="1">_xlfn.FLOOR.MATH(R102)*60</f>
        <v>82860</v>
      </c>
      <c r="T102" s="16">
        <f ca="1">8000+IF(C102=1,OFFSET(控制台!$K$599,MATCH(F102,控制台!$B$599:$B$615,0)-1,0),OFFSET(控制台!$K$618,MATCH(F102,控制台!$B$618:$B$636,0)-1,0))</f>
        <v>8024</v>
      </c>
      <c r="U102" s="1">
        <f ca="1">IF(C102=1,OFFSET(控制台!$F$599,MATCH(F102,控制台!$B$599:$B$615,0)-1,0),OFFSET(控制台!$F$618,MATCH(F102,控制台!$B$618:$B$636,0)-1,0))</f>
        <v>51010.56</v>
      </c>
      <c r="V102" s="1">
        <f ca="1">IF(E102=1,U102/G102,IF(E102=5,U102/G102*OFFSET(控制台!$D$641,MATCH(B102,控制台!$B$641:$B$645,0)-1,0),U102/G102*OFFSET(控制台!$H$641,MATCH(B102,控制台!$F$641:$F$650,0)-1,0)))</f>
        <v>927.464727272727</v>
      </c>
      <c r="W102" s="20">
        <f ca="1" t="shared" si="4"/>
        <v>0.644072727272727</v>
      </c>
      <c r="X102" s="15">
        <f ca="1">IF(C102=1,OFFSET(控制台!$U$599,MATCH(F102,控制台!$B$599:$B$615,0)-1,0),OFFSET(控制台!$U$618,MATCH(F102,控制台!$B$618:$B$636,0)-1,0))</f>
        <v>156600</v>
      </c>
      <c r="Y102" s="16">
        <f ca="1">_xlfn.FLOOR.MATH(IF(E102=1,X102/G102,IF(E102=5,X102/G102*OFFSET(控制台!$D$641,MATCH(B102,控制台!$B$641:$B$645,0)-1,0),X102/G102*OFFSET(控制台!$H$641,MATCH(B102,控制台!$F$641:$F$650,0)-1,0))))</f>
        <v>2847</v>
      </c>
      <c r="Z102" s="16">
        <f ca="1" t="shared" si="5"/>
        <v>6405</v>
      </c>
    </row>
    <row r="103" spans="1:26">
      <c r="A103" s="1">
        <v>11402</v>
      </c>
      <c r="B103" s="1">
        <v>4</v>
      </c>
      <c r="C103" s="1">
        <v>1</v>
      </c>
      <c r="D103" s="1" t="s">
        <v>2797</v>
      </c>
      <c r="E103" s="1">
        <f ca="1">IF(C103=1,OFFSET(控制台!$F$552,MATCH(A103,控制台!$B$552:$B$580,0)-1,0),OFFSET(控制台!$L$552,MATCH(A103,控制台!$H$552:$H$594,0)-1,0))</f>
        <v>10</v>
      </c>
      <c r="F103" s="1">
        <f ca="1">IF(C103=1,OFFSET(控制台!$D$552,MATCH(A103,控制台!$B$552:$B$580,0)-1,0),OFFSET(控制台!$J$552,MATCH(A103,控制台!$H$552:$H$594,0)-1,0))</f>
        <v>14</v>
      </c>
      <c r="G103" s="1">
        <f ca="1">IF(C103=1,OFFSET(控制台!$I$599,MATCH(F103,控制台!$B$599:$B$615,0)-1,0),OFFSET(控制台!$I$618,MATCH(F103,控制台!$B$618:$B$636,0)-1,0))</f>
        <v>1</v>
      </c>
      <c r="H103" s="1">
        <f ca="1">IF(C103=1,OFFSET(控制台!$D$599,MATCH(F103,控制台!$B$599:$B$615,0)-1,0),OFFSET(控制台!$D$618,MATCH(F103,控制台!$B$618:$B$636,0)-1,0))</f>
        <v>87480000</v>
      </c>
      <c r="I103" s="1">
        <f ca="1">IF(E103=1,H103/G103,IF(E103=5,H103/G103*OFFSET(控制台!$D$641,MATCH(B103,控制台!$B$641:$B$645,0)-1,0),H103/G103*OFFSET(控制台!$H$641,MATCH(B103,控制台!$F$641:$F$650,0)-1,0)))</f>
        <v>2385818.18181818</v>
      </c>
      <c r="J103" s="1">
        <f ca="1">$I103/3*控制台!H$102</f>
        <v>795272.727272728</v>
      </c>
      <c r="K103" s="1">
        <f ca="1">$I103/3*控制台!I$102</f>
        <v>596454.545454546</v>
      </c>
      <c r="L103" s="1">
        <f ca="1">$I103/3*控制台!J$102</f>
        <v>994090.90909091</v>
      </c>
      <c r="M103" s="1">
        <f ca="1">_xlfn.FLOOR.MATH(J103,POWER(10,MAX(2,INT(LOG10(J103)-2))))</f>
        <v>795000</v>
      </c>
      <c r="N103" s="1">
        <f ca="1">_xlfn.FLOOR.MATH(K103,POWER(10,MAX(2,INT(LOG10(K103)-2))))</f>
        <v>596000</v>
      </c>
      <c r="O103" s="1">
        <f ca="1">_xlfn.FLOOR.MATH(L103,POWER(10,MAX(2,INT(LOG10(L103)-2))))</f>
        <v>994000</v>
      </c>
      <c r="P103" s="4" t="str">
        <f ca="1" t="shared" si="3"/>
        <v>795000;596000;994000</v>
      </c>
      <c r="Q103" s="15">
        <f ca="1">IF(C103=1,OFFSET(控制台!$H$599,MATCH(F103,控制台!$B$599:$B$615,0)-1,0),OFFSET(控制台!$H$618,MATCH(F103,控制台!$B$618:$B$636,0)-1,0))</f>
        <v>76005.7344</v>
      </c>
      <c r="R103" s="15">
        <f ca="1">IF(E103=1,Q103/G103,IF(E103=5,Q103/G103*OFFSET(控制台!$D$641,MATCH(B103,控制台!$B$641:$B$645,0)-1,0),Q103/G103*OFFSET(控制台!$H$641,MATCH(B103,控制台!$F$641:$F$650,0)-1,0)))</f>
        <v>2072.88366545455</v>
      </c>
      <c r="S103" s="16">
        <f ca="1">_xlfn.FLOOR.MATH(R103)*60</f>
        <v>124320</v>
      </c>
      <c r="T103" s="16">
        <f ca="1">8000+IF(C103=1,OFFSET(控制台!$K$599,MATCH(F103,控制台!$B$599:$B$615,0)-1,0),OFFSET(控制台!$K$618,MATCH(F103,控制台!$B$618:$B$636,0)-1,0))</f>
        <v>8024</v>
      </c>
      <c r="U103" s="1">
        <f ca="1">IF(C103=1,OFFSET(控制台!$F$599,MATCH(F103,控制台!$B$599:$B$615,0)-1,0),OFFSET(控制台!$F$618,MATCH(F103,控制台!$B$618:$B$636,0)-1,0))</f>
        <v>51010.56</v>
      </c>
      <c r="V103" s="1">
        <f ca="1">IF(E103=1,U103/G103,IF(E103=5,U103/G103*OFFSET(控制台!$D$641,MATCH(B103,控制台!$B$641:$B$645,0)-1,0),U103/G103*OFFSET(控制台!$H$641,MATCH(B103,控制台!$F$641:$F$650,0)-1,0)))</f>
        <v>1391.19709090909</v>
      </c>
      <c r="W103" s="20">
        <f ca="1" t="shared" si="4"/>
        <v>0.966109090909091</v>
      </c>
      <c r="X103" s="15">
        <f ca="1">IF(C103=1,OFFSET(控制台!$U$599,MATCH(F103,控制台!$B$599:$B$615,0)-1,0),OFFSET(控制台!$U$618,MATCH(F103,控制台!$B$618:$B$636,0)-1,0))</f>
        <v>156600</v>
      </c>
      <c r="Y103" s="16">
        <f ca="1">_xlfn.FLOOR.MATH(IF(E103=1,X103/G103,IF(E103=5,X103/G103*OFFSET(控制台!$D$641,MATCH(B103,控制台!$B$641:$B$645,0)-1,0),X103/G103*OFFSET(控制台!$H$641,MATCH(B103,控制台!$F$641:$F$650,0)-1,0))))</f>
        <v>4270</v>
      </c>
      <c r="Z103" s="16">
        <f ca="1" t="shared" si="5"/>
        <v>10675</v>
      </c>
    </row>
    <row r="104" spans="1:26">
      <c r="A104" s="1">
        <v>11402</v>
      </c>
      <c r="B104" s="1">
        <v>5</v>
      </c>
      <c r="C104" s="1">
        <v>1</v>
      </c>
      <c r="D104" s="1" t="s">
        <v>2797</v>
      </c>
      <c r="E104" s="1">
        <f ca="1">IF(C104=1,OFFSET(控制台!$F$552,MATCH(A104,控制台!$B$552:$B$580,0)-1,0),OFFSET(控制台!$L$552,MATCH(A104,控制台!$H$552:$H$594,0)-1,0))</f>
        <v>10</v>
      </c>
      <c r="F104" s="1">
        <f ca="1">IF(C104=1,OFFSET(控制台!$D$552,MATCH(A104,控制台!$B$552:$B$580,0)-1,0),OFFSET(控制台!$J$552,MATCH(A104,控制台!$H$552:$H$594,0)-1,0))</f>
        <v>14</v>
      </c>
      <c r="G104" s="1">
        <f ca="1">IF(C104=1,OFFSET(控制台!$I$599,MATCH(F104,控制台!$B$599:$B$615,0)-1,0),OFFSET(控制台!$I$618,MATCH(F104,控制台!$B$618:$B$636,0)-1,0))</f>
        <v>1</v>
      </c>
      <c r="H104" s="1">
        <f ca="1">IF(C104=1,OFFSET(控制台!$D$599,MATCH(F104,控制台!$B$599:$B$615,0)-1,0),OFFSET(控制台!$D$618,MATCH(F104,控制台!$B$618:$B$636,0)-1,0))</f>
        <v>87480000</v>
      </c>
      <c r="I104" s="1">
        <f ca="1">IF(E104=1,H104/G104,IF(E104=5,H104/G104*OFFSET(控制台!$D$641,MATCH(B104,控制台!$B$641:$B$645,0)-1,0),H104/G104*OFFSET(控制台!$H$641,MATCH(B104,控制台!$F$641:$F$650,0)-1,0)))</f>
        <v>3976363.63636364</v>
      </c>
      <c r="J104" s="1">
        <f ca="1">$I104/3*控制台!H$102</f>
        <v>1325454.54545455</v>
      </c>
      <c r="K104" s="1">
        <f ca="1">$I104/3*控制台!I$102</f>
        <v>994090.90909091</v>
      </c>
      <c r="L104" s="1">
        <f ca="1">$I104/3*控制台!J$102</f>
        <v>1656818.18181818</v>
      </c>
      <c r="M104" s="1">
        <f ca="1">_xlfn.FLOOR.MATH(J104,POWER(10,MAX(2,INT(LOG10(J104)-2))))</f>
        <v>1320000</v>
      </c>
      <c r="N104" s="1">
        <f ca="1">_xlfn.FLOOR.MATH(K104,POWER(10,MAX(2,INT(LOG10(K104)-2))))</f>
        <v>994000</v>
      </c>
      <c r="O104" s="1">
        <f ca="1">_xlfn.FLOOR.MATH(L104,POWER(10,MAX(2,INT(LOG10(L104)-2))))</f>
        <v>1650000</v>
      </c>
      <c r="P104" s="4" t="str">
        <f ca="1" t="shared" si="3"/>
        <v>1320000;994000;1650000</v>
      </c>
      <c r="Q104" s="15">
        <f ca="1">IF(C104=1,OFFSET(控制台!$H$599,MATCH(F104,控制台!$B$599:$B$615,0)-1,0),OFFSET(控制台!$H$618,MATCH(F104,控制台!$B$618:$B$636,0)-1,0))</f>
        <v>76005.7344</v>
      </c>
      <c r="R104" s="15">
        <f ca="1">IF(E104=1,Q104/G104,IF(E104=5,Q104/G104*OFFSET(控制台!$D$641,MATCH(B104,控制台!$B$641:$B$645,0)-1,0),Q104/G104*OFFSET(控制台!$H$641,MATCH(B104,控制台!$F$641:$F$650,0)-1,0)))</f>
        <v>3454.80610909091</v>
      </c>
      <c r="S104" s="16">
        <f ca="1">_xlfn.FLOOR.MATH(R104)*60</f>
        <v>207240</v>
      </c>
      <c r="T104" s="16">
        <f ca="1">8000+IF(C104=1,OFFSET(控制台!$K$599,MATCH(F104,控制台!$B$599:$B$615,0)-1,0),OFFSET(控制台!$K$618,MATCH(F104,控制台!$B$618:$B$636,0)-1,0))</f>
        <v>8024</v>
      </c>
      <c r="U104" s="1">
        <f ca="1">IF(C104=1,OFFSET(控制台!$F$599,MATCH(F104,控制台!$B$599:$B$615,0)-1,0),OFFSET(控制台!$F$618,MATCH(F104,控制台!$B$618:$B$636,0)-1,0))</f>
        <v>51010.56</v>
      </c>
      <c r="V104" s="1">
        <f ca="1">IF(E104=1,U104/G104,IF(E104=5,U104/G104*OFFSET(控制台!$D$641,MATCH(B104,控制台!$B$641:$B$645,0)-1,0),U104/G104*OFFSET(控制台!$H$641,MATCH(B104,控制台!$F$641:$F$650,0)-1,0)))</f>
        <v>2318.66181818182</v>
      </c>
      <c r="W104" s="20">
        <f ca="1" t="shared" si="4"/>
        <v>1.61018181818182</v>
      </c>
      <c r="X104" s="15">
        <f ca="1">IF(C104=1,OFFSET(控制台!$U$599,MATCH(F104,控制台!$B$599:$B$615,0)-1,0),OFFSET(控制台!$U$618,MATCH(F104,控制台!$B$618:$B$636,0)-1,0))</f>
        <v>156600</v>
      </c>
      <c r="Y104" s="16">
        <f ca="1">_xlfn.FLOOR.MATH(IF(E104=1,X104/G104,IF(E104=5,X104/G104*OFFSET(控制台!$D$641,MATCH(B104,控制台!$B$641:$B$645,0)-1,0),X104/G104*OFFSET(控制台!$H$641,MATCH(B104,控制台!$F$641:$F$650,0)-1,0))))</f>
        <v>7118</v>
      </c>
      <c r="Z104" s="16">
        <f ca="1" t="shared" si="5"/>
        <v>17793</v>
      </c>
    </row>
    <row r="105" spans="1:26">
      <c r="A105" s="1">
        <v>11402</v>
      </c>
      <c r="B105" s="1">
        <v>6</v>
      </c>
      <c r="C105" s="1">
        <v>1</v>
      </c>
      <c r="D105" s="1" t="s">
        <v>2797</v>
      </c>
      <c r="E105" s="1">
        <f ca="1">IF(C105=1,OFFSET(控制台!$F$552,MATCH(A105,控制台!$B$552:$B$580,0)-1,0),OFFSET(控制台!$L$552,MATCH(A105,控制台!$H$552:$H$594,0)-1,0))</f>
        <v>10</v>
      </c>
      <c r="F105" s="1">
        <f ca="1">IF(C105=1,OFFSET(控制台!$D$552,MATCH(A105,控制台!$B$552:$B$580,0)-1,0),OFFSET(控制台!$J$552,MATCH(A105,控制台!$H$552:$H$594,0)-1,0))</f>
        <v>14</v>
      </c>
      <c r="G105" s="1">
        <f ca="1">IF(C105=1,OFFSET(控制台!$I$599,MATCH(F105,控制台!$B$599:$B$615,0)-1,0),OFFSET(控制台!$I$618,MATCH(F105,控制台!$B$618:$B$636,0)-1,0))</f>
        <v>1</v>
      </c>
      <c r="H105" s="1">
        <f ca="1">IF(C105=1,OFFSET(控制台!$D$599,MATCH(F105,控制台!$B$599:$B$615,0)-1,0),OFFSET(控制台!$D$618,MATCH(F105,控制台!$B$618:$B$636,0)-1,0))</f>
        <v>87480000</v>
      </c>
      <c r="I105" s="1">
        <f ca="1">IF(E105=1,H105/G105,IF(E105=5,H105/G105*OFFSET(控制台!$D$641,MATCH(B105,控制台!$B$641:$B$645,0)-1,0),H105/G105*OFFSET(控制台!$H$641,MATCH(B105,控制台!$F$641:$F$650,0)-1,0)))</f>
        <v>5964545.45454546</v>
      </c>
      <c r="J105" s="1">
        <f ca="1">$I105/3*控制台!H$102</f>
        <v>1988181.81818182</v>
      </c>
      <c r="K105" s="1">
        <f ca="1">$I105/3*控制台!I$102</f>
        <v>1491136.36363636</v>
      </c>
      <c r="L105" s="1">
        <f ca="1">$I105/3*控制台!J$102</f>
        <v>2485227.27272727</v>
      </c>
      <c r="M105" s="1">
        <f ca="1">_xlfn.FLOOR.MATH(J105,POWER(10,MAX(2,INT(LOG10(J105)-2))))</f>
        <v>1980000</v>
      </c>
      <c r="N105" s="1">
        <f ca="1">_xlfn.FLOOR.MATH(K105,POWER(10,MAX(2,INT(LOG10(K105)-2))))</f>
        <v>1490000</v>
      </c>
      <c r="O105" s="1">
        <f ca="1">_xlfn.FLOOR.MATH(L105,POWER(10,MAX(2,INT(LOG10(L105)-2))))</f>
        <v>2480000</v>
      </c>
      <c r="P105" s="4" t="str">
        <f ca="1" t="shared" si="3"/>
        <v>1980000;1490000;2480000</v>
      </c>
      <c r="Q105" s="15">
        <f ca="1">IF(C105=1,OFFSET(控制台!$H$599,MATCH(F105,控制台!$B$599:$B$615,0)-1,0),OFFSET(控制台!$H$618,MATCH(F105,控制台!$B$618:$B$636,0)-1,0))</f>
        <v>76005.7344</v>
      </c>
      <c r="R105" s="15">
        <f ca="1">IF(E105=1,Q105/G105,IF(E105=5,Q105/G105*OFFSET(控制台!$D$641,MATCH(B105,控制台!$B$641:$B$645,0)-1,0),Q105/G105*OFFSET(控制台!$H$641,MATCH(B105,控制台!$F$641:$F$650,0)-1,0)))</f>
        <v>5182.20916363636</v>
      </c>
      <c r="S105" s="16">
        <f ca="1">_xlfn.FLOOR.MATH(R105)*60</f>
        <v>310920</v>
      </c>
      <c r="T105" s="16">
        <f ca="1">8000+IF(C105=1,OFFSET(控制台!$K$599,MATCH(F105,控制台!$B$599:$B$615,0)-1,0),OFFSET(控制台!$K$618,MATCH(F105,控制台!$B$618:$B$636,0)-1,0))</f>
        <v>8024</v>
      </c>
      <c r="U105" s="1">
        <f ca="1">IF(C105=1,OFFSET(控制台!$F$599,MATCH(F105,控制台!$B$599:$B$615,0)-1,0),OFFSET(控制台!$F$618,MATCH(F105,控制台!$B$618:$B$636,0)-1,0))</f>
        <v>51010.56</v>
      </c>
      <c r="V105" s="1">
        <f ca="1">IF(E105=1,U105/G105,IF(E105=5,U105/G105*OFFSET(控制台!$D$641,MATCH(B105,控制台!$B$641:$B$645,0)-1,0),U105/G105*OFFSET(控制台!$H$641,MATCH(B105,控制台!$F$641:$F$650,0)-1,0)))</f>
        <v>3477.99272727273</v>
      </c>
      <c r="W105" s="20">
        <f ca="1" t="shared" si="4"/>
        <v>2.41527272727273</v>
      </c>
      <c r="X105" s="15">
        <f ca="1">IF(C105=1,OFFSET(控制台!$U$599,MATCH(F105,控制台!$B$599:$B$615,0)-1,0),OFFSET(控制台!$U$618,MATCH(F105,控制台!$B$618:$B$636,0)-1,0))</f>
        <v>156600</v>
      </c>
      <c r="Y105" s="16">
        <f ca="1">_xlfn.FLOOR.MATH(IF(E105=1,X105/G105,IF(E105=5,X105/G105*OFFSET(控制台!$D$641,MATCH(B105,控制台!$B$641:$B$645,0)-1,0),X105/G105*OFFSET(控制台!$H$641,MATCH(B105,控制台!$F$641:$F$650,0)-1,0))))</f>
        <v>10677</v>
      </c>
      <c r="Z105" s="16">
        <f ca="1" t="shared" si="5"/>
        <v>28470</v>
      </c>
    </row>
    <row r="106" spans="1:26">
      <c r="A106" s="1">
        <v>11402</v>
      </c>
      <c r="B106" s="1">
        <v>7</v>
      </c>
      <c r="C106" s="1">
        <v>1</v>
      </c>
      <c r="D106" s="1" t="s">
        <v>2797</v>
      </c>
      <c r="E106" s="1">
        <f ca="1">IF(C106=1,OFFSET(控制台!$F$552,MATCH(A106,控制台!$B$552:$B$580,0)-1,0),OFFSET(控制台!$L$552,MATCH(A106,控制台!$H$552:$H$594,0)-1,0))</f>
        <v>10</v>
      </c>
      <c r="F106" s="1">
        <f ca="1">IF(C106=1,OFFSET(控制台!$D$552,MATCH(A106,控制台!$B$552:$B$580,0)-1,0),OFFSET(控制台!$J$552,MATCH(A106,控制台!$H$552:$H$594,0)-1,0))</f>
        <v>14</v>
      </c>
      <c r="G106" s="1">
        <f ca="1">IF(C106=1,OFFSET(控制台!$I$599,MATCH(F106,控制台!$B$599:$B$615,0)-1,0),OFFSET(控制台!$I$618,MATCH(F106,控制台!$B$618:$B$636,0)-1,0))</f>
        <v>1</v>
      </c>
      <c r="H106" s="1">
        <f ca="1">IF(C106=1,OFFSET(控制台!$D$599,MATCH(F106,控制台!$B$599:$B$615,0)-1,0),OFFSET(控制台!$D$618,MATCH(F106,控制台!$B$618:$B$636,0)-1,0))</f>
        <v>87480000</v>
      </c>
      <c r="I106" s="1">
        <f ca="1">IF(E106=1,H106/G106,IF(E106=5,H106/G106*OFFSET(控制台!$D$641,MATCH(B106,控制台!$B$641:$B$645,0)-1,0),H106/G106*OFFSET(控制台!$H$641,MATCH(B106,控制台!$F$641:$F$650,0)-1,0)))</f>
        <v>7952727.27272727</v>
      </c>
      <c r="J106" s="1">
        <f ca="1">$I106/3*控制台!H$102</f>
        <v>2650909.09090909</v>
      </c>
      <c r="K106" s="1">
        <f ca="1">$I106/3*控制台!I$102</f>
        <v>1988181.81818182</v>
      </c>
      <c r="L106" s="1">
        <f ca="1">$I106/3*控制台!J$102</f>
        <v>3313636.36363636</v>
      </c>
      <c r="M106" s="1">
        <f ca="1">_xlfn.FLOOR.MATH(J106,POWER(10,MAX(2,INT(LOG10(J106)-2))))</f>
        <v>2650000</v>
      </c>
      <c r="N106" s="1">
        <f ca="1">_xlfn.FLOOR.MATH(K106,POWER(10,MAX(2,INT(LOG10(K106)-2))))</f>
        <v>1980000</v>
      </c>
      <c r="O106" s="1">
        <f ca="1">_xlfn.FLOOR.MATH(L106,POWER(10,MAX(2,INT(LOG10(L106)-2))))</f>
        <v>3310000</v>
      </c>
      <c r="P106" s="4" t="str">
        <f ca="1" t="shared" si="3"/>
        <v>2650000;1980000;3310000</v>
      </c>
      <c r="Q106" s="15">
        <f ca="1">IF(C106=1,OFFSET(控制台!$H$599,MATCH(F106,控制台!$B$599:$B$615,0)-1,0),OFFSET(控制台!$H$618,MATCH(F106,控制台!$B$618:$B$636,0)-1,0))</f>
        <v>76005.7344</v>
      </c>
      <c r="R106" s="15">
        <f ca="1">IF(E106=1,Q106/G106,IF(E106=5,Q106/G106*OFFSET(控制台!$D$641,MATCH(B106,控制台!$B$641:$B$645,0)-1,0),Q106/G106*OFFSET(控制台!$H$641,MATCH(B106,控制台!$F$641:$F$650,0)-1,0)))</f>
        <v>6909.61221818181</v>
      </c>
      <c r="S106" s="16">
        <f ca="1">_xlfn.FLOOR.MATH(R106)*60</f>
        <v>414540</v>
      </c>
      <c r="T106" s="16">
        <f ca="1">8000+IF(C106=1,OFFSET(控制台!$K$599,MATCH(F106,控制台!$B$599:$B$615,0)-1,0),OFFSET(控制台!$K$618,MATCH(F106,控制台!$B$618:$B$636,0)-1,0))</f>
        <v>8024</v>
      </c>
      <c r="U106" s="1">
        <f ca="1">IF(C106=1,OFFSET(控制台!$F$599,MATCH(F106,控制台!$B$599:$B$615,0)-1,0),OFFSET(控制台!$F$618,MATCH(F106,控制台!$B$618:$B$636,0)-1,0))</f>
        <v>51010.56</v>
      </c>
      <c r="V106" s="1">
        <f ca="1">IF(E106=1,U106/G106,IF(E106=5,U106/G106*OFFSET(控制台!$D$641,MATCH(B106,控制台!$B$641:$B$645,0)-1,0),U106/G106*OFFSET(控制台!$H$641,MATCH(B106,控制台!$F$641:$F$650,0)-1,0)))</f>
        <v>4637.32363636363</v>
      </c>
      <c r="W106" s="20">
        <f ca="1" t="shared" si="4"/>
        <v>3.22036363636363</v>
      </c>
      <c r="X106" s="15">
        <f ca="1">IF(C106=1,OFFSET(控制台!$U$599,MATCH(F106,控制台!$B$599:$B$615,0)-1,0),OFFSET(控制台!$U$618,MATCH(F106,控制台!$B$618:$B$636,0)-1,0))</f>
        <v>156600</v>
      </c>
      <c r="Y106" s="16">
        <f ca="1">_xlfn.FLOOR.MATH(IF(E106=1,X106/G106,IF(E106=5,X106/G106*OFFSET(控制台!$D$641,MATCH(B106,控制台!$B$641:$B$645,0)-1,0),X106/G106*OFFSET(控制台!$H$641,MATCH(B106,控制台!$F$641:$F$650,0)-1,0))))</f>
        <v>14236</v>
      </c>
      <c r="Z106" s="16">
        <f ca="1" t="shared" si="5"/>
        <v>42706</v>
      </c>
    </row>
    <row r="107" spans="1:26">
      <c r="A107" s="1">
        <v>11402</v>
      </c>
      <c r="B107" s="1">
        <v>8</v>
      </c>
      <c r="C107" s="1">
        <v>1</v>
      </c>
      <c r="D107" s="1" t="s">
        <v>2797</v>
      </c>
      <c r="E107" s="1">
        <f ca="1">IF(C107=1,OFFSET(控制台!$F$552,MATCH(A107,控制台!$B$552:$B$580,0)-1,0),OFFSET(控制台!$L$552,MATCH(A107,控制台!$H$552:$H$594,0)-1,0))</f>
        <v>10</v>
      </c>
      <c r="F107" s="1">
        <f ca="1">IF(C107=1,OFFSET(控制台!$D$552,MATCH(A107,控制台!$B$552:$B$580,0)-1,0),OFFSET(控制台!$J$552,MATCH(A107,控制台!$H$552:$H$594,0)-1,0))</f>
        <v>14</v>
      </c>
      <c r="G107" s="1">
        <f ca="1">IF(C107=1,OFFSET(控制台!$I$599,MATCH(F107,控制台!$B$599:$B$615,0)-1,0),OFFSET(控制台!$I$618,MATCH(F107,控制台!$B$618:$B$636,0)-1,0))</f>
        <v>1</v>
      </c>
      <c r="H107" s="1">
        <f ca="1">IF(C107=1,OFFSET(控制台!$D$599,MATCH(F107,控制台!$B$599:$B$615,0)-1,0),OFFSET(控制台!$D$618,MATCH(F107,控制台!$B$618:$B$636,0)-1,0))</f>
        <v>87480000</v>
      </c>
      <c r="I107" s="1">
        <f ca="1">IF(E107=1,H107/G107,IF(E107=5,H107/G107*OFFSET(控制台!$D$641,MATCH(B107,控制台!$B$641:$B$645,0)-1,0),H107/G107*OFFSET(控制台!$H$641,MATCH(B107,控制台!$F$641:$F$650,0)-1,0)))</f>
        <v>11929090.9090909</v>
      </c>
      <c r="J107" s="1">
        <f ca="1">$I107/3*控制台!H$102</f>
        <v>3976363.63636363</v>
      </c>
      <c r="K107" s="1">
        <f ca="1">$I107/3*控制台!I$102</f>
        <v>2982272.72727272</v>
      </c>
      <c r="L107" s="1">
        <f ca="1">$I107/3*控制台!J$102</f>
        <v>4970454.54545453</v>
      </c>
      <c r="M107" s="1">
        <f ca="1">_xlfn.FLOOR.MATH(J107,POWER(10,MAX(2,INT(LOG10(J107)-2))))</f>
        <v>3970000</v>
      </c>
      <c r="N107" s="1">
        <f ca="1">_xlfn.FLOOR.MATH(K107,POWER(10,MAX(2,INT(LOG10(K107)-2))))</f>
        <v>2980000</v>
      </c>
      <c r="O107" s="1">
        <f ca="1">_xlfn.FLOOR.MATH(L107,POWER(10,MAX(2,INT(LOG10(L107)-2))))</f>
        <v>4970000</v>
      </c>
      <c r="P107" s="4" t="str">
        <f ca="1" t="shared" si="3"/>
        <v>3970000;2980000;4970000</v>
      </c>
      <c r="Q107" s="15">
        <f ca="1">IF(C107=1,OFFSET(控制台!$H$599,MATCH(F107,控制台!$B$599:$B$615,0)-1,0),OFFSET(控制台!$H$618,MATCH(F107,控制台!$B$618:$B$636,0)-1,0))</f>
        <v>76005.7344</v>
      </c>
      <c r="R107" s="15">
        <f ca="1">IF(E107=1,Q107/G107,IF(E107=5,Q107/G107*OFFSET(控制台!$D$641,MATCH(B107,控制台!$B$641:$B$645,0)-1,0),Q107/G107*OFFSET(控制台!$H$641,MATCH(B107,控制台!$F$641:$F$650,0)-1,0)))</f>
        <v>10364.4183272727</v>
      </c>
      <c r="S107" s="16">
        <f ca="1">_xlfn.FLOOR.MATH(R107)*60</f>
        <v>621840</v>
      </c>
      <c r="T107" s="16">
        <f ca="1">8000+IF(C107=1,OFFSET(控制台!$K$599,MATCH(F107,控制台!$B$599:$B$615,0)-1,0),OFFSET(控制台!$K$618,MATCH(F107,控制台!$B$618:$B$636,0)-1,0))</f>
        <v>8024</v>
      </c>
      <c r="U107" s="1">
        <f ca="1">IF(C107=1,OFFSET(控制台!$F$599,MATCH(F107,控制台!$B$599:$B$615,0)-1,0),OFFSET(控制台!$F$618,MATCH(F107,控制台!$B$618:$B$636,0)-1,0))</f>
        <v>51010.56</v>
      </c>
      <c r="V107" s="1">
        <f ca="1">IF(E107=1,U107/G107,IF(E107=5,U107/G107*OFFSET(控制台!$D$641,MATCH(B107,控制台!$B$641:$B$645,0)-1,0),U107/G107*OFFSET(控制台!$H$641,MATCH(B107,控制台!$F$641:$F$650,0)-1,0)))</f>
        <v>6955.98545454543</v>
      </c>
      <c r="W107" s="20">
        <f ca="1" t="shared" si="4"/>
        <v>4.83054545454544</v>
      </c>
      <c r="X107" s="15">
        <f ca="1">IF(C107=1,OFFSET(控制台!$U$599,MATCH(F107,控制台!$B$599:$B$615,0)-1,0),OFFSET(控制台!$U$618,MATCH(F107,控制台!$B$618:$B$636,0)-1,0))</f>
        <v>156600</v>
      </c>
      <c r="Y107" s="16">
        <f ca="1">_xlfn.FLOOR.MATH(IF(E107=1,X107/G107,IF(E107=5,X107/G107*OFFSET(控制台!$D$641,MATCH(B107,控制台!$B$641:$B$645,0)-1,0),X107/G107*OFFSET(控制台!$H$641,MATCH(B107,控制台!$F$641:$F$650,0)-1,0))))</f>
        <v>21354</v>
      </c>
      <c r="Z107" s="16">
        <f ca="1" t="shared" si="5"/>
        <v>64060</v>
      </c>
    </row>
    <row r="108" spans="1:26">
      <c r="A108" s="1">
        <v>11402</v>
      </c>
      <c r="B108" s="1">
        <v>9</v>
      </c>
      <c r="C108" s="1">
        <v>1</v>
      </c>
      <c r="D108" s="1" t="s">
        <v>2797</v>
      </c>
      <c r="E108" s="1">
        <f ca="1">IF(C108=1,OFFSET(控制台!$F$552,MATCH(A108,控制台!$B$552:$B$580,0)-1,0),OFFSET(控制台!$L$552,MATCH(A108,控制台!$H$552:$H$594,0)-1,0))</f>
        <v>10</v>
      </c>
      <c r="F108" s="1">
        <f ca="1">IF(C108=1,OFFSET(控制台!$D$552,MATCH(A108,控制台!$B$552:$B$580,0)-1,0),OFFSET(控制台!$J$552,MATCH(A108,控制台!$H$552:$H$594,0)-1,0))</f>
        <v>14</v>
      </c>
      <c r="G108" s="1">
        <f ca="1">IF(C108=1,OFFSET(控制台!$I$599,MATCH(F108,控制台!$B$599:$B$615,0)-1,0),OFFSET(控制台!$I$618,MATCH(F108,控制台!$B$618:$B$636,0)-1,0))</f>
        <v>1</v>
      </c>
      <c r="H108" s="1">
        <f ca="1">IF(C108=1,OFFSET(控制台!$D$599,MATCH(F108,控制台!$B$599:$B$615,0)-1,0),OFFSET(控制台!$D$618,MATCH(F108,控制台!$B$618:$B$636,0)-1,0))</f>
        <v>87480000</v>
      </c>
      <c r="I108" s="1">
        <f ca="1">IF(E108=1,H108/G108,IF(E108=5,H108/G108*OFFSET(控制台!$D$641,MATCH(B108,控制台!$B$641:$B$645,0)-1,0),H108/G108*OFFSET(控制台!$H$641,MATCH(B108,控制台!$F$641:$F$650,0)-1,0)))</f>
        <v>19881818.1818182</v>
      </c>
      <c r="J108" s="1">
        <f ca="1">$I108/3*控制台!H$102</f>
        <v>6627272.72727272</v>
      </c>
      <c r="K108" s="1">
        <f ca="1">$I108/3*控制台!I$102</f>
        <v>4970454.54545454</v>
      </c>
      <c r="L108" s="1">
        <f ca="1">$I108/3*控制台!J$102</f>
        <v>8284090.9090909</v>
      </c>
      <c r="M108" s="1">
        <f ca="1">_xlfn.FLOOR.MATH(J108,POWER(10,MAX(2,INT(LOG10(J108)-2))))</f>
        <v>6620000</v>
      </c>
      <c r="N108" s="1">
        <f ca="1">_xlfn.FLOOR.MATH(K108,POWER(10,MAX(2,INT(LOG10(K108)-2))))</f>
        <v>4970000</v>
      </c>
      <c r="O108" s="1">
        <f ca="1">_xlfn.FLOOR.MATH(L108,POWER(10,MAX(2,INT(LOG10(L108)-2))))</f>
        <v>8280000</v>
      </c>
      <c r="P108" s="4" t="str">
        <f ca="1" t="shared" si="3"/>
        <v>6620000;4970000;8280000</v>
      </c>
      <c r="Q108" s="15">
        <f ca="1">IF(C108=1,OFFSET(控制台!$H$599,MATCH(F108,控制台!$B$599:$B$615,0)-1,0),OFFSET(控制台!$H$618,MATCH(F108,控制台!$B$618:$B$636,0)-1,0))</f>
        <v>76005.7344</v>
      </c>
      <c r="R108" s="15">
        <f ca="1">IF(E108=1,Q108/G108,IF(E108=5,Q108/G108*OFFSET(控制台!$D$641,MATCH(B108,控制台!$B$641:$B$645,0)-1,0),Q108/G108*OFFSET(控制台!$H$641,MATCH(B108,控制台!$F$641:$F$650,0)-1,0)))</f>
        <v>17274.0305454545</v>
      </c>
      <c r="S108" s="16">
        <f ca="1">_xlfn.FLOOR.MATH(R108)*60</f>
        <v>1036440</v>
      </c>
      <c r="T108" s="16">
        <f ca="1">8000+IF(C108=1,OFFSET(控制台!$K$599,MATCH(F108,控制台!$B$599:$B$615,0)-1,0),OFFSET(控制台!$K$618,MATCH(F108,控制台!$B$618:$B$636,0)-1,0))</f>
        <v>8024</v>
      </c>
      <c r="U108" s="1">
        <f ca="1">IF(C108=1,OFFSET(控制台!$F$599,MATCH(F108,控制台!$B$599:$B$615,0)-1,0),OFFSET(控制台!$F$618,MATCH(F108,控制台!$B$618:$B$636,0)-1,0))</f>
        <v>51010.56</v>
      </c>
      <c r="V108" s="1">
        <f ca="1">IF(E108=1,U108/G108,IF(E108=5,U108/G108*OFFSET(控制台!$D$641,MATCH(B108,控制台!$B$641:$B$645,0)-1,0),U108/G108*OFFSET(控制台!$H$641,MATCH(B108,控制台!$F$641:$F$650,0)-1,0)))</f>
        <v>11593.3090909091</v>
      </c>
      <c r="W108" s="20">
        <f ca="1" t="shared" si="4"/>
        <v>8.05090909090908</v>
      </c>
      <c r="X108" s="15">
        <f ca="1">IF(C108=1,OFFSET(控制台!$U$599,MATCH(F108,控制台!$B$599:$B$615,0)-1,0),OFFSET(控制台!$U$618,MATCH(F108,控制台!$B$618:$B$636,0)-1,0))</f>
        <v>156600</v>
      </c>
      <c r="Y108" s="16">
        <f ca="1">_xlfn.FLOOR.MATH(IF(E108=1,X108/G108,IF(E108=5,X108/G108*OFFSET(控制台!$D$641,MATCH(B108,控制台!$B$641:$B$645,0)-1,0),X108/G108*OFFSET(控制台!$H$641,MATCH(B108,控制台!$F$641:$F$650,0)-1,0))))</f>
        <v>35590</v>
      </c>
      <c r="Z108" s="16">
        <f ca="1" t="shared" si="5"/>
        <v>99650</v>
      </c>
    </row>
    <row r="109" spans="1:26">
      <c r="A109" s="1">
        <v>11402</v>
      </c>
      <c r="B109" s="1">
        <v>10</v>
      </c>
      <c r="C109" s="1">
        <v>1</v>
      </c>
      <c r="D109" s="1" t="s">
        <v>2797</v>
      </c>
      <c r="E109" s="1">
        <f ca="1">IF(C109=1,OFFSET(控制台!$F$552,MATCH(A109,控制台!$B$552:$B$580,0)-1,0),OFFSET(控制台!$L$552,MATCH(A109,控制台!$H$552:$H$594,0)-1,0))</f>
        <v>10</v>
      </c>
      <c r="F109" s="1">
        <f ca="1">IF(C109=1,OFFSET(控制台!$D$552,MATCH(A109,控制台!$B$552:$B$580,0)-1,0),OFFSET(控制台!$J$552,MATCH(A109,控制台!$H$552:$H$594,0)-1,0))</f>
        <v>14</v>
      </c>
      <c r="G109" s="1">
        <f ca="1">IF(C109=1,OFFSET(控制台!$I$599,MATCH(F109,控制台!$B$599:$B$615,0)-1,0),OFFSET(控制台!$I$618,MATCH(F109,控制台!$B$618:$B$636,0)-1,0))</f>
        <v>1</v>
      </c>
      <c r="H109" s="1">
        <f ca="1">IF(C109=1,OFFSET(控制台!$D$599,MATCH(F109,控制台!$B$599:$B$615,0)-1,0),OFFSET(控制台!$D$618,MATCH(F109,控制台!$B$618:$B$636,0)-1,0))</f>
        <v>87480000</v>
      </c>
      <c r="I109" s="1">
        <f ca="1">IF(E109=1,H109/G109,IF(E109=5,H109/G109*OFFSET(控制台!$D$641,MATCH(B109,控制台!$B$641:$B$645,0)-1,0),H109/G109*OFFSET(控制台!$H$641,MATCH(B109,控制台!$F$641:$F$650,0)-1,0)))</f>
        <v>31810909.0909091</v>
      </c>
      <c r="J109" s="1">
        <f ca="1">$I109/3*控制台!H$102</f>
        <v>10603636.3636364</v>
      </c>
      <c r="K109" s="1">
        <f ca="1">$I109/3*控制台!I$102</f>
        <v>7952727.27272728</v>
      </c>
      <c r="L109" s="1">
        <f ca="1">$I109/3*控制台!J$102</f>
        <v>13254545.4545455</v>
      </c>
      <c r="M109" s="1">
        <f ca="1">_xlfn.FLOOR.MATH(J109,POWER(10,MAX(2,INT(LOG10(J109)-2))))</f>
        <v>10600000</v>
      </c>
      <c r="N109" s="1">
        <f ca="1">_xlfn.FLOOR.MATH(K109,POWER(10,MAX(2,INT(LOG10(K109)-2))))</f>
        <v>7950000</v>
      </c>
      <c r="O109" s="1">
        <f ca="1">_xlfn.FLOOR.MATH(L109,POWER(10,MAX(2,INT(LOG10(L109)-2))))</f>
        <v>13200000</v>
      </c>
      <c r="P109" s="4" t="str">
        <f ca="1" t="shared" si="3"/>
        <v>10600000;7950000;13200000</v>
      </c>
      <c r="Q109" s="15">
        <f ca="1">IF(C109=1,OFFSET(控制台!$H$599,MATCH(F109,控制台!$B$599:$B$615,0)-1,0),OFFSET(控制台!$H$618,MATCH(F109,控制台!$B$618:$B$636,0)-1,0))</f>
        <v>76005.7344</v>
      </c>
      <c r="R109" s="15">
        <f ca="1">IF(E109=1,Q109/G109,IF(E109=5,Q109/G109*OFFSET(控制台!$D$641,MATCH(B109,控制台!$B$641:$B$645,0)-1,0),Q109/G109*OFFSET(控制台!$H$641,MATCH(B109,控制台!$F$641:$F$650,0)-1,0)))</f>
        <v>27638.4488727273</v>
      </c>
      <c r="S109" s="16">
        <f ca="1">_xlfn.FLOOR.MATH(R109)*60</f>
        <v>1658280</v>
      </c>
      <c r="T109" s="16">
        <f ca="1">8000+IF(C109=1,OFFSET(控制台!$K$599,MATCH(F109,控制台!$B$599:$B$615,0)-1,0),OFFSET(控制台!$K$618,MATCH(F109,控制台!$B$618:$B$636,0)-1,0))</f>
        <v>8024</v>
      </c>
      <c r="U109" s="1">
        <f ca="1">IF(C109=1,OFFSET(控制台!$F$599,MATCH(F109,控制台!$B$599:$B$615,0)-1,0),OFFSET(控制台!$F$618,MATCH(F109,控制台!$B$618:$B$636,0)-1,0))</f>
        <v>51010.56</v>
      </c>
      <c r="V109" s="1">
        <f ca="1">IF(E109=1,U109/G109,IF(E109=5,U109/G109*OFFSET(控制台!$D$641,MATCH(B109,控制台!$B$641:$B$645,0)-1,0),U109/G109*OFFSET(控制台!$H$641,MATCH(B109,控制台!$F$641:$F$650,0)-1,0)))</f>
        <v>18549.2945454546</v>
      </c>
      <c r="W109" s="20">
        <f ca="1" t="shared" si="4"/>
        <v>12.8814545454546</v>
      </c>
      <c r="X109" s="15">
        <f ca="1">IF(C109=1,OFFSET(控制台!$U$599,MATCH(F109,控制台!$B$599:$B$615,0)-1,0),OFFSET(控制台!$U$618,MATCH(F109,控制台!$B$618:$B$636,0)-1,0))</f>
        <v>156600</v>
      </c>
      <c r="Y109" s="16">
        <f ca="1">_xlfn.FLOOR.MATH(IF(E109=1,X109/G109,IF(E109=5,X109/G109*OFFSET(控制台!$D$641,MATCH(B109,控制台!$B$641:$B$645,0)-1,0),X109/G109*OFFSET(控制台!$H$641,MATCH(B109,控制台!$F$641:$F$650,0)-1,0))))</f>
        <v>56945</v>
      </c>
      <c r="Z109" s="16">
        <f ca="1" t="shared" si="5"/>
        <v>156595</v>
      </c>
    </row>
    <row r="110" spans="1:26">
      <c r="A110" s="1">
        <v>11501</v>
      </c>
      <c r="B110" s="1">
        <v>1</v>
      </c>
      <c r="C110" s="1">
        <v>1</v>
      </c>
      <c r="D110" s="1" t="s">
        <v>2798</v>
      </c>
      <c r="E110" s="1">
        <f ca="1">IF(C110=1,OFFSET(控制台!$F$552,MATCH(A110,控制台!$B$552:$B$580,0)-1,0),OFFSET(控制台!$L$552,MATCH(A110,控制台!$H$552:$H$594,0)-1,0))</f>
        <v>10</v>
      </c>
      <c r="F110" s="1">
        <f ca="1">IF(C110=1,OFFSET(控制台!$D$552,MATCH(A110,控制台!$B$552:$B$580,0)-1,0),OFFSET(控制台!$J$552,MATCH(A110,控制台!$H$552:$H$594,0)-1,0))</f>
        <v>15</v>
      </c>
      <c r="G110" s="1">
        <f ca="1">IF(C110=1,OFFSET(控制台!$I$599,MATCH(F110,控制台!$B$599:$B$615,0)-1,0),OFFSET(控制台!$I$618,MATCH(F110,控制台!$B$618:$B$636,0)-1,0))</f>
        <v>2</v>
      </c>
      <c r="H110" s="1">
        <f ca="1">IF(C110=1,OFFSET(控制台!$D$599,MATCH(F110,控制台!$B$599:$B$615,0)-1,0),OFFSET(控制台!$D$618,MATCH(F110,控制台!$B$618:$B$636,0)-1,0))</f>
        <v>416160000</v>
      </c>
      <c r="I110" s="1">
        <f ca="1">IF(E110=1,H110/G110,IF(E110=5,H110/G110*OFFSET(控制台!$D$641,MATCH(B110,控制台!$B$641:$B$645,0)-1,0),H110/G110*OFFSET(控制台!$H$641,MATCH(B110,控制台!$F$641:$F$650,0)-1,0)))</f>
        <v>1891636.36363636</v>
      </c>
      <c r="J110" s="1">
        <f ca="1">$I110/3*控制台!H$102</f>
        <v>630545.454545454</v>
      </c>
      <c r="K110" s="1">
        <f ca="1">$I110/3*控制台!I$102</f>
        <v>472909.090909091</v>
      </c>
      <c r="L110" s="1">
        <f ca="1">$I110/3*控制台!J$102</f>
        <v>788181.818181818</v>
      </c>
      <c r="M110" s="1">
        <f ca="1">_xlfn.FLOOR.MATH(J110,POWER(10,MAX(2,INT(LOG10(J110)-2))))</f>
        <v>630000</v>
      </c>
      <c r="N110" s="1">
        <f ca="1">_xlfn.FLOOR.MATH(K110,POWER(10,MAX(2,INT(LOG10(K110)-2))))</f>
        <v>472000</v>
      </c>
      <c r="O110" s="1">
        <f ca="1">_xlfn.FLOOR.MATH(L110,POWER(10,MAX(2,INT(LOG10(L110)-2))))</f>
        <v>788000</v>
      </c>
      <c r="P110" s="4" t="str">
        <f ca="1" t="shared" si="3"/>
        <v>630000;472000;788000</v>
      </c>
      <c r="Q110" s="15">
        <f ca="1">IF(C110=1,OFFSET(控制台!$H$599,MATCH(F110,控制台!$B$599:$B$615,0)-1,0),OFFSET(控制台!$H$618,MATCH(F110,控制台!$B$618:$B$636,0)-1,0))</f>
        <v>514926.72</v>
      </c>
      <c r="R110" s="15">
        <f ca="1">IF(E110=1,Q110/G110,IF(E110=5,Q110/G110*OFFSET(控制台!$D$641,MATCH(B110,控制台!$B$641:$B$645,0)-1,0),Q110/G110*OFFSET(控制台!$H$641,MATCH(B110,控制台!$F$641:$F$650,0)-1,0)))</f>
        <v>2340.576</v>
      </c>
      <c r="S110" s="16">
        <f ca="1">_xlfn.FLOOR.MATH(R110)*60</f>
        <v>140400</v>
      </c>
      <c r="T110" s="16">
        <f ca="1">8000+IF(C110=1,OFFSET(控制台!$K$599,MATCH(F110,控制台!$B$599:$B$615,0)-1,0),OFFSET(控制台!$K$618,MATCH(F110,控制台!$B$618:$B$636,0)-1,0))</f>
        <v>8027</v>
      </c>
      <c r="U110" s="1">
        <f ca="1">IF(C110=1,OFFSET(控制台!$F$599,MATCH(F110,控制台!$B$599:$B$615,0)-1,0),OFFSET(控制台!$F$618,MATCH(F110,控制台!$B$618:$B$636,0)-1,0))</f>
        <v>267494.4</v>
      </c>
      <c r="V110" s="1">
        <f ca="1">IF(E110=1,U110/G110,IF(E110=5,U110/G110*OFFSET(控制台!$D$641,MATCH(B110,控制台!$B$641:$B$645,0)-1,0),U110/G110*OFFSET(控制台!$H$641,MATCH(B110,控制台!$F$641:$F$650,0)-1,0)))</f>
        <v>1215.88363636364</v>
      </c>
      <c r="W110" s="20">
        <f ca="1" t="shared" si="4"/>
        <v>0.844363636363636</v>
      </c>
      <c r="X110" s="15">
        <f ca="1">IF(C110=1,OFFSET(控制台!$U$599,MATCH(F110,控制台!$B$599:$B$615,0)-1,0),OFFSET(控制台!$U$618,MATCH(F110,控制台!$B$618:$B$636,0)-1,0))</f>
        <v>812325</v>
      </c>
      <c r="Y110" s="16">
        <f ca="1">_xlfn.FLOOR.MATH(IF(E110=1,X110/G110,IF(E110=5,X110/G110*OFFSET(控制台!$D$641,MATCH(B110,控制台!$B$641:$B$645,0)-1,0),X110/G110*OFFSET(控制台!$H$641,MATCH(B110,控制台!$F$641:$F$650,0)-1,0))))</f>
        <v>3692</v>
      </c>
      <c r="Z110" s="16">
        <f ca="1" t="shared" si="5"/>
        <v>3692</v>
      </c>
    </row>
    <row r="111" spans="1:26">
      <c r="A111" s="1">
        <v>11501</v>
      </c>
      <c r="B111" s="1">
        <v>2</v>
      </c>
      <c r="C111" s="1">
        <v>1</v>
      </c>
      <c r="D111" s="1" t="s">
        <v>2798</v>
      </c>
      <c r="E111" s="1">
        <f ca="1">IF(C111=1,OFFSET(控制台!$F$552,MATCH(A111,控制台!$B$552:$B$580,0)-1,0),OFFSET(控制台!$L$552,MATCH(A111,控制台!$H$552:$H$594,0)-1,0))</f>
        <v>10</v>
      </c>
      <c r="F111" s="1">
        <f ca="1">IF(C111=1,OFFSET(控制台!$D$552,MATCH(A111,控制台!$B$552:$B$580,0)-1,0),OFFSET(控制台!$J$552,MATCH(A111,控制台!$H$552:$H$594,0)-1,0))</f>
        <v>15</v>
      </c>
      <c r="G111" s="1">
        <f ca="1">IF(C111=1,OFFSET(控制台!$I$599,MATCH(F111,控制台!$B$599:$B$615,0)-1,0),OFFSET(控制台!$I$618,MATCH(F111,控制台!$B$618:$B$636,0)-1,0))</f>
        <v>2</v>
      </c>
      <c r="H111" s="1">
        <f ca="1">IF(C111=1,OFFSET(控制台!$D$599,MATCH(F111,控制台!$B$599:$B$615,0)-1,0),OFFSET(控制台!$D$618,MATCH(F111,控制台!$B$618:$B$636,0)-1,0))</f>
        <v>416160000</v>
      </c>
      <c r="I111" s="1">
        <f ca="1">IF(E111=1,H111/G111,IF(E111=5,H111/G111*OFFSET(控制台!$D$641,MATCH(B111,控制台!$B$641:$B$645,0)-1,0),H111/G111*OFFSET(控制台!$H$641,MATCH(B111,控制台!$F$641:$F$650,0)-1,0)))</f>
        <v>2837454.54545454</v>
      </c>
      <c r="J111" s="1">
        <f ca="1">$I111/3*控制台!H$102</f>
        <v>945818.181818179</v>
      </c>
      <c r="K111" s="1">
        <f ca="1">$I111/3*控制台!I$102</f>
        <v>709363.636363634</v>
      </c>
      <c r="L111" s="1">
        <f ca="1">$I111/3*控制台!J$102</f>
        <v>1182272.72727272</v>
      </c>
      <c r="M111" s="1">
        <f ca="1">_xlfn.FLOOR.MATH(J111,POWER(10,MAX(2,INT(LOG10(J111)-2))))</f>
        <v>945000</v>
      </c>
      <c r="N111" s="1">
        <f ca="1">_xlfn.FLOOR.MATH(K111,POWER(10,MAX(2,INT(LOG10(K111)-2))))</f>
        <v>709000</v>
      </c>
      <c r="O111" s="1">
        <f ca="1">_xlfn.FLOOR.MATH(L111,POWER(10,MAX(2,INT(LOG10(L111)-2))))</f>
        <v>1180000</v>
      </c>
      <c r="P111" s="4" t="str">
        <f ca="1" t="shared" si="3"/>
        <v>945000;709000;1180000</v>
      </c>
      <c r="Q111" s="15">
        <f ca="1">IF(C111=1,OFFSET(控制台!$H$599,MATCH(F111,控制台!$B$599:$B$615,0)-1,0),OFFSET(控制台!$H$618,MATCH(F111,控制台!$B$618:$B$636,0)-1,0))</f>
        <v>514926.72</v>
      </c>
      <c r="R111" s="15">
        <f ca="1">IF(E111=1,Q111/G111,IF(E111=5,Q111/G111*OFFSET(控制台!$D$641,MATCH(B111,控制台!$B$641:$B$645,0)-1,0),Q111/G111*OFFSET(控制台!$H$641,MATCH(B111,控制台!$F$641:$F$650,0)-1,0)))</f>
        <v>3510.86399999999</v>
      </c>
      <c r="S111" s="16">
        <f ca="1">_xlfn.FLOOR.MATH(R111)*60</f>
        <v>210600</v>
      </c>
      <c r="T111" s="16">
        <f ca="1">8000+IF(C111=1,OFFSET(控制台!$K$599,MATCH(F111,控制台!$B$599:$B$615,0)-1,0),OFFSET(控制台!$K$618,MATCH(F111,控制台!$B$618:$B$636,0)-1,0))</f>
        <v>8027</v>
      </c>
      <c r="U111" s="1">
        <f ca="1">IF(C111=1,OFFSET(控制台!$F$599,MATCH(F111,控制台!$B$599:$B$615,0)-1,0),OFFSET(控制台!$F$618,MATCH(F111,控制台!$B$618:$B$636,0)-1,0))</f>
        <v>267494.4</v>
      </c>
      <c r="V111" s="1">
        <f ca="1">IF(E111=1,U111/G111,IF(E111=5,U111/G111*OFFSET(控制台!$D$641,MATCH(B111,控制台!$B$641:$B$645,0)-1,0),U111/G111*OFFSET(控制台!$H$641,MATCH(B111,控制台!$F$641:$F$650,0)-1,0)))</f>
        <v>1823.82545454545</v>
      </c>
      <c r="W111" s="20">
        <f ca="1" t="shared" si="4"/>
        <v>1.26654545454545</v>
      </c>
      <c r="X111" s="15">
        <f ca="1">IF(C111=1,OFFSET(控制台!$U$599,MATCH(F111,控制台!$B$599:$B$615,0)-1,0),OFFSET(控制台!$U$618,MATCH(F111,控制台!$B$618:$B$636,0)-1,0))</f>
        <v>812325</v>
      </c>
      <c r="Y111" s="16">
        <f ca="1">_xlfn.FLOOR.MATH(IF(E111=1,X111/G111,IF(E111=5,X111/G111*OFFSET(控制台!$D$641,MATCH(B111,控制台!$B$641:$B$645,0)-1,0),X111/G111*OFFSET(控制台!$H$641,MATCH(B111,控制台!$F$641:$F$650,0)-1,0))))</f>
        <v>5538</v>
      </c>
      <c r="Z111" s="16">
        <f ca="1" t="shared" si="5"/>
        <v>9230</v>
      </c>
    </row>
    <row r="112" spans="1:26">
      <c r="A112" s="1">
        <v>11501</v>
      </c>
      <c r="B112" s="1">
        <v>3</v>
      </c>
      <c r="C112" s="1">
        <v>1</v>
      </c>
      <c r="D112" s="1" t="s">
        <v>2798</v>
      </c>
      <c r="E112" s="1">
        <f ca="1">IF(C112=1,OFFSET(控制台!$F$552,MATCH(A112,控制台!$B$552:$B$580,0)-1,0),OFFSET(控制台!$L$552,MATCH(A112,控制台!$H$552:$H$594,0)-1,0))</f>
        <v>10</v>
      </c>
      <c r="F112" s="1">
        <f ca="1">IF(C112=1,OFFSET(控制台!$D$552,MATCH(A112,控制台!$B$552:$B$580,0)-1,0),OFFSET(控制台!$J$552,MATCH(A112,控制台!$H$552:$H$594,0)-1,0))</f>
        <v>15</v>
      </c>
      <c r="G112" s="1">
        <f ca="1">IF(C112=1,OFFSET(控制台!$I$599,MATCH(F112,控制台!$B$599:$B$615,0)-1,0),OFFSET(控制台!$I$618,MATCH(F112,控制台!$B$618:$B$636,0)-1,0))</f>
        <v>2</v>
      </c>
      <c r="H112" s="1">
        <f ca="1">IF(C112=1,OFFSET(控制台!$D$599,MATCH(F112,控制台!$B$599:$B$615,0)-1,0),OFFSET(控制台!$D$618,MATCH(F112,控制台!$B$618:$B$636,0)-1,0))</f>
        <v>416160000</v>
      </c>
      <c r="I112" s="1">
        <f ca="1">IF(E112=1,H112/G112,IF(E112=5,H112/G112*OFFSET(控制台!$D$641,MATCH(B112,控制台!$B$641:$B$645,0)-1,0),H112/G112*OFFSET(控制台!$H$641,MATCH(B112,控制台!$F$641:$F$650,0)-1,0)))</f>
        <v>3783272.72727273</v>
      </c>
      <c r="J112" s="1">
        <f ca="1">$I112/3*控制台!H$102</f>
        <v>1261090.90909091</v>
      </c>
      <c r="K112" s="1">
        <f ca="1">$I112/3*控制台!I$102</f>
        <v>945818.181818183</v>
      </c>
      <c r="L112" s="1">
        <f ca="1">$I112/3*控制台!J$102</f>
        <v>1576363.63636364</v>
      </c>
      <c r="M112" s="1">
        <f ca="1">_xlfn.FLOOR.MATH(J112,POWER(10,MAX(2,INT(LOG10(J112)-2))))</f>
        <v>1260000</v>
      </c>
      <c r="N112" s="1">
        <f ca="1">_xlfn.FLOOR.MATH(K112,POWER(10,MAX(2,INT(LOG10(K112)-2))))</f>
        <v>945000</v>
      </c>
      <c r="O112" s="1">
        <f ca="1">_xlfn.FLOOR.MATH(L112,POWER(10,MAX(2,INT(LOG10(L112)-2))))</f>
        <v>1570000</v>
      </c>
      <c r="P112" s="4" t="str">
        <f ca="1" t="shared" si="3"/>
        <v>1260000;945000;1570000</v>
      </c>
      <c r="Q112" s="15">
        <f ca="1">IF(C112=1,OFFSET(控制台!$H$599,MATCH(F112,控制台!$B$599:$B$615,0)-1,0),OFFSET(控制台!$H$618,MATCH(F112,控制台!$B$618:$B$636,0)-1,0))</f>
        <v>514926.72</v>
      </c>
      <c r="R112" s="15">
        <f ca="1">IF(E112=1,Q112/G112,IF(E112=5,Q112/G112*OFFSET(控制台!$D$641,MATCH(B112,控制台!$B$641:$B$645,0)-1,0),Q112/G112*OFFSET(控制台!$H$641,MATCH(B112,控制台!$F$641:$F$650,0)-1,0)))</f>
        <v>4681.152</v>
      </c>
      <c r="S112" s="16">
        <f ca="1">_xlfn.FLOOR.MATH(R112)*60</f>
        <v>280860</v>
      </c>
      <c r="T112" s="16">
        <f ca="1">8000+IF(C112=1,OFFSET(控制台!$K$599,MATCH(F112,控制台!$B$599:$B$615,0)-1,0),OFFSET(控制台!$K$618,MATCH(F112,控制台!$B$618:$B$636,0)-1,0))</f>
        <v>8027</v>
      </c>
      <c r="U112" s="1">
        <f ca="1">IF(C112=1,OFFSET(控制台!$F$599,MATCH(F112,控制台!$B$599:$B$615,0)-1,0),OFFSET(控制台!$F$618,MATCH(F112,控制台!$B$618:$B$636,0)-1,0))</f>
        <v>267494.4</v>
      </c>
      <c r="V112" s="1">
        <f ca="1">IF(E112=1,U112/G112,IF(E112=5,U112/G112*OFFSET(控制台!$D$641,MATCH(B112,控制台!$B$641:$B$645,0)-1,0),U112/G112*OFFSET(控制台!$H$641,MATCH(B112,控制台!$F$641:$F$650,0)-1,0)))</f>
        <v>2431.76727272727</v>
      </c>
      <c r="W112" s="20">
        <f ca="1" t="shared" si="4"/>
        <v>1.68872727272727</v>
      </c>
      <c r="X112" s="15">
        <f ca="1">IF(C112=1,OFFSET(控制台!$U$599,MATCH(F112,控制台!$B$599:$B$615,0)-1,0),OFFSET(控制台!$U$618,MATCH(F112,控制台!$B$618:$B$636,0)-1,0))</f>
        <v>812325</v>
      </c>
      <c r="Y112" s="16">
        <f ca="1">_xlfn.FLOOR.MATH(IF(E112=1,X112/G112,IF(E112=5,X112/G112*OFFSET(控制台!$D$641,MATCH(B112,控制台!$B$641:$B$645,0)-1,0),X112/G112*OFFSET(控制台!$H$641,MATCH(B112,控制台!$F$641:$F$650,0)-1,0))))</f>
        <v>7384</v>
      </c>
      <c r="Z112" s="16">
        <f ca="1" t="shared" si="5"/>
        <v>16614</v>
      </c>
    </row>
    <row r="113" spans="1:26">
      <c r="A113" s="1">
        <v>11501</v>
      </c>
      <c r="B113" s="1">
        <v>4</v>
      </c>
      <c r="C113" s="1">
        <v>1</v>
      </c>
      <c r="D113" s="1" t="s">
        <v>2798</v>
      </c>
      <c r="E113" s="1">
        <f ca="1">IF(C113=1,OFFSET(控制台!$F$552,MATCH(A113,控制台!$B$552:$B$580,0)-1,0),OFFSET(控制台!$L$552,MATCH(A113,控制台!$H$552:$H$594,0)-1,0))</f>
        <v>10</v>
      </c>
      <c r="F113" s="1">
        <f ca="1">IF(C113=1,OFFSET(控制台!$D$552,MATCH(A113,控制台!$B$552:$B$580,0)-1,0),OFFSET(控制台!$J$552,MATCH(A113,控制台!$H$552:$H$594,0)-1,0))</f>
        <v>15</v>
      </c>
      <c r="G113" s="1">
        <f ca="1">IF(C113=1,OFFSET(控制台!$I$599,MATCH(F113,控制台!$B$599:$B$615,0)-1,0),OFFSET(控制台!$I$618,MATCH(F113,控制台!$B$618:$B$636,0)-1,0))</f>
        <v>2</v>
      </c>
      <c r="H113" s="1">
        <f ca="1">IF(C113=1,OFFSET(控制台!$D$599,MATCH(F113,控制台!$B$599:$B$615,0)-1,0),OFFSET(控制台!$D$618,MATCH(F113,控制台!$B$618:$B$636,0)-1,0))</f>
        <v>416160000</v>
      </c>
      <c r="I113" s="1">
        <f ca="1">IF(E113=1,H113/G113,IF(E113=5,H113/G113*OFFSET(控制台!$D$641,MATCH(B113,控制台!$B$641:$B$645,0)-1,0),H113/G113*OFFSET(控制台!$H$641,MATCH(B113,控制台!$F$641:$F$650,0)-1,0)))</f>
        <v>5674909.0909091</v>
      </c>
      <c r="J113" s="1">
        <f ca="1">$I113/3*控制台!H$102</f>
        <v>1891636.36363637</v>
      </c>
      <c r="K113" s="1">
        <f ca="1">$I113/3*控制台!I$102</f>
        <v>1418727.27272727</v>
      </c>
      <c r="L113" s="1">
        <f ca="1">$I113/3*控制台!J$102</f>
        <v>2364545.45454546</v>
      </c>
      <c r="M113" s="1">
        <f ca="1">_xlfn.FLOOR.MATH(J113,POWER(10,MAX(2,INT(LOG10(J113)-2))))</f>
        <v>1890000</v>
      </c>
      <c r="N113" s="1">
        <f ca="1">_xlfn.FLOOR.MATH(K113,POWER(10,MAX(2,INT(LOG10(K113)-2))))</f>
        <v>1410000</v>
      </c>
      <c r="O113" s="1">
        <f ca="1">_xlfn.FLOOR.MATH(L113,POWER(10,MAX(2,INT(LOG10(L113)-2))))</f>
        <v>2360000</v>
      </c>
      <c r="P113" s="4" t="str">
        <f ca="1" t="shared" si="3"/>
        <v>1890000;1410000;2360000</v>
      </c>
      <c r="Q113" s="15">
        <f ca="1">IF(C113=1,OFFSET(控制台!$H$599,MATCH(F113,控制台!$B$599:$B$615,0)-1,0),OFFSET(控制台!$H$618,MATCH(F113,控制台!$B$618:$B$636,0)-1,0))</f>
        <v>514926.72</v>
      </c>
      <c r="R113" s="15">
        <f ca="1">IF(E113=1,Q113/G113,IF(E113=5,Q113/G113*OFFSET(控制台!$D$641,MATCH(B113,控制台!$B$641:$B$645,0)-1,0),Q113/G113*OFFSET(控制台!$H$641,MATCH(B113,控制台!$F$641:$F$650,0)-1,0)))</f>
        <v>7021.72800000001</v>
      </c>
      <c r="S113" s="16">
        <f ca="1">_xlfn.FLOOR.MATH(R113)*60</f>
        <v>421260</v>
      </c>
      <c r="T113" s="16">
        <f ca="1">8000+IF(C113=1,OFFSET(控制台!$K$599,MATCH(F113,控制台!$B$599:$B$615,0)-1,0),OFFSET(控制台!$K$618,MATCH(F113,控制台!$B$618:$B$636,0)-1,0))</f>
        <v>8027</v>
      </c>
      <c r="U113" s="1">
        <f ca="1">IF(C113=1,OFFSET(控制台!$F$599,MATCH(F113,控制台!$B$599:$B$615,0)-1,0),OFFSET(控制台!$F$618,MATCH(F113,控制台!$B$618:$B$636,0)-1,0))</f>
        <v>267494.4</v>
      </c>
      <c r="V113" s="1">
        <f ca="1">IF(E113=1,U113/G113,IF(E113=5,U113/G113*OFFSET(控制台!$D$641,MATCH(B113,控制台!$B$641:$B$645,0)-1,0),U113/G113*OFFSET(控制台!$H$641,MATCH(B113,控制台!$F$641:$F$650,0)-1,0)))</f>
        <v>3647.65090909091</v>
      </c>
      <c r="W113" s="20">
        <f ca="1" t="shared" si="4"/>
        <v>2.53309090909091</v>
      </c>
      <c r="X113" s="15">
        <f ca="1">IF(C113=1,OFFSET(控制台!$U$599,MATCH(F113,控制台!$B$599:$B$615,0)-1,0),OFFSET(控制台!$U$618,MATCH(F113,控制台!$B$618:$B$636,0)-1,0))</f>
        <v>812325</v>
      </c>
      <c r="Y113" s="16">
        <f ca="1">_xlfn.FLOOR.MATH(IF(E113=1,X113/G113,IF(E113=5,X113/G113*OFFSET(控制台!$D$641,MATCH(B113,控制台!$B$641:$B$645,0)-1,0),X113/G113*OFFSET(控制台!$H$641,MATCH(B113,控制台!$F$641:$F$650,0)-1,0))))</f>
        <v>11077</v>
      </c>
      <c r="Z113" s="16">
        <f ca="1" t="shared" si="5"/>
        <v>27691</v>
      </c>
    </row>
    <row r="114" spans="1:26">
      <c r="A114" s="1">
        <v>11501</v>
      </c>
      <c r="B114" s="1">
        <v>5</v>
      </c>
      <c r="C114" s="1">
        <v>1</v>
      </c>
      <c r="D114" s="1" t="s">
        <v>2798</v>
      </c>
      <c r="E114" s="1">
        <f ca="1">IF(C114=1,OFFSET(控制台!$F$552,MATCH(A114,控制台!$B$552:$B$580,0)-1,0),OFFSET(控制台!$L$552,MATCH(A114,控制台!$H$552:$H$594,0)-1,0))</f>
        <v>10</v>
      </c>
      <c r="F114" s="1">
        <f ca="1">IF(C114=1,OFFSET(控制台!$D$552,MATCH(A114,控制台!$B$552:$B$580,0)-1,0),OFFSET(控制台!$J$552,MATCH(A114,控制台!$H$552:$H$594,0)-1,0))</f>
        <v>15</v>
      </c>
      <c r="G114" s="1">
        <f ca="1">IF(C114=1,OFFSET(控制台!$I$599,MATCH(F114,控制台!$B$599:$B$615,0)-1,0),OFFSET(控制台!$I$618,MATCH(F114,控制台!$B$618:$B$636,0)-1,0))</f>
        <v>2</v>
      </c>
      <c r="H114" s="1">
        <f ca="1">IF(C114=1,OFFSET(控制台!$D$599,MATCH(F114,控制台!$B$599:$B$615,0)-1,0),OFFSET(控制台!$D$618,MATCH(F114,控制台!$B$618:$B$636,0)-1,0))</f>
        <v>416160000</v>
      </c>
      <c r="I114" s="1">
        <f ca="1">IF(E114=1,H114/G114,IF(E114=5,H114/G114*OFFSET(控制台!$D$641,MATCH(B114,控制台!$B$641:$B$645,0)-1,0),H114/G114*OFFSET(控制台!$H$641,MATCH(B114,控制台!$F$641:$F$650,0)-1,0)))</f>
        <v>9458181.81818183</v>
      </c>
      <c r="J114" s="1">
        <f ca="1">$I114/3*控制台!H$102</f>
        <v>3152727.27272728</v>
      </c>
      <c r="K114" s="1">
        <f ca="1">$I114/3*控制台!I$102</f>
        <v>2364545.45454546</v>
      </c>
      <c r="L114" s="1">
        <f ca="1">$I114/3*控制台!J$102</f>
        <v>3940909.09090909</v>
      </c>
      <c r="M114" s="1">
        <f ca="1">_xlfn.FLOOR.MATH(J114,POWER(10,MAX(2,INT(LOG10(J114)-2))))</f>
        <v>3150000</v>
      </c>
      <c r="N114" s="1">
        <f ca="1">_xlfn.FLOOR.MATH(K114,POWER(10,MAX(2,INT(LOG10(K114)-2))))</f>
        <v>2360000</v>
      </c>
      <c r="O114" s="1">
        <f ca="1">_xlfn.FLOOR.MATH(L114,POWER(10,MAX(2,INT(LOG10(L114)-2))))</f>
        <v>3940000</v>
      </c>
      <c r="P114" s="4" t="str">
        <f ca="1" t="shared" si="3"/>
        <v>3150000;2360000;3940000</v>
      </c>
      <c r="Q114" s="15">
        <f ca="1">IF(C114=1,OFFSET(控制台!$H$599,MATCH(F114,控制台!$B$599:$B$615,0)-1,0),OFFSET(控制台!$H$618,MATCH(F114,控制台!$B$618:$B$636,0)-1,0))</f>
        <v>514926.72</v>
      </c>
      <c r="R114" s="15">
        <f ca="1">IF(E114=1,Q114/G114,IF(E114=5,Q114/G114*OFFSET(控制台!$D$641,MATCH(B114,控制台!$B$641:$B$645,0)-1,0),Q114/G114*OFFSET(控制台!$H$641,MATCH(B114,控制台!$F$641:$F$650,0)-1,0)))</f>
        <v>11702.88</v>
      </c>
      <c r="S114" s="16">
        <f ca="1">_xlfn.FLOOR.MATH(R114)*60</f>
        <v>702120</v>
      </c>
      <c r="T114" s="16">
        <f ca="1">8000+IF(C114=1,OFFSET(控制台!$K$599,MATCH(F114,控制台!$B$599:$B$615,0)-1,0),OFFSET(控制台!$K$618,MATCH(F114,控制台!$B$618:$B$636,0)-1,0))</f>
        <v>8027</v>
      </c>
      <c r="U114" s="1">
        <f ca="1">IF(C114=1,OFFSET(控制台!$F$599,MATCH(F114,控制台!$B$599:$B$615,0)-1,0),OFFSET(控制台!$F$618,MATCH(F114,控制台!$B$618:$B$636,0)-1,0))</f>
        <v>267494.4</v>
      </c>
      <c r="V114" s="1">
        <f ca="1">IF(E114=1,U114/G114,IF(E114=5,U114/G114*OFFSET(控制台!$D$641,MATCH(B114,控制台!$B$641:$B$645,0)-1,0),U114/G114*OFFSET(控制台!$H$641,MATCH(B114,控制台!$F$641:$F$650,0)-1,0)))</f>
        <v>6079.41818181819</v>
      </c>
      <c r="W114" s="20">
        <f ca="1" t="shared" si="4"/>
        <v>4.22181818181819</v>
      </c>
      <c r="X114" s="15">
        <f ca="1">IF(C114=1,OFFSET(控制台!$U$599,MATCH(F114,控制台!$B$599:$B$615,0)-1,0),OFFSET(控制台!$U$618,MATCH(F114,控制台!$B$618:$B$636,0)-1,0))</f>
        <v>812325</v>
      </c>
      <c r="Y114" s="16">
        <f ca="1">_xlfn.FLOOR.MATH(IF(E114=1,X114/G114,IF(E114=5,X114/G114*OFFSET(控制台!$D$641,MATCH(B114,控制台!$B$641:$B$645,0)-1,0),X114/G114*OFFSET(控制台!$H$641,MATCH(B114,控制台!$F$641:$F$650,0)-1,0))))</f>
        <v>18461</v>
      </c>
      <c r="Z114" s="16">
        <f ca="1" t="shared" si="5"/>
        <v>46152</v>
      </c>
    </row>
    <row r="115" spans="1:26">
      <c r="A115" s="1">
        <v>11501</v>
      </c>
      <c r="B115" s="1">
        <v>6</v>
      </c>
      <c r="C115" s="1">
        <v>1</v>
      </c>
      <c r="D115" s="1" t="s">
        <v>2798</v>
      </c>
      <c r="E115" s="1">
        <f ca="1">IF(C115=1,OFFSET(控制台!$F$552,MATCH(A115,控制台!$B$552:$B$580,0)-1,0),OFFSET(控制台!$L$552,MATCH(A115,控制台!$H$552:$H$594,0)-1,0))</f>
        <v>10</v>
      </c>
      <c r="F115" s="1">
        <f ca="1">IF(C115=1,OFFSET(控制台!$D$552,MATCH(A115,控制台!$B$552:$B$580,0)-1,0),OFFSET(控制台!$J$552,MATCH(A115,控制台!$H$552:$H$594,0)-1,0))</f>
        <v>15</v>
      </c>
      <c r="G115" s="1">
        <f ca="1">IF(C115=1,OFFSET(控制台!$I$599,MATCH(F115,控制台!$B$599:$B$615,0)-1,0),OFFSET(控制台!$I$618,MATCH(F115,控制台!$B$618:$B$636,0)-1,0))</f>
        <v>2</v>
      </c>
      <c r="H115" s="1">
        <f ca="1">IF(C115=1,OFFSET(控制台!$D$599,MATCH(F115,控制台!$B$599:$B$615,0)-1,0),OFFSET(控制台!$D$618,MATCH(F115,控制台!$B$618:$B$636,0)-1,0))</f>
        <v>416160000</v>
      </c>
      <c r="I115" s="1">
        <f ca="1">IF(E115=1,H115/G115,IF(E115=5,H115/G115*OFFSET(控制台!$D$641,MATCH(B115,控制台!$B$641:$B$645,0)-1,0),H115/G115*OFFSET(控制台!$H$641,MATCH(B115,控制台!$F$641:$F$650,0)-1,0)))</f>
        <v>14187272.7272727</v>
      </c>
      <c r="J115" s="1">
        <f ca="1">$I115/3*控制台!H$102</f>
        <v>4729090.90909091</v>
      </c>
      <c r="K115" s="1">
        <f ca="1">$I115/3*控制台!I$102</f>
        <v>3546818.18181818</v>
      </c>
      <c r="L115" s="1">
        <f ca="1">$I115/3*控制台!J$102</f>
        <v>5911363.63636364</v>
      </c>
      <c r="M115" s="1">
        <f ca="1">_xlfn.FLOOR.MATH(J115,POWER(10,MAX(2,INT(LOG10(J115)-2))))</f>
        <v>4720000</v>
      </c>
      <c r="N115" s="1">
        <f ca="1">_xlfn.FLOOR.MATH(K115,POWER(10,MAX(2,INT(LOG10(K115)-2))))</f>
        <v>3540000</v>
      </c>
      <c r="O115" s="1">
        <f ca="1">_xlfn.FLOOR.MATH(L115,POWER(10,MAX(2,INT(LOG10(L115)-2))))</f>
        <v>5910000</v>
      </c>
      <c r="P115" s="4" t="str">
        <f ca="1" t="shared" si="3"/>
        <v>4720000;3540000;5910000</v>
      </c>
      <c r="Q115" s="15">
        <f ca="1">IF(C115=1,OFFSET(控制台!$H$599,MATCH(F115,控制台!$B$599:$B$615,0)-1,0),OFFSET(控制台!$H$618,MATCH(F115,控制台!$B$618:$B$636,0)-1,0))</f>
        <v>514926.72</v>
      </c>
      <c r="R115" s="15">
        <f ca="1">IF(E115=1,Q115/G115,IF(E115=5,Q115/G115*OFFSET(控制台!$D$641,MATCH(B115,控制台!$B$641:$B$645,0)-1,0),Q115/G115*OFFSET(控制台!$H$641,MATCH(B115,控制台!$F$641:$F$650,0)-1,0)))</f>
        <v>17554.32</v>
      </c>
      <c r="S115" s="16">
        <f ca="1">_xlfn.FLOOR.MATH(R115)*60</f>
        <v>1053240</v>
      </c>
      <c r="T115" s="16">
        <f ca="1">8000+IF(C115=1,OFFSET(控制台!$K$599,MATCH(F115,控制台!$B$599:$B$615,0)-1,0),OFFSET(控制台!$K$618,MATCH(F115,控制台!$B$618:$B$636,0)-1,0))</f>
        <v>8027</v>
      </c>
      <c r="U115" s="1">
        <f ca="1">IF(C115=1,OFFSET(控制台!$F$599,MATCH(F115,控制台!$B$599:$B$615,0)-1,0),OFFSET(控制台!$F$618,MATCH(F115,控制台!$B$618:$B$636,0)-1,0))</f>
        <v>267494.4</v>
      </c>
      <c r="V115" s="1">
        <f ca="1">IF(E115=1,U115/G115,IF(E115=5,U115/G115*OFFSET(控制台!$D$641,MATCH(B115,控制台!$B$641:$B$645,0)-1,0),U115/G115*OFFSET(控制台!$H$641,MATCH(B115,控制台!$F$641:$F$650,0)-1,0)))</f>
        <v>9119.12727272728</v>
      </c>
      <c r="W115" s="20">
        <f ca="1" t="shared" si="4"/>
        <v>6.33272727272727</v>
      </c>
      <c r="X115" s="15">
        <f ca="1">IF(C115=1,OFFSET(控制台!$U$599,MATCH(F115,控制台!$B$599:$B$615,0)-1,0),OFFSET(控制台!$U$618,MATCH(F115,控制台!$B$618:$B$636,0)-1,0))</f>
        <v>812325</v>
      </c>
      <c r="Y115" s="16">
        <f ca="1">_xlfn.FLOOR.MATH(IF(E115=1,X115/G115,IF(E115=5,X115/G115*OFFSET(控制台!$D$641,MATCH(B115,控制台!$B$641:$B$645,0)-1,0),X115/G115*OFFSET(控制台!$H$641,MATCH(B115,控制台!$F$641:$F$650,0)-1,0))))</f>
        <v>27692</v>
      </c>
      <c r="Z115" s="16">
        <f ca="1" t="shared" si="5"/>
        <v>73844</v>
      </c>
    </row>
    <row r="116" spans="1:26">
      <c r="A116" s="1">
        <v>11501</v>
      </c>
      <c r="B116" s="1">
        <v>7</v>
      </c>
      <c r="C116" s="1">
        <v>1</v>
      </c>
      <c r="D116" s="1" t="s">
        <v>2798</v>
      </c>
      <c r="E116" s="1">
        <f ca="1">IF(C116=1,OFFSET(控制台!$F$552,MATCH(A116,控制台!$B$552:$B$580,0)-1,0),OFFSET(控制台!$L$552,MATCH(A116,控制台!$H$552:$H$594,0)-1,0))</f>
        <v>10</v>
      </c>
      <c r="F116" s="1">
        <f ca="1">IF(C116=1,OFFSET(控制台!$D$552,MATCH(A116,控制台!$B$552:$B$580,0)-1,0),OFFSET(控制台!$J$552,MATCH(A116,控制台!$H$552:$H$594,0)-1,0))</f>
        <v>15</v>
      </c>
      <c r="G116" s="1">
        <f ca="1">IF(C116=1,OFFSET(控制台!$I$599,MATCH(F116,控制台!$B$599:$B$615,0)-1,0),OFFSET(控制台!$I$618,MATCH(F116,控制台!$B$618:$B$636,0)-1,0))</f>
        <v>2</v>
      </c>
      <c r="H116" s="1">
        <f ca="1">IF(C116=1,OFFSET(控制台!$D$599,MATCH(F116,控制台!$B$599:$B$615,0)-1,0),OFFSET(控制台!$D$618,MATCH(F116,控制台!$B$618:$B$636,0)-1,0))</f>
        <v>416160000</v>
      </c>
      <c r="I116" s="1">
        <f ca="1">IF(E116=1,H116/G116,IF(E116=5,H116/G116*OFFSET(控制台!$D$641,MATCH(B116,控制台!$B$641:$B$645,0)-1,0),H116/G116*OFFSET(控制台!$H$641,MATCH(B116,控制台!$F$641:$F$650,0)-1,0)))</f>
        <v>18916363.6363636</v>
      </c>
      <c r="J116" s="1">
        <f ca="1">$I116/3*控制台!H$102</f>
        <v>6305454.54545454</v>
      </c>
      <c r="K116" s="1">
        <f ca="1">$I116/3*控制台!I$102</f>
        <v>4729090.90909091</v>
      </c>
      <c r="L116" s="1">
        <f ca="1">$I116/3*控制台!J$102</f>
        <v>7881818.18181818</v>
      </c>
      <c r="M116" s="1">
        <f ca="1">_xlfn.FLOOR.MATH(J116,POWER(10,MAX(2,INT(LOG10(J116)-2))))</f>
        <v>6300000</v>
      </c>
      <c r="N116" s="1">
        <f ca="1">_xlfn.FLOOR.MATH(K116,POWER(10,MAX(2,INT(LOG10(K116)-2))))</f>
        <v>4720000</v>
      </c>
      <c r="O116" s="1">
        <f ca="1">_xlfn.FLOOR.MATH(L116,POWER(10,MAX(2,INT(LOG10(L116)-2))))</f>
        <v>7880000</v>
      </c>
      <c r="P116" s="4" t="str">
        <f ca="1" t="shared" si="3"/>
        <v>6300000;4720000;7880000</v>
      </c>
      <c r="Q116" s="15">
        <f ca="1">IF(C116=1,OFFSET(控制台!$H$599,MATCH(F116,控制台!$B$599:$B$615,0)-1,0),OFFSET(控制台!$H$618,MATCH(F116,控制台!$B$618:$B$636,0)-1,0))</f>
        <v>514926.72</v>
      </c>
      <c r="R116" s="15">
        <f ca="1">IF(E116=1,Q116/G116,IF(E116=5,Q116/G116*OFFSET(控制台!$D$641,MATCH(B116,控制台!$B$641:$B$645,0)-1,0),Q116/G116*OFFSET(控制台!$H$641,MATCH(B116,控制台!$F$641:$F$650,0)-1,0)))</f>
        <v>23405.76</v>
      </c>
      <c r="S116" s="16">
        <f ca="1">_xlfn.FLOOR.MATH(R116)*60</f>
        <v>1404300</v>
      </c>
      <c r="T116" s="16">
        <f ca="1">8000+IF(C116=1,OFFSET(控制台!$K$599,MATCH(F116,控制台!$B$599:$B$615,0)-1,0),OFFSET(控制台!$K$618,MATCH(F116,控制台!$B$618:$B$636,0)-1,0))</f>
        <v>8027</v>
      </c>
      <c r="U116" s="1">
        <f ca="1">IF(C116=1,OFFSET(控制台!$F$599,MATCH(F116,控制台!$B$599:$B$615,0)-1,0),OFFSET(控制台!$F$618,MATCH(F116,控制台!$B$618:$B$636,0)-1,0))</f>
        <v>267494.4</v>
      </c>
      <c r="V116" s="1">
        <f ca="1">IF(E116=1,U116/G116,IF(E116=5,U116/G116*OFFSET(控制台!$D$641,MATCH(B116,控制台!$B$641:$B$645,0)-1,0),U116/G116*OFFSET(控制台!$H$641,MATCH(B116,控制台!$F$641:$F$650,0)-1,0)))</f>
        <v>12158.8363636364</v>
      </c>
      <c r="W116" s="20">
        <f ca="1" t="shared" si="4"/>
        <v>8.44363636363636</v>
      </c>
      <c r="X116" s="15">
        <f ca="1">IF(C116=1,OFFSET(控制台!$U$599,MATCH(F116,控制台!$B$599:$B$615,0)-1,0),OFFSET(控制台!$U$618,MATCH(F116,控制台!$B$618:$B$636,0)-1,0))</f>
        <v>812325</v>
      </c>
      <c r="Y116" s="16">
        <f ca="1">_xlfn.FLOOR.MATH(IF(E116=1,X116/G116,IF(E116=5,X116/G116*OFFSET(控制台!$D$641,MATCH(B116,控制台!$B$641:$B$645,0)-1,0),X116/G116*OFFSET(控制台!$H$641,MATCH(B116,控制台!$F$641:$F$650,0)-1,0))))</f>
        <v>36923</v>
      </c>
      <c r="Z116" s="16">
        <f ca="1" t="shared" si="5"/>
        <v>110767</v>
      </c>
    </row>
    <row r="117" spans="1:26">
      <c r="A117" s="1">
        <v>11501</v>
      </c>
      <c r="B117" s="1">
        <v>8</v>
      </c>
      <c r="C117" s="1">
        <v>1</v>
      </c>
      <c r="D117" s="1" t="s">
        <v>2798</v>
      </c>
      <c r="E117" s="1">
        <f ca="1">IF(C117=1,OFFSET(控制台!$F$552,MATCH(A117,控制台!$B$552:$B$580,0)-1,0),OFFSET(控制台!$L$552,MATCH(A117,控制台!$H$552:$H$594,0)-1,0))</f>
        <v>10</v>
      </c>
      <c r="F117" s="1">
        <f ca="1">IF(C117=1,OFFSET(控制台!$D$552,MATCH(A117,控制台!$B$552:$B$580,0)-1,0),OFFSET(控制台!$J$552,MATCH(A117,控制台!$H$552:$H$594,0)-1,0))</f>
        <v>15</v>
      </c>
      <c r="G117" s="1">
        <f ca="1">IF(C117=1,OFFSET(控制台!$I$599,MATCH(F117,控制台!$B$599:$B$615,0)-1,0),OFFSET(控制台!$I$618,MATCH(F117,控制台!$B$618:$B$636,0)-1,0))</f>
        <v>2</v>
      </c>
      <c r="H117" s="1">
        <f ca="1">IF(C117=1,OFFSET(控制台!$D$599,MATCH(F117,控制台!$B$599:$B$615,0)-1,0),OFFSET(控制台!$D$618,MATCH(F117,控制台!$B$618:$B$636,0)-1,0))</f>
        <v>416160000</v>
      </c>
      <c r="I117" s="1">
        <f ca="1">IF(E117=1,H117/G117,IF(E117=5,H117/G117*OFFSET(控制台!$D$641,MATCH(B117,控制台!$B$641:$B$645,0)-1,0),H117/G117*OFFSET(控制台!$H$641,MATCH(B117,控制台!$F$641:$F$650,0)-1,0)))</f>
        <v>28374545.4545454</v>
      </c>
      <c r="J117" s="1">
        <f ca="1">$I117/3*控制台!H$102</f>
        <v>9458181.81818179</v>
      </c>
      <c r="K117" s="1">
        <f ca="1">$I117/3*控制台!I$102</f>
        <v>7093636.36363634</v>
      </c>
      <c r="L117" s="1">
        <f ca="1">$I117/3*控制台!J$102</f>
        <v>11822727.2727272</v>
      </c>
      <c r="M117" s="1">
        <f ca="1">_xlfn.FLOOR.MATH(J117,POWER(10,MAX(2,INT(LOG10(J117)-2))))</f>
        <v>9450000</v>
      </c>
      <c r="N117" s="1">
        <f ca="1">_xlfn.FLOOR.MATH(K117,POWER(10,MAX(2,INT(LOG10(K117)-2))))</f>
        <v>7090000</v>
      </c>
      <c r="O117" s="1">
        <f ca="1">_xlfn.FLOOR.MATH(L117,POWER(10,MAX(2,INT(LOG10(L117)-2))))</f>
        <v>11800000</v>
      </c>
      <c r="P117" s="4" t="str">
        <f ca="1" t="shared" si="3"/>
        <v>9450000;7090000;11800000</v>
      </c>
      <c r="Q117" s="15">
        <f ca="1">IF(C117=1,OFFSET(控制台!$H$599,MATCH(F117,控制台!$B$599:$B$615,0)-1,0),OFFSET(控制台!$H$618,MATCH(F117,控制台!$B$618:$B$636,0)-1,0))</f>
        <v>514926.72</v>
      </c>
      <c r="R117" s="15">
        <f ca="1">IF(E117=1,Q117/G117,IF(E117=5,Q117/G117*OFFSET(控制台!$D$641,MATCH(B117,控制台!$B$641:$B$645,0)-1,0),Q117/G117*OFFSET(控制台!$H$641,MATCH(B117,控制台!$F$641:$F$650,0)-1,0)))</f>
        <v>35108.6399999999</v>
      </c>
      <c r="S117" s="16">
        <f ca="1">_xlfn.FLOOR.MATH(R117)*60</f>
        <v>2106480</v>
      </c>
      <c r="T117" s="16">
        <f ca="1">8000+IF(C117=1,OFFSET(控制台!$K$599,MATCH(F117,控制台!$B$599:$B$615,0)-1,0),OFFSET(控制台!$K$618,MATCH(F117,控制台!$B$618:$B$636,0)-1,0))</f>
        <v>8027</v>
      </c>
      <c r="U117" s="1">
        <f ca="1">IF(C117=1,OFFSET(控制台!$F$599,MATCH(F117,控制台!$B$599:$B$615,0)-1,0),OFFSET(控制台!$F$618,MATCH(F117,控制台!$B$618:$B$636,0)-1,0))</f>
        <v>267494.4</v>
      </c>
      <c r="V117" s="1">
        <f ca="1">IF(E117=1,U117/G117,IF(E117=5,U117/G117*OFFSET(控制台!$D$641,MATCH(B117,控制台!$B$641:$B$645,0)-1,0),U117/G117*OFFSET(控制台!$H$641,MATCH(B117,控制台!$F$641:$F$650,0)-1,0)))</f>
        <v>18238.2545454545</v>
      </c>
      <c r="W117" s="20">
        <f ca="1" t="shared" si="4"/>
        <v>12.6654545454545</v>
      </c>
      <c r="X117" s="15">
        <f ca="1">IF(C117=1,OFFSET(控制台!$U$599,MATCH(F117,控制台!$B$599:$B$615,0)-1,0),OFFSET(控制台!$U$618,MATCH(F117,控制台!$B$618:$B$636,0)-1,0))</f>
        <v>812325</v>
      </c>
      <c r="Y117" s="16">
        <f ca="1">_xlfn.FLOOR.MATH(IF(E117=1,X117/G117,IF(E117=5,X117/G117*OFFSET(控制台!$D$641,MATCH(B117,控制台!$B$641:$B$645,0)-1,0),X117/G117*OFFSET(控制台!$H$641,MATCH(B117,控制台!$F$641:$F$650,0)-1,0))))</f>
        <v>55385</v>
      </c>
      <c r="Z117" s="16">
        <f ca="1" t="shared" si="5"/>
        <v>166152</v>
      </c>
    </row>
    <row r="118" spans="1:26">
      <c r="A118" s="1">
        <v>11501</v>
      </c>
      <c r="B118" s="1">
        <v>9</v>
      </c>
      <c r="C118" s="1">
        <v>1</v>
      </c>
      <c r="D118" s="1" t="s">
        <v>2798</v>
      </c>
      <c r="E118" s="1">
        <f ca="1">IF(C118=1,OFFSET(控制台!$F$552,MATCH(A118,控制台!$B$552:$B$580,0)-1,0),OFFSET(控制台!$L$552,MATCH(A118,控制台!$H$552:$H$594,0)-1,0))</f>
        <v>10</v>
      </c>
      <c r="F118" s="1">
        <f ca="1">IF(C118=1,OFFSET(控制台!$D$552,MATCH(A118,控制台!$B$552:$B$580,0)-1,0),OFFSET(控制台!$J$552,MATCH(A118,控制台!$H$552:$H$594,0)-1,0))</f>
        <v>15</v>
      </c>
      <c r="G118" s="1">
        <f ca="1">IF(C118=1,OFFSET(控制台!$I$599,MATCH(F118,控制台!$B$599:$B$615,0)-1,0),OFFSET(控制台!$I$618,MATCH(F118,控制台!$B$618:$B$636,0)-1,0))</f>
        <v>2</v>
      </c>
      <c r="H118" s="1">
        <f ca="1">IF(C118=1,OFFSET(控制台!$D$599,MATCH(F118,控制台!$B$599:$B$615,0)-1,0),OFFSET(控制台!$D$618,MATCH(F118,控制台!$B$618:$B$636,0)-1,0))</f>
        <v>416160000</v>
      </c>
      <c r="I118" s="1">
        <f ca="1">IF(E118=1,H118/G118,IF(E118=5,H118/G118*OFFSET(控制台!$D$641,MATCH(B118,控制台!$B$641:$B$645,0)-1,0),H118/G118*OFFSET(控制台!$H$641,MATCH(B118,控制台!$F$641:$F$650,0)-1,0)))</f>
        <v>47290909.090909</v>
      </c>
      <c r="J118" s="1">
        <f ca="1">$I118/3*控制台!H$102</f>
        <v>15763636.3636363</v>
      </c>
      <c r="K118" s="1">
        <f ca="1">$I118/3*控制台!I$102</f>
        <v>11822727.2727273</v>
      </c>
      <c r="L118" s="1">
        <f ca="1">$I118/3*控制台!J$102</f>
        <v>19704545.4545454</v>
      </c>
      <c r="M118" s="1">
        <f ca="1">_xlfn.FLOOR.MATH(J118,POWER(10,MAX(2,INT(LOG10(J118)-2))))</f>
        <v>15700000</v>
      </c>
      <c r="N118" s="1">
        <f ca="1">_xlfn.FLOOR.MATH(K118,POWER(10,MAX(2,INT(LOG10(K118)-2))))</f>
        <v>11800000</v>
      </c>
      <c r="O118" s="1">
        <f ca="1">_xlfn.FLOOR.MATH(L118,POWER(10,MAX(2,INT(LOG10(L118)-2))))</f>
        <v>19700000</v>
      </c>
      <c r="P118" s="4" t="str">
        <f ca="1" t="shared" si="3"/>
        <v>15700000;11800000;19700000</v>
      </c>
      <c r="Q118" s="15">
        <f ca="1">IF(C118=1,OFFSET(控制台!$H$599,MATCH(F118,控制台!$B$599:$B$615,0)-1,0),OFFSET(控制台!$H$618,MATCH(F118,控制台!$B$618:$B$636,0)-1,0))</f>
        <v>514926.72</v>
      </c>
      <c r="R118" s="15">
        <f ca="1">IF(E118=1,Q118/G118,IF(E118=5,Q118/G118*OFFSET(控制台!$D$641,MATCH(B118,控制台!$B$641:$B$645,0)-1,0),Q118/G118*OFFSET(控制台!$H$641,MATCH(B118,控制台!$F$641:$F$650,0)-1,0)))</f>
        <v>58514.3999999999</v>
      </c>
      <c r="S118" s="16">
        <f ca="1">_xlfn.FLOOR.MATH(R118)*60</f>
        <v>3510840</v>
      </c>
      <c r="T118" s="16">
        <f ca="1">8000+IF(C118=1,OFFSET(控制台!$K$599,MATCH(F118,控制台!$B$599:$B$615,0)-1,0),OFFSET(控制台!$K$618,MATCH(F118,控制台!$B$618:$B$636,0)-1,0))</f>
        <v>8027</v>
      </c>
      <c r="U118" s="1">
        <f ca="1">IF(C118=1,OFFSET(控制台!$F$599,MATCH(F118,控制台!$B$599:$B$615,0)-1,0),OFFSET(控制台!$F$618,MATCH(F118,控制台!$B$618:$B$636,0)-1,0))</f>
        <v>267494.4</v>
      </c>
      <c r="V118" s="1">
        <f ca="1">IF(E118=1,U118/G118,IF(E118=5,U118/G118*OFFSET(控制台!$D$641,MATCH(B118,控制台!$B$641:$B$645,0)-1,0),U118/G118*OFFSET(控制台!$H$641,MATCH(B118,控制台!$F$641:$F$650,0)-1,0)))</f>
        <v>30397.0909090909</v>
      </c>
      <c r="W118" s="20">
        <f ca="1" t="shared" si="4"/>
        <v>21.1090909090909</v>
      </c>
      <c r="X118" s="15">
        <f ca="1">IF(C118=1,OFFSET(控制台!$U$599,MATCH(F118,控制台!$B$599:$B$615,0)-1,0),OFFSET(控制台!$U$618,MATCH(F118,控制台!$B$618:$B$636,0)-1,0))</f>
        <v>812325</v>
      </c>
      <c r="Y118" s="16">
        <f ca="1">_xlfn.FLOOR.MATH(IF(E118=1,X118/G118,IF(E118=5,X118/G118*OFFSET(控制台!$D$641,MATCH(B118,控制台!$B$641:$B$645,0)-1,0),X118/G118*OFFSET(控制台!$H$641,MATCH(B118,控制台!$F$641:$F$650,0)-1,0))))</f>
        <v>92309</v>
      </c>
      <c r="Z118" s="16">
        <f ca="1" t="shared" si="5"/>
        <v>258461</v>
      </c>
    </row>
    <row r="119" spans="1:26">
      <c r="A119" s="1">
        <v>11501</v>
      </c>
      <c r="B119" s="1">
        <v>10</v>
      </c>
      <c r="C119" s="1">
        <v>1</v>
      </c>
      <c r="D119" s="1" t="s">
        <v>2798</v>
      </c>
      <c r="E119" s="1">
        <f ca="1">IF(C119=1,OFFSET(控制台!$F$552,MATCH(A119,控制台!$B$552:$B$580,0)-1,0),OFFSET(控制台!$L$552,MATCH(A119,控制台!$H$552:$H$594,0)-1,0))</f>
        <v>10</v>
      </c>
      <c r="F119" s="1">
        <f ca="1">IF(C119=1,OFFSET(控制台!$D$552,MATCH(A119,控制台!$B$552:$B$580,0)-1,0),OFFSET(控制台!$J$552,MATCH(A119,控制台!$H$552:$H$594,0)-1,0))</f>
        <v>15</v>
      </c>
      <c r="G119" s="1">
        <f ca="1">IF(C119=1,OFFSET(控制台!$I$599,MATCH(F119,控制台!$B$599:$B$615,0)-1,0),OFFSET(控制台!$I$618,MATCH(F119,控制台!$B$618:$B$636,0)-1,0))</f>
        <v>2</v>
      </c>
      <c r="H119" s="1">
        <f ca="1">IF(C119=1,OFFSET(控制台!$D$599,MATCH(F119,控制台!$B$599:$B$615,0)-1,0),OFFSET(控制台!$D$618,MATCH(F119,控制台!$B$618:$B$636,0)-1,0))</f>
        <v>416160000</v>
      </c>
      <c r="I119" s="1">
        <f ca="1">IF(E119=1,H119/G119,IF(E119=5,H119/G119*OFFSET(控制台!$D$641,MATCH(B119,控制台!$B$641:$B$645,0)-1,0),H119/G119*OFFSET(控制台!$H$641,MATCH(B119,控制台!$F$641:$F$650,0)-1,0)))</f>
        <v>75665454.5454546</v>
      </c>
      <c r="J119" s="1">
        <f ca="1">$I119/3*控制台!H$102</f>
        <v>25221818.1818182</v>
      </c>
      <c r="K119" s="1">
        <f ca="1">$I119/3*控制台!I$102</f>
        <v>18916363.6363637</v>
      </c>
      <c r="L119" s="1">
        <f ca="1">$I119/3*控制台!J$102</f>
        <v>31527272.7272728</v>
      </c>
      <c r="M119" s="1">
        <f ca="1">_xlfn.FLOOR.MATH(J119,POWER(10,MAX(2,INT(LOG10(J119)-2))))</f>
        <v>25200000</v>
      </c>
      <c r="N119" s="1">
        <f ca="1">_xlfn.FLOOR.MATH(K119,POWER(10,MAX(2,INT(LOG10(K119)-2))))</f>
        <v>18900000</v>
      </c>
      <c r="O119" s="1">
        <f ca="1">_xlfn.FLOOR.MATH(L119,POWER(10,MAX(2,INT(LOG10(L119)-2))))</f>
        <v>31500000</v>
      </c>
      <c r="P119" s="4" t="str">
        <f ca="1" t="shared" si="3"/>
        <v>25200000;18900000;31500000</v>
      </c>
      <c r="Q119" s="15">
        <f ca="1">IF(C119=1,OFFSET(控制台!$H$599,MATCH(F119,控制台!$B$599:$B$615,0)-1,0),OFFSET(控制台!$H$618,MATCH(F119,控制台!$B$618:$B$636,0)-1,0))</f>
        <v>514926.72</v>
      </c>
      <c r="R119" s="15">
        <f ca="1">IF(E119=1,Q119/G119,IF(E119=5,Q119/G119*OFFSET(控制台!$D$641,MATCH(B119,控制台!$B$641:$B$645,0)-1,0),Q119/G119*OFFSET(控制台!$H$641,MATCH(B119,控制台!$F$641:$F$650,0)-1,0)))</f>
        <v>93623.0400000001</v>
      </c>
      <c r="S119" s="16">
        <f ca="1">_xlfn.FLOOR.MATH(R119)*60</f>
        <v>5617380</v>
      </c>
      <c r="T119" s="16">
        <f ca="1">8000+IF(C119=1,OFFSET(控制台!$K$599,MATCH(F119,控制台!$B$599:$B$615,0)-1,0),OFFSET(控制台!$K$618,MATCH(F119,控制台!$B$618:$B$636,0)-1,0))</f>
        <v>8027</v>
      </c>
      <c r="U119" s="1">
        <f ca="1">IF(C119=1,OFFSET(控制台!$F$599,MATCH(F119,控制台!$B$599:$B$615,0)-1,0),OFFSET(控制台!$F$618,MATCH(F119,控制台!$B$618:$B$636,0)-1,0))</f>
        <v>267494.4</v>
      </c>
      <c r="V119" s="1">
        <f ca="1">IF(E119=1,U119/G119,IF(E119=5,U119/G119*OFFSET(控制台!$D$641,MATCH(B119,控制台!$B$641:$B$645,0)-1,0),U119/G119*OFFSET(控制台!$H$641,MATCH(B119,控制台!$F$641:$F$650,0)-1,0)))</f>
        <v>48635.3454545455</v>
      </c>
      <c r="W119" s="20">
        <f ca="1" t="shared" si="4"/>
        <v>33.7745454545455</v>
      </c>
      <c r="X119" s="15">
        <f ca="1">IF(C119=1,OFFSET(控制台!$U$599,MATCH(F119,控制台!$B$599:$B$615,0)-1,0),OFFSET(控制台!$U$618,MATCH(F119,控制台!$B$618:$B$636,0)-1,0))</f>
        <v>812325</v>
      </c>
      <c r="Y119" s="16">
        <f ca="1">_xlfn.FLOOR.MATH(IF(E119=1,X119/G119,IF(E119=5,X119/G119*OFFSET(控制台!$D$641,MATCH(B119,控制台!$B$641:$B$645,0)-1,0),X119/G119*OFFSET(控制台!$H$641,MATCH(B119,控制台!$F$641:$F$650,0)-1,0))))</f>
        <v>147695</v>
      </c>
      <c r="Z119" s="16">
        <f ca="1" t="shared" si="5"/>
        <v>406156</v>
      </c>
    </row>
    <row r="120" spans="1:26">
      <c r="A120" s="1">
        <v>11503</v>
      </c>
      <c r="B120" s="1">
        <v>1</v>
      </c>
      <c r="C120" s="1">
        <v>1</v>
      </c>
      <c r="D120" s="1" t="s">
        <v>2799</v>
      </c>
      <c r="E120" s="1">
        <f ca="1">IF(C120=1,OFFSET(控制台!$F$552,MATCH(A120,控制台!$B$552:$B$580,0)-1,0),OFFSET(控制台!$L$552,MATCH(A120,控制台!$H$552:$H$594,0)-1,0))</f>
        <v>10</v>
      </c>
      <c r="F120" s="1">
        <f ca="1">IF(C120=1,OFFSET(控制台!$D$552,MATCH(A120,控制台!$B$552:$B$580,0)-1,0),OFFSET(控制台!$J$552,MATCH(A120,控制台!$H$552:$H$594,0)-1,0))</f>
        <v>15</v>
      </c>
      <c r="G120" s="1">
        <f ca="1">IF(C120=1,OFFSET(控制台!$I$599,MATCH(F120,控制台!$B$599:$B$615,0)-1,0),OFFSET(控制台!$I$618,MATCH(F120,控制台!$B$618:$B$636,0)-1,0))</f>
        <v>2</v>
      </c>
      <c r="H120" s="1">
        <f ca="1">IF(C120=1,OFFSET(控制台!$D$599,MATCH(F120,控制台!$B$599:$B$615,0)-1,0),OFFSET(控制台!$D$618,MATCH(F120,控制台!$B$618:$B$636,0)-1,0))</f>
        <v>416160000</v>
      </c>
      <c r="I120" s="1">
        <f ca="1">IF(E120=1,H120/G120,IF(E120=5,H120/G120*OFFSET(控制台!$D$641,MATCH(B120,控制台!$B$641:$B$645,0)-1,0),H120/G120*OFFSET(控制台!$H$641,MATCH(B120,控制台!$F$641:$F$650,0)-1,0)))</f>
        <v>1891636.36363636</v>
      </c>
      <c r="J120" s="1">
        <f ca="1">$I120/3*控制台!H$102</f>
        <v>630545.454545454</v>
      </c>
      <c r="K120" s="1">
        <f ca="1">$I120/3*控制台!I$102</f>
        <v>472909.090909091</v>
      </c>
      <c r="L120" s="1">
        <f ca="1">$I120/3*控制台!J$102</f>
        <v>788181.818181818</v>
      </c>
      <c r="M120" s="1">
        <f ca="1">_xlfn.FLOOR.MATH(J120,POWER(10,MAX(2,INT(LOG10(J120)-2))))</f>
        <v>630000</v>
      </c>
      <c r="N120" s="1">
        <f ca="1">_xlfn.FLOOR.MATH(K120,POWER(10,MAX(2,INT(LOG10(K120)-2))))</f>
        <v>472000</v>
      </c>
      <c r="O120" s="1">
        <f ca="1">_xlfn.FLOOR.MATH(L120,POWER(10,MAX(2,INT(LOG10(L120)-2))))</f>
        <v>788000</v>
      </c>
      <c r="P120" s="4" t="str">
        <f ca="1" t="shared" si="3"/>
        <v>630000;472000;788000</v>
      </c>
      <c r="Q120" s="15">
        <f ca="1">IF(C120=1,OFFSET(控制台!$H$599,MATCH(F120,控制台!$B$599:$B$615,0)-1,0),OFFSET(控制台!$H$618,MATCH(F120,控制台!$B$618:$B$636,0)-1,0))</f>
        <v>514926.72</v>
      </c>
      <c r="R120" s="15">
        <f ca="1">IF(E120=1,Q120/G120,IF(E120=5,Q120/G120*OFFSET(控制台!$D$641,MATCH(B120,控制台!$B$641:$B$645,0)-1,0),Q120/G120*OFFSET(控制台!$H$641,MATCH(B120,控制台!$F$641:$F$650,0)-1,0)))</f>
        <v>2340.576</v>
      </c>
      <c r="S120" s="16">
        <f ca="1">_xlfn.FLOOR.MATH(R120)*60</f>
        <v>140400</v>
      </c>
      <c r="T120" s="16">
        <f ca="1">8000+IF(C120=1,OFFSET(控制台!$K$599,MATCH(F120,控制台!$B$599:$B$615,0)-1,0),OFFSET(控制台!$K$618,MATCH(F120,控制台!$B$618:$B$636,0)-1,0))</f>
        <v>8027</v>
      </c>
      <c r="U120" s="1">
        <f ca="1">IF(C120=1,OFFSET(控制台!$F$599,MATCH(F120,控制台!$B$599:$B$615,0)-1,0),OFFSET(控制台!$F$618,MATCH(F120,控制台!$B$618:$B$636,0)-1,0))</f>
        <v>267494.4</v>
      </c>
      <c r="V120" s="1">
        <f ca="1">IF(E120=1,U120/G120,IF(E120=5,U120/G120*OFFSET(控制台!$D$641,MATCH(B120,控制台!$B$641:$B$645,0)-1,0),U120/G120*OFFSET(控制台!$H$641,MATCH(B120,控制台!$F$641:$F$650,0)-1,0)))</f>
        <v>1215.88363636364</v>
      </c>
      <c r="W120" s="20">
        <f ca="1" t="shared" si="4"/>
        <v>0.844363636363636</v>
      </c>
      <c r="X120" s="15">
        <f ca="1">IF(C120=1,OFFSET(控制台!$U$599,MATCH(F120,控制台!$B$599:$B$615,0)-1,0),OFFSET(控制台!$U$618,MATCH(F120,控制台!$B$618:$B$636,0)-1,0))</f>
        <v>812325</v>
      </c>
      <c r="Y120" s="16">
        <f ca="1">_xlfn.FLOOR.MATH(IF(E120=1,X120/G120,IF(E120=5,X120/G120*OFFSET(控制台!$D$641,MATCH(B120,控制台!$B$641:$B$645,0)-1,0),X120/G120*OFFSET(控制台!$H$641,MATCH(B120,控制台!$F$641:$F$650,0)-1,0))))</f>
        <v>3692</v>
      </c>
      <c r="Z120" s="16">
        <f ca="1" t="shared" si="5"/>
        <v>3692</v>
      </c>
    </row>
    <row r="121" spans="1:26">
      <c r="A121" s="1">
        <v>11503</v>
      </c>
      <c r="B121" s="1">
        <v>2</v>
      </c>
      <c r="C121" s="1">
        <v>1</v>
      </c>
      <c r="D121" s="1" t="s">
        <v>2799</v>
      </c>
      <c r="E121" s="1">
        <f ca="1">IF(C121=1,OFFSET(控制台!$F$552,MATCH(A121,控制台!$B$552:$B$580,0)-1,0),OFFSET(控制台!$L$552,MATCH(A121,控制台!$H$552:$H$594,0)-1,0))</f>
        <v>10</v>
      </c>
      <c r="F121" s="1">
        <f ca="1">IF(C121=1,OFFSET(控制台!$D$552,MATCH(A121,控制台!$B$552:$B$580,0)-1,0),OFFSET(控制台!$J$552,MATCH(A121,控制台!$H$552:$H$594,0)-1,0))</f>
        <v>15</v>
      </c>
      <c r="G121" s="1">
        <f ca="1">IF(C121=1,OFFSET(控制台!$I$599,MATCH(F121,控制台!$B$599:$B$615,0)-1,0),OFFSET(控制台!$I$618,MATCH(F121,控制台!$B$618:$B$636,0)-1,0))</f>
        <v>2</v>
      </c>
      <c r="H121" s="1">
        <f ca="1">IF(C121=1,OFFSET(控制台!$D$599,MATCH(F121,控制台!$B$599:$B$615,0)-1,0),OFFSET(控制台!$D$618,MATCH(F121,控制台!$B$618:$B$636,0)-1,0))</f>
        <v>416160000</v>
      </c>
      <c r="I121" s="1">
        <f ca="1">IF(E121=1,H121/G121,IF(E121=5,H121/G121*OFFSET(控制台!$D$641,MATCH(B121,控制台!$B$641:$B$645,0)-1,0),H121/G121*OFFSET(控制台!$H$641,MATCH(B121,控制台!$F$641:$F$650,0)-1,0)))</f>
        <v>2837454.54545454</v>
      </c>
      <c r="J121" s="1">
        <f ca="1">$I121/3*控制台!H$102</f>
        <v>945818.181818179</v>
      </c>
      <c r="K121" s="1">
        <f ca="1">$I121/3*控制台!I$102</f>
        <v>709363.636363634</v>
      </c>
      <c r="L121" s="1">
        <f ca="1">$I121/3*控制台!J$102</f>
        <v>1182272.72727272</v>
      </c>
      <c r="M121" s="1">
        <f ca="1">_xlfn.FLOOR.MATH(J121,POWER(10,MAX(2,INT(LOG10(J121)-2))))</f>
        <v>945000</v>
      </c>
      <c r="N121" s="1">
        <f ca="1">_xlfn.FLOOR.MATH(K121,POWER(10,MAX(2,INT(LOG10(K121)-2))))</f>
        <v>709000</v>
      </c>
      <c r="O121" s="1">
        <f ca="1">_xlfn.FLOOR.MATH(L121,POWER(10,MAX(2,INT(LOG10(L121)-2))))</f>
        <v>1180000</v>
      </c>
      <c r="P121" s="4" t="str">
        <f ca="1" t="shared" si="3"/>
        <v>945000;709000;1180000</v>
      </c>
      <c r="Q121" s="15">
        <f ca="1">IF(C121=1,OFFSET(控制台!$H$599,MATCH(F121,控制台!$B$599:$B$615,0)-1,0),OFFSET(控制台!$H$618,MATCH(F121,控制台!$B$618:$B$636,0)-1,0))</f>
        <v>514926.72</v>
      </c>
      <c r="R121" s="15">
        <f ca="1">IF(E121=1,Q121/G121,IF(E121=5,Q121/G121*OFFSET(控制台!$D$641,MATCH(B121,控制台!$B$641:$B$645,0)-1,0),Q121/G121*OFFSET(控制台!$H$641,MATCH(B121,控制台!$F$641:$F$650,0)-1,0)))</f>
        <v>3510.86399999999</v>
      </c>
      <c r="S121" s="16">
        <f ca="1">_xlfn.FLOOR.MATH(R121)*60</f>
        <v>210600</v>
      </c>
      <c r="T121" s="16">
        <f ca="1">8000+IF(C121=1,OFFSET(控制台!$K$599,MATCH(F121,控制台!$B$599:$B$615,0)-1,0),OFFSET(控制台!$K$618,MATCH(F121,控制台!$B$618:$B$636,0)-1,0))</f>
        <v>8027</v>
      </c>
      <c r="U121" s="1">
        <f ca="1">IF(C121=1,OFFSET(控制台!$F$599,MATCH(F121,控制台!$B$599:$B$615,0)-1,0),OFFSET(控制台!$F$618,MATCH(F121,控制台!$B$618:$B$636,0)-1,0))</f>
        <v>267494.4</v>
      </c>
      <c r="V121" s="1">
        <f ca="1">IF(E121=1,U121/G121,IF(E121=5,U121/G121*OFFSET(控制台!$D$641,MATCH(B121,控制台!$B$641:$B$645,0)-1,0),U121/G121*OFFSET(控制台!$H$641,MATCH(B121,控制台!$F$641:$F$650,0)-1,0)))</f>
        <v>1823.82545454545</v>
      </c>
      <c r="W121" s="20">
        <f ca="1" t="shared" si="4"/>
        <v>1.26654545454545</v>
      </c>
      <c r="X121" s="15">
        <f ca="1">IF(C121=1,OFFSET(控制台!$U$599,MATCH(F121,控制台!$B$599:$B$615,0)-1,0),OFFSET(控制台!$U$618,MATCH(F121,控制台!$B$618:$B$636,0)-1,0))</f>
        <v>812325</v>
      </c>
      <c r="Y121" s="16">
        <f ca="1">_xlfn.FLOOR.MATH(IF(E121=1,X121/G121,IF(E121=5,X121/G121*OFFSET(控制台!$D$641,MATCH(B121,控制台!$B$641:$B$645,0)-1,0),X121/G121*OFFSET(控制台!$H$641,MATCH(B121,控制台!$F$641:$F$650,0)-1,0))))</f>
        <v>5538</v>
      </c>
      <c r="Z121" s="16">
        <f ca="1" t="shared" si="5"/>
        <v>9230</v>
      </c>
    </row>
    <row r="122" spans="1:26">
      <c r="A122" s="1">
        <v>11503</v>
      </c>
      <c r="B122" s="1">
        <v>3</v>
      </c>
      <c r="C122" s="1">
        <v>1</v>
      </c>
      <c r="D122" s="1" t="s">
        <v>2799</v>
      </c>
      <c r="E122" s="1">
        <f ca="1">IF(C122=1,OFFSET(控制台!$F$552,MATCH(A122,控制台!$B$552:$B$580,0)-1,0),OFFSET(控制台!$L$552,MATCH(A122,控制台!$H$552:$H$594,0)-1,0))</f>
        <v>10</v>
      </c>
      <c r="F122" s="1">
        <f ca="1">IF(C122=1,OFFSET(控制台!$D$552,MATCH(A122,控制台!$B$552:$B$580,0)-1,0),OFFSET(控制台!$J$552,MATCH(A122,控制台!$H$552:$H$594,0)-1,0))</f>
        <v>15</v>
      </c>
      <c r="G122" s="1">
        <f ca="1">IF(C122=1,OFFSET(控制台!$I$599,MATCH(F122,控制台!$B$599:$B$615,0)-1,0),OFFSET(控制台!$I$618,MATCH(F122,控制台!$B$618:$B$636,0)-1,0))</f>
        <v>2</v>
      </c>
      <c r="H122" s="1">
        <f ca="1">IF(C122=1,OFFSET(控制台!$D$599,MATCH(F122,控制台!$B$599:$B$615,0)-1,0),OFFSET(控制台!$D$618,MATCH(F122,控制台!$B$618:$B$636,0)-1,0))</f>
        <v>416160000</v>
      </c>
      <c r="I122" s="1">
        <f ca="1">IF(E122=1,H122/G122,IF(E122=5,H122/G122*OFFSET(控制台!$D$641,MATCH(B122,控制台!$B$641:$B$645,0)-1,0),H122/G122*OFFSET(控制台!$H$641,MATCH(B122,控制台!$F$641:$F$650,0)-1,0)))</f>
        <v>3783272.72727273</v>
      </c>
      <c r="J122" s="1">
        <f ca="1">$I122/3*控制台!H$102</f>
        <v>1261090.90909091</v>
      </c>
      <c r="K122" s="1">
        <f ca="1">$I122/3*控制台!I$102</f>
        <v>945818.181818183</v>
      </c>
      <c r="L122" s="1">
        <f ca="1">$I122/3*控制台!J$102</f>
        <v>1576363.63636364</v>
      </c>
      <c r="M122" s="1">
        <f ca="1">_xlfn.FLOOR.MATH(J122,POWER(10,MAX(2,INT(LOG10(J122)-2))))</f>
        <v>1260000</v>
      </c>
      <c r="N122" s="1">
        <f ca="1">_xlfn.FLOOR.MATH(K122,POWER(10,MAX(2,INT(LOG10(K122)-2))))</f>
        <v>945000</v>
      </c>
      <c r="O122" s="1">
        <f ca="1">_xlfn.FLOOR.MATH(L122,POWER(10,MAX(2,INT(LOG10(L122)-2))))</f>
        <v>1570000</v>
      </c>
      <c r="P122" s="4" t="str">
        <f ca="1" t="shared" si="3"/>
        <v>1260000;945000;1570000</v>
      </c>
      <c r="Q122" s="15">
        <f ca="1">IF(C122=1,OFFSET(控制台!$H$599,MATCH(F122,控制台!$B$599:$B$615,0)-1,0),OFFSET(控制台!$H$618,MATCH(F122,控制台!$B$618:$B$636,0)-1,0))</f>
        <v>514926.72</v>
      </c>
      <c r="R122" s="15">
        <f ca="1">IF(E122=1,Q122/G122,IF(E122=5,Q122/G122*OFFSET(控制台!$D$641,MATCH(B122,控制台!$B$641:$B$645,0)-1,0),Q122/G122*OFFSET(控制台!$H$641,MATCH(B122,控制台!$F$641:$F$650,0)-1,0)))</f>
        <v>4681.152</v>
      </c>
      <c r="S122" s="16">
        <f ca="1">_xlfn.FLOOR.MATH(R122)*60</f>
        <v>280860</v>
      </c>
      <c r="T122" s="16">
        <f ca="1">8000+IF(C122=1,OFFSET(控制台!$K$599,MATCH(F122,控制台!$B$599:$B$615,0)-1,0),OFFSET(控制台!$K$618,MATCH(F122,控制台!$B$618:$B$636,0)-1,0))</f>
        <v>8027</v>
      </c>
      <c r="U122" s="1">
        <f ca="1">IF(C122=1,OFFSET(控制台!$F$599,MATCH(F122,控制台!$B$599:$B$615,0)-1,0),OFFSET(控制台!$F$618,MATCH(F122,控制台!$B$618:$B$636,0)-1,0))</f>
        <v>267494.4</v>
      </c>
      <c r="V122" s="1">
        <f ca="1">IF(E122=1,U122/G122,IF(E122=5,U122/G122*OFFSET(控制台!$D$641,MATCH(B122,控制台!$B$641:$B$645,0)-1,0),U122/G122*OFFSET(控制台!$H$641,MATCH(B122,控制台!$F$641:$F$650,0)-1,0)))</f>
        <v>2431.76727272727</v>
      </c>
      <c r="W122" s="20">
        <f ca="1" t="shared" si="4"/>
        <v>1.68872727272727</v>
      </c>
      <c r="X122" s="15">
        <f ca="1">IF(C122=1,OFFSET(控制台!$U$599,MATCH(F122,控制台!$B$599:$B$615,0)-1,0),OFFSET(控制台!$U$618,MATCH(F122,控制台!$B$618:$B$636,0)-1,0))</f>
        <v>812325</v>
      </c>
      <c r="Y122" s="16">
        <f ca="1">_xlfn.FLOOR.MATH(IF(E122=1,X122/G122,IF(E122=5,X122/G122*OFFSET(控制台!$D$641,MATCH(B122,控制台!$B$641:$B$645,0)-1,0),X122/G122*OFFSET(控制台!$H$641,MATCH(B122,控制台!$F$641:$F$650,0)-1,0))))</f>
        <v>7384</v>
      </c>
      <c r="Z122" s="16">
        <f ca="1" t="shared" si="5"/>
        <v>16614</v>
      </c>
    </row>
    <row r="123" spans="1:26">
      <c r="A123" s="1">
        <v>11503</v>
      </c>
      <c r="B123" s="1">
        <v>4</v>
      </c>
      <c r="C123" s="1">
        <v>1</v>
      </c>
      <c r="D123" s="1" t="s">
        <v>2799</v>
      </c>
      <c r="E123" s="1">
        <f ca="1">IF(C123=1,OFFSET(控制台!$F$552,MATCH(A123,控制台!$B$552:$B$580,0)-1,0),OFFSET(控制台!$L$552,MATCH(A123,控制台!$H$552:$H$594,0)-1,0))</f>
        <v>10</v>
      </c>
      <c r="F123" s="1">
        <f ca="1">IF(C123=1,OFFSET(控制台!$D$552,MATCH(A123,控制台!$B$552:$B$580,0)-1,0),OFFSET(控制台!$J$552,MATCH(A123,控制台!$H$552:$H$594,0)-1,0))</f>
        <v>15</v>
      </c>
      <c r="G123" s="1">
        <f ca="1">IF(C123=1,OFFSET(控制台!$I$599,MATCH(F123,控制台!$B$599:$B$615,0)-1,0),OFFSET(控制台!$I$618,MATCH(F123,控制台!$B$618:$B$636,0)-1,0))</f>
        <v>2</v>
      </c>
      <c r="H123" s="1">
        <f ca="1">IF(C123=1,OFFSET(控制台!$D$599,MATCH(F123,控制台!$B$599:$B$615,0)-1,0),OFFSET(控制台!$D$618,MATCH(F123,控制台!$B$618:$B$636,0)-1,0))</f>
        <v>416160000</v>
      </c>
      <c r="I123" s="1">
        <f ca="1">IF(E123=1,H123/G123,IF(E123=5,H123/G123*OFFSET(控制台!$D$641,MATCH(B123,控制台!$B$641:$B$645,0)-1,0),H123/G123*OFFSET(控制台!$H$641,MATCH(B123,控制台!$F$641:$F$650,0)-1,0)))</f>
        <v>5674909.0909091</v>
      </c>
      <c r="J123" s="1">
        <f ca="1">$I123/3*控制台!H$102</f>
        <v>1891636.36363637</v>
      </c>
      <c r="K123" s="1">
        <f ca="1">$I123/3*控制台!I$102</f>
        <v>1418727.27272727</v>
      </c>
      <c r="L123" s="1">
        <f ca="1">$I123/3*控制台!J$102</f>
        <v>2364545.45454546</v>
      </c>
      <c r="M123" s="1">
        <f ca="1">_xlfn.FLOOR.MATH(J123,POWER(10,MAX(2,INT(LOG10(J123)-2))))</f>
        <v>1890000</v>
      </c>
      <c r="N123" s="1">
        <f ca="1">_xlfn.FLOOR.MATH(K123,POWER(10,MAX(2,INT(LOG10(K123)-2))))</f>
        <v>1410000</v>
      </c>
      <c r="O123" s="1">
        <f ca="1">_xlfn.FLOOR.MATH(L123,POWER(10,MAX(2,INT(LOG10(L123)-2))))</f>
        <v>2360000</v>
      </c>
      <c r="P123" s="4" t="str">
        <f ca="1" t="shared" si="3"/>
        <v>1890000;1410000;2360000</v>
      </c>
      <c r="Q123" s="15">
        <f ca="1">IF(C123=1,OFFSET(控制台!$H$599,MATCH(F123,控制台!$B$599:$B$615,0)-1,0),OFFSET(控制台!$H$618,MATCH(F123,控制台!$B$618:$B$636,0)-1,0))</f>
        <v>514926.72</v>
      </c>
      <c r="R123" s="15">
        <f ca="1">IF(E123=1,Q123/G123,IF(E123=5,Q123/G123*OFFSET(控制台!$D$641,MATCH(B123,控制台!$B$641:$B$645,0)-1,0),Q123/G123*OFFSET(控制台!$H$641,MATCH(B123,控制台!$F$641:$F$650,0)-1,0)))</f>
        <v>7021.72800000001</v>
      </c>
      <c r="S123" s="16">
        <f ca="1">_xlfn.FLOOR.MATH(R123)*60</f>
        <v>421260</v>
      </c>
      <c r="T123" s="16">
        <f ca="1">8000+IF(C123=1,OFFSET(控制台!$K$599,MATCH(F123,控制台!$B$599:$B$615,0)-1,0),OFFSET(控制台!$K$618,MATCH(F123,控制台!$B$618:$B$636,0)-1,0))</f>
        <v>8027</v>
      </c>
      <c r="U123" s="1">
        <f ca="1">IF(C123=1,OFFSET(控制台!$F$599,MATCH(F123,控制台!$B$599:$B$615,0)-1,0),OFFSET(控制台!$F$618,MATCH(F123,控制台!$B$618:$B$636,0)-1,0))</f>
        <v>267494.4</v>
      </c>
      <c r="V123" s="1">
        <f ca="1">IF(E123=1,U123/G123,IF(E123=5,U123/G123*OFFSET(控制台!$D$641,MATCH(B123,控制台!$B$641:$B$645,0)-1,0),U123/G123*OFFSET(控制台!$H$641,MATCH(B123,控制台!$F$641:$F$650,0)-1,0)))</f>
        <v>3647.65090909091</v>
      </c>
      <c r="W123" s="20">
        <f ca="1" t="shared" si="4"/>
        <v>2.53309090909091</v>
      </c>
      <c r="X123" s="15">
        <f ca="1">IF(C123=1,OFFSET(控制台!$U$599,MATCH(F123,控制台!$B$599:$B$615,0)-1,0),OFFSET(控制台!$U$618,MATCH(F123,控制台!$B$618:$B$636,0)-1,0))</f>
        <v>812325</v>
      </c>
      <c r="Y123" s="16">
        <f ca="1">_xlfn.FLOOR.MATH(IF(E123=1,X123/G123,IF(E123=5,X123/G123*OFFSET(控制台!$D$641,MATCH(B123,控制台!$B$641:$B$645,0)-1,0),X123/G123*OFFSET(控制台!$H$641,MATCH(B123,控制台!$F$641:$F$650,0)-1,0))))</f>
        <v>11077</v>
      </c>
      <c r="Z123" s="16">
        <f ca="1" t="shared" si="5"/>
        <v>27691</v>
      </c>
    </row>
    <row r="124" spans="1:26">
      <c r="A124" s="1">
        <v>11503</v>
      </c>
      <c r="B124" s="1">
        <v>5</v>
      </c>
      <c r="C124" s="1">
        <v>1</v>
      </c>
      <c r="D124" s="1" t="s">
        <v>2799</v>
      </c>
      <c r="E124" s="1">
        <f ca="1">IF(C124=1,OFFSET(控制台!$F$552,MATCH(A124,控制台!$B$552:$B$580,0)-1,0),OFFSET(控制台!$L$552,MATCH(A124,控制台!$H$552:$H$594,0)-1,0))</f>
        <v>10</v>
      </c>
      <c r="F124" s="1">
        <f ca="1">IF(C124=1,OFFSET(控制台!$D$552,MATCH(A124,控制台!$B$552:$B$580,0)-1,0),OFFSET(控制台!$J$552,MATCH(A124,控制台!$H$552:$H$594,0)-1,0))</f>
        <v>15</v>
      </c>
      <c r="G124" s="1">
        <f ca="1">IF(C124=1,OFFSET(控制台!$I$599,MATCH(F124,控制台!$B$599:$B$615,0)-1,0),OFFSET(控制台!$I$618,MATCH(F124,控制台!$B$618:$B$636,0)-1,0))</f>
        <v>2</v>
      </c>
      <c r="H124" s="1">
        <f ca="1">IF(C124=1,OFFSET(控制台!$D$599,MATCH(F124,控制台!$B$599:$B$615,0)-1,0),OFFSET(控制台!$D$618,MATCH(F124,控制台!$B$618:$B$636,0)-1,0))</f>
        <v>416160000</v>
      </c>
      <c r="I124" s="1">
        <f ca="1">IF(E124=1,H124/G124,IF(E124=5,H124/G124*OFFSET(控制台!$D$641,MATCH(B124,控制台!$B$641:$B$645,0)-1,0),H124/G124*OFFSET(控制台!$H$641,MATCH(B124,控制台!$F$641:$F$650,0)-1,0)))</f>
        <v>9458181.81818183</v>
      </c>
      <c r="J124" s="1">
        <f ca="1">$I124/3*控制台!H$102</f>
        <v>3152727.27272728</v>
      </c>
      <c r="K124" s="1">
        <f ca="1">$I124/3*控制台!I$102</f>
        <v>2364545.45454546</v>
      </c>
      <c r="L124" s="1">
        <f ca="1">$I124/3*控制台!J$102</f>
        <v>3940909.09090909</v>
      </c>
      <c r="M124" s="1">
        <f ca="1">_xlfn.FLOOR.MATH(J124,POWER(10,MAX(2,INT(LOG10(J124)-2))))</f>
        <v>3150000</v>
      </c>
      <c r="N124" s="1">
        <f ca="1">_xlfn.FLOOR.MATH(K124,POWER(10,MAX(2,INT(LOG10(K124)-2))))</f>
        <v>2360000</v>
      </c>
      <c r="O124" s="1">
        <f ca="1">_xlfn.FLOOR.MATH(L124,POWER(10,MAX(2,INT(LOG10(L124)-2))))</f>
        <v>3940000</v>
      </c>
      <c r="P124" s="4" t="str">
        <f ca="1" t="shared" si="3"/>
        <v>3150000;2360000;3940000</v>
      </c>
      <c r="Q124" s="15">
        <f ca="1">IF(C124=1,OFFSET(控制台!$H$599,MATCH(F124,控制台!$B$599:$B$615,0)-1,0),OFFSET(控制台!$H$618,MATCH(F124,控制台!$B$618:$B$636,0)-1,0))</f>
        <v>514926.72</v>
      </c>
      <c r="R124" s="15">
        <f ca="1">IF(E124=1,Q124/G124,IF(E124=5,Q124/G124*OFFSET(控制台!$D$641,MATCH(B124,控制台!$B$641:$B$645,0)-1,0),Q124/G124*OFFSET(控制台!$H$641,MATCH(B124,控制台!$F$641:$F$650,0)-1,0)))</f>
        <v>11702.88</v>
      </c>
      <c r="S124" s="16">
        <f ca="1">_xlfn.FLOOR.MATH(R124)*60</f>
        <v>702120</v>
      </c>
      <c r="T124" s="16">
        <f ca="1">8000+IF(C124=1,OFFSET(控制台!$K$599,MATCH(F124,控制台!$B$599:$B$615,0)-1,0),OFFSET(控制台!$K$618,MATCH(F124,控制台!$B$618:$B$636,0)-1,0))</f>
        <v>8027</v>
      </c>
      <c r="U124" s="1">
        <f ca="1">IF(C124=1,OFFSET(控制台!$F$599,MATCH(F124,控制台!$B$599:$B$615,0)-1,0),OFFSET(控制台!$F$618,MATCH(F124,控制台!$B$618:$B$636,0)-1,0))</f>
        <v>267494.4</v>
      </c>
      <c r="V124" s="1">
        <f ca="1">IF(E124=1,U124/G124,IF(E124=5,U124/G124*OFFSET(控制台!$D$641,MATCH(B124,控制台!$B$641:$B$645,0)-1,0),U124/G124*OFFSET(控制台!$H$641,MATCH(B124,控制台!$F$641:$F$650,0)-1,0)))</f>
        <v>6079.41818181819</v>
      </c>
      <c r="W124" s="20">
        <f ca="1" t="shared" si="4"/>
        <v>4.22181818181819</v>
      </c>
      <c r="X124" s="15">
        <f ca="1">IF(C124=1,OFFSET(控制台!$U$599,MATCH(F124,控制台!$B$599:$B$615,0)-1,0),OFFSET(控制台!$U$618,MATCH(F124,控制台!$B$618:$B$636,0)-1,0))</f>
        <v>812325</v>
      </c>
      <c r="Y124" s="16">
        <f ca="1">_xlfn.FLOOR.MATH(IF(E124=1,X124/G124,IF(E124=5,X124/G124*OFFSET(控制台!$D$641,MATCH(B124,控制台!$B$641:$B$645,0)-1,0),X124/G124*OFFSET(控制台!$H$641,MATCH(B124,控制台!$F$641:$F$650,0)-1,0))))</f>
        <v>18461</v>
      </c>
      <c r="Z124" s="16">
        <f ca="1" t="shared" si="5"/>
        <v>46152</v>
      </c>
    </row>
    <row r="125" spans="1:26">
      <c r="A125" s="1">
        <v>11503</v>
      </c>
      <c r="B125" s="1">
        <v>6</v>
      </c>
      <c r="C125" s="1">
        <v>1</v>
      </c>
      <c r="D125" s="1" t="s">
        <v>2799</v>
      </c>
      <c r="E125" s="1">
        <f ca="1">IF(C125=1,OFFSET(控制台!$F$552,MATCH(A125,控制台!$B$552:$B$580,0)-1,0),OFFSET(控制台!$L$552,MATCH(A125,控制台!$H$552:$H$594,0)-1,0))</f>
        <v>10</v>
      </c>
      <c r="F125" s="1">
        <f ca="1">IF(C125=1,OFFSET(控制台!$D$552,MATCH(A125,控制台!$B$552:$B$580,0)-1,0),OFFSET(控制台!$J$552,MATCH(A125,控制台!$H$552:$H$594,0)-1,0))</f>
        <v>15</v>
      </c>
      <c r="G125" s="1">
        <f ca="1">IF(C125=1,OFFSET(控制台!$I$599,MATCH(F125,控制台!$B$599:$B$615,0)-1,0),OFFSET(控制台!$I$618,MATCH(F125,控制台!$B$618:$B$636,0)-1,0))</f>
        <v>2</v>
      </c>
      <c r="H125" s="1">
        <f ca="1">IF(C125=1,OFFSET(控制台!$D$599,MATCH(F125,控制台!$B$599:$B$615,0)-1,0),OFFSET(控制台!$D$618,MATCH(F125,控制台!$B$618:$B$636,0)-1,0))</f>
        <v>416160000</v>
      </c>
      <c r="I125" s="1">
        <f ca="1">IF(E125=1,H125/G125,IF(E125=5,H125/G125*OFFSET(控制台!$D$641,MATCH(B125,控制台!$B$641:$B$645,0)-1,0),H125/G125*OFFSET(控制台!$H$641,MATCH(B125,控制台!$F$641:$F$650,0)-1,0)))</f>
        <v>14187272.7272727</v>
      </c>
      <c r="J125" s="1">
        <f ca="1">$I125/3*控制台!H$102</f>
        <v>4729090.90909091</v>
      </c>
      <c r="K125" s="1">
        <f ca="1">$I125/3*控制台!I$102</f>
        <v>3546818.18181818</v>
      </c>
      <c r="L125" s="1">
        <f ca="1">$I125/3*控制台!J$102</f>
        <v>5911363.63636364</v>
      </c>
      <c r="M125" s="1">
        <f ca="1">_xlfn.FLOOR.MATH(J125,POWER(10,MAX(2,INT(LOG10(J125)-2))))</f>
        <v>4720000</v>
      </c>
      <c r="N125" s="1">
        <f ca="1">_xlfn.FLOOR.MATH(K125,POWER(10,MAX(2,INT(LOG10(K125)-2))))</f>
        <v>3540000</v>
      </c>
      <c r="O125" s="1">
        <f ca="1">_xlfn.FLOOR.MATH(L125,POWER(10,MAX(2,INT(LOG10(L125)-2))))</f>
        <v>5910000</v>
      </c>
      <c r="P125" s="4" t="str">
        <f ca="1" t="shared" si="3"/>
        <v>4720000;3540000;5910000</v>
      </c>
      <c r="Q125" s="15">
        <f ca="1">IF(C125=1,OFFSET(控制台!$H$599,MATCH(F125,控制台!$B$599:$B$615,0)-1,0),OFFSET(控制台!$H$618,MATCH(F125,控制台!$B$618:$B$636,0)-1,0))</f>
        <v>514926.72</v>
      </c>
      <c r="R125" s="15">
        <f ca="1">IF(E125=1,Q125/G125,IF(E125=5,Q125/G125*OFFSET(控制台!$D$641,MATCH(B125,控制台!$B$641:$B$645,0)-1,0),Q125/G125*OFFSET(控制台!$H$641,MATCH(B125,控制台!$F$641:$F$650,0)-1,0)))</f>
        <v>17554.32</v>
      </c>
      <c r="S125" s="16">
        <f ca="1">_xlfn.FLOOR.MATH(R125)*60</f>
        <v>1053240</v>
      </c>
      <c r="T125" s="16">
        <f ca="1">8000+IF(C125=1,OFFSET(控制台!$K$599,MATCH(F125,控制台!$B$599:$B$615,0)-1,0),OFFSET(控制台!$K$618,MATCH(F125,控制台!$B$618:$B$636,0)-1,0))</f>
        <v>8027</v>
      </c>
      <c r="U125" s="1">
        <f ca="1">IF(C125=1,OFFSET(控制台!$F$599,MATCH(F125,控制台!$B$599:$B$615,0)-1,0),OFFSET(控制台!$F$618,MATCH(F125,控制台!$B$618:$B$636,0)-1,0))</f>
        <v>267494.4</v>
      </c>
      <c r="V125" s="1">
        <f ca="1">IF(E125=1,U125/G125,IF(E125=5,U125/G125*OFFSET(控制台!$D$641,MATCH(B125,控制台!$B$641:$B$645,0)-1,0),U125/G125*OFFSET(控制台!$H$641,MATCH(B125,控制台!$F$641:$F$650,0)-1,0)))</f>
        <v>9119.12727272728</v>
      </c>
      <c r="W125" s="20">
        <f ca="1" t="shared" si="4"/>
        <v>6.33272727272727</v>
      </c>
      <c r="X125" s="15">
        <f ca="1">IF(C125=1,OFFSET(控制台!$U$599,MATCH(F125,控制台!$B$599:$B$615,0)-1,0),OFFSET(控制台!$U$618,MATCH(F125,控制台!$B$618:$B$636,0)-1,0))</f>
        <v>812325</v>
      </c>
      <c r="Y125" s="16">
        <f ca="1">_xlfn.FLOOR.MATH(IF(E125=1,X125/G125,IF(E125=5,X125/G125*OFFSET(控制台!$D$641,MATCH(B125,控制台!$B$641:$B$645,0)-1,0),X125/G125*OFFSET(控制台!$H$641,MATCH(B125,控制台!$F$641:$F$650,0)-1,0))))</f>
        <v>27692</v>
      </c>
      <c r="Z125" s="16">
        <f ca="1" t="shared" si="5"/>
        <v>73844</v>
      </c>
    </row>
    <row r="126" spans="1:26">
      <c r="A126" s="1">
        <v>11503</v>
      </c>
      <c r="B126" s="1">
        <v>7</v>
      </c>
      <c r="C126" s="1">
        <v>1</v>
      </c>
      <c r="D126" s="1" t="s">
        <v>2799</v>
      </c>
      <c r="E126" s="1">
        <f ca="1">IF(C126=1,OFFSET(控制台!$F$552,MATCH(A126,控制台!$B$552:$B$580,0)-1,0),OFFSET(控制台!$L$552,MATCH(A126,控制台!$H$552:$H$594,0)-1,0))</f>
        <v>10</v>
      </c>
      <c r="F126" s="1">
        <f ca="1">IF(C126=1,OFFSET(控制台!$D$552,MATCH(A126,控制台!$B$552:$B$580,0)-1,0),OFFSET(控制台!$J$552,MATCH(A126,控制台!$H$552:$H$594,0)-1,0))</f>
        <v>15</v>
      </c>
      <c r="G126" s="1">
        <f ca="1">IF(C126=1,OFFSET(控制台!$I$599,MATCH(F126,控制台!$B$599:$B$615,0)-1,0),OFFSET(控制台!$I$618,MATCH(F126,控制台!$B$618:$B$636,0)-1,0))</f>
        <v>2</v>
      </c>
      <c r="H126" s="1">
        <f ca="1">IF(C126=1,OFFSET(控制台!$D$599,MATCH(F126,控制台!$B$599:$B$615,0)-1,0),OFFSET(控制台!$D$618,MATCH(F126,控制台!$B$618:$B$636,0)-1,0))</f>
        <v>416160000</v>
      </c>
      <c r="I126" s="1">
        <f ca="1">IF(E126=1,H126/G126,IF(E126=5,H126/G126*OFFSET(控制台!$D$641,MATCH(B126,控制台!$B$641:$B$645,0)-1,0),H126/G126*OFFSET(控制台!$H$641,MATCH(B126,控制台!$F$641:$F$650,0)-1,0)))</f>
        <v>18916363.6363636</v>
      </c>
      <c r="J126" s="1">
        <f ca="1">$I126/3*控制台!H$102</f>
        <v>6305454.54545454</v>
      </c>
      <c r="K126" s="1">
        <f ca="1">$I126/3*控制台!I$102</f>
        <v>4729090.90909091</v>
      </c>
      <c r="L126" s="1">
        <f ca="1">$I126/3*控制台!J$102</f>
        <v>7881818.18181818</v>
      </c>
      <c r="M126" s="1">
        <f ca="1">_xlfn.FLOOR.MATH(J126,POWER(10,MAX(2,INT(LOG10(J126)-2))))</f>
        <v>6300000</v>
      </c>
      <c r="N126" s="1">
        <f ca="1">_xlfn.FLOOR.MATH(K126,POWER(10,MAX(2,INT(LOG10(K126)-2))))</f>
        <v>4720000</v>
      </c>
      <c r="O126" s="1">
        <f ca="1">_xlfn.FLOOR.MATH(L126,POWER(10,MAX(2,INT(LOG10(L126)-2))))</f>
        <v>7880000</v>
      </c>
      <c r="P126" s="4" t="str">
        <f ca="1" t="shared" si="3"/>
        <v>6300000;4720000;7880000</v>
      </c>
      <c r="Q126" s="15">
        <f ca="1">IF(C126=1,OFFSET(控制台!$H$599,MATCH(F126,控制台!$B$599:$B$615,0)-1,0),OFFSET(控制台!$H$618,MATCH(F126,控制台!$B$618:$B$636,0)-1,0))</f>
        <v>514926.72</v>
      </c>
      <c r="R126" s="15">
        <f ca="1">IF(E126=1,Q126/G126,IF(E126=5,Q126/G126*OFFSET(控制台!$D$641,MATCH(B126,控制台!$B$641:$B$645,0)-1,0),Q126/G126*OFFSET(控制台!$H$641,MATCH(B126,控制台!$F$641:$F$650,0)-1,0)))</f>
        <v>23405.76</v>
      </c>
      <c r="S126" s="16">
        <f ca="1">_xlfn.FLOOR.MATH(R126)*60</f>
        <v>1404300</v>
      </c>
      <c r="T126" s="16">
        <f ca="1">8000+IF(C126=1,OFFSET(控制台!$K$599,MATCH(F126,控制台!$B$599:$B$615,0)-1,0),OFFSET(控制台!$K$618,MATCH(F126,控制台!$B$618:$B$636,0)-1,0))</f>
        <v>8027</v>
      </c>
      <c r="U126" s="1">
        <f ca="1">IF(C126=1,OFFSET(控制台!$F$599,MATCH(F126,控制台!$B$599:$B$615,0)-1,0),OFFSET(控制台!$F$618,MATCH(F126,控制台!$B$618:$B$636,0)-1,0))</f>
        <v>267494.4</v>
      </c>
      <c r="V126" s="1">
        <f ca="1">IF(E126=1,U126/G126,IF(E126=5,U126/G126*OFFSET(控制台!$D$641,MATCH(B126,控制台!$B$641:$B$645,0)-1,0),U126/G126*OFFSET(控制台!$H$641,MATCH(B126,控制台!$F$641:$F$650,0)-1,0)))</f>
        <v>12158.8363636364</v>
      </c>
      <c r="W126" s="20">
        <f ca="1" t="shared" si="4"/>
        <v>8.44363636363636</v>
      </c>
      <c r="X126" s="15">
        <f ca="1">IF(C126=1,OFFSET(控制台!$U$599,MATCH(F126,控制台!$B$599:$B$615,0)-1,0),OFFSET(控制台!$U$618,MATCH(F126,控制台!$B$618:$B$636,0)-1,0))</f>
        <v>812325</v>
      </c>
      <c r="Y126" s="16">
        <f ca="1">_xlfn.FLOOR.MATH(IF(E126=1,X126/G126,IF(E126=5,X126/G126*OFFSET(控制台!$D$641,MATCH(B126,控制台!$B$641:$B$645,0)-1,0),X126/G126*OFFSET(控制台!$H$641,MATCH(B126,控制台!$F$641:$F$650,0)-1,0))))</f>
        <v>36923</v>
      </c>
      <c r="Z126" s="16">
        <f ca="1" t="shared" si="5"/>
        <v>110767</v>
      </c>
    </row>
    <row r="127" spans="1:26">
      <c r="A127" s="1">
        <v>11503</v>
      </c>
      <c r="B127" s="1">
        <v>8</v>
      </c>
      <c r="C127" s="1">
        <v>1</v>
      </c>
      <c r="D127" s="1" t="s">
        <v>2799</v>
      </c>
      <c r="E127" s="1">
        <f ca="1">IF(C127=1,OFFSET(控制台!$F$552,MATCH(A127,控制台!$B$552:$B$580,0)-1,0),OFFSET(控制台!$L$552,MATCH(A127,控制台!$H$552:$H$594,0)-1,0))</f>
        <v>10</v>
      </c>
      <c r="F127" s="1">
        <f ca="1">IF(C127=1,OFFSET(控制台!$D$552,MATCH(A127,控制台!$B$552:$B$580,0)-1,0),OFFSET(控制台!$J$552,MATCH(A127,控制台!$H$552:$H$594,0)-1,0))</f>
        <v>15</v>
      </c>
      <c r="G127" s="1">
        <f ca="1">IF(C127=1,OFFSET(控制台!$I$599,MATCH(F127,控制台!$B$599:$B$615,0)-1,0),OFFSET(控制台!$I$618,MATCH(F127,控制台!$B$618:$B$636,0)-1,0))</f>
        <v>2</v>
      </c>
      <c r="H127" s="1">
        <f ca="1">IF(C127=1,OFFSET(控制台!$D$599,MATCH(F127,控制台!$B$599:$B$615,0)-1,0),OFFSET(控制台!$D$618,MATCH(F127,控制台!$B$618:$B$636,0)-1,0))</f>
        <v>416160000</v>
      </c>
      <c r="I127" s="1">
        <f ca="1">IF(E127=1,H127/G127,IF(E127=5,H127/G127*OFFSET(控制台!$D$641,MATCH(B127,控制台!$B$641:$B$645,0)-1,0),H127/G127*OFFSET(控制台!$H$641,MATCH(B127,控制台!$F$641:$F$650,0)-1,0)))</f>
        <v>28374545.4545454</v>
      </c>
      <c r="J127" s="1">
        <f ca="1">$I127/3*控制台!H$102</f>
        <v>9458181.81818179</v>
      </c>
      <c r="K127" s="1">
        <f ca="1">$I127/3*控制台!I$102</f>
        <v>7093636.36363634</v>
      </c>
      <c r="L127" s="1">
        <f ca="1">$I127/3*控制台!J$102</f>
        <v>11822727.2727272</v>
      </c>
      <c r="M127" s="1">
        <f ca="1">_xlfn.FLOOR.MATH(J127,POWER(10,MAX(2,INT(LOG10(J127)-2))))</f>
        <v>9450000</v>
      </c>
      <c r="N127" s="1">
        <f ca="1">_xlfn.FLOOR.MATH(K127,POWER(10,MAX(2,INT(LOG10(K127)-2))))</f>
        <v>7090000</v>
      </c>
      <c r="O127" s="1">
        <f ca="1">_xlfn.FLOOR.MATH(L127,POWER(10,MAX(2,INT(LOG10(L127)-2))))</f>
        <v>11800000</v>
      </c>
      <c r="P127" s="4" t="str">
        <f ca="1" t="shared" si="3"/>
        <v>9450000;7090000;11800000</v>
      </c>
      <c r="Q127" s="15">
        <f ca="1">IF(C127=1,OFFSET(控制台!$H$599,MATCH(F127,控制台!$B$599:$B$615,0)-1,0),OFFSET(控制台!$H$618,MATCH(F127,控制台!$B$618:$B$636,0)-1,0))</f>
        <v>514926.72</v>
      </c>
      <c r="R127" s="15">
        <f ca="1">IF(E127=1,Q127/G127,IF(E127=5,Q127/G127*OFFSET(控制台!$D$641,MATCH(B127,控制台!$B$641:$B$645,0)-1,0),Q127/G127*OFFSET(控制台!$H$641,MATCH(B127,控制台!$F$641:$F$650,0)-1,0)))</f>
        <v>35108.6399999999</v>
      </c>
      <c r="S127" s="16">
        <f ca="1">_xlfn.FLOOR.MATH(R127)*60</f>
        <v>2106480</v>
      </c>
      <c r="T127" s="16">
        <f ca="1">8000+IF(C127=1,OFFSET(控制台!$K$599,MATCH(F127,控制台!$B$599:$B$615,0)-1,0),OFFSET(控制台!$K$618,MATCH(F127,控制台!$B$618:$B$636,0)-1,0))</f>
        <v>8027</v>
      </c>
      <c r="U127" s="1">
        <f ca="1">IF(C127=1,OFFSET(控制台!$F$599,MATCH(F127,控制台!$B$599:$B$615,0)-1,0),OFFSET(控制台!$F$618,MATCH(F127,控制台!$B$618:$B$636,0)-1,0))</f>
        <v>267494.4</v>
      </c>
      <c r="V127" s="1">
        <f ca="1">IF(E127=1,U127/G127,IF(E127=5,U127/G127*OFFSET(控制台!$D$641,MATCH(B127,控制台!$B$641:$B$645,0)-1,0),U127/G127*OFFSET(控制台!$H$641,MATCH(B127,控制台!$F$641:$F$650,0)-1,0)))</f>
        <v>18238.2545454545</v>
      </c>
      <c r="W127" s="20">
        <f ca="1" t="shared" si="4"/>
        <v>12.6654545454545</v>
      </c>
      <c r="X127" s="15">
        <f ca="1">IF(C127=1,OFFSET(控制台!$U$599,MATCH(F127,控制台!$B$599:$B$615,0)-1,0),OFFSET(控制台!$U$618,MATCH(F127,控制台!$B$618:$B$636,0)-1,0))</f>
        <v>812325</v>
      </c>
      <c r="Y127" s="16">
        <f ca="1">_xlfn.FLOOR.MATH(IF(E127=1,X127/G127,IF(E127=5,X127/G127*OFFSET(控制台!$D$641,MATCH(B127,控制台!$B$641:$B$645,0)-1,0),X127/G127*OFFSET(控制台!$H$641,MATCH(B127,控制台!$F$641:$F$650,0)-1,0))))</f>
        <v>55385</v>
      </c>
      <c r="Z127" s="16">
        <f ca="1" t="shared" si="5"/>
        <v>166152</v>
      </c>
    </row>
    <row r="128" spans="1:26">
      <c r="A128" s="1">
        <v>11503</v>
      </c>
      <c r="B128" s="1">
        <v>9</v>
      </c>
      <c r="C128" s="1">
        <v>1</v>
      </c>
      <c r="D128" s="1" t="s">
        <v>2799</v>
      </c>
      <c r="E128" s="1">
        <f ca="1">IF(C128=1,OFFSET(控制台!$F$552,MATCH(A128,控制台!$B$552:$B$580,0)-1,0),OFFSET(控制台!$L$552,MATCH(A128,控制台!$H$552:$H$594,0)-1,0))</f>
        <v>10</v>
      </c>
      <c r="F128" s="1">
        <f ca="1">IF(C128=1,OFFSET(控制台!$D$552,MATCH(A128,控制台!$B$552:$B$580,0)-1,0),OFFSET(控制台!$J$552,MATCH(A128,控制台!$H$552:$H$594,0)-1,0))</f>
        <v>15</v>
      </c>
      <c r="G128" s="1">
        <f ca="1">IF(C128=1,OFFSET(控制台!$I$599,MATCH(F128,控制台!$B$599:$B$615,0)-1,0),OFFSET(控制台!$I$618,MATCH(F128,控制台!$B$618:$B$636,0)-1,0))</f>
        <v>2</v>
      </c>
      <c r="H128" s="1">
        <f ca="1">IF(C128=1,OFFSET(控制台!$D$599,MATCH(F128,控制台!$B$599:$B$615,0)-1,0),OFFSET(控制台!$D$618,MATCH(F128,控制台!$B$618:$B$636,0)-1,0))</f>
        <v>416160000</v>
      </c>
      <c r="I128" s="1">
        <f ca="1">IF(E128=1,H128/G128,IF(E128=5,H128/G128*OFFSET(控制台!$D$641,MATCH(B128,控制台!$B$641:$B$645,0)-1,0),H128/G128*OFFSET(控制台!$H$641,MATCH(B128,控制台!$F$641:$F$650,0)-1,0)))</f>
        <v>47290909.090909</v>
      </c>
      <c r="J128" s="1">
        <f ca="1">$I128/3*控制台!H$102</f>
        <v>15763636.3636363</v>
      </c>
      <c r="K128" s="1">
        <f ca="1">$I128/3*控制台!I$102</f>
        <v>11822727.2727273</v>
      </c>
      <c r="L128" s="1">
        <f ca="1">$I128/3*控制台!J$102</f>
        <v>19704545.4545454</v>
      </c>
      <c r="M128" s="1">
        <f ca="1">_xlfn.FLOOR.MATH(J128,POWER(10,MAX(2,INT(LOG10(J128)-2))))</f>
        <v>15700000</v>
      </c>
      <c r="N128" s="1">
        <f ca="1">_xlfn.FLOOR.MATH(K128,POWER(10,MAX(2,INT(LOG10(K128)-2))))</f>
        <v>11800000</v>
      </c>
      <c r="O128" s="1">
        <f ca="1">_xlfn.FLOOR.MATH(L128,POWER(10,MAX(2,INT(LOG10(L128)-2))))</f>
        <v>19700000</v>
      </c>
      <c r="P128" s="4" t="str">
        <f ca="1" t="shared" si="3"/>
        <v>15700000;11800000;19700000</v>
      </c>
      <c r="Q128" s="15">
        <f ca="1">IF(C128=1,OFFSET(控制台!$H$599,MATCH(F128,控制台!$B$599:$B$615,0)-1,0),OFFSET(控制台!$H$618,MATCH(F128,控制台!$B$618:$B$636,0)-1,0))</f>
        <v>514926.72</v>
      </c>
      <c r="R128" s="15">
        <f ca="1">IF(E128=1,Q128/G128,IF(E128=5,Q128/G128*OFFSET(控制台!$D$641,MATCH(B128,控制台!$B$641:$B$645,0)-1,0),Q128/G128*OFFSET(控制台!$H$641,MATCH(B128,控制台!$F$641:$F$650,0)-1,0)))</f>
        <v>58514.3999999999</v>
      </c>
      <c r="S128" s="16">
        <f ca="1">_xlfn.FLOOR.MATH(R128)*60</f>
        <v>3510840</v>
      </c>
      <c r="T128" s="16">
        <f ca="1">8000+IF(C128=1,OFFSET(控制台!$K$599,MATCH(F128,控制台!$B$599:$B$615,0)-1,0),OFFSET(控制台!$K$618,MATCH(F128,控制台!$B$618:$B$636,0)-1,0))</f>
        <v>8027</v>
      </c>
      <c r="U128" s="1">
        <f ca="1">IF(C128=1,OFFSET(控制台!$F$599,MATCH(F128,控制台!$B$599:$B$615,0)-1,0),OFFSET(控制台!$F$618,MATCH(F128,控制台!$B$618:$B$636,0)-1,0))</f>
        <v>267494.4</v>
      </c>
      <c r="V128" s="1">
        <f ca="1">IF(E128=1,U128/G128,IF(E128=5,U128/G128*OFFSET(控制台!$D$641,MATCH(B128,控制台!$B$641:$B$645,0)-1,0),U128/G128*OFFSET(控制台!$H$641,MATCH(B128,控制台!$F$641:$F$650,0)-1,0)))</f>
        <v>30397.0909090909</v>
      </c>
      <c r="W128" s="20">
        <f ca="1" t="shared" si="4"/>
        <v>21.1090909090909</v>
      </c>
      <c r="X128" s="15">
        <f ca="1">IF(C128=1,OFFSET(控制台!$U$599,MATCH(F128,控制台!$B$599:$B$615,0)-1,0),OFFSET(控制台!$U$618,MATCH(F128,控制台!$B$618:$B$636,0)-1,0))</f>
        <v>812325</v>
      </c>
      <c r="Y128" s="16">
        <f ca="1">_xlfn.FLOOR.MATH(IF(E128=1,X128/G128,IF(E128=5,X128/G128*OFFSET(控制台!$D$641,MATCH(B128,控制台!$B$641:$B$645,0)-1,0),X128/G128*OFFSET(控制台!$H$641,MATCH(B128,控制台!$F$641:$F$650,0)-1,0))))</f>
        <v>92309</v>
      </c>
      <c r="Z128" s="16">
        <f ca="1" t="shared" si="5"/>
        <v>258461</v>
      </c>
    </row>
    <row r="129" spans="1:26">
      <c r="A129" s="1">
        <v>11503</v>
      </c>
      <c r="B129" s="1">
        <v>10</v>
      </c>
      <c r="C129" s="1">
        <v>1</v>
      </c>
      <c r="D129" s="1" t="s">
        <v>2799</v>
      </c>
      <c r="E129" s="1">
        <f ca="1">IF(C129=1,OFFSET(控制台!$F$552,MATCH(A129,控制台!$B$552:$B$580,0)-1,0),OFFSET(控制台!$L$552,MATCH(A129,控制台!$H$552:$H$594,0)-1,0))</f>
        <v>10</v>
      </c>
      <c r="F129" s="1">
        <f ca="1">IF(C129=1,OFFSET(控制台!$D$552,MATCH(A129,控制台!$B$552:$B$580,0)-1,0),OFFSET(控制台!$J$552,MATCH(A129,控制台!$H$552:$H$594,0)-1,0))</f>
        <v>15</v>
      </c>
      <c r="G129" s="1">
        <f ca="1">IF(C129=1,OFFSET(控制台!$I$599,MATCH(F129,控制台!$B$599:$B$615,0)-1,0),OFFSET(控制台!$I$618,MATCH(F129,控制台!$B$618:$B$636,0)-1,0))</f>
        <v>2</v>
      </c>
      <c r="H129" s="1">
        <f ca="1">IF(C129=1,OFFSET(控制台!$D$599,MATCH(F129,控制台!$B$599:$B$615,0)-1,0),OFFSET(控制台!$D$618,MATCH(F129,控制台!$B$618:$B$636,0)-1,0))</f>
        <v>416160000</v>
      </c>
      <c r="I129" s="1">
        <f ca="1">IF(E129=1,H129/G129,IF(E129=5,H129/G129*OFFSET(控制台!$D$641,MATCH(B129,控制台!$B$641:$B$645,0)-1,0),H129/G129*OFFSET(控制台!$H$641,MATCH(B129,控制台!$F$641:$F$650,0)-1,0)))</f>
        <v>75665454.5454546</v>
      </c>
      <c r="J129" s="1">
        <f ca="1">$I129/3*控制台!H$102</f>
        <v>25221818.1818182</v>
      </c>
      <c r="K129" s="1">
        <f ca="1">$I129/3*控制台!I$102</f>
        <v>18916363.6363637</v>
      </c>
      <c r="L129" s="1">
        <f ca="1">$I129/3*控制台!J$102</f>
        <v>31527272.7272728</v>
      </c>
      <c r="M129" s="1">
        <f ca="1">_xlfn.FLOOR.MATH(J129,POWER(10,MAX(2,INT(LOG10(J129)-2))))</f>
        <v>25200000</v>
      </c>
      <c r="N129" s="1">
        <f ca="1">_xlfn.FLOOR.MATH(K129,POWER(10,MAX(2,INT(LOG10(K129)-2))))</f>
        <v>18900000</v>
      </c>
      <c r="O129" s="1">
        <f ca="1">_xlfn.FLOOR.MATH(L129,POWER(10,MAX(2,INT(LOG10(L129)-2))))</f>
        <v>31500000</v>
      </c>
      <c r="P129" s="4" t="str">
        <f ca="1" t="shared" si="3"/>
        <v>25200000;18900000;31500000</v>
      </c>
      <c r="Q129" s="15">
        <f ca="1">IF(C129=1,OFFSET(控制台!$H$599,MATCH(F129,控制台!$B$599:$B$615,0)-1,0),OFFSET(控制台!$H$618,MATCH(F129,控制台!$B$618:$B$636,0)-1,0))</f>
        <v>514926.72</v>
      </c>
      <c r="R129" s="15">
        <f ca="1">IF(E129=1,Q129/G129,IF(E129=5,Q129/G129*OFFSET(控制台!$D$641,MATCH(B129,控制台!$B$641:$B$645,0)-1,0),Q129/G129*OFFSET(控制台!$H$641,MATCH(B129,控制台!$F$641:$F$650,0)-1,0)))</f>
        <v>93623.0400000001</v>
      </c>
      <c r="S129" s="16">
        <f ca="1">_xlfn.FLOOR.MATH(R129)*60</f>
        <v>5617380</v>
      </c>
      <c r="T129" s="16">
        <f ca="1">8000+IF(C129=1,OFFSET(控制台!$K$599,MATCH(F129,控制台!$B$599:$B$615,0)-1,0),OFFSET(控制台!$K$618,MATCH(F129,控制台!$B$618:$B$636,0)-1,0))</f>
        <v>8027</v>
      </c>
      <c r="U129" s="1">
        <f ca="1">IF(C129=1,OFFSET(控制台!$F$599,MATCH(F129,控制台!$B$599:$B$615,0)-1,0),OFFSET(控制台!$F$618,MATCH(F129,控制台!$B$618:$B$636,0)-1,0))</f>
        <v>267494.4</v>
      </c>
      <c r="V129" s="1">
        <f ca="1">IF(E129=1,U129/G129,IF(E129=5,U129/G129*OFFSET(控制台!$D$641,MATCH(B129,控制台!$B$641:$B$645,0)-1,0),U129/G129*OFFSET(控制台!$H$641,MATCH(B129,控制台!$F$641:$F$650,0)-1,0)))</f>
        <v>48635.3454545455</v>
      </c>
      <c r="W129" s="20">
        <f ca="1" t="shared" si="4"/>
        <v>33.7745454545455</v>
      </c>
      <c r="X129" s="15">
        <f ca="1">IF(C129=1,OFFSET(控制台!$U$599,MATCH(F129,控制台!$B$599:$B$615,0)-1,0),OFFSET(控制台!$U$618,MATCH(F129,控制台!$B$618:$B$636,0)-1,0))</f>
        <v>812325</v>
      </c>
      <c r="Y129" s="16">
        <f ca="1">_xlfn.FLOOR.MATH(IF(E129=1,X129/G129,IF(E129=5,X129/G129*OFFSET(控制台!$D$641,MATCH(B129,控制台!$B$641:$B$645,0)-1,0),X129/G129*OFFSET(控制台!$H$641,MATCH(B129,控制台!$F$641:$F$650,0)-1,0))))</f>
        <v>147695</v>
      </c>
      <c r="Z129" s="16">
        <f ca="1" t="shared" si="5"/>
        <v>406156</v>
      </c>
    </row>
    <row r="130" spans="1:26">
      <c r="A130" s="1">
        <v>11601</v>
      </c>
      <c r="B130" s="1">
        <v>1</v>
      </c>
      <c r="C130" s="1">
        <v>1</v>
      </c>
      <c r="D130" s="1" t="s">
        <v>2800</v>
      </c>
      <c r="E130" s="1">
        <f ca="1">IF(C130=1,OFFSET(控制台!$F$552,MATCH(A130,控制台!$B$552:$B$580,0)-1,0),OFFSET(控制台!$L$552,MATCH(A130,控制台!$H$552:$H$594,0)-1,0))</f>
        <v>10</v>
      </c>
      <c r="F130" s="1">
        <f ca="1">IF(C130=1,OFFSET(控制台!$D$552,MATCH(A130,控制台!$B$552:$B$580,0)-1,0),OFFSET(控制台!$J$552,MATCH(A130,控制台!$H$552:$H$594,0)-1,0))</f>
        <v>16</v>
      </c>
      <c r="G130" s="1">
        <f ca="1">IF(C130=1,OFFSET(控制台!$I$599,MATCH(F130,控制台!$B$599:$B$615,0)-1,0),OFFSET(控制台!$I$618,MATCH(F130,控制台!$B$618:$B$636,0)-1,0))</f>
        <v>3</v>
      </c>
      <c r="H130" s="1">
        <f ca="1">IF(C130=1,OFFSET(控制台!$D$599,MATCH(F130,控制台!$B$599:$B$615,0)-1,0),OFFSET(控制台!$D$618,MATCH(F130,控制台!$B$618:$B$636,0)-1,0))</f>
        <v>277200000</v>
      </c>
      <c r="I130" s="1">
        <f ca="1">IF(E130=1,H130/G130,IF(E130=5,H130/G130*OFFSET(控制台!$D$641,MATCH(B130,控制台!$B$641:$B$645,0)-1,0),H130/G130*OFFSET(控制台!$H$641,MATCH(B130,控制台!$F$641:$F$650,0)-1,0)))</f>
        <v>840000</v>
      </c>
      <c r="J130" s="1">
        <f ca="1">$I130/3*控制台!H$102</f>
        <v>280000</v>
      </c>
      <c r="K130" s="1">
        <f ca="1">$I130/3*控制台!I$102</f>
        <v>210000</v>
      </c>
      <c r="L130" s="1">
        <f ca="1">$I130/3*控制台!J$102</f>
        <v>350000</v>
      </c>
      <c r="M130" s="1">
        <f ca="1">_xlfn.FLOOR.MATH(J130,POWER(10,MAX(2,INT(LOG10(J130)-2))))</f>
        <v>280000</v>
      </c>
      <c r="N130" s="1">
        <f ca="1">_xlfn.FLOOR.MATH(K130,POWER(10,MAX(2,INT(LOG10(K130)-2))))</f>
        <v>210000</v>
      </c>
      <c r="O130" s="1">
        <f ca="1">_xlfn.FLOOR.MATH(L130,POWER(10,MAX(2,INT(LOG10(L130)-2))))</f>
        <v>350000</v>
      </c>
      <c r="P130" s="4" t="str">
        <f ca="1" t="shared" si="3"/>
        <v>280000;210000;350000</v>
      </c>
      <c r="Q130" s="15">
        <f ca="1">IF(C130=1,OFFSET(控制台!$H$599,MATCH(F130,控制台!$B$599:$B$615,0)-1,0),OFFSET(控制台!$H$618,MATCH(F130,控制台!$B$618:$B$636,0)-1,0))</f>
        <v>334243.584</v>
      </c>
      <c r="R130" s="15">
        <f ca="1">IF(E130=1,Q130/G130,IF(E130=5,Q130/G130*OFFSET(控制台!$D$641,MATCH(B130,控制台!$B$641:$B$645,0)-1,0),Q130/G130*OFFSET(控制台!$H$641,MATCH(B130,控制台!$F$641:$F$650,0)-1,0)))</f>
        <v>1012.85934545455</v>
      </c>
      <c r="S130" s="16">
        <f ca="1">_xlfn.FLOOR.MATH(R130)*60</f>
        <v>60720</v>
      </c>
      <c r="T130" s="16">
        <f ca="1">8000+IF(C130=1,OFFSET(控制台!$K$599,MATCH(F130,控制台!$B$599:$B$615,0)-1,0),OFFSET(控制台!$K$618,MATCH(F130,控制台!$B$618:$B$636,0)-1,0))</f>
        <v>8028</v>
      </c>
      <c r="U130" s="1">
        <f ca="1">IF(C130=1,OFFSET(控制台!$F$599,MATCH(F130,控制台!$B$599:$B$615,0)-1,0),OFFSET(控制台!$F$618,MATCH(F130,控制台!$B$618:$B$636,0)-1,0))</f>
        <v>167961.6</v>
      </c>
      <c r="V130" s="1">
        <f ca="1">IF(E130=1,U130/G130,IF(E130=5,U130/G130*OFFSET(控制台!$D$641,MATCH(B130,控制台!$B$641:$B$645,0)-1,0),U130/G130*OFFSET(控制台!$H$641,MATCH(B130,控制台!$F$641:$F$650,0)-1,0)))</f>
        <v>508.974545454545</v>
      </c>
      <c r="W130" s="20">
        <f ca="1" t="shared" si="4"/>
        <v>0.353454545454545</v>
      </c>
      <c r="X130" s="15">
        <f ca="1">IF(C130=1,OFFSET(控制台!$U$599,MATCH(F130,控制台!$B$599:$B$615,0)-1,0),OFFSET(控制台!$U$618,MATCH(F130,控制台!$B$618:$B$636,0)-1,0))</f>
        <v>513375</v>
      </c>
      <c r="Y130" s="16">
        <f ca="1">_xlfn.FLOOR.MATH(IF(E130=1,X130/G130,IF(E130=5,X130/G130*OFFSET(控制台!$D$641,MATCH(B130,控制台!$B$641:$B$645,0)-1,0),X130/G130*OFFSET(控制台!$H$641,MATCH(B130,控制台!$F$641:$F$650,0)-1,0))))</f>
        <v>1555</v>
      </c>
      <c r="Z130" s="16">
        <f ca="1" t="shared" si="5"/>
        <v>1555</v>
      </c>
    </row>
    <row r="131" spans="1:26">
      <c r="A131" s="1">
        <v>11601</v>
      </c>
      <c r="B131" s="1">
        <v>2</v>
      </c>
      <c r="C131" s="1">
        <v>1</v>
      </c>
      <c r="D131" s="1" t="s">
        <v>2800</v>
      </c>
      <c r="E131" s="1">
        <f ca="1">IF(C131=1,OFFSET(控制台!$F$552,MATCH(A131,控制台!$B$552:$B$580,0)-1,0),OFFSET(控制台!$L$552,MATCH(A131,控制台!$H$552:$H$594,0)-1,0))</f>
        <v>10</v>
      </c>
      <c r="F131" s="1">
        <f ca="1">IF(C131=1,OFFSET(控制台!$D$552,MATCH(A131,控制台!$B$552:$B$580,0)-1,0),OFFSET(控制台!$J$552,MATCH(A131,控制台!$H$552:$H$594,0)-1,0))</f>
        <v>16</v>
      </c>
      <c r="G131" s="1">
        <f ca="1">IF(C131=1,OFFSET(控制台!$I$599,MATCH(F131,控制台!$B$599:$B$615,0)-1,0),OFFSET(控制台!$I$618,MATCH(F131,控制台!$B$618:$B$636,0)-1,0))</f>
        <v>3</v>
      </c>
      <c r="H131" s="1">
        <f ca="1">IF(C131=1,OFFSET(控制台!$D$599,MATCH(F131,控制台!$B$599:$B$615,0)-1,0),OFFSET(控制台!$D$618,MATCH(F131,控制台!$B$618:$B$636,0)-1,0))</f>
        <v>277200000</v>
      </c>
      <c r="I131" s="1">
        <f ca="1">IF(E131=1,H131/G131,IF(E131=5,H131/G131*OFFSET(控制台!$D$641,MATCH(B131,控制台!$B$641:$B$645,0)-1,0),H131/G131*OFFSET(控制台!$H$641,MATCH(B131,控制台!$F$641:$F$650,0)-1,0)))</f>
        <v>1260000</v>
      </c>
      <c r="J131" s="1">
        <f ca="1">$I131/3*控制台!H$102</f>
        <v>419999.999999999</v>
      </c>
      <c r="K131" s="1">
        <f ca="1">$I131/3*控制台!I$102</f>
        <v>314999.999999999</v>
      </c>
      <c r="L131" s="1">
        <f ca="1">$I131/3*控制台!J$102</f>
        <v>524999.999999999</v>
      </c>
      <c r="M131" s="1">
        <f ca="1">_xlfn.FLOOR.MATH(J131,POWER(10,MAX(2,INT(LOG10(J131)-2))))</f>
        <v>420000</v>
      </c>
      <c r="N131" s="1">
        <f ca="1">_xlfn.FLOOR.MATH(K131,POWER(10,MAX(2,INT(LOG10(K131)-2))))</f>
        <v>315000</v>
      </c>
      <c r="O131" s="1">
        <f ca="1">_xlfn.FLOOR.MATH(L131,POWER(10,MAX(2,INT(LOG10(L131)-2))))</f>
        <v>525000</v>
      </c>
      <c r="P131" s="4" t="str">
        <f ca="1" t="shared" si="3"/>
        <v>420000;315000;525000</v>
      </c>
      <c r="Q131" s="15">
        <f ca="1">IF(C131=1,OFFSET(控制台!$H$599,MATCH(F131,控制台!$B$599:$B$615,0)-1,0),OFFSET(控制台!$H$618,MATCH(F131,控制台!$B$618:$B$636,0)-1,0))</f>
        <v>334243.584</v>
      </c>
      <c r="R131" s="15">
        <f ca="1">IF(E131=1,Q131/G131,IF(E131=5,Q131/G131*OFFSET(控制台!$D$641,MATCH(B131,控制台!$B$641:$B$645,0)-1,0),Q131/G131*OFFSET(控制台!$H$641,MATCH(B131,控制台!$F$641:$F$650,0)-1,0)))</f>
        <v>1519.28901818181</v>
      </c>
      <c r="S131" s="16">
        <f ca="1">_xlfn.FLOOR.MATH(R131)*60</f>
        <v>91140</v>
      </c>
      <c r="T131" s="16">
        <f ca="1">8000+IF(C131=1,OFFSET(控制台!$K$599,MATCH(F131,控制台!$B$599:$B$615,0)-1,0),OFFSET(控制台!$K$618,MATCH(F131,控制台!$B$618:$B$636,0)-1,0))</f>
        <v>8028</v>
      </c>
      <c r="U131" s="1">
        <f ca="1">IF(C131=1,OFFSET(控制台!$F$599,MATCH(F131,控制台!$B$599:$B$615,0)-1,0),OFFSET(控制台!$F$618,MATCH(F131,控制台!$B$618:$B$636,0)-1,0))</f>
        <v>167961.6</v>
      </c>
      <c r="V131" s="1">
        <f ca="1">IF(E131=1,U131/G131,IF(E131=5,U131/G131*OFFSET(控制台!$D$641,MATCH(B131,控制台!$B$641:$B$645,0)-1,0),U131/G131*OFFSET(控制台!$H$641,MATCH(B131,控制台!$F$641:$F$650,0)-1,0)))</f>
        <v>763.461818181816</v>
      </c>
      <c r="W131" s="20">
        <f ca="1" t="shared" si="4"/>
        <v>0.530181818181817</v>
      </c>
      <c r="X131" s="15">
        <f ca="1">IF(C131=1,OFFSET(控制台!$U$599,MATCH(F131,控制台!$B$599:$B$615,0)-1,0),OFFSET(控制台!$U$618,MATCH(F131,控制台!$B$618:$B$636,0)-1,0))</f>
        <v>513375</v>
      </c>
      <c r="Y131" s="16">
        <f ca="1">_xlfn.FLOOR.MATH(IF(E131=1,X131/G131,IF(E131=5,X131/G131*OFFSET(控制台!$D$641,MATCH(B131,控制台!$B$641:$B$645,0)-1,0),X131/G131*OFFSET(控制台!$H$641,MATCH(B131,控制台!$F$641:$F$650,0)-1,0))))</f>
        <v>2333</v>
      </c>
      <c r="Z131" s="16">
        <f ca="1" t="shared" si="5"/>
        <v>3888</v>
      </c>
    </row>
    <row r="132" spans="1:26">
      <c r="A132" s="1">
        <v>11601</v>
      </c>
      <c r="B132" s="1">
        <v>3</v>
      </c>
      <c r="C132" s="1">
        <v>1</v>
      </c>
      <c r="D132" s="1" t="s">
        <v>2800</v>
      </c>
      <c r="E132" s="1">
        <f ca="1">IF(C132=1,OFFSET(控制台!$F$552,MATCH(A132,控制台!$B$552:$B$580,0)-1,0),OFFSET(控制台!$L$552,MATCH(A132,控制台!$H$552:$H$594,0)-1,0))</f>
        <v>10</v>
      </c>
      <c r="F132" s="1">
        <f ca="1">IF(C132=1,OFFSET(控制台!$D$552,MATCH(A132,控制台!$B$552:$B$580,0)-1,0),OFFSET(控制台!$J$552,MATCH(A132,控制台!$H$552:$H$594,0)-1,0))</f>
        <v>16</v>
      </c>
      <c r="G132" s="1">
        <f ca="1">IF(C132=1,OFFSET(控制台!$I$599,MATCH(F132,控制台!$B$599:$B$615,0)-1,0),OFFSET(控制台!$I$618,MATCH(F132,控制台!$B$618:$B$636,0)-1,0))</f>
        <v>3</v>
      </c>
      <c r="H132" s="1">
        <f ca="1">IF(C132=1,OFFSET(控制台!$D$599,MATCH(F132,控制台!$B$599:$B$615,0)-1,0),OFFSET(控制台!$D$618,MATCH(F132,控制台!$B$618:$B$636,0)-1,0))</f>
        <v>277200000</v>
      </c>
      <c r="I132" s="1">
        <f ca="1">IF(E132=1,H132/G132,IF(E132=5,H132/G132*OFFSET(控制台!$D$641,MATCH(B132,控制台!$B$641:$B$645,0)-1,0),H132/G132*OFFSET(控制台!$H$641,MATCH(B132,控制台!$F$641:$F$650,0)-1,0)))</f>
        <v>1680000</v>
      </c>
      <c r="J132" s="1">
        <f ca="1">$I132/3*控制台!H$102</f>
        <v>560000.000000001</v>
      </c>
      <c r="K132" s="1">
        <f ca="1">$I132/3*控制台!I$102</f>
        <v>420000</v>
      </c>
      <c r="L132" s="1">
        <f ca="1">$I132/3*控制台!J$102</f>
        <v>700000.000000001</v>
      </c>
      <c r="M132" s="1">
        <f ca="1">_xlfn.FLOOR.MATH(J132,POWER(10,MAX(2,INT(LOG10(J132)-2))))</f>
        <v>560000</v>
      </c>
      <c r="N132" s="1">
        <f ca="1">_xlfn.FLOOR.MATH(K132,POWER(10,MAX(2,INT(LOG10(K132)-2))))</f>
        <v>420000</v>
      </c>
      <c r="O132" s="1">
        <f ca="1">_xlfn.FLOOR.MATH(L132,POWER(10,MAX(2,INT(LOG10(L132)-2))))</f>
        <v>700000</v>
      </c>
      <c r="P132" s="4" t="str">
        <f ca="1" t="shared" si="3"/>
        <v>560000;420000;700000</v>
      </c>
      <c r="Q132" s="15">
        <f ca="1">IF(C132=1,OFFSET(控制台!$H$599,MATCH(F132,控制台!$B$599:$B$615,0)-1,0),OFFSET(控制台!$H$618,MATCH(F132,控制台!$B$618:$B$636,0)-1,0))</f>
        <v>334243.584</v>
      </c>
      <c r="R132" s="15">
        <f ca="1">IF(E132=1,Q132/G132,IF(E132=5,Q132/G132*OFFSET(控制台!$D$641,MATCH(B132,控制台!$B$641:$B$645,0)-1,0),Q132/G132*OFFSET(控制台!$H$641,MATCH(B132,控制台!$F$641:$F$650,0)-1,0)))</f>
        <v>2025.71869090909</v>
      </c>
      <c r="S132" s="16">
        <f ca="1">_xlfn.FLOOR.MATH(R132)*60</f>
        <v>121500</v>
      </c>
      <c r="T132" s="16">
        <f ca="1">8000+IF(C132=1,OFFSET(控制台!$K$599,MATCH(F132,控制台!$B$599:$B$615,0)-1,0),OFFSET(控制台!$K$618,MATCH(F132,控制台!$B$618:$B$636,0)-1,0))</f>
        <v>8028</v>
      </c>
      <c r="U132" s="1">
        <f ca="1">IF(C132=1,OFFSET(控制台!$F$599,MATCH(F132,控制台!$B$599:$B$615,0)-1,0),OFFSET(控制台!$F$618,MATCH(F132,控制台!$B$618:$B$636,0)-1,0))</f>
        <v>167961.6</v>
      </c>
      <c r="V132" s="1">
        <f ca="1">IF(E132=1,U132/G132,IF(E132=5,U132/G132*OFFSET(控制台!$D$641,MATCH(B132,控制台!$B$641:$B$645,0)-1,0),U132/G132*OFFSET(控制台!$H$641,MATCH(B132,控制台!$F$641:$F$650,0)-1,0)))</f>
        <v>1017.94909090909</v>
      </c>
      <c r="W132" s="20">
        <f ca="1" t="shared" si="4"/>
        <v>0.706909090909091</v>
      </c>
      <c r="X132" s="15">
        <f ca="1">IF(C132=1,OFFSET(控制台!$U$599,MATCH(F132,控制台!$B$599:$B$615,0)-1,0),OFFSET(控制台!$U$618,MATCH(F132,控制台!$B$618:$B$636,0)-1,0))</f>
        <v>513375</v>
      </c>
      <c r="Y132" s="16">
        <f ca="1">_xlfn.FLOOR.MATH(IF(E132=1,X132/G132,IF(E132=5,X132/G132*OFFSET(控制台!$D$641,MATCH(B132,控制台!$B$641:$B$645,0)-1,0),X132/G132*OFFSET(控制台!$H$641,MATCH(B132,控制台!$F$641:$F$650,0)-1,0))))</f>
        <v>3111</v>
      </c>
      <c r="Z132" s="16">
        <f ca="1" t="shared" si="5"/>
        <v>6999</v>
      </c>
    </row>
    <row r="133" spans="1:26">
      <c r="A133" s="1">
        <v>11601</v>
      </c>
      <c r="B133" s="1">
        <v>4</v>
      </c>
      <c r="C133" s="1">
        <v>1</v>
      </c>
      <c r="D133" s="1" t="s">
        <v>2800</v>
      </c>
      <c r="E133" s="1">
        <f ca="1">IF(C133=1,OFFSET(控制台!$F$552,MATCH(A133,控制台!$B$552:$B$580,0)-1,0),OFFSET(控制台!$L$552,MATCH(A133,控制台!$H$552:$H$594,0)-1,0))</f>
        <v>10</v>
      </c>
      <c r="F133" s="1">
        <f ca="1">IF(C133=1,OFFSET(控制台!$D$552,MATCH(A133,控制台!$B$552:$B$580,0)-1,0),OFFSET(控制台!$J$552,MATCH(A133,控制台!$H$552:$H$594,0)-1,0))</f>
        <v>16</v>
      </c>
      <c r="G133" s="1">
        <f ca="1">IF(C133=1,OFFSET(控制台!$I$599,MATCH(F133,控制台!$B$599:$B$615,0)-1,0),OFFSET(控制台!$I$618,MATCH(F133,控制台!$B$618:$B$636,0)-1,0))</f>
        <v>3</v>
      </c>
      <c r="H133" s="1">
        <f ca="1">IF(C133=1,OFFSET(控制台!$D$599,MATCH(F133,控制台!$B$599:$B$615,0)-1,0),OFFSET(控制台!$D$618,MATCH(F133,控制台!$B$618:$B$636,0)-1,0))</f>
        <v>277200000</v>
      </c>
      <c r="I133" s="1">
        <f ca="1">IF(E133=1,H133/G133,IF(E133=5,H133/G133*OFFSET(控制台!$D$641,MATCH(B133,控制台!$B$641:$B$645,0)-1,0),H133/G133*OFFSET(控制台!$H$641,MATCH(B133,控制台!$F$641:$F$650,0)-1,0)))</f>
        <v>2520000</v>
      </c>
      <c r="J133" s="1">
        <f ca="1">$I133/3*控制台!H$102</f>
        <v>840000.000000001</v>
      </c>
      <c r="K133" s="1">
        <f ca="1">$I133/3*控制台!I$102</f>
        <v>630000.000000001</v>
      </c>
      <c r="L133" s="1">
        <f ca="1">$I133/3*控制台!J$102</f>
        <v>1050000</v>
      </c>
      <c r="M133" s="1">
        <f ca="1">_xlfn.FLOOR.MATH(J133,POWER(10,MAX(2,INT(LOG10(J133)-2))))</f>
        <v>840000</v>
      </c>
      <c r="N133" s="1">
        <f ca="1">_xlfn.FLOOR.MATH(K133,POWER(10,MAX(2,INT(LOG10(K133)-2))))</f>
        <v>630000</v>
      </c>
      <c r="O133" s="1">
        <f ca="1">_xlfn.FLOOR.MATH(L133,POWER(10,MAX(2,INT(LOG10(L133)-2))))</f>
        <v>1050000</v>
      </c>
      <c r="P133" s="4" t="str">
        <f ca="1" t="shared" si="3"/>
        <v>840000;630000;1050000</v>
      </c>
      <c r="Q133" s="15">
        <f ca="1">IF(C133=1,OFFSET(控制台!$H$599,MATCH(F133,控制台!$B$599:$B$615,0)-1,0),OFFSET(控制台!$H$618,MATCH(F133,控制台!$B$618:$B$636,0)-1,0))</f>
        <v>334243.584</v>
      </c>
      <c r="R133" s="15">
        <f ca="1">IF(E133=1,Q133/G133,IF(E133=5,Q133/G133*OFFSET(控制台!$D$641,MATCH(B133,控制台!$B$641:$B$645,0)-1,0),Q133/G133*OFFSET(控制台!$H$641,MATCH(B133,控制台!$F$641:$F$650,0)-1,0)))</f>
        <v>3038.57803636364</v>
      </c>
      <c r="S133" s="16">
        <f ca="1">_xlfn.FLOOR.MATH(R133)*60</f>
        <v>182280</v>
      </c>
      <c r="T133" s="16">
        <f ca="1">8000+IF(C133=1,OFFSET(控制台!$K$599,MATCH(F133,控制台!$B$599:$B$615,0)-1,0),OFFSET(控制台!$K$618,MATCH(F133,控制台!$B$618:$B$636,0)-1,0))</f>
        <v>8028</v>
      </c>
      <c r="U133" s="1">
        <f ca="1">IF(C133=1,OFFSET(控制台!$F$599,MATCH(F133,控制台!$B$599:$B$615,0)-1,0),OFFSET(控制台!$F$618,MATCH(F133,控制台!$B$618:$B$636,0)-1,0))</f>
        <v>167961.6</v>
      </c>
      <c r="V133" s="1">
        <f ca="1">IF(E133=1,U133/G133,IF(E133=5,U133/G133*OFFSET(控制台!$D$641,MATCH(B133,控制台!$B$641:$B$645,0)-1,0),U133/G133*OFFSET(控制台!$H$641,MATCH(B133,控制台!$F$641:$F$650,0)-1,0)))</f>
        <v>1526.92363636364</v>
      </c>
      <c r="W133" s="20">
        <f ca="1" t="shared" si="4"/>
        <v>1.06036363636364</v>
      </c>
      <c r="X133" s="15">
        <f ca="1">IF(C133=1,OFFSET(控制台!$U$599,MATCH(F133,控制台!$B$599:$B$615,0)-1,0),OFFSET(控制台!$U$618,MATCH(F133,控制台!$B$618:$B$636,0)-1,0))</f>
        <v>513375</v>
      </c>
      <c r="Y133" s="16">
        <f ca="1">_xlfn.FLOOR.MATH(IF(E133=1,X133/G133,IF(E133=5,X133/G133*OFFSET(控制台!$D$641,MATCH(B133,控制台!$B$641:$B$645,0)-1,0),X133/G133*OFFSET(控制台!$H$641,MATCH(B133,控制台!$F$641:$F$650,0)-1,0))))</f>
        <v>4667</v>
      </c>
      <c r="Z133" s="16">
        <f ca="1" t="shared" si="5"/>
        <v>11666</v>
      </c>
    </row>
    <row r="134" spans="1:26">
      <c r="A134" s="1">
        <v>11601</v>
      </c>
      <c r="B134" s="1">
        <v>5</v>
      </c>
      <c r="C134" s="1">
        <v>1</v>
      </c>
      <c r="D134" s="1" t="s">
        <v>2800</v>
      </c>
      <c r="E134" s="1">
        <f ca="1">IF(C134=1,OFFSET(控制台!$F$552,MATCH(A134,控制台!$B$552:$B$580,0)-1,0),OFFSET(控制台!$L$552,MATCH(A134,控制台!$H$552:$H$594,0)-1,0))</f>
        <v>10</v>
      </c>
      <c r="F134" s="1">
        <f ca="1">IF(C134=1,OFFSET(控制台!$D$552,MATCH(A134,控制台!$B$552:$B$580,0)-1,0),OFFSET(控制台!$J$552,MATCH(A134,控制台!$H$552:$H$594,0)-1,0))</f>
        <v>16</v>
      </c>
      <c r="G134" s="1">
        <f ca="1">IF(C134=1,OFFSET(控制台!$I$599,MATCH(F134,控制台!$B$599:$B$615,0)-1,0),OFFSET(控制台!$I$618,MATCH(F134,控制台!$B$618:$B$636,0)-1,0))</f>
        <v>3</v>
      </c>
      <c r="H134" s="1">
        <f ca="1">IF(C134=1,OFFSET(控制台!$D$599,MATCH(F134,控制台!$B$599:$B$615,0)-1,0),OFFSET(控制台!$D$618,MATCH(F134,控制台!$B$618:$B$636,0)-1,0))</f>
        <v>277200000</v>
      </c>
      <c r="I134" s="1">
        <f ca="1">IF(E134=1,H134/G134,IF(E134=5,H134/G134*OFFSET(控制台!$D$641,MATCH(B134,控制台!$B$641:$B$645,0)-1,0),H134/G134*OFFSET(控制台!$H$641,MATCH(B134,控制台!$F$641:$F$650,0)-1,0)))</f>
        <v>4200000</v>
      </c>
      <c r="J134" s="1">
        <f ca="1">$I134/3*控制台!H$102</f>
        <v>1400000</v>
      </c>
      <c r="K134" s="1">
        <f ca="1">$I134/3*控制台!I$102</f>
        <v>1050000</v>
      </c>
      <c r="L134" s="1">
        <f ca="1">$I134/3*控制台!J$102</f>
        <v>1750000</v>
      </c>
      <c r="M134" s="1">
        <f ca="1">_xlfn.FLOOR.MATH(J134,POWER(10,MAX(2,INT(LOG10(J134)-2))))</f>
        <v>1400000</v>
      </c>
      <c r="N134" s="1">
        <f ca="1">_xlfn.FLOOR.MATH(K134,POWER(10,MAX(2,INT(LOG10(K134)-2))))</f>
        <v>1050000</v>
      </c>
      <c r="O134" s="1">
        <f ca="1">_xlfn.FLOOR.MATH(L134,POWER(10,MAX(2,INT(LOG10(L134)-2))))</f>
        <v>1750000</v>
      </c>
      <c r="P134" s="4" t="str">
        <f ca="1" t="shared" si="3"/>
        <v>1400000;1050000;1750000</v>
      </c>
      <c r="Q134" s="15">
        <f ca="1">IF(C134=1,OFFSET(控制台!$H$599,MATCH(F134,控制台!$B$599:$B$615,0)-1,0),OFFSET(控制台!$H$618,MATCH(F134,控制台!$B$618:$B$636,0)-1,0))</f>
        <v>334243.584</v>
      </c>
      <c r="R134" s="15">
        <f ca="1">IF(E134=1,Q134/G134,IF(E134=5,Q134/G134*OFFSET(控制台!$D$641,MATCH(B134,控制台!$B$641:$B$645,0)-1,0),Q134/G134*OFFSET(控制台!$H$641,MATCH(B134,控制台!$F$641:$F$650,0)-1,0)))</f>
        <v>5064.29672727273</v>
      </c>
      <c r="S134" s="16">
        <f ca="1">_xlfn.FLOOR.MATH(R134)*60</f>
        <v>303840</v>
      </c>
      <c r="T134" s="16">
        <f ca="1">8000+IF(C134=1,OFFSET(控制台!$K$599,MATCH(F134,控制台!$B$599:$B$615,0)-1,0),OFFSET(控制台!$K$618,MATCH(F134,控制台!$B$618:$B$636,0)-1,0))</f>
        <v>8028</v>
      </c>
      <c r="U134" s="1">
        <f ca="1">IF(C134=1,OFFSET(控制台!$F$599,MATCH(F134,控制台!$B$599:$B$615,0)-1,0),OFFSET(控制台!$F$618,MATCH(F134,控制台!$B$618:$B$636,0)-1,0))</f>
        <v>167961.6</v>
      </c>
      <c r="V134" s="1">
        <f ca="1">IF(E134=1,U134/G134,IF(E134=5,U134/G134*OFFSET(控制台!$D$641,MATCH(B134,控制台!$B$641:$B$645,0)-1,0),U134/G134*OFFSET(控制台!$H$641,MATCH(B134,控制台!$F$641:$F$650,0)-1,0)))</f>
        <v>2544.87272727273</v>
      </c>
      <c r="W134" s="20">
        <f ca="1" t="shared" si="4"/>
        <v>1.76727272727273</v>
      </c>
      <c r="X134" s="15">
        <f ca="1">IF(C134=1,OFFSET(控制台!$U$599,MATCH(F134,控制台!$B$599:$B$615,0)-1,0),OFFSET(控制台!$U$618,MATCH(F134,控制台!$B$618:$B$636,0)-1,0))</f>
        <v>513375</v>
      </c>
      <c r="Y134" s="16">
        <f ca="1">_xlfn.FLOOR.MATH(IF(E134=1,X134/G134,IF(E134=5,X134/G134*OFFSET(控制台!$D$641,MATCH(B134,控制台!$B$641:$B$645,0)-1,0),X134/G134*OFFSET(控制台!$H$641,MATCH(B134,控制台!$F$641:$F$650,0)-1,0))))</f>
        <v>7778</v>
      </c>
      <c r="Z134" s="16">
        <f ca="1" t="shared" si="5"/>
        <v>19444</v>
      </c>
    </row>
    <row r="135" spans="1:26">
      <c r="A135" s="1">
        <v>11601</v>
      </c>
      <c r="B135" s="1">
        <v>6</v>
      </c>
      <c r="C135" s="1">
        <v>1</v>
      </c>
      <c r="D135" s="1" t="s">
        <v>2800</v>
      </c>
      <c r="E135" s="1">
        <f ca="1">IF(C135=1,OFFSET(控制台!$F$552,MATCH(A135,控制台!$B$552:$B$580,0)-1,0),OFFSET(控制台!$L$552,MATCH(A135,控制台!$H$552:$H$594,0)-1,0))</f>
        <v>10</v>
      </c>
      <c r="F135" s="1">
        <f ca="1">IF(C135=1,OFFSET(控制台!$D$552,MATCH(A135,控制台!$B$552:$B$580,0)-1,0),OFFSET(控制台!$J$552,MATCH(A135,控制台!$H$552:$H$594,0)-1,0))</f>
        <v>16</v>
      </c>
      <c r="G135" s="1">
        <f ca="1">IF(C135=1,OFFSET(控制台!$I$599,MATCH(F135,控制台!$B$599:$B$615,0)-1,0),OFFSET(控制台!$I$618,MATCH(F135,控制台!$B$618:$B$636,0)-1,0))</f>
        <v>3</v>
      </c>
      <c r="H135" s="1">
        <f ca="1">IF(C135=1,OFFSET(控制台!$D$599,MATCH(F135,控制台!$B$599:$B$615,0)-1,0),OFFSET(控制台!$D$618,MATCH(F135,控制台!$B$618:$B$636,0)-1,0))</f>
        <v>277200000</v>
      </c>
      <c r="I135" s="1">
        <f ca="1">IF(E135=1,H135/G135,IF(E135=5,H135/G135*OFFSET(控制台!$D$641,MATCH(B135,控制台!$B$641:$B$645,0)-1,0),H135/G135*OFFSET(控制台!$H$641,MATCH(B135,控制台!$F$641:$F$650,0)-1,0)))</f>
        <v>6300000</v>
      </c>
      <c r="J135" s="1">
        <f ca="1">$I135/3*控制台!H$102</f>
        <v>2100000</v>
      </c>
      <c r="K135" s="1">
        <f ca="1">$I135/3*控制台!I$102</f>
        <v>1575000</v>
      </c>
      <c r="L135" s="1">
        <f ca="1">$I135/3*控制台!J$102</f>
        <v>2625000</v>
      </c>
      <c r="M135" s="1">
        <f ca="1">_xlfn.FLOOR.MATH(J135,POWER(10,MAX(2,INT(LOG10(J135)-2))))</f>
        <v>2100000</v>
      </c>
      <c r="N135" s="1">
        <f ca="1">_xlfn.FLOOR.MATH(K135,POWER(10,MAX(2,INT(LOG10(K135)-2))))</f>
        <v>1570000</v>
      </c>
      <c r="O135" s="1">
        <f ca="1">_xlfn.FLOOR.MATH(L135,POWER(10,MAX(2,INT(LOG10(L135)-2))))</f>
        <v>2620000</v>
      </c>
      <c r="P135" s="4" t="str">
        <f ca="1" t="shared" ref="P135:P198" si="6">CONCATENATE(M135,";",N135,";",O135)</f>
        <v>2100000;1570000;2620000</v>
      </c>
      <c r="Q135" s="15">
        <f ca="1">IF(C135=1,OFFSET(控制台!$H$599,MATCH(F135,控制台!$B$599:$B$615,0)-1,0),OFFSET(控制台!$H$618,MATCH(F135,控制台!$B$618:$B$636,0)-1,0))</f>
        <v>334243.584</v>
      </c>
      <c r="R135" s="15">
        <f ca="1">IF(E135=1,Q135/G135,IF(E135=5,Q135/G135*OFFSET(控制台!$D$641,MATCH(B135,控制台!$B$641:$B$645,0)-1,0),Q135/G135*OFFSET(控制台!$H$641,MATCH(B135,控制台!$F$641:$F$650,0)-1,0)))</f>
        <v>7596.44509090909</v>
      </c>
      <c r="S135" s="16">
        <f ca="1">_xlfn.FLOOR.MATH(R135)*60</f>
        <v>455760</v>
      </c>
      <c r="T135" s="16">
        <f ca="1">8000+IF(C135=1,OFFSET(控制台!$K$599,MATCH(F135,控制台!$B$599:$B$615,0)-1,0),OFFSET(控制台!$K$618,MATCH(F135,控制台!$B$618:$B$636,0)-1,0))</f>
        <v>8028</v>
      </c>
      <c r="U135" s="1">
        <f ca="1">IF(C135=1,OFFSET(控制台!$F$599,MATCH(F135,控制台!$B$599:$B$615,0)-1,0),OFFSET(控制台!$F$618,MATCH(F135,控制台!$B$618:$B$636,0)-1,0))</f>
        <v>167961.6</v>
      </c>
      <c r="V135" s="1">
        <f ca="1">IF(E135=1,U135/G135,IF(E135=5,U135/G135*OFFSET(控制台!$D$641,MATCH(B135,控制台!$B$641:$B$645,0)-1,0),U135/G135*OFFSET(控制台!$H$641,MATCH(B135,控制台!$F$641:$F$650,0)-1,0)))</f>
        <v>3817.30909090909</v>
      </c>
      <c r="W135" s="20">
        <f ca="1" t="shared" ref="W135:W198" si="7">V135/60/24</f>
        <v>2.65090909090909</v>
      </c>
      <c r="X135" s="15">
        <f ca="1">IF(C135=1,OFFSET(控制台!$U$599,MATCH(F135,控制台!$B$599:$B$615,0)-1,0),OFFSET(控制台!$U$618,MATCH(F135,控制台!$B$618:$B$636,0)-1,0))</f>
        <v>513375</v>
      </c>
      <c r="Y135" s="16">
        <f ca="1">_xlfn.FLOOR.MATH(IF(E135=1,X135/G135,IF(E135=5,X135/G135*OFFSET(控制台!$D$641,MATCH(B135,控制台!$B$641:$B$645,0)-1,0),X135/G135*OFFSET(控制台!$H$641,MATCH(B135,控制台!$F$641:$F$650,0)-1,0))))</f>
        <v>11667</v>
      </c>
      <c r="Z135" s="16">
        <f ca="1" t="shared" ref="Z135:Z198" si="8">IF(B135=1,Y135,Z134+Y135)</f>
        <v>31111</v>
      </c>
    </row>
    <row r="136" spans="1:26">
      <c r="A136" s="1">
        <v>11601</v>
      </c>
      <c r="B136" s="1">
        <v>7</v>
      </c>
      <c r="C136" s="1">
        <v>1</v>
      </c>
      <c r="D136" s="1" t="s">
        <v>2800</v>
      </c>
      <c r="E136" s="1">
        <f ca="1">IF(C136=1,OFFSET(控制台!$F$552,MATCH(A136,控制台!$B$552:$B$580,0)-1,0),OFFSET(控制台!$L$552,MATCH(A136,控制台!$H$552:$H$594,0)-1,0))</f>
        <v>10</v>
      </c>
      <c r="F136" s="1">
        <f ca="1">IF(C136=1,OFFSET(控制台!$D$552,MATCH(A136,控制台!$B$552:$B$580,0)-1,0),OFFSET(控制台!$J$552,MATCH(A136,控制台!$H$552:$H$594,0)-1,0))</f>
        <v>16</v>
      </c>
      <c r="G136" s="1">
        <f ca="1">IF(C136=1,OFFSET(控制台!$I$599,MATCH(F136,控制台!$B$599:$B$615,0)-1,0),OFFSET(控制台!$I$618,MATCH(F136,控制台!$B$618:$B$636,0)-1,0))</f>
        <v>3</v>
      </c>
      <c r="H136" s="1">
        <f ca="1">IF(C136=1,OFFSET(控制台!$D$599,MATCH(F136,控制台!$B$599:$B$615,0)-1,0),OFFSET(控制台!$D$618,MATCH(F136,控制台!$B$618:$B$636,0)-1,0))</f>
        <v>277200000</v>
      </c>
      <c r="I136" s="1">
        <f ca="1">IF(E136=1,H136/G136,IF(E136=5,H136/G136*OFFSET(控制台!$D$641,MATCH(B136,控制台!$B$641:$B$645,0)-1,0),H136/G136*OFFSET(控制台!$H$641,MATCH(B136,控制台!$F$641:$F$650,0)-1,0)))</f>
        <v>8400000</v>
      </c>
      <c r="J136" s="1">
        <f ca="1">$I136/3*控制台!H$102</f>
        <v>2800000</v>
      </c>
      <c r="K136" s="1">
        <f ca="1">$I136/3*控制台!I$102</f>
        <v>2100000</v>
      </c>
      <c r="L136" s="1">
        <f ca="1">$I136/3*控制台!J$102</f>
        <v>3500000</v>
      </c>
      <c r="M136" s="1">
        <f ca="1">_xlfn.FLOOR.MATH(J136,POWER(10,MAX(2,INT(LOG10(J136)-2))))</f>
        <v>2800000</v>
      </c>
      <c r="N136" s="1">
        <f ca="1">_xlfn.FLOOR.MATH(K136,POWER(10,MAX(2,INT(LOG10(K136)-2))))</f>
        <v>2100000</v>
      </c>
      <c r="O136" s="1">
        <f ca="1">_xlfn.FLOOR.MATH(L136,POWER(10,MAX(2,INT(LOG10(L136)-2))))</f>
        <v>3500000</v>
      </c>
      <c r="P136" s="4" t="str">
        <f ca="1" t="shared" si="6"/>
        <v>2800000;2100000;3500000</v>
      </c>
      <c r="Q136" s="15">
        <f ca="1">IF(C136=1,OFFSET(控制台!$H$599,MATCH(F136,控制台!$B$599:$B$615,0)-1,0),OFFSET(控制台!$H$618,MATCH(F136,控制台!$B$618:$B$636,0)-1,0))</f>
        <v>334243.584</v>
      </c>
      <c r="R136" s="15">
        <f ca="1">IF(E136=1,Q136/G136,IF(E136=5,Q136/G136*OFFSET(控制台!$D$641,MATCH(B136,控制台!$B$641:$B$645,0)-1,0),Q136/G136*OFFSET(控制台!$H$641,MATCH(B136,控制台!$F$641:$F$650,0)-1,0)))</f>
        <v>10128.5934545455</v>
      </c>
      <c r="S136" s="16">
        <f ca="1">_xlfn.FLOOR.MATH(R136)*60</f>
        <v>607680</v>
      </c>
      <c r="T136" s="16">
        <f ca="1">8000+IF(C136=1,OFFSET(控制台!$K$599,MATCH(F136,控制台!$B$599:$B$615,0)-1,0),OFFSET(控制台!$K$618,MATCH(F136,控制台!$B$618:$B$636,0)-1,0))</f>
        <v>8028</v>
      </c>
      <c r="U136" s="1">
        <f ca="1">IF(C136=1,OFFSET(控制台!$F$599,MATCH(F136,控制台!$B$599:$B$615,0)-1,0),OFFSET(控制台!$F$618,MATCH(F136,控制台!$B$618:$B$636,0)-1,0))</f>
        <v>167961.6</v>
      </c>
      <c r="V136" s="1">
        <f ca="1">IF(E136=1,U136/G136,IF(E136=5,U136/G136*OFFSET(控制台!$D$641,MATCH(B136,控制台!$B$641:$B$645,0)-1,0),U136/G136*OFFSET(控制台!$H$641,MATCH(B136,控制台!$F$641:$F$650,0)-1,0)))</f>
        <v>5089.74545454545</v>
      </c>
      <c r="W136" s="20">
        <f ca="1" t="shared" si="7"/>
        <v>3.53454545454545</v>
      </c>
      <c r="X136" s="15">
        <f ca="1">IF(C136=1,OFFSET(控制台!$U$599,MATCH(F136,控制台!$B$599:$B$615,0)-1,0),OFFSET(控制台!$U$618,MATCH(F136,控制台!$B$618:$B$636,0)-1,0))</f>
        <v>513375</v>
      </c>
      <c r="Y136" s="16">
        <f ca="1">_xlfn.FLOOR.MATH(IF(E136=1,X136/G136,IF(E136=5,X136/G136*OFFSET(控制台!$D$641,MATCH(B136,控制台!$B$641:$B$645,0)-1,0),X136/G136*OFFSET(控制台!$H$641,MATCH(B136,控制台!$F$641:$F$650,0)-1,0))))</f>
        <v>15556</v>
      </c>
      <c r="Z136" s="16">
        <f ca="1" t="shared" si="8"/>
        <v>46667</v>
      </c>
    </row>
    <row r="137" spans="1:26">
      <c r="A137" s="1">
        <v>11601</v>
      </c>
      <c r="B137" s="1">
        <v>8</v>
      </c>
      <c r="C137" s="1">
        <v>1</v>
      </c>
      <c r="D137" s="1" t="s">
        <v>2800</v>
      </c>
      <c r="E137" s="1">
        <f ca="1">IF(C137=1,OFFSET(控制台!$F$552,MATCH(A137,控制台!$B$552:$B$580,0)-1,0),OFFSET(控制台!$L$552,MATCH(A137,控制台!$H$552:$H$594,0)-1,0))</f>
        <v>10</v>
      </c>
      <c r="F137" s="1">
        <f ca="1">IF(C137=1,OFFSET(控制台!$D$552,MATCH(A137,控制台!$B$552:$B$580,0)-1,0),OFFSET(控制台!$J$552,MATCH(A137,控制台!$H$552:$H$594,0)-1,0))</f>
        <v>16</v>
      </c>
      <c r="G137" s="1">
        <f ca="1">IF(C137=1,OFFSET(控制台!$I$599,MATCH(F137,控制台!$B$599:$B$615,0)-1,0),OFFSET(控制台!$I$618,MATCH(F137,控制台!$B$618:$B$636,0)-1,0))</f>
        <v>3</v>
      </c>
      <c r="H137" s="1">
        <f ca="1">IF(C137=1,OFFSET(控制台!$D$599,MATCH(F137,控制台!$B$599:$B$615,0)-1,0),OFFSET(控制台!$D$618,MATCH(F137,控制台!$B$618:$B$636,0)-1,0))</f>
        <v>277200000</v>
      </c>
      <c r="I137" s="1">
        <f ca="1">IF(E137=1,H137/G137,IF(E137=5,H137/G137*OFFSET(控制台!$D$641,MATCH(B137,控制台!$B$641:$B$645,0)-1,0),H137/G137*OFFSET(控制台!$H$641,MATCH(B137,控制台!$F$641:$F$650,0)-1,0)))</f>
        <v>12600000</v>
      </c>
      <c r="J137" s="1">
        <f ca="1">$I137/3*控制台!H$102</f>
        <v>4199999.99999999</v>
      </c>
      <c r="K137" s="1">
        <f ca="1">$I137/3*控制台!I$102</f>
        <v>3149999.99999999</v>
      </c>
      <c r="L137" s="1">
        <f ca="1">$I137/3*控制台!J$102</f>
        <v>5249999.99999999</v>
      </c>
      <c r="M137" s="1">
        <f ca="1">_xlfn.FLOOR.MATH(J137,POWER(10,MAX(2,INT(LOG10(J137)-2))))</f>
        <v>4200000</v>
      </c>
      <c r="N137" s="1">
        <f ca="1">_xlfn.FLOOR.MATH(K137,POWER(10,MAX(2,INT(LOG10(K137)-2))))</f>
        <v>3150000</v>
      </c>
      <c r="O137" s="1">
        <f ca="1">_xlfn.FLOOR.MATH(L137,POWER(10,MAX(2,INT(LOG10(L137)-2))))</f>
        <v>5250000</v>
      </c>
      <c r="P137" s="4" t="str">
        <f ca="1" t="shared" si="6"/>
        <v>4200000;3150000;5250000</v>
      </c>
      <c r="Q137" s="15">
        <f ca="1">IF(C137=1,OFFSET(控制台!$H$599,MATCH(F137,控制台!$B$599:$B$615,0)-1,0),OFFSET(控制台!$H$618,MATCH(F137,控制台!$B$618:$B$636,0)-1,0))</f>
        <v>334243.584</v>
      </c>
      <c r="R137" s="15">
        <f ca="1">IF(E137=1,Q137/G137,IF(E137=5,Q137/G137*OFFSET(控制台!$D$641,MATCH(B137,控制台!$B$641:$B$645,0)-1,0),Q137/G137*OFFSET(控制台!$H$641,MATCH(B137,控制台!$F$641:$F$650,0)-1,0)))</f>
        <v>15192.8901818181</v>
      </c>
      <c r="S137" s="16">
        <f ca="1">_xlfn.FLOOR.MATH(R137)*60</f>
        <v>911520</v>
      </c>
      <c r="T137" s="16">
        <f ca="1">8000+IF(C137=1,OFFSET(控制台!$K$599,MATCH(F137,控制台!$B$599:$B$615,0)-1,0),OFFSET(控制台!$K$618,MATCH(F137,控制台!$B$618:$B$636,0)-1,0))</f>
        <v>8028</v>
      </c>
      <c r="U137" s="1">
        <f ca="1">IF(C137=1,OFFSET(控制台!$F$599,MATCH(F137,控制台!$B$599:$B$615,0)-1,0),OFFSET(控制台!$F$618,MATCH(F137,控制台!$B$618:$B$636,0)-1,0))</f>
        <v>167961.6</v>
      </c>
      <c r="V137" s="1">
        <f ca="1">IF(E137=1,U137/G137,IF(E137=5,U137/G137*OFFSET(控制台!$D$641,MATCH(B137,控制台!$B$641:$B$645,0)-1,0),U137/G137*OFFSET(控制台!$H$641,MATCH(B137,控制台!$F$641:$F$650,0)-1,0)))</f>
        <v>7634.61818181816</v>
      </c>
      <c r="W137" s="20">
        <f ca="1" t="shared" si="7"/>
        <v>5.30181818181817</v>
      </c>
      <c r="X137" s="15">
        <f ca="1">IF(C137=1,OFFSET(控制台!$U$599,MATCH(F137,控制台!$B$599:$B$615,0)-1,0),OFFSET(控制台!$U$618,MATCH(F137,控制台!$B$618:$B$636,0)-1,0))</f>
        <v>513375</v>
      </c>
      <c r="Y137" s="16">
        <f ca="1">_xlfn.FLOOR.MATH(IF(E137=1,X137/G137,IF(E137=5,X137/G137*OFFSET(控制台!$D$641,MATCH(B137,控制台!$B$641:$B$645,0)-1,0),X137/G137*OFFSET(控制台!$H$641,MATCH(B137,控制台!$F$641:$F$650,0)-1,0))))</f>
        <v>23335</v>
      </c>
      <c r="Z137" s="16">
        <f ca="1" t="shared" si="8"/>
        <v>70002</v>
      </c>
    </row>
    <row r="138" spans="1:26">
      <c r="A138" s="1">
        <v>11601</v>
      </c>
      <c r="B138" s="1">
        <v>9</v>
      </c>
      <c r="C138" s="1">
        <v>1</v>
      </c>
      <c r="D138" s="1" t="s">
        <v>2800</v>
      </c>
      <c r="E138" s="1">
        <f ca="1">IF(C138=1,OFFSET(控制台!$F$552,MATCH(A138,控制台!$B$552:$B$580,0)-1,0),OFFSET(控制台!$L$552,MATCH(A138,控制台!$H$552:$H$594,0)-1,0))</f>
        <v>10</v>
      </c>
      <c r="F138" s="1">
        <f ca="1">IF(C138=1,OFFSET(控制台!$D$552,MATCH(A138,控制台!$B$552:$B$580,0)-1,0),OFFSET(控制台!$J$552,MATCH(A138,控制台!$H$552:$H$594,0)-1,0))</f>
        <v>16</v>
      </c>
      <c r="G138" s="1">
        <f ca="1">IF(C138=1,OFFSET(控制台!$I$599,MATCH(F138,控制台!$B$599:$B$615,0)-1,0),OFFSET(控制台!$I$618,MATCH(F138,控制台!$B$618:$B$636,0)-1,0))</f>
        <v>3</v>
      </c>
      <c r="H138" s="1">
        <f ca="1">IF(C138=1,OFFSET(控制台!$D$599,MATCH(F138,控制台!$B$599:$B$615,0)-1,0),OFFSET(控制台!$D$618,MATCH(F138,控制台!$B$618:$B$636,0)-1,0))</f>
        <v>277200000</v>
      </c>
      <c r="I138" s="1">
        <f ca="1">IF(E138=1,H138/G138,IF(E138=5,H138/G138*OFFSET(控制台!$D$641,MATCH(B138,控制台!$B$641:$B$645,0)-1,0),H138/G138*OFFSET(控制台!$H$641,MATCH(B138,控制台!$F$641:$F$650,0)-1,0)))</f>
        <v>21000000</v>
      </c>
      <c r="J138" s="1">
        <f ca="1">$I138/3*控制台!H$102</f>
        <v>6999999.99999999</v>
      </c>
      <c r="K138" s="1">
        <f ca="1">$I138/3*控制台!I$102</f>
        <v>5249999.99999999</v>
      </c>
      <c r="L138" s="1">
        <f ca="1">$I138/3*控制台!J$102</f>
        <v>8749999.99999999</v>
      </c>
      <c r="M138" s="1">
        <f ca="1">_xlfn.FLOOR.MATH(J138,POWER(10,MAX(2,INT(LOG10(J138)-2))))</f>
        <v>7000000</v>
      </c>
      <c r="N138" s="1">
        <f ca="1">_xlfn.FLOOR.MATH(K138,POWER(10,MAX(2,INT(LOG10(K138)-2))))</f>
        <v>5250000</v>
      </c>
      <c r="O138" s="1">
        <f ca="1">_xlfn.FLOOR.MATH(L138,POWER(10,MAX(2,INT(LOG10(L138)-2))))</f>
        <v>8750000</v>
      </c>
      <c r="P138" s="4" t="str">
        <f ca="1" t="shared" si="6"/>
        <v>7000000;5250000;8750000</v>
      </c>
      <c r="Q138" s="15">
        <f ca="1">IF(C138=1,OFFSET(控制台!$H$599,MATCH(F138,控制台!$B$599:$B$615,0)-1,0),OFFSET(控制台!$H$618,MATCH(F138,控制台!$B$618:$B$636,0)-1,0))</f>
        <v>334243.584</v>
      </c>
      <c r="R138" s="15">
        <f ca="1">IF(E138=1,Q138/G138,IF(E138=5,Q138/G138*OFFSET(控制台!$D$641,MATCH(B138,控制台!$B$641:$B$645,0)-1,0),Q138/G138*OFFSET(控制台!$H$641,MATCH(B138,控制台!$F$641:$F$650,0)-1,0)))</f>
        <v>25321.4836363636</v>
      </c>
      <c r="S138" s="16">
        <f ca="1">_xlfn.FLOOR.MATH(R138)*60</f>
        <v>1519260</v>
      </c>
      <c r="T138" s="16">
        <f ca="1">8000+IF(C138=1,OFFSET(控制台!$K$599,MATCH(F138,控制台!$B$599:$B$615,0)-1,0),OFFSET(控制台!$K$618,MATCH(F138,控制台!$B$618:$B$636,0)-1,0))</f>
        <v>8028</v>
      </c>
      <c r="U138" s="1">
        <f ca="1">IF(C138=1,OFFSET(控制台!$F$599,MATCH(F138,控制台!$B$599:$B$615,0)-1,0),OFFSET(控制台!$F$618,MATCH(F138,控制台!$B$618:$B$636,0)-1,0))</f>
        <v>167961.6</v>
      </c>
      <c r="V138" s="1">
        <f ca="1">IF(E138=1,U138/G138,IF(E138=5,U138/G138*OFFSET(控制台!$D$641,MATCH(B138,控制台!$B$641:$B$645,0)-1,0),U138/G138*OFFSET(控制台!$H$641,MATCH(B138,控制台!$F$641:$F$650,0)-1,0)))</f>
        <v>12724.3636363636</v>
      </c>
      <c r="W138" s="20">
        <f ca="1" t="shared" si="7"/>
        <v>8.83636363636362</v>
      </c>
      <c r="X138" s="15">
        <f ca="1">IF(C138=1,OFFSET(控制台!$U$599,MATCH(F138,控制台!$B$599:$B$615,0)-1,0),OFFSET(控制台!$U$618,MATCH(F138,控制台!$B$618:$B$636,0)-1,0))</f>
        <v>513375</v>
      </c>
      <c r="Y138" s="16">
        <f ca="1">_xlfn.FLOOR.MATH(IF(E138=1,X138/G138,IF(E138=5,X138/G138*OFFSET(控制台!$D$641,MATCH(B138,控制台!$B$641:$B$645,0)-1,0),X138/G138*OFFSET(控制台!$H$641,MATCH(B138,控制台!$F$641:$F$650,0)-1,0))))</f>
        <v>38892</v>
      </c>
      <c r="Z138" s="16">
        <f ca="1" t="shared" si="8"/>
        <v>108894</v>
      </c>
    </row>
    <row r="139" spans="1:26">
      <c r="A139" s="1">
        <v>11601</v>
      </c>
      <c r="B139" s="1">
        <v>10</v>
      </c>
      <c r="C139" s="1">
        <v>1</v>
      </c>
      <c r="D139" s="1" t="s">
        <v>2800</v>
      </c>
      <c r="E139" s="1">
        <f ca="1">IF(C139=1,OFFSET(控制台!$F$552,MATCH(A139,控制台!$B$552:$B$580,0)-1,0),OFFSET(控制台!$L$552,MATCH(A139,控制台!$H$552:$H$594,0)-1,0))</f>
        <v>10</v>
      </c>
      <c r="F139" s="1">
        <f ca="1">IF(C139=1,OFFSET(控制台!$D$552,MATCH(A139,控制台!$B$552:$B$580,0)-1,0),OFFSET(控制台!$J$552,MATCH(A139,控制台!$H$552:$H$594,0)-1,0))</f>
        <v>16</v>
      </c>
      <c r="G139" s="1">
        <f ca="1">IF(C139=1,OFFSET(控制台!$I$599,MATCH(F139,控制台!$B$599:$B$615,0)-1,0),OFFSET(控制台!$I$618,MATCH(F139,控制台!$B$618:$B$636,0)-1,0))</f>
        <v>3</v>
      </c>
      <c r="H139" s="1">
        <f ca="1">IF(C139=1,OFFSET(控制台!$D$599,MATCH(F139,控制台!$B$599:$B$615,0)-1,0),OFFSET(控制台!$D$618,MATCH(F139,控制台!$B$618:$B$636,0)-1,0))</f>
        <v>277200000</v>
      </c>
      <c r="I139" s="1">
        <f ca="1">IF(E139=1,H139/G139,IF(E139=5,H139/G139*OFFSET(控制台!$D$641,MATCH(B139,控制台!$B$641:$B$645,0)-1,0),H139/G139*OFFSET(控制台!$H$641,MATCH(B139,控制台!$F$641:$F$650,0)-1,0)))</f>
        <v>33600000</v>
      </c>
      <c r="J139" s="1">
        <f ca="1">$I139/3*控制台!H$102</f>
        <v>11200000</v>
      </c>
      <c r="K139" s="1">
        <f ca="1">$I139/3*控制台!I$102</f>
        <v>8400000.00000001</v>
      </c>
      <c r="L139" s="1">
        <f ca="1">$I139/3*控制台!J$102</f>
        <v>14000000</v>
      </c>
      <c r="M139" s="1">
        <f ca="1">_xlfn.FLOOR.MATH(J139,POWER(10,MAX(2,INT(LOG10(J139)-2))))</f>
        <v>11200000</v>
      </c>
      <c r="N139" s="1">
        <f ca="1">_xlfn.FLOOR.MATH(K139,POWER(10,MAX(2,INT(LOG10(K139)-2))))</f>
        <v>8400000</v>
      </c>
      <c r="O139" s="1">
        <f ca="1">_xlfn.FLOOR.MATH(L139,POWER(10,MAX(2,INT(LOG10(L139)-2))))</f>
        <v>14000000</v>
      </c>
      <c r="P139" s="4" t="str">
        <f ca="1" t="shared" si="6"/>
        <v>11200000;8400000;14000000</v>
      </c>
      <c r="Q139" s="15">
        <f ca="1">IF(C139=1,OFFSET(控制台!$H$599,MATCH(F139,控制台!$B$599:$B$615,0)-1,0),OFFSET(控制台!$H$618,MATCH(F139,控制台!$B$618:$B$636,0)-1,0))</f>
        <v>334243.584</v>
      </c>
      <c r="R139" s="15">
        <f ca="1">IF(E139=1,Q139/G139,IF(E139=5,Q139/G139*OFFSET(控制台!$D$641,MATCH(B139,控制台!$B$641:$B$645,0)-1,0),Q139/G139*OFFSET(控制台!$H$641,MATCH(B139,控制台!$F$641:$F$650,0)-1,0)))</f>
        <v>40514.3738181819</v>
      </c>
      <c r="S139" s="16">
        <f ca="1">_xlfn.FLOOR.MATH(R139)*60</f>
        <v>2430840</v>
      </c>
      <c r="T139" s="16">
        <f ca="1">8000+IF(C139=1,OFFSET(控制台!$K$599,MATCH(F139,控制台!$B$599:$B$615,0)-1,0),OFFSET(控制台!$K$618,MATCH(F139,控制台!$B$618:$B$636,0)-1,0))</f>
        <v>8028</v>
      </c>
      <c r="U139" s="1">
        <f ca="1">IF(C139=1,OFFSET(控制台!$F$599,MATCH(F139,控制台!$B$599:$B$615,0)-1,0),OFFSET(控制台!$F$618,MATCH(F139,控制台!$B$618:$B$636,0)-1,0))</f>
        <v>167961.6</v>
      </c>
      <c r="V139" s="1">
        <f ca="1">IF(E139=1,U139/G139,IF(E139=5,U139/G139*OFFSET(控制台!$D$641,MATCH(B139,控制台!$B$641:$B$645,0)-1,0),U139/G139*OFFSET(控制台!$H$641,MATCH(B139,控制台!$F$641:$F$650,0)-1,0)))</f>
        <v>20358.9818181818</v>
      </c>
      <c r="W139" s="20">
        <f ca="1" t="shared" si="7"/>
        <v>14.1381818181818</v>
      </c>
      <c r="X139" s="15">
        <f ca="1">IF(C139=1,OFFSET(控制台!$U$599,MATCH(F139,控制台!$B$599:$B$615,0)-1,0),OFFSET(控制台!$U$618,MATCH(F139,控制台!$B$618:$B$636,0)-1,0))</f>
        <v>513375</v>
      </c>
      <c r="Y139" s="16">
        <f ca="1">_xlfn.FLOOR.MATH(IF(E139=1,X139/G139,IF(E139=5,X139/G139*OFFSET(控制台!$D$641,MATCH(B139,控制台!$B$641:$B$645,0)-1,0),X139/G139*OFFSET(控制台!$H$641,MATCH(B139,控制台!$F$641:$F$650,0)-1,0))))</f>
        <v>62227</v>
      </c>
      <c r="Z139" s="16">
        <f ca="1" t="shared" si="8"/>
        <v>171121</v>
      </c>
    </row>
    <row r="140" spans="1:26">
      <c r="A140" s="1">
        <v>11602</v>
      </c>
      <c r="B140" s="1">
        <v>1</v>
      </c>
      <c r="C140" s="1">
        <v>1</v>
      </c>
      <c r="D140" s="1" t="s">
        <v>2801</v>
      </c>
      <c r="E140" s="1">
        <f ca="1">IF(C140=1,OFFSET(控制台!$F$552,MATCH(A140,控制台!$B$552:$B$580,0)-1,0),OFFSET(控制台!$L$552,MATCH(A140,控制台!$H$552:$H$594,0)-1,0))</f>
        <v>10</v>
      </c>
      <c r="F140" s="1">
        <f ca="1">IF(C140=1,OFFSET(控制台!$D$552,MATCH(A140,控制台!$B$552:$B$580,0)-1,0),OFFSET(控制台!$J$552,MATCH(A140,控制台!$H$552:$H$594,0)-1,0))</f>
        <v>16</v>
      </c>
      <c r="G140" s="1">
        <f ca="1">IF(C140=1,OFFSET(控制台!$I$599,MATCH(F140,控制台!$B$599:$B$615,0)-1,0),OFFSET(控制台!$I$618,MATCH(F140,控制台!$B$618:$B$636,0)-1,0))</f>
        <v>3</v>
      </c>
      <c r="H140" s="1">
        <f ca="1">IF(C140=1,OFFSET(控制台!$D$599,MATCH(F140,控制台!$B$599:$B$615,0)-1,0),OFFSET(控制台!$D$618,MATCH(F140,控制台!$B$618:$B$636,0)-1,0))</f>
        <v>277200000</v>
      </c>
      <c r="I140" s="1">
        <f ca="1">IF(E140=1,H140/G140,IF(E140=5,H140/G140*OFFSET(控制台!$D$641,MATCH(B140,控制台!$B$641:$B$645,0)-1,0),H140/G140*OFFSET(控制台!$H$641,MATCH(B140,控制台!$F$641:$F$650,0)-1,0)))</f>
        <v>840000</v>
      </c>
      <c r="J140" s="1">
        <f ca="1">$I140/3*控制台!H$102</f>
        <v>280000</v>
      </c>
      <c r="K140" s="1">
        <f ca="1">$I140/3*控制台!I$102</f>
        <v>210000</v>
      </c>
      <c r="L140" s="1">
        <f ca="1">$I140/3*控制台!J$102</f>
        <v>350000</v>
      </c>
      <c r="M140" s="1">
        <f ca="1">_xlfn.FLOOR.MATH(J140,POWER(10,MAX(2,INT(LOG10(J140)-2))))</f>
        <v>280000</v>
      </c>
      <c r="N140" s="1">
        <f ca="1">_xlfn.FLOOR.MATH(K140,POWER(10,MAX(2,INT(LOG10(K140)-2))))</f>
        <v>210000</v>
      </c>
      <c r="O140" s="1">
        <f ca="1">_xlfn.FLOOR.MATH(L140,POWER(10,MAX(2,INT(LOG10(L140)-2))))</f>
        <v>350000</v>
      </c>
      <c r="P140" s="4" t="str">
        <f ca="1" t="shared" si="6"/>
        <v>280000;210000;350000</v>
      </c>
      <c r="Q140" s="15">
        <f ca="1">IF(C140=1,OFFSET(控制台!$H$599,MATCH(F140,控制台!$B$599:$B$615,0)-1,0),OFFSET(控制台!$H$618,MATCH(F140,控制台!$B$618:$B$636,0)-1,0))</f>
        <v>334243.584</v>
      </c>
      <c r="R140" s="15">
        <f ca="1">IF(E140=1,Q140/G140,IF(E140=5,Q140/G140*OFFSET(控制台!$D$641,MATCH(B140,控制台!$B$641:$B$645,0)-1,0),Q140/G140*OFFSET(控制台!$H$641,MATCH(B140,控制台!$F$641:$F$650,0)-1,0)))</f>
        <v>1012.85934545455</v>
      </c>
      <c r="S140" s="16">
        <f ca="1">_xlfn.FLOOR.MATH(R140)*60</f>
        <v>60720</v>
      </c>
      <c r="T140" s="16">
        <f ca="1">8000+IF(C140=1,OFFSET(控制台!$K$599,MATCH(F140,控制台!$B$599:$B$615,0)-1,0),OFFSET(控制台!$K$618,MATCH(F140,控制台!$B$618:$B$636,0)-1,0))</f>
        <v>8028</v>
      </c>
      <c r="U140" s="1">
        <f ca="1">IF(C140=1,OFFSET(控制台!$F$599,MATCH(F140,控制台!$B$599:$B$615,0)-1,0),OFFSET(控制台!$F$618,MATCH(F140,控制台!$B$618:$B$636,0)-1,0))</f>
        <v>167961.6</v>
      </c>
      <c r="V140" s="1">
        <f ca="1">IF(E140=1,U140/G140,IF(E140=5,U140/G140*OFFSET(控制台!$D$641,MATCH(B140,控制台!$B$641:$B$645,0)-1,0),U140/G140*OFFSET(控制台!$H$641,MATCH(B140,控制台!$F$641:$F$650,0)-1,0)))</f>
        <v>508.974545454545</v>
      </c>
      <c r="W140" s="20">
        <f ca="1" t="shared" si="7"/>
        <v>0.353454545454545</v>
      </c>
      <c r="X140" s="15">
        <f ca="1">IF(C140=1,OFFSET(控制台!$U$599,MATCH(F140,控制台!$B$599:$B$615,0)-1,0),OFFSET(控制台!$U$618,MATCH(F140,控制台!$B$618:$B$636,0)-1,0))</f>
        <v>513375</v>
      </c>
      <c r="Y140" s="16">
        <f ca="1">_xlfn.FLOOR.MATH(IF(E140=1,X140/G140,IF(E140=5,X140/G140*OFFSET(控制台!$D$641,MATCH(B140,控制台!$B$641:$B$645,0)-1,0),X140/G140*OFFSET(控制台!$H$641,MATCH(B140,控制台!$F$641:$F$650,0)-1,0))))</f>
        <v>1555</v>
      </c>
      <c r="Z140" s="16">
        <f ca="1" t="shared" si="8"/>
        <v>1555</v>
      </c>
    </row>
    <row r="141" spans="1:26">
      <c r="A141" s="1">
        <v>11602</v>
      </c>
      <c r="B141" s="1">
        <v>2</v>
      </c>
      <c r="C141" s="1">
        <v>1</v>
      </c>
      <c r="D141" s="1" t="s">
        <v>2801</v>
      </c>
      <c r="E141" s="1">
        <f ca="1">IF(C141=1,OFFSET(控制台!$F$552,MATCH(A141,控制台!$B$552:$B$580,0)-1,0),OFFSET(控制台!$L$552,MATCH(A141,控制台!$H$552:$H$594,0)-1,0))</f>
        <v>10</v>
      </c>
      <c r="F141" s="1">
        <f ca="1">IF(C141=1,OFFSET(控制台!$D$552,MATCH(A141,控制台!$B$552:$B$580,0)-1,0),OFFSET(控制台!$J$552,MATCH(A141,控制台!$H$552:$H$594,0)-1,0))</f>
        <v>16</v>
      </c>
      <c r="G141" s="1">
        <f ca="1">IF(C141=1,OFFSET(控制台!$I$599,MATCH(F141,控制台!$B$599:$B$615,0)-1,0),OFFSET(控制台!$I$618,MATCH(F141,控制台!$B$618:$B$636,0)-1,0))</f>
        <v>3</v>
      </c>
      <c r="H141" s="1">
        <f ca="1">IF(C141=1,OFFSET(控制台!$D$599,MATCH(F141,控制台!$B$599:$B$615,0)-1,0),OFFSET(控制台!$D$618,MATCH(F141,控制台!$B$618:$B$636,0)-1,0))</f>
        <v>277200000</v>
      </c>
      <c r="I141" s="1">
        <f ca="1">IF(E141=1,H141/G141,IF(E141=5,H141/G141*OFFSET(控制台!$D$641,MATCH(B141,控制台!$B$641:$B$645,0)-1,0),H141/G141*OFFSET(控制台!$H$641,MATCH(B141,控制台!$F$641:$F$650,0)-1,0)))</f>
        <v>1260000</v>
      </c>
      <c r="J141" s="1">
        <f ca="1">$I141/3*控制台!H$102</f>
        <v>419999.999999999</v>
      </c>
      <c r="K141" s="1">
        <f ca="1">$I141/3*控制台!I$102</f>
        <v>314999.999999999</v>
      </c>
      <c r="L141" s="1">
        <f ca="1">$I141/3*控制台!J$102</f>
        <v>524999.999999999</v>
      </c>
      <c r="M141" s="1">
        <f ca="1">_xlfn.FLOOR.MATH(J141,POWER(10,MAX(2,INT(LOG10(J141)-2))))</f>
        <v>420000</v>
      </c>
      <c r="N141" s="1">
        <f ca="1">_xlfn.FLOOR.MATH(K141,POWER(10,MAX(2,INT(LOG10(K141)-2))))</f>
        <v>315000</v>
      </c>
      <c r="O141" s="1">
        <f ca="1">_xlfn.FLOOR.MATH(L141,POWER(10,MAX(2,INT(LOG10(L141)-2))))</f>
        <v>525000</v>
      </c>
      <c r="P141" s="4" t="str">
        <f ca="1" t="shared" si="6"/>
        <v>420000;315000;525000</v>
      </c>
      <c r="Q141" s="15">
        <f ca="1">IF(C141=1,OFFSET(控制台!$H$599,MATCH(F141,控制台!$B$599:$B$615,0)-1,0),OFFSET(控制台!$H$618,MATCH(F141,控制台!$B$618:$B$636,0)-1,0))</f>
        <v>334243.584</v>
      </c>
      <c r="R141" s="15">
        <f ca="1">IF(E141=1,Q141/G141,IF(E141=5,Q141/G141*OFFSET(控制台!$D$641,MATCH(B141,控制台!$B$641:$B$645,0)-1,0),Q141/G141*OFFSET(控制台!$H$641,MATCH(B141,控制台!$F$641:$F$650,0)-1,0)))</f>
        <v>1519.28901818181</v>
      </c>
      <c r="S141" s="16">
        <f ca="1">_xlfn.FLOOR.MATH(R141)*60</f>
        <v>91140</v>
      </c>
      <c r="T141" s="16">
        <f ca="1">8000+IF(C141=1,OFFSET(控制台!$K$599,MATCH(F141,控制台!$B$599:$B$615,0)-1,0),OFFSET(控制台!$K$618,MATCH(F141,控制台!$B$618:$B$636,0)-1,0))</f>
        <v>8028</v>
      </c>
      <c r="U141" s="1">
        <f ca="1">IF(C141=1,OFFSET(控制台!$F$599,MATCH(F141,控制台!$B$599:$B$615,0)-1,0),OFFSET(控制台!$F$618,MATCH(F141,控制台!$B$618:$B$636,0)-1,0))</f>
        <v>167961.6</v>
      </c>
      <c r="V141" s="1">
        <f ca="1">IF(E141=1,U141/G141,IF(E141=5,U141/G141*OFFSET(控制台!$D$641,MATCH(B141,控制台!$B$641:$B$645,0)-1,0),U141/G141*OFFSET(控制台!$H$641,MATCH(B141,控制台!$F$641:$F$650,0)-1,0)))</f>
        <v>763.461818181816</v>
      </c>
      <c r="W141" s="20">
        <f ca="1" t="shared" si="7"/>
        <v>0.530181818181817</v>
      </c>
      <c r="X141" s="15">
        <f ca="1">IF(C141=1,OFFSET(控制台!$U$599,MATCH(F141,控制台!$B$599:$B$615,0)-1,0),OFFSET(控制台!$U$618,MATCH(F141,控制台!$B$618:$B$636,0)-1,0))</f>
        <v>513375</v>
      </c>
      <c r="Y141" s="16">
        <f ca="1">_xlfn.FLOOR.MATH(IF(E141=1,X141/G141,IF(E141=5,X141/G141*OFFSET(控制台!$D$641,MATCH(B141,控制台!$B$641:$B$645,0)-1,0),X141/G141*OFFSET(控制台!$H$641,MATCH(B141,控制台!$F$641:$F$650,0)-1,0))))</f>
        <v>2333</v>
      </c>
      <c r="Z141" s="16">
        <f ca="1" t="shared" si="8"/>
        <v>3888</v>
      </c>
    </row>
    <row r="142" spans="1:26">
      <c r="A142" s="1">
        <v>11602</v>
      </c>
      <c r="B142" s="1">
        <v>3</v>
      </c>
      <c r="C142" s="1">
        <v>1</v>
      </c>
      <c r="D142" s="1" t="s">
        <v>2801</v>
      </c>
      <c r="E142" s="1">
        <f ca="1">IF(C142=1,OFFSET(控制台!$F$552,MATCH(A142,控制台!$B$552:$B$580,0)-1,0),OFFSET(控制台!$L$552,MATCH(A142,控制台!$H$552:$H$594,0)-1,0))</f>
        <v>10</v>
      </c>
      <c r="F142" s="1">
        <f ca="1">IF(C142=1,OFFSET(控制台!$D$552,MATCH(A142,控制台!$B$552:$B$580,0)-1,0),OFFSET(控制台!$J$552,MATCH(A142,控制台!$H$552:$H$594,0)-1,0))</f>
        <v>16</v>
      </c>
      <c r="G142" s="1">
        <f ca="1">IF(C142=1,OFFSET(控制台!$I$599,MATCH(F142,控制台!$B$599:$B$615,0)-1,0),OFFSET(控制台!$I$618,MATCH(F142,控制台!$B$618:$B$636,0)-1,0))</f>
        <v>3</v>
      </c>
      <c r="H142" s="1">
        <f ca="1">IF(C142=1,OFFSET(控制台!$D$599,MATCH(F142,控制台!$B$599:$B$615,0)-1,0),OFFSET(控制台!$D$618,MATCH(F142,控制台!$B$618:$B$636,0)-1,0))</f>
        <v>277200000</v>
      </c>
      <c r="I142" s="1">
        <f ca="1">IF(E142=1,H142/G142,IF(E142=5,H142/G142*OFFSET(控制台!$D$641,MATCH(B142,控制台!$B$641:$B$645,0)-1,0),H142/G142*OFFSET(控制台!$H$641,MATCH(B142,控制台!$F$641:$F$650,0)-1,0)))</f>
        <v>1680000</v>
      </c>
      <c r="J142" s="1">
        <f ca="1">$I142/3*控制台!H$102</f>
        <v>560000.000000001</v>
      </c>
      <c r="K142" s="1">
        <f ca="1">$I142/3*控制台!I$102</f>
        <v>420000</v>
      </c>
      <c r="L142" s="1">
        <f ca="1">$I142/3*控制台!J$102</f>
        <v>700000.000000001</v>
      </c>
      <c r="M142" s="1">
        <f ca="1">_xlfn.FLOOR.MATH(J142,POWER(10,MAX(2,INT(LOG10(J142)-2))))</f>
        <v>560000</v>
      </c>
      <c r="N142" s="1">
        <f ca="1">_xlfn.FLOOR.MATH(K142,POWER(10,MAX(2,INT(LOG10(K142)-2))))</f>
        <v>420000</v>
      </c>
      <c r="O142" s="1">
        <f ca="1">_xlfn.FLOOR.MATH(L142,POWER(10,MAX(2,INT(LOG10(L142)-2))))</f>
        <v>700000</v>
      </c>
      <c r="P142" s="4" t="str">
        <f ca="1" t="shared" si="6"/>
        <v>560000;420000;700000</v>
      </c>
      <c r="Q142" s="15">
        <f ca="1">IF(C142=1,OFFSET(控制台!$H$599,MATCH(F142,控制台!$B$599:$B$615,0)-1,0),OFFSET(控制台!$H$618,MATCH(F142,控制台!$B$618:$B$636,0)-1,0))</f>
        <v>334243.584</v>
      </c>
      <c r="R142" s="15">
        <f ca="1">IF(E142=1,Q142/G142,IF(E142=5,Q142/G142*OFFSET(控制台!$D$641,MATCH(B142,控制台!$B$641:$B$645,0)-1,0),Q142/G142*OFFSET(控制台!$H$641,MATCH(B142,控制台!$F$641:$F$650,0)-1,0)))</f>
        <v>2025.71869090909</v>
      </c>
      <c r="S142" s="16">
        <f ca="1">_xlfn.FLOOR.MATH(R142)*60</f>
        <v>121500</v>
      </c>
      <c r="T142" s="16">
        <f ca="1">8000+IF(C142=1,OFFSET(控制台!$K$599,MATCH(F142,控制台!$B$599:$B$615,0)-1,0),OFFSET(控制台!$K$618,MATCH(F142,控制台!$B$618:$B$636,0)-1,0))</f>
        <v>8028</v>
      </c>
      <c r="U142" s="1">
        <f ca="1">IF(C142=1,OFFSET(控制台!$F$599,MATCH(F142,控制台!$B$599:$B$615,0)-1,0),OFFSET(控制台!$F$618,MATCH(F142,控制台!$B$618:$B$636,0)-1,0))</f>
        <v>167961.6</v>
      </c>
      <c r="V142" s="1">
        <f ca="1">IF(E142=1,U142/G142,IF(E142=5,U142/G142*OFFSET(控制台!$D$641,MATCH(B142,控制台!$B$641:$B$645,0)-1,0),U142/G142*OFFSET(控制台!$H$641,MATCH(B142,控制台!$F$641:$F$650,0)-1,0)))</f>
        <v>1017.94909090909</v>
      </c>
      <c r="W142" s="20">
        <f ca="1" t="shared" si="7"/>
        <v>0.706909090909091</v>
      </c>
      <c r="X142" s="15">
        <f ca="1">IF(C142=1,OFFSET(控制台!$U$599,MATCH(F142,控制台!$B$599:$B$615,0)-1,0),OFFSET(控制台!$U$618,MATCH(F142,控制台!$B$618:$B$636,0)-1,0))</f>
        <v>513375</v>
      </c>
      <c r="Y142" s="16">
        <f ca="1">_xlfn.FLOOR.MATH(IF(E142=1,X142/G142,IF(E142=5,X142/G142*OFFSET(控制台!$D$641,MATCH(B142,控制台!$B$641:$B$645,0)-1,0),X142/G142*OFFSET(控制台!$H$641,MATCH(B142,控制台!$F$641:$F$650,0)-1,0))))</f>
        <v>3111</v>
      </c>
      <c r="Z142" s="16">
        <f ca="1" t="shared" si="8"/>
        <v>6999</v>
      </c>
    </row>
    <row r="143" spans="1:26">
      <c r="A143" s="1">
        <v>11602</v>
      </c>
      <c r="B143" s="1">
        <v>4</v>
      </c>
      <c r="C143" s="1">
        <v>1</v>
      </c>
      <c r="D143" s="1" t="s">
        <v>2801</v>
      </c>
      <c r="E143" s="1">
        <f ca="1">IF(C143=1,OFFSET(控制台!$F$552,MATCH(A143,控制台!$B$552:$B$580,0)-1,0),OFFSET(控制台!$L$552,MATCH(A143,控制台!$H$552:$H$594,0)-1,0))</f>
        <v>10</v>
      </c>
      <c r="F143" s="1">
        <f ca="1">IF(C143=1,OFFSET(控制台!$D$552,MATCH(A143,控制台!$B$552:$B$580,0)-1,0),OFFSET(控制台!$J$552,MATCH(A143,控制台!$H$552:$H$594,0)-1,0))</f>
        <v>16</v>
      </c>
      <c r="G143" s="1">
        <f ca="1">IF(C143=1,OFFSET(控制台!$I$599,MATCH(F143,控制台!$B$599:$B$615,0)-1,0),OFFSET(控制台!$I$618,MATCH(F143,控制台!$B$618:$B$636,0)-1,0))</f>
        <v>3</v>
      </c>
      <c r="H143" s="1">
        <f ca="1">IF(C143=1,OFFSET(控制台!$D$599,MATCH(F143,控制台!$B$599:$B$615,0)-1,0),OFFSET(控制台!$D$618,MATCH(F143,控制台!$B$618:$B$636,0)-1,0))</f>
        <v>277200000</v>
      </c>
      <c r="I143" s="1">
        <f ca="1">IF(E143=1,H143/G143,IF(E143=5,H143/G143*OFFSET(控制台!$D$641,MATCH(B143,控制台!$B$641:$B$645,0)-1,0),H143/G143*OFFSET(控制台!$H$641,MATCH(B143,控制台!$F$641:$F$650,0)-1,0)))</f>
        <v>2520000</v>
      </c>
      <c r="J143" s="1">
        <f ca="1">$I143/3*控制台!H$102</f>
        <v>840000.000000001</v>
      </c>
      <c r="K143" s="1">
        <f ca="1">$I143/3*控制台!I$102</f>
        <v>630000.000000001</v>
      </c>
      <c r="L143" s="1">
        <f ca="1">$I143/3*控制台!J$102</f>
        <v>1050000</v>
      </c>
      <c r="M143" s="1">
        <f ca="1">_xlfn.FLOOR.MATH(J143,POWER(10,MAX(2,INT(LOG10(J143)-2))))</f>
        <v>840000</v>
      </c>
      <c r="N143" s="1">
        <f ca="1">_xlfn.FLOOR.MATH(K143,POWER(10,MAX(2,INT(LOG10(K143)-2))))</f>
        <v>630000</v>
      </c>
      <c r="O143" s="1">
        <f ca="1">_xlfn.FLOOR.MATH(L143,POWER(10,MAX(2,INT(LOG10(L143)-2))))</f>
        <v>1050000</v>
      </c>
      <c r="P143" s="4" t="str">
        <f ca="1" t="shared" si="6"/>
        <v>840000;630000;1050000</v>
      </c>
      <c r="Q143" s="15">
        <f ca="1">IF(C143=1,OFFSET(控制台!$H$599,MATCH(F143,控制台!$B$599:$B$615,0)-1,0),OFFSET(控制台!$H$618,MATCH(F143,控制台!$B$618:$B$636,0)-1,0))</f>
        <v>334243.584</v>
      </c>
      <c r="R143" s="15">
        <f ca="1">IF(E143=1,Q143/G143,IF(E143=5,Q143/G143*OFFSET(控制台!$D$641,MATCH(B143,控制台!$B$641:$B$645,0)-1,0),Q143/G143*OFFSET(控制台!$H$641,MATCH(B143,控制台!$F$641:$F$650,0)-1,0)))</f>
        <v>3038.57803636364</v>
      </c>
      <c r="S143" s="16">
        <f ca="1">_xlfn.FLOOR.MATH(R143)*60</f>
        <v>182280</v>
      </c>
      <c r="T143" s="16">
        <f ca="1">8000+IF(C143=1,OFFSET(控制台!$K$599,MATCH(F143,控制台!$B$599:$B$615,0)-1,0),OFFSET(控制台!$K$618,MATCH(F143,控制台!$B$618:$B$636,0)-1,0))</f>
        <v>8028</v>
      </c>
      <c r="U143" s="1">
        <f ca="1">IF(C143=1,OFFSET(控制台!$F$599,MATCH(F143,控制台!$B$599:$B$615,0)-1,0),OFFSET(控制台!$F$618,MATCH(F143,控制台!$B$618:$B$636,0)-1,0))</f>
        <v>167961.6</v>
      </c>
      <c r="V143" s="1">
        <f ca="1">IF(E143=1,U143/G143,IF(E143=5,U143/G143*OFFSET(控制台!$D$641,MATCH(B143,控制台!$B$641:$B$645,0)-1,0),U143/G143*OFFSET(控制台!$H$641,MATCH(B143,控制台!$F$641:$F$650,0)-1,0)))</f>
        <v>1526.92363636364</v>
      </c>
      <c r="W143" s="20">
        <f ca="1" t="shared" si="7"/>
        <v>1.06036363636364</v>
      </c>
      <c r="X143" s="15">
        <f ca="1">IF(C143=1,OFFSET(控制台!$U$599,MATCH(F143,控制台!$B$599:$B$615,0)-1,0),OFFSET(控制台!$U$618,MATCH(F143,控制台!$B$618:$B$636,0)-1,0))</f>
        <v>513375</v>
      </c>
      <c r="Y143" s="16">
        <f ca="1">_xlfn.FLOOR.MATH(IF(E143=1,X143/G143,IF(E143=5,X143/G143*OFFSET(控制台!$D$641,MATCH(B143,控制台!$B$641:$B$645,0)-1,0),X143/G143*OFFSET(控制台!$H$641,MATCH(B143,控制台!$F$641:$F$650,0)-1,0))))</f>
        <v>4667</v>
      </c>
      <c r="Z143" s="16">
        <f ca="1" t="shared" si="8"/>
        <v>11666</v>
      </c>
    </row>
    <row r="144" spans="1:26">
      <c r="A144" s="1">
        <v>11602</v>
      </c>
      <c r="B144" s="1">
        <v>5</v>
      </c>
      <c r="C144" s="1">
        <v>1</v>
      </c>
      <c r="D144" s="1" t="s">
        <v>2801</v>
      </c>
      <c r="E144" s="1">
        <f ca="1">IF(C144=1,OFFSET(控制台!$F$552,MATCH(A144,控制台!$B$552:$B$580,0)-1,0),OFFSET(控制台!$L$552,MATCH(A144,控制台!$H$552:$H$594,0)-1,0))</f>
        <v>10</v>
      </c>
      <c r="F144" s="1">
        <f ca="1">IF(C144=1,OFFSET(控制台!$D$552,MATCH(A144,控制台!$B$552:$B$580,0)-1,0),OFFSET(控制台!$J$552,MATCH(A144,控制台!$H$552:$H$594,0)-1,0))</f>
        <v>16</v>
      </c>
      <c r="G144" s="1">
        <f ca="1">IF(C144=1,OFFSET(控制台!$I$599,MATCH(F144,控制台!$B$599:$B$615,0)-1,0),OFFSET(控制台!$I$618,MATCH(F144,控制台!$B$618:$B$636,0)-1,0))</f>
        <v>3</v>
      </c>
      <c r="H144" s="1">
        <f ca="1">IF(C144=1,OFFSET(控制台!$D$599,MATCH(F144,控制台!$B$599:$B$615,0)-1,0),OFFSET(控制台!$D$618,MATCH(F144,控制台!$B$618:$B$636,0)-1,0))</f>
        <v>277200000</v>
      </c>
      <c r="I144" s="1">
        <f ca="1">IF(E144=1,H144/G144,IF(E144=5,H144/G144*OFFSET(控制台!$D$641,MATCH(B144,控制台!$B$641:$B$645,0)-1,0),H144/G144*OFFSET(控制台!$H$641,MATCH(B144,控制台!$F$641:$F$650,0)-1,0)))</f>
        <v>4200000</v>
      </c>
      <c r="J144" s="1">
        <f ca="1">$I144/3*控制台!H$102</f>
        <v>1400000</v>
      </c>
      <c r="K144" s="1">
        <f ca="1">$I144/3*控制台!I$102</f>
        <v>1050000</v>
      </c>
      <c r="L144" s="1">
        <f ca="1">$I144/3*控制台!J$102</f>
        <v>1750000</v>
      </c>
      <c r="M144" s="1">
        <f ca="1">_xlfn.FLOOR.MATH(J144,POWER(10,MAX(2,INT(LOG10(J144)-2))))</f>
        <v>1400000</v>
      </c>
      <c r="N144" s="1">
        <f ca="1">_xlfn.FLOOR.MATH(K144,POWER(10,MAX(2,INT(LOG10(K144)-2))))</f>
        <v>1050000</v>
      </c>
      <c r="O144" s="1">
        <f ca="1">_xlfn.FLOOR.MATH(L144,POWER(10,MAX(2,INT(LOG10(L144)-2))))</f>
        <v>1750000</v>
      </c>
      <c r="P144" s="4" t="str">
        <f ca="1" t="shared" si="6"/>
        <v>1400000;1050000;1750000</v>
      </c>
      <c r="Q144" s="15">
        <f ca="1">IF(C144=1,OFFSET(控制台!$H$599,MATCH(F144,控制台!$B$599:$B$615,0)-1,0),OFFSET(控制台!$H$618,MATCH(F144,控制台!$B$618:$B$636,0)-1,0))</f>
        <v>334243.584</v>
      </c>
      <c r="R144" s="15">
        <f ca="1">IF(E144=1,Q144/G144,IF(E144=5,Q144/G144*OFFSET(控制台!$D$641,MATCH(B144,控制台!$B$641:$B$645,0)-1,0),Q144/G144*OFFSET(控制台!$H$641,MATCH(B144,控制台!$F$641:$F$650,0)-1,0)))</f>
        <v>5064.29672727273</v>
      </c>
      <c r="S144" s="16">
        <f ca="1">_xlfn.FLOOR.MATH(R144)*60</f>
        <v>303840</v>
      </c>
      <c r="T144" s="16">
        <f ca="1">8000+IF(C144=1,OFFSET(控制台!$K$599,MATCH(F144,控制台!$B$599:$B$615,0)-1,0),OFFSET(控制台!$K$618,MATCH(F144,控制台!$B$618:$B$636,0)-1,0))</f>
        <v>8028</v>
      </c>
      <c r="U144" s="1">
        <f ca="1">IF(C144=1,OFFSET(控制台!$F$599,MATCH(F144,控制台!$B$599:$B$615,0)-1,0),OFFSET(控制台!$F$618,MATCH(F144,控制台!$B$618:$B$636,0)-1,0))</f>
        <v>167961.6</v>
      </c>
      <c r="V144" s="1">
        <f ca="1">IF(E144=1,U144/G144,IF(E144=5,U144/G144*OFFSET(控制台!$D$641,MATCH(B144,控制台!$B$641:$B$645,0)-1,0),U144/G144*OFFSET(控制台!$H$641,MATCH(B144,控制台!$F$641:$F$650,0)-1,0)))</f>
        <v>2544.87272727273</v>
      </c>
      <c r="W144" s="20">
        <f ca="1" t="shared" si="7"/>
        <v>1.76727272727273</v>
      </c>
      <c r="X144" s="15">
        <f ca="1">IF(C144=1,OFFSET(控制台!$U$599,MATCH(F144,控制台!$B$599:$B$615,0)-1,0),OFFSET(控制台!$U$618,MATCH(F144,控制台!$B$618:$B$636,0)-1,0))</f>
        <v>513375</v>
      </c>
      <c r="Y144" s="16">
        <f ca="1">_xlfn.FLOOR.MATH(IF(E144=1,X144/G144,IF(E144=5,X144/G144*OFFSET(控制台!$D$641,MATCH(B144,控制台!$B$641:$B$645,0)-1,0),X144/G144*OFFSET(控制台!$H$641,MATCH(B144,控制台!$F$641:$F$650,0)-1,0))))</f>
        <v>7778</v>
      </c>
      <c r="Z144" s="16">
        <f ca="1" t="shared" si="8"/>
        <v>19444</v>
      </c>
    </row>
    <row r="145" spans="1:26">
      <c r="A145" s="1">
        <v>11602</v>
      </c>
      <c r="B145" s="1">
        <v>6</v>
      </c>
      <c r="C145" s="1">
        <v>1</v>
      </c>
      <c r="D145" s="1" t="s">
        <v>2801</v>
      </c>
      <c r="E145" s="1">
        <f ca="1">IF(C145=1,OFFSET(控制台!$F$552,MATCH(A145,控制台!$B$552:$B$580,0)-1,0),OFFSET(控制台!$L$552,MATCH(A145,控制台!$H$552:$H$594,0)-1,0))</f>
        <v>10</v>
      </c>
      <c r="F145" s="1">
        <f ca="1">IF(C145=1,OFFSET(控制台!$D$552,MATCH(A145,控制台!$B$552:$B$580,0)-1,0),OFFSET(控制台!$J$552,MATCH(A145,控制台!$H$552:$H$594,0)-1,0))</f>
        <v>16</v>
      </c>
      <c r="G145" s="1">
        <f ca="1">IF(C145=1,OFFSET(控制台!$I$599,MATCH(F145,控制台!$B$599:$B$615,0)-1,0),OFFSET(控制台!$I$618,MATCH(F145,控制台!$B$618:$B$636,0)-1,0))</f>
        <v>3</v>
      </c>
      <c r="H145" s="1">
        <f ca="1">IF(C145=1,OFFSET(控制台!$D$599,MATCH(F145,控制台!$B$599:$B$615,0)-1,0),OFFSET(控制台!$D$618,MATCH(F145,控制台!$B$618:$B$636,0)-1,0))</f>
        <v>277200000</v>
      </c>
      <c r="I145" s="1">
        <f ca="1">IF(E145=1,H145/G145,IF(E145=5,H145/G145*OFFSET(控制台!$D$641,MATCH(B145,控制台!$B$641:$B$645,0)-1,0),H145/G145*OFFSET(控制台!$H$641,MATCH(B145,控制台!$F$641:$F$650,0)-1,0)))</f>
        <v>6300000</v>
      </c>
      <c r="J145" s="1">
        <f ca="1">$I145/3*控制台!H$102</f>
        <v>2100000</v>
      </c>
      <c r="K145" s="1">
        <f ca="1">$I145/3*控制台!I$102</f>
        <v>1575000</v>
      </c>
      <c r="L145" s="1">
        <f ca="1">$I145/3*控制台!J$102</f>
        <v>2625000</v>
      </c>
      <c r="M145" s="1">
        <f ca="1">_xlfn.FLOOR.MATH(J145,POWER(10,MAX(2,INT(LOG10(J145)-2))))</f>
        <v>2100000</v>
      </c>
      <c r="N145" s="1">
        <f ca="1">_xlfn.FLOOR.MATH(K145,POWER(10,MAX(2,INT(LOG10(K145)-2))))</f>
        <v>1570000</v>
      </c>
      <c r="O145" s="1">
        <f ca="1">_xlfn.FLOOR.MATH(L145,POWER(10,MAX(2,INT(LOG10(L145)-2))))</f>
        <v>2620000</v>
      </c>
      <c r="P145" s="4" t="str">
        <f ca="1" t="shared" si="6"/>
        <v>2100000;1570000;2620000</v>
      </c>
      <c r="Q145" s="15">
        <f ca="1">IF(C145=1,OFFSET(控制台!$H$599,MATCH(F145,控制台!$B$599:$B$615,0)-1,0),OFFSET(控制台!$H$618,MATCH(F145,控制台!$B$618:$B$636,0)-1,0))</f>
        <v>334243.584</v>
      </c>
      <c r="R145" s="15">
        <f ca="1">IF(E145=1,Q145/G145,IF(E145=5,Q145/G145*OFFSET(控制台!$D$641,MATCH(B145,控制台!$B$641:$B$645,0)-1,0),Q145/G145*OFFSET(控制台!$H$641,MATCH(B145,控制台!$F$641:$F$650,0)-1,0)))</f>
        <v>7596.44509090909</v>
      </c>
      <c r="S145" s="16">
        <f ca="1">_xlfn.FLOOR.MATH(R145)*60</f>
        <v>455760</v>
      </c>
      <c r="T145" s="16">
        <f ca="1">8000+IF(C145=1,OFFSET(控制台!$K$599,MATCH(F145,控制台!$B$599:$B$615,0)-1,0),OFFSET(控制台!$K$618,MATCH(F145,控制台!$B$618:$B$636,0)-1,0))</f>
        <v>8028</v>
      </c>
      <c r="U145" s="1">
        <f ca="1">IF(C145=1,OFFSET(控制台!$F$599,MATCH(F145,控制台!$B$599:$B$615,0)-1,0),OFFSET(控制台!$F$618,MATCH(F145,控制台!$B$618:$B$636,0)-1,0))</f>
        <v>167961.6</v>
      </c>
      <c r="V145" s="1">
        <f ca="1">IF(E145=1,U145/G145,IF(E145=5,U145/G145*OFFSET(控制台!$D$641,MATCH(B145,控制台!$B$641:$B$645,0)-1,0),U145/G145*OFFSET(控制台!$H$641,MATCH(B145,控制台!$F$641:$F$650,0)-1,0)))</f>
        <v>3817.30909090909</v>
      </c>
      <c r="W145" s="20">
        <f ca="1" t="shared" si="7"/>
        <v>2.65090909090909</v>
      </c>
      <c r="X145" s="15">
        <f ca="1">IF(C145=1,OFFSET(控制台!$U$599,MATCH(F145,控制台!$B$599:$B$615,0)-1,0),OFFSET(控制台!$U$618,MATCH(F145,控制台!$B$618:$B$636,0)-1,0))</f>
        <v>513375</v>
      </c>
      <c r="Y145" s="16">
        <f ca="1">_xlfn.FLOOR.MATH(IF(E145=1,X145/G145,IF(E145=5,X145/G145*OFFSET(控制台!$D$641,MATCH(B145,控制台!$B$641:$B$645,0)-1,0),X145/G145*OFFSET(控制台!$H$641,MATCH(B145,控制台!$F$641:$F$650,0)-1,0))))</f>
        <v>11667</v>
      </c>
      <c r="Z145" s="16">
        <f ca="1" t="shared" si="8"/>
        <v>31111</v>
      </c>
    </row>
    <row r="146" spans="1:26">
      <c r="A146" s="1">
        <v>11602</v>
      </c>
      <c r="B146" s="1">
        <v>7</v>
      </c>
      <c r="C146" s="1">
        <v>1</v>
      </c>
      <c r="D146" s="1" t="s">
        <v>2801</v>
      </c>
      <c r="E146" s="1">
        <f ca="1">IF(C146=1,OFFSET(控制台!$F$552,MATCH(A146,控制台!$B$552:$B$580,0)-1,0),OFFSET(控制台!$L$552,MATCH(A146,控制台!$H$552:$H$594,0)-1,0))</f>
        <v>10</v>
      </c>
      <c r="F146" s="1">
        <f ca="1">IF(C146=1,OFFSET(控制台!$D$552,MATCH(A146,控制台!$B$552:$B$580,0)-1,0),OFFSET(控制台!$J$552,MATCH(A146,控制台!$H$552:$H$594,0)-1,0))</f>
        <v>16</v>
      </c>
      <c r="G146" s="1">
        <f ca="1">IF(C146=1,OFFSET(控制台!$I$599,MATCH(F146,控制台!$B$599:$B$615,0)-1,0),OFFSET(控制台!$I$618,MATCH(F146,控制台!$B$618:$B$636,0)-1,0))</f>
        <v>3</v>
      </c>
      <c r="H146" s="1">
        <f ca="1">IF(C146=1,OFFSET(控制台!$D$599,MATCH(F146,控制台!$B$599:$B$615,0)-1,0),OFFSET(控制台!$D$618,MATCH(F146,控制台!$B$618:$B$636,0)-1,0))</f>
        <v>277200000</v>
      </c>
      <c r="I146" s="1">
        <f ca="1">IF(E146=1,H146/G146,IF(E146=5,H146/G146*OFFSET(控制台!$D$641,MATCH(B146,控制台!$B$641:$B$645,0)-1,0),H146/G146*OFFSET(控制台!$H$641,MATCH(B146,控制台!$F$641:$F$650,0)-1,0)))</f>
        <v>8400000</v>
      </c>
      <c r="J146" s="1">
        <f ca="1">$I146/3*控制台!H$102</f>
        <v>2800000</v>
      </c>
      <c r="K146" s="1">
        <f ca="1">$I146/3*控制台!I$102</f>
        <v>2100000</v>
      </c>
      <c r="L146" s="1">
        <f ca="1">$I146/3*控制台!J$102</f>
        <v>3500000</v>
      </c>
      <c r="M146" s="1">
        <f ca="1">_xlfn.FLOOR.MATH(J146,POWER(10,MAX(2,INT(LOG10(J146)-2))))</f>
        <v>2800000</v>
      </c>
      <c r="N146" s="1">
        <f ca="1">_xlfn.FLOOR.MATH(K146,POWER(10,MAX(2,INT(LOG10(K146)-2))))</f>
        <v>2100000</v>
      </c>
      <c r="O146" s="1">
        <f ca="1">_xlfn.FLOOR.MATH(L146,POWER(10,MAX(2,INT(LOG10(L146)-2))))</f>
        <v>3500000</v>
      </c>
      <c r="P146" s="4" t="str">
        <f ca="1" t="shared" si="6"/>
        <v>2800000;2100000;3500000</v>
      </c>
      <c r="Q146" s="15">
        <f ca="1">IF(C146=1,OFFSET(控制台!$H$599,MATCH(F146,控制台!$B$599:$B$615,0)-1,0),OFFSET(控制台!$H$618,MATCH(F146,控制台!$B$618:$B$636,0)-1,0))</f>
        <v>334243.584</v>
      </c>
      <c r="R146" s="15">
        <f ca="1">IF(E146=1,Q146/G146,IF(E146=5,Q146/G146*OFFSET(控制台!$D$641,MATCH(B146,控制台!$B$641:$B$645,0)-1,0),Q146/G146*OFFSET(控制台!$H$641,MATCH(B146,控制台!$F$641:$F$650,0)-1,0)))</f>
        <v>10128.5934545455</v>
      </c>
      <c r="S146" s="16">
        <f ca="1">_xlfn.FLOOR.MATH(R146)*60</f>
        <v>607680</v>
      </c>
      <c r="T146" s="16">
        <f ca="1">8000+IF(C146=1,OFFSET(控制台!$K$599,MATCH(F146,控制台!$B$599:$B$615,0)-1,0),OFFSET(控制台!$K$618,MATCH(F146,控制台!$B$618:$B$636,0)-1,0))</f>
        <v>8028</v>
      </c>
      <c r="U146" s="1">
        <f ca="1">IF(C146=1,OFFSET(控制台!$F$599,MATCH(F146,控制台!$B$599:$B$615,0)-1,0),OFFSET(控制台!$F$618,MATCH(F146,控制台!$B$618:$B$636,0)-1,0))</f>
        <v>167961.6</v>
      </c>
      <c r="V146" s="1">
        <f ca="1">IF(E146=1,U146/G146,IF(E146=5,U146/G146*OFFSET(控制台!$D$641,MATCH(B146,控制台!$B$641:$B$645,0)-1,0),U146/G146*OFFSET(控制台!$H$641,MATCH(B146,控制台!$F$641:$F$650,0)-1,0)))</f>
        <v>5089.74545454545</v>
      </c>
      <c r="W146" s="20">
        <f ca="1" t="shared" si="7"/>
        <v>3.53454545454545</v>
      </c>
      <c r="X146" s="15">
        <f ca="1">IF(C146=1,OFFSET(控制台!$U$599,MATCH(F146,控制台!$B$599:$B$615,0)-1,0),OFFSET(控制台!$U$618,MATCH(F146,控制台!$B$618:$B$636,0)-1,0))</f>
        <v>513375</v>
      </c>
      <c r="Y146" s="16">
        <f ca="1">_xlfn.FLOOR.MATH(IF(E146=1,X146/G146,IF(E146=5,X146/G146*OFFSET(控制台!$D$641,MATCH(B146,控制台!$B$641:$B$645,0)-1,0),X146/G146*OFFSET(控制台!$H$641,MATCH(B146,控制台!$F$641:$F$650,0)-1,0))))</f>
        <v>15556</v>
      </c>
      <c r="Z146" s="16">
        <f ca="1" t="shared" si="8"/>
        <v>46667</v>
      </c>
    </row>
    <row r="147" spans="1:26">
      <c r="A147" s="1">
        <v>11602</v>
      </c>
      <c r="B147" s="1">
        <v>8</v>
      </c>
      <c r="C147" s="1">
        <v>1</v>
      </c>
      <c r="D147" s="1" t="s">
        <v>2801</v>
      </c>
      <c r="E147" s="1">
        <f ca="1">IF(C147=1,OFFSET(控制台!$F$552,MATCH(A147,控制台!$B$552:$B$580,0)-1,0),OFFSET(控制台!$L$552,MATCH(A147,控制台!$H$552:$H$594,0)-1,0))</f>
        <v>10</v>
      </c>
      <c r="F147" s="1">
        <f ca="1">IF(C147=1,OFFSET(控制台!$D$552,MATCH(A147,控制台!$B$552:$B$580,0)-1,0),OFFSET(控制台!$J$552,MATCH(A147,控制台!$H$552:$H$594,0)-1,0))</f>
        <v>16</v>
      </c>
      <c r="G147" s="1">
        <f ca="1">IF(C147=1,OFFSET(控制台!$I$599,MATCH(F147,控制台!$B$599:$B$615,0)-1,0),OFFSET(控制台!$I$618,MATCH(F147,控制台!$B$618:$B$636,0)-1,0))</f>
        <v>3</v>
      </c>
      <c r="H147" s="1">
        <f ca="1">IF(C147=1,OFFSET(控制台!$D$599,MATCH(F147,控制台!$B$599:$B$615,0)-1,0),OFFSET(控制台!$D$618,MATCH(F147,控制台!$B$618:$B$636,0)-1,0))</f>
        <v>277200000</v>
      </c>
      <c r="I147" s="1">
        <f ca="1">IF(E147=1,H147/G147,IF(E147=5,H147/G147*OFFSET(控制台!$D$641,MATCH(B147,控制台!$B$641:$B$645,0)-1,0),H147/G147*OFFSET(控制台!$H$641,MATCH(B147,控制台!$F$641:$F$650,0)-1,0)))</f>
        <v>12600000</v>
      </c>
      <c r="J147" s="1">
        <f ca="1">$I147/3*控制台!H$102</f>
        <v>4199999.99999999</v>
      </c>
      <c r="K147" s="1">
        <f ca="1">$I147/3*控制台!I$102</f>
        <v>3149999.99999999</v>
      </c>
      <c r="L147" s="1">
        <f ca="1">$I147/3*控制台!J$102</f>
        <v>5249999.99999999</v>
      </c>
      <c r="M147" s="1">
        <f ca="1">_xlfn.FLOOR.MATH(J147,POWER(10,MAX(2,INT(LOG10(J147)-2))))</f>
        <v>4200000</v>
      </c>
      <c r="N147" s="1">
        <f ca="1">_xlfn.FLOOR.MATH(K147,POWER(10,MAX(2,INT(LOG10(K147)-2))))</f>
        <v>3150000</v>
      </c>
      <c r="O147" s="1">
        <f ca="1">_xlfn.FLOOR.MATH(L147,POWER(10,MAX(2,INT(LOG10(L147)-2))))</f>
        <v>5250000</v>
      </c>
      <c r="P147" s="4" t="str">
        <f ca="1" t="shared" si="6"/>
        <v>4200000;3150000;5250000</v>
      </c>
      <c r="Q147" s="15">
        <f ca="1">IF(C147=1,OFFSET(控制台!$H$599,MATCH(F147,控制台!$B$599:$B$615,0)-1,0),OFFSET(控制台!$H$618,MATCH(F147,控制台!$B$618:$B$636,0)-1,0))</f>
        <v>334243.584</v>
      </c>
      <c r="R147" s="15">
        <f ca="1">IF(E147=1,Q147/G147,IF(E147=5,Q147/G147*OFFSET(控制台!$D$641,MATCH(B147,控制台!$B$641:$B$645,0)-1,0),Q147/G147*OFFSET(控制台!$H$641,MATCH(B147,控制台!$F$641:$F$650,0)-1,0)))</f>
        <v>15192.8901818181</v>
      </c>
      <c r="S147" s="16">
        <f ca="1">_xlfn.FLOOR.MATH(R147)*60</f>
        <v>911520</v>
      </c>
      <c r="T147" s="16">
        <f ca="1">8000+IF(C147=1,OFFSET(控制台!$K$599,MATCH(F147,控制台!$B$599:$B$615,0)-1,0),OFFSET(控制台!$K$618,MATCH(F147,控制台!$B$618:$B$636,0)-1,0))</f>
        <v>8028</v>
      </c>
      <c r="U147" s="1">
        <f ca="1">IF(C147=1,OFFSET(控制台!$F$599,MATCH(F147,控制台!$B$599:$B$615,0)-1,0),OFFSET(控制台!$F$618,MATCH(F147,控制台!$B$618:$B$636,0)-1,0))</f>
        <v>167961.6</v>
      </c>
      <c r="V147" s="1">
        <f ca="1">IF(E147=1,U147/G147,IF(E147=5,U147/G147*OFFSET(控制台!$D$641,MATCH(B147,控制台!$B$641:$B$645,0)-1,0),U147/G147*OFFSET(控制台!$H$641,MATCH(B147,控制台!$F$641:$F$650,0)-1,0)))</f>
        <v>7634.61818181816</v>
      </c>
      <c r="W147" s="20">
        <f ca="1" t="shared" si="7"/>
        <v>5.30181818181817</v>
      </c>
      <c r="X147" s="15">
        <f ca="1">IF(C147=1,OFFSET(控制台!$U$599,MATCH(F147,控制台!$B$599:$B$615,0)-1,0),OFFSET(控制台!$U$618,MATCH(F147,控制台!$B$618:$B$636,0)-1,0))</f>
        <v>513375</v>
      </c>
      <c r="Y147" s="16">
        <f ca="1">_xlfn.FLOOR.MATH(IF(E147=1,X147/G147,IF(E147=5,X147/G147*OFFSET(控制台!$D$641,MATCH(B147,控制台!$B$641:$B$645,0)-1,0),X147/G147*OFFSET(控制台!$H$641,MATCH(B147,控制台!$F$641:$F$650,0)-1,0))))</f>
        <v>23335</v>
      </c>
      <c r="Z147" s="16">
        <f ca="1" t="shared" si="8"/>
        <v>70002</v>
      </c>
    </row>
    <row r="148" spans="1:26">
      <c r="A148" s="1">
        <v>11602</v>
      </c>
      <c r="B148" s="1">
        <v>9</v>
      </c>
      <c r="C148" s="1">
        <v>1</v>
      </c>
      <c r="D148" s="1" t="s">
        <v>2801</v>
      </c>
      <c r="E148" s="1">
        <f ca="1">IF(C148=1,OFFSET(控制台!$F$552,MATCH(A148,控制台!$B$552:$B$580,0)-1,0),OFFSET(控制台!$L$552,MATCH(A148,控制台!$H$552:$H$594,0)-1,0))</f>
        <v>10</v>
      </c>
      <c r="F148" s="1">
        <f ca="1">IF(C148=1,OFFSET(控制台!$D$552,MATCH(A148,控制台!$B$552:$B$580,0)-1,0),OFFSET(控制台!$J$552,MATCH(A148,控制台!$H$552:$H$594,0)-1,0))</f>
        <v>16</v>
      </c>
      <c r="G148" s="1">
        <f ca="1">IF(C148=1,OFFSET(控制台!$I$599,MATCH(F148,控制台!$B$599:$B$615,0)-1,0),OFFSET(控制台!$I$618,MATCH(F148,控制台!$B$618:$B$636,0)-1,0))</f>
        <v>3</v>
      </c>
      <c r="H148" s="1">
        <f ca="1">IF(C148=1,OFFSET(控制台!$D$599,MATCH(F148,控制台!$B$599:$B$615,0)-1,0),OFFSET(控制台!$D$618,MATCH(F148,控制台!$B$618:$B$636,0)-1,0))</f>
        <v>277200000</v>
      </c>
      <c r="I148" s="1">
        <f ca="1">IF(E148=1,H148/G148,IF(E148=5,H148/G148*OFFSET(控制台!$D$641,MATCH(B148,控制台!$B$641:$B$645,0)-1,0),H148/G148*OFFSET(控制台!$H$641,MATCH(B148,控制台!$F$641:$F$650,0)-1,0)))</f>
        <v>21000000</v>
      </c>
      <c r="J148" s="1">
        <f ca="1">$I148/3*控制台!H$102</f>
        <v>6999999.99999999</v>
      </c>
      <c r="K148" s="1">
        <f ca="1">$I148/3*控制台!I$102</f>
        <v>5249999.99999999</v>
      </c>
      <c r="L148" s="1">
        <f ca="1">$I148/3*控制台!J$102</f>
        <v>8749999.99999999</v>
      </c>
      <c r="M148" s="1">
        <f ca="1">_xlfn.FLOOR.MATH(J148,POWER(10,MAX(2,INT(LOG10(J148)-2))))</f>
        <v>7000000</v>
      </c>
      <c r="N148" s="1">
        <f ca="1">_xlfn.FLOOR.MATH(K148,POWER(10,MAX(2,INT(LOG10(K148)-2))))</f>
        <v>5250000</v>
      </c>
      <c r="O148" s="1">
        <f ca="1">_xlfn.FLOOR.MATH(L148,POWER(10,MAX(2,INT(LOG10(L148)-2))))</f>
        <v>8750000</v>
      </c>
      <c r="P148" s="4" t="str">
        <f ca="1" t="shared" si="6"/>
        <v>7000000;5250000;8750000</v>
      </c>
      <c r="Q148" s="15">
        <f ca="1">IF(C148=1,OFFSET(控制台!$H$599,MATCH(F148,控制台!$B$599:$B$615,0)-1,0),OFFSET(控制台!$H$618,MATCH(F148,控制台!$B$618:$B$636,0)-1,0))</f>
        <v>334243.584</v>
      </c>
      <c r="R148" s="15">
        <f ca="1">IF(E148=1,Q148/G148,IF(E148=5,Q148/G148*OFFSET(控制台!$D$641,MATCH(B148,控制台!$B$641:$B$645,0)-1,0),Q148/G148*OFFSET(控制台!$H$641,MATCH(B148,控制台!$F$641:$F$650,0)-1,0)))</f>
        <v>25321.4836363636</v>
      </c>
      <c r="S148" s="16">
        <f ca="1">_xlfn.FLOOR.MATH(R148)*60</f>
        <v>1519260</v>
      </c>
      <c r="T148" s="16">
        <f ca="1">8000+IF(C148=1,OFFSET(控制台!$K$599,MATCH(F148,控制台!$B$599:$B$615,0)-1,0),OFFSET(控制台!$K$618,MATCH(F148,控制台!$B$618:$B$636,0)-1,0))</f>
        <v>8028</v>
      </c>
      <c r="U148" s="1">
        <f ca="1">IF(C148=1,OFFSET(控制台!$F$599,MATCH(F148,控制台!$B$599:$B$615,0)-1,0),OFFSET(控制台!$F$618,MATCH(F148,控制台!$B$618:$B$636,0)-1,0))</f>
        <v>167961.6</v>
      </c>
      <c r="V148" s="1">
        <f ca="1">IF(E148=1,U148/G148,IF(E148=5,U148/G148*OFFSET(控制台!$D$641,MATCH(B148,控制台!$B$641:$B$645,0)-1,0),U148/G148*OFFSET(控制台!$H$641,MATCH(B148,控制台!$F$641:$F$650,0)-1,0)))</f>
        <v>12724.3636363636</v>
      </c>
      <c r="W148" s="20">
        <f ca="1" t="shared" si="7"/>
        <v>8.83636363636362</v>
      </c>
      <c r="X148" s="15">
        <f ca="1">IF(C148=1,OFFSET(控制台!$U$599,MATCH(F148,控制台!$B$599:$B$615,0)-1,0),OFFSET(控制台!$U$618,MATCH(F148,控制台!$B$618:$B$636,0)-1,0))</f>
        <v>513375</v>
      </c>
      <c r="Y148" s="16">
        <f ca="1">_xlfn.FLOOR.MATH(IF(E148=1,X148/G148,IF(E148=5,X148/G148*OFFSET(控制台!$D$641,MATCH(B148,控制台!$B$641:$B$645,0)-1,0),X148/G148*OFFSET(控制台!$H$641,MATCH(B148,控制台!$F$641:$F$650,0)-1,0))))</f>
        <v>38892</v>
      </c>
      <c r="Z148" s="16">
        <f ca="1" t="shared" si="8"/>
        <v>108894</v>
      </c>
    </row>
    <row r="149" spans="1:26">
      <c r="A149" s="1">
        <v>11602</v>
      </c>
      <c r="B149" s="1">
        <v>10</v>
      </c>
      <c r="C149" s="1">
        <v>1</v>
      </c>
      <c r="D149" s="1" t="s">
        <v>2801</v>
      </c>
      <c r="E149" s="1">
        <f ca="1">IF(C149=1,OFFSET(控制台!$F$552,MATCH(A149,控制台!$B$552:$B$580,0)-1,0),OFFSET(控制台!$L$552,MATCH(A149,控制台!$H$552:$H$594,0)-1,0))</f>
        <v>10</v>
      </c>
      <c r="F149" s="1">
        <f ca="1">IF(C149=1,OFFSET(控制台!$D$552,MATCH(A149,控制台!$B$552:$B$580,0)-1,0),OFFSET(控制台!$J$552,MATCH(A149,控制台!$H$552:$H$594,0)-1,0))</f>
        <v>16</v>
      </c>
      <c r="G149" s="1">
        <f ca="1">IF(C149=1,OFFSET(控制台!$I$599,MATCH(F149,控制台!$B$599:$B$615,0)-1,0),OFFSET(控制台!$I$618,MATCH(F149,控制台!$B$618:$B$636,0)-1,0))</f>
        <v>3</v>
      </c>
      <c r="H149" s="1">
        <f ca="1">IF(C149=1,OFFSET(控制台!$D$599,MATCH(F149,控制台!$B$599:$B$615,0)-1,0),OFFSET(控制台!$D$618,MATCH(F149,控制台!$B$618:$B$636,0)-1,0))</f>
        <v>277200000</v>
      </c>
      <c r="I149" s="1">
        <f ca="1">IF(E149=1,H149/G149,IF(E149=5,H149/G149*OFFSET(控制台!$D$641,MATCH(B149,控制台!$B$641:$B$645,0)-1,0),H149/G149*OFFSET(控制台!$H$641,MATCH(B149,控制台!$F$641:$F$650,0)-1,0)))</f>
        <v>33600000</v>
      </c>
      <c r="J149" s="1">
        <f ca="1">$I149/3*控制台!H$102</f>
        <v>11200000</v>
      </c>
      <c r="K149" s="1">
        <f ca="1">$I149/3*控制台!I$102</f>
        <v>8400000.00000001</v>
      </c>
      <c r="L149" s="1">
        <f ca="1">$I149/3*控制台!J$102</f>
        <v>14000000</v>
      </c>
      <c r="M149" s="1">
        <f ca="1">_xlfn.FLOOR.MATH(J149,POWER(10,MAX(2,INT(LOG10(J149)-2))))</f>
        <v>11200000</v>
      </c>
      <c r="N149" s="1">
        <f ca="1">_xlfn.FLOOR.MATH(K149,POWER(10,MAX(2,INT(LOG10(K149)-2))))</f>
        <v>8400000</v>
      </c>
      <c r="O149" s="1">
        <f ca="1">_xlfn.FLOOR.MATH(L149,POWER(10,MAX(2,INT(LOG10(L149)-2))))</f>
        <v>14000000</v>
      </c>
      <c r="P149" s="4" t="str">
        <f ca="1" t="shared" si="6"/>
        <v>11200000;8400000;14000000</v>
      </c>
      <c r="Q149" s="15">
        <f ca="1">IF(C149=1,OFFSET(控制台!$H$599,MATCH(F149,控制台!$B$599:$B$615,0)-1,0),OFFSET(控制台!$H$618,MATCH(F149,控制台!$B$618:$B$636,0)-1,0))</f>
        <v>334243.584</v>
      </c>
      <c r="R149" s="15">
        <f ca="1">IF(E149=1,Q149/G149,IF(E149=5,Q149/G149*OFFSET(控制台!$D$641,MATCH(B149,控制台!$B$641:$B$645,0)-1,0),Q149/G149*OFFSET(控制台!$H$641,MATCH(B149,控制台!$F$641:$F$650,0)-1,0)))</f>
        <v>40514.3738181819</v>
      </c>
      <c r="S149" s="16">
        <f ca="1">_xlfn.FLOOR.MATH(R149)*60</f>
        <v>2430840</v>
      </c>
      <c r="T149" s="16">
        <f ca="1">8000+IF(C149=1,OFFSET(控制台!$K$599,MATCH(F149,控制台!$B$599:$B$615,0)-1,0),OFFSET(控制台!$K$618,MATCH(F149,控制台!$B$618:$B$636,0)-1,0))</f>
        <v>8028</v>
      </c>
      <c r="U149" s="1">
        <f ca="1">IF(C149=1,OFFSET(控制台!$F$599,MATCH(F149,控制台!$B$599:$B$615,0)-1,0),OFFSET(控制台!$F$618,MATCH(F149,控制台!$B$618:$B$636,0)-1,0))</f>
        <v>167961.6</v>
      </c>
      <c r="V149" s="1">
        <f ca="1">IF(E149=1,U149/G149,IF(E149=5,U149/G149*OFFSET(控制台!$D$641,MATCH(B149,控制台!$B$641:$B$645,0)-1,0),U149/G149*OFFSET(控制台!$H$641,MATCH(B149,控制台!$F$641:$F$650,0)-1,0)))</f>
        <v>20358.9818181818</v>
      </c>
      <c r="W149" s="20">
        <f ca="1" t="shared" si="7"/>
        <v>14.1381818181818</v>
      </c>
      <c r="X149" s="15">
        <f ca="1">IF(C149=1,OFFSET(控制台!$U$599,MATCH(F149,控制台!$B$599:$B$615,0)-1,0),OFFSET(控制台!$U$618,MATCH(F149,控制台!$B$618:$B$636,0)-1,0))</f>
        <v>513375</v>
      </c>
      <c r="Y149" s="16">
        <f ca="1">_xlfn.FLOOR.MATH(IF(E149=1,X149/G149,IF(E149=5,X149/G149*OFFSET(控制台!$D$641,MATCH(B149,控制台!$B$641:$B$645,0)-1,0),X149/G149*OFFSET(控制台!$H$641,MATCH(B149,控制台!$F$641:$F$650,0)-1,0))))</f>
        <v>62227</v>
      </c>
      <c r="Z149" s="16">
        <f ca="1" t="shared" si="8"/>
        <v>171121</v>
      </c>
    </row>
    <row r="150" spans="1:26">
      <c r="A150" s="1">
        <v>11603</v>
      </c>
      <c r="B150" s="1">
        <v>1</v>
      </c>
      <c r="C150" s="1">
        <v>1</v>
      </c>
      <c r="D150" s="1" t="s">
        <v>2802</v>
      </c>
      <c r="E150" s="1">
        <f ca="1">IF(C150=1,OFFSET(控制台!$F$552,MATCH(A150,控制台!$B$552:$B$580,0)-1,0),OFFSET(控制台!$L$552,MATCH(A150,控制台!$H$552:$H$594,0)-1,0))</f>
        <v>10</v>
      </c>
      <c r="F150" s="1">
        <f ca="1">IF(C150=1,OFFSET(控制台!$D$552,MATCH(A150,控制台!$B$552:$B$580,0)-1,0),OFFSET(控制台!$J$552,MATCH(A150,控制台!$H$552:$H$594,0)-1,0))</f>
        <v>16</v>
      </c>
      <c r="G150" s="1">
        <f ca="1">IF(C150=1,OFFSET(控制台!$I$599,MATCH(F150,控制台!$B$599:$B$615,0)-1,0),OFFSET(控制台!$I$618,MATCH(F150,控制台!$B$618:$B$636,0)-1,0))</f>
        <v>3</v>
      </c>
      <c r="H150" s="1">
        <f ca="1">IF(C150=1,OFFSET(控制台!$D$599,MATCH(F150,控制台!$B$599:$B$615,0)-1,0),OFFSET(控制台!$D$618,MATCH(F150,控制台!$B$618:$B$636,0)-1,0))</f>
        <v>277200000</v>
      </c>
      <c r="I150" s="1">
        <f ca="1">IF(E150=1,H150/G150,IF(E150=5,H150/G150*OFFSET(控制台!$D$641,MATCH(B150,控制台!$B$641:$B$645,0)-1,0),H150/G150*OFFSET(控制台!$H$641,MATCH(B150,控制台!$F$641:$F$650,0)-1,0)))</f>
        <v>840000</v>
      </c>
      <c r="J150" s="1">
        <f ca="1">$I150/3*控制台!H$102</f>
        <v>280000</v>
      </c>
      <c r="K150" s="1">
        <f ca="1">$I150/3*控制台!I$102</f>
        <v>210000</v>
      </c>
      <c r="L150" s="1">
        <f ca="1">$I150/3*控制台!J$102</f>
        <v>350000</v>
      </c>
      <c r="M150" s="1">
        <f ca="1">_xlfn.FLOOR.MATH(J150,POWER(10,MAX(2,INT(LOG10(J150)-2))))</f>
        <v>280000</v>
      </c>
      <c r="N150" s="1">
        <f ca="1">_xlfn.FLOOR.MATH(K150,POWER(10,MAX(2,INT(LOG10(K150)-2))))</f>
        <v>210000</v>
      </c>
      <c r="O150" s="1">
        <f ca="1">_xlfn.FLOOR.MATH(L150,POWER(10,MAX(2,INT(LOG10(L150)-2))))</f>
        <v>350000</v>
      </c>
      <c r="P150" s="4" t="str">
        <f ca="1" t="shared" si="6"/>
        <v>280000;210000;350000</v>
      </c>
      <c r="Q150" s="15">
        <f ca="1">IF(C150=1,OFFSET(控制台!$H$599,MATCH(F150,控制台!$B$599:$B$615,0)-1,0),OFFSET(控制台!$H$618,MATCH(F150,控制台!$B$618:$B$636,0)-1,0))</f>
        <v>334243.584</v>
      </c>
      <c r="R150" s="15">
        <f ca="1">IF(E150=1,Q150/G150,IF(E150=5,Q150/G150*OFFSET(控制台!$D$641,MATCH(B150,控制台!$B$641:$B$645,0)-1,0),Q150/G150*OFFSET(控制台!$H$641,MATCH(B150,控制台!$F$641:$F$650,0)-1,0)))</f>
        <v>1012.85934545455</v>
      </c>
      <c r="S150" s="16">
        <f ca="1">_xlfn.FLOOR.MATH(R150)*60</f>
        <v>60720</v>
      </c>
      <c r="T150" s="16">
        <f ca="1">8000+IF(C150=1,OFFSET(控制台!$K$599,MATCH(F150,控制台!$B$599:$B$615,0)-1,0),OFFSET(控制台!$K$618,MATCH(F150,控制台!$B$618:$B$636,0)-1,0))</f>
        <v>8028</v>
      </c>
      <c r="U150" s="1">
        <f ca="1">IF(C150=1,OFFSET(控制台!$F$599,MATCH(F150,控制台!$B$599:$B$615,0)-1,0),OFFSET(控制台!$F$618,MATCH(F150,控制台!$B$618:$B$636,0)-1,0))</f>
        <v>167961.6</v>
      </c>
      <c r="V150" s="1">
        <f ca="1">IF(E150=1,U150/G150,IF(E150=5,U150/G150*OFFSET(控制台!$D$641,MATCH(B150,控制台!$B$641:$B$645,0)-1,0),U150/G150*OFFSET(控制台!$H$641,MATCH(B150,控制台!$F$641:$F$650,0)-1,0)))</f>
        <v>508.974545454545</v>
      </c>
      <c r="W150" s="20">
        <f ca="1" t="shared" si="7"/>
        <v>0.353454545454545</v>
      </c>
      <c r="X150" s="15">
        <f ca="1">IF(C150=1,OFFSET(控制台!$U$599,MATCH(F150,控制台!$B$599:$B$615,0)-1,0),OFFSET(控制台!$U$618,MATCH(F150,控制台!$B$618:$B$636,0)-1,0))</f>
        <v>513375</v>
      </c>
      <c r="Y150" s="16">
        <f ca="1">_xlfn.FLOOR.MATH(IF(E150=1,X150/G150,IF(E150=5,X150/G150*OFFSET(控制台!$D$641,MATCH(B150,控制台!$B$641:$B$645,0)-1,0),X150/G150*OFFSET(控制台!$H$641,MATCH(B150,控制台!$F$641:$F$650,0)-1,0))))</f>
        <v>1555</v>
      </c>
      <c r="Z150" s="16">
        <f ca="1" t="shared" si="8"/>
        <v>1555</v>
      </c>
    </row>
    <row r="151" spans="1:26">
      <c r="A151" s="1">
        <v>11603</v>
      </c>
      <c r="B151" s="1">
        <v>2</v>
      </c>
      <c r="C151" s="1">
        <v>1</v>
      </c>
      <c r="D151" s="1" t="s">
        <v>2802</v>
      </c>
      <c r="E151" s="1">
        <f ca="1">IF(C151=1,OFFSET(控制台!$F$552,MATCH(A151,控制台!$B$552:$B$580,0)-1,0),OFFSET(控制台!$L$552,MATCH(A151,控制台!$H$552:$H$594,0)-1,0))</f>
        <v>10</v>
      </c>
      <c r="F151" s="1">
        <f ca="1">IF(C151=1,OFFSET(控制台!$D$552,MATCH(A151,控制台!$B$552:$B$580,0)-1,0),OFFSET(控制台!$J$552,MATCH(A151,控制台!$H$552:$H$594,0)-1,0))</f>
        <v>16</v>
      </c>
      <c r="G151" s="1">
        <f ca="1">IF(C151=1,OFFSET(控制台!$I$599,MATCH(F151,控制台!$B$599:$B$615,0)-1,0),OFFSET(控制台!$I$618,MATCH(F151,控制台!$B$618:$B$636,0)-1,0))</f>
        <v>3</v>
      </c>
      <c r="H151" s="1">
        <f ca="1">IF(C151=1,OFFSET(控制台!$D$599,MATCH(F151,控制台!$B$599:$B$615,0)-1,0),OFFSET(控制台!$D$618,MATCH(F151,控制台!$B$618:$B$636,0)-1,0))</f>
        <v>277200000</v>
      </c>
      <c r="I151" s="1">
        <f ca="1">IF(E151=1,H151/G151,IF(E151=5,H151/G151*OFFSET(控制台!$D$641,MATCH(B151,控制台!$B$641:$B$645,0)-1,0),H151/G151*OFFSET(控制台!$H$641,MATCH(B151,控制台!$F$641:$F$650,0)-1,0)))</f>
        <v>1260000</v>
      </c>
      <c r="J151" s="1">
        <f ca="1">$I151/3*控制台!H$102</f>
        <v>419999.999999999</v>
      </c>
      <c r="K151" s="1">
        <f ca="1">$I151/3*控制台!I$102</f>
        <v>314999.999999999</v>
      </c>
      <c r="L151" s="1">
        <f ca="1">$I151/3*控制台!J$102</f>
        <v>524999.999999999</v>
      </c>
      <c r="M151" s="1">
        <f ca="1">_xlfn.FLOOR.MATH(J151,POWER(10,MAX(2,INT(LOG10(J151)-2))))</f>
        <v>420000</v>
      </c>
      <c r="N151" s="1">
        <f ca="1">_xlfn.FLOOR.MATH(K151,POWER(10,MAX(2,INT(LOG10(K151)-2))))</f>
        <v>315000</v>
      </c>
      <c r="O151" s="1">
        <f ca="1">_xlfn.FLOOR.MATH(L151,POWER(10,MAX(2,INT(LOG10(L151)-2))))</f>
        <v>525000</v>
      </c>
      <c r="P151" s="4" t="str">
        <f ca="1" t="shared" si="6"/>
        <v>420000;315000;525000</v>
      </c>
      <c r="Q151" s="15">
        <f ca="1">IF(C151=1,OFFSET(控制台!$H$599,MATCH(F151,控制台!$B$599:$B$615,0)-1,0),OFFSET(控制台!$H$618,MATCH(F151,控制台!$B$618:$B$636,0)-1,0))</f>
        <v>334243.584</v>
      </c>
      <c r="R151" s="15">
        <f ca="1">IF(E151=1,Q151/G151,IF(E151=5,Q151/G151*OFFSET(控制台!$D$641,MATCH(B151,控制台!$B$641:$B$645,0)-1,0),Q151/G151*OFFSET(控制台!$H$641,MATCH(B151,控制台!$F$641:$F$650,0)-1,0)))</f>
        <v>1519.28901818181</v>
      </c>
      <c r="S151" s="16">
        <f ca="1">_xlfn.FLOOR.MATH(R151)*60</f>
        <v>91140</v>
      </c>
      <c r="T151" s="16">
        <f ca="1">8000+IF(C151=1,OFFSET(控制台!$K$599,MATCH(F151,控制台!$B$599:$B$615,0)-1,0),OFFSET(控制台!$K$618,MATCH(F151,控制台!$B$618:$B$636,0)-1,0))</f>
        <v>8028</v>
      </c>
      <c r="U151" s="1">
        <f ca="1">IF(C151=1,OFFSET(控制台!$F$599,MATCH(F151,控制台!$B$599:$B$615,0)-1,0),OFFSET(控制台!$F$618,MATCH(F151,控制台!$B$618:$B$636,0)-1,0))</f>
        <v>167961.6</v>
      </c>
      <c r="V151" s="1">
        <f ca="1">IF(E151=1,U151/G151,IF(E151=5,U151/G151*OFFSET(控制台!$D$641,MATCH(B151,控制台!$B$641:$B$645,0)-1,0),U151/G151*OFFSET(控制台!$H$641,MATCH(B151,控制台!$F$641:$F$650,0)-1,0)))</f>
        <v>763.461818181816</v>
      </c>
      <c r="W151" s="20">
        <f ca="1" t="shared" si="7"/>
        <v>0.530181818181817</v>
      </c>
      <c r="X151" s="15">
        <f ca="1">IF(C151=1,OFFSET(控制台!$U$599,MATCH(F151,控制台!$B$599:$B$615,0)-1,0),OFFSET(控制台!$U$618,MATCH(F151,控制台!$B$618:$B$636,0)-1,0))</f>
        <v>513375</v>
      </c>
      <c r="Y151" s="16">
        <f ca="1">_xlfn.FLOOR.MATH(IF(E151=1,X151/G151,IF(E151=5,X151/G151*OFFSET(控制台!$D$641,MATCH(B151,控制台!$B$641:$B$645,0)-1,0),X151/G151*OFFSET(控制台!$H$641,MATCH(B151,控制台!$F$641:$F$650,0)-1,0))))</f>
        <v>2333</v>
      </c>
      <c r="Z151" s="16">
        <f ca="1" t="shared" si="8"/>
        <v>3888</v>
      </c>
    </row>
    <row r="152" spans="1:26">
      <c r="A152" s="1">
        <v>11603</v>
      </c>
      <c r="B152" s="1">
        <v>3</v>
      </c>
      <c r="C152" s="1">
        <v>1</v>
      </c>
      <c r="D152" s="1" t="s">
        <v>2802</v>
      </c>
      <c r="E152" s="1">
        <f ca="1">IF(C152=1,OFFSET(控制台!$F$552,MATCH(A152,控制台!$B$552:$B$580,0)-1,0),OFFSET(控制台!$L$552,MATCH(A152,控制台!$H$552:$H$594,0)-1,0))</f>
        <v>10</v>
      </c>
      <c r="F152" s="1">
        <f ca="1">IF(C152=1,OFFSET(控制台!$D$552,MATCH(A152,控制台!$B$552:$B$580,0)-1,0),OFFSET(控制台!$J$552,MATCH(A152,控制台!$H$552:$H$594,0)-1,0))</f>
        <v>16</v>
      </c>
      <c r="G152" s="1">
        <f ca="1">IF(C152=1,OFFSET(控制台!$I$599,MATCH(F152,控制台!$B$599:$B$615,0)-1,0),OFFSET(控制台!$I$618,MATCH(F152,控制台!$B$618:$B$636,0)-1,0))</f>
        <v>3</v>
      </c>
      <c r="H152" s="1">
        <f ca="1">IF(C152=1,OFFSET(控制台!$D$599,MATCH(F152,控制台!$B$599:$B$615,0)-1,0),OFFSET(控制台!$D$618,MATCH(F152,控制台!$B$618:$B$636,0)-1,0))</f>
        <v>277200000</v>
      </c>
      <c r="I152" s="1">
        <f ca="1">IF(E152=1,H152/G152,IF(E152=5,H152/G152*OFFSET(控制台!$D$641,MATCH(B152,控制台!$B$641:$B$645,0)-1,0),H152/G152*OFFSET(控制台!$H$641,MATCH(B152,控制台!$F$641:$F$650,0)-1,0)))</f>
        <v>1680000</v>
      </c>
      <c r="J152" s="1">
        <f ca="1">$I152/3*控制台!H$102</f>
        <v>560000.000000001</v>
      </c>
      <c r="K152" s="1">
        <f ca="1">$I152/3*控制台!I$102</f>
        <v>420000</v>
      </c>
      <c r="L152" s="1">
        <f ca="1">$I152/3*控制台!J$102</f>
        <v>700000.000000001</v>
      </c>
      <c r="M152" s="1">
        <f ca="1">_xlfn.FLOOR.MATH(J152,POWER(10,MAX(2,INT(LOG10(J152)-2))))</f>
        <v>560000</v>
      </c>
      <c r="N152" s="1">
        <f ca="1">_xlfn.FLOOR.MATH(K152,POWER(10,MAX(2,INT(LOG10(K152)-2))))</f>
        <v>420000</v>
      </c>
      <c r="O152" s="1">
        <f ca="1">_xlfn.FLOOR.MATH(L152,POWER(10,MAX(2,INT(LOG10(L152)-2))))</f>
        <v>700000</v>
      </c>
      <c r="P152" s="4" t="str">
        <f ca="1" t="shared" si="6"/>
        <v>560000;420000;700000</v>
      </c>
      <c r="Q152" s="15">
        <f ca="1">IF(C152=1,OFFSET(控制台!$H$599,MATCH(F152,控制台!$B$599:$B$615,0)-1,0),OFFSET(控制台!$H$618,MATCH(F152,控制台!$B$618:$B$636,0)-1,0))</f>
        <v>334243.584</v>
      </c>
      <c r="R152" s="15">
        <f ca="1">IF(E152=1,Q152/G152,IF(E152=5,Q152/G152*OFFSET(控制台!$D$641,MATCH(B152,控制台!$B$641:$B$645,0)-1,0),Q152/G152*OFFSET(控制台!$H$641,MATCH(B152,控制台!$F$641:$F$650,0)-1,0)))</f>
        <v>2025.71869090909</v>
      </c>
      <c r="S152" s="16">
        <f ca="1">_xlfn.FLOOR.MATH(R152)*60</f>
        <v>121500</v>
      </c>
      <c r="T152" s="16">
        <f ca="1">8000+IF(C152=1,OFFSET(控制台!$K$599,MATCH(F152,控制台!$B$599:$B$615,0)-1,0),OFFSET(控制台!$K$618,MATCH(F152,控制台!$B$618:$B$636,0)-1,0))</f>
        <v>8028</v>
      </c>
      <c r="U152" s="1">
        <f ca="1">IF(C152=1,OFFSET(控制台!$F$599,MATCH(F152,控制台!$B$599:$B$615,0)-1,0),OFFSET(控制台!$F$618,MATCH(F152,控制台!$B$618:$B$636,0)-1,0))</f>
        <v>167961.6</v>
      </c>
      <c r="V152" s="1">
        <f ca="1">IF(E152=1,U152/G152,IF(E152=5,U152/G152*OFFSET(控制台!$D$641,MATCH(B152,控制台!$B$641:$B$645,0)-1,0),U152/G152*OFFSET(控制台!$H$641,MATCH(B152,控制台!$F$641:$F$650,0)-1,0)))</f>
        <v>1017.94909090909</v>
      </c>
      <c r="W152" s="20">
        <f ca="1" t="shared" si="7"/>
        <v>0.706909090909091</v>
      </c>
      <c r="X152" s="15">
        <f ca="1">IF(C152=1,OFFSET(控制台!$U$599,MATCH(F152,控制台!$B$599:$B$615,0)-1,0),OFFSET(控制台!$U$618,MATCH(F152,控制台!$B$618:$B$636,0)-1,0))</f>
        <v>513375</v>
      </c>
      <c r="Y152" s="16">
        <f ca="1">_xlfn.FLOOR.MATH(IF(E152=1,X152/G152,IF(E152=5,X152/G152*OFFSET(控制台!$D$641,MATCH(B152,控制台!$B$641:$B$645,0)-1,0),X152/G152*OFFSET(控制台!$H$641,MATCH(B152,控制台!$F$641:$F$650,0)-1,0))))</f>
        <v>3111</v>
      </c>
      <c r="Z152" s="16">
        <f ca="1" t="shared" si="8"/>
        <v>6999</v>
      </c>
    </row>
    <row r="153" spans="1:26">
      <c r="A153" s="1">
        <v>11603</v>
      </c>
      <c r="B153" s="1">
        <v>4</v>
      </c>
      <c r="C153" s="1">
        <v>1</v>
      </c>
      <c r="D153" s="1" t="s">
        <v>2802</v>
      </c>
      <c r="E153" s="1">
        <f ca="1">IF(C153=1,OFFSET(控制台!$F$552,MATCH(A153,控制台!$B$552:$B$580,0)-1,0),OFFSET(控制台!$L$552,MATCH(A153,控制台!$H$552:$H$594,0)-1,0))</f>
        <v>10</v>
      </c>
      <c r="F153" s="1">
        <f ca="1">IF(C153=1,OFFSET(控制台!$D$552,MATCH(A153,控制台!$B$552:$B$580,0)-1,0),OFFSET(控制台!$J$552,MATCH(A153,控制台!$H$552:$H$594,0)-1,0))</f>
        <v>16</v>
      </c>
      <c r="G153" s="1">
        <f ca="1">IF(C153=1,OFFSET(控制台!$I$599,MATCH(F153,控制台!$B$599:$B$615,0)-1,0),OFFSET(控制台!$I$618,MATCH(F153,控制台!$B$618:$B$636,0)-1,0))</f>
        <v>3</v>
      </c>
      <c r="H153" s="1">
        <f ca="1">IF(C153=1,OFFSET(控制台!$D$599,MATCH(F153,控制台!$B$599:$B$615,0)-1,0),OFFSET(控制台!$D$618,MATCH(F153,控制台!$B$618:$B$636,0)-1,0))</f>
        <v>277200000</v>
      </c>
      <c r="I153" s="1">
        <f ca="1">IF(E153=1,H153/G153,IF(E153=5,H153/G153*OFFSET(控制台!$D$641,MATCH(B153,控制台!$B$641:$B$645,0)-1,0),H153/G153*OFFSET(控制台!$H$641,MATCH(B153,控制台!$F$641:$F$650,0)-1,0)))</f>
        <v>2520000</v>
      </c>
      <c r="J153" s="1">
        <f ca="1">$I153/3*控制台!H$102</f>
        <v>840000.000000001</v>
      </c>
      <c r="K153" s="1">
        <f ca="1">$I153/3*控制台!I$102</f>
        <v>630000.000000001</v>
      </c>
      <c r="L153" s="1">
        <f ca="1">$I153/3*控制台!J$102</f>
        <v>1050000</v>
      </c>
      <c r="M153" s="1">
        <f ca="1">_xlfn.FLOOR.MATH(J153,POWER(10,MAX(2,INT(LOG10(J153)-2))))</f>
        <v>840000</v>
      </c>
      <c r="N153" s="1">
        <f ca="1">_xlfn.FLOOR.MATH(K153,POWER(10,MAX(2,INT(LOG10(K153)-2))))</f>
        <v>630000</v>
      </c>
      <c r="O153" s="1">
        <f ca="1">_xlfn.FLOOR.MATH(L153,POWER(10,MAX(2,INT(LOG10(L153)-2))))</f>
        <v>1050000</v>
      </c>
      <c r="P153" s="4" t="str">
        <f ca="1" t="shared" si="6"/>
        <v>840000;630000;1050000</v>
      </c>
      <c r="Q153" s="15">
        <f ca="1">IF(C153=1,OFFSET(控制台!$H$599,MATCH(F153,控制台!$B$599:$B$615,0)-1,0),OFFSET(控制台!$H$618,MATCH(F153,控制台!$B$618:$B$636,0)-1,0))</f>
        <v>334243.584</v>
      </c>
      <c r="R153" s="15">
        <f ca="1">IF(E153=1,Q153/G153,IF(E153=5,Q153/G153*OFFSET(控制台!$D$641,MATCH(B153,控制台!$B$641:$B$645,0)-1,0),Q153/G153*OFFSET(控制台!$H$641,MATCH(B153,控制台!$F$641:$F$650,0)-1,0)))</f>
        <v>3038.57803636364</v>
      </c>
      <c r="S153" s="16">
        <f ca="1">_xlfn.FLOOR.MATH(R153)*60</f>
        <v>182280</v>
      </c>
      <c r="T153" s="16">
        <f ca="1">8000+IF(C153=1,OFFSET(控制台!$K$599,MATCH(F153,控制台!$B$599:$B$615,0)-1,0),OFFSET(控制台!$K$618,MATCH(F153,控制台!$B$618:$B$636,0)-1,0))</f>
        <v>8028</v>
      </c>
      <c r="U153" s="1">
        <f ca="1">IF(C153=1,OFFSET(控制台!$F$599,MATCH(F153,控制台!$B$599:$B$615,0)-1,0),OFFSET(控制台!$F$618,MATCH(F153,控制台!$B$618:$B$636,0)-1,0))</f>
        <v>167961.6</v>
      </c>
      <c r="V153" s="1">
        <f ca="1">IF(E153=1,U153/G153,IF(E153=5,U153/G153*OFFSET(控制台!$D$641,MATCH(B153,控制台!$B$641:$B$645,0)-1,0),U153/G153*OFFSET(控制台!$H$641,MATCH(B153,控制台!$F$641:$F$650,0)-1,0)))</f>
        <v>1526.92363636364</v>
      </c>
      <c r="W153" s="20">
        <f ca="1" t="shared" si="7"/>
        <v>1.06036363636364</v>
      </c>
      <c r="X153" s="15">
        <f ca="1">IF(C153=1,OFFSET(控制台!$U$599,MATCH(F153,控制台!$B$599:$B$615,0)-1,0),OFFSET(控制台!$U$618,MATCH(F153,控制台!$B$618:$B$636,0)-1,0))</f>
        <v>513375</v>
      </c>
      <c r="Y153" s="16">
        <f ca="1">_xlfn.FLOOR.MATH(IF(E153=1,X153/G153,IF(E153=5,X153/G153*OFFSET(控制台!$D$641,MATCH(B153,控制台!$B$641:$B$645,0)-1,0),X153/G153*OFFSET(控制台!$H$641,MATCH(B153,控制台!$F$641:$F$650,0)-1,0))))</f>
        <v>4667</v>
      </c>
      <c r="Z153" s="16">
        <f ca="1" t="shared" si="8"/>
        <v>11666</v>
      </c>
    </row>
    <row r="154" spans="1:26">
      <c r="A154" s="1">
        <v>11603</v>
      </c>
      <c r="B154" s="1">
        <v>5</v>
      </c>
      <c r="C154" s="1">
        <v>1</v>
      </c>
      <c r="D154" s="1" t="s">
        <v>2802</v>
      </c>
      <c r="E154" s="1">
        <f ca="1">IF(C154=1,OFFSET(控制台!$F$552,MATCH(A154,控制台!$B$552:$B$580,0)-1,0),OFFSET(控制台!$L$552,MATCH(A154,控制台!$H$552:$H$594,0)-1,0))</f>
        <v>10</v>
      </c>
      <c r="F154" s="1">
        <f ca="1">IF(C154=1,OFFSET(控制台!$D$552,MATCH(A154,控制台!$B$552:$B$580,0)-1,0),OFFSET(控制台!$J$552,MATCH(A154,控制台!$H$552:$H$594,0)-1,0))</f>
        <v>16</v>
      </c>
      <c r="G154" s="1">
        <f ca="1">IF(C154=1,OFFSET(控制台!$I$599,MATCH(F154,控制台!$B$599:$B$615,0)-1,0),OFFSET(控制台!$I$618,MATCH(F154,控制台!$B$618:$B$636,0)-1,0))</f>
        <v>3</v>
      </c>
      <c r="H154" s="1">
        <f ca="1">IF(C154=1,OFFSET(控制台!$D$599,MATCH(F154,控制台!$B$599:$B$615,0)-1,0),OFFSET(控制台!$D$618,MATCH(F154,控制台!$B$618:$B$636,0)-1,0))</f>
        <v>277200000</v>
      </c>
      <c r="I154" s="1">
        <f ca="1">IF(E154=1,H154/G154,IF(E154=5,H154/G154*OFFSET(控制台!$D$641,MATCH(B154,控制台!$B$641:$B$645,0)-1,0),H154/G154*OFFSET(控制台!$H$641,MATCH(B154,控制台!$F$641:$F$650,0)-1,0)))</f>
        <v>4200000</v>
      </c>
      <c r="J154" s="1">
        <f ca="1">$I154/3*控制台!H$102</f>
        <v>1400000</v>
      </c>
      <c r="K154" s="1">
        <f ca="1">$I154/3*控制台!I$102</f>
        <v>1050000</v>
      </c>
      <c r="L154" s="1">
        <f ca="1">$I154/3*控制台!J$102</f>
        <v>1750000</v>
      </c>
      <c r="M154" s="1">
        <f ca="1">_xlfn.FLOOR.MATH(J154,POWER(10,MAX(2,INT(LOG10(J154)-2))))</f>
        <v>1400000</v>
      </c>
      <c r="N154" s="1">
        <f ca="1">_xlfn.FLOOR.MATH(K154,POWER(10,MAX(2,INT(LOG10(K154)-2))))</f>
        <v>1050000</v>
      </c>
      <c r="O154" s="1">
        <f ca="1">_xlfn.FLOOR.MATH(L154,POWER(10,MAX(2,INT(LOG10(L154)-2))))</f>
        <v>1750000</v>
      </c>
      <c r="P154" s="4" t="str">
        <f ca="1" t="shared" si="6"/>
        <v>1400000;1050000;1750000</v>
      </c>
      <c r="Q154" s="15">
        <f ca="1">IF(C154=1,OFFSET(控制台!$H$599,MATCH(F154,控制台!$B$599:$B$615,0)-1,0),OFFSET(控制台!$H$618,MATCH(F154,控制台!$B$618:$B$636,0)-1,0))</f>
        <v>334243.584</v>
      </c>
      <c r="R154" s="15">
        <f ca="1">IF(E154=1,Q154/G154,IF(E154=5,Q154/G154*OFFSET(控制台!$D$641,MATCH(B154,控制台!$B$641:$B$645,0)-1,0),Q154/G154*OFFSET(控制台!$H$641,MATCH(B154,控制台!$F$641:$F$650,0)-1,0)))</f>
        <v>5064.29672727273</v>
      </c>
      <c r="S154" s="16">
        <f ca="1">_xlfn.FLOOR.MATH(R154)*60</f>
        <v>303840</v>
      </c>
      <c r="T154" s="16">
        <f ca="1">8000+IF(C154=1,OFFSET(控制台!$K$599,MATCH(F154,控制台!$B$599:$B$615,0)-1,0),OFFSET(控制台!$K$618,MATCH(F154,控制台!$B$618:$B$636,0)-1,0))</f>
        <v>8028</v>
      </c>
      <c r="U154" s="1">
        <f ca="1">IF(C154=1,OFFSET(控制台!$F$599,MATCH(F154,控制台!$B$599:$B$615,0)-1,0),OFFSET(控制台!$F$618,MATCH(F154,控制台!$B$618:$B$636,0)-1,0))</f>
        <v>167961.6</v>
      </c>
      <c r="V154" s="1">
        <f ca="1">IF(E154=1,U154/G154,IF(E154=5,U154/G154*OFFSET(控制台!$D$641,MATCH(B154,控制台!$B$641:$B$645,0)-1,0),U154/G154*OFFSET(控制台!$H$641,MATCH(B154,控制台!$F$641:$F$650,0)-1,0)))</f>
        <v>2544.87272727273</v>
      </c>
      <c r="W154" s="20">
        <f ca="1" t="shared" si="7"/>
        <v>1.76727272727273</v>
      </c>
      <c r="X154" s="15">
        <f ca="1">IF(C154=1,OFFSET(控制台!$U$599,MATCH(F154,控制台!$B$599:$B$615,0)-1,0),OFFSET(控制台!$U$618,MATCH(F154,控制台!$B$618:$B$636,0)-1,0))</f>
        <v>513375</v>
      </c>
      <c r="Y154" s="16">
        <f ca="1">_xlfn.FLOOR.MATH(IF(E154=1,X154/G154,IF(E154=5,X154/G154*OFFSET(控制台!$D$641,MATCH(B154,控制台!$B$641:$B$645,0)-1,0),X154/G154*OFFSET(控制台!$H$641,MATCH(B154,控制台!$F$641:$F$650,0)-1,0))))</f>
        <v>7778</v>
      </c>
      <c r="Z154" s="16">
        <f ca="1" t="shared" si="8"/>
        <v>19444</v>
      </c>
    </row>
    <row r="155" spans="1:26">
      <c r="A155" s="1">
        <v>11603</v>
      </c>
      <c r="B155" s="1">
        <v>6</v>
      </c>
      <c r="C155" s="1">
        <v>1</v>
      </c>
      <c r="D155" s="1" t="s">
        <v>2802</v>
      </c>
      <c r="E155" s="1">
        <f ca="1">IF(C155=1,OFFSET(控制台!$F$552,MATCH(A155,控制台!$B$552:$B$580,0)-1,0),OFFSET(控制台!$L$552,MATCH(A155,控制台!$H$552:$H$594,0)-1,0))</f>
        <v>10</v>
      </c>
      <c r="F155" s="1">
        <f ca="1">IF(C155=1,OFFSET(控制台!$D$552,MATCH(A155,控制台!$B$552:$B$580,0)-1,0),OFFSET(控制台!$J$552,MATCH(A155,控制台!$H$552:$H$594,0)-1,0))</f>
        <v>16</v>
      </c>
      <c r="G155" s="1">
        <f ca="1">IF(C155=1,OFFSET(控制台!$I$599,MATCH(F155,控制台!$B$599:$B$615,0)-1,0),OFFSET(控制台!$I$618,MATCH(F155,控制台!$B$618:$B$636,0)-1,0))</f>
        <v>3</v>
      </c>
      <c r="H155" s="1">
        <f ca="1">IF(C155=1,OFFSET(控制台!$D$599,MATCH(F155,控制台!$B$599:$B$615,0)-1,0),OFFSET(控制台!$D$618,MATCH(F155,控制台!$B$618:$B$636,0)-1,0))</f>
        <v>277200000</v>
      </c>
      <c r="I155" s="1">
        <f ca="1">IF(E155=1,H155/G155,IF(E155=5,H155/G155*OFFSET(控制台!$D$641,MATCH(B155,控制台!$B$641:$B$645,0)-1,0),H155/G155*OFFSET(控制台!$H$641,MATCH(B155,控制台!$F$641:$F$650,0)-1,0)))</f>
        <v>6300000</v>
      </c>
      <c r="J155" s="1">
        <f ca="1">$I155/3*控制台!H$102</f>
        <v>2100000</v>
      </c>
      <c r="K155" s="1">
        <f ca="1">$I155/3*控制台!I$102</f>
        <v>1575000</v>
      </c>
      <c r="L155" s="1">
        <f ca="1">$I155/3*控制台!J$102</f>
        <v>2625000</v>
      </c>
      <c r="M155" s="1">
        <f ca="1">_xlfn.FLOOR.MATH(J155,POWER(10,MAX(2,INT(LOG10(J155)-2))))</f>
        <v>2100000</v>
      </c>
      <c r="N155" s="1">
        <f ca="1">_xlfn.FLOOR.MATH(K155,POWER(10,MAX(2,INT(LOG10(K155)-2))))</f>
        <v>1570000</v>
      </c>
      <c r="O155" s="1">
        <f ca="1">_xlfn.FLOOR.MATH(L155,POWER(10,MAX(2,INT(LOG10(L155)-2))))</f>
        <v>2620000</v>
      </c>
      <c r="P155" s="4" t="str">
        <f ca="1" t="shared" si="6"/>
        <v>2100000;1570000;2620000</v>
      </c>
      <c r="Q155" s="15">
        <f ca="1">IF(C155=1,OFFSET(控制台!$H$599,MATCH(F155,控制台!$B$599:$B$615,0)-1,0),OFFSET(控制台!$H$618,MATCH(F155,控制台!$B$618:$B$636,0)-1,0))</f>
        <v>334243.584</v>
      </c>
      <c r="R155" s="15">
        <f ca="1">IF(E155=1,Q155/G155,IF(E155=5,Q155/G155*OFFSET(控制台!$D$641,MATCH(B155,控制台!$B$641:$B$645,0)-1,0),Q155/G155*OFFSET(控制台!$H$641,MATCH(B155,控制台!$F$641:$F$650,0)-1,0)))</f>
        <v>7596.44509090909</v>
      </c>
      <c r="S155" s="16">
        <f ca="1">_xlfn.FLOOR.MATH(R155)*60</f>
        <v>455760</v>
      </c>
      <c r="T155" s="16">
        <f ca="1">8000+IF(C155=1,OFFSET(控制台!$K$599,MATCH(F155,控制台!$B$599:$B$615,0)-1,0),OFFSET(控制台!$K$618,MATCH(F155,控制台!$B$618:$B$636,0)-1,0))</f>
        <v>8028</v>
      </c>
      <c r="U155" s="1">
        <f ca="1">IF(C155=1,OFFSET(控制台!$F$599,MATCH(F155,控制台!$B$599:$B$615,0)-1,0),OFFSET(控制台!$F$618,MATCH(F155,控制台!$B$618:$B$636,0)-1,0))</f>
        <v>167961.6</v>
      </c>
      <c r="V155" s="1">
        <f ca="1">IF(E155=1,U155/G155,IF(E155=5,U155/G155*OFFSET(控制台!$D$641,MATCH(B155,控制台!$B$641:$B$645,0)-1,0),U155/G155*OFFSET(控制台!$H$641,MATCH(B155,控制台!$F$641:$F$650,0)-1,0)))</f>
        <v>3817.30909090909</v>
      </c>
      <c r="W155" s="20">
        <f ca="1" t="shared" si="7"/>
        <v>2.65090909090909</v>
      </c>
      <c r="X155" s="15">
        <f ca="1">IF(C155=1,OFFSET(控制台!$U$599,MATCH(F155,控制台!$B$599:$B$615,0)-1,0),OFFSET(控制台!$U$618,MATCH(F155,控制台!$B$618:$B$636,0)-1,0))</f>
        <v>513375</v>
      </c>
      <c r="Y155" s="16">
        <f ca="1">_xlfn.FLOOR.MATH(IF(E155=1,X155/G155,IF(E155=5,X155/G155*OFFSET(控制台!$D$641,MATCH(B155,控制台!$B$641:$B$645,0)-1,0),X155/G155*OFFSET(控制台!$H$641,MATCH(B155,控制台!$F$641:$F$650,0)-1,0))))</f>
        <v>11667</v>
      </c>
      <c r="Z155" s="16">
        <f ca="1" t="shared" si="8"/>
        <v>31111</v>
      </c>
    </row>
    <row r="156" spans="1:26">
      <c r="A156" s="1">
        <v>11603</v>
      </c>
      <c r="B156" s="1">
        <v>7</v>
      </c>
      <c r="C156" s="1">
        <v>1</v>
      </c>
      <c r="D156" s="1" t="s">
        <v>2802</v>
      </c>
      <c r="E156" s="1">
        <f ca="1">IF(C156=1,OFFSET(控制台!$F$552,MATCH(A156,控制台!$B$552:$B$580,0)-1,0),OFFSET(控制台!$L$552,MATCH(A156,控制台!$H$552:$H$594,0)-1,0))</f>
        <v>10</v>
      </c>
      <c r="F156" s="1">
        <f ca="1">IF(C156=1,OFFSET(控制台!$D$552,MATCH(A156,控制台!$B$552:$B$580,0)-1,0),OFFSET(控制台!$J$552,MATCH(A156,控制台!$H$552:$H$594,0)-1,0))</f>
        <v>16</v>
      </c>
      <c r="G156" s="1">
        <f ca="1">IF(C156=1,OFFSET(控制台!$I$599,MATCH(F156,控制台!$B$599:$B$615,0)-1,0),OFFSET(控制台!$I$618,MATCH(F156,控制台!$B$618:$B$636,0)-1,0))</f>
        <v>3</v>
      </c>
      <c r="H156" s="1">
        <f ca="1">IF(C156=1,OFFSET(控制台!$D$599,MATCH(F156,控制台!$B$599:$B$615,0)-1,0),OFFSET(控制台!$D$618,MATCH(F156,控制台!$B$618:$B$636,0)-1,0))</f>
        <v>277200000</v>
      </c>
      <c r="I156" s="1">
        <f ca="1">IF(E156=1,H156/G156,IF(E156=5,H156/G156*OFFSET(控制台!$D$641,MATCH(B156,控制台!$B$641:$B$645,0)-1,0),H156/G156*OFFSET(控制台!$H$641,MATCH(B156,控制台!$F$641:$F$650,0)-1,0)))</f>
        <v>8400000</v>
      </c>
      <c r="J156" s="1">
        <f ca="1">$I156/3*控制台!H$102</f>
        <v>2800000</v>
      </c>
      <c r="K156" s="1">
        <f ca="1">$I156/3*控制台!I$102</f>
        <v>2100000</v>
      </c>
      <c r="L156" s="1">
        <f ca="1">$I156/3*控制台!J$102</f>
        <v>3500000</v>
      </c>
      <c r="M156" s="1">
        <f ca="1">_xlfn.FLOOR.MATH(J156,POWER(10,MAX(2,INT(LOG10(J156)-2))))</f>
        <v>2800000</v>
      </c>
      <c r="N156" s="1">
        <f ca="1">_xlfn.FLOOR.MATH(K156,POWER(10,MAX(2,INT(LOG10(K156)-2))))</f>
        <v>2100000</v>
      </c>
      <c r="O156" s="1">
        <f ca="1">_xlfn.FLOOR.MATH(L156,POWER(10,MAX(2,INT(LOG10(L156)-2))))</f>
        <v>3500000</v>
      </c>
      <c r="P156" s="4" t="str">
        <f ca="1" t="shared" si="6"/>
        <v>2800000;2100000;3500000</v>
      </c>
      <c r="Q156" s="15">
        <f ca="1">IF(C156=1,OFFSET(控制台!$H$599,MATCH(F156,控制台!$B$599:$B$615,0)-1,0),OFFSET(控制台!$H$618,MATCH(F156,控制台!$B$618:$B$636,0)-1,0))</f>
        <v>334243.584</v>
      </c>
      <c r="R156" s="15">
        <f ca="1">IF(E156=1,Q156/G156,IF(E156=5,Q156/G156*OFFSET(控制台!$D$641,MATCH(B156,控制台!$B$641:$B$645,0)-1,0),Q156/G156*OFFSET(控制台!$H$641,MATCH(B156,控制台!$F$641:$F$650,0)-1,0)))</f>
        <v>10128.5934545455</v>
      </c>
      <c r="S156" s="16">
        <f ca="1">_xlfn.FLOOR.MATH(R156)*60</f>
        <v>607680</v>
      </c>
      <c r="T156" s="16">
        <f ca="1">8000+IF(C156=1,OFFSET(控制台!$K$599,MATCH(F156,控制台!$B$599:$B$615,0)-1,0),OFFSET(控制台!$K$618,MATCH(F156,控制台!$B$618:$B$636,0)-1,0))</f>
        <v>8028</v>
      </c>
      <c r="U156" s="1">
        <f ca="1">IF(C156=1,OFFSET(控制台!$F$599,MATCH(F156,控制台!$B$599:$B$615,0)-1,0),OFFSET(控制台!$F$618,MATCH(F156,控制台!$B$618:$B$636,0)-1,0))</f>
        <v>167961.6</v>
      </c>
      <c r="V156" s="1">
        <f ca="1">IF(E156=1,U156/G156,IF(E156=5,U156/G156*OFFSET(控制台!$D$641,MATCH(B156,控制台!$B$641:$B$645,0)-1,0),U156/G156*OFFSET(控制台!$H$641,MATCH(B156,控制台!$F$641:$F$650,0)-1,0)))</f>
        <v>5089.74545454545</v>
      </c>
      <c r="W156" s="20">
        <f ca="1" t="shared" si="7"/>
        <v>3.53454545454545</v>
      </c>
      <c r="X156" s="15">
        <f ca="1">IF(C156=1,OFFSET(控制台!$U$599,MATCH(F156,控制台!$B$599:$B$615,0)-1,0),OFFSET(控制台!$U$618,MATCH(F156,控制台!$B$618:$B$636,0)-1,0))</f>
        <v>513375</v>
      </c>
      <c r="Y156" s="16">
        <f ca="1">_xlfn.FLOOR.MATH(IF(E156=1,X156/G156,IF(E156=5,X156/G156*OFFSET(控制台!$D$641,MATCH(B156,控制台!$B$641:$B$645,0)-1,0),X156/G156*OFFSET(控制台!$H$641,MATCH(B156,控制台!$F$641:$F$650,0)-1,0))))</f>
        <v>15556</v>
      </c>
      <c r="Z156" s="16">
        <f ca="1" t="shared" si="8"/>
        <v>46667</v>
      </c>
    </row>
    <row r="157" spans="1:26">
      <c r="A157" s="1">
        <v>11603</v>
      </c>
      <c r="B157" s="1">
        <v>8</v>
      </c>
      <c r="C157" s="1">
        <v>1</v>
      </c>
      <c r="D157" s="1" t="s">
        <v>2802</v>
      </c>
      <c r="E157" s="1">
        <f ca="1">IF(C157=1,OFFSET(控制台!$F$552,MATCH(A157,控制台!$B$552:$B$580,0)-1,0),OFFSET(控制台!$L$552,MATCH(A157,控制台!$H$552:$H$594,0)-1,0))</f>
        <v>10</v>
      </c>
      <c r="F157" s="1">
        <f ca="1">IF(C157=1,OFFSET(控制台!$D$552,MATCH(A157,控制台!$B$552:$B$580,0)-1,0),OFFSET(控制台!$J$552,MATCH(A157,控制台!$H$552:$H$594,0)-1,0))</f>
        <v>16</v>
      </c>
      <c r="G157" s="1">
        <f ca="1">IF(C157=1,OFFSET(控制台!$I$599,MATCH(F157,控制台!$B$599:$B$615,0)-1,0),OFFSET(控制台!$I$618,MATCH(F157,控制台!$B$618:$B$636,0)-1,0))</f>
        <v>3</v>
      </c>
      <c r="H157" s="1">
        <f ca="1">IF(C157=1,OFFSET(控制台!$D$599,MATCH(F157,控制台!$B$599:$B$615,0)-1,0),OFFSET(控制台!$D$618,MATCH(F157,控制台!$B$618:$B$636,0)-1,0))</f>
        <v>277200000</v>
      </c>
      <c r="I157" s="1">
        <f ca="1">IF(E157=1,H157/G157,IF(E157=5,H157/G157*OFFSET(控制台!$D$641,MATCH(B157,控制台!$B$641:$B$645,0)-1,0),H157/G157*OFFSET(控制台!$H$641,MATCH(B157,控制台!$F$641:$F$650,0)-1,0)))</f>
        <v>12600000</v>
      </c>
      <c r="J157" s="1">
        <f ca="1">$I157/3*控制台!H$102</f>
        <v>4199999.99999999</v>
      </c>
      <c r="K157" s="1">
        <f ca="1">$I157/3*控制台!I$102</f>
        <v>3149999.99999999</v>
      </c>
      <c r="L157" s="1">
        <f ca="1">$I157/3*控制台!J$102</f>
        <v>5249999.99999999</v>
      </c>
      <c r="M157" s="1">
        <f ca="1">_xlfn.FLOOR.MATH(J157,POWER(10,MAX(2,INT(LOG10(J157)-2))))</f>
        <v>4200000</v>
      </c>
      <c r="N157" s="1">
        <f ca="1">_xlfn.FLOOR.MATH(K157,POWER(10,MAX(2,INT(LOG10(K157)-2))))</f>
        <v>3150000</v>
      </c>
      <c r="O157" s="1">
        <f ca="1">_xlfn.FLOOR.MATH(L157,POWER(10,MAX(2,INT(LOG10(L157)-2))))</f>
        <v>5250000</v>
      </c>
      <c r="P157" s="4" t="str">
        <f ca="1" t="shared" si="6"/>
        <v>4200000;3150000;5250000</v>
      </c>
      <c r="Q157" s="15">
        <f ca="1">IF(C157=1,OFFSET(控制台!$H$599,MATCH(F157,控制台!$B$599:$B$615,0)-1,0),OFFSET(控制台!$H$618,MATCH(F157,控制台!$B$618:$B$636,0)-1,0))</f>
        <v>334243.584</v>
      </c>
      <c r="R157" s="15">
        <f ca="1">IF(E157=1,Q157/G157,IF(E157=5,Q157/G157*OFFSET(控制台!$D$641,MATCH(B157,控制台!$B$641:$B$645,0)-1,0),Q157/G157*OFFSET(控制台!$H$641,MATCH(B157,控制台!$F$641:$F$650,0)-1,0)))</f>
        <v>15192.8901818181</v>
      </c>
      <c r="S157" s="16">
        <f ca="1">_xlfn.FLOOR.MATH(R157)*60</f>
        <v>911520</v>
      </c>
      <c r="T157" s="16">
        <f ca="1">8000+IF(C157=1,OFFSET(控制台!$K$599,MATCH(F157,控制台!$B$599:$B$615,0)-1,0),OFFSET(控制台!$K$618,MATCH(F157,控制台!$B$618:$B$636,0)-1,0))</f>
        <v>8028</v>
      </c>
      <c r="U157" s="1">
        <f ca="1">IF(C157=1,OFFSET(控制台!$F$599,MATCH(F157,控制台!$B$599:$B$615,0)-1,0),OFFSET(控制台!$F$618,MATCH(F157,控制台!$B$618:$B$636,0)-1,0))</f>
        <v>167961.6</v>
      </c>
      <c r="V157" s="1">
        <f ca="1">IF(E157=1,U157/G157,IF(E157=5,U157/G157*OFFSET(控制台!$D$641,MATCH(B157,控制台!$B$641:$B$645,0)-1,0),U157/G157*OFFSET(控制台!$H$641,MATCH(B157,控制台!$F$641:$F$650,0)-1,0)))</f>
        <v>7634.61818181816</v>
      </c>
      <c r="W157" s="20">
        <f ca="1" t="shared" si="7"/>
        <v>5.30181818181817</v>
      </c>
      <c r="X157" s="15">
        <f ca="1">IF(C157=1,OFFSET(控制台!$U$599,MATCH(F157,控制台!$B$599:$B$615,0)-1,0),OFFSET(控制台!$U$618,MATCH(F157,控制台!$B$618:$B$636,0)-1,0))</f>
        <v>513375</v>
      </c>
      <c r="Y157" s="16">
        <f ca="1">_xlfn.FLOOR.MATH(IF(E157=1,X157/G157,IF(E157=5,X157/G157*OFFSET(控制台!$D$641,MATCH(B157,控制台!$B$641:$B$645,0)-1,0),X157/G157*OFFSET(控制台!$H$641,MATCH(B157,控制台!$F$641:$F$650,0)-1,0))))</f>
        <v>23335</v>
      </c>
      <c r="Z157" s="16">
        <f ca="1" t="shared" si="8"/>
        <v>70002</v>
      </c>
    </row>
    <row r="158" spans="1:26">
      <c r="A158" s="1">
        <v>11603</v>
      </c>
      <c r="B158" s="1">
        <v>9</v>
      </c>
      <c r="C158" s="1">
        <v>1</v>
      </c>
      <c r="D158" s="1" t="s">
        <v>2802</v>
      </c>
      <c r="E158" s="1">
        <f ca="1">IF(C158=1,OFFSET(控制台!$F$552,MATCH(A158,控制台!$B$552:$B$580,0)-1,0),OFFSET(控制台!$L$552,MATCH(A158,控制台!$H$552:$H$594,0)-1,0))</f>
        <v>10</v>
      </c>
      <c r="F158" s="1">
        <f ca="1">IF(C158=1,OFFSET(控制台!$D$552,MATCH(A158,控制台!$B$552:$B$580,0)-1,0),OFFSET(控制台!$J$552,MATCH(A158,控制台!$H$552:$H$594,0)-1,0))</f>
        <v>16</v>
      </c>
      <c r="G158" s="1">
        <f ca="1">IF(C158=1,OFFSET(控制台!$I$599,MATCH(F158,控制台!$B$599:$B$615,0)-1,0),OFFSET(控制台!$I$618,MATCH(F158,控制台!$B$618:$B$636,0)-1,0))</f>
        <v>3</v>
      </c>
      <c r="H158" s="1">
        <f ca="1">IF(C158=1,OFFSET(控制台!$D$599,MATCH(F158,控制台!$B$599:$B$615,0)-1,0),OFFSET(控制台!$D$618,MATCH(F158,控制台!$B$618:$B$636,0)-1,0))</f>
        <v>277200000</v>
      </c>
      <c r="I158" s="1">
        <f ca="1">IF(E158=1,H158/G158,IF(E158=5,H158/G158*OFFSET(控制台!$D$641,MATCH(B158,控制台!$B$641:$B$645,0)-1,0),H158/G158*OFFSET(控制台!$H$641,MATCH(B158,控制台!$F$641:$F$650,0)-1,0)))</f>
        <v>21000000</v>
      </c>
      <c r="J158" s="1">
        <f ca="1">$I158/3*控制台!H$102</f>
        <v>6999999.99999999</v>
      </c>
      <c r="K158" s="1">
        <f ca="1">$I158/3*控制台!I$102</f>
        <v>5249999.99999999</v>
      </c>
      <c r="L158" s="1">
        <f ca="1">$I158/3*控制台!J$102</f>
        <v>8749999.99999999</v>
      </c>
      <c r="M158" s="1">
        <f ca="1">_xlfn.FLOOR.MATH(J158,POWER(10,MAX(2,INT(LOG10(J158)-2))))</f>
        <v>7000000</v>
      </c>
      <c r="N158" s="1">
        <f ca="1">_xlfn.FLOOR.MATH(K158,POWER(10,MAX(2,INT(LOG10(K158)-2))))</f>
        <v>5250000</v>
      </c>
      <c r="O158" s="1">
        <f ca="1">_xlfn.FLOOR.MATH(L158,POWER(10,MAX(2,INT(LOG10(L158)-2))))</f>
        <v>8750000</v>
      </c>
      <c r="P158" s="4" t="str">
        <f ca="1" t="shared" si="6"/>
        <v>7000000;5250000;8750000</v>
      </c>
      <c r="Q158" s="15">
        <f ca="1">IF(C158=1,OFFSET(控制台!$H$599,MATCH(F158,控制台!$B$599:$B$615,0)-1,0),OFFSET(控制台!$H$618,MATCH(F158,控制台!$B$618:$B$636,0)-1,0))</f>
        <v>334243.584</v>
      </c>
      <c r="R158" s="15">
        <f ca="1">IF(E158=1,Q158/G158,IF(E158=5,Q158/G158*OFFSET(控制台!$D$641,MATCH(B158,控制台!$B$641:$B$645,0)-1,0),Q158/G158*OFFSET(控制台!$H$641,MATCH(B158,控制台!$F$641:$F$650,0)-1,0)))</f>
        <v>25321.4836363636</v>
      </c>
      <c r="S158" s="16">
        <f ca="1">_xlfn.FLOOR.MATH(R158)*60</f>
        <v>1519260</v>
      </c>
      <c r="T158" s="16">
        <f ca="1">8000+IF(C158=1,OFFSET(控制台!$K$599,MATCH(F158,控制台!$B$599:$B$615,0)-1,0),OFFSET(控制台!$K$618,MATCH(F158,控制台!$B$618:$B$636,0)-1,0))</f>
        <v>8028</v>
      </c>
      <c r="U158" s="1">
        <f ca="1">IF(C158=1,OFFSET(控制台!$F$599,MATCH(F158,控制台!$B$599:$B$615,0)-1,0),OFFSET(控制台!$F$618,MATCH(F158,控制台!$B$618:$B$636,0)-1,0))</f>
        <v>167961.6</v>
      </c>
      <c r="V158" s="1">
        <f ca="1">IF(E158=1,U158/G158,IF(E158=5,U158/G158*OFFSET(控制台!$D$641,MATCH(B158,控制台!$B$641:$B$645,0)-1,0),U158/G158*OFFSET(控制台!$H$641,MATCH(B158,控制台!$F$641:$F$650,0)-1,0)))</f>
        <v>12724.3636363636</v>
      </c>
      <c r="W158" s="20">
        <f ca="1" t="shared" si="7"/>
        <v>8.83636363636362</v>
      </c>
      <c r="X158" s="15">
        <f ca="1">IF(C158=1,OFFSET(控制台!$U$599,MATCH(F158,控制台!$B$599:$B$615,0)-1,0),OFFSET(控制台!$U$618,MATCH(F158,控制台!$B$618:$B$636,0)-1,0))</f>
        <v>513375</v>
      </c>
      <c r="Y158" s="16">
        <f ca="1">_xlfn.FLOOR.MATH(IF(E158=1,X158/G158,IF(E158=5,X158/G158*OFFSET(控制台!$D$641,MATCH(B158,控制台!$B$641:$B$645,0)-1,0),X158/G158*OFFSET(控制台!$H$641,MATCH(B158,控制台!$F$641:$F$650,0)-1,0))))</f>
        <v>38892</v>
      </c>
      <c r="Z158" s="16">
        <f ca="1" t="shared" si="8"/>
        <v>108894</v>
      </c>
    </row>
    <row r="159" spans="1:26">
      <c r="A159" s="1">
        <v>11603</v>
      </c>
      <c r="B159" s="1">
        <v>10</v>
      </c>
      <c r="C159" s="1">
        <v>1</v>
      </c>
      <c r="D159" s="1" t="s">
        <v>2802</v>
      </c>
      <c r="E159" s="1">
        <f ca="1">IF(C159=1,OFFSET(控制台!$F$552,MATCH(A159,控制台!$B$552:$B$580,0)-1,0),OFFSET(控制台!$L$552,MATCH(A159,控制台!$H$552:$H$594,0)-1,0))</f>
        <v>10</v>
      </c>
      <c r="F159" s="1">
        <f ca="1">IF(C159=1,OFFSET(控制台!$D$552,MATCH(A159,控制台!$B$552:$B$580,0)-1,0),OFFSET(控制台!$J$552,MATCH(A159,控制台!$H$552:$H$594,0)-1,0))</f>
        <v>16</v>
      </c>
      <c r="G159" s="1">
        <f ca="1">IF(C159=1,OFFSET(控制台!$I$599,MATCH(F159,控制台!$B$599:$B$615,0)-1,0),OFFSET(控制台!$I$618,MATCH(F159,控制台!$B$618:$B$636,0)-1,0))</f>
        <v>3</v>
      </c>
      <c r="H159" s="1">
        <f ca="1">IF(C159=1,OFFSET(控制台!$D$599,MATCH(F159,控制台!$B$599:$B$615,0)-1,0),OFFSET(控制台!$D$618,MATCH(F159,控制台!$B$618:$B$636,0)-1,0))</f>
        <v>277200000</v>
      </c>
      <c r="I159" s="1">
        <f ca="1">IF(E159=1,H159/G159,IF(E159=5,H159/G159*OFFSET(控制台!$D$641,MATCH(B159,控制台!$B$641:$B$645,0)-1,0),H159/G159*OFFSET(控制台!$H$641,MATCH(B159,控制台!$F$641:$F$650,0)-1,0)))</f>
        <v>33600000</v>
      </c>
      <c r="J159" s="1">
        <f ca="1">$I159/3*控制台!H$102</f>
        <v>11200000</v>
      </c>
      <c r="K159" s="1">
        <f ca="1">$I159/3*控制台!I$102</f>
        <v>8400000.00000001</v>
      </c>
      <c r="L159" s="1">
        <f ca="1">$I159/3*控制台!J$102</f>
        <v>14000000</v>
      </c>
      <c r="M159" s="1">
        <f ca="1">_xlfn.FLOOR.MATH(J159,POWER(10,MAX(2,INT(LOG10(J159)-2))))</f>
        <v>11200000</v>
      </c>
      <c r="N159" s="1">
        <f ca="1">_xlfn.FLOOR.MATH(K159,POWER(10,MAX(2,INT(LOG10(K159)-2))))</f>
        <v>8400000</v>
      </c>
      <c r="O159" s="1">
        <f ca="1">_xlfn.FLOOR.MATH(L159,POWER(10,MAX(2,INT(LOG10(L159)-2))))</f>
        <v>14000000</v>
      </c>
      <c r="P159" s="4" t="str">
        <f ca="1" t="shared" si="6"/>
        <v>11200000;8400000;14000000</v>
      </c>
      <c r="Q159" s="15">
        <f ca="1">IF(C159=1,OFFSET(控制台!$H$599,MATCH(F159,控制台!$B$599:$B$615,0)-1,0),OFFSET(控制台!$H$618,MATCH(F159,控制台!$B$618:$B$636,0)-1,0))</f>
        <v>334243.584</v>
      </c>
      <c r="R159" s="15">
        <f ca="1">IF(E159=1,Q159/G159,IF(E159=5,Q159/G159*OFFSET(控制台!$D$641,MATCH(B159,控制台!$B$641:$B$645,0)-1,0),Q159/G159*OFFSET(控制台!$H$641,MATCH(B159,控制台!$F$641:$F$650,0)-1,0)))</f>
        <v>40514.3738181819</v>
      </c>
      <c r="S159" s="16">
        <f ca="1">_xlfn.FLOOR.MATH(R159)*60</f>
        <v>2430840</v>
      </c>
      <c r="T159" s="16">
        <f ca="1">8000+IF(C159=1,OFFSET(控制台!$K$599,MATCH(F159,控制台!$B$599:$B$615,0)-1,0),OFFSET(控制台!$K$618,MATCH(F159,控制台!$B$618:$B$636,0)-1,0))</f>
        <v>8028</v>
      </c>
      <c r="U159" s="1">
        <f ca="1">IF(C159=1,OFFSET(控制台!$F$599,MATCH(F159,控制台!$B$599:$B$615,0)-1,0),OFFSET(控制台!$F$618,MATCH(F159,控制台!$B$618:$B$636,0)-1,0))</f>
        <v>167961.6</v>
      </c>
      <c r="V159" s="1">
        <f ca="1">IF(E159=1,U159/G159,IF(E159=5,U159/G159*OFFSET(控制台!$D$641,MATCH(B159,控制台!$B$641:$B$645,0)-1,0),U159/G159*OFFSET(控制台!$H$641,MATCH(B159,控制台!$F$641:$F$650,0)-1,0)))</f>
        <v>20358.9818181818</v>
      </c>
      <c r="W159" s="20">
        <f ca="1" t="shared" si="7"/>
        <v>14.1381818181818</v>
      </c>
      <c r="X159" s="15">
        <f ca="1">IF(C159=1,OFFSET(控制台!$U$599,MATCH(F159,控制台!$B$599:$B$615,0)-1,0),OFFSET(控制台!$U$618,MATCH(F159,控制台!$B$618:$B$636,0)-1,0))</f>
        <v>513375</v>
      </c>
      <c r="Y159" s="16">
        <f ca="1">_xlfn.FLOOR.MATH(IF(E159=1,X159/G159,IF(E159=5,X159/G159*OFFSET(控制台!$D$641,MATCH(B159,控制台!$B$641:$B$645,0)-1,0),X159/G159*OFFSET(控制台!$H$641,MATCH(B159,控制台!$F$641:$F$650,0)-1,0))))</f>
        <v>62227</v>
      </c>
      <c r="Z159" s="16">
        <f ca="1" t="shared" si="8"/>
        <v>171121</v>
      </c>
    </row>
    <row r="160" spans="1:26">
      <c r="A160" s="1">
        <v>20102</v>
      </c>
      <c r="B160" s="1">
        <v>1</v>
      </c>
      <c r="C160" s="1">
        <v>2</v>
      </c>
      <c r="D160" s="1" t="s">
        <v>2803</v>
      </c>
      <c r="E160" s="1">
        <f ca="1">IF(C160=1,OFFSET(控制台!$F$552,MATCH(A160,控制台!$B$552:$B$580,0)-1,0),OFFSET(控制台!$L$552,MATCH(A160,控制台!$H$552:$H$594,0)-1,0))</f>
        <v>1</v>
      </c>
      <c r="F160" s="1">
        <f ca="1">IF(C160=1,OFFSET(控制台!$D$552,MATCH(A160,控制台!$B$552:$B$580,0)-1,0),OFFSET(控制台!$J$552,MATCH(A160,控制台!$H$552:$H$594,0)-1,0))</f>
        <v>1</v>
      </c>
      <c r="G160" s="1">
        <f ca="1">IF(C160=1,OFFSET(控制台!$I$599,MATCH(F160,控制台!$B$599:$B$615,0)-1,0),OFFSET(控制台!$I$618,MATCH(F160,控制台!$B$618:$B$636,0)-1,0))</f>
        <v>1</v>
      </c>
      <c r="H160" s="1">
        <f ca="1">IF(C160=1,OFFSET(控制台!$D$599,MATCH(F160,控制台!$B$599:$B$615,0)-1,0),OFFSET(控制台!$D$618,MATCH(F160,控制台!$B$618:$B$636,0)-1,0))</f>
        <v>30240</v>
      </c>
      <c r="I160" s="1">
        <f ca="1">IF(E160=1,H160/G160,IF(E160=5,H160/G160*OFFSET(控制台!$D$641,MATCH(B160,控制台!$B$641:$B$645,0)-1,0),H160/G160*OFFSET(控制台!$H$641,MATCH(B160,控制台!$F$641:$F$650,0)-1,0)))</f>
        <v>30240</v>
      </c>
      <c r="J160" s="1">
        <f ca="1">$I160/3*控制台!H$102</f>
        <v>10080</v>
      </c>
      <c r="K160" s="1">
        <f ca="1">$I160/3*控制台!I$102</f>
        <v>7560</v>
      </c>
      <c r="L160" s="1">
        <f ca="1">$I160/3*控制台!J$102</f>
        <v>12600</v>
      </c>
      <c r="M160" s="1">
        <f ca="1">_xlfn.FLOOR.MATH(J160,POWER(10,MAX(2,INT(LOG10(J160)-2))))</f>
        <v>10000</v>
      </c>
      <c r="N160" s="1">
        <f ca="1">_xlfn.FLOOR.MATH(K160,POWER(10,MAX(2,INT(LOG10(K160)-2))))</f>
        <v>7500</v>
      </c>
      <c r="O160" s="1">
        <f ca="1">_xlfn.FLOOR.MATH(L160,POWER(10,MAX(2,INT(LOG10(L160)-2))))</f>
        <v>12600</v>
      </c>
      <c r="P160" s="4" t="str">
        <f ca="1" t="shared" si="6"/>
        <v>10000;7500;12600</v>
      </c>
      <c r="Q160" s="15">
        <f ca="1">IF(C160=1,OFFSET(控制台!$H$599,MATCH(F160,控制台!$B$599:$B$615,0)-1,0),OFFSET(控制台!$H$618,MATCH(F160,控制台!$B$618:$B$636,0)-1,0))</f>
        <v>58.0608</v>
      </c>
      <c r="R160" s="15">
        <f ca="1">IF(E160=1,Q160/G160,IF(E160=5,Q160/G160*OFFSET(控制台!$D$641,MATCH(B160,控制台!$B$641:$B$645,0)-1,0),Q160/G160*OFFSET(控制台!$H$641,MATCH(B160,控制台!$F$641:$F$650,0)-1,0)))</f>
        <v>58.0608</v>
      </c>
      <c r="S160" s="6">
        <v>900</v>
      </c>
      <c r="T160" s="16">
        <f ca="1">8000+IF(C160=1,OFFSET(控制台!$K$599,MATCH(F160,控制台!$B$599:$B$615,0)-1,0),OFFSET(控制台!$K$618,MATCH(F160,控制台!$B$618:$B$636,0)-1,0))</f>
        <v>8001</v>
      </c>
      <c r="U160" s="1">
        <f ca="1">IF(C160=1,OFFSET(控制台!$F$599,MATCH(F160,控制台!$B$599:$B$615,0)-1,0),OFFSET(控制台!$F$618,MATCH(F160,控制台!$B$618:$B$636,0)-1,0))</f>
        <v>58.0608</v>
      </c>
      <c r="V160" s="1">
        <f ca="1">IF(E160=1,U160/G160,IF(E160=5,U160/G160*OFFSET(控制台!$D$641,MATCH(B160,控制台!$B$641:$B$645,0)-1,0),U160/G160*OFFSET(控制台!$H$641,MATCH(B160,控制台!$F$641:$F$650,0)-1,0)))</f>
        <v>58.0608</v>
      </c>
      <c r="W160" s="20">
        <f ca="1" t="shared" si="7"/>
        <v>0.04032</v>
      </c>
      <c r="X160" s="15">
        <f ca="1">IF(C160=1,OFFSET(控制台!$U$599,MATCH(F160,控制台!$B$599:$B$615,0)-1,0),OFFSET(控制台!$U$618,MATCH(F160,控制台!$B$618:$B$636,0)-1,0))</f>
        <v>163.8</v>
      </c>
      <c r="Y160" s="16">
        <f ca="1">_xlfn.FLOOR.MATH(IF(E160=1,X160/G160,IF(E160=5,X160/G160*OFFSET(控制台!$D$641,MATCH(B160,控制台!$B$641:$B$645,0)-1,0),X160/G160*OFFSET(控制台!$H$641,MATCH(B160,控制台!$F$641:$F$650,0)-1,0))))</f>
        <v>163</v>
      </c>
      <c r="Z160" s="16">
        <f ca="1" t="shared" si="8"/>
        <v>163</v>
      </c>
    </row>
    <row r="161" spans="1:26">
      <c r="A161" s="1">
        <v>20201</v>
      </c>
      <c r="B161" s="1">
        <v>1</v>
      </c>
      <c r="C161" s="1">
        <v>2</v>
      </c>
      <c r="D161" s="1" t="s">
        <v>2804</v>
      </c>
      <c r="E161" s="1">
        <f ca="1">IF(C161=1,OFFSET(控制台!$F$552,MATCH(A161,控制台!$B$552:$B$580,0)-1,0),OFFSET(控制台!$L$552,MATCH(A161,控制台!$H$552:$H$594,0)-1,0))</f>
        <v>5</v>
      </c>
      <c r="F161" s="1">
        <f ca="1">IF(C161=1,OFFSET(控制台!$D$552,MATCH(A161,控制台!$B$552:$B$580,0)-1,0),OFFSET(控制台!$J$552,MATCH(A161,控制台!$H$552:$H$594,0)-1,0))</f>
        <v>2</v>
      </c>
      <c r="G161" s="1">
        <f ca="1">IF(C161=1,OFFSET(控制台!$I$599,MATCH(F161,控制台!$B$599:$B$615,0)-1,0),OFFSET(控制台!$I$618,MATCH(F161,控制台!$B$618:$B$636,0)-1,0))</f>
        <v>3</v>
      </c>
      <c r="H161" s="1">
        <f ca="1">IF(C161=1,OFFSET(控制台!$D$599,MATCH(F161,控制台!$B$599:$B$615,0)-1,0),OFFSET(控制台!$D$618,MATCH(F161,控制台!$B$618:$B$636,0)-1,0))</f>
        <v>2288160</v>
      </c>
      <c r="I161" s="1">
        <f ca="1">IF(E161=1,H161/G161,IF(E161=5,H161/G161*OFFSET(控制台!$D$641,MATCH(B161,控制台!$B$641:$B$645,0)-1,0),H161/G161*OFFSET(控制台!$H$641,MATCH(B161,控制台!$F$641:$F$650,0)-1,0)))</f>
        <v>36320</v>
      </c>
      <c r="J161" s="1">
        <f ca="1">$I161/3*控制台!H$102</f>
        <v>12106.6666666667</v>
      </c>
      <c r="K161" s="1">
        <f ca="1">$I161/3*控制台!I$102</f>
        <v>9080</v>
      </c>
      <c r="L161" s="1">
        <f ca="1">$I161/3*控制台!J$102</f>
        <v>15133.3333333333</v>
      </c>
      <c r="M161" s="1">
        <f ca="1">_xlfn.FLOOR.MATH(J161,POWER(10,MAX(2,INT(LOG10(J161)-2))))</f>
        <v>12100</v>
      </c>
      <c r="N161" s="1">
        <f ca="1">_xlfn.FLOOR.MATH(K161,POWER(10,MAX(2,INT(LOG10(K161)-2))))</f>
        <v>9000</v>
      </c>
      <c r="O161" s="1">
        <f ca="1">_xlfn.FLOOR.MATH(L161,POWER(10,MAX(2,INT(LOG10(L161)-2))))</f>
        <v>15100</v>
      </c>
      <c r="P161" s="4" t="str">
        <f ca="1" t="shared" si="6"/>
        <v>12100;9000;15100</v>
      </c>
      <c r="Q161" s="15">
        <f ca="1">IF(C161=1,OFFSET(控制台!$H$599,MATCH(F161,控制台!$B$599:$B$615,0)-1,0),OFFSET(控制台!$H$618,MATCH(F161,控制台!$B$618:$B$636,0)-1,0))</f>
        <v>6488.584704</v>
      </c>
      <c r="R161" s="15">
        <f ca="1">IF(E161=1,Q161/G161,IF(E161=5,Q161/G161*OFFSET(控制台!$D$641,MATCH(B161,控制台!$B$641:$B$645,0)-1,0),Q161/G161*OFFSET(控制台!$H$641,MATCH(B161,控制台!$F$641:$F$650,0)-1,0)))</f>
        <v>102.993408</v>
      </c>
      <c r="S161" s="16">
        <f ca="1">_xlfn.FLOOR.MATH(R161)*60</f>
        <v>6120</v>
      </c>
      <c r="T161" s="16">
        <f ca="1">8000+IF(C161=1,OFFSET(控制台!$K$599,MATCH(F161,控制台!$B$599:$B$615,0)-1,0),OFFSET(控制台!$K$618,MATCH(F161,控制台!$B$618:$B$636,0)-1,0))</f>
        <v>8001</v>
      </c>
      <c r="U161" s="1">
        <f ca="1">IF(C161=1,OFFSET(控制台!$F$599,MATCH(F161,控制台!$B$599:$B$615,0)-1,0),OFFSET(控制台!$F$618,MATCH(F161,控制台!$B$618:$B$636,0)-1,0))</f>
        <v>5980.2624</v>
      </c>
      <c r="V161" s="1">
        <f ca="1">IF(E161=1,U161/G161,IF(E161=5,U161/G161*OFFSET(控制台!$D$641,MATCH(B161,控制台!$B$641:$B$645,0)-1,0),U161/G161*OFFSET(控制台!$H$641,MATCH(B161,控制台!$F$641:$F$650,0)-1,0)))</f>
        <v>94.9247999999999</v>
      </c>
      <c r="W161" s="20">
        <f ca="1" t="shared" si="7"/>
        <v>0.06592</v>
      </c>
      <c r="X161" s="15">
        <f ca="1">IF(C161=1,OFFSET(控制台!$U$599,MATCH(F161,控制台!$B$599:$B$615,0)-1,0),OFFSET(控制台!$U$618,MATCH(F161,控制台!$B$618:$B$636,0)-1,0))</f>
        <v>16699.2</v>
      </c>
      <c r="Y161" s="16">
        <f ca="1">_xlfn.FLOOR.MATH(IF(E161=1,X161/G161,IF(E161=5,X161/G161*OFFSET(控制台!$D$641,MATCH(B161,控制台!$B$641:$B$645,0)-1,0),X161/G161*OFFSET(控制台!$H$641,MATCH(B161,控制台!$F$641:$F$650,0)-1,0))))</f>
        <v>265</v>
      </c>
      <c r="Z161" s="16">
        <f ca="1" t="shared" si="8"/>
        <v>265</v>
      </c>
    </row>
    <row r="162" spans="1:26">
      <c r="A162" s="1">
        <v>20201</v>
      </c>
      <c r="B162" s="1">
        <v>2</v>
      </c>
      <c r="C162" s="1">
        <v>2</v>
      </c>
      <c r="D162" s="1" t="s">
        <v>2804</v>
      </c>
      <c r="E162" s="1">
        <f ca="1">IF(C162=1,OFFSET(控制台!$F$552,MATCH(A162,控制台!$B$552:$B$580,0)-1,0),OFFSET(控制台!$L$552,MATCH(A162,控制台!$H$552:$H$594,0)-1,0))</f>
        <v>5</v>
      </c>
      <c r="F162" s="1">
        <f ca="1">IF(C162=1,OFFSET(控制台!$D$552,MATCH(A162,控制台!$B$552:$B$580,0)-1,0),OFFSET(控制台!$J$552,MATCH(A162,控制台!$H$552:$H$594,0)-1,0))</f>
        <v>2</v>
      </c>
      <c r="G162" s="1">
        <f ca="1">IF(C162=1,OFFSET(控制台!$I$599,MATCH(F162,控制台!$B$599:$B$615,0)-1,0),OFFSET(控制台!$I$618,MATCH(F162,控制台!$B$618:$B$636,0)-1,0))</f>
        <v>3</v>
      </c>
      <c r="H162" s="1">
        <f ca="1">IF(C162=1,OFFSET(控制台!$D$599,MATCH(F162,控制台!$B$599:$B$615,0)-1,0),OFFSET(控制台!$D$618,MATCH(F162,控制台!$B$618:$B$636,0)-1,0))</f>
        <v>2288160</v>
      </c>
      <c r="I162" s="1">
        <f ca="1">IF(E162=1,H162/G162,IF(E162=5,H162/G162*OFFSET(控制台!$D$641,MATCH(B162,控制台!$B$641:$B$645,0)-1,0),H162/G162*OFFSET(控制台!$H$641,MATCH(B162,控制台!$F$641:$F$650,0)-1,0)))</f>
        <v>72640</v>
      </c>
      <c r="J162" s="1">
        <f ca="1">$I162/3*控制台!H$102</f>
        <v>24213.3333333333</v>
      </c>
      <c r="K162" s="1">
        <f ca="1">$I162/3*控制台!I$102</f>
        <v>18160</v>
      </c>
      <c r="L162" s="1">
        <f ca="1">$I162/3*控制台!J$102</f>
        <v>30266.6666666667</v>
      </c>
      <c r="M162" s="1">
        <f ca="1">_xlfn.FLOOR.MATH(J162,POWER(10,MAX(2,INT(LOG10(J162)-2))))</f>
        <v>24200</v>
      </c>
      <c r="N162" s="1">
        <f ca="1">_xlfn.FLOOR.MATH(K162,POWER(10,MAX(2,INT(LOG10(K162)-2))))</f>
        <v>18100</v>
      </c>
      <c r="O162" s="1">
        <f ca="1">_xlfn.FLOOR.MATH(L162,POWER(10,MAX(2,INT(LOG10(L162)-2))))</f>
        <v>30200</v>
      </c>
      <c r="P162" s="4" t="str">
        <f ca="1" t="shared" si="6"/>
        <v>24200;18100;30200</v>
      </c>
      <c r="Q162" s="15">
        <f ca="1">IF(C162=1,OFFSET(控制台!$H$599,MATCH(F162,控制台!$B$599:$B$615,0)-1,0),OFFSET(控制台!$H$618,MATCH(F162,控制台!$B$618:$B$636,0)-1,0))</f>
        <v>6488.584704</v>
      </c>
      <c r="R162" s="15">
        <f ca="1">IF(E162=1,Q162/G162,IF(E162=5,Q162/G162*OFFSET(控制台!$D$641,MATCH(B162,控制台!$B$641:$B$645,0)-1,0),Q162/G162*OFFSET(控制台!$H$641,MATCH(B162,控制台!$F$641:$F$650,0)-1,0)))</f>
        <v>205.986816</v>
      </c>
      <c r="S162" s="16">
        <f ca="1">_xlfn.FLOOR.MATH(R162)*60</f>
        <v>12300</v>
      </c>
      <c r="T162" s="16">
        <f ca="1">8000+IF(C162=1,OFFSET(控制台!$K$599,MATCH(F162,控制台!$B$599:$B$615,0)-1,0),OFFSET(控制台!$K$618,MATCH(F162,控制台!$B$618:$B$636,0)-1,0))</f>
        <v>8001</v>
      </c>
      <c r="U162" s="1">
        <f ca="1">IF(C162=1,OFFSET(控制台!$F$599,MATCH(F162,控制台!$B$599:$B$615,0)-1,0),OFFSET(控制台!$F$618,MATCH(F162,控制台!$B$618:$B$636,0)-1,0))</f>
        <v>5980.2624</v>
      </c>
      <c r="V162" s="1">
        <f ca="1">IF(E162=1,U162/G162,IF(E162=5,U162/G162*OFFSET(控制台!$D$641,MATCH(B162,控制台!$B$641:$B$645,0)-1,0),U162/G162*OFFSET(控制台!$H$641,MATCH(B162,控制台!$F$641:$F$650,0)-1,0)))</f>
        <v>189.8496</v>
      </c>
      <c r="W162" s="20">
        <f ca="1" t="shared" si="7"/>
        <v>0.13184</v>
      </c>
      <c r="X162" s="15">
        <f ca="1">IF(C162=1,OFFSET(控制台!$U$599,MATCH(F162,控制台!$B$599:$B$615,0)-1,0),OFFSET(控制台!$U$618,MATCH(F162,控制台!$B$618:$B$636,0)-1,0))</f>
        <v>16699.2</v>
      </c>
      <c r="Y162" s="16">
        <f ca="1">_xlfn.FLOOR.MATH(IF(E162=1,X162/G162,IF(E162=5,X162/G162*OFFSET(控制台!$D$641,MATCH(B162,控制台!$B$641:$B$645,0)-1,0),X162/G162*OFFSET(控制台!$H$641,MATCH(B162,控制台!$F$641:$F$650,0)-1,0))))</f>
        <v>530</v>
      </c>
      <c r="Z162" s="16">
        <f ca="1" t="shared" si="8"/>
        <v>795</v>
      </c>
    </row>
    <row r="163" spans="1:26">
      <c r="A163" s="1">
        <v>20201</v>
      </c>
      <c r="B163" s="1">
        <v>3</v>
      </c>
      <c r="C163" s="1">
        <v>2</v>
      </c>
      <c r="D163" s="1" t="s">
        <v>2804</v>
      </c>
      <c r="E163" s="1">
        <f ca="1">IF(C163=1,OFFSET(控制台!$F$552,MATCH(A163,控制台!$B$552:$B$580,0)-1,0),OFFSET(控制台!$L$552,MATCH(A163,控制台!$H$552:$H$594,0)-1,0))</f>
        <v>5</v>
      </c>
      <c r="F163" s="1">
        <f ca="1">IF(C163=1,OFFSET(控制台!$D$552,MATCH(A163,控制台!$B$552:$B$580,0)-1,0),OFFSET(控制台!$J$552,MATCH(A163,控制台!$H$552:$H$594,0)-1,0))</f>
        <v>2</v>
      </c>
      <c r="G163" s="1">
        <f ca="1">IF(C163=1,OFFSET(控制台!$I$599,MATCH(F163,控制台!$B$599:$B$615,0)-1,0),OFFSET(控制台!$I$618,MATCH(F163,控制台!$B$618:$B$636,0)-1,0))</f>
        <v>3</v>
      </c>
      <c r="H163" s="1">
        <f ca="1">IF(C163=1,OFFSET(控制台!$D$599,MATCH(F163,控制台!$B$599:$B$615,0)-1,0),OFFSET(控制台!$D$618,MATCH(F163,控制台!$B$618:$B$636,0)-1,0))</f>
        <v>2288160</v>
      </c>
      <c r="I163" s="1">
        <f ca="1">IF(E163=1,H163/G163,IF(E163=5,H163/G163*OFFSET(控制台!$D$641,MATCH(B163,控制台!$B$641:$B$645,0)-1,0),H163/G163*OFFSET(控制台!$H$641,MATCH(B163,控制台!$F$641:$F$650,0)-1,0)))</f>
        <v>108960</v>
      </c>
      <c r="J163" s="1">
        <f ca="1">$I163/3*控制台!H$102</f>
        <v>36320</v>
      </c>
      <c r="K163" s="1">
        <f ca="1">$I163/3*控制台!I$102</f>
        <v>27240</v>
      </c>
      <c r="L163" s="1">
        <f ca="1">$I163/3*控制台!J$102</f>
        <v>45400</v>
      </c>
      <c r="M163" s="1">
        <f ca="1">_xlfn.FLOOR.MATH(J163,POWER(10,MAX(2,INT(LOG10(J163)-2))))</f>
        <v>36300</v>
      </c>
      <c r="N163" s="1">
        <f ca="1">_xlfn.FLOOR.MATH(K163,POWER(10,MAX(2,INT(LOG10(K163)-2))))</f>
        <v>27200</v>
      </c>
      <c r="O163" s="1">
        <f ca="1">_xlfn.FLOOR.MATH(L163,POWER(10,MAX(2,INT(LOG10(L163)-2))))</f>
        <v>45400</v>
      </c>
      <c r="P163" s="4" t="str">
        <f ca="1" t="shared" si="6"/>
        <v>36300;27200;45400</v>
      </c>
      <c r="Q163" s="15">
        <f ca="1">IF(C163=1,OFFSET(控制台!$H$599,MATCH(F163,控制台!$B$599:$B$615,0)-1,0),OFFSET(控制台!$H$618,MATCH(F163,控制台!$B$618:$B$636,0)-1,0))</f>
        <v>6488.584704</v>
      </c>
      <c r="R163" s="15">
        <f ca="1">IF(E163=1,Q163/G163,IF(E163=5,Q163/G163*OFFSET(控制台!$D$641,MATCH(B163,控制台!$B$641:$B$645,0)-1,0),Q163/G163*OFFSET(控制台!$H$641,MATCH(B163,控制台!$F$641:$F$650,0)-1,0)))</f>
        <v>308.980224</v>
      </c>
      <c r="S163" s="16">
        <f ca="1">_xlfn.FLOOR.MATH(R163)*60</f>
        <v>18480</v>
      </c>
      <c r="T163" s="16">
        <f ca="1">8000+IF(C163=1,OFFSET(控制台!$K$599,MATCH(F163,控制台!$B$599:$B$615,0)-1,0),OFFSET(控制台!$K$618,MATCH(F163,控制台!$B$618:$B$636,0)-1,0))</f>
        <v>8001</v>
      </c>
      <c r="U163" s="1">
        <f ca="1">IF(C163=1,OFFSET(控制台!$F$599,MATCH(F163,控制台!$B$599:$B$615,0)-1,0),OFFSET(控制台!$F$618,MATCH(F163,控制台!$B$618:$B$636,0)-1,0))</f>
        <v>5980.2624</v>
      </c>
      <c r="V163" s="1">
        <f ca="1">IF(E163=1,U163/G163,IF(E163=5,U163/G163*OFFSET(控制台!$D$641,MATCH(B163,控制台!$B$641:$B$645,0)-1,0),U163/G163*OFFSET(控制台!$H$641,MATCH(B163,控制台!$F$641:$F$650,0)-1,0)))</f>
        <v>284.7744</v>
      </c>
      <c r="W163" s="20">
        <f ca="1" t="shared" si="7"/>
        <v>0.19776</v>
      </c>
      <c r="X163" s="15">
        <f ca="1">IF(C163=1,OFFSET(控制台!$U$599,MATCH(F163,控制台!$B$599:$B$615,0)-1,0),OFFSET(控制台!$U$618,MATCH(F163,控制台!$B$618:$B$636,0)-1,0))</f>
        <v>16699.2</v>
      </c>
      <c r="Y163" s="16">
        <f ca="1">_xlfn.FLOOR.MATH(IF(E163=1,X163/G163,IF(E163=5,X163/G163*OFFSET(控制台!$D$641,MATCH(B163,控制台!$B$641:$B$645,0)-1,0),X163/G163*OFFSET(控制台!$H$641,MATCH(B163,控制台!$F$641:$F$650,0)-1,0))))</f>
        <v>795</v>
      </c>
      <c r="Z163" s="16">
        <f ca="1" t="shared" si="8"/>
        <v>1590</v>
      </c>
    </row>
    <row r="164" spans="1:26">
      <c r="A164" s="1">
        <v>20201</v>
      </c>
      <c r="B164" s="1">
        <v>4</v>
      </c>
      <c r="C164" s="1">
        <v>2</v>
      </c>
      <c r="D164" s="1" t="s">
        <v>2804</v>
      </c>
      <c r="E164" s="1">
        <f ca="1">IF(C164=1,OFFSET(控制台!$F$552,MATCH(A164,控制台!$B$552:$B$580,0)-1,0),OFFSET(控制台!$L$552,MATCH(A164,控制台!$H$552:$H$594,0)-1,0))</f>
        <v>5</v>
      </c>
      <c r="F164" s="1">
        <f ca="1">IF(C164=1,OFFSET(控制台!$D$552,MATCH(A164,控制台!$B$552:$B$580,0)-1,0),OFFSET(控制台!$J$552,MATCH(A164,控制台!$H$552:$H$594,0)-1,0))</f>
        <v>2</v>
      </c>
      <c r="G164" s="1">
        <f ca="1">IF(C164=1,OFFSET(控制台!$I$599,MATCH(F164,控制台!$B$599:$B$615,0)-1,0),OFFSET(控制台!$I$618,MATCH(F164,控制台!$B$618:$B$636,0)-1,0))</f>
        <v>3</v>
      </c>
      <c r="H164" s="1">
        <f ca="1">IF(C164=1,OFFSET(控制台!$D$599,MATCH(F164,控制台!$B$599:$B$615,0)-1,0),OFFSET(控制台!$D$618,MATCH(F164,控制台!$B$618:$B$636,0)-1,0))</f>
        <v>2288160</v>
      </c>
      <c r="I164" s="1">
        <f ca="1">IF(E164=1,H164/G164,IF(E164=5,H164/G164*OFFSET(控制台!$D$641,MATCH(B164,控制台!$B$641:$B$645,0)-1,0),H164/G164*OFFSET(控制台!$H$641,MATCH(B164,控制台!$F$641:$F$650,0)-1,0)))</f>
        <v>181600</v>
      </c>
      <c r="J164" s="1">
        <f ca="1">$I164/3*控制台!H$102</f>
        <v>60533.3333333333</v>
      </c>
      <c r="K164" s="1">
        <f ca="1">$I164/3*控制台!I$102</f>
        <v>45400</v>
      </c>
      <c r="L164" s="1">
        <f ca="1">$I164/3*控制台!J$102</f>
        <v>75666.6666666666</v>
      </c>
      <c r="M164" s="1">
        <f ca="1">_xlfn.FLOOR.MATH(J164,POWER(10,MAX(2,INT(LOG10(J164)-2))))</f>
        <v>60500</v>
      </c>
      <c r="N164" s="1">
        <f ca="1">_xlfn.FLOOR.MATH(K164,POWER(10,MAX(2,INT(LOG10(K164)-2))))</f>
        <v>45400</v>
      </c>
      <c r="O164" s="1">
        <f ca="1">_xlfn.FLOOR.MATH(L164,POWER(10,MAX(2,INT(LOG10(L164)-2))))</f>
        <v>75600</v>
      </c>
      <c r="P164" s="4" t="str">
        <f ca="1" t="shared" si="6"/>
        <v>60500;45400;75600</v>
      </c>
      <c r="Q164" s="15">
        <f ca="1">IF(C164=1,OFFSET(控制台!$H$599,MATCH(F164,控制台!$B$599:$B$615,0)-1,0),OFFSET(控制台!$H$618,MATCH(F164,控制台!$B$618:$B$636,0)-1,0))</f>
        <v>6488.584704</v>
      </c>
      <c r="R164" s="15">
        <f ca="1">IF(E164=1,Q164/G164,IF(E164=5,Q164/G164*OFFSET(控制台!$D$641,MATCH(B164,控制台!$B$641:$B$645,0)-1,0),Q164/G164*OFFSET(控制台!$H$641,MATCH(B164,控制台!$F$641:$F$650,0)-1,0)))</f>
        <v>514.96704</v>
      </c>
      <c r="S164" s="16">
        <f ca="1">_xlfn.FLOOR.MATH(R164)*60</f>
        <v>30840</v>
      </c>
      <c r="T164" s="16">
        <f ca="1">8000+IF(C164=1,OFFSET(控制台!$K$599,MATCH(F164,控制台!$B$599:$B$615,0)-1,0),OFFSET(控制台!$K$618,MATCH(F164,控制台!$B$618:$B$636,0)-1,0))</f>
        <v>8001</v>
      </c>
      <c r="U164" s="1">
        <f ca="1">IF(C164=1,OFFSET(控制台!$F$599,MATCH(F164,控制台!$B$599:$B$615,0)-1,0),OFFSET(控制台!$F$618,MATCH(F164,控制台!$B$618:$B$636,0)-1,0))</f>
        <v>5980.2624</v>
      </c>
      <c r="V164" s="1">
        <f ca="1">IF(E164=1,U164/G164,IF(E164=5,U164/G164*OFFSET(控制台!$D$641,MATCH(B164,控制台!$B$641:$B$645,0)-1,0),U164/G164*OFFSET(控制台!$H$641,MATCH(B164,控制台!$F$641:$F$650,0)-1,0)))</f>
        <v>474.624</v>
      </c>
      <c r="W164" s="20">
        <f ca="1" t="shared" si="7"/>
        <v>0.3296</v>
      </c>
      <c r="X164" s="15">
        <f ca="1">IF(C164=1,OFFSET(控制台!$U$599,MATCH(F164,控制台!$B$599:$B$615,0)-1,0),OFFSET(控制台!$U$618,MATCH(F164,控制台!$B$618:$B$636,0)-1,0))</f>
        <v>16699.2</v>
      </c>
      <c r="Y164" s="16">
        <f ca="1">_xlfn.FLOOR.MATH(IF(E164=1,X164/G164,IF(E164=5,X164/G164*OFFSET(控制台!$D$641,MATCH(B164,控制台!$B$641:$B$645,0)-1,0),X164/G164*OFFSET(控制台!$H$641,MATCH(B164,控制台!$F$641:$F$650,0)-1,0))))</f>
        <v>1325</v>
      </c>
      <c r="Z164" s="16">
        <f ca="1" t="shared" si="8"/>
        <v>2915</v>
      </c>
    </row>
    <row r="165" spans="1:26">
      <c r="A165" s="1">
        <v>20201</v>
      </c>
      <c r="B165" s="1">
        <v>5</v>
      </c>
      <c r="C165" s="1">
        <v>2</v>
      </c>
      <c r="D165" s="1" t="s">
        <v>2804</v>
      </c>
      <c r="E165" s="1">
        <f ca="1">IF(C165=1,OFFSET(控制台!$F$552,MATCH(A165,控制台!$B$552:$B$580,0)-1,0),OFFSET(控制台!$L$552,MATCH(A165,控制台!$H$552:$H$594,0)-1,0))</f>
        <v>5</v>
      </c>
      <c r="F165" s="1">
        <f ca="1">IF(C165=1,OFFSET(控制台!$D$552,MATCH(A165,控制台!$B$552:$B$580,0)-1,0),OFFSET(控制台!$J$552,MATCH(A165,控制台!$H$552:$H$594,0)-1,0))</f>
        <v>2</v>
      </c>
      <c r="G165" s="1">
        <f ca="1">IF(C165=1,OFFSET(控制台!$I$599,MATCH(F165,控制台!$B$599:$B$615,0)-1,0),OFFSET(控制台!$I$618,MATCH(F165,控制台!$B$618:$B$636,0)-1,0))</f>
        <v>3</v>
      </c>
      <c r="H165" s="1">
        <f ca="1">IF(C165=1,OFFSET(控制台!$D$599,MATCH(F165,控制台!$B$599:$B$615,0)-1,0),OFFSET(控制台!$D$618,MATCH(F165,控制台!$B$618:$B$636,0)-1,0))</f>
        <v>2288160</v>
      </c>
      <c r="I165" s="1">
        <f ca="1">IF(E165=1,H165/G165,IF(E165=5,H165/G165*OFFSET(控制台!$D$641,MATCH(B165,控制台!$B$641:$B$645,0)-1,0),H165/G165*OFFSET(控制台!$H$641,MATCH(B165,控制台!$F$641:$F$650,0)-1,0)))</f>
        <v>363200</v>
      </c>
      <c r="J165" s="1">
        <f ca="1">$I165/3*控制台!H$102</f>
        <v>121066.666666667</v>
      </c>
      <c r="K165" s="1">
        <f ca="1">$I165/3*控制台!I$102</f>
        <v>90800</v>
      </c>
      <c r="L165" s="1">
        <f ca="1">$I165/3*控制台!J$102</f>
        <v>151333.333333333</v>
      </c>
      <c r="M165" s="1">
        <f ca="1">_xlfn.FLOOR.MATH(J165,POWER(10,MAX(2,INT(LOG10(J165)-2))))</f>
        <v>121000</v>
      </c>
      <c r="N165" s="1">
        <f ca="1">_xlfn.FLOOR.MATH(K165,POWER(10,MAX(2,INT(LOG10(K165)-2))))</f>
        <v>90800</v>
      </c>
      <c r="O165" s="1">
        <f ca="1">_xlfn.FLOOR.MATH(L165,POWER(10,MAX(2,INT(LOG10(L165)-2))))</f>
        <v>151000</v>
      </c>
      <c r="P165" s="4" t="str">
        <f ca="1" t="shared" si="6"/>
        <v>121000;90800;151000</v>
      </c>
      <c r="Q165" s="15">
        <f ca="1">IF(C165=1,OFFSET(控制台!$H$599,MATCH(F165,控制台!$B$599:$B$615,0)-1,0),OFFSET(控制台!$H$618,MATCH(F165,控制台!$B$618:$B$636,0)-1,0))</f>
        <v>6488.584704</v>
      </c>
      <c r="R165" s="15">
        <f ca="1">IF(E165=1,Q165/G165,IF(E165=5,Q165/G165*OFFSET(控制台!$D$641,MATCH(B165,控制台!$B$641:$B$645,0)-1,0),Q165/G165*OFFSET(控制台!$H$641,MATCH(B165,控制台!$F$641:$F$650,0)-1,0)))</f>
        <v>1029.93408</v>
      </c>
      <c r="S165" s="16">
        <f ca="1">_xlfn.FLOOR.MATH(R165)*60</f>
        <v>61740</v>
      </c>
      <c r="T165" s="16">
        <f ca="1">8000+IF(C165=1,OFFSET(控制台!$K$599,MATCH(F165,控制台!$B$599:$B$615,0)-1,0),OFFSET(控制台!$K$618,MATCH(F165,控制台!$B$618:$B$636,0)-1,0))</f>
        <v>8001</v>
      </c>
      <c r="U165" s="1">
        <f ca="1">IF(C165=1,OFFSET(控制台!$F$599,MATCH(F165,控制台!$B$599:$B$615,0)-1,0),OFFSET(控制台!$F$618,MATCH(F165,控制台!$B$618:$B$636,0)-1,0))</f>
        <v>5980.2624</v>
      </c>
      <c r="V165" s="1">
        <f ca="1">IF(E165=1,U165/G165,IF(E165=5,U165/G165*OFFSET(控制台!$D$641,MATCH(B165,控制台!$B$641:$B$645,0)-1,0),U165/G165*OFFSET(控制台!$H$641,MATCH(B165,控制台!$F$641:$F$650,0)-1,0)))</f>
        <v>949.247999999999</v>
      </c>
      <c r="W165" s="20">
        <f ca="1" t="shared" si="7"/>
        <v>0.6592</v>
      </c>
      <c r="X165" s="15">
        <f ca="1">IF(C165=1,OFFSET(控制台!$U$599,MATCH(F165,控制台!$B$599:$B$615,0)-1,0),OFFSET(控制台!$U$618,MATCH(F165,控制台!$B$618:$B$636,0)-1,0))</f>
        <v>16699.2</v>
      </c>
      <c r="Y165" s="16">
        <f ca="1">_xlfn.FLOOR.MATH(IF(E165=1,X165/G165,IF(E165=5,X165/G165*OFFSET(控制台!$D$641,MATCH(B165,控制台!$B$641:$B$645,0)-1,0),X165/G165*OFFSET(控制台!$H$641,MATCH(B165,控制台!$F$641:$F$650,0)-1,0))))</f>
        <v>2650</v>
      </c>
      <c r="Z165" s="16">
        <f ca="1" t="shared" si="8"/>
        <v>5565</v>
      </c>
    </row>
    <row r="166" spans="1:26">
      <c r="A166" s="1">
        <v>20202</v>
      </c>
      <c r="B166" s="1">
        <v>1</v>
      </c>
      <c r="C166" s="1">
        <v>2</v>
      </c>
      <c r="D166" s="1" t="s">
        <v>2805</v>
      </c>
      <c r="E166" s="1">
        <f ca="1">IF(C166=1,OFFSET(控制台!$F$552,MATCH(A166,控制台!$B$552:$B$580,0)-1,0),OFFSET(控制台!$L$552,MATCH(A166,控制台!$H$552:$H$594,0)-1,0))</f>
        <v>5</v>
      </c>
      <c r="F166" s="1">
        <f ca="1">IF(C166=1,OFFSET(控制台!$D$552,MATCH(A166,控制台!$B$552:$B$580,0)-1,0),OFFSET(控制台!$J$552,MATCH(A166,控制台!$H$552:$H$594,0)-1,0))</f>
        <v>2</v>
      </c>
      <c r="G166" s="1">
        <f ca="1">IF(C166=1,OFFSET(控制台!$I$599,MATCH(F166,控制台!$B$599:$B$615,0)-1,0),OFFSET(控制台!$I$618,MATCH(F166,控制台!$B$618:$B$636,0)-1,0))</f>
        <v>3</v>
      </c>
      <c r="H166" s="1">
        <f ca="1">IF(C166=1,OFFSET(控制台!$D$599,MATCH(F166,控制台!$B$599:$B$615,0)-1,0),OFFSET(控制台!$D$618,MATCH(F166,控制台!$B$618:$B$636,0)-1,0))</f>
        <v>2288160</v>
      </c>
      <c r="I166" s="1">
        <f ca="1">IF(E166=1,H166/G166,IF(E166=5,H166/G166*OFFSET(控制台!$D$641,MATCH(B166,控制台!$B$641:$B$645,0)-1,0),H166/G166*OFFSET(控制台!$H$641,MATCH(B166,控制台!$F$641:$F$650,0)-1,0)))</f>
        <v>36320</v>
      </c>
      <c r="J166" s="1">
        <f ca="1">$I166/3*控制台!H$102</f>
        <v>12106.6666666667</v>
      </c>
      <c r="K166" s="1">
        <f ca="1">$I166/3*控制台!I$102</f>
        <v>9080</v>
      </c>
      <c r="L166" s="1">
        <f ca="1">$I166/3*控制台!J$102</f>
        <v>15133.3333333333</v>
      </c>
      <c r="M166" s="1">
        <f ca="1">_xlfn.FLOOR.MATH(J166,POWER(10,MAX(2,INT(LOG10(J166)-2))))</f>
        <v>12100</v>
      </c>
      <c r="N166" s="1">
        <f ca="1">_xlfn.FLOOR.MATH(K166,POWER(10,MAX(2,INT(LOG10(K166)-2))))</f>
        <v>9000</v>
      </c>
      <c r="O166" s="1">
        <f ca="1">_xlfn.FLOOR.MATH(L166,POWER(10,MAX(2,INT(LOG10(L166)-2))))</f>
        <v>15100</v>
      </c>
      <c r="P166" s="4" t="str">
        <f ca="1" t="shared" si="6"/>
        <v>12100;9000;15100</v>
      </c>
      <c r="Q166" s="15">
        <f ca="1">IF(C166=1,OFFSET(控制台!$H$599,MATCH(F166,控制台!$B$599:$B$615,0)-1,0),OFFSET(控制台!$H$618,MATCH(F166,控制台!$B$618:$B$636,0)-1,0))</f>
        <v>6488.584704</v>
      </c>
      <c r="R166" s="15">
        <f ca="1">IF(E166=1,Q166/G166,IF(E166=5,Q166/G166*OFFSET(控制台!$D$641,MATCH(B166,控制台!$B$641:$B$645,0)-1,0),Q166/G166*OFFSET(控制台!$H$641,MATCH(B166,控制台!$F$641:$F$650,0)-1,0)))</f>
        <v>102.993408</v>
      </c>
      <c r="S166" s="16">
        <f ca="1">_xlfn.FLOOR.MATH(R166)*60</f>
        <v>6120</v>
      </c>
      <c r="T166" s="16">
        <f ca="1">8000+IF(C166=1,OFFSET(控制台!$K$599,MATCH(F166,控制台!$B$599:$B$615,0)-1,0),OFFSET(控制台!$K$618,MATCH(F166,控制台!$B$618:$B$636,0)-1,0))</f>
        <v>8001</v>
      </c>
      <c r="U166" s="1">
        <f ca="1">IF(C166=1,OFFSET(控制台!$F$599,MATCH(F166,控制台!$B$599:$B$615,0)-1,0),OFFSET(控制台!$F$618,MATCH(F166,控制台!$B$618:$B$636,0)-1,0))</f>
        <v>5980.2624</v>
      </c>
      <c r="V166" s="1">
        <f ca="1">IF(E166=1,U166/G166,IF(E166=5,U166/G166*OFFSET(控制台!$D$641,MATCH(B166,控制台!$B$641:$B$645,0)-1,0),U166/G166*OFFSET(控制台!$H$641,MATCH(B166,控制台!$F$641:$F$650,0)-1,0)))</f>
        <v>94.9247999999999</v>
      </c>
      <c r="W166" s="20">
        <f ca="1" t="shared" si="7"/>
        <v>0.06592</v>
      </c>
      <c r="X166" s="15">
        <f ca="1">IF(C166=1,OFFSET(控制台!$U$599,MATCH(F166,控制台!$B$599:$B$615,0)-1,0),OFFSET(控制台!$U$618,MATCH(F166,控制台!$B$618:$B$636,0)-1,0))</f>
        <v>16699.2</v>
      </c>
      <c r="Y166" s="16">
        <f ca="1">_xlfn.FLOOR.MATH(IF(E166=1,X166/G166,IF(E166=5,X166/G166*OFFSET(控制台!$D$641,MATCH(B166,控制台!$B$641:$B$645,0)-1,0),X166/G166*OFFSET(控制台!$H$641,MATCH(B166,控制台!$F$641:$F$650,0)-1,0))))</f>
        <v>265</v>
      </c>
      <c r="Z166" s="16">
        <f ca="1" t="shared" si="8"/>
        <v>265</v>
      </c>
    </row>
    <row r="167" spans="1:26">
      <c r="A167" s="1">
        <v>20202</v>
      </c>
      <c r="B167" s="1">
        <v>2</v>
      </c>
      <c r="C167" s="1">
        <v>2</v>
      </c>
      <c r="D167" s="1" t="s">
        <v>2805</v>
      </c>
      <c r="E167" s="1">
        <f ca="1">IF(C167=1,OFFSET(控制台!$F$552,MATCH(A167,控制台!$B$552:$B$580,0)-1,0),OFFSET(控制台!$L$552,MATCH(A167,控制台!$H$552:$H$594,0)-1,0))</f>
        <v>5</v>
      </c>
      <c r="F167" s="1">
        <f ca="1">IF(C167=1,OFFSET(控制台!$D$552,MATCH(A167,控制台!$B$552:$B$580,0)-1,0),OFFSET(控制台!$J$552,MATCH(A167,控制台!$H$552:$H$594,0)-1,0))</f>
        <v>2</v>
      </c>
      <c r="G167" s="1">
        <f ca="1">IF(C167=1,OFFSET(控制台!$I$599,MATCH(F167,控制台!$B$599:$B$615,0)-1,0),OFFSET(控制台!$I$618,MATCH(F167,控制台!$B$618:$B$636,0)-1,0))</f>
        <v>3</v>
      </c>
      <c r="H167" s="1">
        <f ca="1">IF(C167=1,OFFSET(控制台!$D$599,MATCH(F167,控制台!$B$599:$B$615,0)-1,0),OFFSET(控制台!$D$618,MATCH(F167,控制台!$B$618:$B$636,0)-1,0))</f>
        <v>2288160</v>
      </c>
      <c r="I167" s="1">
        <f ca="1">IF(E167=1,H167/G167,IF(E167=5,H167/G167*OFFSET(控制台!$D$641,MATCH(B167,控制台!$B$641:$B$645,0)-1,0),H167/G167*OFFSET(控制台!$H$641,MATCH(B167,控制台!$F$641:$F$650,0)-1,0)))</f>
        <v>72640</v>
      </c>
      <c r="J167" s="1">
        <f ca="1">$I167/3*控制台!H$102</f>
        <v>24213.3333333333</v>
      </c>
      <c r="K167" s="1">
        <f ca="1">$I167/3*控制台!I$102</f>
        <v>18160</v>
      </c>
      <c r="L167" s="1">
        <f ca="1">$I167/3*控制台!J$102</f>
        <v>30266.6666666667</v>
      </c>
      <c r="M167" s="1">
        <f ca="1">_xlfn.FLOOR.MATH(J167,POWER(10,MAX(2,INT(LOG10(J167)-2))))</f>
        <v>24200</v>
      </c>
      <c r="N167" s="1">
        <f ca="1">_xlfn.FLOOR.MATH(K167,POWER(10,MAX(2,INT(LOG10(K167)-2))))</f>
        <v>18100</v>
      </c>
      <c r="O167" s="1">
        <f ca="1">_xlfn.FLOOR.MATH(L167,POWER(10,MAX(2,INT(LOG10(L167)-2))))</f>
        <v>30200</v>
      </c>
      <c r="P167" s="4" t="str">
        <f ca="1" t="shared" si="6"/>
        <v>24200;18100;30200</v>
      </c>
      <c r="Q167" s="15">
        <f ca="1">IF(C167=1,OFFSET(控制台!$H$599,MATCH(F167,控制台!$B$599:$B$615,0)-1,0),OFFSET(控制台!$H$618,MATCH(F167,控制台!$B$618:$B$636,0)-1,0))</f>
        <v>6488.584704</v>
      </c>
      <c r="R167" s="15">
        <f ca="1">IF(E167=1,Q167/G167,IF(E167=5,Q167/G167*OFFSET(控制台!$D$641,MATCH(B167,控制台!$B$641:$B$645,0)-1,0),Q167/G167*OFFSET(控制台!$H$641,MATCH(B167,控制台!$F$641:$F$650,0)-1,0)))</f>
        <v>205.986816</v>
      </c>
      <c r="S167" s="16">
        <f ca="1">_xlfn.FLOOR.MATH(R167)*60</f>
        <v>12300</v>
      </c>
      <c r="T167" s="16">
        <f ca="1">8000+IF(C167=1,OFFSET(控制台!$K$599,MATCH(F167,控制台!$B$599:$B$615,0)-1,0),OFFSET(控制台!$K$618,MATCH(F167,控制台!$B$618:$B$636,0)-1,0))</f>
        <v>8001</v>
      </c>
      <c r="U167" s="1">
        <f ca="1">IF(C167=1,OFFSET(控制台!$F$599,MATCH(F167,控制台!$B$599:$B$615,0)-1,0),OFFSET(控制台!$F$618,MATCH(F167,控制台!$B$618:$B$636,0)-1,0))</f>
        <v>5980.2624</v>
      </c>
      <c r="V167" s="1">
        <f ca="1">IF(E167=1,U167/G167,IF(E167=5,U167/G167*OFFSET(控制台!$D$641,MATCH(B167,控制台!$B$641:$B$645,0)-1,0),U167/G167*OFFSET(控制台!$H$641,MATCH(B167,控制台!$F$641:$F$650,0)-1,0)))</f>
        <v>189.8496</v>
      </c>
      <c r="W167" s="20">
        <f ca="1" t="shared" si="7"/>
        <v>0.13184</v>
      </c>
      <c r="X167" s="15">
        <f ca="1">IF(C167=1,OFFSET(控制台!$U$599,MATCH(F167,控制台!$B$599:$B$615,0)-1,0),OFFSET(控制台!$U$618,MATCH(F167,控制台!$B$618:$B$636,0)-1,0))</f>
        <v>16699.2</v>
      </c>
      <c r="Y167" s="16">
        <f ca="1">_xlfn.FLOOR.MATH(IF(E167=1,X167/G167,IF(E167=5,X167/G167*OFFSET(控制台!$D$641,MATCH(B167,控制台!$B$641:$B$645,0)-1,0),X167/G167*OFFSET(控制台!$H$641,MATCH(B167,控制台!$F$641:$F$650,0)-1,0))))</f>
        <v>530</v>
      </c>
      <c r="Z167" s="16">
        <f ca="1" t="shared" si="8"/>
        <v>795</v>
      </c>
    </row>
    <row r="168" spans="1:26">
      <c r="A168" s="1">
        <v>20202</v>
      </c>
      <c r="B168" s="1">
        <v>3</v>
      </c>
      <c r="C168" s="1">
        <v>2</v>
      </c>
      <c r="D168" s="1" t="s">
        <v>2805</v>
      </c>
      <c r="E168" s="1">
        <f ca="1">IF(C168=1,OFFSET(控制台!$F$552,MATCH(A168,控制台!$B$552:$B$580,0)-1,0),OFFSET(控制台!$L$552,MATCH(A168,控制台!$H$552:$H$594,0)-1,0))</f>
        <v>5</v>
      </c>
      <c r="F168" s="1">
        <f ca="1">IF(C168=1,OFFSET(控制台!$D$552,MATCH(A168,控制台!$B$552:$B$580,0)-1,0),OFFSET(控制台!$J$552,MATCH(A168,控制台!$H$552:$H$594,0)-1,0))</f>
        <v>2</v>
      </c>
      <c r="G168" s="1">
        <f ca="1">IF(C168=1,OFFSET(控制台!$I$599,MATCH(F168,控制台!$B$599:$B$615,0)-1,0),OFFSET(控制台!$I$618,MATCH(F168,控制台!$B$618:$B$636,0)-1,0))</f>
        <v>3</v>
      </c>
      <c r="H168" s="1">
        <f ca="1">IF(C168=1,OFFSET(控制台!$D$599,MATCH(F168,控制台!$B$599:$B$615,0)-1,0),OFFSET(控制台!$D$618,MATCH(F168,控制台!$B$618:$B$636,0)-1,0))</f>
        <v>2288160</v>
      </c>
      <c r="I168" s="1">
        <f ca="1">IF(E168=1,H168/G168,IF(E168=5,H168/G168*OFFSET(控制台!$D$641,MATCH(B168,控制台!$B$641:$B$645,0)-1,0),H168/G168*OFFSET(控制台!$H$641,MATCH(B168,控制台!$F$641:$F$650,0)-1,0)))</f>
        <v>108960</v>
      </c>
      <c r="J168" s="1">
        <f ca="1">$I168/3*控制台!H$102</f>
        <v>36320</v>
      </c>
      <c r="K168" s="1">
        <f ca="1">$I168/3*控制台!I$102</f>
        <v>27240</v>
      </c>
      <c r="L168" s="1">
        <f ca="1">$I168/3*控制台!J$102</f>
        <v>45400</v>
      </c>
      <c r="M168" s="1">
        <f ca="1">_xlfn.FLOOR.MATH(J168,POWER(10,MAX(2,INT(LOG10(J168)-2))))</f>
        <v>36300</v>
      </c>
      <c r="N168" s="1">
        <f ca="1">_xlfn.FLOOR.MATH(K168,POWER(10,MAX(2,INT(LOG10(K168)-2))))</f>
        <v>27200</v>
      </c>
      <c r="O168" s="1">
        <f ca="1">_xlfn.FLOOR.MATH(L168,POWER(10,MAX(2,INT(LOG10(L168)-2))))</f>
        <v>45400</v>
      </c>
      <c r="P168" s="4" t="str">
        <f ca="1" t="shared" si="6"/>
        <v>36300;27200;45400</v>
      </c>
      <c r="Q168" s="15">
        <f ca="1">IF(C168=1,OFFSET(控制台!$H$599,MATCH(F168,控制台!$B$599:$B$615,0)-1,0),OFFSET(控制台!$H$618,MATCH(F168,控制台!$B$618:$B$636,0)-1,0))</f>
        <v>6488.584704</v>
      </c>
      <c r="R168" s="15">
        <f ca="1">IF(E168=1,Q168/G168,IF(E168=5,Q168/G168*OFFSET(控制台!$D$641,MATCH(B168,控制台!$B$641:$B$645,0)-1,0),Q168/G168*OFFSET(控制台!$H$641,MATCH(B168,控制台!$F$641:$F$650,0)-1,0)))</f>
        <v>308.980224</v>
      </c>
      <c r="S168" s="16">
        <f ca="1">_xlfn.FLOOR.MATH(R168)*60</f>
        <v>18480</v>
      </c>
      <c r="T168" s="16">
        <f ca="1">8000+IF(C168=1,OFFSET(控制台!$K$599,MATCH(F168,控制台!$B$599:$B$615,0)-1,0),OFFSET(控制台!$K$618,MATCH(F168,控制台!$B$618:$B$636,0)-1,0))</f>
        <v>8001</v>
      </c>
      <c r="U168" s="1">
        <f ca="1">IF(C168=1,OFFSET(控制台!$F$599,MATCH(F168,控制台!$B$599:$B$615,0)-1,0),OFFSET(控制台!$F$618,MATCH(F168,控制台!$B$618:$B$636,0)-1,0))</f>
        <v>5980.2624</v>
      </c>
      <c r="V168" s="1">
        <f ca="1">IF(E168=1,U168/G168,IF(E168=5,U168/G168*OFFSET(控制台!$D$641,MATCH(B168,控制台!$B$641:$B$645,0)-1,0),U168/G168*OFFSET(控制台!$H$641,MATCH(B168,控制台!$F$641:$F$650,0)-1,0)))</f>
        <v>284.7744</v>
      </c>
      <c r="W168" s="20">
        <f ca="1" t="shared" si="7"/>
        <v>0.19776</v>
      </c>
      <c r="X168" s="15">
        <f ca="1">IF(C168=1,OFFSET(控制台!$U$599,MATCH(F168,控制台!$B$599:$B$615,0)-1,0),OFFSET(控制台!$U$618,MATCH(F168,控制台!$B$618:$B$636,0)-1,0))</f>
        <v>16699.2</v>
      </c>
      <c r="Y168" s="16">
        <f ca="1">_xlfn.FLOOR.MATH(IF(E168=1,X168/G168,IF(E168=5,X168/G168*OFFSET(控制台!$D$641,MATCH(B168,控制台!$B$641:$B$645,0)-1,0),X168/G168*OFFSET(控制台!$H$641,MATCH(B168,控制台!$F$641:$F$650,0)-1,0))))</f>
        <v>795</v>
      </c>
      <c r="Z168" s="16">
        <f ca="1" t="shared" si="8"/>
        <v>1590</v>
      </c>
    </row>
    <row r="169" spans="1:26">
      <c r="A169" s="1">
        <v>20202</v>
      </c>
      <c r="B169" s="1">
        <v>4</v>
      </c>
      <c r="C169" s="1">
        <v>2</v>
      </c>
      <c r="D169" s="1" t="s">
        <v>2805</v>
      </c>
      <c r="E169" s="1">
        <f ca="1">IF(C169=1,OFFSET(控制台!$F$552,MATCH(A169,控制台!$B$552:$B$580,0)-1,0),OFFSET(控制台!$L$552,MATCH(A169,控制台!$H$552:$H$594,0)-1,0))</f>
        <v>5</v>
      </c>
      <c r="F169" s="1">
        <f ca="1">IF(C169=1,OFFSET(控制台!$D$552,MATCH(A169,控制台!$B$552:$B$580,0)-1,0),OFFSET(控制台!$J$552,MATCH(A169,控制台!$H$552:$H$594,0)-1,0))</f>
        <v>2</v>
      </c>
      <c r="G169" s="1">
        <f ca="1">IF(C169=1,OFFSET(控制台!$I$599,MATCH(F169,控制台!$B$599:$B$615,0)-1,0),OFFSET(控制台!$I$618,MATCH(F169,控制台!$B$618:$B$636,0)-1,0))</f>
        <v>3</v>
      </c>
      <c r="H169" s="1">
        <f ca="1">IF(C169=1,OFFSET(控制台!$D$599,MATCH(F169,控制台!$B$599:$B$615,0)-1,0),OFFSET(控制台!$D$618,MATCH(F169,控制台!$B$618:$B$636,0)-1,0))</f>
        <v>2288160</v>
      </c>
      <c r="I169" s="1">
        <f ca="1">IF(E169=1,H169/G169,IF(E169=5,H169/G169*OFFSET(控制台!$D$641,MATCH(B169,控制台!$B$641:$B$645,0)-1,0),H169/G169*OFFSET(控制台!$H$641,MATCH(B169,控制台!$F$641:$F$650,0)-1,0)))</f>
        <v>181600</v>
      </c>
      <c r="J169" s="1">
        <f ca="1">$I169/3*控制台!H$102</f>
        <v>60533.3333333333</v>
      </c>
      <c r="K169" s="1">
        <f ca="1">$I169/3*控制台!I$102</f>
        <v>45400</v>
      </c>
      <c r="L169" s="1">
        <f ca="1">$I169/3*控制台!J$102</f>
        <v>75666.6666666666</v>
      </c>
      <c r="M169" s="1">
        <f ca="1">_xlfn.FLOOR.MATH(J169,POWER(10,MAX(2,INT(LOG10(J169)-2))))</f>
        <v>60500</v>
      </c>
      <c r="N169" s="1">
        <f ca="1">_xlfn.FLOOR.MATH(K169,POWER(10,MAX(2,INT(LOG10(K169)-2))))</f>
        <v>45400</v>
      </c>
      <c r="O169" s="1">
        <f ca="1">_xlfn.FLOOR.MATH(L169,POWER(10,MAX(2,INT(LOG10(L169)-2))))</f>
        <v>75600</v>
      </c>
      <c r="P169" s="4" t="str">
        <f ca="1" t="shared" si="6"/>
        <v>60500;45400;75600</v>
      </c>
      <c r="Q169" s="15">
        <f ca="1">IF(C169=1,OFFSET(控制台!$H$599,MATCH(F169,控制台!$B$599:$B$615,0)-1,0),OFFSET(控制台!$H$618,MATCH(F169,控制台!$B$618:$B$636,0)-1,0))</f>
        <v>6488.584704</v>
      </c>
      <c r="R169" s="15">
        <f ca="1">IF(E169=1,Q169/G169,IF(E169=5,Q169/G169*OFFSET(控制台!$D$641,MATCH(B169,控制台!$B$641:$B$645,0)-1,0),Q169/G169*OFFSET(控制台!$H$641,MATCH(B169,控制台!$F$641:$F$650,0)-1,0)))</f>
        <v>514.96704</v>
      </c>
      <c r="S169" s="16">
        <f ca="1">_xlfn.FLOOR.MATH(R169)*60</f>
        <v>30840</v>
      </c>
      <c r="T169" s="16">
        <f ca="1">8000+IF(C169=1,OFFSET(控制台!$K$599,MATCH(F169,控制台!$B$599:$B$615,0)-1,0),OFFSET(控制台!$K$618,MATCH(F169,控制台!$B$618:$B$636,0)-1,0))</f>
        <v>8001</v>
      </c>
      <c r="U169" s="1">
        <f ca="1">IF(C169=1,OFFSET(控制台!$F$599,MATCH(F169,控制台!$B$599:$B$615,0)-1,0),OFFSET(控制台!$F$618,MATCH(F169,控制台!$B$618:$B$636,0)-1,0))</f>
        <v>5980.2624</v>
      </c>
      <c r="V169" s="1">
        <f ca="1">IF(E169=1,U169/G169,IF(E169=5,U169/G169*OFFSET(控制台!$D$641,MATCH(B169,控制台!$B$641:$B$645,0)-1,0),U169/G169*OFFSET(控制台!$H$641,MATCH(B169,控制台!$F$641:$F$650,0)-1,0)))</f>
        <v>474.624</v>
      </c>
      <c r="W169" s="20">
        <f ca="1" t="shared" si="7"/>
        <v>0.3296</v>
      </c>
      <c r="X169" s="15">
        <f ca="1">IF(C169=1,OFFSET(控制台!$U$599,MATCH(F169,控制台!$B$599:$B$615,0)-1,0),OFFSET(控制台!$U$618,MATCH(F169,控制台!$B$618:$B$636,0)-1,0))</f>
        <v>16699.2</v>
      </c>
      <c r="Y169" s="16">
        <f ca="1">_xlfn.FLOOR.MATH(IF(E169=1,X169/G169,IF(E169=5,X169/G169*OFFSET(控制台!$D$641,MATCH(B169,控制台!$B$641:$B$645,0)-1,0),X169/G169*OFFSET(控制台!$H$641,MATCH(B169,控制台!$F$641:$F$650,0)-1,0))))</f>
        <v>1325</v>
      </c>
      <c r="Z169" s="16">
        <f ca="1" t="shared" si="8"/>
        <v>2915</v>
      </c>
    </row>
    <row r="170" spans="1:26">
      <c r="A170" s="1">
        <v>20202</v>
      </c>
      <c r="B170" s="1">
        <v>5</v>
      </c>
      <c r="C170" s="1">
        <v>2</v>
      </c>
      <c r="D170" s="1" t="s">
        <v>2805</v>
      </c>
      <c r="E170" s="1">
        <f ca="1">IF(C170=1,OFFSET(控制台!$F$552,MATCH(A170,控制台!$B$552:$B$580,0)-1,0),OFFSET(控制台!$L$552,MATCH(A170,控制台!$H$552:$H$594,0)-1,0))</f>
        <v>5</v>
      </c>
      <c r="F170" s="1">
        <f ca="1">IF(C170=1,OFFSET(控制台!$D$552,MATCH(A170,控制台!$B$552:$B$580,0)-1,0),OFFSET(控制台!$J$552,MATCH(A170,控制台!$H$552:$H$594,0)-1,0))</f>
        <v>2</v>
      </c>
      <c r="G170" s="1">
        <f ca="1">IF(C170=1,OFFSET(控制台!$I$599,MATCH(F170,控制台!$B$599:$B$615,0)-1,0),OFFSET(控制台!$I$618,MATCH(F170,控制台!$B$618:$B$636,0)-1,0))</f>
        <v>3</v>
      </c>
      <c r="H170" s="1">
        <f ca="1">IF(C170=1,OFFSET(控制台!$D$599,MATCH(F170,控制台!$B$599:$B$615,0)-1,0),OFFSET(控制台!$D$618,MATCH(F170,控制台!$B$618:$B$636,0)-1,0))</f>
        <v>2288160</v>
      </c>
      <c r="I170" s="1">
        <f ca="1">IF(E170=1,H170/G170,IF(E170=5,H170/G170*OFFSET(控制台!$D$641,MATCH(B170,控制台!$B$641:$B$645,0)-1,0),H170/G170*OFFSET(控制台!$H$641,MATCH(B170,控制台!$F$641:$F$650,0)-1,0)))</f>
        <v>363200</v>
      </c>
      <c r="J170" s="1">
        <f ca="1">$I170/3*控制台!H$102</f>
        <v>121066.666666667</v>
      </c>
      <c r="K170" s="1">
        <f ca="1">$I170/3*控制台!I$102</f>
        <v>90800</v>
      </c>
      <c r="L170" s="1">
        <f ca="1">$I170/3*控制台!J$102</f>
        <v>151333.333333333</v>
      </c>
      <c r="M170" s="1">
        <f ca="1">_xlfn.FLOOR.MATH(J170,POWER(10,MAX(2,INT(LOG10(J170)-2))))</f>
        <v>121000</v>
      </c>
      <c r="N170" s="1">
        <f ca="1">_xlfn.FLOOR.MATH(K170,POWER(10,MAX(2,INT(LOG10(K170)-2))))</f>
        <v>90800</v>
      </c>
      <c r="O170" s="1">
        <f ca="1">_xlfn.FLOOR.MATH(L170,POWER(10,MAX(2,INT(LOG10(L170)-2))))</f>
        <v>151000</v>
      </c>
      <c r="P170" s="4" t="str">
        <f ca="1" t="shared" si="6"/>
        <v>121000;90800;151000</v>
      </c>
      <c r="Q170" s="15">
        <f ca="1">IF(C170=1,OFFSET(控制台!$H$599,MATCH(F170,控制台!$B$599:$B$615,0)-1,0),OFFSET(控制台!$H$618,MATCH(F170,控制台!$B$618:$B$636,0)-1,0))</f>
        <v>6488.584704</v>
      </c>
      <c r="R170" s="15">
        <f ca="1">IF(E170=1,Q170/G170,IF(E170=5,Q170/G170*OFFSET(控制台!$D$641,MATCH(B170,控制台!$B$641:$B$645,0)-1,0),Q170/G170*OFFSET(控制台!$H$641,MATCH(B170,控制台!$F$641:$F$650,0)-1,0)))</f>
        <v>1029.93408</v>
      </c>
      <c r="S170" s="16">
        <f ca="1">_xlfn.FLOOR.MATH(R170)*60</f>
        <v>61740</v>
      </c>
      <c r="T170" s="16">
        <f ca="1">8000+IF(C170=1,OFFSET(控制台!$K$599,MATCH(F170,控制台!$B$599:$B$615,0)-1,0),OFFSET(控制台!$K$618,MATCH(F170,控制台!$B$618:$B$636,0)-1,0))</f>
        <v>8001</v>
      </c>
      <c r="U170" s="1">
        <f ca="1">IF(C170=1,OFFSET(控制台!$F$599,MATCH(F170,控制台!$B$599:$B$615,0)-1,0),OFFSET(控制台!$F$618,MATCH(F170,控制台!$B$618:$B$636,0)-1,0))</f>
        <v>5980.2624</v>
      </c>
      <c r="V170" s="1">
        <f ca="1">IF(E170=1,U170/G170,IF(E170=5,U170/G170*OFFSET(控制台!$D$641,MATCH(B170,控制台!$B$641:$B$645,0)-1,0),U170/G170*OFFSET(控制台!$H$641,MATCH(B170,控制台!$F$641:$F$650,0)-1,0)))</f>
        <v>949.247999999999</v>
      </c>
      <c r="W170" s="20">
        <f ca="1" t="shared" si="7"/>
        <v>0.6592</v>
      </c>
      <c r="X170" s="15">
        <f ca="1">IF(C170=1,OFFSET(控制台!$U$599,MATCH(F170,控制台!$B$599:$B$615,0)-1,0),OFFSET(控制台!$U$618,MATCH(F170,控制台!$B$618:$B$636,0)-1,0))</f>
        <v>16699.2</v>
      </c>
      <c r="Y170" s="16">
        <f ca="1">_xlfn.FLOOR.MATH(IF(E170=1,X170/G170,IF(E170=5,X170/G170*OFFSET(控制台!$D$641,MATCH(B170,控制台!$B$641:$B$645,0)-1,0),X170/G170*OFFSET(控制台!$H$641,MATCH(B170,控制台!$F$641:$F$650,0)-1,0))))</f>
        <v>2650</v>
      </c>
      <c r="Z170" s="16">
        <f ca="1" t="shared" si="8"/>
        <v>5565</v>
      </c>
    </row>
    <row r="171" spans="1:26">
      <c r="A171" s="1">
        <v>20203</v>
      </c>
      <c r="B171" s="1">
        <v>1</v>
      </c>
      <c r="C171" s="1">
        <v>2</v>
      </c>
      <c r="D171" s="1" t="s">
        <v>2806</v>
      </c>
      <c r="E171" s="1">
        <f ca="1">IF(C171=1,OFFSET(控制台!$F$552,MATCH(A171,控制台!$B$552:$B$580,0)-1,0),OFFSET(控制台!$L$552,MATCH(A171,控制台!$H$552:$H$594,0)-1,0))</f>
        <v>5</v>
      </c>
      <c r="F171" s="1">
        <f ca="1">IF(C171=1,OFFSET(控制台!$D$552,MATCH(A171,控制台!$B$552:$B$580,0)-1,0),OFFSET(控制台!$J$552,MATCH(A171,控制台!$H$552:$H$594,0)-1,0))</f>
        <v>2</v>
      </c>
      <c r="G171" s="1">
        <f ca="1">IF(C171=1,OFFSET(控制台!$I$599,MATCH(F171,控制台!$B$599:$B$615,0)-1,0),OFFSET(控制台!$I$618,MATCH(F171,控制台!$B$618:$B$636,0)-1,0))</f>
        <v>3</v>
      </c>
      <c r="H171" s="1">
        <f ca="1">IF(C171=1,OFFSET(控制台!$D$599,MATCH(F171,控制台!$B$599:$B$615,0)-1,0),OFFSET(控制台!$D$618,MATCH(F171,控制台!$B$618:$B$636,0)-1,0))</f>
        <v>2288160</v>
      </c>
      <c r="I171" s="1">
        <f ca="1">IF(E171=1,H171/G171,IF(E171=5,H171/G171*OFFSET(控制台!$D$641,MATCH(B171,控制台!$B$641:$B$645,0)-1,0),H171/G171*OFFSET(控制台!$H$641,MATCH(B171,控制台!$F$641:$F$650,0)-1,0)))</f>
        <v>36320</v>
      </c>
      <c r="J171" s="1">
        <f ca="1">$I171/3*控制台!H$102</f>
        <v>12106.6666666667</v>
      </c>
      <c r="K171" s="1">
        <f ca="1">$I171/3*控制台!I$102</f>
        <v>9080</v>
      </c>
      <c r="L171" s="1">
        <f ca="1">$I171/3*控制台!J$102</f>
        <v>15133.3333333333</v>
      </c>
      <c r="M171" s="1">
        <f ca="1">_xlfn.FLOOR.MATH(J171,POWER(10,MAX(2,INT(LOG10(J171)-2))))</f>
        <v>12100</v>
      </c>
      <c r="N171" s="1">
        <f ca="1">_xlfn.FLOOR.MATH(K171,POWER(10,MAX(2,INT(LOG10(K171)-2))))</f>
        <v>9000</v>
      </c>
      <c r="O171" s="1">
        <f ca="1">_xlfn.FLOOR.MATH(L171,POWER(10,MAX(2,INT(LOG10(L171)-2))))</f>
        <v>15100</v>
      </c>
      <c r="P171" s="4" t="str">
        <f ca="1" t="shared" si="6"/>
        <v>12100;9000;15100</v>
      </c>
      <c r="Q171" s="15">
        <f ca="1">IF(C171=1,OFFSET(控制台!$H$599,MATCH(F171,控制台!$B$599:$B$615,0)-1,0),OFFSET(控制台!$H$618,MATCH(F171,控制台!$B$618:$B$636,0)-1,0))</f>
        <v>6488.584704</v>
      </c>
      <c r="R171" s="15">
        <f ca="1">IF(E171=1,Q171/G171,IF(E171=5,Q171/G171*OFFSET(控制台!$D$641,MATCH(B171,控制台!$B$641:$B$645,0)-1,0),Q171/G171*OFFSET(控制台!$H$641,MATCH(B171,控制台!$F$641:$F$650,0)-1,0)))</f>
        <v>102.993408</v>
      </c>
      <c r="S171" s="16">
        <f ca="1">_xlfn.FLOOR.MATH(R171)*60</f>
        <v>6120</v>
      </c>
      <c r="T171" s="16">
        <f ca="1">8000+IF(C171=1,OFFSET(控制台!$K$599,MATCH(F171,控制台!$B$599:$B$615,0)-1,0),OFFSET(控制台!$K$618,MATCH(F171,控制台!$B$618:$B$636,0)-1,0))</f>
        <v>8001</v>
      </c>
      <c r="U171" s="1">
        <f ca="1">IF(C171=1,OFFSET(控制台!$F$599,MATCH(F171,控制台!$B$599:$B$615,0)-1,0),OFFSET(控制台!$F$618,MATCH(F171,控制台!$B$618:$B$636,0)-1,0))</f>
        <v>5980.2624</v>
      </c>
      <c r="V171" s="1">
        <f ca="1">IF(E171=1,U171/G171,IF(E171=5,U171/G171*OFFSET(控制台!$D$641,MATCH(B171,控制台!$B$641:$B$645,0)-1,0),U171/G171*OFFSET(控制台!$H$641,MATCH(B171,控制台!$F$641:$F$650,0)-1,0)))</f>
        <v>94.9247999999999</v>
      </c>
      <c r="W171" s="20">
        <f ca="1" t="shared" si="7"/>
        <v>0.06592</v>
      </c>
      <c r="X171" s="15">
        <f ca="1">IF(C171=1,OFFSET(控制台!$U$599,MATCH(F171,控制台!$B$599:$B$615,0)-1,0),OFFSET(控制台!$U$618,MATCH(F171,控制台!$B$618:$B$636,0)-1,0))</f>
        <v>16699.2</v>
      </c>
      <c r="Y171" s="16">
        <f ca="1">_xlfn.FLOOR.MATH(IF(E171=1,X171/G171,IF(E171=5,X171/G171*OFFSET(控制台!$D$641,MATCH(B171,控制台!$B$641:$B$645,0)-1,0),X171/G171*OFFSET(控制台!$H$641,MATCH(B171,控制台!$F$641:$F$650,0)-1,0))))</f>
        <v>265</v>
      </c>
      <c r="Z171" s="16">
        <f ca="1" t="shared" si="8"/>
        <v>265</v>
      </c>
    </row>
    <row r="172" spans="1:26">
      <c r="A172" s="1">
        <v>20203</v>
      </c>
      <c r="B172" s="1">
        <v>2</v>
      </c>
      <c r="C172" s="1">
        <v>2</v>
      </c>
      <c r="D172" s="1" t="s">
        <v>2806</v>
      </c>
      <c r="E172" s="1">
        <f ca="1">IF(C172=1,OFFSET(控制台!$F$552,MATCH(A172,控制台!$B$552:$B$580,0)-1,0),OFFSET(控制台!$L$552,MATCH(A172,控制台!$H$552:$H$594,0)-1,0))</f>
        <v>5</v>
      </c>
      <c r="F172" s="1">
        <f ca="1">IF(C172=1,OFFSET(控制台!$D$552,MATCH(A172,控制台!$B$552:$B$580,0)-1,0),OFFSET(控制台!$J$552,MATCH(A172,控制台!$H$552:$H$594,0)-1,0))</f>
        <v>2</v>
      </c>
      <c r="G172" s="1">
        <f ca="1">IF(C172=1,OFFSET(控制台!$I$599,MATCH(F172,控制台!$B$599:$B$615,0)-1,0),OFFSET(控制台!$I$618,MATCH(F172,控制台!$B$618:$B$636,0)-1,0))</f>
        <v>3</v>
      </c>
      <c r="H172" s="1">
        <f ca="1">IF(C172=1,OFFSET(控制台!$D$599,MATCH(F172,控制台!$B$599:$B$615,0)-1,0),OFFSET(控制台!$D$618,MATCH(F172,控制台!$B$618:$B$636,0)-1,0))</f>
        <v>2288160</v>
      </c>
      <c r="I172" s="1">
        <f ca="1">IF(E172=1,H172/G172,IF(E172=5,H172/G172*OFFSET(控制台!$D$641,MATCH(B172,控制台!$B$641:$B$645,0)-1,0),H172/G172*OFFSET(控制台!$H$641,MATCH(B172,控制台!$F$641:$F$650,0)-1,0)))</f>
        <v>72640</v>
      </c>
      <c r="J172" s="1">
        <f ca="1">$I172/3*控制台!H$102</f>
        <v>24213.3333333333</v>
      </c>
      <c r="K172" s="1">
        <f ca="1">$I172/3*控制台!I$102</f>
        <v>18160</v>
      </c>
      <c r="L172" s="1">
        <f ca="1">$I172/3*控制台!J$102</f>
        <v>30266.6666666667</v>
      </c>
      <c r="M172" s="1">
        <f ca="1">_xlfn.FLOOR.MATH(J172,POWER(10,MAX(2,INT(LOG10(J172)-2))))</f>
        <v>24200</v>
      </c>
      <c r="N172" s="1">
        <f ca="1">_xlfn.FLOOR.MATH(K172,POWER(10,MAX(2,INT(LOG10(K172)-2))))</f>
        <v>18100</v>
      </c>
      <c r="O172" s="1">
        <f ca="1">_xlfn.FLOOR.MATH(L172,POWER(10,MAX(2,INT(LOG10(L172)-2))))</f>
        <v>30200</v>
      </c>
      <c r="P172" s="4" t="str">
        <f ca="1" t="shared" si="6"/>
        <v>24200;18100;30200</v>
      </c>
      <c r="Q172" s="15">
        <f ca="1">IF(C172=1,OFFSET(控制台!$H$599,MATCH(F172,控制台!$B$599:$B$615,0)-1,0),OFFSET(控制台!$H$618,MATCH(F172,控制台!$B$618:$B$636,0)-1,0))</f>
        <v>6488.584704</v>
      </c>
      <c r="R172" s="15">
        <f ca="1">IF(E172=1,Q172/G172,IF(E172=5,Q172/G172*OFFSET(控制台!$D$641,MATCH(B172,控制台!$B$641:$B$645,0)-1,0),Q172/G172*OFFSET(控制台!$H$641,MATCH(B172,控制台!$F$641:$F$650,0)-1,0)))</f>
        <v>205.986816</v>
      </c>
      <c r="S172" s="16">
        <f ca="1">_xlfn.FLOOR.MATH(R172)*60</f>
        <v>12300</v>
      </c>
      <c r="T172" s="16">
        <f ca="1">8000+IF(C172=1,OFFSET(控制台!$K$599,MATCH(F172,控制台!$B$599:$B$615,0)-1,0),OFFSET(控制台!$K$618,MATCH(F172,控制台!$B$618:$B$636,0)-1,0))</f>
        <v>8001</v>
      </c>
      <c r="U172" s="1">
        <f ca="1">IF(C172=1,OFFSET(控制台!$F$599,MATCH(F172,控制台!$B$599:$B$615,0)-1,0),OFFSET(控制台!$F$618,MATCH(F172,控制台!$B$618:$B$636,0)-1,0))</f>
        <v>5980.2624</v>
      </c>
      <c r="V172" s="1">
        <f ca="1">IF(E172=1,U172/G172,IF(E172=5,U172/G172*OFFSET(控制台!$D$641,MATCH(B172,控制台!$B$641:$B$645,0)-1,0),U172/G172*OFFSET(控制台!$H$641,MATCH(B172,控制台!$F$641:$F$650,0)-1,0)))</f>
        <v>189.8496</v>
      </c>
      <c r="W172" s="20">
        <f ca="1" t="shared" si="7"/>
        <v>0.13184</v>
      </c>
      <c r="X172" s="15">
        <f ca="1">IF(C172=1,OFFSET(控制台!$U$599,MATCH(F172,控制台!$B$599:$B$615,0)-1,0),OFFSET(控制台!$U$618,MATCH(F172,控制台!$B$618:$B$636,0)-1,0))</f>
        <v>16699.2</v>
      </c>
      <c r="Y172" s="16">
        <f ca="1">_xlfn.FLOOR.MATH(IF(E172=1,X172/G172,IF(E172=5,X172/G172*OFFSET(控制台!$D$641,MATCH(B172,控制台!$B$641:$B$645,0)-1,0),X172/G172*OFFSET(控制台!$H$641,MATCH(B172,控制台!$F$641:$F$650,0)-1,0))))</f>
        <v>530</v>
      </c>
      <c r="Z172" s="16">
        <f ca="1" t="shared" si="8"/>
        <v>795</v>
      </c>
    </row>
    <row r="173" spans="1:26">
      <c r="A173" s="1">
        <v>20203</v>
      </c>
      <c r="B173" s="1">
        <v>3</v>
      </c>
      <c r="C173" s="1">
        <v>2</v>
      </c>
      <c r="D173" s="1" t="s">
        <v>2806</v>
      </c>
      <c r="E173" s="1">
        <f ca="1">IF(C173=1,OFFSET(控制台!$F$552,MATCH(A173,控制台!$B$552:$B$580,0)-1,0),OFFSET(控制台!$L$552,MATCH(A173,控制台!$H$552:$H$594,0)-1,0))</f>
        <v>5</v>
      </c>
      <c r="F173" s="1">
        <f ca="1">IF(C173=1,OFFSET(控制台!$D$552,MATCH(A173,控制台!$B$552:$B$580,0)-1,0),OFFSET(控制台!$J$552,MATCH(A173,控制台!$H$552:$H$594,0)-1,0))</f>
        <v>2</v>
      </c>
      <c r="G173" s="1">
        <f ca="1">IF(C173=1,OFFSET(控制台!$I$599,MATCH(F173,控制台!$B$599:$B$615,0)-1,0),OFFSET(控制台!$I$618,MATCH(F173,控制台!$B$618:$B$636,0)-1,0))</f>
        <v>3</v>
      </c>
      <c r="H173" s="1">
        <f ca="1">IF(C173=1,OFFSET(控制台!$D$599,MATCH(F173,控制台!$B$599:$B$615,0)-1,0),OFFSET(控制台!$D$618,MATCH(F173,控制台!$B$618:$B$636,0)-1,0))</f>
        <v>2288160</v>
      </c>
      <c r="I173" s="1">
        <f ca="1">IF(E173=1,H173/G173,IF(E173=5,H173/G173*OFFSET(控制台!$D$641,MATCH(B173,控制台!$B$641:$B$645,0)-1,0),H173/G173*OFFSET(控制台!$H$641,MATCH(B173,控制台!$F$641:$F$650,0)-1,0)))</f>
        <v>108960</v>
      </c>
      <c r="J173" s="1">
        <f ca="1">$I173/3*控制台!H$102</f>
        <v>36320</v>
      </c>
      <c r="K173" s="1">
        <f ca="1">$I173/3*控制台!I$102</f>
        <v>27240</v>
      </c>
      <c r="L173" s="1">
        <f ca="1">$I173/3*控制台!J$102</f>
        <v>45400</v>
      </c>
      <c r="M173" s="1">
        <f ca="1">_xlfn.FLOOR.MATH(J173,POWER(10,MAX(2,INT(LOG10(J173)-2))))</f>
        <v>36300</v>
      </c>
      <c r="N173" s="1">
        <f ca="1">_xlfn.FLOOR.MATH(K173,POWER(10,MAX(2,INT(LOG10(K173)-2))))</f>
        <v>27200</v>
      </c>
      <c r="O173" s="1">
        <f ca="1">_xlfn.FLOOR.MATH(L173,POWER(10,MAX(2,INT(LOG10(L173)-2))))</f>
        <v>45400</v>
      </c>
      <c r="P173" s="4" t="str">
        <f ca="1" t="shared" si="6"/>
        <v>36300;27200;45400</v>
      </c>
      <c r="Q173" s="15">
        <f ca="1">IF(C173=1,OFFSET(控制台!$H$599,MATCH(F173,控制台!$B$599:$B$615,0)-1,0),OFFSET(控制台!$H$618,MATCH(F173,控制台!$B$618:$B$636,0)-1,0))</f>
        <v>6488.584704</v>
      </c>
      <c r="R173" s="15">
        <f ca="1">IF(E173=1,Q173/G173,IF(E173=5,Q173/G173*OFFSET(控制台!$D$641,MATCH(B173,控制台!$B$641:$B$645,0)-1,0),Q173/G173*OFFSET(控制台!$H$641,MATCH(B173,控制台!$F$641:$F$650,0)-1,0)))</f>
        <v>308.980224</v>
      </c>
      <c r="S173" s="16">
        <f ca="1">_xlfn.FLOOR.MATH(R173)*60</f>
        <v>18480</v>
      </c>
      <c r="T173" s="16">
        <f ca="1">8000+IF(C173=1,OFFSET(控制台!$K$599,MATCH(F173,控制台!$B$599:$B$615,0)-1,0),OFFSET(控制台!$K$618,MATCH(F173,控制台!$B$618:$B$636,0)-1,0))</f>
        <v>8001</v>
      </c>
      <c r="U173" s="1">
        <f ca="1">IF(C173=1,OFFSET(控制台!$F$599,MATCH(F173,控制台!$B$599:$B$615,0)-1,0),OFFSET(控制台!$F$618,MATCH(F173,控制台!$B$618:$B$636,0)-1,0))</f>
        <v>5980.2624</v>
      </c>
      <c r="V173" s="1">
        <f ca="1">IF(E173=1,U173/G173,IF(E173=5,U173/G173*OFFSET(控制台!$D$641,MATCH(B173,控制台!$B$641:$B$645,0)-1,0),U173/G173*OFFSET(控制台!$H$641,MATCH(B173,控制台!$F$641:$F$650,0)-1,0)))</f>
        <v>284.7744</v>
      </c>
      <c r="W173" s="20">
        <f ca="1" t="shared" si="7"/>
        <v>0.19776</v>
      </c>
      <c r="X173" s="15">
        <f ca="1">IF(C173=1,OFFSET(控制台!$U$599,MATCH(F173,控制台!$B$599:$B$615,0)-1,0),OFFSET(控制台!$U$618,MATCH(F173,控制台!$B$618:$B$636,0)-1,0))</f>
        <v>16699.2</v>
      </c>
      <c r="Y173" s="16">
        <f ca="1">_xlfn.FLOOR.MATH(IF(E173=1,X173/G173,IF(E173=5,X173/G173*OFFSET(控制台!$D$641,MATCH(B173,控制台!$B$641:$B$645,0)-1,0),X173/G173*OFFSET(控制台!$H$641,MATCH(B173,控制台!$F$641:$F$650,0)-1,0))))</f>
        <v>795</v>
      </c>
      <c r="Z173" s="16">
        <f ca="1" t="shared" si="8"/>
        <v>1590</v>
      </c>
    </row>
    <row r="174" spans="1:26">
      <c r="A174" s="1">
        <v>20203</v>
      </c>
      <c r="B174" s="1">
        <v>4</v>
      </c>
      <c r="C174" s="1">
        <v>2</v>
      </c>
      <c r="D174" s="1" t="s">
        <v>2806</v>
      </c>
      <c r="E174" s="1">
        <f ca="1">IF(C174=1,OFFSET(控制台!$F$552,MATCH(A174,控制台!$B$552:$B$580,0)-1,0),OFFSET(控制台!$L$552,MATCH(A174,控制台!$H$552:$H$594,0)-1,0))</f>
        <v>5</v>
      </c>
      <c r="F174" s="1">
        <f ca="1">IF(C174=1,OFFSET(控制台!$D$552,MATCH(A174,控制台!$B$552:$B$580,0)-1,0),OFFSET(控制台!$J$552,MATCH(A174,控制台!$H$552:$H$594,0)-1,0))</f>
        <v>2</v>
      </c>
      <c r="G174" s="1">
        <f ca="1">IF(C174=1,OFFSET(控制台!$I$599,MATCH(F174,控制台!$B$599:$B$615,0)-1,0),OFFSET(控制台!$I$618,MATCH(F174,控制台!$B$618:$B$636,0)-1,0))</f>
        <v>3</v>
      </c>
      <c r="H174" s="1">
        <f ca="1">IF(C174=1,OFFSET(控制台!$D$599,MATCH(F174,控制台!$B$599:$B$615,0)-1,0),OFFSET(控制台!$D$618,MATCH(F174,控制台!$B$618:$B$636,0)-1,0))</f>
        <v>2288160</v>
      </c>
      <c r="I174" s="1">
        <f ca="1">IF(E174=1,H174/G174,IF(E174=5,H174/G174*OFFSET(控制台!$D$641,MATCH(B174,控制台!$B$641:$B$645,0)-1,0),H174/G174*OFFSET(控制台!$H$641,MATCH(B174,控制台!$F$641:$F$650,0)-1,0)))</f>
        <v>181600</v>
      </c>
      <c r="J174" s="1">
        <f ca="1">$I174/3*控制台!H$102</f>
        <v>60533.3333333333</v>
      </c>
      <c r="K174" s="1">
        <f ca="1">$I174/3*控制台!I$102</f>
        <v>45400</v>
      </c>
      <c r="L174" s="1">
        <f ca="1">$I174/3*控制台!J$102</f>
        <v>75666.6666666666</v>
      </c>
      <c r="M174" s="1">
        <f ca="1">_xlfn.FLOOR.MATH(J174,POWER(10,MAX(2,INT(LOG10(J174)-2))))</f>
        <v>60500</v>
      </c>
      <c r="N174" s="1">
        <f ca="1">_xlfn.FLOOR.MATH(K174,POWER(10,MAX(2,INT(LOG10(K174)-2))))</f>
        <v>45400</v>
      </c>
      <c r="O174" s="1">
        <f ca="1">_xlfn.FLOOR.MATH(L174,POWER(10,MAX(2,INT(LOG10(L174)-2))))</f>
        <v>75600</v>
      </c>
      <c r="P174" s="4" t="str">
        <f ca="1" t="shared" si="6"/>
        <v>60500;45400;75600</v>
      </c>
      <c r="Q174" s="15">
        <f ca="1">IF(C174=1,OFFSET(控制台!$H$599,MATCH(F174,控制台!$B$599:$B$615,0)-1,0),OFFSET(控制台!$H$618,MATCH(F174,控制台!$B$618:$B$636,0)-1,0))</f>
        <v>6488.584704</v>
      </c>
      <c r="R174" s="15">
        <f ca="1">IF(E174=1,Q174/G174,IF(E174=5,Q174/G174*OFFSET(控制台!$D$641,MATCH(B174,控制台!$B$641:$B$645,0)-1,0),Q174/G174*OFFSET(控制台!$H$641,MATCH(B174,控制台!$F$641:$F$650,0)-1,0)))</f>
        <v>514.96704</v>
      </c>
      <c r="S174" s="16">
        <f ca="1">_xlfn.FLOOR.MATH(R174)*60</f>
        <v>30840</v>
      </c>
      <c r="T174" s="16">
        <f ca="1">8000+IF(C174=1,OFFSET(控制台!$K$599,MATCH(F174,控制台!$B$599:$B$615,0)-1,0),OFFSET(控制台!$K$618,MATCH(F174,控制台!$B$618:$B$636,0)-1,0))</f>
        <v>8001</v>
      </c>
      <c r="U174" s="1">
        <f ca="1">IF(C174=1,OFFSET(控制台!$F$599,MATCH(F174,控制台!$B$599:$B$615,0)-1,0),OFFSET(控制台!$F$618,MATCH(F174,控制台!$B$618:$B$636,0)-1,0))</f>
        <v>5980.2624</v>
      </c>
      <c r="V174" s="1">
        <f ca="1">IF(E174=1,U174/G174,IF(E174=5,U174/G174*OFFSET(控制台!$D$641,MATCH(B174,控制台!$B$641:$B$645,0)-1,0),U174/G174*OFFSET(控制台!$H$641,MATCH(B174,控制台!$F$641:$F$650,0)-1,0)))</f>
        <v>474.624</v>
      </c>
      <c r="W174" s="20">
        <f ca="1" t="shared" si="7"/>
        <v>0.3296</v>
      </c>
      <c r="X174" s="15">
        <f ca="1">IF(C174=1,OFFSET(控制台!$U$599,MATCH(F174,控制台!$B$599:$B$615,0)-1,0),OFFSET(控制台!$U$618,MATCH(F174,控制台!$B$618:$B$636,0)-1,0))</f>
        <v>16699.2</v>
      </c>
      <c r="Y174" s="16">
        <f ca="1">_xlfn.FLOOR.MATH(IF(E174=1,X174/G174,IF(E174=5,X174/G174*OFFSET(控制台!$D$641,MATCH(B174,控制台!$B$641:$B$645,0)-1,0),X174/G174*OFFSET(控制台!$H$641,MATCH(B174,控制台!$F$641:$F$650,0)-1,0))))</f>
        <v>1325</v>
      </c>
      <c r="Z174" s="16">
        <f ca="1" t="shared" si="8"/>
        <v>2915</v>
      </c>
    </row>
    <row r="175" spans="1:26">
      <c r="A175" s="1">
        <v>20203</v>
      </c>
      <c r="B175" s="1">
        <v>5</v>
      </c>
      <c r="C175" s="1">
        <v>2</v>
      </c>
      <c r="D175" s="1" t="s">
        <v>2806</v>
      </c>
      <c r="E175" s="1">
        <f ca="1">IF(C175=1,OFFSET(控制台!$F$552,MATCH(A175,控制台!$B$552:$B$580,0)-1,0),OFFSET(控制台!$L$552,MATCH(A175,控制台!$H$552:$H$594,0)-1,0))</f>
        <v>5</v>
      </c>
      <c r="F175" s="1">
        <f ca="1">IF(C175=1,OFFSET(控制台!$D$552,MATCH(A175,控制台!$B$552:$B$580,0)-1,0),OFFSET(控制台!$J$552,MATCH(A175,控制台!$H$552:$H$594,0)-1,0))</f>
        <v>2</v>
      </c>
      <c r="G175" s="1">
        <f ca="1">IF(C175=1,OFFSET(控制台!$I$599,MATCH(F175,控制台!$B$599:$B$615,0)-1,0),OFFSET(控制台!$I$618,MATCH(F175,控制台!$B$618:$B$636,0)-1,0))</f>
        <v>3</v>
      </c>
      <c r="H175" s="1">
        <f ca="1">IF(C175=1,OFFSET(控制台!$D$599,MATCH(F175,控制台!$B$599:$B$615,0)-1,0),OFFSET(控制台!$D$618,MATCH(F175,控制台!$B$618:$B$636,0)-1,0))</f>
        <v>2288160</v>
      </c>
      <c r="I175" s="1">
        <f ca="1">IF(E175=1,H175/G175,IF(E175=5,H175/G175*OFFSET(控制台!$D$641,MATCH(B175,控制台!$B$641:$B$645,0)-1,0),H175/G175*OFFSET(控制台!$H$641,MATCH(B175,控制台!$F$641:$F$650,0)-1,0)))</f>
        <v>363200</v>
      </c>
      <c r="J175" s="1">
        <f ca="1">$I175/3*控制台!H$102</f>
        <v>121066.666666667</v>
      </c>
      <c r="K175" s="1">
        <f ca="1">$I175/3*控制台!I$102</f>
        <v>90800</v>
      </c>
      <c r="L175" s="1">
        <f ca="1">$I175/3*控制台!J$102</f>
        <v>151333.333333333</v>
      </c>
      <c r="M175" s="1">
        <f ca="1">_xlfn.FLOOR.MATH(J175,POWER(10,MAX(2,INT(LOG10(J175)-2))))</f>
        <v>121000</v>
      </c>
      <c r="N175" s="1">
        <f ca="1">_xlfn.FLOOR.MATH(K175,POWER(10,MAX(2,INT(LOG10(K175)-2))))</f>
        <v>90800</v>
      </c>
      <c r="O175" s="1">
        <f ca="1">_xlfn.FLOOR.MATH(L175,POWER(10,MAX(2,INT(LOG10(L175)-2))))</f>
        <v>151000</v>
      </c>
      <c r="P175" s="4" t="str">
        <f ca="1" t="shared" si="6"/>
        <v>121000;90800;151000</v>
      </c>
      <c r="Q175" s="15">
        <f ca="1">IF(C175=1,OFFSET(控制台!$H$599,MATCH(F175,控制台!$B$599:$B$615,0)-1,0),OFFSET(控制台!$H$618,MATCH(F175,控制台!$B$618:$B$636,0)-1,0))</f>
        <v>6488.584704</v>
      </c>
      <c r="R175" s="15">
        <f ca="1">IF(E175=1,Q175/G175,IF(E175=5,Q175/G175*OFFSET(控制台!$D$641,MATCH(B175,控制台!$B$641:$B$645,0)-1,0),Q175/G175*OFFSET(控制台!$H$641,MATCH(B175,控制台!$F$641:$F$650,0)-1,0)))</f>
        <v>1029.93408</v>
      </c>
      <c r="S175" s="16">
        <f ca="1">_xlfn.FLOOR.MATH(R175)*60</f>
        <v>61740</v>
      </c>
      <c r="T175" s="16">
        <f ca="1">8000+IF(C175=1,OFFSET(控制台!$K$599,MATCH(F175,控制台!$B$599:$B$615,0)-1,0),OFFSET(控制台!$K$618,MATCH(F175,控制台!$B$618:$B$636,0)-1,0))</f>
        <v>8001</v>
      </c>
      <c r="U175" s="1">
        <f ca="1">IF(C175=1,OFFSET(控制台!$F$599,MATCH(F175,控制台!$B$599:$B$615,0)-1,0),OFFSET(控制台!$F$618,MATCH(F175,控制台!$B$618:$B$636,0)-1,0))</f>
        <v>5980.2624</v>
      </c>
      <c r="V175" s="1">
        <f ca="1">IF(E175=1,U175/G175,IF(E175=5,U175/G175*OFFSET(控制台!$D$641,MATCH(B175,控制台!$B$641:$B$645,0)-1,0),U175/G175*OFFSET(控制台!$H$641,MATCH(B175,控制台!$F$641:$F$650,0)-1,0)))</f>
        <v>949.247999999999</v>
      </c>
      <c r="W175" s="20">
        <f ca="1" t="shared" si="7"/>
        <v>0.6592</v>
      </c>
      <c r="X175" s="15">
        <f ca="1">IF(C175=1,OFFSET(控制台!$U$599,MATCH(F175,控制台!$B$599:$B$615,0)-1,0),OFFSET(控制台!$U$618,MATCH(F175,控制台!$B$618:$B$636,0)-1,0))</f>
        <v>16699.2</v>
      </c>
      <c r="Y175" s="16">
        <f ca="1">_xlfn.FLOOR.MATH(IF(E175=1,X175/G175,IF(E175=5,X175/G175*OFFSET(控制台!$D$641,MATCH(B175,控制台!$B$641:$B$645,0)-1,0),X175/G175*OFFSET(控制台!$H$641,MATCH(B175,控制台!$F$641:$F$650,0)-1,0))))</f>
        <v>2650</v>
      </c>
      <c r="Z175" s="16">
        <f ca="1" t="shared" si="8"/>
        <v>5565</v>
      </c>
    </row>
    <row r="176" spans="1:26">
      <c r="A176" s="1">
        <v>20301</v>
      </c>
      <c r="B176" s="1">
        <v>1</v>
      </c>
      <c r="C176" s="1">
        <v>2</v>
      </c>
      <c r="D176" s="1" t="s">
        <v>2807</v>
      </c>
      <c r="E176" s="1">
        <f ca="1">IF(C176=1,OFFSET(控制台!$F$552,MATCH(A176,控制台!$B$552:$B$580,0)-1,0),OFFSET(控制台!$L$552,MATCH(A176,控制台!$H$552:$H$594,0)-1,0))</f>
        <v>1</v>
      </c>
      <c r="F176" s="1">
        <f ca="1">IF(C176=1,OFFSET(控制台!$D$552,MATCH(A176,控制台!$B$552:$B$580,0)-1,0),OFFSET(控制台!$J$552,MATCH(A176,控制台!$H$552:$H$594,0)-1,0))</f>
        <v>3</v>
      </c>
      <c r="G176" s="1">
        <f ca="1">IF(C176=1,OFFSET(控制台!$I$599,MATCH(F176,控制台!$B$599:$B$615,0)-1,0),OFFSET(控制台!$I$618,MATCH(F176,控制台!$B$618:$B$636,0)-1,0))</f>
        <v>3</v>
      </c>
      <c r="H176" s="1">
        <f ca="1">IF(C176=1,OFFSET(控制台!$D$599,MATCH(F176,控制台!$B$599:$B$615,0)-1,0),OFFSET(控制台!$D$618,MATCH(F176,控制台!$B$618:$B$636,0)-1,0))</f>
        <v>1008000</v>
      </c>
      <c r="I176" s="1">
        <f ca="1">IF(E176=1,H176/G176,IF(E176=5,H176/G176*OFFSET(控制台!$D$641,MATCH(B176,控制台!$B$641:$B$645,0)-1,0),H176/G176*OFFSET(控制台!$H$641,MATCH(B176,控制台!$F$641:$F$650,0)-1,0)))</f>
        <v>336000</v>
      </c>
      <c r="J176" s="1">
        <f ca="1">$I176/3*控制台!H$102</f>
        <v>112000</v>
      </c>
      <c r="K176" s="1">
        <f ca="1">$I176/3*控制台!I$102</f>
        <v>84000</v>
      </c>
      <c r="L176" s="1">
        <f ca="1">$I176/3*控制台!J$102</f>
        <v>140000</v>
      </c>
      <c r="M176" s="1">
        <f ca="1">_xlfn.FLOOR.MATH(J176,POWER(10,MAX(2,INT(LOG10(J176)-2))))</f>
        <v>112000</v>
      </c>
      <c r="N176" s="1">
        <f ca="1">_xlfn.FLOOR.MATH(K176,POWER(10,MAX(2,INT(LOG10(K176)-2))))</f>
        <v>84000</v>
      </c>
      <c r="O176" s="1">
        <f ca="1">_xlfn.FLOOR.MATH(L176,POWER(10,MAX(2,INT(LOG10(L176)-2))))</f>
        <v>140000</v>
      </c>
      <c r="P176" s="4" t="str">
        <f ca="1" t="shared" si="6"/>
        <v>112000;84000;140000</v>
      </c>
      <c r="Q176" s="15">
        <f ca="1">IF(C176=1,OFFSET(控制台!$H$599,MATCH(F176,控制台!$B$599:$B$615,0)-1,0),OFFSET(控制台!$H$618,MATCH(F176,控制台!$B$618:$B$636,0)-1,0))</f>
        <v>3164.3136</v>
      </c>
      <c r="R176" s="15">
        <f ca="1">IF(E176=1,Q176/G176,IF(E176=5,Q176/G176*OFFSET(控制台!$D$641,MATCH(B176,控制台!$B$641:$B$645,0)-1,0),Q176/G176*OFFSET(控制台!$H$641,MATCH(B176,控制台!$F$641:$F$650,0)-1,0)))</f>
        <v>1054.7712</v>
      </c>
      <c r="S176" s="16">
        <f ca="1">_xlfn.FLOOR.MATH(R176)*60</f>
        <v>63240</v>
      </c>
      <c r="T176" s="16">
        <f ca="1">8000+IF(C176=1,OFFSET(控制台!$K$599,MATCH(F176,控制台!$B$599:$B$615,0)-1,0),OFFSET(控制台!$K$618,MATCH(F176,控制台!$B$618:$B$636,0)-1,0))</f>
        <v>8008</v>
      </c>
      <c r="U176" s="1">
        <f ca="1">IF(C176=1,OFFSET(控制台!$F$599,MATCH(F176,控制台!$B$599:$B$615,0)-1,0),OFFSET(控制台!$F$618,MATCH(F176,控制台!$B$618:$B$636,0)-1,0))</f>
        <v>2903.04</v>
      </c>
      <c r="V176" s="1">
        <f ca="1">IF(E176=1,U176/G176,IF(E176=5,U176/G176*OFFSET(控制台!$D$641,MATCH(B176,控制台!$B$641:$B$645,0)-1,0),U176/G176*OFFSET(控制台!$H$641,MATCH(B176,控制台!$F$641:$F$650,0)-1,0)))</f>
        <v>967.68</v>
      </c>
      <c r="W176" s="20">
        <f ca="1" t="shared" si="7"/>
        <v>0.672</v>
      </c>
      <c r="X176" s="15">
        <f ca="1">IF(C176=1,OFFSET(控制台!$U$599,MATCH(F176,控制台!$B$599:$B$615,0)-1,0),OFFSET(控制台!$U$618,MATCH(F176,控制台!$B$618:$B$636,0)-1,0))</f>
        <v>8084.99999999999</v>
      </c>
      <c r="Y176" s="16">
        <f ca="1">_xlfn.FLOOR.MATH(IF(E176=1,X176/G176,IF(E176=5,X176/G176*OFFSET(控制台!$D$641,MATCH(B176,控制台!$B$641:$B$645,0)-1,0),X176/G176*OFFSET(控制台!$H$641,MATCH(B176,控制台!$F$641:$F$650,0)-1,0))))</f>
        <v>2695</v>
      </c>
      <c r="Z176" s="16">
        <f ca="1" t="shared" si="8"/>
        <v>2695</v>
      </c>
    </row>
    <row r="177" spans="1:26">
      <c r="A177" s="1">
        <v>20302</v>
      </c>
      <c r="B177" s="1">
        <v>1</v>
      </c>
      <c r="C177" s="1">
        <v>2</v>
      </c>
      <c r="D177" s="1" t="s">
        <v>2808</v>
      </c>
      <c r="E177" s="1">
        <f ca="1">IF(C177=1,OFFSET(控制台!$F$552,MATCH(A177,控制台!$B$552:$B$580,0)-1,0),OFFSET(控制台!$L$552,MATCH(A177,控制台!$H$552:$H$594,0)-1,0))</f>
        <v>1</v>
      </c>
      <c r="F177" s="1">
        <f ca="1">IF(C177=1,OFFSET(控制台!$D$552,MATCH(A177,控制台!$B$552:$B$580,0)-1,0),OFFSET(控制台!$J$552,MATCH(A177,控制台!$H$552:$H$594,0)-1,0))</f>
        <v>3</v>
      </c>
      <c r="G177" s="1">
        <f ca="1">IF(C177=1,OFFSET(控制台!$I$599,MATCH(F177,控制台!$B$599:$B$615,0)-1,0),OFFSET(控制台!$I$618,MATCH(F177,控制台!$B$618:$B$636,0)-1,0))</f>
        <v>3</v>
      </c>
      <c r="H177" s="1">
        <f ca="1">IF(C177=1,OFFSET(控制台!$D$599,MATCH(F177,控制台!$B$599:$B$615,0)-1,0),OFFSET(控制台!$D$618,MATCH(F177,控制台!$B$618:$B$636,0)-1,0))</f>
        <v>1008000</v>
      </c>
      <c r="I177" s="1">
        <f ca="1">IF(E177=1,H177/G177,IF(E177=5,H177/G177*OFFSET(控制台!$D$641,MATCH(B177,控制台!$B$641:$B$645,0)-1,0),H177/G177*OFFSET(控制台!$H$641,MATCH(B177,控制台!$F$641:$F$650,0)-1,0)))</f>
        <v>336000</v>
      </c>
      <c r="J177" s="1">
        <f ca="1">$I177/3*控制台!H$102</f>
        <v>112000</v>
      </c>
      <c r="K177" s="1">
        <f ca="1">$I177/3*控制台!I$102</f>
        <v>84000</v>
      </c>
      <c r="L177" s="1">
        <f ca="1">$I177/3*控制台!J$102</f>
        <v>140000</v>
      </c>
      <c r="M177" s="1">
        <f ca="1">_xlfn.FLOOR.MATH(J177,POWER(10,MAX(2,INT(LOG10(J177)-2))))</f>
        <v>112000</v>
      </c>
      <c r="N177" s="1">
        <f ca="1">_xlfn.FLOOR.MATH(K177,POWER(10,MAX(2,INT(LOG10(K177)-2))))</f>
        <v>84000</v>
      </c>
      <c r="O177" s="1">
        <f ca="1">_xlfn.FLOOR.MATH(L177,POWER(10,MAX(2,INT(LOG10(L177)-2))))</f>
        <v>140000</v>
      </c>
      <c r="P177" s="4" t="str">
        <f ca="1" t="shared" si="6"/>
        <v>112000;84000;140000</v>
      </c>
      <c r="Q177" s="15">
        <f ca="1">IF(C177=1,OFFSET(控制台!$H$599,MATCH(F177,控制台!$B$599:$B$615,0)-1,0),OFFSET(控制台!$H$618,MATCH(F177,控制台!$B$618:$B$636,0)-1,0))</f>
        <v>3164.3136</v>
      </c>
      <c r="R177" s="15">
        <f ca="1">IF(E177=1,Q177/G177,IF(E177=5,Q177/G177*OFFSET(控制台!$D$641,MATCH(B177,控制台!$B$641:$B$645,0)-1,0),Q177/G177*OFFSET(控制台!$H$641,MATCH(B177,控制台!$F$641:$F$650,0)-1,0)))</f>
        <v>1054.7712</v>
      </c>
      <c r="S177" s="16">
        <f ca="1">_xlfn.FLOOR.MATH(R177)*60</f>
        <v>63240</v>
      </c>
      <c r="T177" s="16">
        <f ca="1">8000+IF(C177=1,OFFSET(控制台!$K$599,MATCH(F177,控制台!$B$599:$B$615,0)-1,0),OFFSET(控制台!$K$618,MATCH(F177,控制台!$B$618:$B$636,0)-1,0))</f>
        <v>8008</v>
      </c>
      <c r="U177" s="1">
        <f ca="1">IF(C177=1,OFFSET(控制台!$F$599,MATCH(F177,控制台!$B$599:$B$615,0)-1,0),OFFSET(控制台!$F$618,MATCH(F177,控制台!$B$618:$B$636,0)-1,0))</f>
        <v>2903.04</v>
      </c>
      <c r="V177" s="1">
        <f ca="1">IF(E177=1,U177/G177,IF(E177=5,U177/G177*OFFSET(控制台!$D$641,MATCH(B177,控制台!$B$641:$B$645,0)-1,0),U177/G177*OFFSET(控制台!$H$641,MATCH(B177,控制台!$F$641:$F$650,0)-1,0)))</f>
        <v>967.68</v>
      </c>
      <c r="W177" s="20">
        <f ca="1" t="shared" si="7"/>
        <v>0.672</v>
      </c>
      <c r="X177" s="15">
        <f ca="1">IF(C177=1,OFFSET(控制台!$U$599,MATCH(F177,控制台!$B$599:$B$615,0)-1,0),OFFSET(控制台!$U$618,MATCH(F177,控制台!$B$618:$B$636,0)-1,0))</f>
        <v>8084.99999999999</v>
      </c>
      <c r="Y177" s="16">
        <f ca="1">_xlfn.FLOOR.MATH(IF(E177=1,X177/G177,IF(E177=5,X177/G177*OFFSET(控制台!$D$641,MATCH(B177,控制台!$B$641:$B$645,0)-1,0),X177/G177*OFFSET(控制台!$H$641,MATCH(B177,控制台!$F$641:$F$650,0)-1,0))))</f>
        <v>2695</v>
      </c>
      <c r="Z177" s="16">
        <f ca="1" t="shared" si="8"/>
        <v>2695</v>
      </c>
    </row>
    <row r="178" spans="1:26">
      <c r="A178" s="1">
        <v>20303</v>
      </c>
      <c r="B178" s="1">
        <v>1</v>
      </c>
      <c r="C178" s="1">
        <v>2</v>
      </c>
      <c r="D178" s="1" t="s">
        <v>2809</v>
      </c>
      <c r="E178" s="1">
        <f ca="1">IF(C178=1,OFFSET(控制台!$F$552,MATCH(A178,控制台!$B$552:$B$580,0)-1,0),OFFSET(控制台!$L$552,MATCH(A178,控制台!$H$552:$H$594,0)-1,0))</f>
        <v>1</v>
      </c>
      <c r="F178" s="1">
        <f ca="1">IF(C178=1,OFFSET(控制台!$D$552,MATCH(A178,控制台!$B$552:$B$580,0)-1,0),OFFSET(控制台!$J$552,MATCH(A178,控制台!$H$552:$H$594,0)-1,0))</f>
        <v>3</v>
      </c>
      <c r="G178" s="1">
        <f ca="1">IF(C178=1,OFFSET(控制台!$I$599,MATCH(F178,控制台!$B$599:$B$615,0)-1,0),OFFSET(控制台!$I$618,MATCH(F178,控制台!$B$618:$B$636,0)-1,0))</f>
        <v>3</v>
      </c>
      <c r="H178" s="1">
        <f ca="1">IF(C178=1,OFFSET(控制台!$D$599,MATCH(F178,控制台!$B$599:$B$615,0)-1,0),OFFSET(控制台!$D$618,MATCH(F178,控制台!$B$618:$B$636,0)-1,0))</f>
        <v>1008000</v>
      </c>
      <c r="I178" s="1">
        <f ca="1">IF(E178=1,H178/G178,IF(E178=5,H178/G178*OFFSET(控制台!$D$641,MATCH(B178,控制台!$B$641:$B$645,0)-1,0),H178/G178*OFFSET(控制台!$H$641,MATCH(B178,控制台!$F$641:$F$650,0)-1,0)))</f>
        <v>336000</v>
      </c>
      <c r="J178" s="1">
        <f ca="1">$I178/3*控制台!H$102</f>
        <v>112000</v>
      </c>
      <c r="K178" s="1">
        <f ca="1">$I178/3*控制台!I$102</f>
        <v>84000</v>
      </c>
      <c r="L178" s="1">
        <f ca="1">$I178/3*控制台!J$102</f>
        <v>140000</v>
      </c>
      <c r="M178" s="1">
        <f ca="1">_xlfn.FLOOR.MATH(J178,POWER(10,MAX(2,INT(LOG10(J178)-2))))</f>
        <v>112000</v>
      </c>
      <c r="N178" s="1">
        <f ca="1">_xlfn.FLOOR.MATH(K178,POWER(10,MAX(2,INT(LOG10(K178)-2))))</f>
        <v>84000</v>
      </c>
      <c r="O178" s="1">
        <f ca="1">_xlfn.FLOOR.MATH(L178,POWER(10,MAX(2,INT(LOG10(L178)-2))))</f>
        <v>140000</v>
      </c>
      <c r="P178" s="4" t="str">
        <f ca="1" t="shared" si="6"/>
        <v>112000;84000;140000</v>
      </c>
      <c r="Q178" s="15">
        <f ca="1">IF(C178=1,OFFSET(控制台!$H$599,MATCH(F178,控制台!$B$599:$B$615,0)-1,0),OFFSET(控制台!$H$618,MATCH(F178,控制台!$B$618:$B$636,0)-1,0))</f>
        <v>3164.3136</v>
      </c>
      <c r="R178" s="15">
        <f ca="1">IF(E178=1,Q178/G178,IF(E178=5,Q178/G178*OFFSET(控制台!$D$641,MATCH(B178,控制台!$B$641:$B$645,0)-1,0),Q178/G178*OFFSET(控制台!$H$641,MATCH(B178,控制台!$F$641:$F$650,0)-1,0)))</f>
        <v>1054.7712</v>
      </c>
      <c r="S178" s="16">
        <f ca="1">_xlfn.FLOOR.MATH(R178)*60</f>
        <v>63240</v>
      </c>
      <c r="T178" s="16">
        <f ca="1">8000+IF(C178=1,OFFSET(控制台!$K$599,MATCH(F178,控制台!$B$599:$B$615,0)-1,0),OFFSET(控制台!$K$618,MATCH(F178,控制台!$B$618:$B$636,0)-1,0))</f>
        <v>8008</v>
      </c>
      <c r="U178" s="1">
        <f ca="1">IF(C178=1,OFFSET(控制台!$F$599,MATCH(F178,控制台!$B$599:$B$615,0)-1,0),OFFSET(控制台!$F$618,MATCH(F178,控制台!$B$618:$B$636,0)-1,0))</f>
        <v>2903.04</v>
      </c>
      <c r="V178" s="1">
        <f ca="1">IF(E178=1,U178/G178,IF(E178=5,U178/G178*OFFSET(控制台!$D$641,MATCH(B178,控制台!$B$641:$B$645,0)-1,0),U178/G178*OFFSET(控制台!$H$641,MATCH(B178,控制台!$F$641:$F$650,0)-1,0)))</f>
        <v>967.68</v>
      </c>
      <c r="W178" s="20">
        <f ca="1" t="shared" si="7"/>
        <v>0.672</v>
      </c>
      <c r="X178" s="15">
        <f ca="1">IF(C178=1,OFFSET(控制台!$U$599,MATCH(F178,控制台!$B$599:$B$615,0)-1,0),OFFSET(控制台!$U$618,MATCH(F178,控制台!$B$618:$B$636,0)-1,0))</f>
        <v>8084.99999999999</v>
      </c>
      <c r="Y178" s="16">
        <f ca="1">_xlfn.FLOOR.MATH(IF(E178=1,X178/G178,IF(E178=5,X178/G178*OFFSET(控制台!$D$641,MATCH(B178,控制台!$B$641:$B$645,0)-1,0),X178/G178*OFFSET(控制台!$H$641,MATCH(B178,控制台!$F$641:$F$650,0)-1,0))))</f>
        <v>2695</v>
      </c>
      <c r="Z178" s="16">
        <f ca="1" t="shared" si="8"/>
        <v>2695</v>
      </c>
    </row>
    <row r="179" spans="1:26">
      <c r="A179" s="1">
        <v>20401</v>
      </c>
      <c r="B179" s="1">
        <v>1</v>
      </c>
      <c r="C179" s="1">
        <v>2</v>
      </c>
      <c r="D179" s="1" t="s">
        <v>2810</v>
      </c>
      <c r="E179" s="1">
        <f ca="1">IF(C179=1,OFFSET(控制台!$F$552,MATCH(A179,控制台!$B$552:$B$580,0)-1,0),OFFSET(控制台!$L$552,MATCH(A179,控制台!$H$552:$H$594,0)-1,0))</f>
        <v>5</v>
      </c>
      <c r="F179" s="1">
        <f ca="1">IF(C179=1,OFFSET(控制台!$D$552,MATCH(A179,控制台!$B$552:$B$580,0)-1,0),OFFSET(控制台!$J$552,MATCH(A179,控制台!$H$552:$H$594,0)-1,0))</f>
        <v>4</v>
      </c>
      <c r="G179" s="1">
        <f ca="1">IF(C179=1,OFFSET(控制台!$I$599,MATCH(F179,控制台!$B$599:$B$615,0)-1,0),OFFSET(控制台!$I$618,MATCH(F179,控制台!$B$618:$B$636,0)-1,0))</f>
        <v>3</v>
      </c>
      <c r="H179" s="1">
        <f ca="1">IF(C179=1,OFFSET(控制台!$D$599,MATCH(F179,控制台!$B$599:$B$615,0)-1,0),OFFSET(控制台!$D$618,MATCH(F179,控制台!$B$618:$B$636,0)-1,0))</f>
        <v>11289600</v>
      </c>
      <c r="I179" s="1">
        <f ca="1">IF(E179=1,H179/G179,IF(E179=5,H179/G179*OFFSET(控制台!$D$641,MATCH(B179,控制台!$B$641:$B$645,0)-1,0),H179/G179*OFFSET(控制台!$H$641,MATCH(B179,控制台!$F$641:$F$650,0)-1,0)))</f>
        <v>179200</v>
      </c>
      <c r="J179" s="1">
        <f ca="1">$I179/3*控制台!H$102</f>
        <v>59733.3333333333</v>
      </c>
      <c r="K179" s="1">
        <f ca="1">$I179/3*控制台!I$102</f>
        <v>44800</v>
      </c>
      <c r="L179" s="1">
        <f ca="1">$I179/3*控制台!J$102</f>
        <v>74666.6666666666</v>
      </c>
      <c r="M179" s="1">
        <f ca="1">_xlfn.FLOOR.MATH(J179,POWER(10,MAX(2,INT(LOG10(J179)-2))))</f>
        <v>59700</v>
      </c>
      <c r="N179" s="1">
        <f ca="1">_xlfn.FLOOR.MATH(K179,POWER(10,MAX(2,INT(LOG10(K179)-2))))</f>
        <v>44800</v>
      </c>
      <c r="O179" s="1">
        <f ca="1">_xlfn.FLOOR.MATH(L179,POWER(10,MAX(2,INT(LOG10(L179)-2))))</f>
        <v>74600</v>
      </c>
      <c r="P179" s="4" t="str">
        <f ca="1" t="shared" si="6"/>
        <v>59700;44800;74600</v>
      </c>
      <c r="Q179" s="15">
        <f ca="1">IF(C179=1,OFFSET(控制台!$H$599,MATCH(F179,控制台!$B$599:$B$615,0)-1,0),OFFSET(控制台!$H$618,MATCH(F179,控制台!$B$618:$B$636,0)-1,0))</f>
        <v>24812.28288</v>
      </c>
      <c r="R179" s="15">
        <f ca="1">IF(E179=1,Q179/G179,IF(E179=5,Q179/G179*OFFSET(控制台!$D$641,MATCH(B179,控制台!$B$641:$B$645,0)-1,0),Q179/G179*OFFSET(控制台!$H$641,MATCH(B179,控制台!$F$641:$F$650,0)-1,0)))</f>
        <v>393.84576</v>
      </c>
      <c r="S179" s="16">
        <f ca="1">_xlfn.FLOOR.MATH(R179)*60</f>
        <v>23580</v>
      </c>
      <c r="T179" s="16">
        <f ca="1">8000+IF(C179=1,OFFSET(控制台!$K$599,MATCH(F179,控制台!$B$599:$B$615,0)-1,0),OFFSET(控制台!$K$618,MATCH(F179,控制台!$B$618:$B$636,0)-1,0))</f>
        <v>8013</v>
      </c>
      <c r="U179" s="1">
        <f ca="1">IF(C179=1,OFFSET(控制台!$F$599,MATCH(F179,控制台!$B$599:$B$615,0)-1,0),OFFSET(控制台!$F$618,MATCH(F179,控制台!$B$618:$B$636,0)-1,0))</f>
        <v>22353.408</v>
      </c>
      <c r="V179" s="1">
        <f ca="1">IF(E179=1,U179/G179,IF(E179=5,U179/G179*OFFSET(控制台!$D$641,MATCH(B179,控制台!$B$641:$B$645,0)-1,0),U179/G179*OFFSET(控制台!$H$641,MATCH(B179,控制台!$F$641:$F$650,0)-1,0)))</f>
        <v>354.816</v>
      </c>
      <c r="W179" s="20">
        <f ca="1" t="shared" si="7"/>
        <v>0.2464</v>
      </c>
      <c r="X179" s="15">
        <f ca="1">IF(C179=1,OFFSET(控制台!$U$599,MATCH(F179,控制台!$B$599:$B$615,0)-1,0),OFFSET(控制台!$U$618,MATCH(F179,控制台!$B$618:$B$636,0)-1,0))</f>
        <v>62989.5</v>
      </c>
      <c r="Y179" s="16">
        <f ca="1">_xlfn.FLOOR.MATH(IF(E179=1,X179/G179,IF(E179=5,X179/G179*OFFSET(控制台!$D$641,MATCH(B179,控制台!$B$641:$B$645,0)-1,0),X179/G179*OFFSET(控制台!$H$641,MATCH(B179,控制台!$F$641:$F$650,0)-1,0))))</f>
        <v>999</v>
      </c>
      <c r="Z179" s="16">
        <f ca="1" t="shared" si="8"/>
        <v>999</v>
      </c>
    </row>
    <row r="180" spans="1:26">
      <c r="A180" s="1">
        <v>20401</v>
      </c>
      <c r="B180" s="1">
        <v>2</v>
      </c>
      <c r="C180" s="1">
        <v>2</v>
      </c>
      <c r="D180" s="1" t="s">
        <v>2810</v>
      </c>
      <c r="E180" s="1">
        <f ca="1">IF(C180=1,OFFSET(控制台!$F$552,MATCH(A180,控制台!$B$552:$B$580,0)-1,0),OFFSET(控制台!$L$552,MATCH(A180,控制台!$H$552:$H$594,0)-1,0))</f>
        <v>5</v>
      </c>
      <c r="F180" s="1">
        <f ca="1">IF(C180=1,OFFSET(控制台!$D$552,MATCH(A180,控制台!$B$552:$B$580,0)-1,0),OFFSET(控制台!$J$552,MATCH(A180,控制台!$H$552:$H$594,0)-1,0))</f>
        <v>4</v>
      </c>
      <c r="G180" s="1">
        <f ca="1">IF(C180=1,OFFSET(控制台!$I$599,MATCH(F180,控制台!$B$599:$B$615,0)-1,0),OFFSET(控制台!$I$618,MATCH(F180,控制台!$B$618:$B$636,0)-1,0))</f>
        <v>3</v>
      </c>
      <c r="H180" s="1">
        <f ca="1">IF(C180=1,OFFSET(控制台!$D$599,MATCH(F180,控制台!$B$599:$B$615,0)-1,0),OFFSET(控制台!$D$618,MATCH(F180,控制台!$B$618:$B$636,0)-1,0))</f>
        <v>11289600</v>
      </c>
      <c r="I180" s="1">
        <f ca="1">IF(E180=1,H180/G180,IF(E180=5,H180/G180*OFFSET(控制台!$D$641,MATCH(B180,控制台!$B$641:$B$645,0)-1,0),H180/G180*OFFSET(控制台!$H$641,MATCH(B180,控制台!$F$641:$F$650,0)-1,0)))</f>
        <v>358400</v>
      </c>
      <c r="J180" s="1">
        <f ca="1">$I180/3*控制台!H$102</f>
        <v>119466.666666667</v>
      </c>
      <c r="K180" s="1">
        <f ca="1">$I180/3*控制台!I$102</f>
        <v>89600</v>
      </c>
      <c r="L180" s="1">
        <f ca="1">$I180/3*控制台!J$102</f>
        <v>149333.333333333</v>
      </c>
      <c r="M180" s="1">
        <f ca="1">_xlfn.FLOOR.MATH(J180,POWER(10,MAX(2,INT(LOG10(J180)-2))))</f>
        <v>119000</v>
      </c>
      <c r="N180" s="1">
        <f ca="1">_xlfn.FLOOR.MATH(K180,POWER(10,MAX(2,INT(LOG10(K180)-2))))</f>
        <v>89600</v>
      </c>
      <c r="O180" s="1">
        <f ca="1">_xlfn.FLOOR.MATH(L180,POWER(10,MAX(2,INT(LOG10(L180)-2))))</f>
        <v>149000</v>
      </c>
      <c r="P180" s="4" t="str">
        <f ca="1" t="shared" si="6"/>
        <v>119000;89600;149000</v>
      </c>
      <c r="Q180" s="15">
        <f ca="1">IF(C180=1,OFFSET(控制台!$H$599,MATCH(F180,控制台!$B$599:$B$615,0)-1,0),OFFSET(控制台!$H$618,MATCH(F180,控制台!$B$618:$B$636,0)-1,0))</f>
        <v>24812.28288</v>
      </c>
      <c r="R180" s="15">
        <f ca="1">IF(E180=1,Q180/G180,IF(E180=5,Q180/G180*OFFSET(控制台!$D$641,MATCH(B180,控制台!$B$641:$B$645,0)-1,0),Q180/G180*OFFSET(控制台!$H$641,MATCH(B180,控制台!$F$641:$F$650,0)-1,0)))</f>
        <v>787.69152</v>
      </c>
      <c r="S180" s="16">
        <f ca="1">_xlfn.FLOOR.MATH(R180)*60</f>
        <v>47220</v>
      </c>
      <c r="T180" s="16">
        <f ca="1">8000+IF(C180=1,OFFSET(控制台!$K$599,MATCH(F180,控制台!$B$599:$B$615,0)-1,0),OFFSET(控制台!$K$618,MATCH(F180,控制台!$B$618:$B$636,0)-1,0))</f>
        <v>8013</v>
      </c>
      <c r="U180" s="1">
        <f ca="1">IF(C180=1,OFFSET(控制台!$F$599,MATCH(F180,控制台!$B$599:$B$615,0)-1,0),OFFSET(控制台!$F$618,MATCH(F180,控制台!$B$618:$B$636,0)-1,0))</f>
        <v>22353.408</v>
      </c>
      <c r="V180" s="1">
        <f ca="1">IF(E180=1,U180/G180,IF(E180=5,U180/G180*OFFSET(控制台!$D$641,MATCH(B180,控制台!$B$641:$B$645,0)-1,0),U180/G180*OFFSET(控制台!$H$641,MATCH(B180,控制台!$F$641:$F$650,0)-1,0)))</f>
        <v>709.632</v>
      </c>
      <c r="W180" s="20">
        <f ca="1" t="shared" si="7"/>
        <v>0.4928</v>
      </c>
      <c r="X180" s="15">
        <f ca="1">IF(C180=1,OFFSET(控制台!$U$599,MATCH(F180,控制台!$B$599:$B$615,0)-1,0),OFFSET(控制台!$U$618,MATCH(F180,控制台!$B$618:$B$636,0)-1,0))</f>
        <v>62989.5</v>
      </c>
      <c r="Y180" s="16">
        <f ca="1">_xlfn.FLOOR.MATH(IF(E180=1,X180/G180,IF(E180=5,X180/G180*OFFSET(控制台!$D$641,MATCH(B180,控制台!$B$641:$B$645,0)-1,0),X180/G180*OFFSET(控制台!$H$641,MATCH(B180,控制台!$F$641:$F$650,0)-1,0))))</f>
        <v>1999</v>
      </c>
      <c r="Z180" s="16">
        <f ca="1" t="shared" si="8"/>
        <v>2998</v>
      </c>
    </row>
    <row r="181" spans="1:26">
      <c r="A181" s="1">
        <v>20401</v>
      </c>
      <c r="B181" s="1">
        <v>3</v>
      </c>
      <c r="C181" s="1">
        <v>2</v>
      </c>
      <c r="D181" s="1" t="s">
        <v>2810</v>
      </c>
      <c r="E181" s="1">
        <f ca="1">IF(C181=1,OFFSET(控制台!$F$552,MATCH(A181,控制台!$B$552:$B$580,0)-1,0),OFFSET(控制台!$L$552,MATCH(A181,控制台!$H$552:$H$594,0)-1,0))</f>
        <v>5</v>
      </c>
      <c r="F181" s="1">
        <f ca="1">IF(C181=1,OFFSET(控制台!$D$552,MATCH(A181,控制台!$B$552:$B$580,0)-1,0),OFFSET(控制台!$J$552,MATCH(A181,控制台!$H$552:$H$594,0)-1,0))</f>
        <v>4</v>
      </c>
      <c r="G181" s="1">
        <f ca="1">IF(C181=1,OFFSET(控制台!$I$599,MATCH(F181,控制台!$B$599:$B$615,0)-1,0),OFFSET(控制台!$I$618,MATCH(F181,控制台!$B$618:$B$636,0)-1,0))</f>
        <v>3</v>
      </c>
      <c r="H181" s="1">
        <f ca="1">IF(C181=1,OFFSET(控制台!$D$599,MATCH(F181,控制台!$B$599:$B$615,0)-1,0),OFFSET(控制台!$D$618,MATCH(F181,控制台!$B$618:$B$636,0)-1,0))</f>
        <v>11289600</v>
      </c>
      <c r="I181" s="1">
        <f ca="1">IF(E181=1,H181/G181,IF(E181=5,H181/G181*OFFSET(控制台!$D$641,MATCH(B181,控制台!$B$641:$B$645,0)-1,0),H181/G181*OFFSET(控制台!$H$641,MATCH(B181,控制台!$F$641:$F$650,0)-1,0)))</f>
        <v>537600</v>
      </c>
      <c r="J181" s="1">
        <f ca="1">$I181/3*控制台!H$102</f>
        <v>179200</v>
      </c>
      <c r="K181" s="1">
        <f ca="1">$I181/3*控制台!I$102</f>
        <v>134400</v>
      </c>
      <c r="L181" s="1">
        <f ca="1">$I181/3*控制台!J$102</f>
        <v>224000</v>
      </c>
      <c r="M181" s="1">
        <f ca="1">_xlfn.FLOOR.MATH(J181,POWER(10,MAX(2,INT(LOG10(J181)-2))))</f>
        <v>179000</v>
      </c>
      <c r="N181" s="1">
        <f ca="1">_xlfn.FLOOR.MATH(K181,POWER(10,MAX(2,INT(LOG10(K181)-2))))</f>
        <v>134000</v>
      </c>
      <c r="O181" s="1">
        <f ca="1">_xlfn.FLOOR.MATH(L181,POWER(10,MAX(2,INT(LOG10(L181)-2))))</f>
        <v>224000</v>
      </c>
      <c r="P181" s="4" t="str">
        <f ca="1" t="shared" si="6"/>
        <v>179000;134000;224000</v>
      </c>
      <c r="Q181" s="15">
        <f ca="1">IF(C181=1,OFFSET(控制台!$H$599,MATCH(F181,控制台!$B$599:$B$615,0)-1,0),OFFSET(控制台!$H$618,MATCH(F181,控制台!$B$618:$B$636,0)-1,0))</f>
        <v>24812.28288</v>
      </c>
      <c r="R181" s="15">
        <f ca="1">IF(E181=1,Q181/G181,IF(E181=5,Q181/G181*OFFSET(控制台!$D$641,MATCH(B181,控制台!$B$641:$B$645,0)-1,0),Q181/G181*OFFSET(控制台!$H$641,MATCH(B181,控制台!$F$641:$F$650,0)-1,0)))</f>
        <v>1181.53728</v>
      </c>
      <c r="S181" s="16">
        <f ca="1">_xlfn.FLOOR.MATH(R181)*60</f>
        <v>70860</v>
      </c>
      <c r="T181" s="16">
        <f ca="1">8000+IF(C181=1,OFFSET(控制台!$K$599,MATCH(F181,控制台!$B$599:$B$615,0)-1,0),OFFSET(控制台!$K$618,MATCH(F181,控制台!$B$618:$B$636,0)-1,0))</f>
        <v>8013</v>
      </c>
      <c r="U181" s="1">
        <f ca="1">IF(C181=1,OFFSET(控制台!$F$599,MATCH(F181,控制台!$B$599:$B$615,0)-1,0),OFFSET(控制台!$F$618,MATCH(F181,控制台!$B$618:$B$636,0)-1,0))</f>
        <v>22353.408</v>
      </c>
      <c r="V181" s="1">
        <f ca="1">IF(E181=1,U181/G181,IF(E181=5,U181/G181*OFFSET(控制台!$D$641,MATCH(B181,控制台!$B$641:$B$645,0)-1,0),U181/G181*OFFSET(控制台!$H$641,MATCH(B181,控制台!$F$641:$F$650,0)-1,0)))</f>
        <v>1064.448</v>
      </c>
      <c r="W181" s="20">
        <f ca="1" t="shared" si="7"/>
        <v>0.739200000000001</v>
      </c>
      <c r="X181" s="15">
        <f ca="1">IF(C181=1,OFFSET(控制台!$U$599,MATCH(F181,控制台!$B$599:$B$615,0)-1,0),OFFSET(控制台!$U$618,MATCH(F181,控制台!$B$618:$B$636,0)-1,0))</f>
        <v>62989.5</v>
      </c>
      <c r="Y181" s="16">
        <f ca="1">_xlfn.FLOOR.MATH(IF(E181=1,X181/G181,IF(E181=5,X181/G181*OFFSET(控制台!$D$641,MATCH(B181,控制台!$B$641:$B$645,0)-1,0),X181/G181*OFFSET(控制台!$H$641,MATCH(B181,控制台!$F$641:$F$650,0)-1,0))))</f>
        <v>2999</v>
      </c>
      <c r="Z181" s="16">
        <f ca="1" t="shared" si="8"/>
        <v>5997</v>
      </c>
    </row>
    <row r="182" spans="1:26">
      <c r="A182" s="1">
        <v>20401</v>
      </c>
      <c r="B182" s="1">
        <v>4</v>
      </c>
      <c r="C182" s="1">
        <v>2</v>
      </c>
      <c r="D182" s="1" t="s">
        <v>2810</v>
      </c>
      <c r="E182" s="1">
        <f ca="1">IF(C182=1,OFFSET(控制台!$F$552,MATCH(A182,控制台!$B$552:$B$580,0)-1,0),OFFSET(控制台!$L$552,MATCH(A182,控制台!$H$552:$H$594,0)-1,0))</f>
        <v>5</v>
      </c>
      <c r="F182" s="1">
        <f ca="1">IF(C182=1,OFFSET(控制台!$D$552,MATCH(A182,控制台!$B$552:$B$580,0)-1,0),OFFSET(控制台!$J$552,MATCH(A182,控制台!$H$552:$H$594,0)-1,0))</f>
        <v>4</v>
      </c>
      <c r="G182" s="1">
        <f ca="1">IF(C182=1,OFFSET(控制台!$I$599,MATCH(F182,控制台!$B$599:$B$615,0)-1,0),OFFSET(控制台!$I$618,MATCH(F182,控制台!$B$618:$B$636,0)-1,0))</f>
        <v>3</v>
      </c>
      <c r="H182" s="1">
        <f ca="1">IF(C182=1,OFFSET(控制台!$D$599,MATCH(F182,控制台!$B$599:$B$615,0)-1,0),OFFSET(控制台!$D$618,MATCH(F182,控制台!$B$618:$B$636,0)-1,0))</f>
        <v>11289600</v>
      </c>
      <c r="I182" s="1">
        <f ca="1">IF(E182=1,H182/G182,IF(E182=5,H182/G182*OFFSET(控制台!$D$641,MATCH(B182,控制台!$B$641:$B$645,0)-1,0),H182/G182*OFFSET(控制台!$H$641,MATCH(B182,控制台!$F$641:$F$650,0)-1,0)))</f>
        <v>896000</v>
      </c>
      <c r="J182" s="1">
        <f ca="1">$I182/3*控制台!H$102</f>
        <v>298666.666666667</v>
      </c>
      <c r="K182" s="1">
        <f ca="1">$I182/3*控制台!I$102</f>
        <v>224000</v>
      </c>
      <c r="L182" s="1">
        <f ca="1">$I182/3*控制台!J$102</f>
        <v>373333.333333333</v>
      </c>
      <c r="M182" s="1">
        <f ca="1">_xlfn.FLOOR.MATH(J182,POWER(10,MAX(2,INT(LOG10(J182)-2))))</f>
        <v>298000</v>
      </c>
      <c r="N182" s="1">
        <f ca="1">_xlfn.FLOOR.MATH(K182,POWER(10,MAX(2,INT(LOG10(K182)-2))))</f>
        <v>224000</v>
      </c>
      <c r="O182" s="1">
        <f ca="1">_xlfn.FLOOR.MATH(L182,POWER(10,MAX(2,INT(LOG10(L182)-2))))</f>
        <v>373000</v>
      </c>
      <c r="P182" s="4" t="str">
        <f ca="1" t="shared" si="6"/>
        <v>298000;224000;373000</v>
      </c>
      <c r="Q182" s="15">
        <f ca="1">IF(C182=1,OFFSET(控制台!$H$599,MATCH(F182,控制台!$B$599:$B$615,0)-1,0),OFFSET(控制台!$H$618,MATCH(F182,控制台!$B$618:$B$636,0)-1,0))</f>
        <v>24812.28288</v>
      </c>
      <c r="R182" s="15">
        <f ca="1">IF(E182=1,Q182/G182,IF(E182=5,Q182/G182*OFFSET(控制台!$D$641,MATCH(B182,控制台!$B$641:$B$645,0)-1,0),Q182/G182*OFFSET(控制台!$H$641,MATCH(B182,控制台!$F$641:$F$650,0)-1,0)))</f>
        <v>1969.2288</v>
      </c>
      <c r="S182" s="16">
        <f ca="1">_xlfn.FLOOR.MATH(R182)*60</f>
        <v>118140</v>
      </c>
      <c r="T182" s="16">
        <f ca="1">8000+IF(C182=1,OFFSET(控制台!$K$599,MATCH(F182,控制台!$B$599:$B$615,0)-1,0),OFFSET(控制台!$K$618,MATCH(F182,控制台!$B$618:$B$636,0)-1,0))</f>
        <v>8013</v>
      </c>
      <c r="U182" s="1">
        <f ca="1">IF(C182=1,OFFSET(控制台!$F$599,MATCH(F182,控制台!$B$599:$B$615,0)-1,0),OFFSET(控制台!$F$618,MATCH(F182,控制台!$B$618:$B$636,0)-1,0))</f>
        <v>22353.408</v>
      </c>
      <c r="V182" s="1">
        <f ca="1">IF(E182=1,U182/G182,IF(E182=5,U182/G182*OFFSET(控制台!$D$641,MATCH(B182,控制台!$B$641:$B$645,0)-1,0),U182/G182*OFFSET(控制台!$H$641,MATCH(B182,控制台!$F$641:$F$650,0)-1,0)))</f>
        <v>1774.08</v>
      </c>
      <c r="W182" s="20">
        <f ca="1" t="shared" si="7"/>
        <v>1.232</v>
      </c>
      <c r="X182" s="15">
        <f ca="1">IF(C182=1,OFFSET(控制台!$U$599,MATCH(F182,控制台!$B$599:$B$615,0)-1,0),OFFSET(控制台!$U$618,MATCH(F182,控制台!$B$618:$B$636,0)-1,0))</f>
        <v>62989.5</v>
      </c>
      <c r="Y182" s="16">
        <f ca="1">_xlfn.FLOOR.MATH(IF(E182=1,X182/G182,IF(E182=5,X182/G182*OFFSET(控制台!$D$641,MATCH(B182,控制台!$B$641:$B$645,0)-1,0),X182/G182*OFFSET(控制台!$H$641,MATCH(B182,控制台!$F$641:$F$650,0)-1,0))))</f>
        <v>4999</v>
      </c>
      <c r="Z182" s="16">
        <f ca="1" t="shared" si="8"/>
        <v>10996</v>
      </c>
    </row>
    <row r="183" spans="1:26">
      <c r="A183" s="1">
        <v>20401</v>
      </c>
      <c r="B183" s="1">
        <v>5</v>
      </c>
      <c r="C183" s="1">
        <v>2</v>
      </c>
      <c r="D183" s="1" t="s">
        <v>2810</v>
      </c>
      <c r="E183" s="1">
        <f ca="1">IF(C183=1,OFFSET(控制台!$F$552,MATCH(A183,控制台!$B$552:$B$580,0)-1,0),OFFSET(控制台!$L$552,MATCH(A183,控制台!$H$552:$H$594,0)-1,0))</f>
        <v>5</v>
      </c>
      <c r="F183" s="1">
        <f ca="1">IF(C183=1,OFFSET(控制台!$D$552,MATCH(A183,控制台!$B$552:$B$580,0)-1,0),OFFSET(控制台!$J$552,MATCH(A183,控制台!$H$552:$H$594,0)-1,0))</f>
        <v>4</v>
      </c>
      <c r="G183" s="1">
        <f ca="1">IF(C183=1,OFFSET(控制台!$I$599,MATCH(F183,控制台!$B$599:$B$615,0)-1,0),OFFSET(控制台!$I$618,MATCH(F183,控制台!$B$618:$B$636,0)-1,0))</f>
        <v>3</v>
      </c>
      <c r="H183" s="1">
        <f ca="1">IF(C183=1,OFFSET(控制台!$D$599,MATCH(F183,控制台!$B$599:$B$615,0)-1,0),OFFSET(控制台!$D$618,MATCH(F183,控制台!$B$618:$B$636,0)-1,0))</f>
        <v>11289600</v>
      </c>
      <c r="I183" s="1">
        <f ca="1">IF(E183=1,H183/G183,IF(E183=5,H183/G183*OFFSET(控制台!$D$641,MATCH(B183,控制台!$B$641:$B$645,0)-1,0),H183/G183*OFFSET(控制台!$H$641,MATCH(B183,控制台!$F$641:$F$650,0)-1,0)))</f>
        <v>1792000</v>
      </c>
      <c r="J183" s="1">
        <f ca="1">$I183/3*控制台!H$102</f>
        <v>597333.333333333</v>
      </c>
      <c r="K183" s="1">
        <f ca="1">$I183/3*控制台!I$102</f>
        <v>448000</v>
      </c>
      <c r="L183" s="1">
        <f ca="1">$I183/3*控制台!J$102</f>
        <v>746666.666666666</v>
      </c>
      <c r="M183" s="1">
        <f ca="1">_xlfn.FLOOR.MATH(J183,POWER(10,MAX(2,INT(LOG10(J183)-2))))</f>
        <v>597000</v>
      </c>
      <c r="N183" s="1">
        <f ca="1">_xlfn.FLOOR.MATH(K183,POWER(10,MAX(2,INT(LOG10(K183)-2))))</f>
        <v>448000</v>
      </c>
      <c r="O183" s="1">
        <f ca="1">_xlfn.FLOOR.MATH(L183,POWER(10,MAX(2,INT(LOG10(L183)-2))))</f>
        <v>746000</v>
      </c>
      <c r="P183" s="4" t="str">
        <f ca="1" t="shared" si="6"/>
        <v>597000;448000;746000</v>
      </c>
      <c r="Q183" s="15">
        <f ca="1">IF(C183=1,OFFSET(控制台!$H$599,MATCH(F183,控制台!$B$599:$B$615,0)-1,0),OFFSET(控制台!$H$618,MATCH(F183,控制台!$B$618:$B$636,0)-1,0))</f>
        <v>24812.28288</v>
      </c>
      <c r="R183" s="15">
        <f ca="1">IF(E183=1,Q183/G183,IF(E183=5,Q183/G183*OFFSET(控制台!$D$641,MATCH(B183,控制台!$B$641:$B$645,0)-1,0),Q183/G183*OFFSET(控制台!$H$641,MATCH(B183,控制台!$F$641:$F$650,0)-1,0)))</f>
        <v>3938.4576</v>
      </c>
      <c r="S183" s="16">
        <f ca="1">_xlfn.FLOOR.MATH(R183)*60</f>
        <v>236280</v>
      </c>
      <c r="T183" s="16">
        <f ca="1">8000+IF(C183=1,OFFSET(控制台!$K$599,MATCH(F183,控制台!$B$599:$B$615,0)-1,0),OFFSET(控制台!$K$618,MATCH(F183,控制台!$B$618:$B$636,0)-1,0))</f>
        <v>8013</v>
      </c>
      <c r="U183" s="1">
        <f ca="1">IF(C183=1,OFFSET(控制台!$F$599,MATCH(F183,控制台!$B$599:$B$615,0)-1,0),OFFSET(控制台!$F$618,MATCH(F183,控制台!$B$618:$B$636,0)-1,0))</f>
        <v>22353.408</v>
      </c>
      <c r="V183" s="1">
        <f ca="1">IF(E183=1,U183/G183,IF(E183=5,U183/G183*OFFSET(控制台!$D$641,MATCH(B183,控制台!$B$641:$B$645,0)-1,0),U183/G183*OFFSET(控制台!$H$641,MATCH(B183,控制台!$F$641:$F$650,0)-1,0)))</f>
        <v>3548.16</v>
      </c>
      <c r="W183" s="20">
        <f ca="1" t="shared" si="7"/>
        <v>2.464</v>
      </c>
      <c r="X183" s="15">
        <f ca="1">IF(C183=1,OFFSET(控制台!$U$599,MATCH(F183,控制台!$B$599:$B$615,0)-1,0),OFFSET(控制台!$U$618,MATCH(F183,控制台!$B$618:$B$636,0)-1,0))</f>
        <v>62989.5</v>
      </c>
      <c r="Y183" s="16">
        <f ca="1">_xlfn.FLOOR.MATH(IF(E183=1,X183/G183,IF(E183=5,X183/G183*OFFSET(控制台!$D$641,MATCH(B183,控制台!$B$641:$B$645,0)-1,0),X183/G183*OFFSET(控制台!$H$641,MATCH(B183,控制台!$F$641:$F$650,0)-1,0))))</f>
        <v>9998</v>
      </c>
      <c r="Z183" s="16">
        <f ca="1" t="shared" si="8"/>
        <v>20994</v>
      </c>
    </row>
    <row r="184" spans="1:26">
      <c r="A184" s="1">
        <v>20402</v>
      </c>
      <c r="B184" s="1">
        <v>1</v>
      </c>
      <c r="C184" s="1">
        <v>2</v>
      </c>
      <c r="D184" s="1" t="s">
        <v>2811</v>
      </c>
      <c r="E184" s="1">
        <f ca="1">IF(C184=1,OFFSET(控制台!$F$552,MATCH(A184,控制台!$B$552:$B$580,0)-1,0),OFFSET(控制台!$L$552,MATCH(A184,控制台!$H$552:$H$594,0)-1,0))</f>
        <v>5</v>
      </c>
      <c r="F184" s="1">
        <f ca="1">IF(C184=1,OFFSET(控制台!$D$552,MATCH(A184,控制台!$B$552:$B$580,0)-1,0),OFFSET(控制台!$J$552,MATCH(A184,控制台!$H$552:$H$594,0)-1,0))</f>
        <v>4</v>
      </c>
      <c r="G184" s="1">
        <f ca="1">IF(C184=1,OFFSET(控制台!$I$599,MATCH(F184,控制台!$B$599:$B$615,0)-1,0),OFFSET(控制台!$I$618,MATCH(F184,控制台!$B$618:$B$636,0)-1,0))</f>
        <v>3</v>
      </c>
      <c r="H184" s="1">
        <f ca="1">IF(C184=1,OFFSET(控制台!$D$599,MATCH(F184,控制台!$B$599:$B$615,0)-1,0),OFFSET(控制台!$D$618,MATCH(F184,控制台!$B$618:$B$636,0)-1,0))</f>
        <v>11289600</v>
      </c>
      <c r="I184" s="1">
        <f ca="1">IF(E184=1,H184/G184,IF(E184=5,H184/G184*OFFSET(控制台!$D$641,MATCH(B184,控制台!$B$641:$B$645,0)-1,0),H184/G184*OFFSET(控制台!$H$641,MATCH(B184,控制台!$F$641:$F$650,0)-1,0)))</f>
        <v>179200</v>
      </c>
      <c r="J184" s="1">
        <f ca="1">$I184/3*控制台!H$102</f>
        <v>59733.3333333333</v>
      </c>
      <c r="K184" s="1">
        <f ca="1">$I184/3*控制台!I$102</f>
        <v>44800</v>
      </c>
      <c r="L184" s="1">
        <f ca="1">$I184/3*控制台!J$102</f>
        <v>74666.6666666666</v>
      </c>
      <c r="M184" s="1">
        <f ca="1">_xlfn.FLOOR.MATH(J184,POWER(10,MAX(2,INT(LOG10(J184)-2))))</f>
        <v>59700</v>
      </c>
      <c r="N184" s="1">
        <f ca="1">_xlfn.FLOOR.MATH(K184,POWER(10,MAX(2,INT(LOG10(K184)-2))))</f>
        <v>44800</v>
      </c>
      <c r="O184" s="1">
        <f ca="1">_xlfn.FLOOR.MATH(L184,POWER(10,MAX(2,INT(LOG10(L184)-2))))</f>
        <v>74600</v>
      </c>
      <c r="P184" s="4" t="str">
        <f ca="1" t="shared" si="6"/>
        <v>59700;44800;74600</v>
      </c>
      <c r="Q184" s="15">
        <f ca="1">IF(C184=1,OFFSET(控制台!$H$599,MATCH(F184,控制台!$B$599:$B$615,0)-1,0),OFFSET(控制台!$H$618,MATCH(F184,控制台!$B$618:$B$636,0)-1,0))</f>
        <v>24812.28288</v>
      </c>
      <c r="R184" s="15">
        <f ca="1">IF(E184=1,Q184/G184,IF(E184=5,Q184/G184*OFFSET(控制台!$D$641,MATCH(B184,控制台!$B$641:$B$645,0)-1,0),Q184/G184*OFFSET(控制台!$H$641,MATCH(B184,控制台!$F$641:$F$650,0)-1,0)))</f>
        <v>393.84576</v>
      </c>
      <c r="S184" s="16">
        <f ca="1">_xlfn.FLOOR.MATH(R184)*60</f>
        <v>23580</v>
      </c>
      <c r="T184" s="16">
        <f ca="1">8000+IF(C184=1,OFFSET(控制台!$K$599,MATCH(F184,控制台!$B$599:$B$615,0)-1,0),OFFSET(控制台!$K$618,MATCH(F184,控制台!$B$618:$B$636,0)-1,0))</f>
        <v>8013</v>
      </c>
      <c r="U184" s="1">
        <f ca="1">IF(C184=1,OFFSET(控制台!$F$599,MATCH(F184,控制台!$B$599:$B$615,0)-1,0),OFFSET(控制台!$F$618,MATCH(F184,控制台!$B$618:$B$636,0)-1,0))</f>
        <v>22353.408</v>
      </c>
      <c r="V184" s="1">
        <f ca="1">IF(E184=1,U184/G184,IF(E184=5,U184/G184*OFFSET(控制台!$D$641,MATCH(B184,控制台!$B$641:$B$645,0)-1,0),U184/G184*OFFSET(控制台!$H$641,MATCH(B184,控制台!$F$641:$F$650,0)-1,0)))</f>
        <v>354.816</v>
      </c>
      <c r="W184" s="20">
        <f ca="1" t="shared" si="7"/>
        <v>0.2464</v>
      </c>
      <c r="X184" s="15">
        <f ca="1">IF(C184=1,OFFSET(控制台!$U$599,MATCH(F184,控制台!$B$599:$B$615,0)-1,0),OFFSET(控制台!$U$618,MATCH(F184,控制台!$B$618:$B$636,0)-1,0))</f>
        <v>62989.5</v>
      </c>
      <c r="Y184" s="16">
        <f ca="1">_xlfn.FLOOR.MATH(IF(E184=1,X184/G184,IF(E184=5,X184/G184*OFFSET(控制台!$D$641,MATCH(B184,控制台!$B$641:$B$645,0)-1,0),X184/G184*OFFSET(控制台!$H$641,MATCH(B184,控制台!$F$641:$F$650,0)-1,0))))</f>
        <v>999</v>
      </c>
      <c r="Z184" s="16">
        <f ca="1" t="shared" si="8"/>
        <v>999</v>
      </c>
    </row>
    <row r="185" spans="1:26">
      <c r="A185" s="1">
        <v>20402</v>
      </c>
      <c r="B185" s="1">
        <v>2</v>
      </c>
      <c r="C185" s="1">
        <v>2</v>
      </c>
      <c r="D185" s="1" t="s">
        <v>2811</v>
      </c>
      <c r="E185" s="1">
        <f ca="1">IF(C185=1,OFFSET(控制台!$F$552,MATCH(A185,控制台!$B$552:$B$580,0)-1,0),OFFSET(控制台!$L$552,MATCH(A185,控制台!$H$552:$H$594,0)-1,0))</f>
        <v>5</v>
      </c>
      <c r="F185" s="1">
        <f ca="1">IF(C185=1,OFFSET(控制台!$D$552,MATCH(A185,控制台!$B$552:$B$580,0)-1,0),OFFSET(控制台!$J$552,MATCH(A185,控制台!$H$552:$H$594,0)-1,0))</f>
        <v>4</v>
      </c>
      <c r="G185" s="1">
        <f ca="1">IF(C185=1,OFFSET(控制台!$I$599,MATCH(F185,控制台!$B$599:$B$615,0)-1,0),OFFSET(控制台!$I$618,MATCH(F185,控制台!$B$618:$B$636,0)-1,0))</f>
        <v>3</v>
      </c>
      <c r="H185" s="1">
        <f ca="1">IF(C185=1,OFFSET(控制台!$D$599,MATCH(F185,控制台!$B$599:$B$615,0)-1,0),OFFSET(控制台!$D$618,MATCH(F185,控制台!$B$618:$B$636,0)-1,0))</f>
        <v>11289600</v>
      </c>
      <c r="I185" s="1">
        <f ca="1">IF(E185=1,H185/G185,IF(E185=5,H185/G185*OFFSET(控制台!$D$641,MATCH(B185,控制台!$B$641:$B$645,0)-1,0),H185/G185*OFFSET(控制台!$H$641,MATCH(B185,控制台!$F$641:$F$650,0)-1,0)))</f>
        <v>358400</v>
      </c>
      <c r="J185" s="1">
        <f ca="1">$I185/3*控制台!H$102</f>
        <v>119466.666666667</v>
      </c>
      <c r="K185" s="1">
        <f ca="1">$I185/3*控制台!I$102</f>
        <v>89600</v>
      </c>
      <c r="L185" s="1">
        <f ca="1">$I185/3*控制台!J$102</f>
        <v>149333.333333333</v>
      </c>
      <c r="M185" s="1">
        <f ca="1">_xlfn.FLOOR.MATH(J185,POWER(10,MAX(2,INT(LOG10(J185)-2))))</f>
        <v>119000</v>
      </c>
      <c r="N185" s="1">
        <f ca="1">_xlfn.FLOOR.MATH(K185,POWER(10,MAX(2,INT(LOG10(K185)-2))))</f>
        <v>89600</v>
      </c>
      <c r="O185" s="1">
        <f ca="1">_xlfn.FLOOR.MATH(L185,POWER(10,MAX(2,INT(LOG10(L185)-2))))</f>
        <v>149000</v>
      </c>
      <c r="P185" s="4" t="str">
        <f ca="1" t="shared" si="6"/>
        <v>119000;89600;149000</v>
      </c>
      <c r="Q185" s="15">
        <f ca="1">IF(C185=1,OFFSET(控制台!$H$599,MATCH(F185,控制台!$B$599:$B$615,0)-1,0),OFFSET(控制台!$H$618,MATCH(F185,控制台!$B$618:$B$636,0)-1,0))</f>
        <v>24812.28288</v>
      </c>
      <c r="R185" s="15">
        <f ca="1">IF(E185=1,Q185/G185,IF(E185=5,Q185/G185*OFFSET(控制台!$D$641,MATCH(B185,控制台!$B$641:$B$645,0)-1,0),Q185/G185*OFFSET(控制台!$H$641,MATCH(B185,控制台!$F$641:$F$650,0)-1,0)))</f>
        <v>787.69152</v>
      </c>
      <c r="S185" s="16">
        <f ca="1">_xlfn.FLOOR.MATH(R185)*60</f>
        <v>47220</v>
      </c>
      <c r="T185" s="16">
        <f ca="1">8000+IF(C185=1,OFFSET(控制台!$K$599,MATCH(F185,控制台!$B$599:$B$615,0)-1,0),OFFSET(控制台!$K$618,MATCH(F185,控制台!$B$618:$B$636,0)-1,0))</f>
        <v>8013</v>
      </c>
      <c r="U185" s="1">
        <f ca="1">IF(C185=1,OFFSET(控制台!$F$599,MATCH(F185,控制台!$B$599:$B$615,0)-1,0),OFFSET(控制台!$F$618,MATCH(F185,控制台!$B$618:$B$636,0)-1,0))</f>
        <v>22353.408</v>
      </c>
      <c r="V185" s="1">
        <f ca="1">IF(E185=1,U185/G185,IF(E185=5,U185/G185*OFFSET(控制台!$D$641,MATCH(B185,控制台!$B$641:$B$645,0)-1,0),U185/G185*OFFSET(控制台!$H$641,MATCH(B185,控制台!$F$641:$F$650,0)-1,0)))</f>
        <v>709.632</v>
      </c>
      <c r="W185" s="20">
        <f ca="1" t="shared" si="7"/>
        <v>0.4928</v>
      </c>
      <c r="X185" s="15">
        <f ca="1">IF(C185=1,OFFSET(控制台!$U$599,MATCH(F185,控制台!$B$599:$B$615,0)-1,0),OFFSET(控制台!$U$618,MATCH(F185,控制台!$B$618:$B$636,0)-1,0))</f>
        <v>62989.5</v>
      </c>
      <c r="Y185" s="16">
        <f ca="1">_xlfn.FLOOR.MATH(IF(E185=1,X185/G185,IF(E185=5,X185/G185*OFFSET(控制台!$D$641,MATCH(B185,控制台!$B$641:$B$645,0)-1,0),X185/G185*OFFSET(控制台!$H$641,MATCH(B185,控制台!$F$641:$F$650,0)-1,0))))</f>
        <v>1999</v>
      </c>
      <c r="Z185" s="16">
        <f ca="1" t="shared" si="8"/>
        <v>2998</v>
      </c>
    </row>
    <row r="186" spans="1:26">
      <c r="A186" s="1">
        <v>20402</v>
      </c>
      <c r="B186" s="1">
        <v>3</v>
      </c>
      <c r="C186" s="1">
        <v>2</v>
      </c>
      <c r="D186" s="1" t="s">
        <v>2811</v>
      </c>
      <c r="E186" s="1">
        <f ca="1">IF(C186=1,OFFSET(控制台!$F$552,MATCH(A186,控制台!$B$552:$B$580,0)-1,0),OFFSET(控制台!$L$552,MATCH(A186,控制台!$H$552:$H$594,0)-1,0))</f>
        <v>5</v>
      </c>
      <c r="F186" s="1">
        <f ca="1">IF(C186=1,OFFSET(控制台!$D$552,MATCH(A186,控制台!$B$552:$B$580,0)-1,0),OFFSET(控制台!$J$552,MATCH(A186,控制台!$H$552:$H$594,0)-1,0))</f>
        <v>4</v>
      </c>
      <c r="G186" s="1">
        <f ca="1">IF(C186=1,OFFSET(控制台!$I$599,MATCH(F186,控制台!$B$599:$B$615,0)-1,0),OFFSET(控制台!$I$618,MATCH(F186,控制台!$B$618:$B$636,0)-1,0))</f>
        <v>3</v>
      </c>
      <c r="H186" s="1">
        <f ca="1">IF(C186=1,OFFSET(控制台!$D$599,MATCH(F186,控制台!$B$599:$B$615,0)-1,0),OFFSET(控制台!$D$618,MATCH(F186,控制台!$B$618:$B$636,0)-1,0))</f>
        <v>11289600</v>
      </c>
      <c r="I186" s="1">
        <f ca="1">IF(E186=1,H186/G186,IF(E186=5,H186/G186*OFFSET(控制台!$D$641,MATCH(B186,控制台!$B$641:$B$645,0)-1,0),H186/G186*OFFSET(控制台!$H$641,MATCH(B186,控制台!$F$641:$F$650,0)-1,0)))</f>
        <v>537600</v>
      </c>
      <c r="J186" s="1">
        <f ca="1">$I186/3*控制台!H$102</f>
        <v>179200</v>
      </c>
      <c r="K186" s="1">
        <f ca="1">$I186/3*控制台!I$102</f>
        <v>134400</v>
      </c>
      <c r="L186" s="1">
        <f ca="1">$I186/3*控制台!J$102</f>
        <v>224000</v>
      </c>
      <c r="M186" s="1">
        <f ca="1">_xlfn.FLOOR.MATH(J186,POWER(10,MAX(2,INT(LOG10(J186)-2))))</f>
        <v>179000</v>
      </c>
      <c r="N186" s="1">
        <f ca="1">_xlfn.FLOOR.MATH(K186,POWER(10,MAX(2,INT(LOG10(K186)-2))))</f>
        <v>134000</v>
      </c>
      <c r="O186" s="1">
        <f ca="1">_xlfn.FLOOR.MATH(L186,POWER(10,MAX(2,INT(LOG10(L186)-2))))</f>
        <v>224000</v>
      </c>
      <c r="P186" s="4" t="str">
        <f ca="1" t="shared" si="6"/>
        <v>179000;134000;224000</v>
      </c>
      <c r="Q186" s="15">
        <f ca="1">IF(C186=1,OFFSET(控制台!$H$599,MATCH(F186,控制台!$B$599:$B$615,0)-1,0),OFFSET(控制台!$H$618,MATCH(F186,控制台!$B$618:$B$636,0)-1,0))</f>
        <v>24812.28288</v>
      </c>
      <c r="R186" s="15">
        <f ca="1">IF(E186=1,Q186/G186,IF(E186=5,Q186/G186*OFFSET(控制台!$D$641,MATCH(B186,控制台!$B$641:$B$645,0)-1,0),Q186/G186*OFFSET(控制台!$H$641,MATCH(B186,控制台!$F$641:$F$650,0)-1,0)))</f>
        <v>1181.53728</v>
      </c>
      <c r="S186" s="16">
        <f ca="1">_xlfn.FLOOR.MATH(R186)*60</f>
        <v>70860</v>
      </c>
      <c r="T186" s="16">
        <f ca="1">8000+IF(C186=1,OFFSET(控制台!$K$599,MATCH(F186,控制台!$B$599:$B$615,0)-1,0),OFFSET(控制台!$K$618,MATCH(F186,控制台!$B$618:$B$636,0)-1,0))</f>
        <v>8013</v>
      </c>
      <c r="U186" s="1">
        <f ca="1">IF(C186=1,OFFSET(控制台!$F$599,MATCH(F186,控制台!$B$599:$B$615,0)-1,0),OFFSET(控制台!$F$618,MATCH(F186,控制台!$B$618:$B$636,0)-1,0))</f>
        <v>22353.408</v>
      </c>
      <c r="V186" s="1">
        <f ca="1">IF(E186=1,U186/G186,IF(E186=5,U186/G186*OFFSET(控制台!$D$641,MATCH(B186,控制台!$B$641:$B$645,0)-1,0),U186/G186*OFFSET(控制台!$H$641,MATCH(B186,控制台!$F$641:$F$650,0)-1,0)))</f>
        <v>1064.448</v>
      </c>
      <c r="W186" s="20">
        <f ca="1" t="shared" si="7"/>
        <v>0.739200000000001</v>
      </c>
      <c r="X186" s="15">
        <f ca="1">IF(C186=1,OFFSET(控制台!$U$599,MATCH(F186,控制台!$B$599:$B$615,0)-1,0),OFFSET(控制台!$U$618,MATCH(F186,控制台!$B$618:$B$636,0)-1,0))</f>
        <v>62989.5</v>
      </c>
      <c r="Y186" s="16">
        <f ca="1">_xlfn.FLOOR.MATH(IF(E186=1,X186/G186,IF(E186=5,X186/G186*OFFSET(控制台!$D$641,MATCH(B186,控制台!$B$641:$B$645,0)-1,0),X186/G186*OFFSET(控制台!$H$641,MATCH(B186,控制台!$F$641:$F$650,0)-1,0))))</f>
        <v>2999</v>
      </c>
      <c r="Z186" s="16">
        <f ca="1" t="shared" si="8"/>
        <v>5997</v>
      </c>
    </row>
    <row r="187" spans="1:26">
      <c r="A187" s="1">
        <v>20402</v>
      </c>
      <c r="B187" s="1">
        <v>4</v>
      </c>
      <c r="C187" s="1">
        <v>2</v>
      </c>
      <c r="D187" s="1" t="s">
        <v>2811</v>
      </c>
      <c r="E187" s="1">
        <f ca="1">IF(C187=1,OFFSET(控制台!$F$552,MATCH(A187,控制台!$B$552:$B$580,0)-1,0),OFFSET(控制台!$L$552,MATCH(A187,控制台!$H$552:$H$594,0)-1,0))</f>
        <v>5</v>
      </c>
      <c r="F187" s="1">
        <f ca="1">IF(C187=1,OFFSET(控制台!$D$552,MATCH(A187,控制台!$B$552:$B$580,0)-1,0),OFFSET(控制台!$J$552,MATCH(A187,控制台!$H$552:$H$594,0)-1,0))</f>
        <v>4</v>
      </c>
      <c r="G187" s="1">
        <f ca="1">IF(C187=1,OFFSET(控制台!$I$599,MATCH(F187,控制台!$B$599:$B$615,0)-1,0),OFFSET(控制台!$I$618,MATCH(F187,控制台!$B$618:$B$636,0)-1,0))</f>
        <v>3</v>
      </c>
      <c r="H187" s="1">
        <f ca="1">IF(C187=1,OFFSET(控制台!$D$599,MATCH(F187,控制台!$B$599:$B$615,0)-1,0),OFFSET(控制台!$D$618,MATCH(F187,控制台!$B$618:$B$636,0)-1,0))</f>
        <v>11289600</v>
      </c>
      <c r="I187" s="1">
        <f ca="1">IF(E187=1,H187/G187,IF(E187=5,H187/G187*OFFSET(控制台!$D$641,MATCH(B187,控制台!$B$641:$B$645,0)-1,0),H187/G187*OFFSET(控制台!$H$641,MATCH(B187,控制台!$F$641:$F$650,0)-1,0)))</f>
        <v>896000</v>
      </c>
      <c r="J187" s="1">
        <f ca="1">$I187/3*控制台!H$102</f>
        <v>298666.666666667</v>
      </c>
      <c r="K187" s="1">
        <f ca="1">$I187/3*控制台!I$102</f>
        <v>224000</v>
      </c>
      <c r="L187" s="1">
        <f ca="1">$I187/3*控制台!J$102</f>
        <v>373333.333333333</v>
      </c>
      <c r="M187" s="1">
        <f ca="1">_xlfn.FLOOR.MATH(J187,POWER(10,MAX(2,INT(LOG10(J187)-2))))</f>
        <v>298000</v>
      </c>
      <c r="N187" s="1">
        <f ca="1">_xlfn.FLOOR.MATH(K187,POWER(10,MAX(2,INT(LOG10(K187)-2))))</f>
        <v>224000</v>
      </c>
      <c r="O187" s="1">
        <f ca="1">_xlfn.FLOOR.MATH(L187,POWER(10,MAX(2,INT(LOG10(L187)-2))))</f>
        <v>373000</v>
      </c>
      <c r="P187" s="4" t="str">
        <f ca="1" t="shared" si="6"/>
        <v>298000;224000;373000</v>
      </c>
      <c r="Q187" s="15">
        <f ca="1">IF(C187=1,OFFSET(控制台!$H$599,MATCH(F187,控制台!$B$599:$B$615,0)-1,0),OFFSET(控制台!$H$618,MATCH(F187,控制台!$B$618:$B$636,0)-1,0))</f>
        <v>24812.28288</v>
      </c>
      <c r="R187" s="15">
        <f ca="1">IF(E187=1,Q187/G187,IF(E187=5,Q187/G187*OFFSET(控制台!$D$641,MATCH(B187,控制台!$B$641:$B$645,0)-1,0),Q187/G187*OFFSET(控制台!$H$641,MATCH(B187,控制台!$F$641:$F$650,0)-1,0)))</f>
        <v>1969.2288</v>
      </c>
      <c r="S187" s="16">
        <f ca="1">_xlfn.FLOOR.MATH(R187)*60</f>
        <v>118140</v>
      </c>
      <c r="T187" s="16">
        <f ca="1">8000+IF(C187=1,OFFSET(控制台!$K$599,MATCH(F187,控制台!$B$599:$B$615,0)-1,0),OFFSET(控制台!$K$618,MATCH(F187,控制台!$B$618:$B$636,0)-1,0))</f>
        <v>8013</v>
      </c>
      <c r="U187" s="1">
        <f ca="1">IF(C187=1,OFFSET(控制台!$F$599,MATCH(F187,控制台!$B$599:$B$615,0)-1,0),OFFSET(控制台!$F$618,MATCH(F187,控制台!$B$618:$B$636,0)-1,0))</f>
        <v>22353.408</v>
      </c>
      <c r="V187" s="1">
        <f ca="1">IF(E187=1,U187/G187,IF(E187=5,U187/G187*OFFSET(控制台!$D$641,MATCH(B187,控制台!$B$641:$B$645,0)-1,0),U187/G187*OFFSET(控制台!$H$641,MATCH(B187,控制台!$F$641:$F$650,0)-1,0)))</f>
        <v>1774.08</v>
      </c>
      <c r="W187" s="20">
        <f ca="1" t="shared" si="7"/>
        <v>1.232</v>
      </c>
      <c r="X187" s="15">
        <f ca="1">IF(C187=1,OFFSET(控制台!$U$599,MATCH(F187,控制台!$B$599:$B$615,0)-1,0),OFFSET(控制台!$U$618,MATCH(F187,控制台!$B$618:$B$636,0)-1,0))</f>
        <v>62989.5</v>
      </c>
      <c r="Y187" s="16">
        <f ca="1">_xlfn.FLOOR.MATH(IF(E187=1,X187/G187,IF(E187=5,X187/G187*OFFSET(控制台!$D$641,MATCH(B187,控制台!$B$641:$B$645,0)-1,0),X187/G187*OFFSET(控制台!$H$641,MATCH(B187,控制台!$F$641:$F$650,0)-1,0))))</f>
        <v>4999</v>
      </c>
      <c r="Z187" s="16">
        <f ca="1" t="shared" si="8"/>
        <v>10996</v>
      </c>
    </row>
    <row r="188" spans="1:26">
      <c r="A188" s="1">
        <v>20402</v>
      </c>
      <c r="B188" s="1">
        <v>5</v>
      </c>
      <c r="C188" s="1">
        <v>2</v>
      </c>
      <c r="D188" s="1" t="s">
        <v>2811</v>
      </c>
      <c r="E188" s="1">
        <f ca="1">IF(C188=1,OFFSET(控制台!$F$552,MATCH(A188,控制台!$B$552:$B$580,0)-1,0),OFFSET(控制台!$L$552,MATCH(A188,控制台!$H$552:$H$594,0)-1,0))</f>
        <v>5</v>
      </c>
      <c r="F188" s="1">
        <f ca="1">IF(C188=1,OFFSET(控制台!$D$552,MATCH(A188,控制台!$B$552:$B$580,0)-1,0),OFFSET(控制台!$J$552,MATCH(A188,控制台!$H$552:$H$594,0)-1,0))</f>
        <v>4</v>
      </c>
      <c r="G188" s="1">
        <f ca="1">IF(C188=1,OFFSET(控制台!$I$599,MATCH(F188,控制台!$B$599:$B$615,0)-1,0),OFFSET(控制台!$I$618,MATCH(F188,控制台!$B$618:$B$636,0)-1,0))</f>
        <v>3</v>
      </c>
      <c r="H188" s="1">
        <f ca="1">IF(C188=1,OFFSET(控制台!$D$599,MATCH(F188,控制台!$B$599:$B$615,0)-1,0),OFFSET(控制台!$D$618,MATCH(F188,控制台!$B$618:$B$636,0)-1,0))</f>
        <v>11289600</v>
      </c>
      <c r="I188" s="1">
        <f ca="1">IF(E188=1,H188/G188,IF(E188=5,H188/G188*OFFSET(控制台!$D$641,MATCH(B188,控制台!$B$641:$B$645,0)-1,0),H188/G188*OFFSET(控制台!$H$641,MATCH(B188,控制台!$F$641:$F$650,0)-1,0)))</f>
        <v>1792000</v>
      </c>
      <c r="J188" s="1">
        <f ca="1">$I188/3*控制台!H$102</f>
        <v>597333.333333333</v>
      </c>
      <c r="K188" s="1">
        <f ca="1">$I188/3*控制台!I$102</f>
        <v>448000</v>
      </c>
      <c r="L188" s="1">
        <f ca="1">$I188/3*控制台!J$102</f>
        <v>746666.666666666</v>
      </c>
      <c r="M188" s="1">
        <f ca="1">_xlfn.FLOOR.MATH(J188,POWER(10,MAX(2,INT(LOG10(J188)-2))))</f>
        <v>597000</v>
      </c>
      <c r="N188" s="1">
        <f ca="1">_xlfn.FLOOR.MATH(K188,POWER(10,MAX(2,INT(LOG10(K188)-2))))</f>
        <v>448000</v>
      </c>
      <c r="O188" s="1">
        <f ca="1">_xlfn.FLOOR.MATH(L188,POWER(10,MAX(2,INT(LOG10(L188)-2))))</f>
        <v>746000</v>
      </c>
      <c r="P188" s="4" t="str">
        <f ca="1" t="shared" si="6"/>
        <v>597000;448000;746000</v>
      </c>
      <c r="Q188" s="15">
        <f ca="1">IF(C188=1,OFFSET(控制台!$H$599,MATCH(F188,控制台!$B$599:$B$615,0)-1,0),OFFSET(控制台!$H$618,MATCH(F188,控制台!$B$618:$B$636,0)-1,0))</f>
        <v>24812.28288</v>
      </c>
      <c r="R188" s="15">
        <f ca="1">IF(E188=1,Q188/G188,IF(E188=5,Q188/G188*OFFSET(控制台!$D$641,MATCH(B188,控制台!$B$641:$B$645,0)-1,0),Q188/G188*OFFSET(控制台!$H$641,MATCH(B188,控制台!$F$641:$F$650,0)-1,0)))</f>
        <v>3938.4576</v>
      </c>
      <c r="S188" s="16">
        <f ca="1">_xlfn.FLOOR.MATH(R188)*60</f>
        <v>236280</v>
      </c>
      <c r="T188" s="16">
        <f ca="1">8000+IF(C188=1,OFFSET(控制台!$K$599,MATCH(F188,控制台!$B$599:$B$615,0)-1,0),OFFSET(控制台!$K$618,MATCH(F188,控制台!$B$618:$B$636,0)-1,0))</f>
        <v>8013</v>
      </c>
      <c r="U188" s="1">
        <f ca="1">IF(C188=1,OFFSET(控制台!$F$599,MATCH(F188,控制台!$B$599:$B$615,0)-1,0),OFFSET(控制台!$F$618,MATCH(F188,控制台!$B$618:$B$636,0)-1,0))</f>
        <v>22353.408</v>
      </c>
      <c r="V188" s="1">
        <f ca="1">IF(E188=1,U188/G188,IF(E188=5,U188/G188*OFFSET(控制台!$D$641,MATCH(B188,控制台!$B$641:$B$645,0)-1,0),U188/G188*OFFSET(控制台!$H$641,MATCH(B188,控制台!$F$641:$F$650,0)-1,0)))</f>
        <v>3548.16</v>
      </c>
      <c r="W188" s="20">
        <f ca="1" t="shared" si="7"/>
        <v>2.464</v>
      </c>
      <c r="X188" s="15">
        <f ca="1">IF(C188=1,OFFSET(控制台!$U$599,MATCH(F188,控制台!$B$599:$B$615,0)-1,0),OFFSET(控制台!$U$618,MATCH(F188,控制台!$B$618:$B$636,0)-1,0))</f>
        <v>62989.5</v>
      </c>
      <c r="Y188" s="16">
        <f ca="1">_xlfn.FLOOR.MATH(IF(E188=1,X188/G188,IF(E188=5,X188/G188*OFFSET(控制台!$D$641,MATCH(B188,控制台!$B$641:$B$645,0)-1,0),X188/G188*OFFSET(控制台!$H$641,MATCH(B188,控制台!$F$641:$F$650,0)-1,0))))</f>
        <v>9998</v>
      </c>
      <c r="Z188" s="16">
        <f ca="1" t="shared" si="8"/>
        <v>20994</v>
      </c>
    </row>
    <row r="189" spans="1:26">
      <c r="A189" s="1">
        <v>20403</v>
      </c>
      <c r="B189" s="1">
        <v>1</v>
      </c>
      <c r="C189" s="1">
        <v>2</v>
      </c>
      <c r="D189" s="1" t="s">
        <v>2812</v>
      </c>
      <c r="E189" s="1">
        <f ca="1">IF(C189=1,OFFSET(控制台!$F$552,MATCH(A189,控制台!$B$552:$B$580,0)-1,0),OFFSET(控制台!$L$552,MATCH(A189,控制台!$H$552:$H$594,0)-1,0))</f>
        <v>5</v>
      </c>
      <c r="F189" s="1">
        <f ca="1">IF(C189=1,OFFSET(控制台!$D$552,MATCH(A189,控制台!$B$552:$B$580,0)-1,0),OFFSET(控制台!$J$552,MATCH(A189,控制台!$H$552:$H$594,0)-1,0))</f>
        <v>4</v>
      </c>
      <c r="G189" s="1">
        <f ca="1">IF(C189=1,OFFSET(控制台!$I$599,MATCH(F189,控制台!$B$599:$B$615,0)-1,0),OFFSET(控制台!$I$618,MATCH(F189,控制台!$B$618:$B$636,0)-1,0))</f>
        <v>3</v>
      </c>
      <c r="H189" s="1">
        <f ca="1">IF(C189=1,OFFSET(控制台!$D$599,MATCH(F189,控制台!$B$599:$B$615,0)-1,0),OFFSET(控制台!$D$618,MATCH(F189,控制台!$B$618:$B$636,0)-1,0))</f>
        <v>11289600</v>
      </c>
      <c r="I189" s="1">
        <f ca="1">IF(E189=1,H189/G189,IF(E189=5,H189/G189*OFFSET(控制台!$D$641,MATCH(B189,控制台!$B$641:$B$645,0)-1,0),H189/G189*OFFSET(控制台!$H$641,MATCH(B189,控制台!$F$641:$F$650,0)-1,0)))</f>
        <v>179200</v>
      </c>
      <c r="J189" s="1">
        <f ca="1">$I189/3*控制台!H$102</f>
        <v>59733.3333333333</v>
      </c>
      <c r="K189" s="1">
        <f ca="1">$I189/3*控制台!I$102</f>
        <v>44800</v>
      </c>
      <c r="L189" s="1">
        <f ca="1">$I189/3*控制台!J$102</f>
        <v>74666.6666666666</v>
      </c>
      <c r="M189" s="1">
        <f ca="1">_xlfn.FLOOR.MATH(J189,POWER(10,MAX(2,INT(LOG10(J189)-2))))</f>
        <v>59700</v>
      </c>
      <c r="N189" s="1">
        <f ca="1">_xlfn.FLOOR.MATH(K189,POWER(10,MAX(2,INT(LOG10(K189)-2))))</f>
        <v>44800</v>
      </c>
      <c r="O189" s="1">
        <f ca="1">_xlfn.FLOOR.MATH(L189,POWER(10,MAX(2,INT(LOG10(L189)-2))))</f>
        <v>74600</v>
      </c>
      <c r="P189" s="4" t="str">
        <f ca="1" t="shared" si="6"/>
        <v>59700;44800;74600</v>
      </c>
      <c r="Q189" s="15">
        <f ca="1">IF(C189=1,OFFSET(控制台!$H$599,MATCH(F189,控制台!$B$599:$B$615,0)-1,0),OFFSET(控制台!$H$618,MATCH(F189,控制台!$B$618:$B$636,0)-1,0))</f>
        <v>24812.28288</v>
      </c>
      <c r="R189" s="15">
        <f ca="1">IF(E189=1,Q189/G189,IF(E189=5,Q189/G189*OFFSET(控制台!$D$641,MATCH(B189,控制台!$B$641:$B$645,0)-1,0),Q189/G189*OFFSET(控制台!$H$641,MATCH(B189,控制台!$F$641:$F$650,0)-1,0)))</f>
        <v>393.84576</v>
      </c>
      <c r="S189" s="16">
        <f ca="1">_xlfn.FLOOR.MATH(R189)*60</f>
        <v>23580</v>
      </c>
      <c r="T189" s="16">
        <f ca="1">8000+IF(C189=1,OFFSET(控制台!$K$599,MATCH(F189,控制台!$B$599:$B$615,0)-1,0),OFFSET(控制台!$K$618,MATCH(F189,控制台!$B$618:$B$636,0)-1,0))</f>
        <v>8013</v>
      </c>
      <c r="U189" s="1">
        <f ca="1">IF(C189=1,OFFSET(控制台!$F$599,MATCH(F189,控制台!$B$599:$B$615,0)-1,0),OFFSET(控制台!$F$618,MATCH(F189,控制台!$B$618:$B$636,0)-1,0))</f>
        <v>22353.408</v>
      </c>
      <c r="V189" s="1">
        <f ca="1">IF(E189=1,U189/G189,IF(E189=5,U189/G189*OFFSET(控制台!$D$641,MATCH(B189,控制台!$B$641:$B$645,0)-1,0),U189/G189*OFFSET(控制台!$H$641,MATCH(B189,控制台!$F$641:$F$650,0)-1,0)))</f>
        <v>354.816</v>
      </c>
      <c r="W189" s="20">
        <f ca="1" t="shared" si="7"/>
        <v>0.2464</v>
      </c>
      <c r="X189" s="15">
        <f ca="1">IF(C189=1,OFFSET(控制台!$U$599,MATCH(F189,控制台!$B$599:$B$615,0)-1,0),OFFSET(控制台!$U$618,MATCH(F189,控制台!$B$618:$B$636,0)-1,0))</f>
        <v>62989.5</v>
      </c>
      <c r="Y189" s="16">
        <f ca="1">_xlfn.FLOOR.MATH(IF(E189=1,X189/G189,IF(E189=5,X189/G189*OFFSET(控制台!$D$641,MATCH(B189,控制台!$B$641:$B$645,0)-1,0),X189/G189*OFFSET(控制台!$H$641,MATCH(B189,控制台!$F$641:$F$650,0)-1,0))))</f>
        <v>999</v>
      </c>
      <c r="Z189" s="16">
        <f ca="1" t="shared" si="8"/>
        <v>999</v>
      </c>
    </row>
    <row r="190" spans="1:26">
      <c r="A190" s="1">
        <v>20403</v>
      </c>
      <c r="B190" s="1">
        <v>2</v>
      </c>
      <c r="C190" s="1">
        <v>2</v>
      </c>
      <c r="D190" s="1" t="s">
        <v>2812</v>
      </c>
      <c r="E190" s="1">
        <f ca="1">IF(C190=1,OFFSET(控制台!$F$552,MATCH(A190,控制台!$B$552:$B$580,0)-1,0),OFFSET(控制台!$L$552,MATCH(A190,控制台!$H$552:$H$594,0)-1,0))</f>
        <v>5</v>
      </c>
      <c r="F190" s="1">
        <f ca="1">IF(C190=1,OFFSET(控制台!$D$552,MATCH(A190,控制台!$B$552:$B$580,0)-1,0),OFFSET(控制台!$J$552,MATCH(A190,控制台!$H$552:$H$594,0)-1,0))</f>
        <v>4</v>
      </c>
      <c r="G190" s="1">
        <f ca="1">IF(C190=1,OFFSET(控制台!$I$599,MATCH(F190,控制台!$B$599:$B$615,0)-1,0),OFFSET(控制台!$I$618,MATCH(F190,控制台!$B$618:$B$636,0)-1,0))</f>
        <v>3</v>
      </c>
      <c r="H190" s="1">
        <f ca="1">IF(C190=1,OFFSET(控制台!$D$599,MATCH(F190,控制台!$B$599:$B$615,0)-1,0),OFFSET(控制台!$D$618,MATCH(F190,控制台!$B$618:$B$636,0)-1,0))</f>
        <v>11289600</v>
      </c>
      <c r="I190" s="1">
        <f ca="1">IF(E190=1,H190/G190,IF(E190=5,H190/G190*OFFSET(控制台!$D$641,MATCH(B190,控制台!$B$641:$B$645,0)-1,0),H190/G190*OFFSET(控制台!$H$641,MATCH(B190,控制台!$F$641:$F$650,0)-1,0)))</f>
        <v>358400</v>
      </c>
      <c r="J190" s="1">
        <f ca="1">$I190/3*控制台!H$102</f>
        <v>119466.666666667</v>
      </c>
      <c r="K190" s="1">
        <f ca="1">$I190/3*控制台!I$102</f>
        <v>89600</v>
      </c>
      <c r="L190" s="1">
        <f ca="1">$I190/3*控制台!J$102</f>
        <v>149333.333333333</v>
      </c>
      <c r="M190" s="1">
        <f ca="1">_xlfn.FLOOR.MATH(J190,POWER(10,MAX(2,INT(LOG10(J190)-2))))</f>
        <v>119000</v>
      </c>
      <c r="N190" s="1">
        <f ca="1">_xlfn.FLOOR.MATH(K190,POWER(10,MAX(2,INT(LOG10(K190)-2))))</f>
        <v>89600</v>
      </c>
      <c r="O190" s="1">
        <f ca="1">_xlfn.FLOOR.MATH(L190,POWER(10,MAX(2,INT(LOG10(L190)-2))))</f>
        <v>149000</v>
      </c>
      <c r="P190" s="4" t="str">
        <f ca="1" t="shared" si="6"/>
        <v>119000;89600;149000</v>
      </c>
      <c r="Q190" s="15">
        <f ca="1">IF(C190=1,OFFSET(控制台!$H$599,MATCH(F190,控制台!$B$599:$B$615,0)-1,0),OFFSET(控制台!$H$618,MATCH(F190,控制台!$B$618:$B$636,0)-1,0))</f>
        <v>24812.28288</v>
      </c>
      <c r="R190" s="15">
        <f ca="1">IF(E190=1,Q190/G190,IF(E190=5,Q190/G190*OFFSET(控制台!$D$641,MATCH(B190,控制台!$B$641:$B$645,0)-1,0),Q190/G190*OFFSET(控制台!$H$641,MATCH(B190,控制台!$F$641:$F$650,0)-1,0)))</f>
        <v>787.69152</v>
      </c>
      <c r="S190" s="16">
        <f ca="1">_xlfn.FLOOR.MATH(R190)*60</f>
        <v>47220</v>
      </c>
      <c r="T190" s="16">
        <f ca="1">8000+IF(C190=1,OFFSET(控制台!$K$599,MATCH(F190,控制台!$B$599:$B$615,0)-1,0),OFFSET(控制台!$K$618,MATCH(F190,控制台!$B$618:$B$636,0)-1,0))</f>
        <v>8013</v>
      </c>
      <c r="U190" s="1">
        <f ca="1">IF(C190=1,OFFSET(控制台!$F$599,MATCH(F190,控制台!$B$599:$B$615,0)-1,0),OFFSET(控制台!$F$618,MATCH(F190,控制台!$B$618:$B$636,0)-1,0))</f>
        <v>22353.408</v>
      </c>
      <c r="V190" s="1">
        <f ca="1">IF(E190=1,U190/G190,IF(E190=5,U190/G190*OFFSET(控制台!$D$641,MATCH(B190,控制台!$B$641:$B$645,0)-1,0),U190/G190*OFFSET(控制台!$H$641,MATCH(B190,控制台!$F$641:$F$650,0)-1,0)))</f>
        <v>709.632</v>
      </c>
      <c r="W190" s="20">
        <f ca="1" t="shared" si="7"/>
        <v>0.4928</v>
      </c>
      <c r="X190" s="15">
        <f ca="1">IF(C190=1,OFFSET(控制台!$U$599,MATCH(F190,控制台!$B$599:$B$615,0)-1,0),OFFSET(控制台!$U$618,MATCH(F190,控制台!$B$618:$B$636,0)-1,0))</f>
        <v>62989.5</v>
      </c>
      <c r="Y190" s="16">
        <f ca="1">_xlfn.FLOOR.MATH(IF(E190=1,X190/G190,IF(E190=5,X190/G190*OFFSET(控制台!$D$641,MATCH(B190,控制台!$B$641:$B$645,0)-1,0),X190/G190*OFFSET(控制台!$H$641,MATCH(B190,控制台!$F$641:$F$650,0)-1,0))))</f>
        <v>1999</v>
      </c>
      <c r="Z190" s="16">
        <f ca="1" t="shared" si="8"/>
        <v>2998</v>
      </c>
    </row>
    <row r="191" spans="1:26">
      <c r="A191" s="1">
        <v>20403</v>
      </c>
      <c r="B191" s="1">
        <v>3</v>
      </c>
      <c r="C191" s="1">
        <v>2</v>
      </c>
      <c r="D191" s="1" t="s">
        <v>2812</v>
      </c>
      <c r="E191" s="1">
        <f ca="1">IF(C191=1,OFFSET(控制台!$F$552,MATCH(A191,控制台!$B$552:$B$580,0)-1,0),OFFSET(控制台!$L$552,MATCH(A191,控制台!$H$552:$H$594,0)-1,0))</f>
        <v>5</v>
      </c>
      <c r="F191" s="1">
        <f ca="1">IF(C191=1,OFFSET(控制台!$D$552,MATCH(A191,控制台!$B$552:$B$580,0)-1,0),OFFSET(控制台!$J$552,MATCH(A191,控制台!$H$552:$H$594,0)-1,0))</f>
        <v>4</v>
      </c>
      <c r="G191" s="1">
        <f ca="1">IF(C191=1,OFFSET(控制台!$I$599,MATCH(F191,控制台!$B$599:$B$615,0)-1,0),OFFSET(控制台!$I$618,MATCH(F191,控制台!$B$618:$B$636,0)-1,0))</f>
        <v>3</v>
      </c>
      <c r="H191" s="1">
        <f ca="1">IF(C191=1,OFFSET(控制台!$D$599,MATCH(F191,控制台!$B$599:$B$615,0)-1,0),OFFSET(控制台!$D$618,MATCH(F191,控制台!$B$618:$B$636,0)-1,0))</f>
        <v>11289600</v>
      </c>
      <c r="I191" s="1">
        <f ca="1">IF(E191=1,H191/G191,IF(E191=5,H191/G191*OFFSET(控制台!$D$641,MATCH(B191,控制台!$B$641:$B$645,0)-1,0),H191/G191*OFFSET(控制台!$H$641,MATCH(B191,控制台!$F$641:$F$650,0)-1,0)))</f>
        <v>537600</v>
      </c>
      <c r="J191" s="1">
        <f ca="1">$I191/3*控制台!H$102</f>
        <v>179200</v>
      </c>
      <c r="K191" s="1">
        <f ca="1">$I191/3*控制台!I$102</f>
        <v>134400</v>
      </c>
      <c r="L191" s="1">
        <f ca="1">$I191/3*控制台!J$102</f>
        <v>224000</v>
      </c>
      <c r="M191" s="1">
        <f ca="1">_xlfn.FLOOR.MATH(J191,POWER(10,MAX(2,INT(LOG10(J191)-2))))</f>
        <v>179000</v>
      </c>
      <c r="N191" s="1">
        <f ca="1">_xlfn.FLOOR.MATH(K191,POWER(10,MAX(2,INT(LOG10(K191)-2))))</f>
        <v>134000</v>
      </c>
      <c r="O191" s="1">
        <f ca="1">_xlfn.FLOOR.MATH(L191,POWER(10,MAX(2,INT(LOG10(L191)-2))))</f>
        <v>224000</v>
      </c>
      <c r="P191" s="4" t="str">
        <f ca="1" t="shared" si="6"/>
        <v>179000;134000;224000</v>
      </c>
      <c r="Q191" s="15">
        <f ca="1">IF(C191=1,OFFSET(控制台!$H$599,MATCH(F191,控制台!$B$599:$B$615,0)-1,0),OFFSET(控制台!$H$618,MATCH(F191,控制台!$B$618:$B$636,0)-1,0))</f>
        <v>24812.28288</v>
      </c>
      <c r="R191" s="15">
        <f ca="1">IF(E191=1,Q191/G191,IF(E191=5,Q191/G191*OFFSET(控制台!$D$641,MATCH(B191,控制台!$B$641:$B$645,0)-1,0),Q191/G191*OFFSET(控制台!$H$641,MATCH(B191,控制台!$F$641:$F$650,0)-1,0)))</f>
        <v>1181.53728</v>
      </c>
      <c r="S191" s="16">
        <f ca="1">_xlfn.FLOOR.MATH(R191)*60</f>
        <v>70860</v>
      </c>
      <c r="T191" s="16">
        <f ca="1">8000+IF(C191=1,OFFSET(控制台!$K$599,MATCH(F191,控制台!$B$599:$B$615,0)-1,0),OFFSET(控制台!$K$618,MATCH(F191,控制台!$B$618:$B$636,0)-1,0))</f>
        <v>8013</v>
      </c>
      <c r="U191" s="1">
        <f ca="1">IF(C191=1,OFFSET(控制台!$F$599,MATCH(F191,控制台!$B$599:$B$615,0)-1,0),OFFSET(控制台!$F$618,MATCH(F191,控制台!$B$618:$B$636,0)-1,0))</f>
        <v>22353.408</v>
      </c>
      <c r="V191" s="1">
        <f ca="1">IF(E191=1,U191/G191,IF(E191=5,U191/G191*OFFSET(控制台!$D$641,MATCH(B191,控制台!$B$641:$B$645,0)-1,0),U191/G191*OFFSET(控制台!$H$641,MATCH(B191,控制台!$F$641:$F$650,0)-1,0)))</f>
        <v>1064.448</v>
      </c>
      <c r="W191" s="20">
        <f ca="1" t="shared" si="7"/>
        <v>0.739200000000001</v>
      </c>
      <c r="X191" s="15">
        <f ca="1">IF(C191=1,OFFSET(控制台!$U$599,MATCH(F191,控制台!$B$599:$B$615,0)-1,0),OFFSET(控制台!$U$618,MATCH(F191,控制台!$B$618:$B$636,0)-1,0))</f>
        <v>62989.5</v>
      </c>
      <c r="Y191" s="16">
        <f ca="1">_xlfn.FLOOR.MATH(IF(E191=1,X191/G191,IF(E191=5,X191/G191*OFFSET(控制台!$D$641,MATCH(B191,控制台!$B$641:$B$645,0)-1,0),X191/G191*OFFSET(控制台!$H$641,MATCH(B191,控制台!$F$641:$F$650,0)-1,0))))</f>
        <v>2999</v>
      </c>
      <c r="Z191" s="16">
        <f ca="1" t="shared" si="8"/>
        <v>5997</v>
      </c>
    </row>
    <row r="192" spans="1:26">
      <c r="A192" s="1">
        <v>20403</v>
      </c>
      <c r="B192" s="1">
        <v>4</v>
      </c>
      <c r="C192" s="1">
        <v>2</v>
      </c>
      <c r="D192" s="1" t="s">
        <v>2812</v>
      </c>
      <c r="E192" s="1">
        <f ca="1">IF(C192=1,OFFSET(控制台!$F$552,MATCH(A192,控制台!$B$552:$B$580,0)-1,0),OFFSET(控制台!$L$552,MATCH(A192,控制台!$H$552:$H$594,0)-1,0))</f>
        <v>5</v>
      </c>
      <c r="F192" s="1">
        <f ca="1">IF(C192=1,OFFSET(控制台!$D$552,MATCH(A192,控制台!$B$552:$B$580,0)-1,0),OFFSET(控制台!$J$552,MATCH(A192,控制台!$H$552:$H$594,0)-1,0))</f>
        <v>4</v>
      </c>
      <c r="G192" s="1">
        <f ca="1">IF(C192=1,OFFSET(控制台!$I$599,MATCH(F192,控制台!$B$599:$B$615,0)-1,0),OFFSET(控制台!$I$618,MATCH(F192,控制台!$B$618:$B$636,0)-1,0))</f>
        <v>3</v>
      </c>
      <c r="H192" s="1">
        <f ca="1">IF(C192=1,OFFSET(控制台!$D$599,MATCH(F192,控制台!$B$599:$B$615,0)-1,0),OFFSET(控制台!$D$618,MATCH(F192,控制台!$B$618:$B$636,0)-1,0))</f>
        <v>11289600</v>
      </c>
      <c r="I192" s="1">
        <f ca="1">IF(E192=1,H192/G192,IF(E192=5,H192/G192*OFFSET(控制台!$D$641,MATCH(B192,控制台!$B$641:$B$645,0)-1,0),H192/G192*OFFSET(控制台!$H$641,MATCH(B192,控制台!$F$641:$F$650,0)-1,0)))</f>
        <v>896000</v>
      </c>
      <c r="J192" s="1">
        <f ca="1">$I192/3*控制台!H$102</f>
        <v>298666.666666667</v>
      </c>
      <c r="K192" s="1">
        <f ca="1">$I192/3*控制台!I$102</f>
        <v>224000</v>
      </c>
      <c r="L192" s="1">
        <f ca="1">$I192/3*控制台!J$102</f>
        <v>373333.333333333</v>
      </c>
      <c r="M192" s="1">
        <f ca="1">_xlfn.FLOOR.MATH(J192,POWER(10,MAX(2,INT(LOG10(J192)-2))))</f>
        <v>298000</v>
      </c>
      <c r="N192" s="1">
        <f ca="1">_xlfn.FLOOR.MATH(K192,POWER(10,MAX(2,INT(LOG10(K192)-2))))</f>
        <v>224000</v>
      </c>
      <c r="O192" s="1">
        <f ca="1">_xlfn.FLOOR.MATH(L192,POWER(10,MAX(2,INT(LOG10(L192)-2))))</f>
        <v>373000</v>
      </c>
      <c r="P192" s="4" t="str">
        <f ca="1" t="shared" si="6"/>
        <v>298000;224000;373000</v>
      </c>
      <c r="Q192" s="15">
        <f ca="1">IF(C192=1,OFFSET(控制台!$H$599,MATCH(F192,控制台!$B$599:$B$615,0)-1,0),OFFSET(控制台!$H$618,MATCH(F192,控制台!$B$618:$B$636,0)-1,0))</f>
        <v>24812.28288</v>
      </c>
      <c r="R192" s="15">
        <f ca="1">IF(E192=1,Q192/G192,IF(E192=5,Q192/G192*OFFSET(控制台!$D$641,MATCH(B192,控制台!$B$641:$B$645,0)-1,0),Q192/G192*OFFSET(控制台!$H$641,MATCH(B192,控制台!$F$641:$F$650,0)-1,0)))</f>
        <v>1969.2288</v>
      </c>
      <c r="S192" s="16">
        <f ca="1">_xlfn.FLOOR.MATH(R192)*60</f>
        <v>118140</v>
      </c>
      <c r="T192" s="16">
        <f ca="1">8000+IF(C192=1,OFFSET(控制台!$K$599,MATCH(F192,控制台!$B$599:$B$615,0)-1,0),OFFSET(控制台!$K$618,MATCH(F192,控制台!$B$618:$B$636,0)-1,0))</f>
        <v>8013</v>
      </c>
      <c r="U192" s="1">
        <f ca="1">IF(C192=1,OFFSET(控制台!$F$599,MATCH(F192,控制台!$B$599:$B$615,0)-1,0),OFFSET(控制台!$F$618,MATCH(F192,控制台!$B$618:$B$636,0)-1,0))</f>
        <v>22353.408</v>
      </c>
      <c r="V192" s="1">
        <f ca="1">IF(E192=1,U192/G192,IF(E192=5,U192/G192*OFFSET(控制台!$D$641,MATCH(B192,控制台!$B$641:$B$645,0)-1,0),U192/G192*OFFSET(控制台!$H$641,MATCH(B192,控制台!$F$641:$F$650,0)-1,0)))</f>
        <v>1774.08</v>
      </c>
      <c r="W192" s="20">
        <f ca="1" t="shared" si="7"/>
        <v>1.232</v>
      </c>
      <c r="X192" s="15">
        <f ca="1">IF(C192=1,OFFSET(控制台!$U$599,MATCH(F192,控制台!$B$599:$B$615,0)-1,0),OFFSET(控制台!$U$618,MATCH(F192,控制台!$B$618:$B$636,0)-1,0))</f>
        <v>62989.5</v>
      </c>
      <c r="Y192" s="16">
        <f ca="1">_xlfn.FLOOR.MATH(IF(E192=1,X192/G192,IF(E192=5,X192/G192*OFFSET(控制台!$D$641,MATCH(B192,控制台!$B$641:$B$645,0)-1,0),X192/G192*OFFSET(控制台!$H$641,MATCH(B192,控制台!$F$641:$F$650,0)-1,0))))</f>
        <v>4999</v>
      </c>
      <c r="Z192" s="16">
        <f ca="1" t="shared" si="8"/>
        <v>10996</v>
      </c>
    </row>
    <row r="193" spans="1:26">
      <c r="A193" s="1">
        <v>20403</v>
      </c>
      <c r="B193" s="1">
        <v>5</v>
      </c>
      <c r="C193" s="1">
        <v>2</v>
      </c>
      <c r="D193" s="1" t="s">
        <v>2812</v>
      </c>
      <c r="E193" s="1">
        <f ca="1">IF(C193=1,OFFSET(控制台!$F$552,MATCH(A193,控制台!$B$552:$B$580,0)-1,0),OFFSET(控制台!$L$552,MATCH(A193,控制台!$H$552:$H$594,0)-1,0))</f>
        <v>5</v>
      </c>
      <c r="F193" s="1">
        <f ca="1">IF(C193=1,OFFSET(控制台!$D$552,MATCH(A193,控制台!$B$552:$B$580,0)-1,0),OFFSET(控制台!$J$552,MATCH(A193,控制台!$H$552:$H$594,0)-1,0))</f>
        <v>4</v>
      </c>
      <c r="G193" s="1">
        <f ca="1">IF(C193=1,OFFSET(控制台!$I$599,MATCH(F193,控制台!$B$599:$B$615,0)-1,0),OFFSET(控制台!$I$618,MATCH(F193,控制台!$B$618:$B$636,0)-1,0))</f>
        <v>3</v>
      </c>
      <c r="H193" s="1">
        <f ca="1">IF(C193=1,OFFSET(控制台!$D$599,MATCH(F193,控制台!$B$599:$B$615,0)-1,0),OFFSET(控制台!$D$618,MATCH(F193,控制台!$B$618:$B$636,0)-1,0))</f>
        <v>11289600</v>
      </c>
      <c r="I193" s="1">
        <f ca="1">IF(E193=1,H193/G193,IF(E193=5,H193/G193*OFFSET(控制台!$D$641,MATCH(B193,控制台!$B$641:$B$645,0)-1,0),H193/G193*OFFSET(控制台!$H$641,MATCH(B193,控制台!$F$641:$F$650,0)-1,0)))</f>
        <v>1792000</v>
      </c>
      <c r="J193" s="1">
        <f ca="1">$I193/3*控制台!H$102</f>
        <v>597333.333333333</v>
      </c>
      <c r="K193" s="1">
        <f ca="1">$I193/3*控制台!I$102</f>
        <v>448000</v>
      </c>
      <c r="L193" s="1">
        <f ca="1">$I193/3*控制台!J$102</f>
        <v>746666.666666666</v>
      </c>
      <c r="M193" s="1">
        <f ca="1">_xlfn.FLOOR.MATH(J193,POWER(10,MAX(2,INT(LOG10(J193)-2))))</f>
        <v>597000</v>
      </c>
      <c r="N193" s="1">
        <f ca="1">_xlfn.FLOOR.MATH(K193,POWER(10,MAX(2,INT(LOG10(K193)-2))))</f>
        <v>448000</v>
      </c>
      <c r="O193" s="1">
        <f ca="1">_xlfn.FLOOR.MATH(L193,POWER(10,MAX(2,INT(LOG10(L193)-2))))</f>
        <v>746000</v>
      </c>
      <c r="P193" s="4" t="str">
        <f ca="1" t="shared" si="6"/>
        <v>597000;448000;746000</v>
      </c>
      <c r="Q193" s="15">
        <f ca="1">IF(C193=1,OFFSET(控制台!$H$599,MATCH(F193,控制台!$B$599:$B$615,0)-1,0),OFFSET(控制台!$H$618,MATCH(F193,控制台!$B$618:$B$636,0)-1,0))</f>
        <v>24812.28288</v>
      </c>
      <c r="R193" s="15">
        <f ca="1">IF(E193=1,Q193/G193,IF(E193=5,Q193/G193*OFFSET(控制台!$D$641,MATCH(B193,控制台!$B$641:$B$645,0)-1,0),Q193/G193*OFFSET(控制台!$H$641,MATCH(B193,控制台!$F$641:$F$650,0)-1,0)))</f>
        <v>3938.4576</v>
      </c>
      <c r="S193" s="16">
        <f ca="1">_xlfn.FLOOR.MATH(R193)*60</f>
        <v>236280</v>
      </c>
      <c r="T193" s="16">
        <f ca="1">8000+IF(C193=1,OFFSET(控制台!$K$599,MATCH(F193,控制台!$B$599:$B$615,0)-1,0),OFFSET(控制台!$K$618,MATCH(F193,控制台!$B$618:$B$636,0)-1,0))</f>
        <v>8013</v>
      </c>
      <c r="U193" s="1">
        <f ca="1">IF(C193=1,OFFSET(控制台!$F$599,MATCH(F193,控制台!$B$599:$B$615,0)-1,0),OFFSET(控制台!$F$618,MATCH(F193,控制台!$B$618:$B$636,0)-1,0))</f>
        <v>22353.408</v>
      </c>
      <c r="V193" s="1">
        <f ca="1">IF(E193=1,U193/G193,IF(E193=5,U193/G193*OFFSET(控制台!$D$641,MATCH(B193,控制台!$B$641:$B$645,0)-1,0),U193/G193*OFFSET(控制台!$H$641,MATCH(B193,控制台!$F$641:$F$650,0)-1,0)))</f>
        <v>3548.16</v>
      </c>
      <c r="W193" s="20">
        <f ca="1" t="shared" si="7"/>
        <v>2.464</v>
      </c>
      <c r="X193" s="15">
        <f ca="1">IF(C193=1,OFFSET(控制台!$U$599,MATCH(F193,控制台!$B$599:$B$615,0)-1,0),OFFSET(控制台!$U$618,MATCH(F193,控制台!$B$618:$B$636,0)-1,0))</f>
        <v>62989.5</v>
      </c>
      <c r="Y193" s="16">
        <f ca="1">_xlfn.FLOOR.MATH(IF(E193=1,X193/G193,IF(E193=5,X193/G193*OFFSET(控制台!$D$641,MATCH(B193,控制台!$B$641:$B$645,0)-1,0),X193/G193*OFFSET(控制台!$H$641,MATCH(B193,控制台!$F$641:$F$650,0)-1,0))))</f>
        <v>9998</v>
      </c>
      <c r="Z193" s="16">
        <f ca="1" t="shared" si="8"/>
        <v>20994</v>
      </c>
    </row>
    <row r="194" spans="1:26">
      <c r="A194" s="1">
        <v>20502</v>
      </c>
      <c r="B194" s="1">
        <v>1</v>
      </c>
      <c r="C194" s="1">
        <v>2</v>
      </c>
      <c r="D194" s="1" t="s">
        <v>2813</v>
      </c>
      <c r="E194" s="1">
        <f ca="1">IF(C194=1,OFFSET(控制台!$F$552,MATCH(A194,控制台!$B$552:$B$580,0)-1,0),OFFSET(控制台!$L$552,MATCH(A194,控制台!$H$552:$H$594,0)-1,0))</f>
        <v>5</v>
      </c>
      <c r="F194" s="1">
        <f ca="1">IF(C194=1,OFFSET(控制台!$D$552,MATCH(A194,控制台!$B$552:$B$580,0)-1,0),OFFSET(控制台!$J$552,MATCH(A194,控制台!$H$552:$H$594,0)-1,0))</f>
        <v>5</v>
      </c>
      <c r="G194" s="1">
        <f ca="1">IF(C194=1,OFFSET(控制台!$I$599,MATCH(F194,控制台!$B$599:$B$615,0)-1,0),OFFSET(控制台!$I$618,MATCH(F194,控制台!$B$618:$B$636,0)-1,0))</f>
        <v>1</v>
      </c>
      <c r="H194" s="1">
        <f ca="1">IF(C194=1,OFFSET(控制台!$D$599,MATCH(F194,控制台!$B$599:$B$615,0)-1,0),OFFSET(控制台!$D$618,MATCH(F194,控制台!$B$618:$B$636,0)-1,0))</f>
        <v>5544000</v>
      </c>
      <c r="I194" s="1">
        <f ca="1">IF(E194=1,H194/G194,IF(E194=5,H194/G194*OFFSET(控制台!$D$641,MATCH(B194,控制台!$B$641:$B$645,0)-1,0),H194/G194*OFFSET(控制台!$H$641,MATCH(B194,控制台!$F$641:$F$650,0)-1,0)))</f>
        <v>264000</v>
      </c>
      <c r="J194" s="1">
        <f ca="1">$I194/3*控制台!H$102</f>
        <v>88000</v>
      </c>
      <c r="K194" s="1">
        <f ca="1">$I194/3*控制台!I$102</f>
        <v>66000</v>
      </c>
      <c r="L194" s="1">
        <f ca="1">$I194/3*控制台!J$102</f>
        <v>110000</v>
      </c>
      <c r="M194" s="1">
        <f ca="1">_xlfn.FLOOR.MATH(J194,POWER(10,MAX(2,INT(LOG10(J194)-2))))</f>
        <v>88000</v>
      </c>
      <c r="N194" s="1">
        <f ca="1">_xlfn.FLOOR.MATH(K194,POWER(10,MAX(2,INT(LOG10(K194)-2))))</f>
        <v>66000</v>
      </c>
      <c r="O194" s="1">
        <f ca="1">_xlfn.FLOOR.MATH(L194,POWER(10,MAX(2,INT(LOG10(L194)-2))))</f>
        <v>110000</v>
      </c>
      <c r="P194" s="4" t="str">
        <f ca="1" t="shared" si="6"/>
        <v>88000;66000;110000</v>
      </c>
      <c r="Q194" s="15">
        <f ca="1">IF(C194=1,OFFSET(控制台!$H$599,MATCH(F194,控制台!$B$599:$B$615,0)-1,0),OFFSET(控制台!$H$618,MATCH(F194,控制台!$B$618:$B$636,0)-1,0))</f>
        <v>8092.224</v>
      </c>
      <c r="R194" s="15">
        <f ca="1">IF(E194=1,Q194/G194,IF(E194=5,Q194/G194*OFFSET(控制台!$D$641,MATCH(B194,控制台!$B$641:$B$645,0)-1,0),Q194/G194*OFFSET(控制台!$H$641,MATCH(B194,控制台!$F$641:$F$650,0)-1,0)))</f>
        <v>385.344</v>
      </c>
      <c r="S194" s="16">
        <f ca="1">_xlfn.FLOOR.MATH(R194)*60</f>
        <v>23100</v>
      </c>
      <c r="T194" s="16">
        <f ca="1">8000+IF(C194=1,OFFSET(控制台!$K$599,MATCH(F194,控制台!$B$599:$B$615,0)-1,0),OFFSET(控制台!$K$618,MATCH(F194,控制台!$B$618:$B$636,0)-1,0))</f>
        <v>8014</v>
      </c>
      <c r="U194" s="1">
        <f ca="1">IF(C194=1,OFFSET(控制台!$F$599,MATCH(F194,控制台!$B$599:$B$615,0)-1,0),OFFSET(控制台!$F$618,MATCH(F194,控制台!$B$618:$B$636,0)-1,0))</f>
        <v>7257.6</v>
      </c>
      <c r="V194" s="1">
        <f ca="1">IF(E194=1,U194/G194,IF(E194=5,U194/G194*OFFSET(控制台!$D$641,MATCH(B194,控制台!$B$641:$B$645,0)-1,0),U194/G194*OFFSET(控制台!$H$641,MATCH(B194,控制台!$F$641:$F$650,0)-1,0)))</f>
        <v>345.6</v>
      </c>
      <c r="W194" s="20">
        <f ca="1" t="shared" si="7"/>
        <v>0.24</v>
      </c>
      <c r="X194" s="15">
        <f ca="1">IF(C194=1,OFFSET(控制台!$U$599,MATCH(F194,控制台!$B$599:$B$615,0)-1,0),OFFSET(控制台!$U$618,MATCH(F194,控制台!$B$618:$B$636,0)-1,0))</f>
        <v>20842.5</v>
      </c>
      <c r="Y194" s="16">
        <f ca="1">_xlfn.FLOOR.MATH(IF(E194=1,X194/G194,IF(E194=5,X194/G194*OFFSET(控制台!$D$641,MATCH(B194,控制台!$B$641:$B$645,0)-1,0),X194/G194*OFFSET(控制台!$H$641,MATCH(B194,控制台!$F$641:$F$650,0)-1,0))))</f>
        <v>992</v>
      </c>
      <c r="Z194" s="16">
        <f ca="1" t="shared" si="8"/>
        <v>992</v>
      </c>
    </row>
    <row r="195" spans="1:26">
      <c r="A195" s="1">
        <v>20502</v>
      </c>
      <c r="B195" s="1">
        <v>2</v>
      </c>
      <c r="C195" s="1">
        <v>2</v>
      </c>
      <c r="D195" s="1" t="s">
        <v>2813</v>
      </c>
      <c r="E195" s="1">
        <f ca="1">IF(C195=1,OFFSET(控制台!$F$552,MATCH(A195,控制台!$B$552:$B$580,0)-1,0),OFFSET(控制台!$L$552,MATCH(A195,控制台!$H$552:$H$594,0)-1,0))</f>
        <v>5</v>
      </c>
      <c r="F195" s="1">
        <f ca="1">IF(C195=1,OFFSET(控制台!$D$552,MATCH(A195,控制台!$B$552:$B$580,0)-1,0),OFFSET(控制台!$J$552,MATCH(A195,控制台!$H$552:$H$594,0)-1,0))</f>
        <v>5</v>
      </c>
      <c r="G195" s="1">
        <f ca="1">IF(C195=1,OFFSET(控制台!$I$599,MATCH(F195,控制台!$B$599:$B$615,0)-1,0),OFFSET(控制台!$I$618,MATCH(F195,控制台!$B$618:$B$636,0)-1,0))</f>
        <v>1</v>
      </c>
      <c r="H195" s="1">
        <f ca="1">IF(C195=1,OFFSET(控制台!$D$599,MATCH(F195,控制台!$B$599:$B$615,0)-1,0),OFFSET(控制台!$D$618,MATCH(F195,控制台!$B$618:$B$636,0)-1,0))</f>
        <v>5544000</v>
      </c>
      <c r="I195" s="1">
        <f ca="1">IF(E195=1,H195/G195,IF(E195=5,H195/G195*OFFSET(控制台!$D$641,MATCH(B195,控制台!$B$641:$B$645,0)-1,0),H195/G195*OFFSET(控制台!$H$641,MATCH(B195,控制台!$F$641:$F$650,0)-1,0)))</f>
        <v>528000</v>
      </c>
      <c r="J195" s="1">
        <f ca="1">$I195/3*控制台!H$102</f>
        <v>176000</v>
      </c>
      <c r="K195" s="1">
        <f ca="1">$I195/3*控制台!I$102</f>
        <v>132000</v>
      </c>
      <c r="L195" s="1">
        <f ca="1">$I195/3*控制台!J$102</f>
        <v>220000</v>
      </c>
      <c r="M195" s="1">
        <f ca="1">_xlfn.FLOOR.MATH(J195,POWER(10,MAX(2,INT(LOG10(J195)-2))))</f>
        <v>176000</v>
      </c>
      <c r="N195" s="1">
        <f ca="1">_xlfn.FLOOR.MATH(K195,POWER(10,MAX(2,INT(LOG10(K195)-2))))</f>
        <v>132000</v>
      </c>
      <c r="O195" s="1">
        <f ca="1">_xlfn.FLOOR.MATH(L195,POWER(10,MAX(2,INT(LOG10(L195)-2))))</f>
        <v>220000</v>
      </c>
      <c r="P195" s="4" t="str">
        <f ca="1" t="shared" si="6"/>
        <v>176000;132000;220000</v>
      </c>
      <c r="Q195" s="15">
        <f ca="1">IF(C195=1,OFFSET(控制台!$H$599,MATCH(F195,控制台!$B$599:$B$615,0)-1,0),OFFSET(控制台!$H$618,MATCH(F195,控制台!$B$618:$B$636,0)-1,0))</f>
        <v>8092.224</v>
      </c>
      <c r="R195" s="15">
        <f ca="1">IF(E195=1,Q195/G195,IF(E195=5,Q195/G195*OFFSET(控制台!$D$641,MATCH(B195,控制台!$B$641:$B$645,0)-1,0),Q195/G195*OFFSET(控制台!$H$641,MATCH(B195,控制台!$F$641:$F$650,0)-1,0)))</f>
        <v>770.688</v>
      </c>
      <c r="S195" s="16">
        <f ca="1">_xlfn.FLOOR.MATH(R195)*60</f>
        <v>46200</v>
      </c>
      <c r="T195" s="16">
        <f ca="1">8000+IF(C195=1,OFFSET(控制台!$K$599,MATCH(F195,控制台!$B$599:$B$615,0)-1,0),OFFSET(控制台!$K$618,MATCH(F195,控制台!$B$618:$B$636,0)-1,0))</f>
        <v>8014</v>
      </c>
      <c r="U195" s="1">
        <f ca="1">IF(C195=1,OFFSET(控制台!$F$599,MATCH(F195,控制台!$B$599:$B$615,0)-1,0),OFFSET(控制台!$F$618,MATCH(F195,控制台!$B$618:$B$636,0)-1,0))</f>
        <v>7257.6</v>
      </c>
      <c r="V195" s="1">
        <f ca="1">IF(E195=1,U195/G195,IF(E195=5,U195/G195*OFFSET(控制台!$D$641,MATCH(B195,控制台!$B$641:$B$645,0)-1,0),U195/G195*OFFSET(控制台!$H$641,MATCH(B195,控制台!$F$641:$F$650,0)-1,0)))</f>
        <v>691.2</v>
      </c>
      <c r="W195" s="20">
        <f ca="1" t="shared" si="7"/>
        <v>0.48</v>
      </c>
      <c r="X195" s="15">
        <f ca="1">IF(C195=1,OFFSET(控制台!$U$599,MATCH(F195,控制台!$B$599:$B$615,0)-1,0),OFFSET(控制台!$U$618,MATCH(F195,控制台!$B$618:$B$636,0)-1,0))</f>
        <v>20842.5</v>
      </c>
      <c r="Y195" s="16">
        <f ca="1">_xlfn.FLOOR.MATH(IF(E195=1,X195/G195,IF(E195=5,X195/G195*OFFSET(控制台!$D$641,MATCH(B195,控制台!$B$641:$B$645,0)-1,0),X195/G195*OFFSET(控制台!$H$641,MATCH(B195,控制台!$F$641:$F$650,0)-1,0))))</f>
        <v>1985</v>
      </c>
      <c r="Z195" s="16">
        <f ca="1" t="shared" si="8"/>
        <v>2977</v>
      </c>
    </row>
    <row r="196" spans="1:26">
      <c r="A196" s="1">
        <v>20502</v>
      </c>
      <c r="B196" s="1">
        <v>3</v>
      </c>
      <c r="C196" s="1">
        <v>2</v>
      </c>
      <c r="D196" s="1" t="s">
        <v>2813</v>
      </c>
      <c r="E196" s="1">
        <f ca="1">IF(C196=1,OFFSET(控制台!$F$552,MATCH(A196,控制台!$B$552:$B$580,0)-1,0),OFFSET(控制台!$L$552,MATCH(A196,控制台!$H$552:$H$594,0)-1,0))</f>
        <v>5</v>
      </c>
      <c r="F196" s="1">
        <f ca="1">IF(C196=1,OFFSET(控制台!$D$552,MATCH(A196,控制台!$B$552:$B$580,0)-1,0),OFFSET(控制台!$J$552,MATCH(A196,控制台!$H$552:$H$594,0)-1,0))</f>
        <v>5</v>
      </c>
      <c r="G196" s="1">
        <f ca="1">IF(C196=1,OFFSET(控制台!$I$599,MATCH(F196,控制台!$B$599:$B$615,0)-1,0),OFFSET(控制台!$I$618,MATCH(F196,控制台!$B$618:$B$636,0)-1,0))</f>
        <v>1</v>
      </c>
      <c r="H196" s="1">
        <f ca="1">IF(C196=1,OFFSET(控制台!$D$599,MATCH(F196,控制台!$B$599:$B$615,0)-1,0),OFFSET(控制台!$D$618,MATCH(F196,控制台!$B$618:$B$636,0)-1,0))</f>
        <v>5544000</v>
      </c>
      <c r="I196" s="1">
        <f ca="1">IF(E196=1,H196/G196,IF(E196=5,H196/G196*OFFSET(控制台!$D$641,MATCH(B196,控制台!$B$641:$B$645,0)-1,0),H196/G196*OFFSET(控制台!$H$641,MATCH(B196,控制台!$F$641:$F$650,0)-1,0)))</f>
        <v>792000.000000001</v>
      </c>
      <c r="J196" s="1">
        <f ca="1">$I196/3*控制台!H$102</f>
        <v>264000</v>
      </c>
      <c r="K196" s="1">
        <f ca="1">$I196/3*控制台!I$102</f>
        <v>198000</v>
      </c>
      <c r="L196" s="1">
        <f ca="1">$I196/3*控制台!J$102</f>
        <v>330000</v>
      </c>
      <c r="M196" s="1">
        <f ca="1">_xlfn.FLOOR.MATH(J196,POWER(10,MAX(2,INT(LOG10(J196)-2))))</f>
        <v>264000</v>
      </c>
      <c r="N196" s="1">
        <f ca="1">_xlfn.FLOOR.MATH(K196,POWER(10,MAX(2,INT(LOG10(K196)-2))))</f>
        <v>198000</v>
      </c>
      <c r="O196" s="1">
        <f ca="1">_xlfn.FLOOR.MATH(L196,POWER(10,MAX(2,INT(LOG10(L196)-2))))</f>
        <v>330000</v>
      </c>
      <c r="P196" s="4" t="str">
        <f ca="1" t="shared" si="6"/>
        <v>264000;198000;330000</v>
      </c>
      <c r="Q196" s="15">
        <f ca="1">IF(C196=1,OFFSET(控制台!$H$599,MATCH(F196,控制台!$B$599:$B$615,0)-1,0),OFFSET(控制台!$H$618,MATCH(F196,控制台!$B$618:$B$636,0)-1,0))</f>
        <v>8092.224</v>
      </c>
      <c r="R196" s="15">
        <f ca="1">IF(E196=1,Q196/G196,IF(E196=5,Q196/G196*OFFSET(控制台!$D$641,MATCH(B196,控制台!$B$641:$B$645,0)-1,0),Q196/G196*OFFSET(控制台!$H$641,MATCH(B196,控制台!$F$641:$F$650,0)-1,0)))</f>
        <v>1156.032</v>
      </c>
      <c r="S196" s="16">
        <f ca="1">_xlfn.FLOOR.MATH(R196)*60</f>
        <v>69360</v>
      </c>
      <c r="T196" s="16">
        <f ca="1">8000+IF(C196=1,OFFSET(控制台!$K$599,MATCH(F196,控制台!$B$599:$B$615,0)-1,0),OFFSET(控制台!$K$618,MATCH(F196,控制台!$B$618:$B$636,0)-1,0))</f>
        <v>8014</v>
      </c>
      <c r="U196" s="1">
        <f ca="1">IF(C196=1,OFFSET(控制台!$F$599,MATCH(F196,控制台!$B$599:$B$615,0)-1,0),OFFSET(控制台!$F$618,MATCH(F196,控制台!$B$618:$B$636,0)-1,0))</f>
        <v>7257.6</v>
      </c>
      <c r="V196" s="1">
        <f ca="1">IF(E196=1,U196/G196,IF(E196=5,U196/G196*OFFSET(控制台!$D$641,MATCH(B196,控制台!$B$641:$B$645,0)-1,0),U196/G196*OFFSET(控制台!$H$641,MATCH(B196,控制台!$F$641:$F$650,0)-1,0)))</f>
        <v>1036.8</v>
      </c>
      <c r="W196" s="20">
        <f ca="1" t="shared" si="7"/>
        <v>0.720000000000001</v>
      </c>
      <c r="X196" s="15">
        <f ca="1">IF(C196=1,OFFSET(控制台!$U$599,MATCH(F196,控制台!$B$599:$B$615,0)-1,0),OFFSET(控制台!$U$618,MATCH(F196,控制台!$B$618:$B$636,0)-1,0))</f>
        <v>20842.5</v>
      </c>
      <c r="Y196" s="16">
        <f ca="1">_xlfn.FLOOR.MATH(IF(E196=1,X196/G196,IF(E196=5,X196/G196*OFFSET(控制台!$D$641,MATCH(B196,控制台!$B$641:$B$645,0)-1,0),X196/G196*OFFSET(控制台!$H$641,MATCH(B196,控制台!$F$641:$F$650,0)-1,0))))</f>
        <v>2977</v>
      </c>
      <c r="Z196" s="16">
        <f ca="1" t="shared" si="8"/>
        <v>5954</v>
      </c>
    </row>
    <row r="197" spans="1:26">
      <c r="A197" s="1">
        <v>20502</v>
      </c>
      <c r="B197" s="1">
        <v>4</v>
      </c>
      <c r="C197" s="1">
        <v>2</v>
      </c>
      <c r="D197" s="1" t="s">
        <v>2813</v>
      </c>
      <c r="E197" s="1">
        <f ca="1">IF(C197=1,OFFSET(控制台!$F$552,MATCH(A197,控制台!$B$552:$B$580,0)-1,0),OFFSET(控制台!$L$552,MATCH(A197,控制台!$H$552:$H$594,0)-1,0))</f>
        <v>5</v>
      </c>
      <c r="F197" s="1">
        <f ca="1">IF(C197=1,OFFSET(控制台!$D$552,MATCH(A197,控制台!$B$552:$B$580,0)-1,0),OFFSET(控制台!$J$552,MATCH(A197,控制台!$H$552:$H$594,0)-1,0))</f>
        <v>5</v>
      </c>
      <c r="G197" s="1">
        <f ca="1">IF(C197=1,OFFSET(控制台!$I$599,MATCH(F197,控制台!$B$599:$B$615,0)-1,0),OFFSET(控制台!$I$618,MATCH(F197,控制台!$B$618:$B$636,0)-1,0))</f>
        <v>1</v>
      </c>
      <c r="H197" s="1">
        <f ca="1">IF(C197=1,OFFSET(控制台!$D$599,MATCH(F197,控制台!$B$599:$B$615,0)-1,0),OFFSET(控制台!$D$618,MATCH(F197,控制台!$B$618:$B$636,0)-1,0))</f>
        <v>5544000</v>
      </c>
      <c r="I197" s="1">
        <f ca="1">IF(E197=1,H197/G197,IF(E197=5,H197/G197*OFFSET(控制台!$D$641,MATCH(B197,控制台!$B$641:$B$645,0)-1,0),H197/G197*OFFSET(控制台!$H$641,MATCH(B197,控制台!$F$641:$F$650,0)-1,0)))</f>
        <v>1320000</v>
      </c>
      <c r="J197" s="1">
        <f ca="1">$I197/3*控制台!H$102</f>
        <v>440000</v>
      </c>
      <c r="K197" s="1">
        <f ca="1">$I197/3*控制台!I$102</f>
        <v>330000</v>
      </c>
      <c r="L197" s="1">
        <f ca="1">$I197/3*控制台!J$102</f>
        <v>550000</v>
      </c>
      <c r="M197" s="1">
        <f ca="1">_xlfn.FLOOR.MATH(J197,POWER(10,MAX(2,INT(LOG10(J197)-2))))</f>
        <v>440000</v>
      </c>
      <c r="N197" s="1">
        <f ca="1">_xlfn.FLOOR.MATH(K197,POWER(10,MAX(2,INT(LOG10(K197)-2))))</f>
        <v>330000</v>
      </c>
      <c r="O197" s="1">
        <f ca="1">_xlfn.FLOOR.MATH(L197,POWER(10,MAX(2,INT(LOG10(L197)-2))))</f>
        <v>550000</v>
      </c>
      <c r="P197" s="4" t="str">
        <f ca="1" t="shared" si="6"/>
        <v>440000;330000;550000</v>
      </c>
      <c r="Q197" s="15">
        <f ca="1">IF(C197=1,OFFSET(控制台!$H$599,MATCH(F197,控制台!$B$599:$B$615,0)-1,0),OFFSET(控制台!$H$618,MATCH(F197,控制台!$B$618:$B$636,0)-1,0))</f>
        <v>8092.224</v>
      </c>
      <c r="R197" s="15">
        <f ca="1">IF(E197=1,Q197/G197,IF(E197=5,Q197/G197*OFFSET(控制台!$D$641,MATCH(B197,控制台!$B$641:$B$645,0)-1,0),Q197/G197*OFFSET(控制台!$H$641,MATCH(B197,控制台!$F$641:$F$650,0)-1,0)))</f>
        <v>1926.72</v>
      </c>
      <c r="S197" s="16">
        <f ca="1">_xlfn.FLOOR.MATH(R197)*60</f>
        <v>115560</v>
      </c>
      <c r="T197" s="16">
        <f ca="1">8000+IF(C197=1,OFFSET(控制台!$K$599,MATCH(F197,控制台!$B$599:$B$615,0)-1,0),OFFSET(控制台!$K$618,MATCH(F197,控制台!$B$618:$B$636,0)-1,0))</f>
        <v>8014</v>
      </c>
      <c r="U197" s="1">
        <f ca="1">IF(C197=1,OFFSET(控制台!$F$599,MATCH(F197,控制台!$B$599:$B$615,0)-1,0),OFFSET(控制台!$F$618,MATCH(F197,控制台!$B$618:$B$636,0)-1,0))</f>
        <v>7257.6</v>
      </c>
      <c r="V197" s="1">
        <f ca="1">IF(E197=1,U197/G197,IF(E197=5,U197/G197*OFFSET(控制台!$D$641,MATCH(B197,控制台!$B$641:$B$645,0)-1,0),U197/G197*OFFSET(控制台!$H$641,MATCH(B197,控制台!$F$641:$F$650,0)-1,0)))</f>
        <v>1728</v>
      </c>
      <c r="W197" s="20">
        <f ca="1" t="shared" si="7"/>
        <v>1.2</v>
      </c>
      <c r="X197" s="15">
        <f ca="1">IF(C197=1,OFFSET(控制台!$U$599,MATCH(F197,控制台!$B$599:$B$615,0)-1,0),OFFSET(控制台!$U$618,MATCH(F197,控制台!$B$618:$B$636,0)-1,0))</f>
        <v>20842.5</v>
      </c>
      <c r="Y197" s="16">
        <f ca="1">_xlfn.FLOOR.MATH(IF(E197=1,X197/G197,IF(E197=5,X197/G197*OFFSET(控制台!$D$641,MATCH(B197,控制台!$B$641:$B$645,0)-1,0),X197/G197*OFFSET(控制台!$H$641,MATCH(B197,控制台!$F$641:$F$650,0)-1,0))))</f>
        <v>4962</v>
      </c>
      <c r="Z197" s="16">
        <f ca="1" t="shared" si="8"/>
        <v>10916</v>
      </c>
    </row>
    <row r="198" spans="1:26">
      <c r="A198" s="1">
        <v>20502</v>
      </c>
      <c r="B198" s="1">
        <v>5</v>
      </c>
      <c r="C198" s="1">
        <v>2</v>
      </c>
      <c r="D198" s="1" t="s">
        <v>2813</v>
      </c>
      <c r="E198" s="1">
        <f ca="1">IF(C198=1,OFFSET(控制台!$F$552,MATCH(A198,控制台!$B$552:$B$580,0)-1,0),OFFSET(控制台!$L$552,MATCH(A198,控制台!$H$552:$H$594,0)-1,0))</f>
        <v>5</v>
      </c>
      <c r="F198" s="1">
        <f ca="1">IF(C198=1,OFFSET(控制台!$D$552,MATCH(A198,控制台!$B$552:$B$580,0)-1,0),OFFSET(控制台!$J$552,MATCH(A198,控制台!$H$552:$H$594,0)-1,0))</f>
        <v>5</v>
      </c>
      <c r="G198" s="1">
        <f ca="1">IF(C198=1,OFFSET(控制台!$I$599,MATCH(F198,控制台!$B$599:$B$615,0)-1,0),OFFSET(控制台!$I$618,MATCH(F198,控制台!$B$618:$B$636,0)-1,0))</f>
        <v>1</v>
      </c>
      <c r="H198" s="1">
        <f ca="1">IF(C198=1,OFFSET(控制台!$D$599,MATCH(F198,控制台!$B$599:$B$615,0)-1,0),OFFSET(控制台!$D$618,MATCH(F198,控制台!$B$618:$B$636,0)-1,0))</f>
        <v>5544000</v>
      </c>
      <c r="I198" s="1">
        <f ca="1">IF(E198=1,H198/G198,IF(E198=5,H198/G198*OFFSET(控制台!$D$641,MATCH(B198,控制台!$B$641:$B$645,0)-1,0),H198/G198*OFFSET(控制台!$H$641,MATCH(B198,控制台!$F$641:$F$650,0)-1,0)))</f>
        <v>2640000</v>
      </c>
      <c r="J198" s="1">
        <f ca="1">$I198/3*控制台!H$102</f>
        <v>880000</v>
      </c>
      <c r="K198" s="1">
        <f ca="1">$I198/3*控制台!I$102</f>
        <v>660000</v>
      </c>
      <c r="L198" s="1">
        <f ca="1">$I198/3*控制台!J$102</f>
        <v>1100000</v>
      </c>
      <c r="M198" s="1">
        <f ca="1">_xlfn.FLOOR.MATH(J198,POWER(10,MAX(2,INT(LOG10(J198)-2))))</f>
        <v>880000</v>
      </c>
      <c r="N198" s="1">
        <f ca="1">_xlfn.FLOOR.MATH(K198,POWER(10,MAX(2,INT(LOG10(K198)-2))))</f>
        <v>660000</v>
      </c>
      <c r="O198" s="1">
        <f ca="1">_xlfn.FLOOR.MATH(L198,POWER(10,MAX(2,INT(LOG10(L198)-2))))</f>
        <v>1100000</v>
      </c>
      <c r="P198" s="4" t="str">
        <f ca="1" t="shared" si="6"/>
        <v>880000;660000;1100000</v>
      </c>
      <c r="Q198" s="15">
        <f ca="1">IF(C198=1,OFFSET(控制台!$H$599,MATCH(F198,控制台!$B$599:$B$615,0)-1,0),OFFSET(控制台!$H$618,MATCH(F198,控制台!$B$618:$B$636,0)-1,0))</f>
        <v>8092.224</v>
      </c>
      <c r="R198" s="15">
        <f ca="1">IF(E198=1,Q198/G198,IF(E198=5,Q198/G198*OFFSET(控制台!$D$641,MATCH(B198,控制台!$B$641:$B$645,0)-1,0),Q198/G198*OFFSET(控制台!$H$641,MATCH(B198,控制台!$F$641:$F$650,0)-1,0)))</f>
        <v>3853.44</v>
      </c>
      <c r="S198" s="16">
        <f ca="1">_xlfn.FLOOR.MATH(R198)*60</f>
        <v>231180</v>
      </c>
      <c r="T198" s="16">
        <f ca="1">8000+IF(C198=1,OFFSET(控制台!$K$599,MATCH(F198,控制台!$B$599:$B$615,0)-1,0),OFFSET(控制台!$K$618,MATCH(F198,控制台!$B$618:$B$636,0)-1,0))</f>
        <v>8014</v>
      </c>
      <c r="U198" s="1">
        <f ca="1">IF(C198=1,OFFSET(控制台!$F$599,MATCH(F198,控制台!$B$599:$B$615,0)-1,0),OFFSET(控制台!$F$618,MATCH(F198,控制台!$B$618:$B$636,0)-1,0))</f>
        <v>7257.6</v>
      </c>
      <c r="V198" s="1">
        <f ca="1">IF(E198=1,U198/G198,IF(E198=5,U198/G198*OFFSET(控制台!$D$641,MATCH(B198,控制台!$B$641:$B$645,0)-1,0),U198/G198*OFFSET(控制台!$H$641,MATCH(B198,控制台!$F$641:$F$650,0)-1,0)))</f>
        <v>3456</v>
      </c>
      <c r="W198" s="20">
        <f ca="1" t="shared" si="7"/>
        <v>2.4</v>
      </c>
      <c r="X198" s="15">
        <f ca="1">IF(C198=1,OFFSET(控制台!$U$599,MATCH(F198,控制台!$B$599:$B$615,0)-1,0),OFFSET(控制台!$U$618,MATCH(F198,控制台!$B$618:$B$636,0)-1,0))</f>
        <v>20842.5</v>
      </c>
      <c r="Y198" s="16">
        <f ca="1">_xlfn.FLOOR.MATH(IF(E198=1,X198/G198,IF(E198=5,X198/G198*OFFSET(控制台!$D$641,MATCH(B198,控制台!$B$641:$B$645,0)-1,0),X198/G198*OFFSET(控制台!$H$641,MATCH(B198,控制台!$F$641:$F$650,0)-1,0))))</f>
        <v>9925</v>
      </c>
      <c r="Z198" s="16">
        <f ca="1" t="shared" si="8"/>
        <v>20841</v>
      </c>
    </row>
    <row r="199" spans="1:26">
      <c r="A199" s="1">
        <v>20601</v>
      </c>
      <c r="B199" s="1">
        <v>1</v>
      </c>
      <c r="C199" s="1">
        <v>2</v>
      </c>
      <c r="D199" s="1" t="s">
        <v>2814</v>
      </c>
      <c r="E199" s="1">
        <f ca="1">IF(C199=1,OFFSET(控制台!$F$552,MATCH(A199,控制台!$B$552:$B$580,0)-1,0),OFFSET(控制台!$L$552,MATCH(A199,控制台!$H$552:$H$594,0)-1,0))</f>
        <v>1</v>
      </c>
      <c r="F199" s="1">
        <f ca="1">IF(C199=1,OFFSET(控制台!$D$552,MATCH(A199,控制台!$B$552:$B$580,0)-1,0),OFFSET(控制台!$J$552,MATCH(A199,控制台!$H$552:$H$594,0)-1,0))</f>
        <v>6</v>
      </c>
      <c r="G199" s="1">
        <f ca="1">IF(C199=1,OFFSET(控制台!$I$599,MATCH(F199,控制台!$B$599:$B$615,0)-1,0),OFFSET(控制台!$I$618,MATCH(F199,控制台!$B$618:$B$636,0)-1,0))</f>
        <v>3</v>
      </c>
      <c r="H199" s="1">
        <f ca="1">IF(C199=1,OFFSET(控制台!$D$599,MATCH(F199,控制台!$B$599:$B$615,0)-1,0),OFFSET(控制台!$D$618,MATCH(F199,控制台!$B$618:$B$636,0)-1,0))</f>
        <v>7560000</v>
      </c>
      <c r="I199" s="1">
        <f ca="1">IF(E199=1,H199/G199,IF(E199=5,H199/G199*OFFSET(控制台!$D$641,MATCH(B199,控制台!$B$641:$B$645,0)-1,0),H199/G199*OFFSET(控制台!$H$641,MATCH(B199,控制台!$F$641:$F$650,0)-1,0)))</f>
        <v>2520000</v>
      </c>
      <c r="J199" s="1">
        <f ca="1">$I199/3*控制台!H$102</f>
        <v>840000</v>
      </c>
      <c r="K199" s="1">
        <f ca="1">$I199/3*控制台!I$102</f>
        <v>630000</v>
      </c>
      <c r="L199" s="1">
        <f ca="1">$I199/3*控制台!J$102</f>
        <v>1050000</v>
      </c>
      <c r="M199" s="1">
        <f ca="1">_xlfn.FLOOR.MATH(J199,POWER(10,MAX(2,INT(LOG10(J199)-2))))</f>
        <v>840000</v>
      </c>
      <c r="N199" s="1">
        <f ca="1">_xlfn.FLOOR.MATH(K199,POWER(10,MAX(2,INT(LOG10(K199)-2))))</f>
        <v>630000</v>
      </c>
      <c r="O199" s="1">
        <f ca="1">_xlfn.FLOOR.MATH(L199,POWER(10,MAX(2,INT(LOG10(L199)-2))))</f>
        <v>1050000</v>
      </c>
      <c r="P199" s="4" t="str">
        <f ca="1" t="shared" ref="P199:P262" si="9">CONCATENATE(M199,";",N199,";",O199)</f>
        <v>840000;630000;1050000</v>
      </c>
      <c r="Q199" s="15">
        <f ca="1">IF(C199=1,OFFSET(控制台!$H$599,MATCH(F199,控制台!$B$599:$B$615,0)-1,0),OFFSET(控制台!$H$618,MATCH(F199,控制台!$B$618:$B$636,0)-1,0))</f>
        <v>9754.2144</v>
      </c>
      <c r="R199" s="15">
        <f ca="1">IF(E199=1,Q199/G199,IF(E199=5,Q199/G199*OFFSET(控制台!$D$641,MATCH(B199,控制台!$B$641:$B$645,0)-1,0),Q199/G199*OFFSET(控制台!$H$641,MATCH(B199,控制台!$F$641:$F$650,0)-1,0)))</f>
        <v>3251.4048</v>
      </c>
      <c r="S199" s="16">
        <f ca="1">_xlfn.FLOOR.MATH(R199)*60</f>
        <v>195060</v>
      </c>
      <c r="T199" s="16">
        <f ca="1">8000+IF(C199=1,OFFSET(控制台!$K$599,MATCH(F199,控制台!$B$599:$B$615,0)-1,0),OFFSET(控制台!$K$618,MATCH(F199,控制台!$B$618:$B$636,0)-1,0))</f>
        <v>8016</v>
      </c>
      <c r="U199" s="1">
        <f ca="1">IF(C199=1,OFFSET(控制台!$F$599,MATCH(F199,控制台!$B$599:$B$615,0)-1,0),OFFSET(控制台!$F$618,MATCH(F199,控制台!$B$618:$B$636,0)-1,0))</f>
        <v>8709.12</v>
      </c>
      <c r="V199" s="1">
        <f ca="1">IF(E199=1,U199/G199,IF(E199=5,U199/G199*OFFSET(控制台!$D$641,MATCH(B199,控制台!$B$641:$B$645,0)-1,0),U199/G199*OFFSET(控制台!$H$641,MATCH(B199,控制台!$F$641:$F$650,0)-1,0)))</f>
        <v>2903.04</v>
      </c>
      <c r="W199" s="20">
        <f ca="1" t="shared" ref="W199:W262" si="10">V199/60/24</f>
        <v>2.016</v>
      </c>
      <c r="X199" s="15">
        <f ca="1">IF(C199=1,OFFSET(控制台!$U$599,MATCH(F199,控制台!$B$599:$B$615,0)-1,0),OFFSET(控制台!$U$618,MATCH(F199,控制台!$B$618:$B$636,0)-1,0))</f>
        <v>25200</v>
      </c>
      <c r="Y199" s="16">
        <f ca="1">_xlfn.FLOOR.MATH(IF(E199=1,X199/G199,IF(E199=5,X199/G199*OFFSET(控制台!$D$641,MATCH(B199,控制台!$B$641:$B$645,0)-1,0),X199/G199*OFFSET(控制台!$H$641,MATCH(B199,控制台!$F$641:$F$650,0)-1,0))))</f>
        <v>8400</v>
      </c>
      <c r="Z199" s="16">
        <f ca="1" t="shared" ref="Z199:Z262" si="11">IF(B199=1,Y199,Z198+Y199)</f>
        <v>8400</v>
      </c>
    </row>
    <row r="200" spans="1:26">
      <c r="A200" s="1">
        <v>20602</v>
      </c>
      <c r="B200" s="1">
        <v>1</v>
      </c>
      <c r="C200" s="1">
        <v>2</v>
      </c>
      <c r="D200" s="1" t="s">
        <v>2815</v>
      </c>
      <c r="E200" s="1">
        <f ca="1">IF(C200=1,OFFSET(控制台!$F$552,MATCH(A200,控制台!$B$552:$B$580,0)-1,0),OFFSET(控制台!$L$552,MATCH(A200,控制台!$H$552:$H$594,0)-1,0))</f>
        <v>1</v>
      </c>
      <c r="F200" s="1">
        <f ca="1">IF(C200=1,OFFSET(控制台!$D$552,MATCH(A200,控制台!$B$552:$B$580,0)-1,0),OFFSET(控制台!$J$552,MATCH(A200,控制台!$H$552:$H$594,0)-1,0))</f>
        <v>6</v>
      </c>
      <c r="G200" s="1">
        <f ca="1">IF(C200=1,OFFSET(控制台!$I$599,MATCH(F200,控制台!$B$599:$B$615,0)-1,0),OFFSET(控制台!$I$618,MATCH(F200,控制台!$B$618:$B$636,0)-1,0))</f>
        <v>3</v>
      </c>
      <c r="H200" s="1">
        <f ca="1">IF(C200=1,OFFSET(控制台!$D$599,MATCH(F200,控制台!$B$599:$B$615,0)-1,0),OFFSET(控制台!$D$618,MATCH(F200,控制台!$B$618:$B$636,0)-1,0))</f>
        <v>7560000</v>
      </c>
      <c r="I200" s="1">
        <f ca="1">IF(E200=1,H200/G200,IF(E200=5,H200/G200*OFFSET(控制台!$D$641,MATCH(B200,控制台!$B$641:$B$645,0)-1,0),H200/G200*OFFSET(控制台!$H$641,MATCH(B200,控制台!$F$641:$F$650,0)-1,0)))</f>
        <v>2520000</v>
      </c>
      <c r="J200" s="1">
        <f ca="1">$I200/3*控制台!H$102</f>
        <v>840000</v>
      </c>
      <c r="K200" s="1">
        <f ca="1">$I200/3*控制台!I$102</f>
        <v>630000</v>
      </c>
      <c r="L200" s="1">
        <f ca="1">$I200/3*控制台!J$102</f>
        <v>1050000</v>
      </c>
      <c r="M200" s="1">
        <f ca="1">_xlfn.FLOOR.MATH(J200,POWER(10,MAX(2,INT(LOG10(J200)-2))))</f>
        <v>840000</v>
      </c>
      <c r="N200" s="1">
        <f ca="1">_xlfn.FLOOR.MATH(K200,POWER(10,MAX(2,INT(LOG10(K200)-2))))</f>
        <v>630000</v>
      </c>
      <c r="O200" s="1">
        <f ca="1">_xlfn.FLOOR.MATH(L200,POWER(10,MAX(2,INT(LOG10(L200)-2))))</f>
        <v>1050000</v>
      </c>
      <c r="P200" s="4" t="str">
        <f ca="1" t="shared" si="9"/>
        <v>840000;630000;1050000</v>
      </c>
      <c r="Q200" s="15">
        <f ca="1">IF(C200=1,OFFSET(控制台!$H$599,MATCH(F200,控制台!$B$599:$B$615,0)-1,0),OFFSET(控制台!$H$618,MATCH(F200,控制台!$B$618:$B$636,0)-1,0))</f>
        <v>9754.2144</v>
      </c>
      <c r="R200" s="15">
        <f ca="1">IF(E200=1,Q200/G200,IF(E200=5,Q200/G200*OFFSET(控制台!$D$641,MATCH(B200,控制台!$B$641:$B$645,0)-1,0),Q200/G200*OFFSET(控制台!$H$641,MATCH(B200,控制台!$F$641:$F$650,0)-1,0)))</f>
        <v>3251.4048</v>
      </c>
      <c r="S200" s="16">
        <f ca="1">_xlfn.FLOOR.MATH(R200)*60</f>
        <v>195060</v>
      </c>
      <c r="T200" s="16">
        <f ca="1">8000+IF(C200=1,OFFSET(控制台!$K$599,MATCH(F200,控制台!$B$599:$B$615,0)-1,0),OFFSET(控制台!$K$618,MATCH(F200,控制台!$B$618:$B$636,0)-1,0))</f>
        <v>8016</v>
      </c>
      <c r="U200" s="1">
        <f ca="1">IF(C200=1,OFFSET(控制台!$F$599,MATCH(F200,控制台!$B$599:$B$615,0)-1,0),OFFSET(控制台!$F$618,MATCH(F200,控制台!$B$618:$B$636,0)-1,0))</f>
        <v>8709.12</v>
      </c>
      <c r="V200" s="1">
        <f ca="1">IF(E200=1,U200/G200,IF(E200=5,U200/G200*OFFSET(控制台!$D$641,MATCH(B200,控制台!$B$641:$B$645,0)-1,0),U200/G200*OFFSET(控制台!$H$641,MATCH(B200,控制台!$F$641:$F$650,0)-1,0)))</f>
        <v>2903.04</v>
      </c>
      <c r="W200" s="20">
        <f ca="1" t="shared" si="10"/>
        <v>2.016</v>
      </c>
      <c r="X200" s="15">
        <f ca="1">IF(C200=1,OFFSET(控制台!$U$599,MATCH(F200,控制台!$B$599:$B$615,0)-1,0),OFFSET(控制台!$U$618,MATCH(F200,控制台!$B$618:$B$636,0)-1,0))</f>
        <v>25200</v>
      </c>
      <c r="Y200" s="16">
        <f ca="1">_xlfn.FLOOR.MATH(IF(E200=1,X200/G200,IF(E200=5,X200/G200*OFFSET(控制台!$D$641,MATCH(B200,控制台!$B$641:$B$645,0)-1,0),X200/G200*OFFSET(控制台!$H$641,MATCH(B200,控制台!$F$641:$F$650,0)-1,0))))</f>
        <v>8400</v>
      </c>
      <c r="Z200" s="16">
        <f ca="1" t="shared" si="11"/>
        <v>8400</v>
      </c>
    </row>
    <row r="201" spans="1:26">
      <c r="A201" s="1">
        <v>20603</v>
      </c>
      <c r="B201" s="1">
        <v>1</v>
      </c>
      <c r="C201" s="1">
        <v>2</v>
      </c>
      <c r="D201" s="1" t="s">
        <v>2816</v>
      </c>
      <c r="E201" s="1">
        <f ca="1">IF(C201=1,OFFSET(控制台!$F$552,MATCH(A201,控制台!$B$552:$B$580,0)-1,0),OFFSET(控制台!$L$552,MATCH(A201,控制台!$H$552:$H$594,0)-1,0))</f>
        <v>1</v>
      </c>
      <c r="F201" s="1">
        <f ca="1">IF(C201=1,OFFSET(控制台!$D$552,MATCH(A201,控制台!$B$552:$B$580,0)-1,0),OFFSET(控制台!$J$552,MATCH(A201,控制台!$H$552:$H$594,0)-1,0))</f>
        <v>6</v>
      </c>
      <c r="G201" s="1">
        <f ca="1">IF(C201=1,OFFSET(控制台!$I$599,MATCH(F201,控制台!$B$599:$B$615,0)-1,0),OFFSET(控制台!$I$618,MATCH(F201,控制台!$B$618:$B$636,0)-1,0))</f>
        <v>3</v>
      </c>
      <c r="H201" s="1">
        <f ca="1">IF(C201=1,OFFSET(控制台!$D$599,MATCH(F201,控制台!$B$599:$B$615,0)-1,0),OFFSET(控制台!$D$618,MATCH(F201,控制台!$B$618:$B$636,0)-1,0))</f>
        <v>7560000</v>
      </c>
      <c r="I201" s="1">
        <f ca="1">IF(E201=1,H201/G201,IF(E201=5,H201/G201*OFFSET(控制台!$D$641,MATCH(B201,控制台!$B$641:$B$645,0)-1,0),H201/G201*OFFSET(控制台!$H$641,MATCH(B201,控制台!$F$641:$F$650,0)-1,0)))</f>
        <v>2520000</v>
      </c>
      <c r="J201" s="1">
        <f ca="1">$I201/3*控制台!H$102</f>
        <v>840000</v>
      </c>
      <c r="K201" s="1">
        <f ca="1">$I201/3*控制台!I$102</f>
        <v>630000</v>
      </c>
      <c r="L201" s="1">
        <f ca="1">$I201/3*控制台!J$102</f>
        <v>1050000</v>
      </c>
      <c r="M201" s="1">
        <f ca="1">_xlfn.FLOOR.MATH(J201,POWER(10,MAX(2,INT(LOG10(J201)-2))))</f>
        <v>840000</v>
      </c>
      <c r="N201" s="1">
        <f ca="1">_xlfn.FLOOR.MATH(K201,POWER(10,MAX(2,INT(LOG10(K201)-2))))</f>
        <v>630000</v>
      </c>
      <c r="O201" s="1">
        <f ca="1">_xlfn.FLOOR.MATH(L201,POWER(10,MAX(2,INT(LOG10(L201)-2))))</f>
        <v>1050000</v>
      </c>
      <c r="P201" s="4" t="str">
        <f ca="1" t="shared" si="9"/>
        <v>840000;630000;1050000</v>
      </c>
      <c r="Q201" s="15">
        <f ca="1">IF(C201=1,OFFSET(控制台!$H$599,MATCH(F201,控制台!$B$599:$B$615,0)-1,0),OFFSET(控制台!$H$618,MATCH(F201,控制台!$B$618:$B$636,0)-1,0))</f>
        <v>9754.2144</v>
      </c>
      <c r="R201" s="15">
        <f ca="1">IF(E201=1,Q201/G201,IF(E201=5,Q201/G201*OFFSET(控制台!$D$641,MATCH(B201,控制台!$B$641:$B$645,0)-1,0),Q201/G201*OFFSET(控制台!$H$641,MATCH(B201,控制台!$F$641:$F$650,0)-1,0)))</f>
        <v>3251.4048</v>
      </c>
      <c r="S201" s="16">
        <f ca="1">_xlfn.FLOOR.MATH(R201)*60</f>
        <v>195060</v>
      </c>
      <c r="T201" s="16">
        <f ca="1">8000+IF(C201=1,OFFSET(控制台!$K$599,MATCH(F201,控制台!$B$599:$B$615,0)-1,0),OFFSET(控制台!$K$618,MATCH(F201,控制台!$B$618:$B$636,0)-1,0))</f>
        <v>8016</v>
      </c>
      <c r="U201" s="1">
        <f ca="1">IF(C201=1,OFFSET(控制台!$F$599,MATCH(F201,控制台!$B$599:$B$615,0)-1,0),OFFSET(控制台!$F$618,MATCH(F201,控制台!$B$618:$B$636,0)-1,0))</f>
        <v>8709.12</v>
      </c>
      <c r="V201" s="1">
        <f ca="1">IF(E201=1,U201/G201,IF(E201=5,U201/G201*OFFSET(控制台!$D$641,MATCH(B201,控制台!$B$641:$B$645,0)-1,0),U201/G201*OFFSET(控制台!$H$641,MATCH(B201,控制台!$F$641:$F$650,0)-1,0)))</f>
        <v>2903.04</v>
      </c>
      <c r="W201" s="20">
        <f ca="1" t="shared" si="10"/>
        <v>2.016</v>
      </c>
      <c r="X201" s="15">
        <f ca="1">IF(C201=1,OFFSET(控制台!$U$599,MATCH(F201,控制台!$B$599:$B$615,0)-1,0),OFFSET(控制台!$U$618,MATCH(F201,控制台!$B$618:$B$636,0)-1,0))</f>
        <v>25200</v>
      </c>
      <c r="Y201" s="16">
        <f ca="1">_xlfn.FLOOR.MATH(IF(E201=1,X201/G201,IF(E201=5,X201/G201*OFFSET(控制台!$D$641,MATCH(B201,控制台!$B$641:$B$645,0)-1,0),X201/G201*OFFSET(控制台!$H$641,MATCH(B201,控制台!$F$641:$F$650,0)-1,0))))</f>
        <v>8400</v>
      </c>
      <c r="Z201" s="16">
        <f ca="1" t="shared" si="11"/>
        <v>8400</v>
      </c>
    </row>
    <row r="202" spans="1:26">
      <c r="A202" s="1">
        <v>20701</v>
      </c>
      <c r="B202" s="1">
        <v>1</v>
      </c>
      <c r="C202" s="1">
        <v>2</v>
      </c>
      <c r="D202" s="1" t="s">
        <v>2817</v>
      </c>
      <c r="E202" s="1">
        <f ca="1">IF(C202=1,OFFSET(控制台!$F$552,MATCH(A202,控制台!$B$552:$B$580,0)-1,0),OFFSET(控制台!$L$552,MATCH(A202,控制台!$H$552:$H$594,0)-1,0))</f>
        <v>5</v>
      </c>
      <c r="F202" s="1">
        <f ca="1">IF(C202=1,OFFSET(控制台!$D$552,MATCH(A202,控制台!$B$552:$B$580,0)-1,0),OFFSET(控制台!$J$552,MATCH(A202,控制台!$H$552:$H$594,0)-1,0))</f>
        <v>7</v>
      </c>
      <c r="G202" s="1">
        <f ca="1">IF(C202=1,OFFSET(控制台!$I$599,MATCH(F202,控制台!$B$599:$B$615,0)-1,0),OFFSET(控制台!$I$618,MATCH(F202,控制台!$B$618:$B$636,0)-1,0))</f>
        <v>3</v>
      </c>
      <c r="H202" s="1">
        <f ca="1">IF(C202=1,OFFSET(控制台!$D$599,MATCH(F202,控制台!$B$599:$B$615,0)-1,0),OFFSET(控制台!$D$618,MATCH(F202,控制台!$B$618:$B$636,0)-1,0))</f>
        <v>48384000</v>
      </c>
      <c r="I202" s="1">
        <f ca="1">IF(E202=1,H202/G202,IF(E202=5,H202/G202*OFFSET(控制台!$D$641,MATCH(B202,控制台!$B$641:$B$645,0)-1,0),H202/G202*OFFSET(控制台!$H$641,MATCH(B202,控制台!$F$641:$F$650,0)-1,0)))</f>
        <v>768000</v>
      </c>
      <c r="J202" s="1">
        <f ca="1">$I202/3*控制台!H$102</f>
        <v>256000</v>
      </c>
      <c r="K202" s="1">
        <f ca="1">$I202/3*控制台!I$102</f>
        <v>192000</v>
      </c>
      <c r="L202" s="1">
        <f ca="1">$I202/3*控制台!J$102</f>
        <v>320000</v>
      </c>
      <c r="M202" s="1">
        <f ca="1">_xlfn.FLOOR.MATH(J202,POWER(10,MAX(2,INT(LOG10(J202)-2))))</f>
        <v>256000</v>
      </c>
      <c r="N202" s="1">
        <f ca="1">_xlfn.FLOOR.MATH(K202,POWER(10,MAX(2,INT(LOG10(K202)-2))))</f>
        <v>192000</v>
      </c>
      <c r="O202" s="1">
        <f ca="1">_xlfn.FLOOR.MATH(L202,POWER(10,MAX(2,INT(LOG10(L202)-2))))</f>
        <v>320000</v>
      </c>
      <c r="P202" s="4" t="str">
        <f ca="1" t="shared" si="9"/>
        <v>256000;192000;320000</v>
      </c>
      <c r="Q202" s="15">
        <f ca="1">IF(C202=1,OFFSET(控制台!$H$599,MATCH(F202,控制台!$B$599:$B$615,0)-1,0),OFFSET(控制台!$H$618,MATCH(F202,控制台!$B$618:$B$636,0)-1,0))</f>
        <v>59309.1072</v>
      </c>
      <c r="R202" s="15">
        <f ca="1">IF(E202=1,Q202/G202,IF(E202=5,Q202/G202*OFFSET(控制台!$D$641,MATCH(B202,控制台!$B$641:$B$645,0)-1,0),Q202/G202*OFFSET(控制台!$H$641,MATCH(B202,控制台!$F$641:$F$650,0)-1,0)))</f>
        <v>941.414399999999</v>
      </c>
      <c r="S202" s="16">
        <f ca="1">_xlfn.FLOOR.MATH(R202)*60</f>
        <v>56460</v>
      </c>
      <c r="T202" s="16">
        <f ca="1">8000+IF(C202=1,OFFSET(控制台!$K$599,MATCH(F202,控制台!$B$599:$B$615,0)-1,0),OFFSET(控制台!$K$618,MATCH(F202,控制台!$B$618:$B$636,0)-1,0))</f>
        <v>8017</v>
      </c>
      <c r="U202" s="1">
        <f ca="1">IF(C202=1,OFFSET(控制台!$F$599,MATCH(F202,控制台!$B$599:$B$615,0)-1,0),OFFSET(控制台!$F$618,MATCH(F202,控制台!$B$618:$B$636,0)-1,0))</f>
        <v>52254.72</v>
      </c>
      <c r="V202" s="1">
        <f ca="1">IF(E202=1,U202/G202,IF(E202=5,U202/G202*OFFSET(控制台!$D$641,MATCH(B202,控制台!$B$641:$B$645,0)-1,0),U202/G202*OFFSET(控制台!$H$641,MATCH(B202,控制台!$F$641:$F$650,0)-1,0)))</f>
        <v>829.439999999999</v>
      </c>
      <c r="W202" s="20">
        <f ca="1" t="shared" si="10"/>
        <v>0.576</v>
      </c>
      <c r="X202" s="15">
        <f ca="1">IF(C202=1,OFFSET(控制台!$U$599,MATCH(F202,控制台!$B$599:$B$615,0)-1,0),OFFSET(控制台!$U$618,MATCH(F202,控制台!$B$618:$B$636,0)-1,0))</f>
        <v>151830</v>
      </c>
      <c r="Y202" s="16">
        <f ca="1">_xlfn.FLOOR.MATH(IF(E202=1,X202/G202,IF(E202=5,X202/G202*OFFSET(控制台!$D$641,MATCH(B202,控制台!$B$641:$B$645,0)-1,0),X202/G202*OFFSET(控制台!$H$641,MATCH(B202,控制台!$F$641:$F$650,0)-1,0))))</f>
        <v>2410</v>
      </c>
      <c r="Z202" s="16">
        <f ca="1" t="shared" si="11"/>
        <v>2410</v>
      </c>
    </row>
    <row r="203" spans="1:26">
      <c r="A203" s="1">
        <v>20701</v>
      </c>
      <c r="B203" s="1">
        <v>2</v>
      </c>
      <c r="C203" s="1">
        <v>2</v>
      </c>
      <c r="D203" s="1" t="s">
        <v>2817</v>
      </c>
      <c r="E203" s="1">
        <f ca="1">IF(C203=1,OFFSET(控制台!$F$552,MATCH(A203,控制台!$B$552:$B$580,0)-1,0),OFFSET(控制台!$L$552,MATCH(A203,控制台!$H$552:$H$594,0)-1,0))</f>
        <v>5</v>
      </c>
      <c r="F203" s="1">
        <f ca="1">IF(C203=1,OFFSET(控制台!$D$552,MATCH(A203,控制台!$B$552:$B$580,0)-1,0),OFFSET(控制台!$J$552,MATCH(A203,控制台!$H$552:$H$594,0)-1,0))</f>
        <v>7</v>
      </c>
      <c r="G203" s="1">
        <f ca="1">IF(C203=1,OFFSET(控制台!$I$599,MATCH(F203,控制台!$B$599:$B$615,0)-1,0),OFFSET(控制台!$I$618,MATCH(F203,控制台!$B$618:$B$636,0)-1,0))</f>
        <v>3</v>
      </c>
      <c r="H203" s="1">
        <f ca="1">IF(C203=1,OFFSET(控制台!$D$599,MATCH(F203,控制台!$B$599:$B$615,0)-1,0),OFFSET(控制台!$D$618,MATCH(F203,控制台!$B$618:$B$636,0)-1,0))</f>
        <v>48384000</v>
      </c>
      <c r="I203" s="1">
        <f ca="1">IF(E203=1,H203/G203,IF(E203=5,H203/G203*OFFSET(控制台!$D$641,MATCH(B203,控制台!$B$641:$B$645,0)-1,0),H203/G203*OFFSET(控制台!$H$641,MATCH(B203,控制台!$F$641:$F$650,0)-1,0)))</f>
        <v>1536000</v>
      </c>
      <c r="J203" s="1">
        <f ca="1">$I203/3*控制台!H$102</f>
        <v>512000</v>
      </c>
      <c r="K203" s="1">
        <f ca="1">$I203/3*控制台!I$102</f>
        <v>384000</v>
      </c>
      <c r="L203" s="1">
        <f ca="1">$I203/3*控制台!J$102</f>
        <v>640000</v>
      </c>
      <c r="M203" s="1">
        <f ca="1">_xlfn.FLOOR.MATH(J203,POWER(10,MAX(2,INT(LOG10(J203)-2))))</f>
        <v>512000</v>
      </c>
      <c r="N203" s="1">
        <f ca="1">_xlfn.FLOOR.MATH(K203,POWER(10,MAX(2,INT(LOG10(K203)-2))))</f>
        <v>384000</v>
      </c>
      <c r="O203" s="1">
        <f ca="1">_xlfn.FLOOR.MATH(L203,POWER(10,MAX(2,INT(LOG10(L203)-2))))</f>
        <v>640000</v>
      </c>
      <c r="P203" s="4" t="str">
        <f ca="1" t="shared" si="9"/>
        <v>512000;384000;640000</v>
      </c>
      <c r="Q203" s="15">
        <f ca="1">IF(C203=1,OFFSET(控制台!$H$599,MATCH(F203,控制台!$B$599:$B$615,0)-1,0),OFFSET(控制台!$H$618,MATCH(F203,控制台!$B$618:$B$636,0)-1,0))</f>
        <v>59309.1072</v>
      </c>
      <c r="R203" s="15">
        <f ca="1">IF(E203=1,Q203/G203,IF(E203=5,Q203/G203*OFFSET(控制台!$D$641,MATCH(B203,控制台!$B$641:$B$645,0)-1,0),Q203/G203*OFFSET(控制台!$H$641,MATCH(B203,控制台!$F$641:$F$650,0)-1,0)))</f>
        <v>1882.8288</v>
      </c>
      <c r="S203" s="16">
        <f ca="1">_xlfn.FLOOR.MATH(R203)*60</f>
        <v>112920</v>
      </c>
      <c r="T203" s="16">
        <f ca="1">8000+IF(C203=1,OFFSET(控制台!$K$599,MATCH(F203,控制台!$B$599:$B$615,0)-1,0),OFFSET(控制台!$K$618,MATCH(F203,控制台!$B$618:$B$636,0)-1,0))</f>
        <v>8017</v>
      </c>
      <c r="U203" s="1">
        <f ca="1">IF(C203=1,OFFSET(控制台!$F$599,MATCH(F203,控制台!$B$599:$B$615,0)-1,0),OFFSET(控制台!$F$618,MATCH(F203,控制台!$B$618:$B$636,0)-1,0))</f>
        <v>52254.72</v>
      </c>
      <c r="V203" s="1">
        <f ca="1">IF(E203=1,U203/G203,IF(E203=5,U203/G203*OFFSET(控制台!$D$641,MATCH(B203,控制台!$B$641:$B$645,0)-1,0),U203/G203*OFFSET(控制台!$H$641,MATCH(B203,控制台!$F$641:$F$650,0)-1,0)))</f>
        <v>1658.88</v>
      </c>
      <c r="W203" s="20">
        <f ca="1" t="shared" si="10"/>
        <v>1.152</v>
      </c>
      <c r="X203" s="15">
        <f ca="1">IF(C203=1,OFFSET(控制台!$U$599,MATCH(F203,控制台!$B$599:$B$615,0)-1,0),OFFSET(控制台!$U$618,MATCH(F203,控制台!$B$618:$B$636,0)-1,0))</f>
        <v>151830</v>
      </c>
      <c r="Y203" s="16">
        <f ca="1">_xlfn.FLOOR.MATH(IF(E203=1,X203/G203,IF(E203=5,X203/G203*OFFSET(控制台!$D$641,MATCH(B203,控制台!$B$641:$B$645,0)-1,0),X203/G203*OFFSET(控制台!$H$641,MATCH(B203,控制台!$F$641:$F$650,0)-1,0))))</f>
        <v>4820</v>
      </c>
      <c r="Z203" s="16">
        <f ca="1" t="shared" si="11"/>
        <v>7230</v>
      </c>
    </row>
    <row r="204" spans="1:26">
      <c r="A204" s="1">
        <v>20701</v>
      </c>
      <c r="B204" s="1">
        <v>3</v>
      </c>
      <c r="C204" s="1">
        <v>2</v>
      </c>
      <c r="D204" s="1" t="s">
        <v>2817</v>
      </c>
      <c r="E204" s="1">
        <f ca="1">IF(C204=1,OFFSET(控制台!$F$552,MATCH(A204,控制台!$B$552:$B$580,0)-1,0),OFFSET(控制台!$L$552,MATCH(A204,控制台!$H$552:$H$594,0)-1,0))</f>
        <v>5</v>
      </c>
      <c r="F204" s="1">
        <f ca="1">IF(C204=1,OFFSET(控制台!$D$552,MATCH(A204,控制台!$B$552:$B$580,0)-1,0),OFFSET(控制台!$J$552,MATCH(A204,控制台!$H$552:$H$594,0)-1,0))</f>
        <v>7</v>
      </c>
      <c r="G204" s="1">
        <f ca="1">IF(C204=1,OFFSET(控制台!$I$599,MATCH(F204,控制台!$B$599:$B$615,0)-1,0),OFFSET(控制台!$I$618,MATCH(F204,控制台!$B$618:$B$636,0)-1,0))</f>
        <v>3</v>
      </c>
      <c r="H204" s="1">
        <f ca="1">IF(C204=1,OFFSET(控制台!$D$599,MATCH(F204,控制台!$B$599:$B$615,0)-1,0),OFFSET(控制台!$D$618,MATCH(F204,控制台!$B$618:$B$636,0)-1,0))</f>
        <v>48384000</v>
      </c>
      <c r="I204" s="1">
        <f ca="1">IF(E204=1,H204/G204,IF(E204=5,H204/G204*OFFSET(控制台!$D$641,MATCH(B204,控制台!$B$641:$B$645,0)-1,0),H204/G204*OFFSET(控制台!$H$641,MATCH(B204,控制台!$F$641:$F$650,0)-1,0)))</f>
        <v>2304000</v>
      </c>
      <c r="J204" s="1">
        <f ca="1">$I204/3*控制台!H$102</f>
        <v>768000.000000001</v>
      </c>
      <c r="K204" s="1">
        <f ca="1">$I204/3*控制台!I$102</f>
        <v>576000.000000001</v>
      </c>
      <c r="L204" s="1">
        <f ca="1">$I204/3*控制台!J$102</f>
        <v>960000.000000001</v>
      </c>
      <c r="M204" s="1">
        <f ca="1">_xlfn.FLOOR.MATH(J204,POWER(10,MAX(2,INT(LOG10(J204)-2))))</f>
        <v>768000</v>
      </c>
      <c r="N204" s="1">
        <f ca="1">_xlfn.FLOOR.MATH(K204,POWER(10,MAX(2,INT(LOG10(K204)-2))))</f>
        <v>576000</v>
      </c>
      <c r="O204" s="1">
        <f ca="1">_xlfn.FLOOR.MATH(L204,POWER(10,MAX(2,INT(LOG10(L204)-2))))</f>
        <v>960000</v>
      </c>
      <c r="P204" s="4" t="str">
        <f ca="1" t="shared" si="9"/>
        <v>768000;576000;960000</v>
      </c>
      <c r="Q204" s="15">
        <f ca="1">IF(C204=1,OFFSET(控制台!$H$599,MATCH(F204,控制台!$B$599:$B$615,0)-1,0),OFFSET(控制台!$H$618,MATCH(F204,控制台!$B$618:$B$636,0)-1,0))</f>
        <v>59309.1072</v>
      </c>
      <c r="R204" s="15">
        <f ca="1">IF(E204=1,Q204/G204,IF(E204=5,Q204/G204*OFFSET(控制台!$D$641,MATCH(B204,控制台!$B$641:$B$645,0)-1,0),Q204/G204*OFFSET(控制台!$H$641,MATCH(B204,控制台!$F$641:$F$650,0)-1,0)))</f>
        <v>2824.2432</v>
      </c>
      <c r="S204" s="16">
        <f ca="1">_xlfn.FLOOR.MATH(R204)*60</f>
        <v>169440</v>
      </c>
      <c r="T204" s="16">
        <f ca="1">8000+IF(C204=1,OFFSET(控制台!$K$599,MATCH(F204,控制台!$B$599:$B$615,0)-1,0),OFFSET(控制台!$K$618,MATCH(F204,控制台!$B$618:$B$636,0)-1,0))</f>
        <v>8017</v>
      </c>
      <c r="U204" s="1">
        <f ca="1">IF(C204=1,OFFSET(控制台!$F$599,MATCH(F204,控制台!$B$599:$B$615,0)-1,0),OFFSET(控制台!$F$618,MATCH(F204,控制台!$B$618:$B$636,0)-1,0))</f>
        <v>52254.72</v>
      </c>
      <c r="V204" s="1">
        <f ca="1">IF(E204=1,U204/G204,IF(E204=5,U204/G204*OFFSET(控制台!$D$641,MATCH(B204,控制台!$B$641:$B$645,0)-1,0),U204/G204*OFFSET(控制台!$H$641,MATCH(B204,控制台!$F$641:$F$650,0)-1,0)))</f>
        <v>2488.32</v>
      </c>
      <c r="W204" s="20">
        <f ca="1" t="shared" si="10"/>
        <v>1.728</v>
      </c>
      <c r="X204" s="15">
        <f ca="1">IF(C204=1,OFFSET(控制台!$U$599,MATCH(F204,控制台!$B$599:$B$615,0)-1,0),OFFSET(控制台!$U$618,MATCH(F204,控制台!$B$618:$B$636,0)-1,0))</f>
        <v>151830</v>
      </c>
      <c r="Y204" s="16">
        <f ca="1">_xlfn.FLOOR.MATH(IF(E204=1,X204/G204,IF(E204=5,X204/G204*OFFSET(控制台!$D$641,MATCH(B204,控制台!$B$641:$B$645,0)-1,0),X204/G204*OFFSET(控制台!$H$641,MATCH(B204,控制台!$F$641:$F$650,0)-1,0))))</f>
        <v>7230</v>
      </c>
      <c r="Z204" s="16">
        <f ca="1" t="shared" si="11"/>
        <v>14460</v>
      </c>
    </row>
    <row r="205" spans="1:26">
      <c r="A205" s="1">
        <v>20701</v>
      </c>
      <c r="B205" s="1">
        <v>4</v>
      </c>
      <c r="C205" s="1">
        <v>2</v>
      </c>
      <c r="D205" s="1" t="s">
        <v>2817</v>
      </c>
      <c r="E205" s="1">
        <f ca="1">IF(C205=1,OFFSET(控制台!$F$552,MATCH(A205,控制台!$B$552:$B$580,0)-1,0),OFFSET(控制台!$L$552,MATCH(A205,控制台!$H$552:$H$594,0)-1,0))</f>
        <v>5</v>
      </c>
      <c r="F205" s="1">
        <f ca="1">IF(C205=1,OFFSET(控制台!$D$552,MATCH(A205,控制台!$B$552:$B$580,0)-1,0),OFFSET(控制台!$J$552,MATCH(A205,控制台!$H$552:$H$594,0)-1,0))</f>
        <v>7</v>
      </c>
      <c r="G205" s="1">
        <f ca="1">IF(C205=1,OFFSET(控制台!$I$599,MATCH(F205,控制台!$B$599:$B$615,0)-1,0),OFFSET(控制台!$I$618,MATCH(F205,控制台!$B$618:$B$636,0)-1,0))</f>
        <v>3</v>
      </c>
      <c r="H205" s="1">
        <f ca="1">IF(C205=1,OFFSET(控制台!$D$599,MATCH(F205,控制台!$B$599:$B$615,0)-1,0),OFFSET(控制台!$D$618,MATCH(F205,控制台!$B$618:$B$636,0)-1,0))</f>
        <v>48384000</v>
      </c>
      <c r="I205" s="1">
        <f ca="1">IF(E205=1,H205/G205,IF(E205=5,H205/G205*OFFSET(控制台!$D$641,MATCH(B205,控制台!$B$641:$B$645,0)-1,0),H205/G205*OFFSET(控制台!$H$641,MATCH(B205,控制台!$F$641:$F$650,0)-1,0)))</f>
        <v>3840000</v>
      </c>
      <c r="J205" s="1">
        <f ca="1">$I205/3*控制台!H$102</f>
        <v>1280000</v>
      </c>
      <c r="K205" s="1">
        <f ca="1">$I205/3*控制台!I$102</f>
        <v>960000</v>
      </c>
      <c r="L205" s="1">
        <f ca="1">$I205/3*控制台!J$102</f>
        <v>1600000</v>
      </c>
      <c r="M205" s="1">
        <f ca="1">_xlfn.FLOOR.MATH(J205,POWER(10,MAX(2,INT(LOG10(J205)-2))))</f>
        <v>1280000</v>
      </c>
      <c r="N205" s="1">
        <f ca="1">_xlfn.FLOOR.MATH(K205,POWER(10,MAX(2,INT(LOG10(K205)-2))))</f>
        <v>960000</v>
      </c>
      <c r="O205" s="1">
        <f ca="1">_xlfn.FLOOR.MATH(L205,POWER(10,MAX(2,INT(LOG10(L205)-2))))</f>
        <v>1600000</v>
      </c>
      <c r="P205" s="4" t="str">
        <f ca="1" t="shared" si="9"/>
        <v>1280000;960000;1600000</v>
      </c>
      <c r="Q205" s="15">
        <f ca="1">IF(C205=1,OFFSET(控制台!$H$599,MATCH(F205,控制台!$B$599:$B$615,0)-1,0),OFFSET(控制台!$H$618,MATCH(F205,控制台!$B$618:$B$636,0)-1,0))</f>
        <v>59309.1072</v>
      </c>
      <c r="R205" s="15">
        <f ca="1">IF(E205=1,Q205/G205,IF(E205=5,Q205/G205*OFFSET(控制台!$D$641,MATCH(B205,控制台!$B$641:$B$645,0)-1,0),Q205/G205*OFFSET(控制台!$H$641,MATCH(B205,控制台!$F$641:$F$650,0)-1,0)))</f>
        <v>4707.072</v>
      </c>
      <c r="S205" s="16">
        <f ca="1">_xlfn.FLOOR.MATH(R205)*60</f>
        <v>282420</v>
      </c>
      <c r="T205" s="16">
        <f ca="1">8000+IF(C205=1,OFFSET(控制台!$K$599,MATCH(F205,控制台!$B$599:$B$615,0)-1,0),OFFSET(控制台!$K$618,MATCH(F205,控制台!$B$618:$B$636,0)-1,0))</f>
        <v>8017</v>
      </c>
      <c r="U205" s="1">
        <f ca="1">IF(C205=1,OFFSET(控制台!$F$599,MATCH(F205,控制台!$B$599:$B$615,0)-1,0),OFFSET(控制台!$F$618,MATCH(F205,控制台!$B$618:$B$636,0)-1,0))</f>
        <v>52254.72</v>
      </c>
      <c r="V205" s="1">
        <f ca="1">IF(E205=1,U205/G205,IF(E205=5,U205/G205*OFFSET(控制台!$D$641,MATCH(B205,控制台!$B$641:$B$645,0)-1,0),U205/G205*OFFSET(控制台!$H$641,MATCH(B205,控制台!$F$641:$F$650,0)-1,0)))</f>
        <v>4147.2</v>
      </c>
      <c r="W205" s="20">
        <f ca="1" t="shared" si="10"/>
        <v>2.88</v>
      </c>
      <c r="X205" s="15">
        <f ca="1">IF(C205=1,OFFSET(控制台!$U$599,MATCH(F205,控制台!$B$599:$B$615,0)-1,0),OFFSET(控制台!$U$618,MATCH(F205,控制台!$B$618:$B$636,0)-1,0))</f>
        <v>151830</v>
      </c>
      <c r="Y205" s="16">
        <f ca="1">_xlfn.FLOOR.MATH(IF(E205=1,X205/G205,IF(E205=5,X205/G205*OFFSET(控制台!$D$641,MATCH(B205,控制台!$B$641:$B$645,0)-1,0),X205/G205*OFFSET(控制台!$H$641,MATCH(B205,控制台!$F$641:$F$650,0)-1,0))))</f>
        <v>12050</v>
      </c>
      <c r="Z205" s="16">
        <f ca="1" t="shared" si="11"/>
        <v>26510</v>
      </c>
    </row>
    <row r="206" spans="1:26">
      <c r="A206" s="1">
        <v>20701</v>
      </c>
      <c r="B206" s="1">
        <v>5</v>
      </c>
      <c r="C206" s="1">
        <v>2</v>
      </c>
      <c r="D206" s="1" t="s">
        <v>2817</v>
      </c>
      <c r="E206" s="1">
        <f ca="1">IF(C206=1,OFFSET(控制台!$F$552,MATCH(A206,控制台!$B$552:$B$580,0)-1,0),OFFSET(控制台!$L$552,MATCH(A206,控制台!$H$552:$H$594,0)-1,0))</f>
        <v>5</v>
      </c>
      <c r="F206" s="1">
        <f ca="1">IF(C206=1,OFFSET(控制台!$D$552,MATCH(A206,控制台!$B$552:$B$580,0)-1,0),OFFSET(控制台!$J$552,MATCH(A206,控制台!$H$552:$H$594,0)-1,0))</f>
        <v>7</v>
      </c>
      <c r="G206" s="1">
        <f ca="1">IF(C206=1,OFFSET(控制台!$I$599,MATCH(F206,控制台!$B$599:$B$615,0)-1,0),OFFSET(控制台!$I$618,MATCH(F206,控制台!$B$618:$B$636,0)-1,0))</f>
        <v>3</v>
      </c>
      <c r="H206" s="1">
        <f ca="1">IF(C206=1,OFFSET(控制台!$D$599,MATCH(F206,控制台!$B$599:$B$615,0)-1,0),OFFSET(控制台!$D$618,MATCH(F206,控制台!$B$618:$B$636,0)-1,0))</f>
        <v>48384000</v>
      </c>
      <c r="I206" s="1">
        <f ca="1">IF(E206=1,H206/G206,IF(E206=5,H206/G206*OFFSET(控制台!$D$641,MATCH(B206,控制台!$B$641:$B$645,0)-1,0),H206/G206*OFFSET(控制台!$H$641,MATCH(B206,控制台!$F$641:$F$650,0)-1,0)))</f>
        <v>7680000</v>
      </c>
      <c r="J206" s="1">
        <f ca="1">$I206/3*控制台!H$102</f>
        <v>2560000</v>
      </c>
      <c r="K206" s="1">
        <f ca="1">$I206/3*控制台!I$102</f>
        <v>1920000</v>
      </c>
      <c r="L206" s="1">
        <f ca="1">$I206/3*控制台!J$102</f>
        <v>3200000</v>
      </c>
      <c r="M206" s="1">
        <f ca="1">_xlfn.FLOOR.MATH(J206,POWER(10,MAX(2,INT(LOG10(J206)-2))))</f>
        <v>2560000</v>
      </c>
      <c r="N206" s="1">
        <f ca="1">_xlfn.FLOOR.MATH(K206,POWER(10,MAX(2,INT(LOG10(K206)-2))))</f>
        <v>1920000</v>
      </c>
      <c r="O206" s="1">
        <f ca="1">_xlfn.FLOOR.MATH(L206,POWER(10,MAX(2,INT(LOG10(L206)-2))))</f>
        <v>3200000</v>
      </c>
      <c r="P206" s="4" t="str">
        <f ca="1" t="shared" si="9"/>
        <v>2560000;1920000;3200000</v>
      </c>
      <c r="Q206" s="15">
        <f ca="1">IF(C206=1,OFFSET(控制台!$H$599,MATCH(F206,控制台!$B$599:$B$615,0)-1,0),OFFSET(控制台!$H$618,MATCH(F206,控制台!$B$618:$B$636,0)-1,0))</f>
        <v>59309.1072</v>
      </c>
      <c r="R206" s="15">
        <f ca="1">IF(E206=1,Q206/G206,IF(E206=5,Q206/G206*OFFSET(控制台!$D$641,MATCH(B206,控制台!$B$641:$B$645,0)-1,0),Q206/G206*OFFSET(控制台!$H$641,MATCH(B206,控制台!$F$641:$F$650,0)-1,0)))</f>
        <v>9414.14399999999</v>
      </c>
      <c r="S206" s="16">
        <f ca="1">_xlfn.FLOOR.MATH(R206)*60</f>
        <v>564840</v>
      </c>
      <c r="T206" s="16">
        <f ca="1">8000+IF(C206=1,OFFSET(控制台!$K$599,MATCH(F206,控制台!$B$599:$B$615,0)-1,0),OFFSET(控制台!$K$618,MATCH(F206,控制台!$B$618:$B$636,0)-1,0))</f>
        <v>8017</v>
      </c>
      <c r="U206" s="1">
        <f ca="1">IF(C206=1,OFFSET(控制台!$F$599,MATCH(F206,控制台!$B$599:$B$615,0)-1,0),OFFSET(控制台!$F$618,MATCH(F206,控制台!$B$618:$B$636,0)-1,0))</f>
        <v>52254.72</v>
      </c>
      <c r="V206" s="1">
        <f ca="1">IF(E206=1,U206/G206,IF(E206=5,U206/G206*OFFSET(控制台!$D$641,MATCH(B206,控制台!$B$641:$B$645,0)-1,0),U206/G206*OFFSET(控制台!$H$641,MATCH(B206,控制台!$F$641:$F$650,0)-1,0)))</f>
        <v>8294.39999999999</v>
      </c>
      <c r="W206" s="20">
        <f ca="1" t="shared" si="10"/>
        <v>5.76</v>
      </c>
      <c r="X206" s="15">
        <f ca="1">IF(C206=1,OFFSET(控制台!$U$599,MATCH(F206,控制台!$B$599:$B$615,0)-1,0),OFFSET(控制台!$U$618,MATCH(F206,控制台!$B$618:$B$636,0)-1,0))</f>
        <v>151830</v>
      </c>
      <c r="Y206" s="16">
        <f ca="1">_xlfn.FLOOR.MATH(IF(E206=1,X206/G206,IF(E206=5,X206/G206*OFFSET(控制台!$D$641,MATCH(B206,控制台!$B$641:$B$645,0)-1,0),X206/G206*OFFSET(控制台!$H$641,MATCH(B206,控制台!$F$641:$F$650,0)-1,0))))</f>
        <v>24100</v>
      </c>
      <c r="Z206" s="16">
        <f ca="1" t="shared" si="11"/>
        <v>50610</v>
      </c>
    </row>
    <row r="207" spans="1:26">
      <c r="A207" s="1">
        <v>20702</v>
      </c>
      <c r="B207" s="1">
        <v>1</v>
      </c>
      <c r="C207" s="1">
        <v>2</v>
      </c>
      <c r="D207" s="1" t="s">
        <v>2818</v>
      </c>
      <c r="E207" s="1">
        <f ca="1">IF(C207=1,OFFSET(控制台!$F$552,MATCH(A207,控制台!$B$552:$B$580,0)-1,0),OFFSET(控制台!$L$552,MATCH(A207,控制台!$H$552:$H$594,0)-1,0))</f>
        <v>5</v>
      </c>
      <c r="F207" s="1">
        <f ca="1">IF(C207=1,OFFSET(控制台!$D$552,MATCH(A207,控制台!$B$552:$B$580,0)-1,0),OFFSET(控制台!$J$552,MATCH(A207,控制台!$H$552:$H$594,0)-1,0))</f>
        <v>7</v>
      </c>
      <c r="G207" s="1">
        <f ca="1">IF(C207=1,OFFSET(控制台!$I$599,MATCH(F207,控制台!$B$599:$B$615,0)-1,0),OFFSET(控制台!$I$618,MATCH(F207,控制台!$B$618:$B$636,0)-1,0))</f>
        <v>3</v>
      </c>
      <c r="H207" s="1">
        <f ca="1">IF(C207=1,OFFSET(控制台!$D$599,MATCH(F207,控制台!$B$599:$B$615,0)-1,0),OFFSET(控制台!$D$618,MATCH(F207,控制台!$B$618:$B$636,0)-1,0))</f>
        <v>48384000</v>
      </c>
      <c r="I207" s="1">
        <f ca="1">IF(E207=1,H207/G207,IF(E207=5,H207/G207*OFFSET(控制台!$D$641,MATCH(B207,控制台!$B$641:$B$645,0)-1,0),H207/G207*OFFSET(控制台!$H$641,MATCH(B207,控制台!$F$641:$F$650,0)-1,0)))</f>
        <v>768000</v>
      </c>
      <c r="J207" s="1">
        <f ca="1">$I207/3*控制台!H$102</f>
        <v>256000</v>
      </c>
      <c r="K207" s="1">
        <f ca="1">$I207/3*控制台!I$102</f>
        <v>192000</v>
      </c>
      <c r="L207" s="1">
        <f ca="1">$I207/3*控制台!J$102</f>
        <v>320000</v>
      </c>
      <c r="M207" s="1">
        <f ca="1">_xlfn.FLOOR.MATH(J207,POWER(10,MAX(2,INT(LOG10(J207)-2))))</f>
        <v>256000</v>
      </c>
      <c r="N207" s="1">
        <f ca="1">_xlfn.FLOOR.MATH(K207,POWER(10,MAX(2,INT(LOG10(K207)-2))))</f>
        <v>192000</v>
      </c>
      <c r="O207" s="1">
        <f ca="1">_xlfn.FLOOR.MATH(L207,POWER(10,MAX(2,INT(LOG10(L207)-2))))</f>
        <v>320000</v>
      </c>
      <c r="P207" s="4" t="str">
        <f ca="1" t="shared" si="9"/>
        <v>256000;192000;320000</v>
      </c>
      <c r="Q207" s="15">
        <f ca="1">IF(C207=1,OFFSET(控制台!$H$599,MATCH(F207,控制台!$B$599:$B$615,0)-1,0),OFFSET(控制台!$H$618,MATCH(F207,控制台!$B$618:$B$636,0)-1,0))</f>
        <v>59309.1072</v>
      </c>
      <c r="R207" s="15">
        <f ca="1">IF(E207=1,Q207/G207,IF(E207=5,Q207/G207*OFFSET(控制台!$D$641,MATCH(B207,控制台!$B$641:$B$645,0)-1,0),Q207/G207*OFFSET(控制台!$H$641,MATCH(B207,控制台!$F$641:$F$650,0)-1,0)))</f>
        <v>941.414399999999</v>
      </c>
      <c r="S207" s="16">
        <f ca="1">_xlfn.FLOOR.MATH(R207)*60</f>
        <v>56460</v>
      </c>
      <c r="T207" s="16">
        <f ca="1">8000+IF(C207=1,OFFSET(控制台!$K$599,MATCH(F207,控制台!$B$599:$B$615,0)-1,0),OFFSET(控制台!$K$618,MATCH(F207,控制台!$B$618:$B$636,0)-1,0))</f>
        <v>8017</v>
      </c>
      <c r="U207" s="1">
        <f ca="1">IF(C207=1,OFFSET(控制台!$F$599,MATCH(F207,控制台!$B$599:$B$615,0)-1,0),OFFSET(控制台!$F$618,MATCH(F207,控制台!$B$618:$B$636,0)-1,0))</f>
        <v>52254.72</v>
      </c>
      <c r="V207" s="1">
        <f ca="1">IF(E207=1,U207/G207,IF(E207=5,U207/G207*OFFSET(控制台!$D$641,MATCH(B207,控制台!$B$641:$B$645,0)-1,0),U207/G207*OFFSET(控制台!$H$641,MATCH(B207,控制台!$F$641:$F$650,0)-1,0)))</f>
        <v>829.439999999999</v>
      </c>
      <c r="W207" s="20">
        <f ca="1" t="shared" si="10"/>
        <v>0.576</v>
      </c>
      <c r="X207" s="15">
        <f ca="1">IF(C207=1,OFFSET(控制台!$U$599,MATCH(F207,控制台!$B$599:$B$615,0)-1,0),OFFSET(控制台!$U$618,MATCH(F207,控制台!$B$618:$B$636,0)-1,0))</f>
        <v>151830</v>
      </c>
      <c r="Y207" s="16">
        <f ca="1">_xlfn.FLOOR.MATH(IF(E207=1,X207/G207,IF(E207=5,X207/G207*OFFSET(控制台!$D$641,MATCH(B207,控制台!$B$641:$B$645,0)-1,0),X207/G207*OFFSET(控制台!$H$641,MATCH(B207,控制台!$F$641:$F$650,0)-1,0))))</f>
        <v>2410</v>
      </c>
      <c r="Z207" s="16">
        <f ca="1" t="shared" si="11"/>
        <v>2410</v>
      </c>
    </row>
    <row r="208" spans="1:26">
      <c r="A208" s="1">
        <v>20702</v>
      </c>
      <c r="B208" s="1">
        <v>2</v>
      </c>
      <c r="C208" s="1">
        <v>2</v>
      </c>
      <c r="D208" s="1" t="s">
        <v>2818</v>
      </c>
      <c r="E208" s="1">
        <f ca="1">IF(C208=1,OFFSET(控制台!$F$552,MATCH(A208,控制台!$B$552:$B$580,0)-1,0),OFFSET(控制台!$L$552,MATCH(A208,控制台!$H$552:$H$594,0)-1,0))</f>
        <v>5</v>
      </c>
      <c r="F208" s="1">
        <f ca="1">IF(C208=1,OFFSET(控制台!$D$552,MATCH(A208,控制台!$B$552:$B$580,0)-1,0),OFFSET(控制台!$J$552,MATCH(A208,控制台!$H$552:$H$594,0)-1,0))</f>
        <v>7</v>
      </c>
      <c r="G208" s="1">
        <f ca="1">IF(C208=1,OFFSET(控制台!$I$599,MATCH(F208,控制台!$B$599:$B$615,0)-1,0),OFFSET(控制台!$I$618,MATCH(F208,控制台!$B$618:$B$636,0)-1,0))</f>
        <v>3</v>
      </c>
      <c r="H208" s="1">
        <f ca="1">IF(C208=1,OFFSET(控制台!$D$599,MATCH(F208,控制台!$B$599:$B$615,0)-1,0),OFFSET(控制台!$D$618,MATCH(F208,控制台!$B$618:$B$636,0)-1,0))</f>
        <v>48384000</v>
      </c>
      <c r="I208" s="1">
        <f ca="1">IF(E208=1,H208/G208,IF(E208=5,H208/G208*OFFSET(控制台!$D$641,MATCH(B208,控制台!$B$641:$B$645,0)-1,0),H208/G208*OFFSET(控制台!$H$641,MATCH(B208,控制台!$F$641:$F$650,0)-1,0)))</f>
        <v>1536000</v>
      </c>
      <c r="J208" s="1">
        <f ca="1">$I208/3*控制台!H$102</f>
        <v>512000</v>
      </c>
      <c r="K208" s="1">
        <f ca="1">$I208/3*控制台!I$102</f>
        <v>384000</v>
      </c>
      <c r="L208" s="1">
        <f ca="1">$I208/3*控制台!J$102</f>
        <v>640000</v>
      </c>
      <c r="M208" s="1">
        <f ca="1">_xlfn.FLOOR.MATH(J208,POWER(10,MAX(2,INT(LOG10(J208)-2))))</f>
        <v>512000</v>
      </c>
      <c r="N208" s="1">
        <f ca="1">_xlfn.FLOOR.MATH(K208,POWER(10,MAX(2,INT(LOG10(K208)-2))))</f>
        <v>384000</v>
      </c>
      <c r="O208" s="1">
        <f ca="1">_xlfn.FLOOR.MATH(L208,POWER(10,MAX(2,INT(LOG10(L208)-2))))</f>
        <v>640000</v>
      </c>
      <c r="P208" s="4" t="str">
        <f ca="1" t="shared" si="9"/>
        <v>512000;384000;640000</v>
      </c>
      <c r="Q208" s="15">
        <f ca="1">IF(C208=1,OFFSET(控制台!$H$599,MATCH(F208,控制台!$B$599:$B$615,0)-1,0),OFFSET(控制台!$H$618,MATCH(F208,控制台!$B$618:$B$636,0)-1,0))</f>
        <v>59309.1072</v>
      </c>
      <c r="R208" s="15">
        <f ca="1">IF(E208=1,Q208/G208,IF(E208=5,Q208/G208*OFFSET(控制台!$D$641,MATCH(B208,控制台!$B$641:$B$645,0)-1,0),Q208/G208*OFFSET(控制台!$H$641,MATCH(B208,控制台!$F$641:$F$650,0)-1,0)))</f>
        <v>1882.8288</v>
      </c>
      <c r="S208" s="16">
        <f ca="1">_xlfn.FLOOR.MATH(R208)*60</f>
        <v>112920</v>
      </c>
      <c r="T208" s="16">
        <f ca="1">8000+IF(C208=1,OFFSET(控制台!$K$599,MATCH(F208,控制台!$B$599:$B$615,0)-1,0),OFFSET(控制台!$K$618,MATCH(F208,控制台!$B$618:$B$636,0)-1,0))</f>
        <v>8017</v>
      </c>
      <c r="U208" s="1">
        <f ca="1">IF(C208=1,OFFSET(控制台!$F$599,MATCH(F208,控制台!$B$599:$B$615,0)-1,0),OFFSET(控制台!$F$618,MATCH(F208,控制台!$B$618:$B$636,0)-1,0))</f>
        <v>52254.72</v>
      </c>
      <c r="V208" s="1">
        <f ca="1">IF(E208=1,U208/G208,IF(E208=5,U208/G208*OFFSET(控制台!$D$641,MATCH(B208,控制台!$B$641:$B$645,0)-1,0),U208/G208*OFFSET(控制台!$H$641,MATCH(B208,控制台!$F$641:$F$650,0)-1,0)))</f>
        <v>1658.88</v>
      </c>
      <c r="W208" s="20">
        <f ca="1" t="shared" si="10"/>
        <v>1.152</v>
      </c>
      <c r="X208" s="15">
        <f ca="1">IF(C208=1,OFFSET(控制台!$U$599,MATCH(F208,控制台!$B$599:$B$615,0)-1,0),OFFSET(控制台!$U$618,MATCH(F208,控制台!$B$618:$B$636,0)-1,0))</f>
        <v>151830</v>
      </c>
      <c r="Y208" s="16">
        <f ca="1">_xlfn.FLOOR.MATH(IF(E208=1,X208/G208,IF(E208=5,X208/G208*OFFSET(控制台!$D$641,MATCH(B208,控制台!$B$641:$B$645,0)-1,0),X208/G208*OFFSET(控制台!$H$641,MATCH(B208,控制台!$F$641:$F$650,0)-1,0))))</f>
        <v>4820</v>
      </c>
      <c r="Z208" s="16">
        <f ca="1" t="shared" si="11"/>
        <v>7230</v>
      </c>
    </row>
    <row r="209" spans="1:26">
      <c r="A209" s="1">
        <v>20702</v>
      </c>
      <c r="B209" s="1">
        <v>3</v>
      </c>
      <c r="C209" s="1">
        <v>2</v>
      </c>
      <c r="D209" s="1" t="s">
        <v>2818</v>
      </c>
      <c r="E209" s="1">
        <f ca="1">IF(C209=1,OFFSET(控制台!$F$552,MATCH(A209,控制台!$B$552:$B$580,0)-1,0),OFFSET(控制台!$L$552,MATCH(A209,控制台!$H$552:$H$594,0)-1,0))</f>
        <v>5</v>
      </c>
      <c r="F209" s="1">
        <f ca="1">IF(C209=1,OFFSET(控制台!$D$552,MATCH(A209,控制台!$B$552:$B$580,0)-1,0),OFFSET(控制台!$J$552,MATCH(A209,控制台!$H$552:$H$594,0)-1,0))</f>
        <v>7</v>
      </c>
      <c r="G209" s="1">
        <f ca="1">IF(C209=1,OFFSET(控制台!$I$599,MATCH(F209,控制台!$B$599:$B$615,0)-1,0),OFFSET(控制台!$I$618,MATCH(F209,控制台!$B$618:$B$636,0)-1,0))</f>
        <v>3</v>
      </c>
      <c r="H209" s="1">
        <f ca="1">IF(C209=1,OFFSET(控制台!$D$599,MATCH(F209,控制台!$B$599:$B$615,0)-1,0),OFFSET(控制台!$D$618,MATCH(F209,控制台!$B$618:$B$636,0)-1,0))</f>
        <v>48384000</v>
      </c>
      <c r="I209" s="1">
        <f ca="1">IF(E209=1,H209/G209,IF(E209=5,H209/G209*OFFSET(控制台!$D$641,MATCH(B209,控制台!$B$641:$B$645,0)-1,0),H209/G209*OFFSET(控制台!$H$641,MATCH(B209,控制台!$F$641:$F$650,0)-1,0)))</f>
        <v>2304000</v>
      </c>
      <c r="J209" s="1">
        <f ca="1">$I209/3*控制台!H$102</f>
        <v>768000.000000001</v>
      </c>
      <c r="K209" s="1">
        <f ca="1">$I209/3*控制台!I$102</f>
        <v>576000.000000001</v>
      </c>
      <c r="L209" s="1">
        <f ca="1">$I209/3*控制台!J$102</f>
        <v>960000.000000001</v>
      </c>
      <c r="M209" s="1">
        <f ca="1">_xlfn.FLOOR.MATH(J209,POWER(10,MAX(2,INT(LOG10(J209)-2))))</f>
        <v>768000</v>
      </c>
      <c r="N209" s="1">
        <f ca="1">_xlfn.FLOOR.MATH(K209,POWER(10,MAX(2,INT(LOG10(K209)-2))))</f>
        <v>576000</v>
      </c>
      <c r="O209" s="1">
        <f ca="1">_xlfn.FLOOR.MATH(L209,POWER(10,MAX(2,INT(LOG10(L209)-2))))</f>
        <v>960000</v>
      </c>
      <c r="P209" s="4" t="str">
        <f ca="1" t="shared" si="9"/>
        <v>768000;576000;960000</v>
      </c>
      <c r="Q209" s="15">
        <f ca="1">IF(C209=1,OFFSET(控制台!$H$599,MATCH(F209,控制台!$B$599:$B$615,0)-1,0),OFFSET(控制台!$H$618,MATCH(F209,控制台!$B$618:$B$636,0)-1,0))</f>
        <v>59309.1072</v>
      </c>
      <c r="R209" s="15">
        <f ca="1">IF(E209=1,Q209/G209,IF(E209=5,Q209/G209*OFFSET(控制台!$D$641,MATCH(B209,控制台!$B$641:$B$645,0)-1,0),Q209/G209*OFFSET(控制台!$H$641,MATCH(B209,控制台!$F$641:$F$650,0)-1,0)))</f>
        <v>2824.2432</v>
      </c>
      <c r="S209" s="16">
        <f ca="1">_xlfn.FLOOR.MATH(R209)*60</f>
        <v>169440</v>
      </c>
      <c r="T209" s="16">
        <f ca="1">8000+IF(C209=1,OFFSET(控制台!$K$599,MATCH(F209,控制台!$B$599:$B$615,0)-1,0),OFFSET(控制台!$K$618,MATCH(F209,控制台!$B$618:$B$636,0)-1,0))</f>
        <v>8017</v>
      </c>
      <c r="U209" s="1">
        <f ca="1">IF(C209=1,OFFSET(控制台!$F$599,MATCH(F209,控制台!$B$599:$B$615,0)-1,0),OFFSET(控制台!$F$618,MATCH(F209,控制台!$B$618:$B$636,0)-1,0))</f>
        <v>52254.72</v>
      </c>
      <c r="V209" s="1">
        <f ca="1">IF(E209=1,U209/G209,IF(E209=5,U209/G209*OFFSET(控制台!$D$641,MATCH(B209,控制台!$B$641:$B$645,0)-1,0),U209/G209*OFFSET(控制台!$H$641,MATCH(B209,控制台!$F$641:$F$650,0)-1,0)))</f>
        <v>2488.32</v>
      </c>
      <c r="W209" s="20">
        <f ca="1" t="shared" si="10"/>
        <v>1.728</v>
      </c>
      <c r="X209" s="15">
        <f ca="1">IF(C209=1,OFFSET(控制台!$U$599,MATCH(F209,控制台!$B$599:$B$615,0)-1,0),OFFSET(控制台!$U$618,MATCH(F209,控制台!$B$618:$B$636,0)-1,0))</f>
        <v>151830</v>
      </c>
      <c r="Y209" s="16">
        <f ca="1">_xlfn.FLOOR.MATH(IF(E209=1,X209/G209,IF(E209=5,X209/G209*OFFSET(控制台!$D$641,MATCH(B209,控制台!$B$641:$B$645,0)-1,0),X209/G209*OFFSET(控制台!$H$641,MATCH(B209,控制台!$F$641:$F$650,0)-1,0))))</f>
        <v>7230</v>
      </c>
      <c r="Z209" s="16">
        <f ca="1" t="shared" si="11"/>
        <v>14460</v>
      </c>
    </row>
    <row r="210" spans="1:26">
      <c r="A210" s="1">
        <v>20702</v>
      </c>
      <c r="B210" s="1">
        <v>4</v>
      </c>
      <c r="C210" s="1">
        <v>2</v>
      </c>
      <c r="D210" s="1" t="s">
        <v>2818</v>
      </c>
      <c r="E210" s="1">
        <f ca="1">IF(C210=1,OFFSET(控制台!$F$552,MATCH(A210,控制台!$B$552:$B$580,0)-1,0),OFFSET(控制台!$L$552,MATCH(A210,控制台!$H$552:$H$594,0)-1,0))</f>
        <v>5</v>
      </c>
      <c r="F210" s="1">
        <f ca="1">IF(C210=1,OFFSET(控制台!$D$552,MATCH(A210,控制台!$B$552:$B$580,0)-1,0),OFFSET(控制台!$J$552,MATCH(A210,控制台!$H$552:$H$594,0)-1,0))</f>
        <v>7</v>
      </c>
      <c r="G210" s="1">
        <f ca="1">IF(C210=1,OFFSET(控制台!$I$599,MATCH(F210,控制台!$B$599:$B$615,0)-1,0),OFFSET(控制台!$I$618,MATCH(F210,控制台!$B$618:$B$636,0)-1,0))</f>
        <v>3</v>
      </c>
      <c r="H210" s="1">
        <f ca="1">IF(C210=1,OFFSET(控制台!$D$599,MATCH(F210,控制台!$B$599:$B$615,0)-1,0),OFFSET(控制台!$D$618,MATCH(F210,控制台!$B$618:$B$636,0)-1,0))</f>
        <v>48384000</v>
      </c>
      <c r="I210" s="1">
        <f ca="1">IF(E210=1,H210/G210,IF(E210=5,H210/G210*OFFSET(控制台!$D$641,MATCH(B210,控制台!$B$641:$B$645,0)-1,0),H210/G210*OFFSET(控制台!$H$641,MATCH(B210,控制台!$F$641:$F$650,0)-1,0)))</f>
        <v>3840000</v>
      </c>
      <c r="J210" s="1">
        <f ca="1">$I210/3*控制台!H$102</f>
        <v>1280000</v>
      </c>
      <c r="K210" s="1">
        <f ca="1">$I210/3*控制台!I$102</f>
        <v>960000</v>
      </c>
      <c r="L210" s="1">
        <f ca="1">$I210/3*控制台!J$102</f>
        <v>1600000</v>
      </c>
      <c r="M210" s="1">
        <f ca="1">_xlfn.FLOOR.MATH(J210,POWER(10,MAX(2,INT(LOG10(J210)-2))))</f>
        <v>1280000</v>
      </c>
      <c r="N210" s="1">
        <f ca="1">_xlfn.FLOOR.MATH(K210,POWER(10,MAX(2,INT(LOG10(K210)-2))))</f>
        <v>960000</v>
      </c>
      <c r="O210" s="1">
        <f ca="1">_xlfn.FLOOR.MATH(L210,POWER(10,MAX(2,INT(LOG10(L210)-2))))</f>
        <v>1600000</v>
      </c>
      <c r="P210" s="4" t="str">
        <f ca="1" t="shared" si="9"/>
        <v>1280000;960000;1600000</v>
      </c>
      <c r="Q210" s="15">
        <f ca="1">IF(C210=1,OFFSET(控制台!$H$599,MATCH(F210,控制台!$B$599:$B$615,0)-1,0),OFFSET(控制台!$H$618,MATCH(F210,控制台!$B$618:$B$636,0)-1,0))</f>
        <v>59309.1072</v>
      </c>
      <c r="R210" s="15">
        <f ca="1">IF(E210=1,Q210/G210,IF(E210=5,Q210/G210*OFFSET(控制台!$D$641,MATCH(B210,控制台!$B$641:$B$645,0)-1,0),Q210/G210*OFFSET(控制台!$H$641,MATCH(B210,控制台!$F$641:$F$650,0)-1,0)))</f>
        <v>4707.072</v>
      </c>
      <c r="S210" s="16">
        <f ca="1">_xlfn.FLOOR.MATH(R210)*60</f>
        <v>282420</v>
      </c>
      <c r="T210" s="16">
        <f ca="1">8000+IF(C210=1,OFFSET(控制台!$K$599,MATCH(F210,控制台!$B$599:$B$615,0)-1,0),OFFSET(控制台!$K$618,MATCH(F210,控制台!$B$618:$B$636,0)-1,0))</f>
        <v>8017</v>
      </c>
      <c r="U210" s="1">
        <f ca="1">IF(C210=1,OFFSET(控制台!$F$599,MATCH(F210,控制台!$B$599:$B$615,0)-1,0),OFFSET(控制台!$F$618,MATCH(F210,控制台!$B$618:$B$636,0)-1,0))</f>
        <v>52254.72</v>
      </c>
      <c r="V210" s="1">
        <f ca="1">IF(E210=1,U210/G210,IF(E210=5,U210/G210*OFFSET(控制台!$D$641,MATCH(B210,控制台!$B$641:$B$645,0)-1,0),U210/G210*OFFSET(控制台!$H$641,MATCH(B210,控制台!$F$641:$F$650,0)-1,0)))</f>
        <v>4147.2</v>
      </c>
      <c r="W210" s="20">
        <f ca="1" t="shared" si="10"/>
        <v>2.88</v>
      </c>
      <c r="X210" s="15">
        <f ca="1">IF(C210=1,OFFSET(控制台!$U$599,MATCH(F210,控制台!$B$599:$B$615,0)-1,0),OFFSET(控制台!$U$618,MATCH(F210,控制台!$B$618:$B$636,0)-1,0))</f>
        <v>151830</v>
      </c>
      <c r="Y210" s="16">
        <f ca="1">_xlfn.FLOOR.MATH(IF(E210=1,X210/G210,IF(E210=5,X210/G210*OFFSET(控制台!$D$641,MATCH(B210,控制台!$B$641:$B$645,0)-1,0),X210/G210*OFFSET(控制台!$H$641,MATCH(B210,控制台!$F$641:$F$650,0)-1,0))))</f>
        <v>12050</v>
      </c>
      <c r="Z210" s="16">
        <f ca="1" t="shared" si="11"/>
        <v>26510</v>
      </c>
    </row>
    <row r="211" spans="1:26">
      <c r="A211" s="1">
        <v>20702</v>
      </c>
      <c r="B211" s="1">
        <v>5</v>
      </c>
      <c r="C211" s="1">
        <v>2</v>
      </c>
      <c r="D211" s="1" t="s">
        <v>2818</v>
      </c>
      <c r="E211" s="1">
        <f ca="1">IF(C211=1,OFFSET(控制台!$F$552,MATCH(A211,控制台!$B$552:$B$580,0)-1,0),OFFSET(控制台!$L$552,MATCH(A211,控制台!$H$552:$H$594,0)-1,0))</f>
        <v>5</v>
      </c>
      <c r="F211" s="1">
        <f ca="1">IF(C211=1,OFFSET(控制台!$D$552,MATCH(A211,控制台!$B$552:$B$580,0)-1,0),OFFSET(控制台!$J$552,MATCH(A211,控制台!$H$552:$H$594,0)-1,0))</f>
        <v>7</v>
      </c>
      <c r="G211" s="1">
        <f ca="1">IF(C211=1,OFFSET(控制台!$I$599,MATCH(F211,控制台!$B$599:$B$615,0)-1,0),OFFSET(控制台!$I$618,MATCH(F211,控制台!$B$618:$B$636,0)-1,0))</f>
        <v>3</v>
      </c>
      <c r="H211" s="1">
        <f ca="1">IF(C211=1,OFFSET(控制台!$D$599,MATCH(F211,控制台!$B$599:$B$615,0)-1,0),OFFSET(控制台!$D$618,MATCH(F211,控制台!$B$618:$B$636,0)-1,0))</f>
        <v>48384000</v>
      </c>
      <c r="I211" s="1">
        <f ca="1">IF(E211=1,H211/G211,IF(E211=5,H211/G211*OFFSET(控制台!$D$641,MATCH(B211,控制台!$B$641:$B$645,0)-1,0),H211/G211*OFFSET(控制台!$H$641,MATCH(B211,控制台!$F$641:$F$650,0)-1,0)))</f>
        <v>7680000</v>
      </c>
      <c r="J211" s="1">
        <f ca="1">$I211/3*控制台!H$102</f>
        <v>2560000</v>
      </c>
      <c r="K211" s="1">
        <f ca="1">$I211/3*控制台!I$102</f>
        <v>1920000</v>
      </c>
      <c r="L211" s="1">
        <f ca="1">$I211/3*控制台!J$102</f>
        <v>3200000</v>
      </c>
      <c r="M211" s="1">
        <f ca="1">_xlfn.FLOOR.MATH(J211,POWER(10,MAX(2,INT(LOG10(J211)-2))))</f>
        <v>2560000</v>
      </c>
      <c r="N211" s="1">
        <f ca="1">_xlfn.FLOOR.MATH(K211,POWER(10,MAX(2,INT(LOG10(K211)-2))))</f>
        <v>1920000</v>
      </c>
      <c r="O211" s="1">
        <f ca="1">_xlfn.FLOOR.MATH(L211,POWER(10,MAX(2,INT(LOG10(L211)-2))))</f>
        <v>3200000</v>
      </c>
      <c r="P211" s="4" t="str">
        <f ca="1" t="shared" si="9"/>
        <v>2560000;1920000;3200000</v>
      </c>
      <c r="Q211" s="15">
        <f ca="1">IF(C211=1,OFFSET(控制台!$H$599,MATCH(F211,控制台!$B$599:$B$615,0)-1,0),OFFSET(控制台!$H$618,MATCH(F211,控制台!$B$618:$B$636,0)-1,0))</f>
        <v>59309.1072</v>
      </c>
      <c r="R211" s="15">
        <f ca="1">IF(E211=1,Q211/G211,IF(E211=5,Q211/G211*OFFSET(控制台!$D$641,MATCH(B211,控制台!$B$641:$B$645,0)-1,0),Q211/G211*OFFSET(控制台!$H$641,MATCH(B211,控制台!$F$641:$F$650,0)-1,0)))</f>
        <v>9414.14399999999</v>
      </c>
      <c r="S211" s="16">
        <f ca="1">_xlfn.FLOOR.MATH(R211)*60</f>
        <v>564840</v>
      </c>
      <c r="T211" s="16">
        <f ca="1">8000+IF(C211=1,OFFSET(控制台!$K$599,MATCH(F211,控制台!$B$599:$B$615,0)-1,0),OFFSET(控制台!$K$618,MATCH(F211,控制台!$B$618:$B$636,0)-1,0))</f>
        <v>8017</v>
      </c>
      <c r="U211" s="1">
        <f ca="1">IF(C211=1,OFFSET(控制台!$F$599,MATCH(F211,控制台!$B$599:$B$615,0)-1,0),OFFSET(控制台!$F$618,MATCH(F211,控制台!$B$618:$B$636,0)-1,0))</f>
        <v>52254.72</v>
      </c>
      <c r="V211" s="1">
        <f ca="1">IF(E211=1,U211/G211,IF(E211=5,U211/G211*OFFSET(控制台!$D$641,MATCH(B211,控制台!$B$641:$B$645,0)-1,0),U211/G211*OFFSET(控制台!$H$641,MATCH(B211,控制台!$F$641:$F$650,0)-1,0)))</f>
        <v>8294.39999999999</v>
      </c>
      <c r="W211" s="20">
        <f ca="1" t="shared" si="10"/>
        <v>5.76</v>
      </c>
      <c r="X211" s="15">
        <f ca="1">IF(C211=1,OFFSET(控制台!$U$599,MATCH(F211,控制台!$B$599:$B$615,0)-1,0),OFFSET(控制台!$U$618,MATCH(F211,控制台!$B$618:$B$636,0)-1,0))</f>
        <v>151830</v>
      </c>
      <c r="Y211" s="16">
        <f ca="1">_xlfn.FLOOR.MATH(IF(E211=1,X211/G211,IF(E211=5,X211/G211*OFFSET(控制台!$D$641,MATCH(B211,控制台!$B$641:$B$645,0)-1,0),X211/G211*OFFSET(控制台!$H$641,MATCH(B211,控制台!$F$641:$F$650,0)-1,0))))</f>
        <v>24100</v>
      </c>
      <c r="Z211" s="16">
        <f ca="1" t="shared" si="11"/>
        <v>50610</v>
      </c>
    </row>
    <row r="212" spans="1:26">
      <c r="A212" s="1">
        <v>20703</v>
      </c>
      <c r="B212" s="1">
        <v>1</v>
      </c>
      <c r="C212" s="1">
        <v>2</v>
      </c>
      <c r="D212" s="1" t="s">
        <v>2819</v>
      </c>
      <c r="E212" s="1">
        <f ca="1">IF(C212=1,OFFSET(控制台!$F$552,MATCH(A212,控制台!$B$552:$B$580,0)-1,0),OFFSET(控制台!$L$552,MATCH(A212,控制台!$H$552:$H$594,0)-1,0))</f>
        <v>5</v>
      </c>
      <c r="F212" s="1">
        <f ca="1">IF(C212=1,OFFSET(控制台!$D$552,MATCH(A212,控制台!$B$552:$B$580,0)-1,0),OFFSET(控制台!$J$552,MATCH(A212,控制台!$H$552:$H$594,0)-1,0))</f>
        <v>7</v>
      </c>
      <c r="G212" s="1">
        <f ca="1">IF(C212=1,OFFSET(控制台!$I$599,MATCH(F212,控制台!$B$599:$B$615,0)-1,0),OFFSET(控制台!$I$618,MATCH(F212,控制台!$B$618:$B$636,0)-1,0))</f>
        <v>3</v>
      </c>
      <c r="H212" s="1">
        <f ca="1">IF(C212=1,OFFSET(控制台!$D$599,MATCH(F212,控制台!$B$599:$B$615,0)-1,0),OFFSET(控制台!$D$618,MATCH(F212,控制台!$B$618:$B$636,0)-1,0))</f>
        <v>48384000</v>
      </c>
      <c r="I212" s="1">
        <f ca="1">IF(E212=1,H212/G212,IF(E212=5,H212/G212*OFFSET(控制台!$D$641,MATCH(B212,控制台!$B$641:$B$645,0)-1,0),H212/G212*OFFSET(控制台!$H$641,MATCH(B212,控制台!$F$641:$F$650,0)-1,0)))</f>
        <v>768000</v>
      </c>
      <c r="J212" s="1">
        <f ca="1">$I212/3*控制台!H$102</f>
        <v>256000</v>
      </c>
      <c r="K212" s="1">
        <f ca="1">$I212/3*控制台!I$102</f>
        <v>192000</v>
      </c>
      <c r="L212" s="1">
        <f ca="1">$I212/3*控制台!J$102</f>
        <v>320000</v>
      </c>
      <c r="M212" s="1">
        <f ca="1">_xlfn.FLOOR.MATH(J212,POWER(10,MAX(2,INT(LOG10(J212)-2))))</f>
        <v>256000</v>
      </c>
      <c r="N212" s="1">
        <f ca="1">_xlfn.FLOOR.MATH(K212,POWER(10,MAX(2,INT(LOG10(K212)-2))))</f>
        <v>192000</v>
      </c>
      <c r="O212" s="1">
        <f ca="1">_xlfn.FLOOR.MATH(L212,POWER(10,MAX(2,INT(LOG10(L212)-2))))</f>
        <v>320000</v>
      </c>
      <c r="P212" s="4" t="str">
        <f ca="1" t="shared" si="9"/>
        <v>256000;192000;320000</v>
      </c>
      <c r="Q212" s="15">
        <f ca="1">IF(C212=1,OFFSET(控制台!$H$599,MATCH(F212,控制台!$B$599:$B$615,0)-1,0),OFFSET(控制台!$H$618,MATCH(F212,控制台!$B$618:$B$636,0)-1,0))</f>
        <v>59309.1072</v>
      </c>
      <c r="R212" s="15">
        <f ca="1">IF(E212=1,Q212/G212,IF(E212=5,Q212/G212*OFFSET(控制台!$D$641,MATCH(B212,控制台!$B$641:$B$645,0)-1,0),Q212/G212*OFFSET(控制台!$H$641,MATCH(B212,控制台!$F$641:$F$650,0)-1,0)))</f>
        <v>941.414399999999</v>
      </c>
      <c r="S212" s="16">
        <f ca="1">_xlfn.FLOOR.MATH(R212)*60</f>
        <v>56460</v>
      </c>
      <c r="T212" s="16">
        <f ca="1">8000+IF(C212=1,OFFSET(控制台!$K$599,MATCH(F212,控制台!$B$599:$B$615,0)-1,0),OFFSET(控制台!$K$618,MATCH(F212,控制台!$B$618:$B$636,0)-1,0))</f>
        <v>8017</v>
      </c>
      <c r="U212" s="1">
        <f ca="1">IF(C212=1,OFFSET(控制台!$F$599,MATCH(F212,控制台!$B$599:$B$615,0)-1,0),OFFSET(控制台!$F$618,MATCH(F212,控制台!$B$618:$B$636,0)-1,0))</f>
        <v>52254.72</v>
      </c>
      <c r="V212" s="1">
        <f ca="1">IF(E212=1,U212/G212,IF(E212=5,U212/G212*OFFSET(控制台!$D$641,MATCH(B212,控制台!$B$641:$B$645,0)-1,0),U212/G212*OFFSET(控制台!$H$641,MATCH(B212,控制台!$F$641:$F$650,0)-1,0)))</f>
        <v>829.439999999999</v>
      </c>
      <c r="W212" s="20">
        <f ca="1" t="shared" si="10"/>
        <v>0.576</v>
      </c>
      <c r="X212" s="15">
        <f ca="1">IF(C212=1,OFFSET(控制台!$U$599,MATCH(F212,控制台!$B$599:$B$615,0)-1,0),OFFSET(控制台!$U$618,MATCH(F212,控制台!$B$618:$B$636,0)-1,0))</f>
        <v>151830</v>
      </c>
      <c r="Y212" s="16">
        <f ca="1">_xlfn.FLOOR.MATH(IF(E212=1,X212/G212,IF(E212=5,X212/G212*OFFSET(控制台!$D$641,MATCH(B212,控制台!$B$641:$B$645,0)-1,0),X212/G212*OFFSET(控制台!$H$641,MATCH(B212,控制台!$F$641:$F$650,0)-1,0))))</f>
        <v>2410</v>
      </c>
      <c r="Z212" s="16">
        <f ca="1" t="shared" si="11"/>
        <v>2410</v>
      </c>
    </row>
    <row r="213" spans="1:26">
      <c r="A213" s="1">
        <v>20703</v>
      </c>
      <c r="B213" s="1">
        <v>2</v>
      </c>
      <c r="C213" s="1">
        <v>2</v>
      </c>
      <c r="D213" s="1" t="s">
        <v>2819</v>
      </c>
      <c r="E213" s="1">
        <f ca="1">IF(C213=1,OFFSET(控制台!$F$552,MATCH(A213,控制台!$B$552:$B$580,0)-1,0),OFFSET(控制台!$L$552,MATCH(A213,控制台!$H$552:$H$594,0)-1,0))</f>
        <v>5</v>
      </c>
      <c r="F213" s="1">
        <f ca="1">IF(C213=1,OFFSET(控制台!$D$552,MATCH(A213,控制台!$B$552:$B$580,0)-1,0),OFFSET(控制台!$J$552,MATCH(A213,控制台!$H$552:$H$594,0)-1,0))</f>
        <v>7</v>
      </c>
      <c r="G213" s="1">
        <f ca="1">IF(C213=1,OFFSET(控制台!$I$599,MATCH(F213,控制台!$B$599:$B$615,0)-1,0),OFFSET(控制台!$I$618,MATCH(F213,控制台!$B$618:$B$636,0)-1,0))</f>
        <v>3</v>
      </c>
      <c r="H213" s="1">
        <f ca="1">IF(C213=1,OFFSET(控制台!$D$599,MATCH(F213,控制台!$B$599:$B$615,0)-1,0),OFFSET(控制台!$D$618,MATCH(F213,控制台!$B$618:$B$636,0)-1,0))</f>
        <v>48384000</v>
      </c>
      <c r="I213" s="1">
        <f ca="1">IF(E213=1,H213/G213,IF(E213=5,H213/G213*OFFSET(控制台!$D$641,MATCH(B213,控制台!$B$641:$B$645,0)-1,0),H213/G213*OFFSET(控制台!$H$641,MATCH(B213,控制台!$F$641:$F$650,0)-1,0)))</f>
        <v>1536000</v>
      </c>
      <c r="J213" s="1">
        <f ca="1">$I213/3*控制台!H$102</f>
        <v>512000</v>
      </c>
      <c r="K213" s="1">
        <f ca="1">$I213/3*控制台!I$102</f>
        <v>384000</v>
      </c>
      <c r="L213" s="1">
        <f ca="1">$I213/3*控制台!J$102</f>
        <v>640000</v>
      </c>
      <c r="M213" s="1">
        <f ca="1">_xlfn.FLOOR.MATH(J213,POWER(10,MAX(2,INT(LOG10(J213)-2))))</f>
        <v>512000</v>
      </c>
      <c r="N213" s="1">
        <f ca="1">_xlfn.FLOOR.MATH(K213,POWER(10,MAX(2,INT(LOG10(K213)-2))))</f>
        <v>384000</v>
      </c>
      <c r="O213" s="1">
        <f ca="1">_xlfn.FLOOR.MATH(L213,POWER(10,MAX(2,INT(LOG10(L213)-2))))</f>
        <v>640000</v>
      </c>
      <c r="P213" s="4" t="str">
        <f ca="1" t="shared" si="9"/>
        <v>512000;384000;640000</v>
      </c>
      <c r="Q213" s="15">
        <f ca="1">IF(C213=1,OFFSET(控制台!$H$599,MATCH(F213,控制台!$B$599:$B$615,0)-1,0),OFFSET(控制台!$H$618,MATCH(F213,控制台!$B$618:$B$636,0)-1,0))</f>
        <v>59309.1072</v>
      </c>
      <c r="R213" s="15">
        <f ca="1">IF(E213=1,Q213/G213,IF(E213=5,Q213/G213*OFFSET(控制台!$D$641,MATCH(B213,控制台!$B$641:$B$645,0)-1,0),Q213/G213*OFFSET(控制台!$H$641,MATCH(B213,控制台!$F$641:$F$650,0)-1,0)))</f>
        <v>1882.8288</v>
      </c>
      <c r="S213" s="16">
        <f ca="1">_xlfn.FLOOR.MATH(R213)*60</f>
        <v>112920</v>
      </c>
      <c r="T213" s="16">
        <f ca="1">8000+IF(C213=1,OFFSET(控制台!$K$599,MATCH(F213,控制台!$B$599:$B$615,0)-1,0),OFFSET(控制台!$K$618,MATCH(F213,控制台!$B$618:$B$636,0)-1,0))</f>
        <v>8017</v>
      </c>
      <c r="U213" s="1">
        <f ca="1">IF(C213=1,OFFSET(控制台!$F$599,MATCH(F213,控制台!$B$599:$B$615,0)-1,0),OFFSET(控制台!$F$618,MATCH(F213,控制台!$B$618:$B$636,0)-1,0))</f>
        <v>52254.72</v>
      </c>
      <c r="V213" s="1">
        <f ca="1">IF(E213=1,U213/G213,IF(E213=5,U213/G213*OFFSET(控制台!$D$641,MATCH(B213,控制台!$B$641:$B$645,0)-1,0),U213/G213*OFFSET(控制台!$H$641,MATCH(B213,控制台!$F$641:$F$650,0)-1,0)))</f>
        <v>1658.88</v>
      </c>
      <c r="W213" s="20">
        <f ca="1" t="shared" si="10"/>
        <v>1.152</v>
      </c>
      <c r="X213" s="15">
        <f ca="1">IF(C213=1,OFFSET(控制台!$U$599,MATCH(F213,控制台!$B$599:$B$615,0)-1,0),OFFSET(控制台!$U$618,MATCH(F213,控制台!$B$618:$B$636,0)-1,0))</f>
        <v>151830</v>
      </c>
      <c r="Y213" s="16">
        <f ca="1">_xlfn.FLOOR.MATH(IF(E213=1,X213/G213,IF(E213=5,X213/G213*OFFSET(控制台!$D$641,MATCH(B213,控制台!$B$641:$B$645,0)-1,0),X213/G213*OFFSET(控制台!$H$641,MATCH(B213,控制台!$F$641:$F$650,0)-1,0))))</f>
        <v>4820</v>
      </c>
      <c r="Z213" s="16">
        <f ca="1" t="shared" si="11"/>
        <v>7230</v>
      </c>
    </row>
    <row r="214" spans="1:26">
      <c r="A214" s="1">
        <v>20703</v>
      </c>
      <c r="B214" s="1">
        <v>3</v>
      </c>
      <c r="C214" s="1">
        <v>2</v>
      </c>
      <c r="D214" s="1" t="s">
        <v>2819</v>
      </c>
      <c r="E214" s="1">
        <f ca="1">IF(C214=1,OFFSET(控制台!$F$552,MATCH(A214,控制台!$B$552:$B$580,0)-1,0),OFFSET(控制台!$L$552,MATCH(A214,控制台!$H$552:$H$594,0)-1,0))</f>
        <v>5</v>
      </c>
      <c r="F214" s="1">
        <f ca="1">IF(C214=1,OFFSET(控制台!$D$552,MATCH(A214,控制台!$B$552:$B$580,0)-1,0),OFFSET(控制台!$J$552,MATCH(A214,控制台!$H$552:$H$594,0)-1,0))</f>
        <v>7</v>
      </c>
      <c r="G214" s="1">
        <f ca="1">IF(C214=1,OFFSET(控制台!$I$599,MATCH(F214,控制台!$B$599:$B$615,0)-1,0),OFFSET(控制台!$I$618,MATCH(F214,控制台!$B$618:$B$636,0)-1,0))</f>
        <v>3</v>
      </c>
      <c r="H214" s="1">
        <f ca="1">IF(C214=1,OFFSET(控制台!$D$599,MATCH(F214,控制台!$B$599:$B$615,0)-1,0),OFFSET(控制台!$D$618,MATCH(F214,控制台!$B$618:$B$636,0)-1,0))</f>
        <v>48384000</v>
      </c>
      <c r="I214" s="1">
        <f ca="1">IF(E214=1,H214/G214,IF(E214=5,H214/G214*OFFSET(控制台!$D$641,MATCH(B214,控制台!$B$641:$B$645,0)-1,0),H214/G214*OFFSET(控制台!$H$641,MATCH(B214,控制台!$F$641:$F$650,0)-1,0)))</f>
        <v>2304000</v>
      </c>
      <c r="J214" s="1">
        <f ca="1">$I214/3*控制台!H$102</f>
        <v>768000.000000001</v>
      </c>
      <c r="K214" s="1">
        <f ca="1">$I214/3*控制台!I$102</f>
        <v>576000.000000001</v>
      </c>
      <c r="L214" s="1">
        <f ca="1">$I214/3*控制台!J$102</f>
        <v>960000.000000001</v>
      </c>
      <c r="M214" s="1">
        <f ca="1">_xlfn.FLOOR.MATH(J214,POWER(10,MAX(2,INT(LOG10(J214)-2))))</f>
        <v>768000</v>
      </c>
      <c r="N214" s="1">
        <f ca="1">_xlfn.FLOOR.MATH(K214,POWER(10,MAX(2,INT(LOG10(K214)-2))))</f>
        <v>576000</v>
      </c>
      <c r="O214" s="1">
        <f ca="1">_xlfn.FLOOR.MATH(L214,POWER(10,MAX(2,INT(LOG10(L214)-2))))</f>
        <v>960000</v>
      </c>
      <c r="P214" s="4" t="str">
        <f ca="1" t="shared" si="9"/>
        <v>768000;576000;960000</v>
      </c>
      <c r="Q214" s="15">
        <f ca="1">IF(C214=1,OFFSET(控制台!$H$599,MATCH(F214,控制台!$B$599:$B$615,0)-1,0),OFFSET(控制台!$H$618,MATCH(F214,控制台!$B$618:$B$636,0)-1,0))</f>
        <v>59309.1072</v>
      </c>
      <c r="R214" s="15">
        <f ca="1">IF(E214=1,Q214/G214,IF(E214=5,Q214/G214*OFFSET(控制台!$D$641,MATCH(B214,控制台!$B$641:$B$645,0)-1,0),Q214/G214*OFFSET(控制台!$H$641,MATCH(B214,控制台!$F$641:$F$650,0)-1,0)))</f>
        <v>2824.2432</v>
      </c>
      <c r="S214" s="16">
        <f ca="1">_xlfn.FLOOR.MATH(R214)*60</f>
        <v>169440</v>
      </c>
      <c r="T214" s="16">
        <f ca="1">8000+IF(C214=1,OFFSET(控制台!$K$599,MATCH(F214,控制台!$B$599:$B$615,0)-1,0),OFFSET(控制台!$K$618,MATCH(F214,控制台!$B$618:$B$636,0)-1,0))</f>
        <v>8017</v>
      </c>
      <c r="U214" s="1">
        <f ca="1">IF(C214=1,OFFSET(控制台!$F$599,MATCH(F214,控制台!$B$599:$B$615,0)-1,0),OFFSET(控制台!$F$618,MATCH(F214,控制台!$B$618:$B$636,0)-1,0))</f>
        <v>52254.72</v>
      </c>
      <c r="V214" s="1">
        <f ca="1">IF(E214=1,U214/G214,IF(E214=5,U214/G214*OFFSET(控制台!$D$641,MATCH(B214,控制台!$B$641:$B$645,0)-1,0),U214/G214*OFFSET(控制台!$H$641,MATCH(B214,控制台!$F$641:$F$650,0)-1,0)))</f>
        <v>2488.32</v>
      </c>
      <c r="W214" s="20">
        <f ca="1" t="shared" si="10"/>
        <v>1.728</v>
      </c>
      <c r="X214" s="15">
        <f ca="1">IF(C214=1,OFFSET(控制台!$U$599,MATCH(F214,控制台!$B$599:$B$615,0)-1,0),OFFSET(控制台!$U$618,MATCH(F214,控制台!$B$618:$B$636,0)-1,0))</f>
        <v>151830</v>
      </c>
      <c r="Y214" s="16">
        <f ca="1">_xlfn.FLOOR.MATH(IF(E214=1,X214/G214,IF(E214=5,X214/G214*OFFSET(控制台!$D$641,MATCH(B214,控制台!$B$641:$B$645,0)-1,0),X214/G214*OFFSET(控制台!$H$641,MATCH(B214,控制台!$F$641:$F$650,0)-1,0))))</f>
        <v>7230</v>
      </c>
      <c r="Z214" s="16">
        <f ca="1" t="shared" si="11"/>
        <v>14460</v>
      </c>
    </row>
    <row r="215" spans="1:26">
      <c r="A215" s="1">
        <v>20703</v>
      </c>
      <c r="B215" s="1">
        <v>4</v>
      </c>
      <c r="C215" s="1">
        <v>2</v>
      </c>
      <c r="D215" s="1" t="s">
        <v>2819</v>
      </c>
      <c r="E215" s="1">
        <f ca="1">IF(C215=1,OFFSET(控制台!$F$552,MATCH(A215,控制台!$B$552:$B$580,0)-1,0),OFFSET(控制台!$L$552,MATCH(A215,控制台!$H$552:$H$594,0)-1,0))</f>
        <v>5</v>
      </c>
      <c r="F215" s="1">
        <f ca="1">IF(C215=1,OFFSET(控制台!$D$552,MATCH(A215,控制台!$B$552:$B$580,0)-1,0),OFFSET(控制台!$J$552,MATCH(A215,控制台!$H$552:$H$594,0)-1,0))</f>
        <v>7</v>
      </c>
      <c r="G215" s="1">
        <f ca="1">IF(C215=1,OFFSET(控制台!$I$599,MATCH(F215,控制台!$B$599:$B$615,0)-1,0),OFFSET(控制台!$I$618,MATCH(F215,控制台!$B$618:$B$636,0)-1,0))</f>
        <v>3</v>
      </c>
      <c r="H215" s="1">
        <f ca="1">IF(C215=1,OFFSET(控制台!$D$599,MATCH(F215,控制台!$B$599:$B$615,0)-1,0),OFFSET(控制台!$D$618,MATCH(F215,控制台!$B$618:$B$636,0)-1,0))</f>
        <v>48384000</v>
      </c>
      <c r="I215" s="1">
        <f ca="1">IF(E215=1,H215/G215,IF(E215=5,H215/G215*OFFSET(控制台!$D$641,MATCH(B215,控制台!$B$641:$B$645,0)-1,0),H215/G215*OFFSET(控制台!$H$641,MATCH(B215,控制台!$F$641:$F$650,0)-1,0)))</f>
        <v>3840000</v>
      </c>
      <c r="J215" s="1">
        <f ca="1">$I215/3*控制台!H$102</f>
        <v>1280000</v>
      </c>
      <c r="K215" s="1">
        <f ca="1">$I215/3*控制台!I$102</f>
        <v>960000</v>
      </c>
      <c r="L215" s="1">
        <f ca="1">$I215/3*控制台!J$102</f>
        <v>1600000</v>
      </c>
      <c r="M215" s="1">
        <f ca="1">_xlfn.FLOOR.MATH(J215,POWER(10,MAX(2,INT(LOG10(J215)-2))))</f>
        <v>1280000</v>
      </c>
      <c r="N215" s="1">
        <f ca="1">_xlfn.FLOOR.MATH(K215,POWER(10,MAX(2,INT(LOG10(K215)-2))))</f>
        <v>960000</v>
      </c>
      <c r="O215" s="1">
        <f ca="1">_xlfn.FLOOR.MATH(L215,POWER(10,MAX(2,INT(LOG10(L215)-2))))</f>
        <v>1600000</v>
      </c>
      <c r="P215" s="4" t="str">
        <f ca="1" t="shared" si="9"/>
        <v>1280000;960000;1600000</v>
      </c>
      <c r="Q215" s="15">
        <f ca="1">IF(C215=1,OFFSET(控制台!$H$599,MATCH(F215,控制台!$B$599:$B$615,0)-1,0),OFFSET(控制台!$H$618,MATCH(F215,控制台!$B$618:$B$636,0)-1,0))</f>
        <v>59309.1072</v>
      </c>
      <c r="R215" s="15">
        <f ca="1">IF(E215=1,Q215/G215,IF(E215=5,Q215/G215*OFFSET(控制台!$D$641,MATCH(B215,控制台!$B$641:$B$645,0)-1,0),Q215/G215*OFFSET(控制台!$H$641,MATCH(B215,控制台!$F$641:$F$650,0)-1,0)))</f>
        <v>4707.072</v>
      </c>
      <c r="S215" s="16">
        <f ca="1">_xlfn.FLOOR.MATH(R215)*60</f>
        <v>282420</v>
      </c>
      <c r="T215" s="16">
        <f ca="1">8000+IF(C215=1,OFFSET(控制台!$K$599,MATCH(F215,控制台!$B$599:$B$615,0)-1,0),OFFSET(控制台!$K$618,MATCH(F215,控制台!$B$618:$B$636,0)-1,0))</f>
        <v>8017</v>
      </c>
      <c r="U215" s="1">
        <f ca="1">IF(C215=1,OFFSET(控制台!$F$599,MATCH(F215,控制台!$B$599:$B$615,0)-1,0),OFFSET(控制台!$F$618,MATCH(F215,控制台!$B$618:$B$636,0)-1,0))</f>
        <v>52254.72</v>
      </c>
      <c r="V215" s="1">
        <f ca="1">IF(E215=1,U215/G215,IF(E215=5,U215/G215*OFFSET(控制台!$D$641,MATCH(B215,控制台!$B$641:$B$645,0)-1,0),U215/G215*OFFSET(控制台!$H$641,MATCH(B215,控制台!$F$641:$F$650,0)-1,0)))</f>
        <v>4147.2</v>
      </c>
      <c r="W215" s="20">
        <f ca="1" t="shared" si="10"/>
        <v>2.88</v>
      </c>
      <c r="X215" s="15">
        <f ca="1">IF(C215=1,OFFSET(控制台!$U$599,MATCH(F215,控制台!$B$599:$B$615,0)-1,0),OFFSET(控制台!$U$618,MATCH(F215,控制台!$B$618:$B$636,0)-1,0))</f>
        <v>151830</v>
      </c>
      <c r="Y215" s="16">
        <f ca="1">_xlfn.FLOOR.MATH(IF(E215=1,X215/G215,IF(E215=5,X215/G215*OFFSET(控制台!$D$641,MATCH(B215,控制台!$B$641:$B$645,0)-1,0),X215/G215*OFFSET(控制台!$H$641,MATCH(B215,控制台!$F$641:$F$650,0)-1,0))))</f>
        <v>12050</v>
      </c>
      <c r="Z215" s="16">
        <f ca="1" t="shared" si="11"/>
        <v>26510</v>
      </c>
    </row>
    <row r="216" spans="1:26">
      <c r="A216" s="1">
        <v>20703</v>
      </c>
      <c r="B216" s="1">
        <v>5</v>
      </c>
      <c r="C216" s="1">
        <v>2</v>
      </c>
      <c r="D216" s="1" t="s">
        <v>2819</v>
      </c>
      <c r="E216" s="1">
        <f ca="1">IF(C216=1,OFFSET(控制台!$F$552,MATCH(A216,控制台!$B$552:$B$580,0)-1,0),OFFSET(控制台!$L$552,MATCH(A216,控制台!$H$552:$H$594,0)-1,0))</f>
        <v>5</v>
      </c>
      <c r="F216" s="1">
        <f ca="1">IF(C216=1,OFFSET(控制台!$D$552,MATCH(A216,控制台!$B$552:$B$580,0)-1,0),OFFSET(控制台!$J$552,MATCH(A216,控制台!$H$552:$H$594,0)-1,0))</f>
        <v>7</v>
      </c>
      <c r="G216" s="1">
        <f ca="1">IF(C216=1,OFFSET(控制台!$I$599,MATCH(F216,控制台!$B$599:$B$615,0)-1,0),OFFSET(控制台!$I$618,MATCH(F216,控制台!$B$618:$B$636,0)-1,0))</f>
        <v>3</v>
      </c>
      <c r="H216" s="1">
        <f ca="1">IF(C216=1,OFFSET(控制台!$D$599,MATCH(F216,控制台!$B$599:$B$615,0)-1,0),OFFSET(控制台!$D$618,MATCH(F216,控制台!$B$618:$B$636,0)-1,0))</f>
        <v>48384000</v>
      </c>
      <c r="I216" s="1">
        <f ca="1">IF(E216=1,H216/G216,IF(E216=5,H216/G216*OFFSET(控制台!$D$641,MATCH(B216,控制台!$B$641:$B$645,0)-1,0),H216/G216*OFFSET(控制台!$H$641,MATCH(B216,控制台!$F$641:$F$650,0)-1,0)))</f>
        <v>7680000</v>
      </c>
      <c r="J216" s="1">
        <f ca="1">$I216/3*控制台!H$102</f>
        <v>2560000</v>
      </c>
      <c r="K216" s="1">
        <f ca="1">$I216/3*控制台!I$102</f>
        <v>1920000</v>
      </c>
      <c r="L216" s="1">
        <f ca="1">$I216/3*控制台!J$102</f>
        <v>3200000</v>
      </c>
      <c r="M216" s="1">
        <f ca="1">_xlfn.FLOOR.MATH(J216,POWER(10,MAX(2,INT(LOG10(J216)-2))))</f>
        <v>2560000</v>
      </c>
      <c r="N216" s="1">
        <f ca="1">_xlfn.FLOOR.MATH(K216,POWER(10,MAX(2,INT(LOG10(K216)-2))))</f>
        <v>1920000</v>
      </c>
      <c r="O216" s="1">
        <f ca="1">_xlfn.FLOOR.MATH(L216,POWER(10,MAX(2,INT(LOG10(L216)-2))))</f>
        <v>3200000</v>
      </c>
      <c r="P216" s="4" t="str">
        <f ca="1" t="shared" si="9"/>
        <v>2560000;1920000;3200000</v>
      </c>
      <c r="Q216" s="15">
        <f ca="1">IF(C216=1,OFFSET(控制台!$H$599,MATCH(F216,控制台!$B$599:$B$615,0)-1,0),OFFSET(控制台!$H$618,MATCH(F216,控制台!$B$618:$B$636,0)-1,0))</f>
        <v>59309.1072</v>
      </c>
      <c r="R216" s="15">
        <f ca="1">IF(E216=1,Q216/G216,IF(E216=5,Q216/G216*OFFSET(控制台!$D$641,MATCH(B216,控制台!$B$641:$B$645,0)-1,0),Q216/G216*OFFSET(控制台!$H$641,MATCH(B216,控制台!$F$641:$F$650,0)-1,0)))</f>
        <v>9414.14399999999</v>
      </c>
      <c r="S216" s="16">
        <f ca="1">_xlfn.FLOOR.MATH(R216)*60</f>
        <v>564840</v>
      </c>
      <c r="T216" s="16">
        <f ca="1">8000+IF(C216=1,OFFSET(控制台!$K$599,MATCH(F216,控制台!$B$599:$B$615,0)-1,0),OFFSET(控制台!$K$618,MATCH(F216,控制台!$B$618:$B$636,0)-1,0))</f>
        <v>8017</v>
      </c>
      <c r="U216" s="1">
        <f ca="1">IF(C216=1,OFFSET(控制台!$F$599,MATCH(F216,控制台!$B$599:$B$615,0)-1,0),OFFSET(控制台!$F$618,MATCH(F216,控制台!$B$618:$B$636,0)-1,0))</f>
        <v>52254.72</v>
      </c>
      <c r="V216" s="1">
        <f ca="1">IF(E216=1,U216/G216,IF(E216=5,U216/G216*OFFSET(控制台!$D$641,MATCH(B216,控制台!$B$641:$B$645,0)-1,0),U216/G216*OFFSET(控制台!$H$641,MATCH(B216,控制台!$F$641:$F$650,0)-1,0)))</f>
        <v>8294.39999999999</v>
      </c>
      <c r="W216" s="20">
        <f ca="1" t="shared" si="10"/>
        <v>5.76</v>
      </c>
      <c r="X216" s="15">
        <f ca="1">IF(C216=1,OFFSET(控制台!$U$599,MATCH(F216,控制台!$B$599:$B$615,0)-1,0),OFFSET(控制台!$U$618,MATCH(F216,控制台!$B$618:$B$636,0)-1,0))</f>
        <v>151830</v>
      </c>
      <c r="Y216" s="16">
        <f ca="1">_xlfn.FLOOR.MATH(IF(E216=1,X216/G216,IF(E216=5,X216/G216*OFFSET(控制台!$D$641,MATCH(B216,控制台!$B$641:$B$645,0)-1,0),X216/G216*OFFSET(控制台!$H$641,MATCH(B216,控制台!$F$641:$F$650,0)-1,0))))</f>
        <v>24100</v>
      </c>
      <c r="Z216" s="16">
        <f ca="1" t="shared" si="11"/>
        <v>50610</v>
      </c>
    </row>
    <row r="217" spans="1:26">
      <c r="A217" s="1">
        <v>20802</v>
      </c>
      <c r="B217" s="1">
        <v>1</v>
      </c>
      <c r="C217" s="1">
        <v>2</v>
      </c>
      <c r="D217" s="1" t="s">
        <v>2820</v>
      </c>
      <c r="E217" s="1">
        <f ca="1">IF(C217=1,OFFSET(控制台!$F$552,MATCH(A217,控制台!$B$552:$B$580,0)-1,0),OFFSET(控制台!$L$552,MATCH(A217,控制台!$H$552:$H$594,0)-1,0))</f>
        <v>10</v>
      </c>
      <c r="F217" s="1">
        <f ca="1">IF(C217=1,OFFSET(控制台!$D$552,MATCH(A217,控制台!$B$552:$B$580,0)-1,0),OFFSET(控制台!$J$552,MATCH(A217,控制台!$H$552:$H$594,0)-1,0))</f>
        <v>8</v>
      </c>
      <c r="G217" s="1">
        <f ca="1">IF(C217=1,OFFSET(控制台!$I$599,MATCH(F217,控制台!$B$599:$B$615,0)-1,0),OFFSET(控制台!$I$618,MATCH(F217,控制台!$B$618:$B$636,0)-1,0))</f>
        <v>1</v>
      </c>
      <c r="H217" s="1">
        <f ca="1">IF(C217=1,OFFSET(控制台!$D$599,MATCH(F217,控制台!$B$599:$B$615,0)-1,0),OFFSET(控制台!$D$618,MATCH(F217,控制台!$B$618:$B$636,0)-1,0))</f>
        <v>25200000</v>
      </c>
      <c r="I217" s="1">
        <f ca="1">IF(E217=1,H217/G217,IF(E217=5,H217/G217*OFFSET(控制台!$D$641,MATCH(B217,控制台!$B$641:$B$645,0)-1,0),H217/G217*OFFSET(控制台!$H$641,MATCH(B217,控制台!$F$641:$F$650,0)-1,0)))</f>
        <v>229090.909090909</v>
      </c>
      <c r="J217" s="1">
        <f ca="1">$I217/3*控制台!H$102</f>
        <v>76363.6363636364</v>
      </c>
      <c r="K217" s="1">
        <f ca="1">$I217/3*控制台!I$102</f>
        <v>57272.7272727273</v>
      </c>
      <c r="L217" s="1">
        <f ca="1">$I217/3*控制台!J$102</f>
        <v>95454.5454545455</v>
      </c>
      <c r="M217" s="1">
        <f ca="1">_xlfn.FLOOR.MATH(J217,POWER(10,MAX(2,INT(LOG10(J217)-2))))</f>
        <v>76300</v>
      </c>
      <c r="N217" s="1">
        <f ca="1">_xlfn.FLOOR.MATH(K217,POWER(10,MAX(2,INT(LOG10(K217)-2))))</f>
        <v>57200</v>
      </c>
      <c r="O217" s="1">
        <f ca="1">_xlfn.FLOOR.MATH(L217,POWER(10,MAX(2,INT(LOG10(L217)-2))))</f>
        <v>95400</v>
      </c>
      <c r="P217" s="4" t="str">
        <f ca="1" t="shared" si="9"/>
        <v>76300;57200;95400</v>
      </c>
      <c r="Q217" s="15">
        <f ca="1">IF(C217=1,OFFSET(控制台!$H$599,MATCH(F217,控制台!$B$599:$B$615,0)-1,0),OFFSET(控制台!$H$618,MATCH(F217,控制台!$B$618:$B$636,0)-1,0))</f>
        <v>26475.7248</v>
      </c>
      <c r="R217" s="15">
        <f ca="1">IF(E217=1,Q217/G217,IF(E217=5,Q217/G217*OFFSET(控制台!$D$641,MATCH(B217,控制台!$B$641:$B$645,0)-1,0),Q217/G217*OFFSET(控制台!$H$641,MATCH(B217,控制台!$F$641:$F$650,0)-1,0)))</f>
        <v>240.688407272727</v>
      </c>
      <c r="S217" s="16">
        <f ca="1">_xlfn.FLOOR.MATH(R217)*60</f>
        <v>14400</v>
      </c>
      <c r="T217" s="16">
        <f ca="1">8000+IF(C217=1,OFFSET(控制台!$K$599,MATCH(F217,控制台!$B$599:$B$615,0)-1,0),OFFSET(控制台!$K$618,MATCH(F217,控制台!$B$618:$B$636,0)-1,0))</f>
        <v>8018</v>
      </c>
      <c r="U217" s="1">
        <f ca="1">IF(C217=1,OFFSET(控制台!$F$599,MATCH(F217,控制台!$B$599:$B$615,0)-1,0),OFFSET(控制台!$F$618,MATCH(F217,控制台!$B$618:$B$636,0)-1,0))</f>
        <v>23224.32</v>
      </c>
      <c r="V217" s="1">
        <f ca="1">IF(E217=1,U217/G217,IF(E217=5,U217/G217*OFFSET(控制台!$D$641,MATCH(B217,控制台!$B$641:$B$645,0)-1,0),U217/G217*OFFSET(控制台!$H$641,MATCH(B217,控制台!$F$641:$F$650,0)-1,0)))</f>
        <v>211.130181818182</v>
      </c>
      <c r="W217" s="20">
        <f ca="1" t="shared" si="10"/>
        <v>0.146618181818182</v>
      </c>
      <c r="X217" s="15">
        <f ca="1">IF(C217=1,OFFSET(控制台!$U$599,MATCH(F217,控制台!$B$599:$B$615,0)-1,0),OFFSET(控制台!$U$618,MATCH(F217,控制台!$B$618:$B$636,0)-1,0))</f>
        <v>68250.0000000001</v>
      </c>
      <c r="Y217" s="16">
        <f ca="1">_xlfn.FLOOR.MATH(IF(E217=1,X217/G217,IF(E217=5,X217/G217*OFFSET(控制台!$D$641,MATCH(B217,控制台!$B$641:$B$645,0)-1,0),X217/G217*OFFSET(控制台!$H$641,MATCH(B217,控制台!$F$641:$F$650,0)-1,0))))</f>
        <v>620</v>
      </c>
      <c r="Z217" s="16">
        <f ca="1" t="shared" si="11"/>
        <v>620</v>
      </c>
    </row>
    <row r="218" spans="1:26">
      <c r="A218" s="1">
        <v>20802</v>
      </c>
      <c r="B218" s="1">
        <v>2</v>
      </c>
      <c r="C218" s="1">
        <v>2</v>
      </c>
      <c r="D218" s="1" t="s">
        <v>2820</v>
      </c>
      <c r="E218" s="1">
        <f ca="1">IF(C218=1,OFFSET(控制台!$F$552,MATCH(A218,控制台!$B$552:$B$580,0)-1,0),OFFSET(控制台!$L$552,MATCH(A218,控制台!$H$552:$H$594,0)-1,0))</f>
        <v>10</v>
      </c>
      <c r="F218" s="1">
        <f ca="1">IF(C218=1,OFFSET(控制台!$D$552,MATCH(A218,控制台!$B$552:$B$580,0)-1,0),OFFSET(控制台!$J$552,MATCH(A218,控制台!$H$552:$H$594,0)-1,0))</f>
        <v>8</v>
      </c>
      <c r="G218" s="1">
        <f ca="1">IF(C218=1,OFFSET(控制台!$I$599,MATCH(F218,控制台!$B$599:$B$615,0)-1,0),OFFSET(控制台!$I$618,MATCH(F218,控制台!$B$618:$B$636,0)-1,0))</f>
        <v>1</v>
      </c>
      <c r="H218" s="1">
        <f ca="1">IF(C218=1,OFFSET(控制台!$D$599,MATCH(F218,控制台!$B$599:$B$615,0)-1,0),OFFSET(控制台!$D$618,MATCH(F218,控制台!$B$618:$B$636,0)-1,0))</f>
        <v>25200000</v>
      </c>
      <c r="I218" s="1">
        <f ca="1">IF(E218=1,H218/G218,IF(E218=5,H218/G218*OFFSET(控制台!$D$641,MATCH(B218,控制台!$B$641:$B$645,0)-1,0),H218/G218*OFFSET(控制台!$H$641,MATCH(B218,控制台!$F$641:$F$650,0)-1,0)))</f>
        <v>343636.363636363</v>
      </c>
      <c r="J218" s="1">
        <f ca="1">$I218/3*控制台!H$102</f>
        <v>114545.454545454</v>
      </c>
      <c r="K218" s="1">
        <f ca="1">$I218/3*控制台!I$102</f>
        <v>85909.0909090907</v>
      </c>
      <c r="L218" s="1">
        <f ca="1">$I218/3*控制台!J$102</f>
        <v>143181.818181818</v>
      </c>
      <c r="M218" s="1">
        <f ca="1">_xlfn.FLOOR.MATH(J218,POWER(10,MAX(2,INT(LOG10(J218)-2))))</f>
        <v>114000</v>
      </c>
      <c r="N218" s="1">
        <f ca="1">_xlfn.FLOOR.MATH(K218,POWER(10,MAX(2,INT(LOG10(K218)-2))))</f>
        <v>85900</v>
      </c>
      <c r="O218" s="1">
        <f ca="1">_xlfn.FLOOR.MATH(L218,POWER(10,MAX(2,INT(LOG10(L218)-2))))</f>
        <v>143000</v>
      </c>
      <c r="P218" s="4" t="str">
        <f ca="1" t="shared" si="9"/>
        <v>114000;85900;143000</v>
      </c>
      <c r="Q218" s="15">
        <f ca="1">IF(C218=1,OFFSET(控制台!$H$599,MATCH(F218,控制台!$B$599:$B$615,0)-1,0),OFFSET(控制台!$H$618,MATCH(F218,控制台!$B$618:$B$636,0)-1,0))</f>
        <v>26475.7248</v>
      </c>
      <c r="R218" s="15">
        <f ca="1">IF(E218=1,Q218/G218,IF(E218=5,Q218/G218*OFFSET(控制台!$D$641,MATCH(B218,控制台!$B$641:$B$645,0)-1,0),Q218/G218*OFFSET(控制台!$H$641,MATCH(B218,控制台!$F$641:$F$650,0)-1,0)))</f>
        <v>361.03261090909</v>
      </c>
      <c r="S218" s="16">
        <f ca="1">_xlfn.FLOOR.MATH(R218)*60</f>
        <v>21660</v>
      </c>
      <c r="T218" s="16">
        <f ca="1">8000+IF(C218=1,OFFSET(控制台!$K$599,MATCH(F218,控制台!$B$599:$B$615,0)-1,0),OFFSET(控制台!$K$618,MATCH(F218,控制台!$B$618:$B$636,0)-1,0))</f>
        <v>8018</v>
      </c>
      <c r="U218" s="1">
        <f ca="1">IF(C218=1,OFFSET(控制台!$F$599,MATCH(F218,控制台!$B$599:$B$615,0)-1,0),OFFSET(控制台!$F$618,MATCH(F218,控制台!$B$618:$B$636,0)-1,0))</f>
        <v>23224.32</v>
      </c>
      <c r="V218" s="1">
        <f ca="1">IF(E218=1,U218/G218,IF(E218=5,U218/G218*OFFSET(控制台!$D$641,MATCH(B218,控制台!$B$641:$B$645,0)-1,0),U218/G218*OFFSET(控制台!$H$641,MATCH(B218,控制台!$F$641:$F$650,0)-1,0)))</f>
        <v>316.695272727272</v>
      </c>
      <c r="W218" s="20">
        <f ca="1" t="shared" si="10"/>
        <v>0.219927272727272</v>
      </c>
      <c r="X218" s="15">
        <f ca="1">IF(C218=1,OFFSET(控制台!$U$599,MATCH(F218,控制台!$B$599:$B$615,0)-1,0),OFFSET(控制台!$U$618,MATCH(F218,控制台!$B$618:$B$636,0)-1,0))</f>
        <v>68250.0000000001</v>
      </c>
      <c r="Y218" s="16">
        <f ca="1">_xlfn.FLOOR.MATH(IF(E218=1,X218/G218,IF(E218=5,X218/G218*OFFSET(控制台!$D$641,MATCH(B218,控制台!$B$641:$B$645,0)-1,0),X218/G218*OFFSET(控制台!$H$641,MATCH(B218,控制台!$F$641:$F$650,0)-1,0))))</f>
        <v>930</v>
      </c>
      <c r="Z218" s="16">
        <f ca="1" t="shared" si="11"/>
        <v>1550</v>
      </c>
    </row>
    <row r="219" spans="1:26">
      <c r="A219" s="1">
        <v>20802</v>
      </c>
      <c r="B219" s="1">
        <v>3</v>
      </c>
      <c r="C219" s="1">
        <v>2</v>
      </c>
      <c r="D219" s="1" t="s">
        <v>2820</v>
      </c>
      <c r="E219" s="1">
        <f ca="1">IF(C219=1,OFFSET(控制台!$F$552,MATCH(A219,控制台!$B$552:$B$580,0)-1,0),OFFSET(控制台!$L$552,MATCH(A219,控制台!$H$552:$H$594,0)-1,0))</f>
        <v>10</v>
      </c>
      <c r="F219" s="1">
        <f ca="1">IF(C219=1,OFFSET(控制台!$D$552,MATCH(A219,控制台!$B$552:$B$580,0)-1,0),OFFSET(控制台!$J$552,MATCH(A219,控制台!$H$552:$H$594,0)-1,0))</f>
        <v>8</v>
      </c>
      <c r="G219" s="1">
        <f ca="1">IF(C219=1,OFFSET(控制台!$I$599,MATCH(F219,控制台!$B$599:$B$615,0)-1,0),OFFSET(控制台!$I$618,MATCH(F219,控制台!$B$618:$B$636,0)-1,0))</f>
        <v>1</v>
      </c>
      <c r="H219" s="1">
        <f ca="1">IF(C219=1,OFFSET(控制台!$D$599,MATCH(F219,控制台!$B$599:$B$615,0)-1,0),OFFSET(控制台!$D$618,MATCH(F219,控制台!$B$618:$B$636,0)-1,0))</f>
        <v>25200000</v>
      </c>
      <c r="I219" s="1">
        <f ca="1">IF(E219=1,H219/G219,IF(E219=5,H219/G219*OFFSET(控制台!$D$641,MATCH(B219,控制台!$B$641:$B$645,0)-1,0),H219/G219*OFFSET(控制台!$H$641,MATCH(B219,控制台!$F$641:$F$650,0)-1,0)))</f>
        <v>458181.818181819</v>
      </c>
      <c r="J219" s="1">
        <f ca="1">$I219/3*控制台!H$102</f>
        <v>152727.272727273</v>
      </c>
      <c r="K219" s="1">
        <f ca="1">$I219/3*控制台!I$102</f>
        <v>114545.454545455</v>
      </c>
      <c r="L219" s="1">
        <f ca="1">$I219/3*控制台!J$102</f>
        <v>190909.090909091</v>
      </c>
      <c r="M219" s="1">
        <f ca="1">_xlfn.FLOOR.MATH(J219,POWER(10,MAX(2,INT(LOG10(J219)-2))))</f>
        <v>152000</v>
      </c>
      <c r="N219" s="1">
        <f ca="1">_xlfn.FLOOR.MATH(K219,POWER(10,MAX(2,INT(LOG10(K219)-2))))</f>
        <v>114000</v>
      </c>
      <c r="O219" s="1">
        <f ca="1">_xlfn.FLOOR.MATH(L219,POWER(10,MAX(2,INT(LOG10(L219)-2))))</f>
        <v>190000</v>
      </c>
      <c r="P219" s="4" t="str">
        <f ca="1" t="shared" si="9"/>
        <v>152000;114000;190000</v>
      </c>
      <c r="Q219" s="15">
        <f ca="1">IF(C219=1,OFFSET(控制台!$H$599,MATCH(F219,控制台!$B$599:$B$615,0)-1,0),OFFSET(控制台!$H$618,MATCH(F219,控制台!$B$618:$B$636,0)-1,0))</f>
        <v>26475.7248</v>
      </c>
      <c r="R219" s="15">
        <f ca="1">IF(E219=1,Q219/G219,IF(E219=5,Q219/G219*OFFSET(控制台!$D$641,MATCH(B219,控制台!$B$641:$B$645,0)-1,0),Q219/G219*OFFSET(控制台!$H$641,MATCH(B219,控制台!$F$641:$F$650,0)-1,0)))</f>
        <v>481.376814545455</v>
      </c>
      <c r="S219" s="16">
        <f ca="1">_xlfn.FLOOR.MATH(R219)*60</f>
        <v>28860</v>
      </c>
      <c r="T219" s="16">
        <f ca="1">8000+IF(C219=1,OFFSET(控制台!$K$599,MATCH(F219,控制台!$B$599:$B$615,0)-1,0),OFFSET(控制台!$K$618,MATCH(F219,控制台!$B$618:$B$636,0)-1,0))</f>
        <v>8018</v>
      </c>
      <c r="U219" s="1">
        <f ca="1">IF(C219=1,OFFSET(控制台!$F$599,MATCH(F219,控制台!$B$599:$B$615,0)-1,0),OFFSET(控制台!$F$618,MATCH(F219,控制台!$B$618:$B$636,0)-1,0))</f>
        <v>23224.32</v>
      </c>
      <c r="V219" s="1">
        <f ca="1">IF(E219=1,U219/G219,IF(E219=5,U219/G219*OFFSET(控制台!$D$641,MATCH(B219,控制台!$B$641:$B$645,0)-1,0),U219/G219*OFFSET(控制台!$H$641,MATCH(B219,控制台!$F$641:$F$650,0)-1,0)))</f>
        <v>422.260363636364</v>
      </c>
      <c r="W219" s="20">
        <f ca="1" t="shared" si="10"/>
        <v>0.293236363636364</v>
      </c>
      <c r="X219" s="15">
        <f ca="1">IF(C219=1,OFFSET(控制台!$U$599,MATCH(F219,控制台!$B$599:$B$615,0)-1,0),OFFSET(控制台!$U$618,MATCH(F219,控制台!$B$618:$B$636,0)-1,0))</f>
        <v>68250.0000000001</v>
      </c>
      <c r="Y219" s="16">
        <f ca="1">_xlfn.FLOOR.MATH(IF(E219=1,X219/G219,IF(E219=5,X219/G219*OFFSET(控制台!$D$641,MATCH(B219,控制台!$B$641:$B$645,0)-1,0),X219/G219*OFFSET(控制台!$H$641,MATCH(B219,控制台!$F$641:$F$650,0)-1,0))))</f>
        <v>1240</v>
      </c>
      <c r="Z219" s="16">
        <f ca="1" t="shared" si="11"/>
        <v>2790</v>
      </c>
    </row>
    <row r="220" spans="1:26">
      <c r="A220" s="1">
        <v>20802</v>
      </c>
      <c r="B220" s="1">
        <v>4</v>
      </c>
      <c r="C220" s="1">
        <v>2</v>
      </c>
      <c r="D220" s="1" t="s">
        <v>2820</v>
      </c>
      <c r="E220" s="1">
        <f ca="1">IF(C220=1,OFFSET(控制台!$F$552,MATCH(A220,控制台!$B$552:$B$580,0)-1,0),OFFSET(控制台!$L$552,MATCH(A220,控制台!$H$552:$H$594,0)-1,0))</f>
        <v>10</v>
      </c>
      <c r="F220" s="1">
        <f ca="1">IF(C220=1,OFFSET(控制台!$D$552,MATCH(A220,控制台!$B$552:$B$580,0)-1,0),OFFSET(控制台!$J$552,MATCH(A220,控制台!$H$552:$H$594,0)-1,0))</f>
        <v>8</v>
      </c>
      <c r="G220" s="1">
        <f ca="1">IF(C220=1,OFFSET(控制台!$I$599,MATCH(F220,控制台!$B$599:$B$615,0)-1,0),OFFSET(控制台!$I$618,MATCH(F220,控制台!$B$618:$B$636,0)-1,0))</f>
        <v>1</v>
      </c>
      <c r="H220" s="1">
        <f ca="1">IF(C220=1,OFFSET(控制台!$D$599,MATCH(F220,控制台!$B$599:$B$615,0)-1,0),OFFSET(控制台!$D$618,MATCH(F220,控制台!$B$618:$B$636,0)-1,0))</f>
        <v>25200000</v>
      </c>
      <c r="I220" s="1">
        <f ca="1">IF(E220=1,H220/G220,IF(E220=5,H220/G220*OFFSET(控制台!$D$641,MATCH(B220,控制台!$B$641:$B$645,0)-1,0),H220/G220*OFFSET(控制台!$H$641,MATCH(B220,控制台!$F$641:$F$650,0)-1,0)))</f>
        <v>687272.727272728</v>
      </c>
      <c r="J220" s="1">
        <f ca="1">$I220/3*控制台!H$102</f>
        <v>229090.909090909</v>
      </c>
      <c r="K220" s="1">
        <f ca="1">$I220/3*控制台!I$102</f>
        <v>171818.181818182</v>
      </c>
      <c r="L220" s="1">
        <f ca="1">$I220/3*控制台!J$102</f>
        <v>286363.636363637</v>
      </c>
      <c r="M220" s="1">
        <f ca="1">_xlfn.FLOOR.MATH(J220,POWER(10,MAX(2,INT(LOG10(J220)-2))))</f>
        <v>229000</v>
      </c>
      <c r="N220" s="1">
        <f ca="1">_xlfn.FLOOR.MATH(K220,POWER(10,MAX(2,INT(LOG10(K220)-2))))</f>
        <v>171000</v>
      </c>
      <c r="O220" s="1">
        <f ca="1">_xlfn.FLOOR.MATH(L220,POWER(10,MAX(2,INT(LOG10(L220)-2))))</f>
        <v>286000</v>
      </c>
      <c r="P220" s="4" t="str">
        <f ca="1" t="shared" si="9"/>
        <v>229000;171000;286000</v>
      </c>
      <c r="Q220" s="15">
        <f ca="1">IF(C220=1,OFFSET(控制台!$H$599,MATCH(F220,控制台!$B$599:$B$615,0)-1,0),OFFSET(控制台!$H$618,MATCH(F220,控制台!$B$618:$B$636,0)-1,0))</f>
        <v>26475.7248</v>
      </c>
      <c r="R220" s="15">
        <f ca="1">IF(E220=1,Q220/G220,IF(E220=5,Q220/G220*OFFSET(控制台!$D$641,MATCH(B220,控制台!$B$641:$B$645,0)-1,0),Q220/G220*OFFSET(控制台!$H$641,MATCH(B220,控制台!$F$641:$F$650,0)-1,0)))</f>
        <v>722.065221818183</v>
      </c>
      <c r="S220" s="16">
        <f ca="1">_xlfn.FLOOR.MATH(R220)*60</f>
        <v>43320</v>
      </c>
      <c r="T220" s="16">
        <f ca="1">8000+IF(C220=1,OFFSET(控制台!$K$599,MATCH(F220,控制台!$B$599:$B$615,0)-1,0),OFFSET(控制台!$K$618,MATCH(F220,控制台!$B$618:$B$636,0)-1,0))</f>
        <v>8018</v>
      </c>
      <c r="U220" s="1">
        <f ca="1">IF(C220=1,OFFSET(控制台!$F$599,MATCH(F220,控制台!$B$599:$B$615,0)-1,0),OFFSET(控制台!$F$618,MATCH(F220,控制台!$B$618:$B$636,0)-1,0))</f>
        <v>23224.32</v>
      </c>
      <c r="V220" s="1">
        <f ca="1">IF(E220=1,U220/G220,IF(E220=5,U220/G220*OFFSET(控制台!$D$641,MATCH(B220,控制台!$B$641:$B$645,0)-1,0),U220/G220*OFFSET(控制台!$H$641,MATCH(B220,控制台!$F$641:$F$650,0)-1,0)))</f>
        <v>633.390545454546</v>
      </c>
      <c r="W220" s="20">
        <f ca="1" t="shared" si="10"/>
        <v>0.439854545454546</v>
      </c>
      <c r="X220" s="15">
        <f ca="1">IF(C220=1,OFFSET(控制台!$U$599,MATCH(F220,控制台!$B$599:$B$615,0)-1,0),OFFSET(控制台!$U$618,MATCH(F220,控制台!$B$618:$B$636,0)-1,0))</f>
        <v>68250.0000000001</v>
      </c>
      <c r="Y220" s="16">
        <f ca="1">_xlfn.FLOOR.MATH(IF(E220=1,X220/G220,IF(E220=5,X220/G220*OFFSET(控制台!$D$641,MATCH(B220,控制台!$B$641:$B$645,0)-1,0),X220/G220*OFFSET(控制台!$H$641,MATCH(B220,控制台!$F$641:$F$650,0)-1,0))))</f>
        <v>1861</v>
      </c>
      <c r="Z220" s="16">
        <f ca="1" t="shared" si="11"/>
        <v>4651</v>
      </c>
    </row>
    <row r="221" spans="1:26">
      <c r="A221" s="1">
        <v>20802</v>
      </c>
      <c r="B221" s="1">
        <v>5</v>
      </c>
      <c r="C221" s="1">
        <v>2</v>
      </c>
      <c r="D221" s="1" t="s">
        <v>2820</v>
      </c>
      <c r="E221" s="1">
        <f ca="1">IF(C221=1,OFFSET(控制台!$F$552,MATCH(A221,控制台!$B$552:$B$580,0)-1,0),OFFSET(控制台!$L$552,MATCH(A221,控制台!$H$552:$H$594,0)-1,0))</f>
        <v>10</v>
      </c>
      <c r="F221" s="1">
        <f ca="1">IF(C221=1,OFFSET(控制台!$D$552,MATCH(A221,控制台!$B$552:$B$580,0)-1,0),OFFSET(控制台!$J$552,MATCH(A221,控制台!$H$552:$H$594,0)-1,0))</f>
        <v>8</v>
      </c>
      <c r="G221" s="1">
        <f ca="1">IF(C221=1,OFFSET(控制台!$I$599,MATCH(F221,控制台!$B$599:$B$615,0)-1,0),OFFSET(控制台!$I$618,MATCH(F221,控制台!$B$618:$B$636,0)-1,0))</f>
        <v>1</v>
      </c>
      <c r="H221" s="1">
        <f ca="1">IF(C221=1,OFFSET(控制台!$D$599,MATCH(F221,控制台!$B$599:$B$615,0)-1,0),OFFSET(控制台!$D$618,MATCH(F221,控制台!$B$618:$B$636,0)-1,0))</f>
        <v>25200000</v>
      </c>
      <c r="I221" s="1">
        <f ca="1">IF(E221=1,H221/G221,IF(E221=5,H221/G221*OFFSET(控制台!$D$641,MATCH(B221,控制台!$B$641:$B$645,0)-1,0),H221/G221*OFFSET(控制台!$H$641,MATCH(B221,控制台!$F$641:$F$650,0)-1,0)))</f>
        <v>1145454.54545455</v>
      </c>
      <c r="J221" s="1">
        <f ca="1">$I221/3*控制台!H$102</f>
        <v>381818.181818182</v>
      </c>
      <c r="K221" s="1">
        <f ca="1">$I221/3*控制台!I$102</f>
        <v>286363.636363637</v>
      </c>
      <c r="L221" s="1">
        <f ca="1">$I221/3*控制台!J$102</f>
        <v>477272.727272728</v>
      </c>
      <c r="M221" s="1">
        <f ca="1">_xlfn.FLOOR.MATH(J221,POWER(10,MAX(2,INT(LOG10(J221)-2))))</f>
        <v>381000</v>
      </c>
      <c r="N221" s="1">
        <f ca="1">_xlfn.FLOOR.MATH(K221,POWER(10,MAX(2,INT(LOG10(K221)-2))))</f>
        <v>286000</v>
      </c>
      <c r="O221" s="1">
        <f ca="1">_xlfn.FLOOR.MATH(L221,POWER(10,MAX(2,INT(LOG10(L221)-2))))</f>
        <v>477000</v>
      </c>
      <c r="P221" s="4" t="str">
        <f ca="1" t="shared" si="9"/>
        <v>381000;286000;477000</v>
      </c>
      <c r="Q221" s="15">
        <f ca="1">IF(C221=1,OFFSET(控制台!$H$599,MATCH(F221,控制台!$B$599:$B$615,0)-1,0),OFFSET(控制台!$H$618,MATCH(F221,控制台!$B$618:$B$636,0)-1,0))</f>
        <v>26475.7248</v>
      </c>
      <c r="R221" s="15">
        <f ca="1">IF(E221=1,Q221/G221,IF(E221=5,Q221/G221*OFFSET(控制台!$D$641,MATCH(B221,控制台!$B$641:$B$645,0)-1,0),Q221/G221*OFFSET(控制台!$H$641,MATCH(B221,控制台!$F$641:$F$650,0)-1,0)))</f>
        <v>1203.44203636364</v>
      </c>
      <c r="S221" s="16">
        <f ca="1">_xlfn.FLOOR.MATH(R221)*60</f>
        <v>72180</v>
      </c>
      <c r="T221" s="16">
        <f ca="1">8000+IF(C221=1,OFFSET(控制台!$K$599,MATCH(F221,控制台!$B$599:$B$615,0)-1,0),OFFSET(控制台!$K$618,MATCH(F221,控制台!$B$618:$B$636,0)-1,0))</f>
        <v>8018</v>
      </c>
      <c r="U221" s="1">
        <f ca="1">IF(C221=1,OFFSET(控制台!$F$599,MATCH(F221,控制台!$B$599:$B$615,0)-1,0),OFFSET(控制台!$F$618,MATCH(F221,控制台!$B$618:$B$636,0)-1,0))</f>
        <v>23224.32</v>
      </c>
      <c r="V221" s="1">
        <f ca="1">IF(E221=1,U221/G221,IF(E221=5,U221/G221*OFFSET(控制台!$D$641,MATCH(B221,控制台!$B$641:$B$645,0)-1,0),U221/G221*OFFSET(控制台!$H$641,MATCH(B221,控制台!$F$641:$F$650,0)-1,0)))</f>
        <v>1055.65090909091</v>
      </c>
      <c r="W221" s="20">
        <f ca="1" t="shared" si="10"/>
        <v>0.73309090909091</v>
      </c>
      <c r="X221" s="15">
        <f ca="1">IF(C221=1,OFFSET(控制台!$U$599,MATCH(F221,控制台!$B$599:$B$615,0)-1,0),OFFSET(控制台!$U$618,MATCH(F221,控制台!$B$618:$B$636,0)-1,0))</f>
        <v>68250.0000000001</v>
      </c>
      <c r="Y221" s="16">
        <f ca="1">_xlfn.FLOOR.MATH(IF(E221=1,X221/G221,IF(E221=5,X221/G221*OFFSET(控制台!$D$641,MATCH(B221,控制台!$B$641:$B$645,0)-1,0),X221/G221*OFFSET(控制台!$H$641,MATCH(B221,控制台!$F$641:$F$650,0)-1,0))))</f>
        <v>3102</v>
      </c>
      <c r="Z221" s="16">
        <f ca="1" t="shared" si="11"/>
        <v>7753</v>
      </c>
    </row>
    <row r="222" spans="1:26">
      <c r="A222" s="1">
        <v>20802</v>
      </c>
      <c r="B222" s="1">
        <v>6</v>
      </c>
      <c r="C222" s="1">
        <v>2</v>
      </c>
      <c r="D222" s="1" t="s">
        <v>2820</v>
      </c>
      <c r="E222" s="1">
        <f ca="1">IF(C222=1,OFFSET(控制台!$F$552,MATCH(A222,控制台!$B$552:$B$580,0)-1,0),OFFSET(控制台!$L$552,MATCH(A222,控制台!$H$552:$H$594,0)-1,0))</f>
        <v>10</v>
      </c>
      <c r="F222" s="1">
        <f ca="1">IF(C222=1,OFFSET(控制台!$D$552,MATCH(A222,控制台!$B$552:$B$580,0)-1,0),OFFSET(控制台!$J$552,MATCH(A222,控制台!$H$552:$H$594,0)-1,0))</f>
        <v>8</v>
      </c>
      <c r="G222" s="1">
        <f ca="1">IF(C222=1,OFFSET(控制台!$I$599,MATCH(F222,控制台!$B$599:$B$615,0)-1,0),OFFSET(控制台!$I$618,MATCH(F222,控制台!$B$618:$B$636,0)-1,0))</f>
        <v>1</v>
      </c>
      <c r="H222" s="1">
        <f ca="1">IF(C222=1,OFFSET(控制台!$D$599,MATCH(F222,控制台!$B$599:$B$615,0)-1,0),OFFSET(控制台!$D$618,MATCH(F222,控制台!$B$618:$B$636,0)-1,0))</f>
        <v>25200000</v>
      </c>
      <c r="I222" s="1">
        <f ca="1">IF(E222=1,H222/G222,IF(E222=5,H222/G222*OFFSET(控制台!$D$641,MATCH(B222,控制台!$B$641:$B$645,0)-1,0),H222/G222*OFFSET(控制台!$H$641,MATCH(B222,控制台!$F$641:$F$650,0)-1,0)))</f>
        <v>1718181.81818182</v>
      </c>
      <c r="J222" s="1">
        <f ca="1">$I222/3*控制台!H$102</f>
        <v>572727.272727273</v>
      </c>
      <c r="K222" s="1">
        <f ca="1">$I222/3*控制台!I$102</f>
        <v>429545.454545455</v>
      </c>
      <c r="L222" s="1">
        <f ca="1">$I222/3*控制台!J$102</f>
        <v>715909.090909091</v>
      </c>
      <c r="M222" s="1">
        <f ca="1">_xlfn.FLOOR.MATH(J222,POWER(10,MAX(2,INT(LOG10(J222)-2))))</f>
        <v>572000</v>
      </c>
      <c r="N222" s="1">
        <f ca="1">_xlfn.FLOOR.MATH(K222,POWER(10,MAX(2,INT(LOG10(K222)-2))))</f>
        <v>429000</v>
      </c>
      <c r="O222" s="1">
        <f ca="1">_xlfn.FLOOR.MATH(L222,POWER(10,MAX(2,INT(LOG10(L222)-2))))</f>
        <v>715000</v>
      </c>
      <c r="P222" s="4" t="str">
        <f ca="1" t="shared" si="9"/>
        <v>572000;429000;715000</v>
      </c>
      <c r="Q222" s="15">
        <f ca="1">IF(C222=1,OFFSET(控制台!$H$599,MATCH(F222,控制台!$B$599:$B$615,0)-1,0),OFFSET(控制台!$H$618,MATCH(F222,控制台!$B$618:$B$636,0)-1,0))</f>
        <v>26475.7248</v>
      </c>
      <c r="R222" s="15">
        <f ca="1">IF(E222=1,Q222/G222,IF(E222=5,Q222/G222*OFFSET(控制台!$D$641,MATCH(B222,控制台!$B$641:$B$645,0)-1,0),Q222/G222*OFFSET(控制台!$H$641,MATCH(B222,控制台!$F$641:$F$650,0)-1,0)))</f>
        <v>1805.16305454546</v>
      </c>
      <c r="S222" s="16">
        <f ca="1">_xlfn.FLOOR.MATH(R222)*60</f>
        <v>108300</v>
      </c>
      <c r="T222" s="16">
        <f ca="1">8000+IF(C222=1,OFFSET(控制台!$K$599,MATCH(F222,控制台!$B$599:$B$615,0)-1,0),OFFSET(控制台!$K$618,MATCH(F222,控制台!$B$618:$B$636,0)-1,0))</f>
        <v>8018</v>
      </c>
      <c r="U222" s="1">
        <f ca="1">IF(C222=1,OFFSET(控制台!$F$599,MATCH(F222,控制台!$B$599:$B$615,0)-1,0),OFFSET(控制台!$F$618,MATCH(F222,控制台!$B$618:$B$636,0)-1,0))</f>
        <v>23224.32</v>
      </c>
      <c r="V222" s="1">
        <f ca="1">IF(E222=1,U222/G222,IF(E222=5,U222/G222*OFFSET(控制台!$D$641,MATCH(B222,控制台!$B$641:$B$645,0)-1,0),U222/G222*OFFSET(控制台!$H$641,MATCH(B222,控制台!$F$641:$F$650,0)-1,0)))</f>
        <v>1583.47636363636</v>
      </c>
      <c r="W222" s="20">
        <f ca="1" t="shared" si="10"/>
        <v>1.09963636363636</v>
      </c>
      <c r="X222" s="15">
        <f ca="1">IF(C222=1,OFFSET(控制台!$U$599,MATCH(F222,控制台!$B$599:$B$615,0)-1,0),OFFSET(控制台!$U$618,MATCH(F222,控制台!$B$618:$B$636,0)-1,0))</f>
        <v>68250.0000000001</v>
      </c>
      <c r="Y222" s="16">
        <f ca="1">_xlfn.FLOOR.MATH(IF(E222=1,X222/G222,IF(E222=5,X222/G222*OFFSET(控制台!$D$641,MATCH(B222,控制台!$B$641:$B$645,0)-1,0),X222/G222*OFFSET(控制台!$H$641,MATCH(B222,控制台!$F$641:$F$650,0)-1,0))))</f>
        <v>4653</v>
      </c>
      <c r="Z222" s="16">
        <f ca="1" t="shared" si="11"/>
        <v>12406</v>
      </c>
    </row>
    <row r="223" spans="1:26">
      <c r="A223" s="1">
        <v>20802</v>
      </c>
      <c r="B223" s="1">
        <v>7</v>
      </c>
      <c r="C223" s="1">
        <v>2</v>
      </c>
      <c r="D223" s="1" t="s">
        <v>2820</v>
      </c>
      <c r="E223" s="1">
        <f ca="1">IF(C223=1,OFFSET(控制台!$F$552,MATCH(A223,控制台!$B$552:$B$580,0)-1,0),OFFSET(控制台!$L$552,MATCH(A223,控制台!$H$552:$H$594,0)-1,0))</f>
        <v>10</v>
      </c>
      <c r="F223" s="1">
        <f ca="1">IF(C223=1,OFFSET(控制台!$D$552,MATCH(A223,控制台!$B$552:$B$580,0)-1,0),OFFSET(控制台!$J$552,MATCH(A223,控制台!$H$552:$H$594,0)-1,0))</f>
        <v>8</v>
      </c>
      <c r="G223" s="1">
        <f ca="1">IF(C223=1,OFFSET(控制台!$I$599,MATCH(F223,控制台!$B$599:$B$615,0)-1,0),OFFSET(控制台!$I$618,MATCH(F223,控制台!$B$618:$B$636,0)-1,0))</f>
        <v>1</v>
      </c>
      <c r="H223" s="1">
        <f ca="1">IF(C223=1,OFFSET(控制台!$D$599,MATCH(F223,控制台!$B$599:$B$615,0)-1,0),OFFSET(控制台!$D$618,MATCH(F223,控制台!$B$618:$B$636,0)-1,0))</f>
        <v>25200000</v>
      </c>
      <c r="I223" s="1">
        <f ca="1">IF(E223=1,H223/G223,IF(E223=5,H223/G223*OFFSET(控制台!$D$641,MATCH(B223,控制台!$B$641:$B$645,0)-1,0),H223/G223*OFFSET(控制台!$H$641,MATCH(B223,控制台!$F$641:$F$650,0)-1,0)))</f>
        <v>2290909.09090909</v>
      </c>
      <c r="J223" s="1">
        <f ca="1">$I223/3*控制台!H$102</f>
        <v>763636.363636364</v>
      </c>
      <c r="K223" s="1">
        <f ca="1">$I223/3*控制台!I$102</f>
        <v>572727.272727273</v>
      </c>
      <c r="L223" s="1">
        <f ca="1">$I223/3*控制台!J$102</f>
        <v>954545.454545455</v>
      </c>
      <c r="M223" s="1">
        <f ca="1">_xlfn.FLOOR.MATH(J223,POWER(10,MAX(2,INT(LOG10(J223)-2))))</f>
        <v>763000</v>
      </c>
      <c r="N223" s="1">
        <f ca="1">_xlfn.FLOOR.MATH(K223,POWER(10,MAX(2,INT(LOG10(K223)-2))))</f>
        <v>572000</v>
      </c>
      <c r="O223" s="1">
        <f ca="1">_xlfn.FLOOR.MATH(L223,POWER(10,MAX(2,INT(LOG10(L223)-2))))</f>
        <v>954000</v>
      </c>
      <c r="P223" s="4" t="str">
        <f ca="1" t="shared" si="9"/>
        <v>763000;572000;954000</v>
      </c>
      <c r="Q223" s="15">
        <f ca="1">IF(C223=1,OFFSET(控制台!$H$599,MATCH(F223,控制台!$B$599:$B$615,0)-1,0),OFFSET(控制台!$H$618,MATCH(F223,控制台!$B$618:$B$636,0)-1,0))</f>
        <v>26475.7248</v>
      </c>
      <c r="R223" s="15">
        <f ca="1">IF(E223=1,Q223/G223,IF(E223=5,Q223/G223*OFFSET(控制台!$D$641,MATCH(B223,控制台!$B$641:$B$645,0)-1,0),Q223/G223*OFFSET(控制台!$H$641,MATCH(B223,控制台!$F$641:$F$650,0)-1,0)))</f>
        <v>2406.88407272727</v>
      </c>
      <c r="S223" s="16">
        <f ca="1">_xlfn.FLOOR.MATH(R223)*60</f>
        <v>144360</v>
      </c>
      <c r="T223" s="16">
        <f ca="1">8000+IF(C223=1,OFFSET(控制台!$K$599,MATCH(F223,控制台!$B$599:$B$615,0)-1,0),OFFSET(控制台!$K$618,MATCH(F223,控制台!$B$618:$B$636,0)-1,0))</f>
        <v>8018</v>
      </c>
      <c r="U223" s="1">
        <f ca="1">IF(C223=1,OFFSET(控制台!$F$599,MATCH(F223,控制台!$B$599:$B$615,0)-1,0),OFFSET(控制台!$F$618,MATCH(F223,控制台!$B$618:$B$636,0)-1,0))</f>
        <v>23224.32</v>
      </c>
      <c r="V223" s="1">
        <f ca="1">IF(E223=1,U223/G223,IF(E223=5,U223/G223*OFFSET(控制台!$D$641,MATCH(B223,控制台!$B$641:$B$645,0)-1,0),U223/G223*OFFSET(控制台!$H$641,MATCH(B223,控制台!$F$641:$F$650,0)-1,0)))</f>
        <v>2111.30181818182</v>
      </c>
      <c r="W223" s="20">
        <f ca="1" t="shared" si="10"/>
        <v>1.46618181818182</v>
      </c>
      <c r="X223" s="15">
        <f ca="1">IF(C223=1,OFFSET(控制台!$U$599,MATCH(F223,控制台!$B$599:$B$615,0)-1,0),OFFSET(控制台!$U$618,MATCH(F223,控制台!$B$618:$B$636,0)-1,0))</f>
        <v>68250.0000000001</v>
      </c>
      <c r="Y223" s="16">
        <f ca="1">_xlfn.FLOOR.MATH(IF(E223=1,X223/G223,IF(E223=5,X223/G223*OFFSET(控制台!$D$641,MATCH(B223,控制台!$B$641:$B$645,0)-1,0),X223/G223*OFFSET(控制台!$H$641,MATCH(B223,控制台!$F$641:$F$650,0)-1,0))))</f>
        <v>6204</v>
      </c>
      <c r="Z223" s="16">
        <f ca="1" t="shared" si="11"/>
        <v>18610</v>
      </c>
    </row>
    <row r="224" spans="1:26">
      <c r="A224" s="1">
        <v>20802</v>
      </c>
      <c r="B224" s="1">
        <v>8</v>
      </c>
      <c r="C224" s="1">
        <v>2</v>
      </c>
      <c r="D224" s="1" t="s">
        <v>2820</v>
      </c>
      <c r="E224" s="1">
        <f ca="1">IF(C224=1,OFFSET(控制台!$F$552,MATCH(A224,控制台!$B$552:$B$580,0)-1,0),OFFSET(控制台!$L$552,MATCH(A224,控制台!$H$552:$H$594,0)-1,0))</f>
        <v>10</v>
      </c>
      <c r="F224" s="1">
        <f ca="1">IF(C224=1,OFFSET(控制台!$D$552,MATCH(A224,控制台!$B$552:$B$580,0)-1,0),OFFSET(控制台!$J$552,MATCH(A224,控制台!$H$552:$H$594,0)-1,0))</f>
        <v>8</v>
      </c>
      <c r="G224" s="1">
        <f ca="1">IF(C224=1,OFFSET(控制台!$I$599,MATCH(F224,控制台!$B$599:$B$615,0)-1,0),OFFSET(控制台!$I$618,MATCH(F224,控制台!$B$618:$B$636,0)-1,0))</f>
        <v>1</v>
      </c>
      <c r="H224" s="1">
        <f ca="1">IF(C224=1,OFFSET(控制台!$D$599,MATCH(F224,控制台!$B$599:$B$615,0)-1,0),OFFSET(控制台!$D$618,MATCH(F224,控制台!$B$618:$B$636,0)-1,0))</f>
        <v>25200000</v>
      </c>
      <c r="I224" s="1">
        <f ca="1">IF(E224=1,H224/G224,IF(E224=5,H224/G224*OFFSET(控制台!$D$641,MATCH(B224,控制台!$B$641:$B$645,0)-1,0),H224/G224*OFFSET(控制台!$H$641,MATCH(B224,控制台!$F$641:$F$650,0)-1,0)))</f>
        <v>3436363.63636363</v>
      </c>
      <c r="J224" s="1">
        <f ca="1">$I224/3*控制台!H$102</f>
        <v>1145454.54545454</v>
      </c>
      <c r="K224" s="1">
        <f ca="1">$I224/3*控制台!I$102</f>
        <v>859090.909090907</v>
      </c>
      <c r="L224" s="1">
        <f ca="1">$I224/3*控制台!J$102</f>
        <v>1431818.18181818</v>
      </c>
      <c r="M224" s="1">
        <f ca="1">_xlfn.FLOOR.MATH(J224,POWER(10,MAX(2,INT(LOG10(J224)-2))))</f>
        <v>1140000</v>
      </c>
      <c r="N224" s="1">
        <f ca="1">_xlfn.FLOOR.MATH(K224,POWER(10,MAX(2,INT(LOG10(K224)-2))))</f>
        <v>859000</v>
      </c>
      <c r="O224" s="1">
        <f ca="1">_xlfn.FLOOR.MATH(L224,POWER(10,MAX(2,INT(LOG10(L224)-2))))</f>
        <v>1430000</v>
      </c>
      <c r="P224" s="4" t="str">
        <f ca="1" t="shared" si="9"/>
        <v>1140000;859000;1430000</v>
      </c>
      <c r="Q224" s="15">
        <f ca="1">IF(C224=1,OFFSET(控制台!$H$599,MATCH(F224,控制台!$B$599:$B$615,0)-1,0),OFFSET(控制台!$H$618,MATCH(F224,控制台!$B$618:$B$636,0)-1,0))</f>
        <v>26475.7248</v>
      </c>
      <c r="R224" s="15">
        <f ca="1">IF(E224=1,Q224/G224,IF(E224=5,Q224/G224*OFFSET(控制台!$D$641,MATCH(B224,控制台!$B$641:$B$645,0)-1,0),Q224/G224*OFFSET(控制台!$H$641,MATCH(B224,控制台!$F$641:$F$650,0)-1,0)))</f>
        <v>3610.3261090909</v>
      </c>
      <c r="S224" s="16">
        <f ca="1">_xlfn.FLOOR.MATH(R224)*60</f>
        <v>216600</v>
      </c>
      <c r="T224" s="16">
        <f ca="1">8000+IF(C224=1,OFFSET(控制台!$K$599,MATCH(F224,控制台!$B$599:$B$615,0)-1,0),OFFSET(控制台!$K$618,MATCH(F224,控制台!$B$618:$B$636,0)-1,0))</f>
        <v>8018</v>
      </c>
      <c r="U224" s="1">
        <f ca="1">IF(C224=1,OFFSET(控制台!$F$599,MATCH(F224,控制台!$B$599:$B$615,0)-1,0),OFFSET(控制台!$F$618,MATCH(F224,控制台!$B$618:$B$636,0)-1,0))</f>
        <v>23224.32</v>
      </c>
      <c r="V224" s="1">
        <f ca="1">IF(E224=1,U224/G224,IF(E224=5,U224/G224*OFFSET(控制台!$D$641,MATCH(B224,控制台!$B$641:$B$645,0)-1,0),U224/G224*OFFSET(控制台!$H$641,MATCH(B224,控制台!$F$641:$F$650,0)-1,0)))</f>
        <v>3166.95272727272</v>
      </c>
      <c r="W224" s="20">
        <f ca="1" t="shared" si="10"/>
        <v>2.19927272727272</v>
      </c>
      <c r="X224" s="15">
        <f ca="1">IF(C224=1,OFFSET(控制台!$U$599,MATCH(F224,控制台!$B$599:$B$615,0)-1,0),OFFSET(控制台!$U$618,MATCH(F224,控制台!$B$618:$B$636,0)-1,0))</f>
        <v>68250.0000000001</v>
      </c>
      <c r="Y224" s="16">
        <f ca="1">_xlfn.FLOOR.MATH(IF(E224=1,X224/G224,IF(E224=5,X224/G224*OFFSET(控制台!$D$641,MATCH(B224,控制台!$B$641:$B$645,0)-1,0),X224/G224*OFFSET(控制台!$H$641,MATCH(B224,控制台!$F$641:$F$650,0)-1,0))))</f>
        <v>9306</v>
      </c>
      <c r="Z224" s="16">
        <f ca="1" t="shared" si="11"/>
        <v>27916</v>
      </c>
    </row>
    <row r="225" spans="1:26">
      <c r="A225" s="1">
        <v>20802</v>
      </c>
      <c r="B225" s="1">
        <v>9</v>
      </c>
      <c r="C225" s="1">
        <v>2</v>
      </c>
      <c r="D225" s="1" t="s">
        <v>2820</v>
      </c>
      <c r="E225" s="1">
        <f ca="1">IF(C225=1,OFFSET(控制台!$F$552,MATCH(A225,控制台!$B$552:$B$580,0)-1,0),OFFSET(控制台!$L$552,MATCH(A225,控制台!$H$552:$H$594,0)-1,0))</f>
        <v>10</v>
      </c>
      <c r="F225" s="1">
        <f ca="1">IF(C225=1,OFFSET(控制台!$D$552,MATCH(A225,控制台!$B$552:$B$580,0)-1,0),OFFSET(控制台!$J$552,MATCH(A225,控制台!$H$552:$H$594,0)-1,0))</f>
        <v>8</v>
      </c>
      <c r="G225" s="1">
        <f ca="1">IF(C225=1,OFFSET(控制台!$I$599,MATCH(F225,控制台!$B$599:$B$615,0)-1,0),OFFSET(控制台!$I$618,MATCH(F225,控制台!$B$618:$B$636,0)-1,0))</f>
        <v>1</v>
      </c>
      <c r="H225" s="1">
        <f ca="1">IF(C225=1,OFFSET(控制台!$D$599,MATCH(F225,控制台!$B$599:$B$615,0)-1,0),OFFSET(控制台!$D$618,MATCH(F225,控制台!$B$618:$B$636,0)-1,0))</f>
        <v>25200000</v>
      </c>
      <c r="I225" s="1">
        <f ca="1">IF(E225=1,H225/G225,IF(E225=5,H225/G225*OFFSET(控制台!$D$641,MATCH(B225,控制台!$B$641:$B$645,0)-1,0),H225/G225*OFFSET(控制台!$H$641,MATCH(B225,控制台!$F$641:$F$650,0)-1,0)))</f>
        <v>5727272.72727272</v>
      </c>
      <c r="J225" s="1">
        <f ca="1">$I225/3*控制台!H$102</f>
        <v>1909090.90909091</v>
      </c>
      <c r="K225" s="1">
        <f ca="1">$I225/3*控制台!I$102</f>
        <v>1431818.18181818</v>
      </c>
      <c r="L225" s="1">
        <f ca="1">$I225/3*控制台!J$102</f>
        <v>2386363.63636363</v>
      </c>
      <c r="M225" s="1">
        <f ca="1">_xlfn.FLOOR.MATH(J225,POWER(10,MAX(2,INT(LOG10(J225)-2))))</f>
        <v>1900000</v>
      </c>
      <c r="N225" s="1">
        <f ca="1">_xlfn.FLOOR.MATH(K225,POWER(10,MAX(2,INT(LOG10(K225)-2))))</f>
        <v>1430000</v>
      </c>
      <c r="O225" s="1">
        <f ca="1">_xlfn.FLOOR.MATH(L225,POWER(10,MAX(2,INT(LOG10(L225)-2))))</f>
        <v>2380000</v>
      </c>
      <c r="P225" s="4" t="str">
        <f ca="1" t="shared" si="9"/>
        <v>1900000;1430000;2380000</v>
      </c>
      <c r="Q225" s="15">
        <f ca="1">IF(C225=1,OFFSET(控制台!$H$599,MATCH(F225,控制台!$B$599:$B$615,0)-1,0),OFFSET(控制台!$H$618,MATCH(F225,控制台!$B$618:$B$636,0)-1,0))</f>
        <v>26475.7248</v>
      </c>
      <c r="R225" s="15">
        <f ca="1">IF(E225=1,Q225/G225,IF(E225=5,Q225/G225*OFFSET(控制台!$D$641,MATCH(B225,控制台!$B$641:$B$645,0)-1,0),Q225/G225*OFFSET(控制台!$H$641,MATCH(B225,控制台!$F$641:$F$650,0)-1,0)))</f>
        <v>6017.21018181818</v>
      </c>
      <c r="S225" s="16">
        <f ca="1">_xlfn.FLOOR.MATH(R225)*60</f>
        <v>361020</v>
      </c>
      <c r="T225" s="16">
        <f ca="1">8000+IF(C225=1,OFFSET(控制台!$K$599,MATCH(F225,控制台!$B$599:$B$615,0)-1,0),OFFSET(控制台!$K$618,MATCH(F225,控制台!$B$618:$B$636,0)-1,0))</f>
        <v>8018</v>
      </c>
      <c r="U225" s="1">
        <f ca="1">IF(C225=1,OFFSET(控制台!$F$599,MATCH(F225,控制台!$B$599:$B$615,0)-1,0),OFFSET(控制台!$F$618,MATCH(F225,控制台!$B$618:$B$636,0)-1,0))</f>
        <v>23224.32</v>
      </c>
      <c r="V225" s="1">
        <f ca="1">IF(E225=1,U225/G225,IF(E225=5,U225/G225*OFFSET(控制台!$D$641,MATCH(B225,控制台!$B$641:$B$645,0)-1,0),U225/G225*OFFSET(控制台!$H$641,MATCH(B225,控制台!$F$641:$F$650,0)-1,0)))</f>
        <v>5278.25454545454</v>
      </c>
      <c r="W225" s="20">
        <f ca="1" t="shared" si="10"/>
        <v>3.66545454545454</v>
      </c>
      <c r="X225" s="15">
        <f ca="1">IF(C225=1,OFFSET(控制台!$U$599,MATCH(F225,控制台!$B$599:$B$615,0)-1,0),OFFSET(控制台!$U$618,MATCH(F225,控制台!$B$618:$B$636,0)-1,0))</f>
        <v>68250.0000000001</v>
      </c>
      <c r="Y225" s="16">
        <f ca="1">_xlfn.FLOOR.MATH(IF(E225=1,X225/G225,IF(E225=5,X225/G225*OFFSET(控制台!$D$641,MATCH(B225,控制台!$B$641:$B$645,0)-1,0),X225/G225*OFFSET(控制台!$H$641,MATCH(B225,控制台!$F$641:$F$650,0)-1,0))))</f>
        <v>15511</v>
      </c>
      <c r="Z225" s="16">
        <f ca="1" t="shared" si="11"/>
        <v>43427</v>
      </c>
    </row>
    <row r="226" spans="1:26">
      <c r="A226" s="1">
        <v>20802</v>
      </c>
      <c r="B226" s="1">
        <v>10</v>
      </c>
      <c r="C226" s="1">
        <v>2</v>
      </c>
      <c r="D226" s="1" t="s">
        <v>2820</v>
      </c>
      <c r="E226" s="1">
        <f ca="1">IF(C226=1,OFFSET(控制台!$F$552,MATCH(A226,控制台!$B$552:$B$580,0)-1,0),OFFSET(控制台!$L$552,MATCH(A226,控制台!$H$552:$H$594,0)-1,0))</f>
        <v>10</v>
      </c>
      <c r="F226" s="1">
        <f ca="1">IF(C226=1,OFFSET(控制台!$D$552,MATCH(A226,控制台!$B$552:$B$580,0)-1,0),OFFSET(控制台!$J$552,MATCH(A226,控制台!$H$552:$H$594,0)-1,0))</f>
        <v>8</v>
      </c>
      <c r="G226" s="1">
        <f ca="1">IF(C226=1,OFFSET(控制台!$I$599,MATCH(F226,控制台!$B$599:$B$615,0)-1,0),OFFSET(控制台!$I$618,MATCH(F226,控制台!$B$618:$B$636,0)-1,0))</f>
        <v>1</v>
      </c>
      <c r="H226" s="1">
        <f ca="1">IF(C226=1,OFFSET(控制台!$D$599,MATCH(F226,控制台!$B$599:$B$615,0)-1,0),OFFSET(控制台!$D$618,MATCH(F226,控制台!$B$618:$B$636,0)-1,0))</f>
        <v>25200000</v>
      </c>
      <c r="I226" s="1">
        <f ca="1">IF(E226=1,H226/G226,IF(E226=5,H226/G226*OFFSET(控制台!$D$641,MATCH(B226,控制台!$B$641:$B$645,0)-1,0),H226/G226*OFFSET(控制台!$H$641,MATCH(B226,控制台!$F$641:$F$650,0)-1,0)))</f>
        <v>9163636.36363637</v>
      </c>
      <c r="J226" s="1">
        <f ca="1">$I226/3*控制台!H$102</f>
        <v>3054545.45454546</v>
      </c>
      <c r="K226" s="1">
        <f ca="1">$I226/3*控制台!I$102</f>
        <v>2290909.09090909</v>
      </c>
      <c r="L226" s="1">
        <f ca="1">$I226/3*控制台!J$102</f>
        <v>3818181.81818182</v>
      </c>
      <c r="M226" s="1">
        <f ca="1">_xlfn.FLOOR.MATH(J226,POWER(10,MAX(2,INT(LOG10(J226)-2))))</f>
        <v>3050000</v>
      </c>
      <c r="N226" s="1">
        <f ca="1">_xlfn.FLOOR.MATH(K226,POWER(10,MAX(2,INT(LOG10(K226)-2))))</f>
        <v>2290000</v>
      </c>
      <c r="O226" s="1">
        <f ca="1">_xlfn.FLOOR.MATH(L226,POWER(10,MAX(2,INT(LOG10(L226)-2))))</f>
        <v>3810000</v>
      </c>
      <c r="P226" s="4" t="str">
        <f ca="1" t="shared" si="9"/>
        <v>3050000;2290000;3810000</v>
      </c>
      <c r="Q226" s="15">
        <f ca="1">IF(C226=1,OFFSET(控制台!$H$599,MATCH(F226,控制台!$B$599:$B$615,0)-1,0),OFFSET(控制台!$H$618,MATCH(F226,控制台!$B$618:$B$636,0)-1,0))</f>
        <v>26475.7248</v>
      </c>
      <c r="R226" s="15">
        <f ca="1">IF(E226=1,Q226/G226,IF(E226=5,Q226/G226*OFFSET(控制台!$D$641,MATCH(B226,控制台!$B$641:$B$645,0)-1,0),Q226/G226*OFFSET(控制台!$H$641,MATCH(B226,控制台!$F$641:$F$650,0)-1,0)))</f>
        <v>9627.5362909091</v>
      </c>
      <c r="S226" s="16">
        <f ca="1">_xlfn.FLOOR.MATH(R226)*60</f>
        <v>577620</v>
      </c>
      <c r="T226" s="16">
        <f ca="1">8000+IF(C226=1,OFFSET(控制台!$K$599,MATCH(F226,控制台!$B$599:$B$615,0)-1,0),OFFSET(控制台!$K$618,MATCH(F226,控制台!$B$618:$B$636,0)-1,0))</f>
        <v>8018</v>
      </c>
      <c r="U226" s="1">
        <f ca="1">IF(C226=1,OFFSET(控制台!$F$599,MATCH(F226,控制台!$B$599:$B$615,0)-1,0),OFFSET(控制台!$F$618,MATCH(F226,控制台!$B$618:$B$636,0)-1,0))</f>
        <v>23224.32</v>
      </c>
      <c r="V226" s="1">
        <f ca="1">IF(E226=1,U226/G226,IF(E226=5,U226/G226*OFFSET(控制台!$D$641,MATCH(B226,控制台!$B$641:$B$645,0)-1,0),U226/G226*OFFSET(控制台!$H$641,MATCH(B226,控制台!$F$641:$F$650,0)-1,0)))</f>
        <v>8445.20727272728</v>
      </c>
      <c r="W226" s="20">
        <f ca="1" t="shared" si="10"/>
        <v>5.86472727272728</v>
      </c>
      <c r="X226" s="15">
        <f ca="1">IF(C226=1,OFFSET(控制台!$U$599,MATCH(F226,控制台!$B$599:$B$615,0)-1,0),OFFSET(控制台!$U$618,MATCH(F226,控制台!$B$618:$B$636,0)-1,0))</f>
        <v>68250.0000000001</v>
      </c>
      <c r="Y226" s="16">
        <f ca="1">_xlfn.FLOOR.MATH(IF(E226=1,X226/G226,IF(E226=5,X226/G226*OFFSET(控制台!$D$641,MATCH(B226,控制台!$B$641:$B$645,0)-1,0),X226/G226*OFFSET(控制台!$H$641,MATCH(B226,控制台!$F$641:$F$650,0)-1,0))))</f>
        <v>24818</v>
      </c>
      <c r="Z226" s="16">
        <f ca="1" t="shared" si="11"/>
        <v>68245</v>
      </c>
    </row>
    <row r="227" spans="1:26">
      <c r="A227" s="1">
        <v>20901</v>
      </c>
      <c r="B227" s="1">
        <v>1</v>
      </c>
      <c r="C227" s="1">
        <v>2</v>
      </c>
      <c r="D227" s="1" t="s">
        <v>2821</v>
      </c>
      <c r="E227" s="1">
        <f ca="1">IF(C227=1,OFFSET(控制台!$F$552,MATCH(A227,控制台!$B$552:$B$580,0)-1,0),OFFSET(控制台!$L$552,MATCH(A227,控制台!$H$552:$H$594,0)-1,0))</f>
        <v>1</v>
      </c>
      <c r="F227" s="1">
        <f ca="1">IF(C227=1,OFFSET(控制台!$D$552,MATCH(A227,控制台!$B$552:$B$580,0)-1,0),OFFSET(控制台!$J$552,MATCH(A227,控制台!$H$552:$H$594,0)-1,0))</f>
        <v>9</v>
      </c>
      <c r="G227" s="1">
        <f ca="1">IF(C227=1,OFFSET(控制台!$I$599,MATCH(F227,控制台!$B$599:$B$615,0)-1,0),OFFSET(控制台!$I$618,MATCH(F227,控制台!$B$618:$B$636,0)-1,0))</f>
        <v>3</v>
      </c>
      <c r="H227" s="1">
        <f ca="1">IF(C227=1,OFFSET(控制台!$D$599,MATCH(F227,控制台!$B$599:$B$615,0)-1,0),OFFSET(控制台!$D$618,MATCH(F227,控制台!$B$618:$B$636,0)-1,0))</f>
        <v>59472000</v>
      </c>
      <c r="I227" s="1">
        <f ca="1">IF(E227=1,H227/G227,IF(E227=5,H227/G227*OFFSET(控制台!$D$641,MATCH(B227,控制台!$B$641:$B$645,0)-1,0),H227/G227*OFFSET(控制台!$H$641,MATCH(B227,控制台!$F$641:$F$650,0)-1,0)))</f>
        <v>19824000</v>
      </c>
      <c r="J227" s="1">
        <f ca="1">$I227/3*控制台!H$102</f>
        <v>6608000</v>
      </c>
      <c r="K227" s="1">
        <f ca="1">$I227/3*控制台!I$102</f>
        <v>4956000</v>
      </c>
      <c r="L227" s="1">
        <f ca="1">$I227/3*控制台!J$102</f>
        <v>8260000</v>
      </c>
      <c r="M227" s="1">
        <f ca="1">_xlfn.FLOOR.MATH(J227,POWER(10,MAX(2,INT(LOG10(J227)-2))))</f>
        <v>6600000</v>
      </c>
      <c r="N227" s="1">
        <f ca="1">_xlfn.FLOOR.MATH(K227,POWER(10,MAX(2,INT(LOG10(K227)-2))))</f>
        <v>4950000</v>
      </c>
      <c r="O227" s="1">
        <f ca="1">_xlfn.FLOOR.MATH(L227,POWER(10,MAX(2,INT(LOG10(L227)-2))))</f>
        <v>8260000</v>
      </c>
      <c r="P227" s="4" t="str">
        <f ca="1" t="shared" si="9"/>
        <v>6600000;4950000;8260000</v>
      </c>
      <c r="Q227" s="15">
        <f ca="1">IF(C227=1,OFFSET(控制台!$H$599,MATCH(F227,控制台!$B$599:$B$615,0)-1,0),OFFSET(控制台!$H$618,MATCH(F227,控制台!$B$618:$B$636,0)-1,0))</f>
        <v>77772.4416</v>
      </c>
      <c r="R227" s="15">
        <f ca="1">IF(E227=1,Q227/G227,IF(E227=5,Q227/G227*OFFSET(控制台!$D$641,MATCH(B227,控制台!$B$641:$B$645,0)-1,0),Q227/G227*OFFSET(控制台!$H$641,MATCH(B227,控制台!$F$641:$F$650,0)-1,0)))</f>
        <v>25924.1472</v>
      </c>
      <c r="S227" s="16">
        <f ca="1">_xlfn.FLOOR.MATH(R227)*60</f>
        <v>1555440</v>
      </c>
      <c r="T227" s="16">
        <f ca="1">8000+IF(C227=1,OFFSET(控制台!$K$599,MATCH(F227,控制台!$B$599:$B$615,0)-1,0),OFFSET(控制台!$K$618,MATCH(F227,控制台!$B$618:$B$636,0)-1,0))</f>
        <v>8021</v>
      </c>
      <c r="U227" s="1">
        <f ca="1">IF(C227=1,OFFSET(控制台!$F$599,MATCH(F227,控制台!$B$599:$B$615,0)-1,0),OFFSET(控制台!$F$618,MATCH(F227,控制台!$B$618:$B$636,0)-1,0))</f>
        <v>55157.76</v>
      </c>
      <c r="V227" s="1">
        <f ca="1">IF(E227=1,U227/G227,IF(E227=5,U227/G227*OFFSET(控制台!$D$641,MATCH(B227,控制台!$B$641:$B$645,0)-1,0),U227/G227*OFFSET(控制台!$H$641,MATCH(B227,控制台!$F$641:$F$650,0)-1,0)))</f>
        <v>18385.92</v>
      </c>
      <c r="W227" s="20">
        <f ca="1" t="shared" si="10"/>
        <v>12.768</v>
      </c>
      <c r="X227" s="15">
        <f ca="1">IF(C227=1,OFFSET(控制台!$U$599,MATCH(F227,控制台!$B$599:$B$615,0)-1,0),OFFSET(控制台!$U$618,MATCH(F227,控制台!$B$618:$B$636,0)-1,0))</f>
        <v>162015</v>
      </c>
      <c r="Y227" s="16">
        <f ca="1">_xlfn.FLOOR.MATH(IF(E227=1,X227/G227,IF(E227=5,X227/G227*OFFSET(控制台!$D$641,MATCH(B227,控制台!$B$641:$B$645,0)-1,0),X227/G227*OFFSET(控制台!$H$641,MATCH(B227,控制台!$F$641:$F$650,0)-1,0))))</f>
        <v>54005</v>
      </c>
      <c r="Z227" s="16">
        <f ca="1" t="shared" si="11"/>
        <v>54005</v>
      </c>
    </row>
    <row r="228" spans="1:26">
      <c r="A228" s="1">
        <v>20902</v>
      </c>
      <c r="B228" s="1">
        <v>1</v>
      </c>
      <c r="C228" s="1">
        <v>2</v>
      </c>
      <c r="D228" s="1" t="s">
        <v>2822</v>
      </c>
      <c r="E228" s="1">
        <f ca="1">IF(C228=1,OFFSET(控制台!$F$552,MATCH(A228,控制台!$B$552:$B$580,0)-1,0),OFFSET(控制台!$L$552,MATCH(A228,控制台!$H$552:$H$594,0)-1,0))</f>
        <v>1</v>
      </c>
      <c r="F228" s="1">
        <f ca="1">IF(C228=1,OFFSET(控制台!$D$552,MATCH(A228,控制台!$B$552:$B$580,0)-1,0),OFFSET(控制台!$J$552,MATCH(A228,控制台!$H$552:$H$594,0)-1,0))</f>
        <v>9</v>
      </c>
      <c r="G228" s="1">
        <f ca="1">IF(C228=1,OFFSET(控制台!$I$599,MATCH(F228,控制台!$B$599:$B$615,0)-1,0),OFFSET(控制台!$I$618,MATCH(F228,控制台!$B$618:$B$636,0)-1,0))</f>
        <v>3</v>
      </c>
      <c r="H228" s="1">
        <f ca="1">IF(C228=1,OFFSET(控制台!$D$599,MATCH(F228,控制台!$B$599:$B$615,0)-1,0),OFFSET(控制台!$D$618,MATCH(F228,控制台!$B$618:$B$636,0)-1,0))</f>
        <v>59472000</v>
      </c>
      <c r="I228" s="1">
        <f ca="1">IF(E228=1,H228/G228,IF(E228=5,H228/G228*OFFSET(控制台!$D$641,MATCH(B228,控制台!$B$641:$B$645,0)-1,0),H228/G228*OFFSET(控制台!$H$641,MATCH(B228,控制台!$F$641:$F$650,0)-1,0)))</f>
        <v>19824000</v>
      </c>
      <c r="J228" s="1">
        <f ca="1">$I228/3*控制台!H$102</f>
        <v>6608000</v>
      </c>
      <c r="K228" s="1">
        <f ca="1">$I228/3*控制台!I$102</f>
        <v>4956000</v>
      </c>
      <c r="L228" s="1">
        <f ca="1">$I228/3*控制台!J$102</f>
        <v>8260000</v>
      </c>
      <c r="M228" s="1">
        <f ca="1">_xlfn.FLOOR.MATH(J228,POWER(10,MAX(2,INT(LOG10(J228)-2))))</f>
        <v>6600000</v>
      </c>
      <c r="N228" s="1">
        <f ca="1">_xlfn.FLOOR.MATH(K228,POWER(10,MAX(2,INT(LOG10(K228)-2))))</f>
        <v>4950000</v>
      </c>
      <c r="O228" s="1">
        <f ca="1">_xlfn.FLOOR.MATH(L228,POWER(10,MAX(2,INT(LOG10(L228)-2))))</f>
        <v>8260000</v>
      </c>
      <c r="P228" s="4" t="str">
        <f ca="1" t="shared" si="9"/>
        <v>6600000;4950000;8260000</v>
      </c>
      <c r="Q228" s="15">
        <f ca="1">IF(C228=1,OFFSET(控制台!$H$599,MATCH(F228,控制台!$B$599:$B$615,0)-1,0),OFFSET(控制台!$H$618,MATCH(F228,控制台!$B$618:$B$636,0)-1,0))</f>
        <v>77772.4416</v>
      </c>
      <c r="R228" s="15">
        <f ca="1">IF(E228=1,Q228/G228,IF(E228=5,Q228/G228*OFFSET(控制台!$D$641,MATCH(B228,控制台!$B$641:$B$645,0)-1,0),Q228/G228*OFFSET(控制台!$H$641,MATCH(B228,控制台!$F$641:$F$650,0)-1,0)))</f>
        <v>25924.1472</v>
      </c>
      <c r="S228" s="16">
        <f ca="1">_xlfn.FLOOR.MATH(R228)*60</f>
        <v>1555440</v>
      </c>
      <c r="T228" s="16">
        <f ca="1">8000+IF(C228=1,OFFSET(控制台!$K$599,MATCH(F228,控制台!$B$599:$B$615,0)-1,0),OFFSET(控制台!$K$618,MATCH(F228,控制台!$B$618:$B$636,0)-1,0))</f>
        <v>8021</v>
      </c>
      <c r="U228" s="1">
        <f ca="1">IF(C228=1,OFFSET(控制台!$F$599,MATCH(F228,控制台!$B$599:$B$615,0)-1,0),OFFSET(控制台!$F$618,MATCH(F228,控制台!$B$618:$B$636,0)-1,0))</f>
        <v>55157.76</v>
      </c>
      <c r="V228" s="1">
        <f ca="1">IF(E228=1,U228/G228,IF(E228=5,U228/G228*OFFSET(控制台!$D$641,MATCH(B228,控制台!$B$641:$B$645,0)-1,0),U228/G228*OFFSET(控制台!$H$641,MATCH(B228,控制台!$F$641:$F$650,0)-1,0)))</f>
        <v>18385.92</v>
      </c>
      <c r="W228" s="20">
        <f ca="1" t="shared" si="10"/>
        <v>12.768</v>
      </c>
      <c r="X228" s="15">
        <f ca="1">IF(C228=1,OFFSET(控制台!$U$599,MATCH(F228,控制台!$B$599:$B$615,0)-1,0),OFFSET(控制台!$U$618,MATCH(F228,控制台!$B$618:$B$636,0)-1,0))</f>
        <v>162015</v>
      </c>
      <c r="Y228" s="16">
        <f ca="1">_xlfn.FLOOR.MATH(IF(E228=1,X228/G228,IF(E228=5,X228/G228*OFFSET(控制台!$D$641,MATCH(B228,控制台!$B$641:$B$645,0)-1,0),X228/G228*OFFSET(控制台!$H$641,MATCH(B228,控制台!$F$641:$F$650,0)-1,0))))</f>
        <v>54005</v>
      </c>
      <c r="Z228" s="16">
        <f ca="1" t="shared" si="11"/>
        <v>54005</v>
      </c>
    </row>
    <row r="229" spans="1:26">
      <c r="A229" s="1">
        <v>20903</v>
      </c>
      <c r="B229" s="1">
        <v>1</v>
      </c>
      <c r="C229" s="1">
        <v>2</v>
      </c>
      <c r="D229" s="1" t="s">
        <v>2823</v>
      </c>
      <c r="E229" s="1">
        <f ca="1">IF(C229=1,OFFSET(控制台!$F$552,MATCH(A229,控制台!$B$552:$B$580,0)-1,0),OFFSET(控制台!$L$552,MATCH(A229,控制台!$H$552:$H$594,0)-1,0))</f>
        <v>1</v>
      </c>
      <c r="F229" s="1">
        <f ca="1">IF(C229=1,OFFSET(控制台!$D$552,MATCH(A229,控制台!$B$552:$B$580,0)-1,0),OFFSET(控制台!$J$552,MATCH(A229,控制台!$H$552:$H$594,0)-1,0))</f>
        <v>9</v>
      </c>
      <c r="G229" s="1">
        <f ca="1">IF(C229=1,OFFSET(控制台!$I$599,MATCH(F229,控制台!$B$599:$B$615,0)-1,0),OFFSET(控制台!$I$618,MATCH(F229,控制台!$B$618:$B$636,0)-1,0))</f>
        <v>3</v>
      </c>
      <c r="H229" s="1">
        <f ca="1">IF(C229=1,OFFSET(控制台!$D$599,MATCH(F229,控制台!$B$599:$B$615,0)-1,0),OFFSET(控制台!$D$618,MATCH(F229,控制台!$B$618:$B$636,0)-1,0))</f>
        <v>59472000</v>
      </c>
      <c r="I229" s="1">
        <f ca="1">IF(E229=1,H229/G229,IF(E229=5,H229/G229*OFFSET(控制台!$D$641,MATCH(B229,控制台!$B$641:$B$645,0)-1,0),H229/G229*OFFSET(控制台!$H$641,MATCH(B229,控制台!$F$641:$F$650,0)-1,0)))</f>
        <v>19824000</v>
      </c>
      <c r="J229" s="1">
        <f ca="1">$I229/3*控制台!H$102</f>
        <v>6608000</v>
      </c>
      <c r="K229" s="1">
        <f ca="1">$I229/3*控制台!I$102</f>
        <v>4956000</v>
      </c>
      <c r="L229" s="1">
        <f ca="1">$I229/3*控制台!J$102</f>
        <v>8260000</v>
      </c>
      <c r="M229" s="1">
        <f ca="1">_xlfn.FLOOR.MATH(J229,POWER(10,MAX(2,INT(LOG10(J229)-2))))</f>
        <v>6600000</v>
      </c>
      <c r="N229" s="1">
        <f ca="1">_xlfn.FLOOR.MATH(K229,POWER(10,MAX(2,INT(LOG10(K229)-2))))</f>
        <v>4950000</v>
      </c>
      <c r="O229" s="1">
        <f ca="1">_xlfn.FLOOR.MATH(L229,POWER(10,MAX(2,INT(LOG10(L229)-2))))</f>
        <v>8260000</v>
      </c>
      <c r="P229" s="4" t="str">
        <f ca="1" t="shared" si="9"/>
        <v>6600000;4950000;8260000</v>
      </c>
      <c r="Q229" s="15">
        <f ca="1">IF(C229=1,OFFSET(控制台!$H$599,MATCH(F229,控制台!$B$599:$B$615,0)-1,0),OFFSET(控制台!$H$618,MATCH(F229,控制台!$B$618:$B$636,0)-1,0))</f>
        <v>77772.4416</v>
      </c>
      <c r="R229" s="15">
        <f ca="1">IF(E229=1,Q229/G229,IF(E229=5,Q229/G229*OFFSET(控制台!$D$641,MATCH(B229,控制台!$B$641:$B$645,0)-1,0),Q229/G229*OFFSET(控制台!$H$641,MATCH(B229,控制台!$F$641:$F$650,0)-1,0)))</f>
        <v>25924.1472</v>
      </c>
      <c r="S229" s="16">
        <f ca="1">_xlfn.FLOOR.MATH(R229)*60</f>
        <v>1555440</v>
      </c>
      <c r="T229" s="16">
        <f ca="1">8000+IF(C229=1,OFFSET(控制台!$K$599,MATCH(F229,控制台!$B$599:$B$615,0)-1,0),OFFSET(控制台!$K$618,MATCH(F229,控制台!$B$618:$B$636,0)-1,0))</f>
        <v>8021</v>
      </c>
      <c r="U229" s="1">
        <f ca="1">IF(C229=1,OFFSET(控制台!$F$599,MATCH(F229,控制台!$B$599:$B$615,0)-1,0),OFFSET(控制台!$F$618,MATCH(F229,控制台!$B$618:$B$636,0)-1,0))</f>
        <v>55157.76</v>
      </c>
      <c r="V229" s="1">
        <f ca="1">IF(E229=1,U229/G229,IF(E229=5,U229/G229*OFFSET(控制台!$D$641,MATCH(B229,控制台!$B$641:$B$645,0)-1,0),U229/G229*OFFSET(控制台!$H$641,MATCH(B229,控制台!$F$641:$F$650,0)-1,0)))</f>
        <v>18385.92</v>
      </c>
      <c r="W229" s="20">
        <f ca="1" t="shared" si="10"/>
        <v>12.768</v>
      </c>
      <c r="X229" s="15">
        <f ca="1">IF(C229=1,OFFSET(控制台!$U$599,MATCH(F229,控制台!$B$599:$B$615,0)-1,0),OFFSET(控制台!$U$618,MATCH(F229,控制台!$B$618:$B$636,0)-1,0))</f>
        <v>162015</v>
      </c>
      <c r="Y229" s="16">
        <f ca="1">_xlfn.FLOOR.MATH(IF(E229=1,X229/G229,IF(E229=5,X229/G229*OFFSET(控制台!$D$641,MATCH(B229,控制台!$B$641:$B$645,0)-1,0),X229/G229*OFFSET(控制台!$H$641,MATCH(B229,控制台!$F$641:$F$650,0)-1,0))))</f>
        <v>54005</v>
      </c>
      <c r="Z229" s="16">
        <f ca="1" t="shared" si="11"/>
        <v>54005</v>
      </c>
    </row>
    <row r="230" spans="1:26">
      <c r="A230" s="1">
        <v>21001</v>
      </c>
      <c r="B230" s="1">
        <v>1</v>
      </c>
      <c r="C230" s="1">
        <v>2</v>
      </c>
      <c r="D230" s="1" t="s">
        <v>2824</v>
      </c>
      <c r="E230" s="1">
        <f ca="1">IF(C230=1,OFFSET(控制台!$F$552,MATCH(A230,控制台!$B$552:$B$580,0)-1,0),OFFSET(控制台!$L$552,MATCH(A230,控制台!$H$552:$H$594,0)-1,0))</f>
        <v>10</v>
      </c>
      <c r="F230" s="1">
        <f ca="1">IF(C230=1,OFFSET(控制台!$D$552,MATCH(A230,控制台!$B$552:$B$580,0)-1,0),OFFSET(控制台!$J$552,MATCH(A230,控制台!$H$552:$H$594,0)-1,0))</f>
        <v>10</v>
      </c>
      <c r="G230" s="1">
        <f ca="1">IF(C230=1,OFFSET(控制台!$I$599,MATCH(F230,控制台!$B$599:$B$615,0)-1,0),OFFSET(控制台!$I$618,MATCH(F230,控制台!$B$618:$B$636,0)-1,0))</f>
        <v>3</v>
      </c>
      <c r="H230" s="1">
        <f ca="1">IF(C230=1,OFFSET(控制台!$D$599,MATCH(F230,控制台!$B$599:$B$615,0)-1,0),OFFSET(控制台!$D$618,MATCH(F230,控制台!$B$618:$B$636,0)-1,0))</f>
        <v>78624000</v>
      </c>
      <c r="I230" s="1">
        <f ca="1">IF(E230=1,H230/G230,IF(E230=5,H230/G230*OFFSET(控制台!$D$641,MATCH(B230,控制台!$B$641:$B$645,0)-1,0),H230/G230*OFFSET(控制台!$H$641,MATCH(B230,控制台!$F$641:$F$650,0)-1,0)))</f>
        <v>238254.545454545</v>
      </c>
      <c r="J230" s="1">
        <f ca="1">$I230/3*控制台!H$102</f>
        <v>79418.1818181818</v>
      </c>
      <c r="K230" s="1">
        <f ca="1">$I230/3*控制台!I$102</f>
        <v>59563.6363636363</v>
      </c>
      <c r="L230" s="1">
        <f ca="1">$I230/3*控制台!J$102</f>
        <v>99272.7272727272</v>
      </c>
      <c r="M230" s="1">
        <f ca="1">_xlfn.FLOOR.MATH(J230,POWER(10,MAX(2,INT(LOG10(J230)-2))))</f>
        <v>79400</v>
      </c>
      <c r="N230" s="1">
        <f ca="1">_xlfn.FLOOR.MATH(K230,POWER(10,MAX(2,INT(LOG10(K230)-2))))</f>
        <v>59500</v>
      </c>
      <c r="O230" s="1">
        <f ca="1">_xlfn.FLOOR.MATH(L230,POWER(10,MAX(2,INT(LOG10(L230)-2))))</f>
        <v>99200</v>
      </c>
      <c r="P230" s="4" t="str">
        <f ca="1" t="shared" si="9"/>
        <v>79400;59500;99200</v>
      </c>
      <c r="Q230" s="15">
        <f ca="1">IF(C230=1,OFFSET(控制台!$H$599,MATCH(F230,控制台!$B$599:$B$615,0)-1,0),OFFSET(控制台!$H$618,MATCH(F230,控制台!$B$618:$B$636,0)-1,0))</f>
        <v>98819.4816000001</v>
      </c>
      <c r="R230" s="15">
        <f ca="1">IF(E230=1,Q230/G230,IF(E230=5,Q230/G230*OFFSET(控制台!$D$641,MATCH(B230,控制台!$B$641:$B$645,0)-1,0),Q230/G230*OFFSET(控制台!$H$641,MATCH(B230,控制台!$F$641:$F$650,0)-1,0)))</f>
        <v>299.452974545455</v>
      </c>
      <c r="S230" s="16">
        <f ca="1">_xlfn.FLOOR.MATH(R230)*60</f>
        <v>17940</v>
      </c>
      <c r="T230" s="16">
        <f ca="1">8000+IF(C230=1,OFFSET(控制台!$K$599,MATCH(F230,控制台!$B$599:$B$615,0)-1,0),OFFSET(控制台!$K$618,MATCH(F230,控制台!$B$618:$B$636,0)-1,0))</f>
        <v>8022</v>
      </c>
      <c r="U230" s="1">
        <f ca="1">IF(C230=1,OFFSET(控制台!$F$599,MATCH(F230,控制台!$B$599:$B$615,0)-1,0),OFFSET(控制台!$F$618,MATCH(F230,控制台!$B$618:$B$636,0)-1,0))</f>
        <v>66769.92</v>
      </c>
      <c r="V230" s="1">
        <f ca="1">IF(E230=1,U230/G230,IF(E230=5,U230/G230*OFFSET(控制台!$D$641,MATCH(B230,控制台!$B$641:$B$645,0)-1,0),U230/G230*OFFSET(控制台!$H$641,MATCH(B230,控制台!$F$641:$F$650,0)-1,0)))</f>
        <v>202.333090909091</v>
      </c>
      <c r="W230" s="20">
        <f ca="1" t="shared" si="10"/>
        <v>0.140509090909091</v>
      </c>
      <c r="X230" s="15">
        <f ca="1">IF(C230=1,OFFSET(控制台!$U$599,MATCH(F230,控制台!$B$599:$B$615,0)-1,0),OFFSET(控制台!$U$618,MATCH(F230,控制台!$B$618:$B$636,0)-1,0))</f>
        <v>197505</v>
      </c>
      <c r="Y230" s="16">
        <f ca="1">_xlfn.FLOOR.MATH(IF(E230=1,X230/G230,IF(E230=5,X230/G230*OFFSET(控制台!$D$641,MATCH(B230,控制台!$B$641:$B$645,0)-1,0),X230/G230*OFFSET(控制台!$H$641,MATCH(B230,控制台!$F$641:$F$650,0)-1,0))))</f>
        <v>598</v>
      </c>
      <c r="Z230" s="16">
        <f ca="1" t="shared" si="11"/>
        <v>598</v>
      </c>
    </row>
    <row r="231" spans="1:26">
      <c r="A231" s="1">
        <v>21001</v>
      </c>
      <c r="B231" s="1">
        <v>2</v>
      </c>
      <c r="C231" s="1">
        <v>2</v>
      </c>
      <c r="D231" s="1" t="s">
        <v>2824</v>
      </c>
      <c r="E231" s="1">
        <f ca="1">IF(C231=1,OFFSET(控制台!$F$552,MATCH(A231,控制台!$B$552:$B$580,0)-1,0),OFFSET(控制台!$L$552,MATCH(A231,控制台!$H$552:$H$594,0)-1,0))</f>
        <v>10</v>
      </c>
      <c r="F231" s="1">
        <f ca="1">IF(C231=1,OFFSET(控制台!$D$552,MATCH(A231,控制台!$B$552:$B$580,0)-1,0),OFFSET(控制台!$J$552,MATCH(A231,控制台!$H$552:$H$594,0)-1,0))</f>
        <v>10</v>
      </c>
      <c r="G231" s="1">
        <f ca="1">IF(C231=1,OFFSET(控制台!$I$599,MATCH(F231,控制台!$B$599:$B$615,0)-1,0),OFFSET(控制台!$I$618,MATCH(F231,控制台!$B$618:$B$636,0)-1,0))</f>
        <v>3</v>
      </c>
      <c r="H231" s="1">
        <f ca="1">IF(C231=1,OFFSET(控制台!$D$599,MATCH(F231,控制台!$B$599:$B$615,0)-1,0),OFFSET(控制台!$D$618,MATCH(F231,控制台!$B$618:$B$636,0)-1,0))</f>
        <v>78624000</v>
      </c>
      <c r="I231" s="1">
        <f ca="1">IF(E231=1,H231/G231,IF(E231=5,H231/G231*OFFSET(控制台!$D$641,MATCH(B231,控制台!$B$641:$B$645,0)-1,0),H231/G231*OFFSET(控制台!$H$641,MATCH(B231,控制台!$F$641:$F$650,0)-1,0)))</f>
        <v>357381.818181817</v>
      </c>
      <c r="J231" s="1">
        <f ca="1">$I231/3*控制台!H$102</f>
        <v>119127.272727272</v>
      </c>
      <c r="K231" s="1">
        <f ca="1">$I231/3*控制台!I$102</f>
        <v>89345.4545454543</v>
      </c>
      <c r="L231" s="1">
        <f ca="1">$I231/3*控制台!J$102</f>
        <v>148909.09090909</v>
      </c>
      <c r="M231" s="1">
        <f ca="1">_xlfn.FLOOR.MATH(J231,POWER(10,MAX(2,INT(LOG10(J231)-2))))</f>
        <v>119000</v>
      </c>
      <c r="N231" s="1">
        <f ca="1">_xlfn.FLOOR.MATH(K231,POWER(10,MAX(2,INT(LOG10(K231)-2))))</f>
        <v>89300</v>
      </c>
      <c r="O231" s="1">
        <f ca="1">_xlfn.FLOOR.MATH(L231,POWER(10,MAX(2,INT(LOG10(L231)-2))))</f>
        <v>148000</v>
      </c>
      <c r="P231" s="4" t="str">
        <f ca="1" t="shared" si="9"/>
        <v>119000;89300;148000</v>
      </c>
      <c r="Q231" s="15">
        <f ca="1">IF(C231=1,OFFSET(控制台!$H$599,MATCH(F231,控制台!$B$599:$B$615,0)-1,0),OFFSET(控制台!$H$618,MATCH(F231,控制台!$B$618:$B$636,0)-1,0))</f>
        <v>98819.4816000001</v>
      </c>
      <c r="R231" s="15">
        <f ca="1">IF(E231=1,Q231/G231,IF(E231=5,Q231/G231*OFFSET(控制台!$D$641,MATCH(B231,控制台!$B$641:$B$645,0)-1,0),Q231/G231*OFFSET(控制台!$H$641,MATCH(B231,控制台!$F$641:$F$650,0)-1,0)))</f>
        <v>449.179461818181</v>
      </c>
      <c r="S231" s="16">
        <f ca="1">_xlfn.FLOOR.MATH(R231)*60</f>
        <v>26940</v>
      </c>
      <c r="T231" s="16">
        <f ca="1">8000+IF(C231=1,OFFSET(控制台!$K$599,MATCH(F231,控制台!$B$599:$B$615,0)-1,0),OFFSET(控制台!$K$618,MATCH(F231,控制台!$B$618:$B$636,0)-1,0))</f>
        <v>8022</v>
      </c>
      <c r="U231" s="1">
        <f ca="1">IF(C231=1,OFFSET(控制台!$F$599,MATCH(F231,控制台!$B$599:$B$615,0)-1,0),OFFSET(控制台!$F$618,MATCH(F231,控制台!$B$618:$B$636,0)-1,0))</f>
        <v>66769.92</v>
      </c>
      <c r="V231" s="1">
        <f ca="1">IF(E231=1,U231/G231,IF(E231=5,U231/G231*OFFSET(控制台!$D$641,MATCH(B231,控制台!$B$641:$B$645,0)-1,0),U231/G231*OFFSET(控制台!$H$641,MATCH(B231,控制台!$F$641:$F$650,0)-1,0)))</f>
        <v>303.499636363636</v>
      </c>
      <c r="W231" s="20">
        <f ca="1" t="shared" si="10"/>
        <v>0.210763636363636</v>
      </c>
      <c r="X231" s="15">
        <f ca="1">IF(C231=1,OFFSET(控制台!$U$599,MATCH(F231,控制台!$B$599:$B$615,0)-1,0),OFFSET(控制台!$U$618,MATCH(F231,控制台!$B$618:$B$636,0)-1,0))</f>
        <v>197505</v>
      </c>
      <c r="Y231" s="16">
        <f ca="1">_xlfn.FLOOR.MATH(IF(E231=1,X231/G231,IF(E231=5,X231/G231*OFFSET(控制台!$D$641,MATCH(B231,控制台!$B$641:$B$645,0)-1,0),X231/G231*OFFSET(控制台!$H$641,MATCH(B231,控制台!$F$641:$F$650,0)-1,0))))</f>
        <v>897</v>
      </c>
      <c r="Z231" s="16">
        <f ca="1" t="shared" si="11"/>
        <v>1495</v>
      </c>
    </row>
    <row r="232" spans="1:26">
      <c r="A232" s="1">
        <v>21001</v>
      </c>
      <c r="B232" s="1">
        <v>3</v>
      </c>
      <c r="C232" s="1">
        <v>2</v>
      </c>
      <c r="D232" s="1" t="s">
        <v>2824</v>
      </c>
      <c r="E232" s="1">
        <f ca="1">IF(C232=1,OFFSET(控制台!$F$552,MATCH(A232,控制台!$B$552:$B$580,0)-1,0),OFFSET(控制台!$L$552,MATCH(A232,控制台!$H$552:$H$594,0)-1,0))</f>
        <v>10</v>
      </c>
      <c r="F232" s="1">
        <f ca="1">IF(C232=1,OFFSET(控制台!$D$552,MATCH(A232,控制台!$B$552:$B$580,0)-1,0),OFFSET(控制台!$J$552,MATCH(A232,控制台!$H$552:$H$594,0)-1,0))</f>
        <v>10</v>
      </c>
      <c r="G232" s="1">
        <f ca="1">IF(C232=1,OFFSET(控制台!$I$599,MATCH(F232,控制台!$B$599:$B$615,0)-1,0),OFFSET(控制台!$I$618,MATCH(F232,控制台!$B$618:$B$636,0)-1,0))</f>
        <v>3</v>
      </c>
      <c r="H232" s="1">
        <f ca="1">IF(C232=1,OFFSET(控制台!$D$599,MATCH(F232,控制台!$B$599:$B$615,0)-1,0),OFFSET(控制台!$D$618,MATCH(F232,控制台!$B$618:$B$636,0)-1,0))</f>
        <v>78624000</v>
      </c>
      <c r="I232" s="1">
        <f ca="1">IF(E232=1,H232/G232,IF(E232=5,H232/G232*OFFSET(控制台!$D$641,MATCH(B232,控制台!$B$641:$B$645,0)-1,0),H232/G232*OFFSET(控制台!$H$641,MATCH(B232,控制台!$F$641:$F$650,0)-1,0)))</f>
        <v>476509.090909091</v>
      </c>
      <c r="J232" s="1">
        <f ca="1">$I232/3*控制台!H$102</f>
        <v>158836.363636364</v>
      </c>
      <c r="K232" s="1">
        <f ca="1">$I232/3*控制台!I$102</f>
        <v>119127.272727273</v>
      </c>
      <c r="L232" s="1">
        <f ca="1">$I232/3*控制台!J$102</f>
        <v>198545.454545455</v>
      </c>
      <c r="M232" s="1">
        <f ca="1">_xlfn.FLOOR.MATH(J232,POWER(10,MAX(2,INT(LOG10(J232)-2))))</f>
        <v>158000</v>
      </c>
      <c r="N232" s="1">
        <f ca="1">_xlfn.FLOOR.MATH(K232,POWER(10,MAX(2,INT(LOG10(K232)-2))))</f>
        <v>119000</v>
      </c>
      <c r="O232" s="1">
        <f ca="1">_xlfn.FLOOR.MATH(L232,POWER(10,MAX(2,INT(LOG10(L232)-2))))</f>
        <v>198000</v>
      </c>
      <c r="P232" s="4" t="str">
        <f ca="1" t="shared" si="9"/>
        <v>158000;119000;198000</v>
      </c>
      <c r="Q232" s="15">
        <f ca="1">IF(C232=1,OFFSET(控制台!$H$599,MATCH(F232,控制台!$B$599:$B$615,0)-1,0),OFFSET(控制台!$H$618,MATCH(F232,控制台!$B$618:$B$636,0)-1,0))</f>
        <v>98819.4816000001</v>
      </c>
      <c r="R232" s="15">
        <f ca="1">IF(E232=1,Q232/G232,IF(E232=5,Q232/G232*OFFSET(控制台!$D$641,MATCH(B232,控制台!$B$641:$B$645,0)-1,0),Q232/G232*OFFSET(控制台!$H$641,MATCH(B232,控制台!$F$641:$F$650,0)-1,0)))</f>
        <v>598.90594909091</v>
      </c>
      <c r="S232" s="16">
        <f ca="1">_xlfn.FLOOR.MATH(R232)*60</f>
        <v>35880</v>
      </c>
      <c r="T232" s="16">
        <f ca="1">8000+IF(C232=1,OFFSET(控制台!$K$599,MATCH(F232,控制台!$B$599:$B$615,0)-1,0),OFFSET(控制台!$K$618,MATCH(F232,控制台!$B$618:$B$636,0)-1,0))</f>
        <v>8022</v>
      </c>
      <c r="U232" s="1">
        <f ca="1">IF(C232=1,OFFSET(控制台!$F$599,MATCH(F232,控制台!$B$599:$B$615,0)-1,0),OFFSET(控制台!$F$618,MATCH(F232,控制台!$B$618:$B$636,0)-1,0))</f>
        <v>66769.92</v>
      </c>
      <c r="V232" s="1">
        <f ca="1">IF(E232=1,U232/G232,IF(E232=5,U232/G232*OFFSET(控制台!$D$641,MATCH(B232,控制台!$B$641:$B$645,0)-1,0),U232/G232*OFFSET(控制台!$H$641,MATCH(B232,控制台!$F$641:$F$650,0)-1,0)))</f>
        <v>404.666181818182</v>
      </c>
      <c r="W232" s="20">
        <f ca="1" t="shared" si="10"/>
        <v>0.281018181818182</v>
      </c>
      <c r="X232" s="15">
        <f ca="1">IF(C232=1,OFFSET(控制台!$U$599,MATCH(F232,控制台!$B$599:$B$615,0)-1,0),OFFSET(控制台!$U$618,MATCH(F232,控制台!$B$618:$B$636,0)-1,0))</f>
        <v>197505</v>
      </c>
      <c r="Y232" s="16">
        <f ca="1">_xlfn.FLOOR.MATH(IF(E232=1,X232/G232,IF(E232=5,X232/G232*OFFSET(控制台!$D$641,MATCH(B232,控制台!$B$641:$B$645,0)-1,0),X232/G232*OFFSET(控制台!$H$641,MATCH(B232,控制台!$F$641:$F$650,0)-1,0))))</f>
        <v>1197</v>
      </c>
      <c r="Z232" s="16">
        <f ca="1" t="shared" si="11"/>
        <v>2692</v>
      </c>
    </row>
    <row r="233" spans="1:26">
      <c r="A233" s="1">
        <v>21001</v>
      </c>
      <c r="B233" s="1">
        <v>4</v>
      </c>
      <c r="C233" s="1">
        <v>2</v>
      </c>
      <c r="D233" s="1" t="s">
        <v>2824</v>
      </c>
      <c r="E233" s="1">
        <f ca="1">IF(C233=1,OFFSET(控制台!$F$552,MATCH(A233,控制台!$B$552:$B$580,0)-1,0),OFFSET(控制台!$L$552,MATCH(A233,控制台!$H$552:$H$594,0)-1,0))</f>
        <v>10</v>
      </c>
      <c r="F233" s="1">
        <f ca="1">IF(C233=1,OFFSET(控制台!$D$552,MATCH(A233,控制台!$B$552:$B$580,0)-1,0),OFFSET(控制台!$J$552,MATCH(A233,控制台!$H$552:$H$594,0)-1,0))</f>
        <v>10</v>
      </c>
      <c r="G233" s="1">
        <f ca="1">IF(C233=1,OFFSET(控制台!$I$599,MATCH(F233,控制台!$B$599:$B$615,0)-1,0),OFFSET(控制台!$I$618,MATCH(F233,控制台!$B$618:$B$636,0)-1,0))</f>
        <v>3</v>
      </c>
      <c r="H233" s="1">
        <f ca="1">IF(C233=1,OFFSET(控制台!$D$599,MATCH(F233,控制台!$B$599:$B$615,0)-1,0),OFFSET(控制台!$D$618,MATCH(F233,控制台!$B$618:$B$636,0)-1,0))</f>
        <v>78624000</v>
      </c>
      <c r="I233" s="1">
        <f ca="1">IF(E233=1,H233/G233,IF(E233=5,H233/G233*OFFSET(控制台!$D$641,MATCH(B233,控制台!$B$641:$B$645,0)-1,0),H233/G233*OFFSET(控制台!$H$641,MATCH(B233,控制台!$F$641:$F$650,0)-1,0)))</f>
        <v>714763.636363637</v>
      </c>
      <c r="J233" s="1">
        <f ca="1">$I233/3*控制台!H$102</f>
        <v>238254.545454546</v>
      </c>
      <c r="K233" s="1">
        <f ca="1">$I233/3*控制台!I$102</f>
        <v>178690.909090909</v>
      </c>
      <c r="L233" s="1">
        <f ca="1">$I233/3*控制台!J$102</f>
        <v>297818.181818182</v>
      </c>
      <c r="M233" s="1">
        <f ca="1">_xlfn.FLOOR.MATH(J233,POWER(10,MAX(2,INT(LOG10(J233)-2))))</f>
        <v>238000</v>
      </c>
      <c r="N233" s="1">
        <f ca="1">_xlfn.FLOOR.MATH(K233,POWER(10,MAX(2,INT(LOG10(K233)-2))))</f>
        <v>178000</v>
      </c>
      <c r="O233" s="1">
        <f ca="1">_xlfn.FLOOR.MATH(L233,POWER(10,MAX(2,INT(LOG10(L233)-2))))</f>
        <v>297000</v>
      </c>
      <c r="P233" s="4" t="str">
        <f ca="1" t="shared" si="9"/>
        <v>238000;178000;297000</v>
      </c>
      <c r="Q233" s="15">
        <f ca="1">IF(C233=1,OFFSET(控制台!$H$599,MATCH(F233,控制台!$B$599:$B$615,0)-1,0),OFFSET(控制台!$H$618,MATCH(F233,控制台!$B$618:$B$636,0)-1,0))</f>
        <v>98819.4816000001</v>
      </c>
      <c r="R233" s="15">
        <f ca="1">IF(E233=1,Q233/G233,IF(E233=5,Q233/G233*OFFSET(控制台!$D$641,MATCH(B233,控制台!$B$641:$B$645,0)-1,0),Q233/G233*OFFSET(控制台!$H$641,MATCH(B233,控制台!$F$641:$F$650,0)-1,0)))</f>
        <v>898.358923636365</v>
      </c>
      <c r="S233" s="16">
        <f ca="1">_xlfn.FLOOR.MATH(R233)*60</f>
        <v>53880</v>
      </c>
      <c r="T233" s="16">
        <f ca="1">8000+IF(C233=1,OFFSET(控制台!$K$599,MATCH(F233,控制台!$B$599:$B$615,0)-1,0),OFFSET(控制台!$K$618,MATCH(F233,控制台!$B$618:$B$636,0)-1,0))</f>
        <v>8022</v>
      </c>
      <c r="U233" s="1">
        <f ca="1">IF(C233=1,OFFSET(控制台!$F$599,MATCH(F233,控制台!$B$599:$B$615,0)-1,0),OFFSET(控制台!$F$618,MATCH(F233,控制台!$B$618:$B$636,0)-1,0))</f>
        <v>66769.92</v>
      </c>
      <c r="V233" s="1">
        <f ca="1">IF(E233=1,U233/G233,IF(E233=5,U233/G233*OFFSET(控制台!$D$641,MATCH(B233,控制台!$B$641:$B$645,0)-1,0),U233/G233*OFFSET(控制台!$H$641,MATCH(B233,控制台!$F$641:$F$650,0)-1,0)))</f>
        <v>606.999272727274</v>
      </c>
      <c r="W233" s="20">
        <f ca="1" t="shared" si="10"/>
        <v>0.421527272727273</v>
      </c>
      <c r="X233" s="15">
        <f ca="1">IF(C233=1,OFFSET(控制台!$U$599,MATCH(F233,控制台!$B$599:$B$615,0)-1,0),OFFSET(控制台!$U$618,MATCH(F233,控制台!$B$618:$B$636,0)-1,0))</f>
        <v>197505</v>
      </c>
      <c r="Y233" s="16">
        <f ca="1">_xlfn.FLOOR.MATH(IF(E233=1,X233/G233,IF(E233=5,X233/G233*OFFSET(控制台!$D$641,MATCH(B233,控制台!$B$641:$B$645,0)-1,0),X233/G233*OFFSET(控制台!$H$641,MATCH(B233,控制台!$F$641:$F$650,0)-1,0))))</f>
        <v>1795</v>
      </c>
      <c r="Z233" s="16">
        <f ca="1" t="shared" si="11"/>
        <v>4487</v>
      </c>
    </row>
    <row r="234" spans="1:26">
      <c r="A234" s="1">
        <v>21001</v>
      </c>
      <c r="B234" s="1">
        <v>5</v>
      </c>
      <c r="C234" s="1">
        <v>2</v>
      </c>
      <c r="D234" s="1" t="s">
        <v>2824</v>
      </c>
      <c r="E234" s="1">
        <f ca="1">IF(C234=1,OFFSET(控制台!$F$552,MATCH(A234,控制台!$B$552:$B$580,0)-1,0),OFFSET(控制台!$L$552,MATCH(A234,控制台!$H$552:$H$594,0)-1,0))</f>
        <v>10</v>
      </c>
      <c r="F234" s="1">
        <f ca="1">IF(C234=1,OFFSET(控制台!$D$552,MATCH(A234,控制台!$B$552:$B$580,0)-1,0),OFFSET(控制台!$J$552,MATCH(A234,控制台!$H$552:$H$594,0)-1,0))</f>
        <v>10</v>
      </c>
      <c r="G234" s="1">
        <f ca="1">IF(C234=1,OFFSET(控制台!$I$599,MATCH(F234,控制台!$B$599:$B$615,0)-1,0),OFFSET(控制台!$I$618,MATCH(F234,控制台!$B$618:$B$636,0)-1,0))</f>
        <v>3</v>
      </c>
      <c r="H234" s="1">
        <f ca="1">IF(C234=1,OFFSET(控制台!$D$599,MATCH(F234,控制台!$B$599:$B$615,0)-1,0),OFFSET(控制台!$D$618,MATCH(F234,控制台!$B$618:$B$636,0)-1,0))</f>
        <v>78624000</v>
      </c>
      <c r="I234" s="1">
        <f ca="1">IF(E234=1,H234/G234,IF(E234=5,H234/G234*OFFSET(控制台!$D$641,MATCH(B234,控制台!$B$641:$B$645,0)-1,0),H234/G234*OFFSET(控制台!$H$641,MATCH(B234,控制台!$F$641:$F$650,0)-1,0)))</f>
        <v>1191272.72727273</v>
      </c>
      <c r="J234" s="1">
        <f ca="1">$I234/3*控制台!H$102</f>
        <v>397090.909090909</v>
      </c>
      <c r="K234" s="1">
        <f ca="1">$I234/3*控制台!I$102</f>
        <v>297818.181818182</v>
      </c>
      <c r="L234" s="1">
        <f ca="1">$I234/3*控制台!J$102</f>
        <v>496363.636363637</v>
      </c>
      <c r="M234" s="1">
        <f ca="1">_xlfn.FLOOR.MATH(J234,POWER(10,MAX(2,INT(LOG10(J234)-2))))</f>
        <v>397000</v>
      </c>
      <c r="N234" s="1">
        <f ca="1">_xlfn.FLOOR.MATH(K234,POWER(10,MAX(2,INT(LOG10(K234)-2))))</f>
        <v>297000</v>
      </c>
      <c r="O234" s="1">
        <f ca="1">_xlfn.FLOOR.MATH(L234,POWER(10,MAX(2,INT(LOG10(L234)-2))))</f>
        <v>496000</v>
      </c>
      <c r="P234" s="4" t="str">
        <f ca="1" t="shared" si="9"/>
        <v>397000;297000;496000</v>
      </c>
      <c r="Q234" s="15">
        <f ca="1">IF(C234=1,OFFSET(控制台!$H$599,MATCH(F234,控制台!$B$599:$B$615,0)-1,0),OFFSET(控制台!$H$618,MATCH(F234,控制台!$B$618:$B$636,0)-1,0))</f>
        <v>98819.4816000001</v>
      </c>
      <c r="R234" s="15">
        <f ca="1">IF(E234=1,Q234/G234,IF(E234=5,Q234/G234*OFFSET(控制台!$D$641,MATCH(B234,控制台!$B$641:$B$645,0)-1,0),Q234/G234*OFFSET(控制台!$H$641,MATCH(B234,控制台!$F$641:$F$650,0)-1,0)))</f>
        <v>1497.26487272728</v>
      </c>
      <c r="S234" s="16">
        <f ca="1">_xlfn.FLOOR.MATH(R234)*60</f>
        <v>89820</v>
      </c>
      <c r="T234" s="16">
        <f ca="1">8000+IF(C234=1,OFFSET(控制台!$K$599,MATCH(F234,控制台!$B$599:$B$615,0)-1,0),OFFSET(控制台!$K$618,MATCH(F234,控制台!$B$618:$B$636,0)-1,0))</f>
        <v>8022</v>
      </c>
      <c r="U234" s="1">
        <f ca="1">IF(C234=1,OFFSET(控制台!$F$599,MATCH(F234,控制台!$B$599:$B$615,0)-1,0),OFFSET(控制台!$F$618,MATCH(F234,控制台!$B$618:$B$636,0)-1,0))</f>
        <v>66769.92</v>
      </c>
      <c r="V234" s="1">
        <f ca="1">IF(E234=1,U234/G234,IF(E234=5,U234/G234*OFFSET(控制台!$D$641,MATCH(B234,控制台!$B$641:$B$645,0)-1,0),U234/G234*OFFSET(控制台!$H$641,MATCH(B234,控制台!$F$641:$F$650,0)-1,0)))</f>
        <v>1011.66545454546</v>
      </c>
      <c r="W234" s="20">
        <f ca="1" t="shared" si="10"/>
        <v>0.702545454545456</v>
      </c>
      <c r="X234" s="15">
        <f ca="1">IF(C234=1,OFFSET(控制台!$U$599,MATCH(F234,控制台!$B$599:$B$615,0)-1,0),OFFSET(控制台!$U$618,MATCH(F234,控制台!$B$618:$B$636,0)-1,0))</f>
        <v>197505</v>
      </c>
      <c r="Y234" s="16">
        <f ca="1">_xlfn.FLOOR.MATH(IF(E234=1,X234/G234,IF(E234=5,X234/G234*OFFSET(控制台!$D$641,MATCH(B234,控制台!$B$641:$B$645,0)-1,0),X234/G234*OFFSET(控制台!$H$641,MATCH(B234,控制台!$F$641:$F$650,0)-1,0))))</f>
        <v>2992</v>
      </c>
      <c r="Z234" s="16">
        <f ca="1" t="shared" si="11"/>
        <v>7479</v>
      </c>
    </row>
    <row r="235" spans="1:26">
      <c r="A235" s="1">
        <v>21001</v>
      </c>
      <c r="B235" s="1">
        <v>6</v>
      </c>
      <c r="C235" s="1">
        <v>2</v>
      </c>
      <c r="D235" s="1" t="s">
        <v>2824</v>
      </c>
      <c r="E235" s="1">
        <f ca="1">IF(C235=1,OFFSET(控制台!$F$552,MATCH(A235,控制台!$B$552:$B$580,0)-1,0),OFFSET(控制台!$L$552,MATCH(A235,控制台!$H$552:$H$594,0)-1,0))</f>
        <v>10</v>
      </c>
      <c r="F235" s="1">
        <f ca="1">IF(C235=1,OFFSET(控制台!$D$552,MATCH(A235,控制台!$B$552:$B$580,0)-1,0),OFFSET(控制台!$J$552,MATCH(A235,控制台!$H$552:$H$594,0)-1,0))</f>
        <v>10</v>
      </c>
      <c r="G235" s="1">
        <f ca="1">IF(C235=1,OFFSET(控制台!$I$599,MATCH(F235,控制台!$B$599:$B$615,0)-1,0),OFFSET(控制台!$I$618,MATCH(F235,控制台!$B$618:$B$636,0)-1,0))</f>
        <v>3</v>
      </c>
      <c r="H235" s="1">
        <f ca="1">IF(C235=1,OFFSET(控制台!$D$599,MATCH(F235,控制台!$B$599:$B$615,0)-1,0),OFFSET(控制台!$D$618,MATCH(F235,控制台!$B$618:$B$636,0)-1,0))</f>
        <v>78624000</v>
      </c>
      <c r="I235" s="1">
        <f ca="1">IF(E235=1,H235/G235,IF(E235=5,H235/G235*OFFSET(控制台!$D$641,MATCH(B235,控制台!$B$641:$B$645,0)-1,0),H235/G235*OFFSET(控制台!$H$641,MATCH(B235,控制台!$F$641:$F$650,0)-1,0)))</f>
        <v>1786909.09090909</v>
      </c>
      <c r="J235" s="1">
        <f ca="1">$I235/3*控制台!H$102</f>
        <v>595636.363636364</v>
      </c>
      <c r="K235" s="1">
        <f ca="1">$I235/3*控制台!I$102</f>
        <v>446727.272727273</v>
      </c>
      <c r="L235" s="1">
        <f ca="1">$I235/3*控制台!J$102</f>
        <v>744545.454545455</v>
      </c>
      <c r="M235" s="1">
        <f ca="1">_xlfn.FLOOR.MATH(J235,POWER(10,MAX(2,INT(LOG10(J235)-2))))</f>
        <v>595000</v>
      </c>
      <c r="N235" s="1">
        <f ca="1">_xlfn.FLOOR.MATH(K235,POWER(10,MAX(2,INT(LOG10(K235)-2))))</f>
        <v>446000</v>
      </c>
      <c r="O235" s="1">
        <f ca="1">_xlfn.FLOOR.MATH(L235,POWER(10,MAX(2,INT(LOG10(L235)-2))))</f>
        <v>744000</v>
      </c>
      <c r="P235" s="4" t="str">
        <f ca="1" t="shared" si="9"/>
        <v>595000;446000;744000</v>
      </c>
      <c r="Q235" s="15">
        <f ca="1">IF(C235=1,OFFSET(控制台!$H$599,MATCH(F235,控制台!$B$599:$B$615,0)-1,0),OFFSET(控制台!$H$618,MATCH(F235,控制台!$B$618:$B$636,0)-1,0))</f>
        <v>98819.4816000001</v>
      </c>
      <c r="R235" s="15">
        <f ca="1">IF(E235=1,Q235/G235,IF(E235=5,Q235/G235*OFFSET(控制台!$D$641,MATCH(B235,控制台!$B$641:$B$645,0)-1,0),Q235/G235*OFFSET(控制台!$H$641,MATCH(B235,控制台!$F$641:$F$650,0)-1,0)))</f>
        <v>2245.89730909091</v>
      </c>
      <c r="S235" s="16">
        <f ca="1">_xlfn.FLOOR.MATH(R235)*60</f>
        <v>134700</v>
      </c>
      <c r="T235" s="16">
        <f ca="1">8000+IF(C235=1,OFFSET(控制台!$K$599,MATCH(F235,控制台!$B$599:$B$615,0)-1,0),OFFSET(控制台!$K$618,MATCH(F235,控制台!$B$618:$B$636,0)-1,0))</f>
        <v>8022</v>
      </c>
      <c r="U235" s="1">
        <f ca="1">IF(C235=1,OFFSET(控制台!$F$599,MATCH(F235,控制台!$B$599:$B$615,0)-1,0),OFFSET(控制台!$F$618,MATCH(F235,控制台!$B$618:$B$636,0)-1,0))</f>
        <v>66769.92</v>
      </c>
      <c r="V235" s="1">
        <f ca="1">IF(E235=1,U235/G235,IF(E235=5,U235/G235*OFFSET(控制台!$D$641,MATCH(B235,控制台!$B$641:$B$645,0)-1,0),U235/G235*OFFSET(控制台!$H$641,MATCH(B235,控制台!$F$641:$F$650,0)-1,0)))</f>
        <v>1517.49818181818</v>
      </c>
      <c r="W235" s="20">
        <f ca="1" t="shared" si="10"/>
        <v>1.05381818181818</v>
      </c>
      <c r="X235" s="15">
        <f ca="1">IF(C235=1,OFFSET(控制台!$U$599,MATCH(F235,控制台!$B$599:$B$615,0)-1,0),OFFSET(控制台!$U$618,MATCH(F235,控制台!$B$618:$B$636,0)-1,0))</f>
        <v>197505</v>
      </c>
      <c r="Y235" s="16">
        <f ca="1">_xlfn.FLOOR.MATH(IF(E235=1,X235/G235,IF(E235=5,X235/G235*OFFSET(控制台!$D$641,MATCH(B235,控制台!$B$641:$B$645,0)-1,0),X235/G235*OFFSET(控制台!$H$641,MATCH(B235,控制台!$F$641:$F$650,0)-1,0))))</f>
        <v>4488</v>
      </c>
      <c r="Z235" s="16">
        <f ca="1" t="shared" si="11"/>
        <v>11967</v>
      </c>
    </row>
    <row r="236" spans="1:26">
      <c r="A236" s="1">
        <v>21001</v>
      </c>
      <c r="B236" s="1">
        <v>7</v>
      </c>
      <c r="C236" s="1">
        <v>2</v>
      </c>
      <c r="D236" s="1" t="s">
        <v>2824</v>
      </c>
      <c r="E236" s="1">
        <f ca="1">IF(C236=1,OFFSET(控制台!$F$552,MATCH(A236,控制台!$B$552:$B$580,0)-1,0),OFFSET(控制台!$L$552,MATCH(A236,控制台!$H$552:$H$594,0)-1,0))</f>
        <v>10</v>
      </c>
      <c r="F236" s="1">
        <f ca="1">IF(C236=1,OFFSET(控制台!$D$552,MATCH(A236,控制台!$B$552:$B$580,0)-1,0),OFFSET(控制台!$J$552,MATCH(A236,控制台!$H$552:$H$594,0)-1,0))</f>
        <v>10</v>
      </c>
      <c r="G236" s="1">
        <f ca="1">IF(C236=1,OFFSET(控制台!$I$599,MATCH(F236,控制台!$B$599:$B$615,0)-1,0),OFFSET(控制台!$I$618,MATCH(F236,控制台!$B$618:$B$636,0)-1,0))</f>
        <v>3</v>
      </c>
      <c r="H236" s="1">
        <f ca="1">IF(C236=1,OFFSET(控制台!$D$599,MATCH(F236,控制台!$B$599:$B$615,0)-1,0),OFFSET(控制台!$D$618,MATCH(F236,控制台!$B$618:$B$636,0)-1,0))</f>
        <v>78624000</v>
      </c>
      <c r="I236" s="1">
        <f ca="1">IF(E236=1,H236/G236,IF(E236=5,H236/G236*OFFSET(控制台!$D$641,MATCH(B236,控制台!$B$641:$B$645,0)-1,0),H236/G236*OFFSET(控制台!$H$641,MATCH(B236,控制台!$F$641:$F$650,0)-1,0)))</f>
        <v>2382545.45454545</v>
      </c>
      <c r="J236" s="1">
        <f ca="1">$I236/3*控制台!H$102</f>
        <v>794181.818181818</v>
      </c>
      <c r="K236" s="1">
        <f ca="1">$I236/3*控制台!I$102</f>
        <v>595636.363636363</v>
      </c>
      <c r="L236" s="1">
        <f ca="1">$I236/3*控制台!J$102</f>
        <v>992727.272727272</v>
      </c>
      <c r="M236" s="1">
        <f ca="1">_xlfn.FLOOR.MATH(J236,POWER(10,MAX(2,INT(LOG10(J236)-2))))</f>
        <v>794000</v>
      </c>
      <c r="N236" s="1">
        <f ca="1">_xlfn.FLOOR.MATH(K236,POWER(10,MAX(2,INT(LOG10(K236)-2))))</f>
        <v>595000</v>
      </c>
      <c r="O236" s="1">
        <f ca="1">_xlfn.FLOOR.MATH(L236,POWER(10,MAX(2,INT(LOG10(L236)-2))))</f>
        <v>992000</v>
      </c>
      <c r="P236" s="4" t="str">
        <f ca="1" t="shared" si="9"/>
        <v>794000;595000;992000</v>
      </c>
      <c r="Q236" s="15">
        <f ca="1">IF(C236=1,OFFSET(控制台!$H$599,MATCH(F236,控制台!$B$599:$B$615,0)-1,0),OFFSET(控制台!$H$618,MATCH(F236,控制台!$B$618:$B$636,0)-1,0))</f>
        <v>98819.4816000001</v>
      </c>
      <c r="R236" s="15">
        <f ca="1">IF(E236=1,Q236/G236,IF(E236=5,Q236/G236*OFFSET(控制台!$D$641,MATCH(B236,控制台!$B$641:$B$645,0)-1,0),Q236/G236*OFFSET(控制台!$H$641,MATCH(B236,控制台!$F$641:$F$650,0)-1,0)))</f>
        <v>2994.52974545455</v>
      </c>
      <c r="S236" s="16">
        <f ca="1">_xlfn.FLOOR.MATH(R236)*60</f>
        <v>179640</v>
      </c>
      <c r="T236" s="16">
        <f ca="1">8000+IF(C236=1,OFFSET(控制台!$K$599,MATCH(F236,控制台!$B$599:$B$615,0)-1,0),OFFSET(控制台!$K$618,MATCH(F236,控制台!$B$618:$B$636,0)-1,0))</f>
        <v>8022</v>
      </c>
      <c r="U236" s="1">
        <f ca="1">IF(C236=1,OFFSET(控制台!$F$599,MATCH(F236,控制台!$B$599:$B$615,0)-1,0),OFFSET(控制台!$F$618,MATCH(F236,控制台!$B$618:$B$636,0)-1,0))</f>
        <v>66769.92</v>
      </c>
      <c r="V236" s="1">
        <f ca="1">IF(E236=1,U236/G236,IF(E236=5,U236/G236*OFFSET(控制台!$D$641,MATCH(B236,控制台!$B$641:$B$645,0)-1,0),U236/G236*OFFSET(控制台!$H$641,MATCH(B236,控制台!$F$641:$F$650,0)-1,0)))</f>
        <v>2023.33090909091</v>
      </c>
      <c r="W236" s="20">
        <f ca="1" t="shared" si="10"/>
        <v>1.40509090909091</v>
      </c>
      <c r="X236" s="15">
        <f ca="1">IF(C236=1,OFFSET(控制台!$U$599,MATCH(F236,控制台!$B$599:$B$615,0)-1,0),OFFSET(控制台!$U$618,MATCH(F236,控制台!$B$618:$B$636,0)-1,0))</f>
        <v>197505</v>
      </c>
      <c r="Y236" s="16">
        <f ca="1">_xlfn.FLOOR.MATH(IF(E236=1,X236/G236,IF(E236=5,X236/G236*OFFSET(控制台!$D$641,MATCH(B236,控制台!$B$641:$B$645,0)-1,0),X236/G236*OFFSET(控制台!$H$641,MATCH(B236,控制台!$F$641:$F$650,0)-1,0))))</f>
        <v>5985</v>
      </c>
      <c r="Z236" s="16">
        <f ca="1" t="shared" si="11"/>
        <v>17952</v>
      </c>
    </row>
    <row r="237" spans="1:26">
      <c r="A237" s="1">
        <v>21001</v>
      </c>
      <c r="B237" s="1">
        <v>8</v>
      </c>
      <c r="C237" s="1">
        <v>2</v>
      </c>
      <c r="D237" s="1" t="s">
        <v>2824</v>
      </c>
      <c r="E237" s="1">
        <f ca="1">IF(C237=1,OFFSET(控制台!$F$552,MATCH(A237,控制台!$B$552:$B$580,0)-1,0),OFFSET(控制台!$L$552,MATCH(A237,控制台!$H$552:$H$594,0)-1,0))</f>
        <v>10</v>
      </c>
      <c r="F237" s="1">
        <f ca="1">IF(C237=1,OFFSET(控制台!$D$552,MATCH(A237,控制台!$B$552:$B$580,0)-1,0),OFFSET(控制台!$J$552,MATCH(A237,控制台!$H$552:$H$594,0)-1,0))</f>
        <v>10</v>
      </c>
      <c r="G237" s="1">
        <f ca="1">IF(C237=1,OFFSET(控制台!$I$599,MATCH(F237,控制台!$B$599:$B$615,0)-1,0),OFFSET(控制台!$I$618,MATCH(F237,控制台!$B$618:$B$636,0)-1,0))</f>
        <v>3</v>
      </c>
      <c r="H237" s="1">
        <f ca="1">IF(C237=1,OFFSET(控制台!$D$599,MATCH(F237,控制台!$B$599:$B$615,0)-1,0),OFFSET(控制台!$D$618,MATCH(F237,控制台!$B$618:$B$636,0)-1,0))</f>
        <v>78624000</v>
      </c>
      <c r="I237" s="1">
        <f ca="1">IF(E237=1,H237/G237,IF(E237=5,H237/G237*OFFSET(控制台!$D$641,MATCH(B237,控制台!$B$641:$B$645,0)-1,0),H237/G237*OFFSET(控制台!$H$641,MATCH(B237,控制台!$F$641:$F$650,0)-1,0)))</f>
        <v>3573818.18181817</v>
      </c>
      <c r="J237" s="1">
        <f ca="1">$I237/3*控制台!H$102</f>
        <v>1191272.72727272</v>
      </c>
      <c r="K237" s="1">
        <f ca="1">$I237/3*控制台!I$102</f>
        <v>893454.545454543</v>
      </c>
      <c r="L237" s="1">
        <f ca="1">$I237/3*控制台!J$102</f>
        <v>1489090.9090909</v>
      </c>
      <c r="M237" s="1">
        <f ca="1">_xlfn.FLOOR.MATH(J237,POWER(10,MAX(2,INT(LOG10(J237)-2))))</f>
        <v>1190000</v>
      </c>
      <c r="N237" s="1">
        <f ca="1">_xlfn.FLOOR.MATH(K237,POWER(10,MAX(2,INT(LOG10(K237)-2))))</f>
        <v>893000</v>
      </c>
      <c r="O237" s="1">
        <f ca="1">_xlfn.FLOOR.MATH(L237,POWER(10,MAX(2,INT(LOG10(L237)-2))))</f>
        <v>1480000</v>
      </c>
      <c r="P237" s="4" t="str">
        <f ca="1" t="shared" si="9"/>
        <v>1190000;893000;1480000</v>
      </c>
      <c r="Q237" s="15">
        <f ca="1">IF(C237=1,OFFSET(控制台!$H$599,MATCH(F237,控制台!$B$599:$B$615,0)-1,0),OFFSET(控制台!$H$618,MATCH(F237,控制台!$B$618:$B$636,0)-1,0))</f>
        <v>98819.4816000001</v>
      </c>
      <c r="R237" s="15">
        <f ca="1">IF(E237=1,Q237/G237,IF(E237=5,Q237/G237*OFFSET(控制台!$D$641,MATCH(B237,控制台!$B$641:$B$645,0)-1,0),Q237/G237*OFFSET(控制台!$H$641,MATCH(B237,控制台!$F$641:$F$650,0)-1,0)))</f>
        <v>4491.79461818181</v>
      </c>
      <c r="S237" s="16">
        <f ca="1">_xlfn.FLOOR.MATH(R237)*60</f>
        <v>269460</v>
      </c>
      <c r="T237" s="16">
        <f ca="1">8000+IF(C237=1,OFFSET(控制台!$K$599,MATCH(F237,控制台!$B$599:$B$615,0)-1,0),OFFSET(控制台!$K$618,MATCH(F237,控制台!$B$618:$B$636,0)-1,0))</f>
        <v>8022</v>
      </c>
      <c r="U237" s="1">
        <f ca="1">IF(C237=1,OFFSET(控制台!$F$599,MATCH(F237,控制台!$B$599:$B$615,0)-1,0),OFFSET(控制台!$F$618,MATCH(F237,控制台!$B$618:$B$636,0)-1,0))</f>
        <v>66769.92</v>
      </c>
      <c r="V237" s="1">
        <f ca="1">IF(E237=1,U237/G237,IF(E237=5,U237/G237*OFFSET(控制台!$D$641,MATCH(B237,控制台!$B$641:$B$645,0)-1,0),U237/G237*OFFSET(控制台!$H$641,MATCH(B237,控制台!$F$641:$F$650,0)-1,0)))</f>
        <v>3034.99636363636</v>
      </c>
      <c r="W237" s="20">
        <f ca="1" t="shared" si="10"/>
        <v>2.10763636363636</v>
      </c>
      <c r="X237" s="15">
        <f ca="1">IF(C237=1,OFFSET(控制台!$U$599,MATCH(F237,控制台!$B$599:$B$615,0)-1,0),OFFSET(控制台!$U$618,MATCH(F237,控制台!$B$618:$B$636,0)-1,0))</f>
        <v>197505</v>
      </c>
      <c r="Y237" s="16">
        <f ca="1">_xlfn.FLOOR.MATH(IF(E237=1,X237/G237,IF(E237=5,X237/G237*OFFSET(控制台!$D$641,MATCH(B237,控制台!$B$641:$B$645,0)-1,0),X237/G237*OFFSET(控制台!$H$641,MATCH(B237,控制台!$F$641:$F$650,0)-1,0))))</f>
        <v>8977</v>
      </c>
      <c r="Z237" s="16">
        <f ca="1" t="shared" si="11"/>
        <v>26929</v>
      </c>
    </row>
    <row r="238" spans="1:26">
      <c r="A238" s="1">
        <v>21001</v>
      </c>
      <c r="B238" s="1">
        <v>9</v>
      </c>
      <c r="C238" s="1">
        <v>2</v>
      </c>
      <c r="D238" s="1" t="s">
        <v>2824</v>
      </c>
      <c r="E238" s="1">
        <f ca="1">IF(C238=1,OFFSET(控制台!$F$552,MATCH(A238,控制台!$B$552:$B$580,0)-1,0),OFFSET(控制台!$L$552,MATCH(A238,控制台!$H$552:$H$594,0)-1,0))</f>
        <v>10</v>
      </c>
      <c r="F238" s="1">
        <f ca="1">IF(C238=1,OFFSET(控制台!$D$552,MATCH(A238,控制台!$B$552:$B$580,0)-1,0),OFFSET(控制台!$J$552,MATCH(A238,控制台!$H$552:$H$594,0)-1,0))</f>
        <v>10</v>
      </c>
      <c r="G238" s="1">
        <f ca="1">IF(C238=1,OFFSET(控制台!$I$599,MATCH(F238,控制台!$B$599:$B$615,0)-1,0),OFFSET(控制台!$I$618,MATCH(F238,控制台!$B$618:$B$636,0)-1,0))</f>
        <v>3</v>
      </c>
      <c r="H238" s="1">
        <f ca="1">IF(C238=1,OFFSET(控制台!$D$599,MATCH(F238,控制台!$B$599:$B$615,0)-1,0),OFFSET(控制台!$D$618,MATCH(F238,控制台!$B$618:$B$636,0)-1,0))</f>
        <v>78624000</v>
      </c>
      <c r="I238" s="1">
        <f ca="1">IF(E238=1,H238/G238,IF(E238=5,H238/G238*OFFSET(控制台!$D$641,MATCH(B238,控制台!$B$641:$B$645,0)-1,0),H238/G238*OFFSET(控制台!$H$641,MATCH(B238,控制台!$F$641:$F$650,0)-1,0)))</f>
        <v>5956363.63636363</v>
      </c>
      <c r="J238" s="1">
        <f ca="1">$I238/3*控制台!H$102</f>
        <v>1985454.54545454</v>
      </c>
      <c r="K238" s="1">
        <f ca="1">$I238/3*控制台!I$102</f>
        <v>1489090.90909091</v>
      </c>
      <c r="L238" s="1">
        <f ca="1">$I238/3*控制台!J$102</f>
        <v>2481818.18181818</v>
      </c>
      <c r="M238" s="1">
        <f ca="1">_xlfn.FLOOR.MATH(J238,POWER(10,MAX(2,INT(LOG10(J238)-2))))</f>
        <v>1980000</v>
      </c>
      <c r="N238" s="1">
        <f ca="1">_xlfn.FLOOR.MATH(K238,POWER(10,MAX(2,INT(LOG10(K238)-2))))</f>
        <v>1480000</v>
      </c>
      <c r="O238" s="1">
        <f ca="1">_xlfn.FLOOR.MATH(L238,POWER(10,MAX(2,INT(LOG10(L238)-2))))</f>
        <v>2480000</v>
      </c>
      <c r="P238" s="4" t="str">
        <f ca="1" t="shared" si="9"/>
        <v>1980000;1480000;2480000</v>
      </c>
      <c r="Q238" s="15">
        <f ca="1">IF(C238=1,OFFSET(控制台!$H$599,MATCH(F238,控制台!$B$599:$B$615,0)-1,0),OFFSET(控制台!$H$618,MATCH(F238,控制台!$B$618:$B$636,0)-1,0))</f>
        <v>98819.4816000001</v>
      </c>
      <c r="R238" s="15">
        <f ca="1">IF(E238=1,Q238/G238,IF(E238=5,Q238/G238*OFFSET(控制台!$D$641,MATCH(B238,控制台!$B$641:$B$645,0)-1,0),Q238/G238*OFFSET(控制台!$H$641,MATCH(B238,控制台!$F$641:$F$650,0)-1,0)))</f>
        <v>7486.32436363636</v>
      </c>
      <c r="S238" s="16">
        <f ca="1">_xlfn.FLOOR.MATH(R238)*60</f>
        <v>449160</v>
      </c>
      <c r="T238" s="16">
        <f ca="1">8000+IF(C238=1,OFFSET(控制台!$K$599,MATCH(F238,控制台!$B$599:$B$615,0)-1,0),OFFSET(控制台!$K$618,MATCH(F238,控制台!$B$618:$B$636,0)-1,0))</f>
        <v>8022</v>
      </c>
      <c r="U238" s="1">
        <f ca="1">IF(C238=1,OFFSET(控制台!$F$599,MATCH(F238,控制台!$B$599:$B$615,0)-1,0),OFFSET(控制台!$F$618,MATCH(F238,控制台!$B$618:$B$636,0)-1,0))</f>
        <v>66769.92</v>
      </c>
      <c r="V238" s="1">
        <f ca="1">IF(E238=1,U238/G238,IF(E238=5,U238/G238*OFFSET(控制台!$D$641,MATCH(B238,控制台!$B$641:$B$645,0)-1,0),U238/G238*OFFSET(控制台!$H$641,MATCH(B238,控制台!$F$641:$F$650,0)-1,0)))</f>
        <v>5058.32727272727</v>
      </c>
      <c r="W238" s="20">
        <f ca="1" t="shared" si="10"/>
        <v>3.51272727272727</v>
      </c>
      <c r="X238" s="15">
        <f ca="1">IF(C238=1,OFFSET(控制台!$U$599,MATCH(F238,控制台!$B$599:$B$615,0)-1,0),OFFSET(控制台!$U$618,MATCH(F238,控制台!$B$618:$B$636,0)-1,0))</f>
        <v>197505</v>
      </c>
      <c r="Y238" s="16">
        <f ca="1">_xlfn.FLOOR.MATH(IF(E238=1,X238/G238,IF(E238=5,X238/G238*OFFSET(控制台!$D$641,MATCH(B238,控制台!$B$641:$B$645,0)-1,0),X238/G238*OFFSET(控制台!$H$641,MATCH(B238,控制台!$F$641:$F$650,0)-1,0))))</f>
        <v>14962</v>
      </c>
      <c r="Z238" s="16">
        <f ca="1" t="shared" si="11"/>
        <v>41891</v>
      </c>
    </row>
    <row r="239" spans="1:26">
      <c r="A239" s="1">
        <v>21001</v>
      </c>
      <c r="B239" s="1">
        <v>10</v>
      </c>
      <c r="C239" s="1">
        <v>2</v>
      </c>
      <c r="D239" s="1" t="s">
        <v>2824</v>
      </c>
      <c r="E239" s="1">
        <f ca="1">IF(C239=1,OFFSET(控制台!$F$552,MATCH(A239,控制台!$B$552:$B$580,0)-1,0),OFFSET(控制台!$L$552,MATCH(A239,控制台!$H$552:$H$594,0)-1,0))</f>
        <v>10</v>
      </c>
      <c r="F239" s="1">
        <f ca="1">IF(C239=1,OFFSET(控制台!$D$552,MATCH(A239,控制台!$B$552:$B$580,0)-1,0),OFFSET(控制台!$J$552,MATCH(A239,控制台!$H$552:$H$594,0)-1,0))</f>
        <v>10</v>
      </c>
      <c r="G239" s="1">
        <f ca="1">IF(C239=1,OFFSET(控制台!$I$599,MATCH(F239,控制台!$B$599:$B$615,0)-1,0),OFFSET(控制台!$I$618,MATCH(F239,控制台!$B$618:$B$636,0)-1,0))</f>
        <v>3</v>
      </c>
      <c r="H239" s="1">
        <f ca="1">IF(C239=1,OFFSET(控制台!$D$599,MATCH(F239,控制台!$B$599:$B$615,0)-1,0),OFFSET(控制台!$D$618,MATCH(F239,控制台!$B$618:$B$636,0)-1,0))</f>
        <v>78624000</v>
      </c>
      <c r="I239" s="1">
        <f ca="1">IF(E239=1,H239/G239,IF(E239=5,H239/G239*OFFSET(控制台!$D$641,MATCH(B239,控制台!$B$641:$B$645,0)-1,0),H239/G239*OFFSET(控制台!$H$641,MATCH(B239,控制台!$F$641:$F$650,0)-1,0)))</f>
        <v>9530181.81818182</v>
      </c>
      <c r="J239" s="1">
        <f ca="1">$I239/3*控制台!H$102</f>
        <v>3176727.27272727</v>
      </c>
      <c r="K239" s="1">
        <f ca="1">$I239/3*控制台!I$102</f>
        <v>2382545.45454546</v>
      </c>
      <c r="L239" s="1">
        <f ca="1">$I239/3*控制台!J$102</f>
        <v>3970909.09090909</v>
      </c>
      <c r="M239" s="1">
        <f ca="1">_xlfn.FLOOR.MATH(J239,POWER(10,MAX(2,INT(LOG10(J239)-2))))</f>
        <v>3170000</v>
      </c>
      <c r="N239" s="1">
        <f ca="1">_xlfn.FLOOR.MATH(K239,POWER(10,MAX(2,INT(LOG10(K239)-2))))</f>
        <v>2380000</v>
      </c>
      <c r="O239" s="1">
        <f ca="1">_xlfn.FLOOR.MATH(L239,POWER(10,MAX(2,INT(LOG10(L239)-2))))</f>
        <v>3970000</v>
      </c>
      <c r="P239" s="4" t="str">
        <f ca="1" t="shared" si="9"/>
        <v>3170000;2380000;3970000</v>
      </c>
      <c r="Q239" s="15">
        <f ca="1">IF(C239=1,OFFSET(控制台!$H$599,MATCH(F239,控制台!$B$599:$B$615,0)-1,0),OFFSET(控制台!$H$618,MATCH(F239,控制台!$B$618:$B$636,0)-1,0))</f>
        <v>98819.4816000001</v>
      </c>
      <c r="R239" s="15">
        <f ca="1">IF(E239=1,Q239/G239,IF(E239=5,Q239/G239*OFFSET(控制台!$D$641,MATCH(B239,控制台!$B$641:$B$645,0)-1,0),Q239/G239*OFFSET(控制台!$H$641,MATCH(B239,控制台!$F$641:$F$650,0)-1,0)))</f>
        <v>11978.1189818182</v>
      </c>
      <c r="S239" s="16">
        <f ca="1">_xlfn.FLOOR.MATH(R239)*60</f>
        <v>718680</v>
      </c>
      <c r="T239" s="16">
        <f ca="1">8000+IF(C239=1,OFFSET(控制台!$K$599,MATCH(F239,控制台!$B$599:$B$615,0)-1,0),OFFSET(控制台!$K$618,MATCH(F239,控制台!$B$618:$B$636,0)-1,0))</f>
        <v>8022</v>
      </c>
      <c r="U239" s="1">
        <f ca="1">IF(C239=1,OFFSET(控制台!$F$599,MATCH(F239,控制台!$B$599:$B$615,0)-1,0),OFFSET(控制台!$F$618,MATCH(F239,控制台!$B$618:$B$636,0)-1,0))</f>
        <v>66769.92</v>
      </c>
      <c r="V239" s="1">
        <f ca="1">IF(E239=1,U239/G239,IF(E239=5,U239/G239*OFFSET(控制台!$D$641,MATCH(B239,控制台!$B$641:$B$645,0)-1,0),U239/G239*OFFSET(控制台!$H$641,MATCH(B239,控制台!$F$641:$F$650,0)-1,0)))</f>
        <v>8093.32363636365</v>
      </c>
      <c r="W239" s="20">
        <f ca="1" t="shared" si="10"/>
        <v>5.62036363636365</v>
      </c>
      <c r="X239" s="15">
        <f ca="1">IF(C239=1,OFFSET(控制台!$U$599,MATCH(F239,控制台!$B$599:$B$615,0)-1,0),OFFSET(控制台!$U$618,MATCH(F239,控制台!$B$618:$B$636,0)-1,0))</f>
        <v>197505</v>
      </c>
      <c r="Y239" s="16">
        <f ca="1">_xlfn.FLOOR.MATH(IF(E239=1,X239/G239,IF(E239=5,X239/G239*OFFSET(控制台!$D$641,MATCH(B239,控制台!$B$641:$B$645,0)-1,0),X239/G239*OFFSET(控制台!$H$641,MATCH(B239,控制台!$F$641:$F$650,0)-1,0))))</f>
        <v>23940</v>
      </c>
      <c r="Z239" s="16">
        <f ca="1" t="shared" si="11"/>
        <v>65831</v>
      </c>
    </row>
    <row r="240" spans="1:26">
      <c r="A240" s="1">
        <v>21002</v>
      </c>
      <c r="B240" s="1">
        <v>1</v>
      </c>
      <c r="C240" s="1">
        <v>2</v>
      </c>
      <c r="D240" s="1" t="s">
        <v>2825</v>
      </c>
      <c r="E240" s="1">
        <f ca="1">IF(C240=1,OFFSET(控制台!$F$552,MATCH(A240,控制台!$B$552:$B$580,0)-1,0),OFFSET(控制台!$L$552,MATCH(A240,控制台!$H$552:$H$594,0)-1,0))</f>
        <v>10</v>
      </c>
      <c r="F240" s="1">
        <f ca="1">IF(C240=1,OFFSET(控制台!$D$552,MATCH(A240,控制台!$B$552:$B$580,0)-1,0),OFFSET(控制台!$J$552,MATCH(A240,控制台!$H$552:$H$594,0)-1,0))</f>
        <v>10</v>
      </c>
      <c r="G240" s="1">
        <f ca="1">IF(C240=1,OFFSET(控制台!$I$599,MATCH(F240,控制台!$B$599:$B$615,0)-1,0),OFFSET(控制台!$I$618,MATCH(F240,控制台!$B$618:$B$636,0)-1,0))</f>
        <v>3</v>
      </c>
      <c r="H240" s="1">
        <f ca="1">IF(C240=1,OFFSET(控制台!$D$599,MATCH(F240,控制台!$B$599:$B$615,0)-1,0),OFFSET(控制台!$D$618,MATCH(F240,控制台!$B$618:$B$636,0)-1,0))</f>
        <v>78624000</v>
      </c>
      <c r="I240" s="1">
        <f ca="1">IF(E240=1,H240/G240,IF(E240=5,H240/G240*OFFSET(控制台!$D$641,MATCH(B240,控制台!$B$641:$B$645,0)-1,0),H240/G240*OFFSET(控制台!$H$641,MATCH(B240,控制台!$F$641:$F$650,0)-1,0)))</f>
        <v>238254.545454545</v>
      </c>
      <c r="J240" s="1">
        <f ca="1">$I240/3*控制台!H$102</f>
        <v>79418.1818181818</v>
      </c>
      <c r="K240" s="1">
        <f ca="1">$I240/3*控制台!I$102</f>
        <v>59563.6363636363</v>
      </c>
      <c r="L240" s="1">
        <f ca="1">$I240/3*控制台!J$102</f>
        <v>99272.7272727272</v>
      </c>
      <c r="M240" s="1">
        <f ca="1">_xlfn.FLOOR.MATH(J240,POWER(10,MAX(2,INT(LOG10(J240)-2))))</f>
        <v>79400</v>
      </c>
      <c r="N240" s="1">
        <f ca="1">_xlfn.FLOOR.MATH(K240,POWER(10,MAX(2,INT(LOG10(K240)-2))))</f>
        <v>59500</v>
      </c>
      <c r="O240" s="1">
        <f ca="1">_xlfn.FLOOR.MATH(L240,POWER(10,MAX(2,INT(LOG10(L240)-2))))</f>
        <v>99200</v>
      </c>
      <c r="P240" s="4" t="str">
        <f ca="1" t="shared" si="9"/>
        <v>79400;59500;99200</v>
      </c>
      <c r="Q240" s="15">
        <f ca="1">IF(C240=1,OFFSET(控制台!$H$599,MATCH(F240,控制台!$B$599:$B$615,0)-1,0),OFFSET(控制台!$H$618,MATCH(F240,控制台!$B$618:$B$636,0)-1,0))</f>
        <v>98819.4816000001</v>
      </c>
      <c r="R240" s="15">
        <f ca="1">IF(E240=1,Q240/G240,IF(E240=5,Q240/G240*OFFSET(控制台!$D$641,MATCH(B240,控制台!$B$641:$B$645,0)-1,0),Q240/G240*OFFSET(控制台!$H$641,MATCH(B240,控制台!$F$641:$F$650,0)-1,0)))</f>
        <v>299.452974545455</v>
      </c>
      <c r="S240" s="16">
        <f ca="1">_xlfn.FLOOR.MATH(R240)*60</f>
        <v>17940</v>
      </c>
      <c r="T240" s="16">
        <f ca="1">8000+IF(C240=1,OFFSET(控制台!$K$599,MATCH(F240,控制台!$B$599:$B$615,0)-1,0),OFFSET(控制台!$K$618,MATCH(F240,控制台!$B$618:$B$636,0)-1,0))</f>
        <v>8022</v>
      </c>
      <c r="U240" s="1">
        <f ca="1">IF(C240=1,OFFSET(控制台!$F$599,MATCH(F240,控制台!$B$599:$B$615,0)-1,0),OFFSET(控制台!$F$618,MATCH(F240,控制台!$B$618:$B$636,0)-1,0))</f>
        <v>66769.92</v>
      </c>
      <c r="V240" s="1">
        <f ca="1">IF(E240=1,U240/G240,IF(E240=5,U240/G240*OFFSET(控制台!$D$641,MATCH(B240,控制台!$B$641:$B$645,0)-1,0),U240/G240*OFFSET(控制台!$H$641,MATCH(B240,控制台!$F$641:$F$650,0)-1,0)))</f>
        <v>202.333090909091</v>
      </c>
      <c r="W240" s="20">
        <f ca="1" t="shared" si="10"/>
        <v>0.140509090909091</v>
      </c>
      <c r="X240" s="15">
        <f ca="1">IF(C240=1,OFFSET(控制台!$U$599,MATCH(F240,控制台!$B$599:$B$615,0)-1,0),OFFSET(控制台!$U$618,MATCH(F240,控制台!$B$618:$B$636,0)-1,0))</f>
        <v>197505</v>
      </c>
      <c r="Y240" s="16">
        <f ca="1">_xlfn.FLOOR.MATH(IF(E240=1,X240/G240,IF(E240=5,X240/G240*OFFSET(控制台!$D$641,MATCH(B240,控制台!$B$641:$B$645,0)-1,0),X240/G240*OFFSET(控制台!$H$641,MATCH(B240,控制台!$F$641:$F$650,0)-1,0))))</f>
        <v>598</v>
      </c>
      <c r="Z240" s="16">
        <f ca="1" t="shared" si="11"/>
        <v>598</v>
      </c>
    </row>
    <row r="241" spans="1:26">
      <c r="A241" s="1">
        <v>21002</v>
      </c>
      <c r="B241" s="1">
        <v>2</v>
      </c>
      <c r="C241" s="1">
        <v>2</v>
      </c>
      <c r="D241" s="1" t="s">
        <v>2825</v>
      </c>
      <c r="E241" s="1">
        <f ca="1">IF(C241=1,OFFSET(控制台!$F$552,MATCH(A241,控制台!$B$552:$B$580,0)-1,0),OFFSET(控制台!$L$552,MATCH(A241,控制台!$H$552:$H$594,0)-1,0))</f>
        <v>10</v>
      </c>
      <c r="F241" s="1">
        <f ca="1">IF(C241=1,OFFSET(控制台!$D$552,MATCH(A241,控制台!$B$552:$B$580,0)-1,0),OFFSET(控制台!$J$552,MATCH(A241,控制台!$H$552:$H$594,0)-1,0))</f>
        <v>10</v>
      </c>
      <c r="G241" s="1">
        <f ca="1">IF(C241=1,OFFSET(控制台!$I$599,MATCH(F241,控制台!$B$599:$B$615,0)-1,0),OFFSET(控制台!$I$618,MATCH(F241,控制台!$B$618:$B$636,0)-1,0))</f>
        <v>3</v>
      </c>
      <c r="H241" s="1">
        <f ca="1">IF(C241=1,OFFSET(控制台!$D$599,MATCH(F241,控制台!$B$599:$B$615,0)-1,0),OFFSET(控制台!$D$618,MATCH(F241,控制台!$B$618:$B$636,0)-1,0))</f>
        <v>78624000</v>
      </c>
      <c r="I241" s="1">
        <f ca="1">IF(E241=1,H241/G241,IF(E241=5,H241/G241*OFFSET(控制台!$D$641,MATCH(B241,控制台!$B$641:$B$645,0)-1,0),H241/G241*OFFSET(控制台!$H$641,MATCH(B241,控制台!$F$641:$F$650,0)-1,0)))</f>
        <v>357381.818181817</v>
      </c>
      <c r="J241" s="1">
        <f ca="1">$I241/3*控制台!H$102</f>
        <v>119127.272727272</v>
      </c>
      <c r="K241" s="1">
        <f ca="1">$I241/3*控制台!I$102</f>
        <v>89345.4545454543</v>
      </c>
      <c r="L241" s="1">
        <f ca="1">$I241/3*控制台!J$102</f>
        <v>148909.09090909</v>
      </c>
      <c r="M241" s="1">
        <f ca="1">_xlfn.FLOOR.MATH(J241,POWER(10,MAX(2,INT(LOG10(J241)-2))))</f>
        <v>119000</v>
      </c>
      <c r="N241" s="1">
        <f ca="1">_xlfn.FLOOR.MATH(K241,POWER(10,MAX(2,INT(LOG10(K241)-2))))</f>
        <v>89300</v>
      </c>
      <c r="O241" s="1">
        <f ca="1">_xlfn.FLOOR.MATH(L241,POWER(10,MAX(2,INT(LOG10(L241)-2))))</f>
        <v>148000</v>
      </c>
      <c r="P241" s="4" t="str">
        <f ca="1" t="shared" si="9"/>
        <v>119000;89300;148000</v>
      </c>
      <c r="Q241" s="15">
        <f ca="1">IF(C241=1,OFFSET(控制台!$H$599,MATCH(F241,控制台!$B$599:$B$615,0)-1,0),OFFSET(控制台!$H$618,MATCH(F241,控制台!$B$618:$B$636,0)-1,0))</f>
        <v>98819.4816000001</v>
      </c>
      <c r="R241" s="15">
        <f ca="1">IF(E241=1,Q241/G241,IF(E241=5,Q241/G241*OFFSET(控制台!$D$641,MATCH(B241,控制台!$B$641:$B$645,0)-1,0),Q241/G241*OFFSET(控制台!$H$641,MATCH(B241,控制台!$F$641:$F$650,0)-1,0)))</f>
        <v>449.179461818181</v>
      </c>
      <c r="S241" s="16">
        <f ca="1">_xlfn.FLOOR.MATH(R241)*60</f>
        <v>26940</v>
      </c>
      <c r="T241" s="16">
        <f ca="1">8000+IF(C241=1,OFFSET(控制台!$K$599,MATCH(F241,控制台!$B$599:$B$615,0)-1,0),OFFSET(控制台!$K$618,MATCH(F241,控制台!$B$618:$B$636,0)-1,0))</f>
        <v>8022</v>
      </c>
      <c r="U241" s="1">
        <f ca="1">IF(C241=1,OFFSET(控制台!$F$599,MATCH(F241,控制台!$B$599:$B$615,0)-1,0),OFFSET(控制台!$F$618,MATCH(F241,控制台!$B$618:$B$636,0)-1,0))</f>
        <v>66769.92</v>
      </c>
      <c r="V241" s="1">
        <f ca="1">IF(E241=1,U241/G241,IF(E241=5,U241/G241*OFFSET(控制台!$D$641,MATCH(B241,控制台!$B$641:$B$645,0)-1,0),U241/G241*OFFSET(控制台!$H$641,MATCH(B241,控制台!$F$641:$F$650,0)-1,0)))</f>
        <v>303.499636363636</v>
      </c>
      <c r="W241" s="20">
        <f ca="1" t="shared" si="10"/>
        <v>0.210763636363636</v>
      </c>
      <c r="X241" s="15">
        <f ca="1">IF(C241=1,OFFSET(控制台!$U$599,MATCH(F241,控制台!$B$599:$B$615,0)-1,0),OFFSET(控制台!$U$618,MATCH(F241,控制台!$B$618:$B$636,0)-1,0))</f>
        <v>197505</v>
      </c>
      <c r="Y241" s="16">
        <f ca="1">_xlfn.FLOOR.MATH(IF(E241=1,X241/G241,IF(E241=5,X241/G241*OFFSET(控制台!$D$641,MATCH(B241,控制台!$B$641:$B$645,0)-1,0),X241/G241*OFFSET(控制台!$H$641,MATCH(B241,控制台!$F$641:$F$650,0)-1,0))))</f>
        <v>897</v>
      </c>
      <c r="Z241" s="16">
        <f ca="1" t="shared" si="11"/>
        <v>1495</v>
      </c>
    </row>
    <row r="242" spans="1:26">
      <c r="A242" s="1">
        <v>21002</v>
      </c>
      <c r="B242" s="1">
        <v>3</v>
      </c>
      <c r="C242" s="1">
        <v>2</v>
      </c>
      <c r="D242" s="1" t="s">
        <v>2825</v>
      </c>
      <c r="E242" s="1">
        <f ca="1">IF(C242=1,OFFSET(控制台!$F$552,MATCH(A242,控制台!$B$552:$B$580,0)-1,0),OFFSET(控制台!$L$552,MATCH(A242,控制台!$H$552:$H$594,0)-1,0))</f>
        <v>10</v>
      </c>
      <c r="F242" s="1">
        <f ca="1">IF(C242=1,OFFSET(控制台!$D$552,MATCH(A242,控制台!$B$552:$B$580,0)-1,0),OFFSET(控制台!$J$552,MATCH(A242,控制台!$H$552:$H$594,0)-1,0))</f>
        <v>10</v>
      </c>
      <c r="G242" s="1">
        <f ca="1">IF(C242=1,OFFSET(控制台!$I$599,MATCH(F242,控制台!$B$599:$B$615,0)-1,0),OFFSET(控制台!$I$618,MATCH(F242,控制台!$B$618:$B$636,0)-1,0))</f>
        <v>3</v>
      </c>
      <c r="H242" s="1">
        <f ca="1">IF(C242=1,OFFSET(控制台!$D$599,MATCH(F242,控制台!$B$599:$B$615,0)-1,0),OFFSET(控制台!$D$618,MATCH(F242,控制台!$B$618:$B$636,0)-1,0))</f>
        <v>78624000</v>
      </c>
      <c r="I242" s="1">
        <f ca="1">IF(E242=1,H242/G242,IF(E242=5,H242/G242*OFFSET(控制台!$D$641,MATCH(B242,控制台!$B$641:$B$645,0)-1,0),H242/G242*OFFSET(控制台!$H$641,MATCH(B242,控制台!$F$641:$F$650,0)-1,0)))</f>
        <v>476509.090909091</v>
      </c>
      <c r="J242" s="1">
        <f ca="1">$I242/3*控制台!H$102</f>
        <v>158836.363636364</v>
      </c>
      <c r="K242" s="1">
        <f ca="1">$I242/3*控制台!I$102</f>
        <v>119127.272727273</v>
      </c>
      <c r="L242" s="1">
        <f ca="1">$I242/3*控制台!J$102</f>
        <v>198545.454545455</v>
      </c>
      <c r="M242" s="1">
        <f ca="1">_xlfn.FLOOR.MATH(J242,POWER(10,MAX(2,INT(LOG10(J242)-2))))</f>
        <v>158000</v>
      </c>
      <c r="N242" s="1">
        <f ca="1">_xlfn.FLOOR.MATH(K242,POWER(10,MAX(2,INT(LOG10(K242)-2))))</f>
        <v>119000</v>
      </c>
      <c r="O242" s="1">
        <f ca="1">_xlfn.FLOOR.MATH(L242,POWER(10,MAX(2,INT(LOG10(L242)-2))))</f>
        <v>198000</v>
      </c>
      <c r="P242" s="4" t="str">
        <f ca="1" t="shared" si="9"/>
        <v>158000;119000;198000</v>
      </c>
      <c r="Q242" s="15">
        <f ca="1">IF(C242=1,OFFSET(控制台!$H$599,MATCH(F242,控制台!$B$599:$B$615,0)-1,0),OFFSET(控制台!$H$618,MATCH(F242,控制台!$B$618:$B$636,0)-1,0))</f>
        <v>98819.4816000001</v>
      </c>
      <c r="R242" s="15">
        <f ca="1">IF(E242=1,Q242/G242,IF(E242=5,Q242/G242*OFFSET(控制台!$D$641,MATCH(B242,控制台!$B$641:$B$645,0)-1,0),Q242/G242*OFFSET(控制台!$H$641,MATCH(B242,控制台!$F$641:$F$650,0)-1,0)))</f>
        <v>598.90594909091</v>
      </c>
      <c r="S242" s="16">
        <f ca="1">_xlfn.FLOOR.MATH(R242)*60</f>
        <v>35880</v>
      </c>
      <c r="T242" s="16">
        <f ca="1">8000+IF(C242=1,OFFSET(控制台!$K$599,MATCH(F242,控制台!$B$599:$B$615,0)-1,0),OFFSET(控制台!$K$618,MATCH(F242,控制台!$B$618:$B$636,0)-1,0))</f>
        <v>8022</v>
      </c>
      <c r="U242" s="1">
        <f ca="1">IF(C242=1,OFFSET(控制台!$F$599,MATCH(F242,控制台!$B$599:$B$615,0)-1,0),OFFSET(控制台!$F$618,MATCH(F242,控制台!$B$618:$B$636,0)-1,0))</f>
        <v>66769.92</v>
      </c>
      <c r="V242" s="1">
        <f ca="1">IF(E242=1,U242/G242,IF(E242=5,U242/G242*OFFSET(控制台!$D$641,MATCH(B242,控制台!$B$641:$B$645,0)-1,0),U242/G242*OFFSET(控制台!$H$641,MATCH(B242,控制台!$F$641:$F$650,0)-1,0)))</f>
        <v>404.666181818182</v>
      </c>
      <c r="W242" s="20">
        <f ca="1" t="shared" si="10"/>
        <v>0.281018181818182</v>
      </c>
      <c r="X242" s="15">
        <f ca="1">IF(C242=1,OFFSET(控制台!$U$599,MATCH(F242,控制台!$B$599:$B$615,0)-1,0),OFFSET(控制台!$U$618,MATCH(F242,控制台!$B$618:$B$636,0)-1,0))</f>
        <v>197505</v>
      </c>
      <c r="Y242" s="16">
        <f ca="1">_xlfn.FLOOR.MATH(IF(E242=1,X242/G242,IF(E242=5,X242/G242*OFFSET(控制台!$D$641,MATCH(B242,控制台!$B$641:$B$645,0)-1,0),X242/G242*OFFSET(控制台!$H$641,MATCH(B242,控制台!$F$641:$F$650,0)-1,0))))</f>
        <v>1197</v>
      </c>
      <c r="Z242" s="16">
        <f ca="1" t="shared" si="11"/>
        <v>2692</v>
      </c>
    </row>
    <row r="243" spans="1:26">
      <c r="A243" s="1">
        <v>21002</v>
      </c>
      <c r="B243" s="1">
        <v>4</v>
      </c>
      <c r="C243" s="1">
        <v>2</v>
      </c>
      <c r="D243" s="1" t="s">
        <v>2825</v>
      </c>
      <c r="E243" s="1">
        <f ca="1">IF(C243=1,OFFSET(控制台!$F$552,MATCH(A243,控制台!$B$552:$B$580,0)-1,0),OFFSET(控制台!$L$552,MATCH(A243,控制台!$H$552:$H$594,0)-1,0))</f>
        <v>10</v>
      </c>
      <c r="F243" s="1">
        <f ca="1">IF(C243=1,OFFSET(控制台!$D$552,MATCH(A243,控制台!$B$552:$B$580,0)-1,0),OFFSET(控制台!$J$552,MATCH(A243,控制台!$H$552:$H$594,0)-1,0))</f>
        <v>10</v>
      </c>
      <c r="G243" s="1">
        <f ca="1">IF(C243=1,OFFSET(控制台!$I$599,MATCH(F243,控制台!$B$599:$B$615,0)-1,0),OFFSET(控制台!$I$618,MATCH(F243,控制台!$B$618:$B$636,0)-1,0))</f>
        <v>3</v>
      </c>
      <c r="H243" s="1">
        <f ca="1">IF(C243=1,OFFSET(控制台!$D$599,MATCH(F243,控制台!$B$599:$B$615,0)-1,0),OFFSET(控制台!$D$618,MATCH(F243,控制台!$B$618:$B$636,0)-1,0))</f>
        <v>78624000</v>
      </c>
      <c r="I243" s="1">
        <f ca="1">IF(E243=1,H243/G243,IF(E243=5,H243/G243*OFFSET(控制台!$D$641,MATCH(B243,控制台!$B$641:$B$645,0)-1,0),H243/G243*OFFSET(控制台!$H$641,MATCH(B243,控制台!$F$641:$F$650,0)-1,0)))</f>
        <v>714763.636363637</v>
      </c>
      <c r="J243" s="1">
        <f ca="1">$I243/3*控制台!H$102</f>
        <v>238254.545454546</v>
      </c>
      <c r="K243" s="1">
        <f ca="1">$I243/3*控制台!I$102</f>
        <v>178690.909090909</v>
      </c>
      <c r="L243" s="1">
        <f ca="1">$I243/3*控制台!J$102</f>
        <v>297818.181818182</v>
      </c>
      <c r="M243" s="1">
        <f ca="1">_xlfn.FLOOR.MATH(J243,POWER(10,MAX(2,INT(LOG10(J243)-2))))</f>
        <v>238000</v>
      </c>
      <c r="N243" s="1">
        <f ca="1">_xlfn.FLOOR.MATH(K243,POWER(10,MAX(2,INT(LOG10(K243)-2))))</f>
        <v>178000</v>
      </c>
      <c r="O243" s="1">
        <f ca="1">_xlfn.FLOOR.MATH(L243,POWER(10,MAX(2,INT(LOG10(L243)-2))))</f>
        <v>297000</v>
      </c>
      <c r="P243" s="4" t="str">
        <f ca="1" t="shared" si="9"/>
        <v>238000;178000;297000</v>
      </c>
      <c r="Q243" s="15">
        <f ca="1">IF(C243=1,OFFSET(控制台!$H$599,MATCH(F243,控制台!$B$599:$B$615,0)-1,0),OFFSET(控制台!$H$618,MATCH(F243,控制台!$B$618:$B$636,0)-1,0))</f>
        <v>98819.4816000001</v>
      </c>
      <c r="R243" s="15">
        <f ca="1">IF(E243=1,Q243/G243,IF(E243=5,Q243/G243*OFFSET(控制台!$D$641,MATCH(B243,控制台!$B$641:$B$645,0)-1,0),Q243/G243*OFFSET(控制台!$H$641,MATCH(B243,控制台!$F$641:$F$650,0)-1,0)))</f>
        <v>898.358923636365</v>
      </c>
      <c r="S243" s="16">
        <f ca="1">_xlfn.FLOOR.MATH(R243)*60</f>
        <v>53880</v>
      </c>
      <c r="T243" s="16">
        <f ca="1">8000+IF(C243=1,OFFSET(控制台!$K$599,MATCH(F243,控制台!$B$599:$B$615,0)-1,0),OFFSET(控制台!$K$618,MATCH(F243,控制台!$B$618:$B$636,0)-1,0))</f>
        <v>8022</v>
      </c>
      <c r="U243" s="1">
        <f ca="1">IF(C243=1,OFFSET(控制台!$F$599,MATCH(F243,控制台!$B$599:$B$615,0)-1,0),OFFSET(控制台!$F$618,MATCH(F243,控制台!$B$618:$B$636,0)-1,0))</f>
        <v>66769.92</v>
      </c>
      <c r="V243" s="1">
        <f ca="1">IF(E243=1,U243/G243,IF(E243=5,U243/G243*OFFSET(控制台!$D$641,MATCH(B243,控制台!$B$641:$B$645,0)-1,0),U243/G243*OFFSET(控制台!$H$641,MATCH(B243,控制台!$F$641:$F$650,0)-1,0)))</f>
        <v>606.999272727274</v>
      </c>
      <c r="W243" s="20">
        <f ca="1" t="shared" si="10"/>
        <v>0.421527272727273</v>
      </c>
      <c r="X243" s="15">
        <f ca="1">IF(C243=1,OFFSET(控制台!$U$599,MATCH(F243,控制台!$B$599:$B$615,0)-1,0),OFFSET(控制台!$U$618,MATCH(F243,控制台!$B$618:$B$636,0)-1,0))</f>
        <v>197505</v>
      </c>
      <c r="Y243" s="16">
        <f ca="1">_xlfn.FLOOR.MATH(IF(E243=1,X243/G243,IF(E243=5,X243/G243*OFFSET(控制台!$D$641,MATCH(B243,控制台!$B$641:$B$645,0)-1,0),X243/G243*OFFSET(控制台!$H$641,MATCH(B243,控制台!$F$641:$F$650,0)-1,0))))</f>
        <v>1795</v>
      </c>
      <c r="Z243" s="16">
        <f ca="1" t="shared" si="11"/>
        <v>4487</v>
      </c>
    </row>
    <row r="244" spans="1:26">
      <c r="A244" s="1">
        <v>21002</v>
      </c>
      <c r="B244" s="1">
        <v>5</v>
      </c>
      <c r="C244" s="1">
        <v>2</v>
      </c>
      <c r="D244" s="1" t="s">
        <v>2825</v>
      </c>
      <c r="E244" s="1">
        <f ca="1">IF(C244=1,OFFSET(控制台!$F$552,MATCH(A244,控制台!$B$552:$B$580,0)-1,0),OFFSET(控制台!$L$552,MATCH(A244,控制台!$H$552:$H$594,0)-1,0))</f>
        <v>10</v>
      </c>
      <c r="F244" s="1">
        <f ca="1">IF(C244=1,OFFSET(控制台!$D$552,MATCH(A244,控制台!$B$552:$B$580,0)-1,0),OFFSET(控制台!$J$552,MATCH(A244,控制台!$H$552:$H$594,0)-1,0))</f>
        <v>10</v>
      </c>
      <c r="G244" s="1">
        <f ca="1">IF(C244=1,OFFSET(控制台!$I$599,MATCH(F244,控制台!$B$599:$B$615,0)-1,0),OFFSET(控制台!$I$618,MATCH(F244,控制台!$B$618:$B$636,0)-1,0))</f>
        <v>3</v>
      </c>
      <c r="H244" s="1">
        <f ca="1">IF(C244=1,OFFSET(控制台!$D$599,MATCH(F244,控制台!$B$599:$B$615,0)-1,0),OFFSET(控制台!$D$618,MATCH(F244,控制台!$B$618:$B$636,0)-1,0))</f>
        <v>78624000</v>
      </c>
      <c r="I244" s="1">
        <f ca="1">IF(E244=1,H244/G244,IF(E244=5,H244/G244*OFFSET(控制台!$D$641,MATCH(B244,控制台!$B$641:$B$645,0)-1,0),H244/G244*OFFSET(控制台!$H$641,MATCH(B244,控制台!$F$641:$F$650,0)-1,0)))</f>
        <v>1191272.72727273</v>
      </c>
      <c r="J244" s="1">
        <f ca="1">$I244/3*控制台!H$102</f>
        <v>397090.909090909</v>
      </c>
      <c r="K244" s="1">
        <f ca="1">$I244/3*控制台!I$102</f>
        <v>297818.181818182</v>
      </c>
      <c r="L244" s="1">
        <f ca="1">$I244/3*控制台!J$102</f>
        <v>496363.636363637</v>
      </c>
      <c r="M244" s="1">
        <f ca="1">_xlfn.FLOOR.MATH(J244,POWER(10,MAX(2,INT(LOG10(J244)-2))))</f>
        <v>397000</v>
      </c>
      <c r="N244" s="1">
        <f ca="1">_xlfn.FLOOR.MATH(K244,POWER(10,MAX(2,INT(LOG10(K244)-2))))</f>
        <v>297000</v>
      </c>
      <c r="O244" s="1">
        <f ca="1">_xlfn.FLOOR.MATH(L244,POWER(10,MAX(2,INT(LOG10(L244)-2))))</f>
        <v>496000</v>
      </c>
      <c r="P244" s="4" t="str">
        <f ca="1" t="shared" si="9"/>
        <v>397000;297000;496000</v>
      </c>
      <c r="Q244" s="15">
        <f ca="1">IF(C244=1,OFFSET(控制台!$H$599,MATCH(F244,控制台!$B$599:$B$615,0)-1,0),OFFSET(控制台!$H$618,MATCH(F244,控制台!$B$618:$B$636,0)-1,0))</f>
        <v>98819.4816000001</v>
      </c>
      <c r="R244" s="15">
        <f ca="1">IF(E244=1,Q244/G244,IF(E244=5,Q244/G244*OFFSET(控制台!$D$641,MATCH(B244,控制台!$B$641:$B$645,0)-1,0),Q244/G244*OFFSET(控制台!$H$641,MATCH(B244,控制台!$F$641:$F$650,0)-1,0)))</f>
        <v>1497.26487272728</v>
      </c>
      <c r="S244" s="16">
        <f ca="1">_xlfn.FLOOR.MATH(R244)*60</f>
        <v>89820</v>
      </c>
      <c r="T244" s="16">
        <f ca="1">8000+IF(C244=1,OFFSET(控制台!$K$599,MATCH(F244,控制台!$B$599:$B$615,0)-1,0),OFFSET(控制台!$K$618,MATCH(F244,控制台!$B$618:$B$636,0)-1,0))</f>
        <v>8022</v>
      </c>
      <c r="U244" s="1">
        <f ca="1">IF(C244=1,OFFSET(控制台!$F$599,MATCH(F244,控制台!$B$599:$B$615,0)-1,0),OFFSET(控制台!$F$618,MATCH(F244,控制台!$B$618:$B$636,0)-1,0))</f>
        <v>66769.92</v>
      </c>
      <c r="V244" s="1">
        <f ca="1">IF(E244=1,U244/G244,IF(E244=5,U244/G244*OFFSET(控制台!$D$641,MATCH(B244,控制台!$B$641:$B$645,0)-1,0),U244/G244*OFFSET(控制台!$H$641,MATCH(B244,控制台!$F$641:$F$650,0)-1,0)))</f>
        <v>1011.66545454546</v>
      </c>
      <c r="W244" s="20">
        <f ca="1" t="shared" si="10"/>
        <v>0.702545454545456</v>
      </c>
      <c r="X244" s="15">
        <f ca="1">IF(C244=1,OFFSET(控制台!$U$599,MATCH(F244,控制台!$B$599:$B$615,0)-1,0),OFFSET(控制台!$U$618,MATCH(F244,控制台!$B$618:$B$636,0)-1,0))</f>
        <v>197505</v>
      </c>
      <c r="Y244" s="16">
        <f ca="1">_xlfn.FLOOR.MATH(IF(E244=1,X244/G244,IF(E244=5,X244/G244*OFFSET(控制台!$D$641,MATCH(B244,控制台!$B$641:$B$645,0)-1,0),X244/G244*OFFSET(控制台!$H$641,MATCH(B244,控制台!$F$641:$F$650,0)-1,0))))</f>
        <v>2992</v>
      </c>
      <c r="Z244" s="16">
        <f ca="1" t="shared" si="11"/>
        <v>7479</v>
      </c>
    </row>
    <row r="245" spans="1:26">
      <c r="A245" s="1">
        <v>21002</v>
      </c>
      <c r="B245" s="1">
        <v>6</v>
      </c>
      <c r="C245" s="1">
        <v>2</v>
      </c>
      <c r="D245" s="1" t="s">
        <v>2825</v>
      </c>
      <c r="E245" s="1">
        <f ca="1">IF(C245=1,OFFSET(控制台!$F$552,MATCH(A245,控制台!$B$552:$B$580,0)-1,0),OFFSET(控制台!$L$552,MATCH(A245,控制台!$H$552:$H$594,0)-1,0))</f>
        <v>10</v>
      </c>
      <c r="F245" s="1">
        <f ca="1">IF(C245=1,OFFSET(控制台!$D$552,MATCH(A245,控制台!$B$552:$B$580,0)-1,0),OFFSET(控制台!$J$552,MATCH(A245,控制台!$H$552:$H$594,0)-1,0))</f>
        <v>10</v>
      </c>
      <c r="G245" s="1">
        <f ca="1">IF(C245=1,OFFSET(控制台!$I$599,MATCH(F245,控制台!$B$599:$B$615,0)-1,0),OFFSET(控制台!$I$618,MATCH(F245,控制台!$B$618:$B$636,0)-1,0))</f>
        <v>3</v>
      </c>
      <c r="H245" s="1">
        <f ca="1">IF(C245=1,OFFSET(控制台!$D$599,MATCH(F245,控制台!$B$599:$B$615,0)-1,0),OFFSET(控制台!$D$618,MATCH(F245,控制台!$B$618:$B$636,0)-1,0))</f>
        <v>78624000</v>
      </c>
      <c r="I245" s="1">
        <f ca="1">IF(E245=1,H245/G245,IF(E245=5,H245/G245*OFFSET(控制台!$D$641,MATCH(B245,控制台!$B$641:$B$645,0)-1,0),H245/G245*OFFSET(控制台!$H$641,MATCH(B245,控制台!$F$641:$F$650,0)-1,0)))</f>
        <v>1786909.09090909</v>
      </c>
      <c r="J245" s="1">
        <f ca="1">$I245/3*控制台!H$102</f>
        <v>595636.363636364</v>
      </c>
      <c r="K245" s="1">
        <f ca="1">$I245/3*控制台!I$102</f>
        <v>446727.272727273</v>
      </c>
      <c r="L245" s="1">
        <f ca="1">$I245/3*控制台!J$102</f>
        <v>744545.454545455</v>
      </c>
      <c r="M245" s="1">
        <f ca="1">_xlfn.FLOOR.MATH(J245,POWER(10,MAX(2,INT(LOG10(J245)-2))))</f>
        <v>595000</v>
      </c>
      <c r="N245" s="1">
        <f ca="1">_xlfn.FLOOR.MATH(K245,POWER(10,MAX(2,INT(LOG10(K245)-2))))</f>
        <v>446000</v>
      </c>
      <c r="O245" s="1">
        <f ca="1">_xlfn.FLOOR.MATH(L245,POWER(10,MAX(2,INT(LOG10(L245)-2))))</f>
        <v>744000</v>
      </c>
      <c r="P245" s="4" t="str">
        <f ca="1" t="shared" si="9"/>
        <v>595000;446000;744000</v>
      </c>
      <c r="Q245" s="15">
        <f ca="1">IF(C245=1,OFFSET(控制台!$H$599,MATCH(F245,控制台!$B$599:$B$615,0)-1,0),OFFSET(控制台!$H$618,MATCH(F245,控制台!$B$618:$B$636,0)-1,0))</f>
        <v>98819.4816000001</v>
      </c>
      <c r="R245" s="15">
        <f ca="1">IF(E245=1,Q245/G245,IF(E245=5,Q245/G245*OFFSET(控制台!$D$641,MATCH(B245,控制台!$B$641:$B$645,0)-1,0),Q245/G245*OFFSET(控制台!$H$641,MATCH(B245,控制台!$F$641:$F$650,0)-1,0)))</f>
        <v>2245.89730909091</v>
      </c>
      <c r="S245" s="16">
        <f ca="1">_xlfn.FLOOR.MATH(R245)*60</f>
        <v>134700</v>
      </c>
      <c r="T245" s="16">
        <f ca="1">8000+IF(C245=1,OFFSET(控制台!$K$599,MATCH(F245,控制台!$B$599:$B$615,0)-1,0),OFFSET(控制台!$K$618,MATCH(F245,控制台!$B$618:$B$636,0)-1,0))</f>
        <v>8022</v>
      </c>
      <c r="U245" s="1">
        <f ca="1">IF(C245=1,OFFSET(控制台!$F$599,MATCH(F245,控制台!$B$599:$B$615,0)-1,0),OFFSET(控制台!$F$618,MATCH(F245,控制台!$B$618:$B$636,0)-1,0))</f>
        <v>66769.92</v>
      </c>
      <c r="V245" s="1">
        <f ca="1">IF(E245=1,U245/G245,IF(E245=5,U245/G245*OFFSET(控制台!$D$641,MATCH(B245,控制台!$B$641:$B$645,0)-1,0),U245/G245*OFFSET(控制台!$H$641,MATCH(B245,控制台!$F$641:$F$650,0)-1,0)))</f>
        <v>1517.49818181818</v>
      </c>
      <c r="W245" s="20">
        <f ca="1" t="shared" si="10"/>
        <v>1.05381818181818</v>
      </c>
      <c r="X245" s="15">
        <f ca="1">IF(C245=1,OFFSET(控制台!$U$599,MATCH(F245,控制台!$B$599:$B$615,0)-1,0),OFFSET(控制台!$U$618,MATCH(F245,控制台!$B$618:$B$636,0)-1,0))</f>
        <v>197505</v>
      </c>
      <c r="Y245" s="16">
        <f ca="1">_xlfn.FLOOR.MATH(IF(E245=1,X245/G245,IF(E245=5,X245/G245*OFFSET(控制台!$D$641,MATCH(B245,控制台!$B$641:$B$645,0)-1,0),X245/G245*OFFSET(控制台!$H$641,MATCH(B245,控制台!$F$641:$F$650,0)-1,0))))</f>
        <v>4488</v>
      </c>
      <c r="Z245" s="16">
        <f ca="1" t="shared" si="11"/>
        <v>11967</v>
      </c>
    </row>
    <row r="246" spans="1:26">
      <c r="A246" s="1">
        <v>21002</v>
      </c>
      <c r="B246" s="1">
        <v>7</v>
      </c>
      <c r="C246" s="1">
        <v>2</v>
      </c>
      <c r="D246" s="1" t="s">
        <v>2825</v>
      </c>
      <c r="E246" s="1">
        <f ca="1">IF(C246=1,OFFSET(控制台!$F$552,MATCH(A246,控制台!$B$552:$B$580,0)-1,0),OFFSET(控制台!$L$552,MATCH(A246,控制台!$H$552:$H$594,0)-1,0))</f>
        <v>10</v>
      </c>
      <c r="F246" s="1">
        <f ca="1">IF(C246=1,OFFSET(控制台!$D$552,MATCH(A246,控制台!$B$552:$B$580,0)-1,0),OFFSET(控制台!$J$552,MATCH(A246,控制台!$H$552:$H$594,0)-1,0))</f>
        <v>10</v>
      </c>
      <c r="G246" s="1">
        <f ca="1">IF(C246=1,OFFSET(控制台!$I$599,MATCH(F246,控制台!$B$599:$B$615,0)-1,0),OFFSET(控制台!$I$618,MATCH(F246,控制台!$B$618:$B$636,0)-1,0))</f>
        <v>3</v>
      </c>
      <c r="H246" s="1">
        <f ca="1">IF(C246=1,OFFSET(控制台!$D$599,MATCH(F246,控制台!$B$599:$B$615,0)-1,0),OFFSET(控制台!$D$618,MATCH(F246,控制台!$B$618:$B$636,0)-1,0))</f>
        <v>78624000</v>
      </c>
      <c r="I246" s="1">
        <f ca="1">IF(E246=1,H246/G246,IF(E246=5,H246/G246*OFFSET(控制台!$D$641,MATCH(B246,控制台!$B$641:$B$645,0)-1,0),H246/G246*OFFSET(控制台!$H$641,MATCH(B246,控制台!$F$641:$F$650,0)-1,0)))</f>
        <v>2382545.45454545</v>
      </c>
      <c r="J246" s="1">
        <f ca="1">$I246/3*控制台!H$102</f>
        <v>794181.818181818</v>
      </c>
      <c r="K246" s="1">
        <f ca="1">$I246/3*控制台!I$102</f>
        <v>595636.363636363</v>
      </c>
      <c r="L246" s="1">
        <f ca="1">$I246/3*控制台!J$102</f>
        <v>992727.272727272</v>
      </c>
      <c r="M246" s="1">
        <f ca="1">_xlfn.FLOOR.MATH(J246,POWER(10,MAX(2,INT(LOG10(J246)-2))))</f>
        <v>794000</v>
      </c>
      <c r="N246" s="1">
        <f ca="1">_xlfn.FLOOR.MATH(K246,POWER(10,MAX(2,INT(LOG10(K246)-2))))</f>
        <v>595000</v>
      </c>
      <c r="O246" s="1">
        <f ca="1">_xlfn.FLOOR.MATH(L246,POWER(10,MAX(2,INT(LOG10(L246)-2))))</f>
        <v>992000</v>
      </c>
      <c r="P246" s="4" t="str">
        <f ca="1" t="shared" si="9"/>
        <v>794000;595000;992000</v>
      </c>
      <c r="Q246" s="15">
        <f ca="1">IF(C246=1,OFFSET(控制台!$H$599,MATCH(F246,控制台!$B$599:$B$615,0)-1,0),OFFSET(控制台!$H$618,MATCH(F246,控制台!$B$618:$B$636,0)-1,0))</f>
        <v>98819.4816000001</v>
      </c>
      <c r="R246" s="15">
        <f ca="1">IF(E246=1,Q246/G246,IF(E246=5,Q246/G246*OFFSET(控制台!$D$641,MATCH(B246,控制台!$B$641:$B$645,0)-1,0),Q246/G246*OFFSET(控制台!$H$641,MATCH(B246,控制台!$F$641:$F$650,0)-1,0)))</f>
        <v>2994.52974545455</v>
      </c>
      <c r="S246" s="16">
        <f ca="1">_xlfn.FLOOR.MATH(R246)*60</f>
        <v>179640</v>
      </c>
      <c r="T246" s="16">
        <f ca="1">8000+IF(C246=1,OFFSET(控制台!$K$599,MATCH(F246,控制台!$B$599:$B$615,0)-1,0),OFFSET(控制台!$K$618,MATCH(F246,控制台!$B$618:$B$636,0)-1,0))</f>
        <v>8022</v>
      </c>
      <c r="U246" s="1">
        <f ca="1">IF(C246=1,OFFSET(控制台!$F$599,MATCH(F246,控制台!$B$599:$B$615,0)-1,0),OFFSET(控制台!$F$618,MATCH(F246,控制台!$B$618:$B$636,0)-1,0))</f>
        <v>66769.92</v>
      </c>
      <c r="V246" s="1">
        <f ca="1">IF(E246=1,U246/G246,IF(E246=5,U246/G246*OFFSET(控制台!$D$641,MATCH(B246,控制台!$B$641:$B$645,0)-1,0),U246/G246*OFFSET(控制台!$H$641,MATCH(B246,控制台!$F$641:$F$650,0)-1,0)))</f>
        <v>2023.33090909091</v>
      </c>
      <c r="W246" s="20">
        <f ca="1" t="shared" si="10"/>
        <v>1.40509090909091</v>
      </c>
      <c r="X246" s="15">
        <f ca="1">IF(C246=1,OFFSET(控制台!$U$599,MATCH(F246,控制台!$B$599:$B$615,0)-1,0),OFFSET(控制台!$U$618,MATCH(F246,控制台!$B$618:$B$636,0)-1,0))</f>
        <v>197505</v>
      </c>
      <c r="Y246" s="16">
        <f ca="1">_xlfn.FLOOR.MATH(IF(E246=1,X246/G246,IF(E246=5,X246/G246*OFFSET(控制台!$D$641,MATCH(B246,控制台!$B$641:$B$645,0)-1,0),X246/G246*OFFSET(控制台!$H$641,MATCH(B246,控制台!$F$641:$F$650,0)-1,0))))</f>
        <v>5985</v>
      </c>
      <c r="Z246" s="16">
        <f ca="1" t="shared" si="11"/>
        <v>17952</v>
      </c>
    </row>
    <row r="247" spans="1:26">
      <c r="A247" s="1">
        <v>21002</v>
      </c>
      <c r="B247" s="1">
        <v>8</v>
      </c>
      <c r="C247" s="1">
        <v>2</v>
      </c>
      <c r="D247" s="1" t="s">
        <v>2825</v>
      </c>
      <c r="E247" s="1">
        <f ca="1">IF(C247=1,OFFSET(控制台!$F$552,MATCH(A247,控制台!$B$552:$B$580,0)-1,0),OFFSET(控制台!$L$552,MATCH(A247,控制台!$H$552:$H$594,0)-1,0))</f>
        <v>10</v>
      </c>
      <c r="F247" s="1">
        <f ca="1">IF(C247=1,OFFSET(控制台!$D$552,MATCH(A247,控制台!$B$552:$B$580,0)-1,0),OFFSET(控制台!$J$552,MATCH(A247,控制台!$H$552:$H$594,0)-1,0))</f>
        <v>10</v>
      </c>
      <c r="G247" s="1">
        <f ca="1">IF(C247=1,OFFSET(控制台!$I$599,MATCH(F247,控制台!$B$599:$B$615,0)-1,0),OFFSET(控制台!$I$618,MATCH(F247,控制台!$B$618:$B$636,0)-1,0))</f>
        <v>3</v>
      </c>
      <c r="H247" s="1">
        <f ca="1">IF(C247=1,OFFSET(控制台!$D$599,MATCH(F247,控制台!$B$599:$B$615,0)-1,0),OFFSET(控制台!$D$618,MATCH(F247,控制台!$B$618:$B$636,0)-1,0))</f>
        <v>78624000</v>
      </c>
      <c r="I247" s="1">
        <f ca="1">IF(E247=1,H247/G247,IF(E247=5,H247/G247*OFFSET(控制台!$D$641,MATCH(B247,控制台!$B$641:$B$645,0)-1,0),H247/G247*OFFSET(控制台!$H$641,MATCH(B247,控制台!$F$641:$F$650,0)-1,0)))</f>
        <v>3573818.18181817</v>
      </c>
      <c r="J247" s="1">
        <f ca="1">$I247/3*控制台!H$102</f>
        <v>1191272.72727272</v>
      </c>
      <c r="K247" s="1">
        <f ca="1">$I247/3*控制台!I$102</f>
        <v>893454.545454543</v>
      </c>
      <c r="L247" s="1">
        <f ca="1">$I247/3*控制台!J$102</f>
        <v>1489090.9090909</v>
      </c>
      <c r="M247" s="1">
        <f ca="1">_xlfn.FLOOR.MATH(J247,POWER(10,MAX(2,INT(LOG10(J247)-2))))</f>
        <v>1190000</v>
      </c>
      <c r="N247" s="1">
        <f ca="1">_xlfn.FLOOR.MATH(K247,POWER(10,MAX(2,INT(LOG10(K247)-2))))</f>
        <v>893000</v>
      </c>
      <c r="O247" s="1">
        <f ca="1">_xlfn.FLOOR.MATH(L247,POWER(10,MAX(2,INT(LOG10(L247)-2))))</f>
        <v>1480000</v>
      </c>
      <c r="P247" s="4" t="str">
        <f ca="1" t="shared" si="9"/>
        <v>1190000;893000;1480000</v>
      </c>
      <c r="Q247" s="15">
        <f ca="1">IF(C247=1,OFFSET(控制台!$H$599,MATCH(F247,控制台!$B$599:$B$615,0)-1,0),OFFSET(控制台!$H$618,MATCH(F247,控制台!$B$618:$B$636,0)-1,0))</f>
        <v>98819.4816000001</v>
      </c>
      <c r="R247" s="15">
        <f ca="1">IF(E247=1,Q247/G247,IF(E247=5,Q247/G247*OFFSET(控制台!$D$641,MATCH(B247,控制台!$B$641:$B$645,0)-1,0),Q247/G247*OFFSET(控制台!$H$641,MATCH(B247,控制台!$F$641:$F$650,0)-1,0)))</f>
        <v>4491.79461818181</v>
      </c>
      <c r="S247" s="16">
        <f ca="1">_xlfn.FLOOR.MATH(R247)*60</f>
        <v>269460</v>
      </c>
      <c r="T247" s="16">
        <f ca="1">8000+IF(C247=1,OFFSET(控制台!$K$599,MATCH(F247,控制台!$B$599:$B$615,0)-1,0),OFFSET(控制台!$K$618,MATCH(F247,控制台!$B$618:$B$636,0)-1,0))</f>
        <v>8022</v>
      </c>
      <c r="U247" s="1">
        <f ca="1">IF(C247=1,OFFSET(控制台!$F$599,MATCH(F247,控制台!$B$599:$B$615,0)-1,0),OFFSET(控制台!$F$618,MATCH(F247,控制台!$B$618:$B$636,0)-1,0))</f>
        <v>66769.92</v>
      </c>
      <c r="V247" s="1">
        <f ca="1">IF(E247=1,U247/G247,IF(E247=5,U247/G247*OFFSET(控制台!$D$641,MATCH(B247,控制台!$B$641:$B$645,0)-1,0),U247/G247*OFFSET(控制台!$H$641,MATCH(B247,控制台!$F$641:$F$650,0)-1,0)))</f>
        <v>3034.99636363636</v>
      </c>
      <c r="W247" s="20">
        <f ca="1" t="shared" si="10"/>
        <v>2.10763636363636</v>
      </c>
      <c r="X247" s="15">
        <f ca="1">IF(C247=1,OFFSET(控制台!$U$599,MATCH(F247,控制台!$B$599:$B$615,0)-1,0),OFFSET(控制台!$U$618,MATCH(F247,控制台!$B$618:$B$636,0)-1,0))</f>
        <v>197505</v>
      </c>
      <c r="Y247" s="16">
        <f ca="1">_xlfn.FLOOR.MATH(IF(E247=1,X247/G247,IF(E247=5,X247/G247*OFFSET(控制台!$D$641,MATCH(B247,控制台!$B$641:$B$645,0)-1,0),X247/G247*OFFSET(控制台!$H$641,MATCH(B247,控制台!$F$641:$F$650,0)-1,0))))</f>
        <v>8977</v>
      </c>
      <c r="Z247" s="16">
        <f ca="1" t="shared" si="11"/>
        <v>26929</v>
      </c>
    </row>
    <row r="248" spans="1:26">
      <c r="A248" s="1">
        <v>21002</v>
      </c>
      <c r="B248" s="1">
        <v>9</v>
      </c>
      <c r="C248" s="1">
        <v>2</v>
      </c>
      <c r="D248" s="1" t="s">
        <v>2825</v>
      </c>
      <c r="E248" s="1">
        <f ca="1">IF(C248=1,OFFSET(控制台!$F$552,MATCH(A248,控制台!$B$552:$B$580,0)-1,0),OFFSET(控制台!$L$552,MATCH(A248,控制台!$H$552:$H$594,0)-1,0))</f>
        <v>10</v>
      </c>
      <c r="F248" s="1">
        <f ca="1">IF(C248=1,OFFSET(控制台!$D$552,MATCH(A248,控制台!$B$552:$B$580,0)-1,0),OFFSET(控制台!$J$552,MATCH(A248,控制台!$H$552:$H$594,0)-1,0))</f>
        <v>10</v>
      </c>
      <c r="G248" s="1">
        <f ca="1">IF(C248=1,OFFSET(控制台!$I$599,MATCH(F248,控制台!$B$599:$B$615,0)-1,0),OFFSET(控制台!$I$618,MATCH(F248,控制台!$B$618:$B$636,0)-1,0))</f>
        <v>3</v>
      </c>
      <c r="H248" s="1">
        <f ca="1">IF(C248=1,OFFSET(控制台!$D$599,MATCH(F248,控制台!$B$599:$B$615,0)-1,0),OFFSET(控制台!$D$618,MATCH(F248,控制台!$B$618:$B$636,0)-1,0))</f>
        <v>78624000</v>
      </c>
      <c r="I248" s="1">
        <f ca="1">IF(E248=1,H248/G248,IF(E248=5,H248/G248*OFFSET(控制台!$D$641,MATCH(B248,控制台!$B$641:$B$645,0)-1,0),H248/G248*OFFSET(控制台!$H$641,MATCH(B248,控制台!$F$641:$F$650,0)-1,0)))</f>
        <v>5956363.63636363</v>
      </c>
      <c r="J248" s="1">
        <f ca="1">$I248/3*控制台!H$102</f>
        <v>1985454.54545454</v>
      </c>
      <c r="K248" s="1">
        <f ca="1">$I248/3*控制台!I$102</f>
        <v>1489090.90909091</v>
      </c>
      <c r="L248" s="1">
        <f ca="1">$I248/3*控制台!J$102</f>
        <v>2481818.18181818</v>
      </c>
      <c r="M248" s="1">
        <f ca="1">_xlfn.FLOOR.MATH(J248,POWER(10,MAX(2,INT(LOG10(J248)-2))))</f>
        <v>1980000</v>
      </c>
      <c r="N248" s="1">
        <f ca="1">_xlfn.FLOOR.MATH(K248,POWER(10,MAX(2,INT(LOG10(K248)-2))))</f>
        <v>1480000</v>
      </c>
      <c r="O248" s="1">
        <f ca="1">_xlfn.FLOOR.MATH(L248,POWER(10,MAX(2,INT(LOG10(L248)-2))))</f>
        <v>2480000</v>
      </c>
      <c r="P248" s="4" t="str">
        <f ca="1" t="shared" si="9"/>
        <v>1980000;1480000;2480000</v>
      </c>
      <c r="Q248" s="15">
        <f ca="1">IF(C248=1,OFFSET(控制台!$H$599,MATCH(F248,控制台!$B$599:$B$615,0)-1,0),OFFSET(控制台!$H$618,MATCH(F248,控制台!$B$618:$B$636,0)-1,0))</f>
        <v>98819.4816000001</v>
      </c>
      <c r="R248" s="15">
        <f ca="1">IF(E248=1,Q248/G248,IF(E248=5,Q248/G248*OFFSET(控制台!$D$641,MATCH(B248,控制台!$B$641:$B$645,0)-1,0),Q248/G248*OFFSET(控制台!$H$641,MATCH(B248,控制台!$F$641:$F$650,0)-1,0)))</f>
        <v>7486.32436363636</v>
      </c>
      <c r="S248" s="16">
        <f ca="1">_xlfn.FLOOR.MATH(R248)*60</f>
        <v>449160</v>
      </c>
      <c r="T248" s="16">
        <f ca="1">8000+IF(C248=1,OFFSET(控制台!$K$599,MATCH(F248,控制台!$B$599:$B$615,0)-1,0),OFFSET(控制台!$K$618,MATCH(F248,控制台!$B$618:$B$636,0)-1,0))</f>
        <v>8022</v>
      </c>
      <c r="U248" s="1">
        <f ca="1">IF(C248=1,OFFSET(控制台!$F$599,MATCH(F248,控制台!$B$599:$B$615,0)-1,0),OFFSET(控制台!$F$618,MATCH(F248,控制台!$B$618:$B$636,0)-1,0))</f>
        <v>66769.92</v>
      </c>
      <c r="V248" s="1">
        <f ca="1">IF(E248=1,U248/G248,IF(E248=5,U248/G248*OFFSET(控制台!$D$641,MATCH(B248,控制台!$B$641:$B$645,0)-1,0),U248/G248*OFFSET(控制台!$H$641,MATCH(B248,控制台!$F$641:$F$650,0)-1,0)))</f>
        <v>5058.32727272727</v>
      </c>
      <c r="W248" s="20">
        <f ca="1" t="shared" si="10"/>
        <v>3.51272727272727</v>
      </c>
      <c r="X248" s="15">
        <f ca="1">IF(C248=1,OFFSET(控制台!$U$599,MATCH(F248,控制台!$B$599:$B$615,0)-1,0),OFFSET(控制台!$U$618,MATCH(F248,控制台!$B$618:$B$636,0)-1,0))</f>
        <v>197505</v>
      </c>
      <c r="Y248" s="16">
        <f ca="1">_xlfn.FLOOR.MATH(IF(E248=1,X248/G248,IF(E248=5,X248/G248*OFFSET(控制台!$D$641,MATCH(B248,控制台!$B$641:$B$645,0)-1,0),X248/G248*OFFSET(控制台!$H$641,MATCH(B248,控制台!$F$641:$F$650,0)-1,0))))</f>
        <v>14962</v>
      </c>
      <c r="Z248" s="16">
        <f ca="1" t="shared" si="11"/>
        <v>41891</v>
      </c>
    </row>
    <row r="249" spans="1:26">
      <c r="A249" s="1">
        <v>21002</v>
      </c>
      <c r="B249" s="1">
        <v>10</v>
      </c>
      <c r="C249" s="1">
        <v>2</v>
      </c>
      <c r="D249" s="1" t="s">
        <v>2825</v>
      </c>
      <c r="E249" s="1">
        <f ca="1">IF(C249=1,OFFSET(控制台!$F$552,MATCH(A249,控制台!$B$552:$B$580,0)-1,0),OFFSET(控制台!$L$552,MATCH(A249,控制台!$H$552:$H$594,0)-1,0))</f>
        <v>10</v>
      </c>
      <c r="F249" s="1">
        <f ca="1">IF(C249=1,OFFSET(控制台!$D$552,MATCH(A249,控制台!$B$552:$B$580,0)-1,0),OFFSET(控制台!$J$552,MATCH(A249,控制台!$H$552:$H$594,0)-1,0))</f>
        <v>10</v>
      </c>
      <c r="G249" s="1">
        <f ca="1">IF(C249=1,OFFSET(控制台!$I$599,MATCH(F249,控制台!$B$599:$B$615,0)-1,0),OFFSET(控制台!$I$618,MATCH(F249,控制台!$B$618:$B$636,0)-1,0))</f>
        <v>3</v>
      </c>
      <c r="H249" s="1">
        <f ca="1">IF(C249=1,OFFSET(控制台!$D$599,MATCH(F249,控制台!$B$599:$B$615,0)-1,0),OFFSET(控制台!$D$618,MATCH(F249,控制台!$B$618:$B$636,0)-1,0))</f>
        <v>78624000</v>
      </c>
      <c r="I249" s="1">
        <f ca="1">IF(E249=1,H249/G249,IF(E249=5,H249/G249*OFFSET(控制台!$D$641,MATCH(B249,控制台!$B$641:$B$645,0)-1,0),H249/G249*OFFSET(控制台!$H$641,MATCH(B249,控制台!$F$641:$F$650,0)-1,0)))</f>
        <v>9530181.81818182</v>
      </c>
      <c r="J249" s="1">
        <f ca="1">$I249/3*控制台!H$102</f>
        <v>3176727.27272727</v>
      </c>
      <c r="K249" s="1">
        <f ca="1">$I249/3*控制台!I$102</f>
        <v>2382545.45454546</v>
      </c>
      <c r="L249" s="1">
        <f ca="1">$I249/3*控制台!J$102</f>
        <v>3970909.09090909</v>
      </c>
      <c r="M249" s="1">
        <f ca="1">_xlfn.FLOOR.MATH(J249,POWER(10,MAX(2,INT(LOG10(J249)-2))))</f>
        <v>3170000</v>
      </c>
      <c r="N249" s="1">
        <f ca="1">_xlfn.FLOOR.MATH(K249,POWER(10,MAX(2,INT(LOG10(K249)-2))))</f>
        <v>2380000</v>
      </c>
      <c r="O249" s="1">
        <f ca="1">_xlfn.FLOOR.MATH(L249,POWER(10,MAX(2,INT(LOG10(L249)-2))))</f>
        <v>3970000</v>
      </c>
      <c r="P249" s="4" t="str">
        <f ca="1" t="shared" si="9"/>
        <v>3170000;2380000;3970000</v>
      </c>
      <c r="Q249" s="15">
        <f ca="1">IF(C249=1,OFFSET(控制台!$H$599,MATCH(F249,控制台!$B$599:$B$615,0)-1,0),OFFSET(控制台!$H$618,MATCH(F249,控制台!$B$618:$B$636,0)-1,0))</f>
        <v>98819.4816000001</v>
      </c>
      <c r="R249" s="15">
        <f ca="1">IF(E249=1,Q249/G249,IF(E249=5,Q249/G249*OFFSET(控制台!$D$641,MATCH(B249,控制台!$B$641:$B$645,0)-1,0),Q249/G249*OFFSET(控制台!$H$641,MATCH(B249,控制台!$F$641:$F$650,0)-1,0)))</f>
        <v>11978.1189818182</v>
      </c>
      <c r="S249" s="16">
        <f ca="1">_xlfn.FLOOR.MATH(R249)*60</f>
        <v>718680</v>
      </c>
      <c r="T249" s="16">
        <f ca="1">8000+IF(C249=1,OFFSET(控制台!$K$599,MATCH(F249,控制台!$B$599:$B$615,0)-1,0),OFFSET(控制台!$K$618,MATCH(F249,控制台!$B$618:$B$636,0)-1,0))</f>
        <v>8022</v>
      </c>
      <c r="U249" s="1">
        <f ca="1">IF(C249=1,OFFSET(控制台!$F$599,MATCH(F249,控制台!$B$599:$B$615,0)-1,0),OFFSET(控制台!$F$618,MATCH(F249,控制台!$B$618:$B$636,0)-1,0))</f>
        <v>66769.92</v>
      </c>
      <c r="V249" s="1">
        <f ca="1">IF(E249=1,U249/G249,IF(E249=5,U249/G249*OFFSET(控制台!$D$641,MATCH(B249,控制台!$B$641:$B$645,0)-1,0),U249/G249*OFFSET(控制台!$H$641,MATCH(B249,控制台!$F$641:$F$650,0)-1,0)))</f>
        <v>8093.32363636365</v>
      </c>
      <c r="W249" s="20">
        <f ca="1" t="shared" si="10"/>
        <v>5.62036363636365</v>
      </c>
      <c r="X249" s="15">
        <f ca="1">IF(C249=1,OFFSET(控制台!$U$599,MATCH(F249,控制台!$B$599:$B$615,0)-1,0),OFFSET(控制台!$U$618,MATCH(F249,控制台!$B$618:$B$636,0)-1,0))</f>
        <v>197505</v>
      </c>
      <c r="Y249" s="16">
        <f ca="1">_xlfn.FLOOR.MATH(IF(E249=1,X249/G249,IF(E249=5,X249/G249*OFFSET(控制台!$D$641,MATCH(B249,控制台!$B$641:$B$645,0)-1,0),X249/G249*OFFSET(控制台!$H$641,MATCH(B249,控制台!$F$641:$F$650,0)-1,0))))</f>
        <v>23940</v>
      </c>
      <c r="Z249" s="16">
        <f ca="1" t="shared" si="11"/>
        <v>65831</v>
      </c>
    </row>
    <row r="250" spans="1:26">
      <c r="A250" s="1">
        <v>21003</v>
      </c>
      <c r="B250" s="1">
        <v>1</v>
      </c>
      <c r="C250" s="1">
        <v>2</v>
      </c>
      <c r="D250" s="1" t="s">
        <v>2472</v>
      </c>
      <c r="E250" s="1">
        <f ca="1">IF(C250=1,OFFSET(控制台!$F$552,MATCH(A250,控制台!$B$552:$B$580,0)-1,0),OFFSET(控制台!$L$552,MATCH(A250,控制台!$H$552:$H$594,0)-1,0))</f>
        <v>10</v>
      </c>
      <c r="F250" s="1">
        <f ca="1">IF(C250=1,OFFSET(控制台!$D$552,MATCH(A250,控制台!$B$552:$B$580,0)-1,0),OFFSET(控制台!$J$552,MATCH(A250,控制台!$H$552:$H$594,0)-1,0))</f>
        <v>10</v>
      </c>
      <c r="G250" s="1">
        <f ca="1">IF(C250=1,OFFSET(控制台!$I$599,MATCH(F250,控制台!$B$599:$B$615,0)-1,0),OFFSET(控制台!$I$618,MATCH(F250,控制台!$B$618:$B$636,0)-1,0))</f>
        <v>3</v>
      </c>
      <c r="H250" s="1">
        <f ca="1">IF(C250=1,OFFSET(控制台!$D$599,MATCH(F250,控制台!$B$599:$B$615,0)-1,0),OFFSET(控制台!$D$618,MATCH(F250,控制台!$B$618:$B$636,0)-1,0))</f>
        <v>78624000</v>
      </c>
      <c r="I250" s="1">
        <f ca="1">IF(E250=1,H250/G250,IF(E250=5,H250/G250*OFFSET(控制台!$D$641,MATCH(B250,控制台!$B$641:$B$645,0)-1,0),H250/G250*OFFSET(控制台!$H$641,MATCH(B250,控制台!$F$641:$F$650,0)-1,0)))</f>
        <v>238254.545454545</v>
      </c>
      <c r="J250" s="1">
        <f ca="1">$I250/3*控制台!H$102</f>
        <v>79418.1818181818</v>
      </c>
      <c r="K250" s="1">
        <f ca="1">$I250/3*控制台!I$102</f>
        <v>59563.6363636363</v>
      </c>
      <c r="L250" s="1">
        <f ca="1">$I250/3*控制台!J$102</f>
        <v>99272.7272727272</v>
      </c>
      <c r="M250" s="1">
        <f ca="1">_xlfn.FLOOR.MATH(J250,POWER(10,MAX(2,INT(LOG10(J250)-2))))</f>
        <v>79400</v>
      </c>
      <c r="N250" s="1">
        <f ca="1">_xlfn.FLOOR.MATH(K250,POWER(10,MAX(2,INT(LOG10(K250)-2))))</f>
        <v>59500</v>
      </c>
      <c r="O250" s="1">
        <f ca="1">_xlfn.FLOOR.MATH(L250,POWER(10,MAX(2,INT(LOG10(L250)-2))))</f>
        <v>99200</v>
      </c>
      <c r="P250" s="4" t="str">
        <f ca="1" t="shared" si="9"/>
        <v>79400;59500;99200</v>
      </c>
      <c r="Q250" s="15">
        <f ca="1">IF(C250=1,OFFSET(控制台!$H$599,MATCH(F250,控制台!$B$599:$B$615,0)-1,0),OFFSET(控制台!$H$618,MATCH(F250,控制台!$B$618:$B$636,0)-1,0))</f>
        <v>98819.4816000001</v>
      </c>
      <c r="R250" s="15">
        <f ca="1">IF(E250=1,Q250/G250,IF(E250=5,Q250/G250*OFFSET(控制台!$D$641,MATCH(B250,控制台!$B$641:$B$645,0)-1,0),Q250/G250*OFFSET(控制台!$H$641,MATCH(B250,控制台!$F$641:$F$650,0)-1,0)))</f>
        <v>299.452974545455</v>
      </c>
      <c r="S250" s="16">
        <f ca="1">_xlfn.FLOOR.MATH(R250)*60</f>
        <v>17940</v>
      </c>
      <c r="T250" s="16">
        <f ca="1">8000+IF(C250=1,OFFSET(控制台!$K$599,MATCH(F250,控制台!$B$599:$B$615,0)-1,0),OFFSET(控制台!$K$618,MATCH(F250,控制台!$B$618:$B$636,0)-1,0))</f>
        <v>8022</v>
      </c>
      <c r="U250" s="1">
        <f ca="1">IF(C250=1,OFFSET(控制台!$F$599,MATCH(F250,控制台!$B$599:$B$615,0)-1,0),OFFSET(控制台!$F$618,MATCH(F250,控制台!$B$618:$B$636,0)-1,0))</f>
        <v>66769.92</v>
      </c>
      <c r="V250" s="1">
        <f ca="1">IF(E250=1,U250/G250,IF(E250=5,U250/G250*OFFSET(控制台!$D$641,MATCH(B250,控制台!$B$641:$B$645,0)-1,0),U250/G250*OFFSET(控制台!$H$641,MATCH(B250,控制台!$F$641:$F$650,0)-1,0)))</f>
        <v>202.333090909091</v>
      </c>
      <c r="W250" s="20">
        <f ca="1" t="shared" si="10"/>
        <v>0.140509090909091</v>
      </c>
      <c r="X250" s="15">
        <f ca="1">IF(C250=1,OFFSET(控制台!$U$599,MATCH(F250,控制台!$B$599:$B$615,0)-1,0),OFFSET(控制台!$U$618,MATCH(F250,控制台!$B$618:$B$636,0)-1,0))</f>
        <v>197505</v>
      </c>
      <c r="Y250" s="16">
        <f ca="1">_xlfn.FLOOR.MATH(IF(E250=1,X250/G250,IF(E250=5,X250/G250*OFFSET(控制台!$D$641,MATCH(B250,控制台!$B$641:$B$645,0)-1,0),X250/G250*OFFSET(控制台!$H$641,MATCH(B250,控制台!$F$641:$F$650,0)-1,0))))</f>
        <v>598</v>
      </c>
      <c r="Z250" s="16">
        <f ca="1" t="shared" si="11"/>
        <v>598</v>
      </c>
    </row>
    <row r="251" spans="1:26">
      <c r="A251" s="1">
        <v>21003</v>
      </c>
      <c r="B251" s="1">
        <v>2</v>
      </c>
      <c r="C251" s="1">
        <v>2</v>
      </c>
      <c r="D251" s="1" t="s">
        <v>2472</v>
      </c>
      <c r="E251" s="1">
        <f ca="1">IF(C251=1,OFFSET(控制台!$F$552,MATCH(A251,控制台!$B$552:$B$580,0)-1,0),OFFSET(控制台!$L$552,MATCH(A251,控制台!$H$552:$H$594,0)-1,0))</f>
        <v>10</v>
      </c>
      <c r="F251" s="1">
        <f ca="1">IF(C251=1,OFFSET(控制台!$D$552,MATCH(A251,控制台!$B$552:$B$580,0)-1,0),OFFSET(控制台!$J$552,MATCH(A251,控制台!$H$552:$H$594,0)-1,0))</f>
        <v>10</v>
      </c>
      <c r="G251" s="1">
        <f ca="1">IF(C251=1,OFFSET(控制台!$I$599,MATCH(F251,控制台!$B$599:$B$615,0)-1,0),OFFSET(控制台!$I$618,MATCH(F251,控制台!$B$618:$B$636,0)-1,0))</f>
        <v>3</v>
      </c>
      <c r="H251" s="1">
        <f ca="1">IF(C251=1,OFFSET(控制台!$D$599,MATCH(F251,控制台!$B$599:$B$615,0)-1,0),OFFSET(控制台!$D$618,MATCH(F251,控制台!$B$618:$B$636,0)-1,0))</f>
        <v>78624000</v>
      </c>
      <c r="I251" s="1">
        <f ca="1">IF(E251=1,H251/G251,IF(E251=5,H251/G251*OFFSET(控制台!$D$641,MATCH(B251,控制台!$B$641:$B$645,0)-1,0),H251/G251*OFFSET(控制台!$H$641,MATCH(B251,控制台!$F$641:$F$650,0)-1,0)))</f>
        <v>357381.818181817</v>
      </c>
      <c r="J251" s="1">
        <f ca="1">$I251/3*控制台!H$102</f>
        <v>119127.272727272</v>
      </c>
      <c r="K251" s="1">
        <f ca="1">$I251/3*控制台!I$102</f>
        <v>89345.4545454543</v>
      </c>
      <c r="L251" s="1">
        <f ca="1">$I251/3*控制台!J$102</f>
        <v>148909.09090909</v>
      </c>
      <c r="M251" s="1">
        <f ca="1">_xlfn.FLOOR.MATH(J251,POWER(10,MAX(2,INT(LOG10(J251)-2))))</f>
        <v>119000</v>
      </c>
      <c r="N251" s="1">
        <f ca="1">_xlfn.FLOOR.MATH(K251,POWER(10,MAX(2,INT(LOG10(K251)-2))))</f>
        <v>89300</v>
      </c>
      <c r="O251" s="1">
        <f ca="1">_xlfn.FLOOR.MATH(L251,POWER(10,MAX(2,INT(LOG10(L251)-2))))</f>
        <v>148000</v>
      </c>
      <c r="P251" s="4" t="str">
        <f ca="1" t="shared" si="9"/>
        <v>119000;89300;148000</v>
      </c>
      <c r="Q251" s="15">
        <f ca="1">IF(C251=1,OFFSET(控制台!$H$599,MATCH(F251,控制台!$B$599:$B$615,0)-1,0),OFFSET(控制台!$H$618,MATCH(F251,控制台!$B$618:$B$636,0)-1,0))</f>
        <v>98819.4816000001</v>
      </c>
      <c r="R251" s="15">
        <f ca="1">IF(E251=1,Q251/G251,IF(E251=5,Q251/G251*OFFSET(控制台!$D$641,MATCH(B251,控制台!$B$641:$B$645,0)-1,0),Q251/G251*OFFSET(控制台!$H$641,MATCH(B251,控制台!$F$641:$F$650,0)-1,0)))</f>
        <v>449.179461818181</v>
      </c>
      <c r="S251" s="16">
        <f ca="1">_xlfn.FLOOR.MATH(R251)*60</f>
        <v>26940</v>
      </c>
      <c r="T251" s="16">
        <f ca="1">8000+IF(C251=1,OFFSET(控制台!$K$599,MATCH(F251,控制台!$B$599:$B$615,0)-1,0),OFFSET(控制台!$K$618,MATCH(F251,控制台!$B$618:$B$636,0)-1,0))</f>
        <v>8022</v>
      </c>
      <c r="U251" s="1">
        <f ca="1">IF(C251=1,OFFSET(控制台!$F$599,MATCH(F251,控制台!$B$599:$B$615,0)-1,0),OFFSET(控制台!$F$618,MATCH(F251,控制台!$B$618:$B$636,0)-1,0))</f>
        <v>66769.92</v>
      </c>
      <c r="V251" s="1">
        <f ca="1">IF(E251=1,U251/G251,IF(E251=5,U251/G251*OFFSET(控制台!$D$641,MATCH(B251,控制台!$B$641:$B$645,0)-1,0),U251/G251*OFFSET(控制台!$H$641,MATCH(B251,控制台!$F$641:$F$650,0)-1,0)))</f>
        <v>303.499636363636</v>
      </c>
      <c r="W251" s="20">
        <f ca="1" t="shared" si="10"/>
        <v>0.210763636363636</v>
      </c>
      <c r="X251" s="15">
        <f ca="1">IF(C251=1,OFFSET(控制台!$U$599,MATCH(F251,控制台!$B$599:$B$615,0)-1,0),OFFSET(控制台!$U$618,MATCH(F251,控制台!$B$618:$B$636,0)-1,0))</f>
        <v>197505</v>
      </c>
      <c r="Y251" s="16">
        <f ca="1">_xlfn.FLOOR.MATH(IF(E251=1,X251/G251,IF(E251=5,X251/G251*OFFSET(控制台!$D$641,MATCH(B251,控制台!$B$641:$B$645,0)-1,0),X251/G251*OFFSET(控制台!$H$641,MATCH(B251,控制台!$F$641:$F$650,0)-1,0))))</f>
        <v>897</v>
      </c>
      <c r="Z251" s="16">
        <f ca="1" t="shared" si="11"/>
        <v>1495</v>
      </c>
    </row>
    <row r="252" spans="1:26">
      <c r="A252" s="1">
        <v>21003</v>
      </c>
      <c r="B252" s="1">
        <v>3</v>
      </c>
      <c r="C252" s="1">
        <v>2</v>
      </c>
      <c r="D252" s="1" t="s">
        <v>2472</v>
      </c>
      <c r="E252" s="1">
        <f ca="1">IF(C252=1,OFFSET(控制台!$F$552,MATCH(A252,控制台!$B$552:$B$580,0)-1,0),OFFSET(控制台!$L$552,MATCH(A252,控制台!$H$552:$H$594,0)-1,0))</f>
        <v>10</v>
      </c>
      <c r="F252" s="1">
        <f ca="1">IF(C252=1,OFFSET(控制台!$D$552,MATCH(A252,控制台!$B$552:$B$580,0)-1,0),OFFSET(控制台!$J$552,MATCH(A252,控制台!$H$552:$H$594,0)-1,0))</f>
        <v>10</v>
      </c>
      <c r="G252" s="1">
        <f ca="1">IF(C252=1,OFFSET(控制台!$I$599,MATCH(F252,控制台!$B$599:$B$615,0)-1,0),OFFSET(控制台!$I$618,MATCH(F252,控制台!$B$618:$B$636,0)-1,0))</f>
        <v>3</v>
      </c>
      <c r="H252" s="1">
        <f ca="1">IF(C252=1,OFFSET(控制台!$D$599,MATCH(F252,控制台!$B$599:$B$615,0)-1,0),OFFSET(控制台!$D$618,MATCH(F252,控制台!$B$618:$B$636,0)-1,0))</f>
        <v>78624000</v>
      </c>
      <c r="I252" s="1">
        <f ca="1">IF(E252=1,H252/G252,IF(E252=5,H252/G252*OFFSET(控制台!$D$641,MATCH(B252,控制台!$B$641:$B$645,0)-1,0),H252/G252*OFFSET(控制台!$H$641,MATCH(B252,控制台!$F$641:$F$650,0)-1,0)))</f>
        <v>476509.090909091</v>
      </c>
      <c r="J252" s="1">
        <f ca="1">$I252/3*控制台!H$102</f>
        <v>158836.363636364</v>
      </c>
      <c r="K252" s="1">
        <f ca="1">$I252/3*控制台!I$102</f>
        <v>119127.272727273</v>
      </c>
      <c r="L252" s="1">
        <f ca="1">$I252/3*控制台!J$102</f>
        <v>198545.454545455</v>
      </c>
      <c r="M252" s="1">
        <f ca="1">_xlfn.FLOOR.MATH(J252,POWER(10,MAX(2,INT(LOG10(J252)-2))))</f>
        <v>158000</v>
      </c>
      <c r="N252" s="1">
        <f ca="1">_xlfn.FLOOR.MATH(K252,POWER(10,MAX(2,INT(LOG10(K252)-2))))</f>
        <v>119000</v>
      </c>
      <c r="O252" s="1">
        <f ca="1">_xlfn.FLOOR.MATH(L252,POWER(10,MAX(2,INT(LOG10(L252)-2))))</f>
        <v>198000</v>
      </c>
      <c r="P252" s="4" t="str">
        <f ca="1" t="shared" si="9"/>
        <v>158000;119000;198000</v>
      </c>
      <c r="Q252" s="15">
        <f ca="1">IF(C252=1,OFFSET(控制台!$H$599,MATCH(F252,控制台!$B$599:$B$615,0)-1,0),OFFSET(控制台!$H$618,MATCH(F252,控制台!$B$618:$B$636,0)-1,0))</f>
        <v>98819.4816000001</v>
      </c>
      <c r="R252" s="15">
        <f ca="1">IF(E252=1,Q252/G252,IF(E252=5,Q252/G252*OFFSET(控制台!$D$641,MATCH(B252,控制台!$B$641:$B$645,0)-1,0),Q252/G252*OFFSET(控制台!$H$641,MATCH(B252,控制台!$F$641:$F$650,0)-1,0)))</f>
        <v>598.90594909091</v>
      </c>
      <c r="S252" s="16">
        <f ca="1">_xlfn.FLOOR.MATH(R252)*60</f>
        <v>35880</v>
      </c>
      <c r="T252" s="16">
        <f ca="1">8000+IF(C252=1,OFFSET(控制台!$K$599,MATCH(F252,控制台!$B$599:$B$615,0)-1,0),OFFSET(控制台!$K$618,MATCH(F252,控制台!$B$618:$B$636,0)-1,0))</f>
        <v>8022</v>
      </c>
      <c r="U252" s="1">
        <f ca="1">IF(C252=1,OFFSET(控制台!$F$599,MATCH(F252,控制台!$B$599:$B$615,0)-1,0),OFFSET(控制台!$F$618,MATCH(F252,控制台!$B$618:$B$636,0)-1,0))</f>
        <v>66769.92</v>
      </c>
      <c r="V252" s="1">
        <f ca="1">IF(E252=1,U252/G252,IF(E252=5,U252/G252*OFFSET(控制台!$D$641,MATCH(B252,控制台!$B$641:$B$645,0)-1,0),U252/G252*OFFSET(控制台!$H$641,MATCH(B252,控制台!$F$641:$F$650,0)-1,0)))</f>
        <v>404.666181818182</v>
      </c>
      <c r="W252" s="20">
        <f ca="1" t="shared" si="10"/>
        <v>0.281018181818182</v>
      </c>
      <c r="X252" s="15">
        <f ca="1">IF(C252=1,OFFSET(控制台!$U$599,MATCH(F252,控制台!$B$599:$B$615,0)-1,0),OFFSET(控制台!$U$618,MATCH(F252,控制台!$B$618:$B$636,0)-1,0))</f>
        <v>197505</v>
      </c>
      <c r="Y252" s="16">
        <f ca="1">_xlfn.FLOOR.MATH(IF(E252=1,X252/G252,IF(E252=5,X252/G252*OFFSET(控制台!$D$641,MATCH(B252,控制台!$B$641:$B$645,0)-1,0),X252/G252*OFFSET(控制台!$H$641,MATCH(B252,控制台!$F$641:$F$650,0)-1,0))))</f>
        <v>1197</v>
      </c>
      <c r="Z252" s="16">
        <f ca="1" t="shared" si="11"/>
        <v>2692</v>
      </c>
    </row>
    <row r="253" spans="1:26">
      <c r="A253" s="1">
        <v>21003</v>
      </c>
      <c r="B253" s="1">
        <v>4</v>
      </c>
      <c r="C253" s="1">
        <v>2</v>
      </c>
      <c r="D253" s="1" t="s">
        <v>2472</v>
      </c>
      <c r="E253" s="1">
        <f ca="1">IF(C253=1,OFFSET(控制台!$F$552,MATCH(A253,控制台!$B$552:$B$580,0)-1,0),OFFSET(控制台!$L$552,MATCH(A253,控制台!$H$552:$H$594,0)-1,0))</f>
        <v>10</v>
      </c>
      <c r="F253" s="1">
        <f ca="1">IF(C253=1,OFFSET(控制台!$D$552,MATCH(A253,控制台!$B$552:$B$580,0)-1,0),OFFSET(控制台!$J$552,MATCH(A253,控制台!$H$552:$H$594,0)-1,0))</f>
        <v>10</v>
      </c>
      <c r="G253" s="1">
        <f ca="1">IF(C253=1,OFFSET(控制台!$I$599,MATCH(F253,控制台!$B$599:$B$615,0)-1,0),OFFSET(控制台!$I$618,MATCH(F253,控制台!$B$618:$B$636,0)-1,0))</f>
        <v>3</v>
      </c>
      <c r="H253" s="1">
        <f ca="1">IF(C253=1,OFFSET(控制台!$D$599,MATCH(F253,控制台!$B$599:$B$615,0)-1,0),OFFSET(控制台!$D$618,MATCH(F253,控制台!$B$618:$B$636,0)-1,0))</f>
        <v>78624000</v>
      </c>
      <c r="I253" s="1">
        <f ca="1">IF(E253=1,H253/G253,IF(E253=5,H253/G253*OFFSET(控制台!$D$641,MATCH(B253,控制台!$B$641:$B$645,0)-1,0),H253/G253*OFFSET(控制台!$H$641,MATCH(B253,控制台!$F$641:$F$650,0)-1,0)))</f>
        <v>714763.636363637</v>
      </c>
      <c r="J253" s="1">
        <f ca="1">$I253/3*控制台!H$102</f>
        <v>238254.545454546</v>
      </c>
      <c r="K253" s="1">
        <f ca="1">$I253/3*控制台!I$102</f>
        <v>178690.909090909</v>
      </c>
      <c r="L253" s="1">
        <f ca="1">$I253/3*控制台!J$102</f>
        <v>297818.181818182</v>
      </c>
      <c r="M253" s="1">
        <f ca="1">_xlfn.FLOOR.MATH(J253,POWER(10,MAX(2,INT(LOG10(J253)-2))))</f>
        <v>238000</v>
      </c>
      <c r="N253" s="1">
        <f ca="1">_xlfn.FLOOR.MATH(K253,POWER(10,MAX(2,INT(LOG10(K253)-2))))</f>
        <v>178000</v>
      </c>
      <c r="O253" s="1">
        <f ca="1">_xlfn.FLOOR.MATH(L253,POWER(10,MAX(2,INT(LOG10(L253)-2))))</f>
        <v>297000</v>
      </c>
      <c r="P253" s="4" t="str">
        <f ca="1" t="shared" si="9"/>
        <v>238000;178000;297000</v>
      </c>
      <c r="Q253" s="15">
        <f ca="1">IF(C253=1,OFFSET(控制台!$H$599,MATCH(F253,控制台!$B$599:$B$615,0)-1,0),OFFSET(控制台!$H$618,MATCH(F253,控制台!$B$618:$B$636,0)-1,0))</f>
        <v>98819.4816000001</v>
      </c>
      <c r="R253" s="15">
        <f ca="1">IF(E253=1,Q253/G253,IF(E253=5,Q253/G253*OFFSET(控制台!$D$641,MATCH(B253,控制台!$B$641:$B$645,0)-1,0),Q253/G253*OFFSET(控制台!$H$641,MATCH(B253,控制台!$F$641:$F$650,0)-1,0)))</f>
        <v>898.358923636365</v>
      </c>
      <c r="S253" s="16">
        <f ca="1">_xlfn.FLOOR.MATH(R253)*60</f>
        <v>53880</v>
      </c>
      <c r="T253" s="16">
        <f ca="1">8000+IF(C253=1,OFFSET(控制台!$K$599,MATCH(F253,控制台!$B$599:$B$615,0)-1,0),OFFSET(控制台!$K$618,MATCH(F253,控制台!$B$618:$B$636,0)-1,0))</f>
        <v>8022</v>
      </c>
      <c r="U253" s="1">
        <f ca="1">IF(C253=1,OFFSET(控制台!$F$599,MATCH(F253,控制台!$B$599:$B$615,0)-1,0),OFFSET(控制台!$F$618,MATCH(F253,控制台!$B$618:$B$636,0)-1,0))</f>
        <v>66769.92</v>
      </c>
      <c r="V253" s="1">
        <f ca="1">IF(E253=1,U253/G253,IF(E253=5,U253/G253*OFFSET(控制台!$D$641,MATCH(B253,控制台!$B$641:$B$645,0)-1,0),U253/G253*OFFSET(控制台!$H$641,MATCH(B253,控制台!$F$641:$F$650,0)-1,0)))</f>
        <v>606.999272727274</v>
      </c>
      <c r="W253" s="20">
        <f ca="1" t="shared" si="10"/>
        <v>0.421527272727273</v>
      </c>
      <c r="X253" s="15">
        <f ca="1">IF(C253=1,OFFSET(控制台!$U$599,MATCH(F253,控制台!$B$599:$B$615,0)-1,0),OFFSET(控制台!$U$618,MATCH(F253,控制台!$B$618:$B$636,0)-1,0))</f>
        <v>197505</v>
      </c>
      <c r="Y253" s="16">
        <f ca="1">_xlfn.FLOOR.MATH(IF(E253=1,X253/G253,IF(E253=5,X253/G253*OFFSET(控制台!$D$641,MATCH(B253,控制台!$B$641:$B$645,0)-1,0),X253/G253*OFFSET(控制台!$H$641,MATCH(B253,控制台!$F$641:$F$650,0)-1,0))))</f>
        <v>1795</v>
      </c>
      <c r="Z253" s="16">
        <f ca="1" t="shared" si="11"/>
        <v>4487</v>
      </c>
    </row>
    <row r="254" spans="1:26">
      <c r="A254" s="1">
        <v>21003</v>
      </c>
      <c r="B254" s="1">
        <v>5</v>
      </c>
      <c r="C254" s="1">
        <v>2</v>
      </c>
      <c r="D254" s="1" t="s">
        <v>2472</v>
      </c>
      <c r="E254" s="1">
        <f ca="1">IF(C254=1,OFFSET(控制台!$F$552,MATCH(A254,控制台!$B$552:$B$580,0)-1,0),OFFSET(控制台!$L$552,MATCH(A254,控制台!$H$552:$H$594,0)-1,0))</f>
        <v>10</v>
      </c>
      <c r="F254" s="1">
        <f ca="1">IF(C254=1,OFFSET(控制台!$D$552,MATCH(A254,控制台!$B$552:$B$580,0)-1,0),OFFSET(控制台!$J$552,MATCH(A254,控制台!$H$552:$H$594,0)-1,0))</f>
        <v>10</v>
      </c>
      <c r="G254" s="1">
        <f ca="1">IF(C254=1,OFFSET(控制台!$I$599,MATCH(F254,控制台!$B$599:$B$615,0)-1,0),OFFSET(控制台!$I$618,MATCH(F254,控制台!$B$618:$B$636,0)-1,0))</f>
        <v>3</v>
      </c>
      <c r="H254" s="1">
        <f ca="1">IF(C254=1,OFFSET(控制台!$D$599,MATCH(F254,控制台!$B$599:$B$615,0)-1,0),OFFSET(控制台!$D$618,MATCH(F254,控制台!$B$618:$B$636,0)-1,0))</f>
        <v>78624000</v>
      </c>
      <c r="I254" s="1">
        <f ca="1">IF(E254=1,H254/G254,IF(E254=5,H254/G254*OFFSET(控制台!$D$641,MATCH(B254,控制台!$B$641:$B$645,0)-1,0),H254/G254*OFFSET(控制台!$H$641,MATCH(B254,控制台!$F$641:$F$650,0)-1,0)))</f>
        <v>1191272.72727273</v>
      </c>
      <c r="J254" s="1">
        <f ca="1">$I254/3*控制台!H$102</f>
        <v>397090.909090909</v>
      </c>
      <c r="K254" s="1">
        <f ca="1">$I254/3*控制台!I$102</f>
        <v>297818.181818182</v>
      </c>
      <c r="L254" s="1">
        <f ca="1">$I254/3*控制台!J$102</f>
        <v>496363.636363637</v>
      </c>
      <c r="M254" s="1">
        <f ca="1">_xlfn.FLOOR.MATH(J254,POWER(10,MAX(2,INT(LOG10(J254)-2))))</f>
        <v>397000</v>
      </c>
      <c r="N254" s="1">
        <f ca="1">_xlfn.FLOOR.MATH(K254,POWER(10,MAX(2,INT(LOG10(K254)-2))))</f>
        <v>297000</v>
      </c>
      <c r="O254" s="1">
        <f ca="1">_xlfn.FLOOR.MATH(L254,POWER(10,MAX(2,INT(LOG10(L254)-2))))</f>
        <v>496000</v>
      </c>
      <c r="P254" s="4" t="str">
        <f ca="1" t="shared" si="9"/>
        <v>397000;297000;496000</v>
      </c>
      <c r="Q254" s="15">
        <f ca="1">IF(C254=1,OFFSET(控制台!$H$599,MATCH(F254,控制台!$B$599:$B$615,0)-1,0),OFFSET(控制台!$H$618,MATCH(F254,控制台!$B$618:$B$636,0)-1,0))</f>
        <v>98819.4816000001</v>
      </c>
      <c r="R254" s="15">
        <f ca="1">IF(E254=1,Q254/G254,IF(E254=5,Q254/G254*OFFSET(控制台!$D$641,MATCH(B254,控制台!$B$641:$B$645,0)-1,0),Q254/G254*OFFSET(控制台!$H$641,MATCH(B254,控制台!$F$641:$F$650,0)-1,0)))</f>
        <v>1497.26487272728</v>
      </c>
      <c r="S254" s="16">
        <f ca="1">_xlfn.FLOOR.MATH(R254)*60</f>
        <v>89820</v>
      </c>
      <c r="T254" s="16">
        <f ca="1">8000+IF(C254=1,OFFSET(控制台!$K$599,MATCH(F254,控制台!$B$599:$B$615,0)-1,0),OFFSET(控制台!$K$618,MATCH(F254,控制台!$B$618:$B$636,0)-1,0))</f>
        <v>8022</v>
      </c>
      <c r="U254" s="1">
        <f ca="1">IF(C254=1,OFFSET(控制台!$F$599,MATCH(F254,控制台!$B$599:$B$615,0)-1,0),OFFSET(控制台!$F$618,MATCH(F254,控制台!$B$618:$B$636,0)-1,0))</f>
        <v>66769.92</v>
      </c>
      <c r="V254" s="1">
        <f ca="1">IF(E254=1,U254/G254,IF(E254=5,U254/G254*OFFSET(控制台!$D$641,MATCH(B254,控制台!$B$641:$B$645,0)-1,0),U254/G254*OFFSET(控制台!$H$641,MATCH(B254,控制台!$F$641:$F$650,0)-1,0)))</f>
        <v>1011.66545454546</v>
      </c>
      <c r="W254" s="20">
        <f ca="1" t="shared" si="10"/>
        <v>0.702545454545456</v>
      </c>
      <c r="X254" s="15">
        <f ca="1">IF(C254=1,OFFSET(控制台!$U$599,MATCH(F254,控制台!$B$599:$B$615,0)-1,0),OFFSET(控制台!$U$618,MATCH(F254,控制台!$B$618:$B$636,0)-1,0))</f>
        <v>197505</v>
      </c>
      <c r="Y254" s="16">
        <f ca="1">_xlfn.FLOOR.MATH(IF(E254=1,X254/G254,IF(E254=5,X254/G254*OFFSET(控制台!$D$641,MATCH(B254,控制台!$B$641:$B$645,0)-1,0),X254/G254*OFFSET(控制台!$H$641,MATCH(B254,控制台!$F$641:$F$650,0)-1,0))))</f>
        <v>2992</v>
      </c>
      <c r="Z254" s="16">
        <f ca="1" t="shared" si="11"/>
        <v>7479</v>
      </c>
    </row>
    <row r="255" spans="1:26">
      <c r="A255" s="1">
        <v>21003</v>
      </c>
      <c r="B255" s="1">
        <v>6</v>
      </c>
      <c r="C255" s="1">
        <v>2</v>
      </c>
      <c r="D255" s="1" t="s">
        <v>2472</v>
      </c>
      <c r="E255" s="1">
        <f ca="1">IF(C255=1,OFFSET(控制台!$F$552,MATCH(A255,控制台!$B$552:$B$580,0)-1,0),OFFSET(控制台!$L$552,MATCH(A255,控制台!$H$552:$H$594,0)-1,0))</f>
        <v>10</v>
      </c>
      <c r="F255" s="1">
        <f ca="1">IF(C255=1,OFFSET(控制台!$D$552,MATCH(A255,控制台!$B$552:$B$580,0)-1,0),OFFSET(控制台!$J$552,MATCH(A255,控制台!$H$552:$H$594,0)-1,0))</f>
        <v>10</v>
      </c>
      <c r="G255" s="1">
        <f ca="1">IF(C255=1,OFFSET(控制台!$I$599,MATCH(F255,控制台!$B$599:$B$615,0)-1,0),OFFSET(控制台!$I$618,MATCH(F255,控制台!$B$618:$B$636,0)-1,0))</f>
        <v>3</v>
      </c>
      <c r="H255" s="1">
        <f ca="1">IF(C255=1,OFFSET(控制台!$D$599,MATCH(F255,控制台!$B$599:$B$615,0)-1,0),OFFSET(控制台!$D$618,MATCH(F255,控制台!$B$618:$B$636,0)-1,0))</f>
        <v>78624000</v>
      </c>
      <c r="I255" s="1">
        <f ca="1">IF(E255=1,H255/G255,IF(E255=5,H255/G255*OFFSET(控制台!$D$641,MATCH(B255,控制台!$B$641:$B$645,0)-1,0),H255/G255*OFFSET(控制台!$H$641,MATCH(B255,控制台!$F$641:$F$650,0)-1,0)))</f>
        <v>1786909.09090909</v>
      </c>
      <c r="J255" s="1">
        <f ca="1">$I255/3*控制台!H$102</f>
        <v>595636.363636364</v>
      </c>
      <c r="K255" s="1">
        <f ca="1">$I255/3*控制台!I$102</f>
        <v>446727.272727273</v>
      </c>
      <c r="L255" s="1">
        <f ca="1">$I255/3*控制台!J$102</f>
        <v>744545.454545455</v>
      </c>
      <c r="M255" s="1">
        <f ca="1">_xlfn.FLOOR.MATH(J255,POWER(10,MAX(2,INT(LOG10(J255)-2))))</f>
        <v>595000</v>
      </c>
      <c r="N255" s="1">
        <f ca="1">_xlfn.FLOOR.MATH(K255,POWER(10,MAX(2,INT(LOG10(K255)-2))))</f>
        <v>446000</v>
      </c>
      <c r="O255" s="1">
        <f ca="1">_xlfn.FLOOR.MATH(L255,POWER(10,MAX(2,INT(LOG10(L255)-2))))</f>
        <v>744000</v>
      </c>
      <c r="P255" s="4" t="str">
        <f ca="1" t="shared" si="9"/>
        <v>595000;446000;744000</v>
      </c>
      <c r="Q255" s="15">
        <f ca="1">IF(C255=1,OFFSET(控制台!$H$599,MATCH(F255,控制台!$B$599:$B$615,0)-1,0),OFFSET(控制台!$H$618,MATCH(F255,控制台!$B$618:$B$636,0)-1,0))</f>
        <v>98819.4816000001</v>
      </c>
      <c r="R255" s="15">
        <f ca="1">IF(E255=1,Q255/G255,IF(E255=5,Q255/G255*OFFSET(控制台!$D$641,MATCH(B255,控制台!$B$641:$B$645,0)-1,0),Q255/G255*OFFSET(控制台!$H$641,MATCH(B255,控制台!$F$641:$F$650,0)-1,0)))</f>
        <v>2245.89730909091</v>
      </c>
      <c r="S255" s="16">
        <f ca="1">_xlfn.FLOOR.MATH(R255)*60</f>
        <v>134700</v>
      </c>
      <c r="T255" s="16">
        <f ca="1">8000+IF(C255=1,OFFSET(控制台!$K$599,MATCH(F255,控制台!$B$599:$B$615,0)-1,0),OFFSET(控制台!$K$618,MATCH(F255,控制台!$B$618:$B$636,0)-1,0))</f>
        <v>8022</v>
      </c>
      <c r="U255" s="1">
        <f ca="1">IF(C255=1,OFFSET(控制台!$F$599,MATCH(F255,控制台!$B$599:$B$615,0)-1,0),OFFSET(控制台!$F$618,MATCH(F255,控制台!$B$618:$B$636,0)-1,0))</f>
        <v>66769.92</v>
      </c>
      <c r="V255" s="1">
        <f ca="1">IF(E255=1,U255/G255,IF(E255=5,U255/G255*OFFSET(控制台!$D$641,MATCH(B255,控制台!$B$641:$B$645,0)-1,0),U255/G255*OFFSET(控制台!$H$641,MATCH(B255,控制台!$F$641:$F$650,0)-1,0)))</f>
        <v>1517.49818181818</v>
      </c>
      <c r="W255" s="20">
        <f ca="1" t="shared" si="10"/>
        <v>1.05381818181818</v>
      </c>
      <c r="X255" s="15">
        <f ca="1">IF(C255=1,OFFSET(控制台!$U$599,MATCH(F255,控制台!$B$599:$B$615,0)-1,0),OFFSET(控制台!$U$618,MATCH(F255,控制台!$B$618:$B$636,0)-1,0))</f>
        <v>197505</v>
      </c>
      <c r="Y255" s="16">
        <f ca="1">_xlfn.FLOOR.MATH(IF(E255=1,X255/G255,IF(E255=5,X255/G255*OFFSET(控制台!$D$641,MATCH(B255,控制台!$B$641:$B$645,0)-1,0),X255/G255*OFFSET(控制台!$H$641,MATCH(B255,控制台!$F$641:$F$650,0)-1,0))))</f>
        <v>4488</v>
      </c>
      <c r="Z255" s="16">
        <f ca="1" t="shared" si="11"/>
        <v>11967</v>
      </c>
    </row>
    <row r="256" spans="1:26">
      <c r="A256" s="1">
        <v>21003</v>
      </c>
      <c r="B256" s="1">
        <v>7</v>
      </c>
      <c r="C256" s="1">
        <v>2</v>
      </c>
      <c r="D256" s="1" t="s">
        <v>2472</v>
      </c>
      <c r="E256" s="1">
        <f ca="1">IF(C256=1,OFFSET(控制台!$F$552,MATCH(A256,控制台!$B$552:$B$580,0)-1,0),OFFSET(控制台!$L$552,MATCH(A256,控制台!$H$552:$H$594,0)-1,0))</f>
        <v>10</v>
      </c>
      <c r="F256" s="1">
        <f ca="1">IF(C256=1,OFFSET(控制台!$D$552,MATCH(A256,控制台!$B$552:$B$580,0)-1,0),OFFSET(控制台!$J$552,MATCH(A256,控制台!$H$552:$H$594,0)-1,0))</f>
        <v>10</v>
      </c>
      <c r="G256" s="1">
        <f ca="1">IF(C256=1,OFFSET(控制台!$I$599,MATCH(F256,控制台!$B$599:$B$615,0)-1,0),OFFSET(控制台!$I$618,MATCH(F256,控制台!$B$618:$B$636,0)-1,0))</f>
        <v>3</v>
      </c>
      <c r="H256" s="1">
        <f ca="1">IF(C256=1,OFFSET(控制台!$D$599,MATCH(F256,控制台!$B$599:$B$615,0)-1,0),OFFSET(控制台!$D$618,MATCH(F256,控制台!$B$618:$B$636,0)-1,0))</f>
        <v>78624000</v>
      </c>
      <c r="I256" s="1">
        <f ca="1">IF(E256=1,H256/G256,IF(E256=5,H256/G256*OFFSET(控制台!$D$641,MATCH(B256,控制台!$B$641:$B$645,0)-1,0),H256/G256*OFFSET(控制台!$H$641,MATCH(B256,控制台!$F$641:$F$650,0)-1,0)))</f>
        <v>2382545.45454545</v>
      </c>
      <c r="J256" s="1">
        <f ca="1">$I256/3*控制台!H$102</f>
        <v>794181.818181818</v>
      </c>
      <c r="K256" s="1">
        <f ca="1">$I256/3*控制台!I$102</f>
        <v>595636.363636363</v>
      </c>
      <c r="L256" s="1">
        <f ca="1">$I256/3*控制台!J$102</f>
        <v>992727.272727272</v>
      </c>
      <c r="M256" s="1">
        <f ca="1">_xlfn.FLOOR.MATH(J256,POWER(10,MAX(2,INT(LOG10(J256)-2))))</f>
        <v>794000</v>
      </c>
      <c r="N256" s="1">
        <f ca="1">_xlfn.FLOOR.MATH(K256,POWER(10,MAX(2,INT(LOG10(K256)-2))))</f>
        <v>595000</v>
      </c>
      <c r="O256" s="1">
        <f ca="1">_xlfn.FLOOR.MATH(L256,POWER(10,MAX(2,INT(LOG10(L256)-2))))</f>
        <v>992000</v>
      </c>
      <c r="P256" s="4" t="str">
        <f ca="1" t="shared" si="9"/>
        <v>794000;595000;992000</v>
      </c>
      <c r="Q256" s="15">
        <f ca="1">IF(C256=1,OFFSET(控制台!$H$599,MATCH(F256,控制台!$B$599:$B$615,0)-1,0),OFFSET(控制台!$H$618,MATCH(F256,控制台!$B$618:$B$636,0)-1,0))</f>
        <v>98819.4816000001</v>
      </c>
      <c r="R256" s="15">
        <f ca="1">IF(E256=1,Q256/G256,IF(E256=5,Q256/G256*OFFSET(控制台!$D$641,MATCH(B256,控制台!$B$641:$B$645,0)-1,0),Q256/G256*OFFSET(控制台!$H$641,MATCH(B256,控制台!$F$641:$F$650,0)-1,0)))</f>
        <v>2994.52974545455</v>
      </c>
      <c r="S256" s="16">
        <f ca="1">_xlfn.FLOOR.MATH(R256)*60</f>
        <v>179640</v>
      </c>
      <c r="T256" s="16">
        <f ca="1">8000+IF(C256=1,OFFSET(控制台!$K$599,MATCH(F256,控制台!$B$599:$B$615,0)-1,0),OFFSET(控制台!$K$618,MATCH(F256,控制台!$B$618:$B$636,0)-1,0))</f>
        <v>8022</v>
      </c>
      <c r="U256" s="1">
        <f ca="1">IF(C256=1,OFFSET(控制台!$F$599,MATCH(F256,控制台!$B$599:$B$615,0)-1,0),OFFSET(控制台!$F$618,MATCH(F256,控制台!$B$618:$B$636,0)-1,0))</f>
        <v>66769.92</v>
      </c>
      <c r="V256" s="1">
        <f ca="1">IF(E256=1,U256/G256,IF(E256=5,U256/G256*OFFSET(控制台!$D$641,MATCH(B256,控制台!$B$641:$B$645,0)-1,0),U256/G256*OFFSET(控制台!$H$641,MATCH(B256,控制台!$F$641:$F$650,0)-1,0)))</f>
        <v>2023.33090909091</v>
      </c>
      <c r="W256" s="20">
        <f ca="1" t="shared" si="10"/>
        <v>1.40509090909091</v>
      </c>
      <c r="X256" s="15">
        <f ca="1">IF(C256=1,OFFSET(控制台!$U$599,MATCH(F256,控制台!$B$599:$B$615,0)-1,0),OFFSET(控制台!$U$618,MATCH(F256,控制台!$B$618:$B$636,0)-1,0))</f>
        <v>197505</v>
      </c>
      <c r="Y256" s="16">
        <f ca="1">_xlfn.FLOOR.MATH(IF(E256=1,X256/G256,IF(E256=5,X256/G256*OFFSET(控制台!$D$641,MATCH(B256,控制台!$B$641:$B$645,0)-1,0),X256/G256*OFFSET(控制台!$H$641,MATCH(B256,控制台!$F$641:$F$650,0)-1,0))))</f>
        <v>5985</v>
      </c>
      <c r="Z256" s="16">
        <f ca="1" t="shared" si="11"/>
        <v>17952</v>
      </c>
    </row>
    <row r="257" spans="1:26">
      <c r="A257" s="1">
        <v>21003</v>
      </c>
      <c r="B257" s="1">
        <v>8</v>
      </c>
      <c r="C257" s="1">
        <v>2</v>
      </c>
      <c r="D257" s="1" t="s">
        <v>2472</v>
      </c>
      <c r="E257" s="1">
        <f ca="1">IF(C257=1,OFFSET(控制台!$F$552,MATCH(A257,控制台!$B$552:$B$580,0)-1,0),OFFSET(控制台!$L$552,MATCH(A257,控制台!$H$552:$H$594,0)-1,0))</f>
        <v>10</v>
      </c>
      <c r="F257" s="1">
        <f ca="1">IF(C257=1,OFFSET(控制台!$D$552,MATCH(A257,控制台!$B$552:$B$580,0)-1,0),OFFSET(控制台!$J$552,MATCH(A257,控制台!$H$552:$H$594,0)-1,0))</f>
        <v>10</v>
      </c>
      <c r="G257" s="1">
        <f ca="1">IF(C257=1,OFFSET(控制台!$I$599,MATCH(F257,控制台!$B$599:$B$615,0)-1,0),OFFSET(控制台!$I$618,MATCH(F257,控制台!$B$618:$B$636,0)-1,0))</f>
        <v>3</v>
      </c>
      <c r="H257" s="1">
        <f ca="1">IF(C257=1,OFFSET(控制台!$D$599,MATCH(F257,控制台!$B$599:$B$615,0)-1,0),OFFSET(控制台!$D$618,MATCH(F257,控制台!$B$618:$B$636,0)-1,0))</f>
        <v>78624000</v>
      </c>
      <c r="I257" s="1">
        <f ca="1">IF(E257=1,H257/G257,IF(E257=5,H257/G257*OFFSET(控制台!$D$641,MATCH(B257,控制台!$B$641:$B$645,0)-1,0),H257/G257*OFFSET(控制台!$H$641,MATCH(B257,控制台!$F$641:$F$650,0)-1,0)))</f>
        <v>3573818.18181817</v>
      </c>
      <c r="J257" s="1">
        <f ca="1">$I257/3*控制台!H$102</f>
        <v>1191272.72727272</v>
      </c>
      <c r="K257" s="1">
        <f ca="1">$I257/3*控制台!I$102</f>
        <v>893454.545454543</v>
      </c>
      <c r="L257" s="1">
        <f ca="1">$I257/3*控制台!J$102</f>
        <v>1489090.9090909</v>
      </c>
      <c r="M257" s="1">
        <f ca="1">_xlfn.FLOOR.MATH(J257,POWER(10,MAX(2,INT(LOG10(J257)-2))))</f>
        <v>1190000</v>
      </c>
      <c r="N257" s="1">
        <f ca="1">_xlfn.FLOOR.MATH(K257,POWER(10,MAX(2,INT(LOG10(K257)-2))))</f>
        <v>893000</v>
      </c>
      <c r="O257" s="1">
        <f ca="1">_xlfn.FLOOR.MATH(L257,POWER(10,MAX(2,INT(LOG10(L257)-2))))</f>
        <v>1480000</v>
      </c>
      <c r="P257" s="4" t="str">
        <f ca="1" t="shared" si="9"/>
        <v>1190000;893000;1480000</v>
      </c>
      <c r="Q257" s="15">
        <f ca="1">IF(C257=1,OFFSET(控制台!$H$599,MATCH(F257,控制台!$B$599:$B$615,0)-1,0),OFFSET(控制台!$H$618,MATCH(F257,控制台!$B$618:$B$636,0)-1,0))</f>
        <v>98819.4816000001</v>
      </c>
      <c r="R257" s="15">
        <f ca="1">IF(E257=1,Q257/G257,IF(E257=5,Q257/G257*OFFSET(控制台!$D$641,MATCH(B257,控制台!$B$641:$B$645,0)-1,0),Q257/G257*OFFSET(控制台!$H$641,MATCH(B257,控制台!$F$641:$F$650,0)-1,0)))</f>
        <v>4491.79461818181</v>
      </c>
      <c r="S257" s="16">
        <f ca="1">_xlfn.FLOOR.MATH(R257)*60</f>
        <v>269460</v>
      </c>
      <c r="T257" s="16">
        <f ca="1">8000+IF(C257=1,OFFSET(控制台!$K$599,MATCH(F257,控制台!$B$599:$B$615,0)-1,0),OFFSET(控制台!$K$618,MATCH(F257,控制台!$B$618:$B$636,0)-1,0))</f>
        <v>8022</v>
      </c>
      <c r="U257" s="1">
        <f ca="1">IF(C257=1,OFFSET(控制台!$F$599,MATCH(F257,控制台!$B$599:$B$615,0)-1,0),OFFSET(控制台!$F$618,MATCH(F257,控制台!$B$618:$B$636,0)-1,0))</f>
        <v>66769.92</v>
      </c>
      <c r="V257" s="1">
        <f ca="1">IF(E257=1,U257/G257,IF(E257=5,U257/G257*OFFSET(控制台!$D$641,MATCH(B257,控制台!$B$641:$B$645,0)-1,0),U257/G257*OFFSET(控制台!$H$641,MATCH(B257,控制台!$F$641:$F$650,0)-1,0)))</f>
        <v>3034.99636363636</v>
      </c>
      <c r="W257" s="20">
        <f ca="1" t="shared" si="10"/>
        <v>2.10763636363636</v>
      </c>
      <c r="X257" s="15">
        <f ca="1">IF(C257=1,OFFSET(控制台!$U$599,MATCH(F257,控制台!$B$599:$B$615,0)-1,0),OFFSET(控制台!$U$618,MATCH(F257,控制台!$B$618:$B$636,0)-1,0))</f>
        <v>197505</v>
      </c>
      <c r="Y257" s="16">
        <f ca="1">_xlfn.FLOOR.MATH(IF(E257=1,X257/G257,IF(E257=5,X257/G257*OFFSET(控制台!$D$641,MATCH(B257,控制台!$B$641:$B$645,0)-1,0),X257/G257*OFFSET(控制台!$H$641,MATCH(B257,控制台!$F$641:$F$650,0)-1,0))))</f>
        <v>8977</v>
      </c>
      <c r="Z257" s="16">
        <f ca="1" t="shared" si="11"/>
        <v>26929</v>
      </c>
    </row>
    <row r="258" spans="1:26">
      <c r="A258" s="1">
        <v>21003</v>
      </c>
      <c r="B258" s="1">
        <v>9</v>
      </c>
      <c r="C258" s="1">
        <v>2</v>
      </c>
      <c r="D258" s="1" t="s">
        <v>2472</v>
      </c>
      <c r="E258" s="1">
        <f ca="1">IF(C258=1,OFFSET(控制台!$F$552,MATCH(A258,控制台!$B$552:$B$580,0)-1,0),OFFSET(控制台!$L$552,MATCH(A258,控制台!$H$552:$H$594,0)-1,0))</f>
        <v>10</v>
      </c>
      <c r="F258" s="1">
        <f ca="1">IF(C258=1,OFFSET(控制台!$D$552,MATCH(A258,控制台!$B$552:$B$580,0)-1,0),OFFSET(控制台!$J$552,MATCH(A258,控制台!$H$552:$H$594,0)-1,0))</f>
        <v>10</v>
      </c>
      <c r="G258" s="1">
        <f ca="1">IF(C258=1,OFFSET(控制台!$I$599,MATCH(F258,控制台!$B$599:$B$615,0)-1,0),OFFSET(控制台!$I$618,MATCH(F258,控制台!$B$618:$B$636,0)-1,0))</f>
        <v>3</v>
      </c>
      <c r="H258" s="1">
        <f ca="1">IF(C258=1,OFFSET(控制台!$D$599,MATCH(F258,控制台!$B$599:$B$615,0)-1,0),OFFSET(控制台!$D$618,MATCH(F258,控制台!$B$618:$B$636,0)-1,0))</f>
        <v>78624000</v>
      </c>
      <c r="I258" s="1">
        <f ca="1">IF(E258=1,H258/G258,IF(E258=5,H258/G258*OFFSET(控制台!$D$641,MATCH(B258,控制台!$B$641:$B$645,0)-1,0),H258/G258*OFFSET(控制台!$H$641,MATCH(B258,控制台!$F$641:$F$650,0)-1,0)))</f>
        <v>5956363.63636363</v>
      </c>
      <c r="J258" s="1">
        <f ca="1">$I258/3*控制台!H$102</f>
        <v>1985454.54545454</v>
      </c>
      <c r="K258" s="1">
        <f ca="1">$I258/3*控制台!I$102</f>
        <v>1489090.90909091</v>
      </c>
      <c r="L258" s="1">
        <f ca="1">$I258/3*控制台!J$102</f>
        <v>2481818.18181818</v>
      </c>
      <c r="M258" s="1">
        <f ca="1">_xlfn.FLOOR.MATH(J258,POWER(10,MAX(2,INT(LOG10(J258)-2))))</f>
        <v>1980000</v>
      </c>
      <c r="N258" s="1">
        <f ca="1">_xlfn.FLOOR.MATH(K258,POWER(10,MAX(2,INT(LOG10(K258)-2))))</f>
        <v>1480000</v>
      </c>
      <c r="O258" s="1">
        <f ca="1">_xlfn.FLOOR.MATH(L258,POWER(10,MAX(2,INT(LOG10(L258)-2))))</f>
        <v>2480000</v>
      </c>
      <c r="P258" s="4" t="str">
        <f ca="1" t="shared" si="9"/>
        <v>1980000;1480000;2480000</v>
      </c>
      <c r="Q258" s="15">
        <f ca="1">IF(C258=1,OFFSET(控制台!$H$599,MATCH(F258,控制台!$B$599:$B$615,0)-1,0),OFFSET(控制台!$H$618,MATCH(F258,控制台!$B$618:$B$636,0)-1,0))</f>
        <v>98819.4816000001</v>
      </c>
      <c r="R258" s="15">
        <f ca="1">IF(E258=1,Q258/G258,IF(E258=5,Q258/G258*OFFSET(控制台!$D$641,MATCH(B258,控制台!$B$641:$B$645,0)-1,0),Q258/G258*OFFSET(控制台!$H$641,MATCH(B258,控制台!$F$641:$F$650,0)-1,0)))</f>
        <v>7486.32436363636</v>
      </c>
      <c r="S258" s="16">
        <f ca="1">_xlfn.FLOOR.MATH(R258)*60</f>
        <v>449160</v>
      </c>
      <c r="T258" s="16">
        <f ca="1">8000+IF(C258=1,OFFSET(控制台!$K$599,MATCH(F258,控制台!$B$599:$B$615,0)-1,0),OFFSET(控制台!$K$618,MATCH(F258,控制台!$B$618:$B$636,0)-1,0))</f>
        <v>8022</v>
      </c>
      <c r="U258" s="1">
        <f ca="1">IF(C258=1,OFFSET(控制台!$F$599,MATCH(F258,控制台!$B$599:$B$615,0)-1,0),OFFSET(控制台!$F$618,MATCH(F258,控制台!$B$618:$B$636,0)-1,0))</f>
        <v>66769.92</v>
      </c>
      <c r="V258" s="1">
        <f ca="1">IF(E258=1,U258/G258,IF(E258=5,U258/G258*OFFSET(控制台!$D$641,MATCH(B258,控制台!$B$641:$B$645,0)-1,0),U258/G258*OFFSET(控制台!$H$641,MATCH(B258,控制台!$F$641:$F$650,0)-1,0)))</f>
        <v>5058.32727272727</v>
      </c>
      <c r="W258" s="20">
        <f ca="1" t="shared" si="10"/>
        <v>3.51272727272727</v>
      </c>
      <c r="X258" s="15">
        <f ca="1">IF(C258=1,OFFSET(控制台!$U$599,MATCH(F258,控制台!$B$599:$B$615,0)-1,0),OFFSET(控制台!$U$618,MATCH(F258,控制台!$B$618:$B$636,0)-1,0))</f>
        <v>197505</v>
      </c>
      <c r="Y258" s="16">
        <f ca="1">_xlfn.FLOOR.MATH(IF(E258=1,X258/G258,IF(E258=5,X258/G258*OFFSET(控制台!$D$641,MATCH(B258,控制台!$B$641:$B$645,0)-1,0),X258/G258*OFFSET(控制台!$H$641,MATCH(B258,控制台!$F$641:$F$650,0)-1,0))))</f>
        <v>14962</v>
      </c>
      <c r="Z258" s="16">
        <f ca="1" t="shared" si="11"/>
        <v>41891</v>
      </c>
    </row>
    <row r="259" spans="1:26">
      <c r="A259" s="1">
        <v>21003</v>
      </c>
      <c r="B259" s="1">
        <v>10</v>
      </c>
      <c r="C259" s="1">
        <v>2</v>
      </c>
      <c r="D259" s="1" t="s">
        <v>2472</v>
      </c>
      <c r="E259" s="1">
        <f ca="1">IF(C259=1,OFFSET(控制台!$F$552,MATCH(A259,控制台!$B$552:$B$580,0)-1,0),OFFSET(控制台!$L$552,MATCH(A259,控制台!$H$552:$H$594,0)-1,0))</f>
        <v>10</v>
      </c>
      <c r="F259" s="1">
        <f ca="1">IF(C259=1,OFFSET(控制台!$D$552,MATCH(A259,控制台!$B$552:$B$580,0)-1,0),OFFSET(控制台!$J$552,MATCH(A259,控制台!$H$552:$H$594,0)-1,0))</f>
        <v>10</v>
      </c>
      <c r="G259" s="1">
        <f ca="1">IF(C259=1,OFFSET(控制台!$I$599,MATCH(F259,控制台!$B$599:$B$615,0)-1,0),OFFSET(控制台!$I$618,MATCH(F259,控制台!$B$618:$B$636,0)-1,0))</f>
        <v>3</v>
      </c>
      <c r="H259" s="1">
        <f ca="1">IF(C259=1,OFFSET(控制台!$D$599,MATCH(F259,控制台!$B$599:$B$615,0)-1,0),OFFSET(控制台!$D$618,MATCH(F259,控制台!$B$618:$B$636,0)-1,0))</f>
        <v>78624000</v>
      </c>
      <c r="I259" s="1">
        <f ca="1">IF(E259=1,H259/G259,IF(E259=5,H259/G259*OFFSET(控制台!$D$641,MATCH(B259,控制台!$B$641:$B$645,0)-1,0),H259/G259*OFFSET(控制台!$H$641,MATCH(B259,控制台!$F$641:$F$650,0)-1,0)))</f>
        <v>9530181.81818182</v>
      </c>
      <c r="J259" s="1">
        <f ca="1">$I259/3*控制台!H$102</f>
        <v>3176727.27272727</v>
      </c>
      <c r="K259" s="1">
        <f ca="1">$I259/3*控制台!I$102</f>
        <v>2382545.45454546</v>
      </c>
      <c r="L259" s="1">
        <f ca="1">$I259/3*控制台!J$102</f>
        <v>3970909.09090909</v>
      </c>
      <c r="M259" s="1">
        <f ca="1">_xlfn.FLOOR.MATH(J259,POWER(10,MAX(2,INT(LOG10(J259)-2))))</f>
        <v>3170000</v>
      </c>
      <c r="N259" s="1">
        <f ca="1">_xlfn.FLOOR.MATH(K259,POWER(10,MAX(2,INT(LOG10(K259)-2))))</f>
        <v>2380000</v>
      </c>
      <c r="O259" s="1">
        <f ca="1">_xlfn.FLOOR.MATH(L259,POWER(10,MAX(2,INT(LOG10(L259)-2))))</f>
        <v>3970000</v>
      </c>
      <c r="P259" s="4" t="str">
        <f ca="1" t="shared" si="9"/>
        <v>3170000;2380000;3970000</v>
      </c>
      <c r="Q259" s="15">
        <f ca="1">IF(C259=1,OFFSET(控制台!$H$599,MATCH(F259,控制台!$B$599:$B$615,0)-1,0),OFFSET(控制台!$H$618,MATCH(F259,控制台!$B$618:$B$636,0)-1,0))</f>
        <v>98819.4816000001</v>
      </c>
      <c r="R259" s="15">
        <f ca="1">IF(E259=1,Q259/G259,IF(E259=5,Q259/G259*OFFSET(控制台!$D$641,MATCH(B259,控制台!$B$641:$B$645,0)-1,0),Q259/G259*OFFSET(控制台!$H$641,MATCH(B259,控制台!$F$641:$F$650,0)-1,0)))</f>
        <v>11978.1189818182</v>
      </c>
      <c r="S259" s="16">
        <f ca="1">_xlfn.FLOOR.MATH(R259)*60</f>
        <v>718680</v>
      </c>
      <c r="T259" s="16">
        <f ca="1">8000+IF(C259=1,OFFSET(控制台!$K$599,MATCH(F259,控制台!$B$599:$B$615,0)-1,0),OFFSET(控制台!$K$618,MATCH(F259,控制台!$B$618:$B$636,0)-1,0))</f>
        <v>8022</v>
      </c>
      <c r="U259" s="1">
        <f ca="1">IF(C259=1,OFFSET(控制台!$F$599,MATCH(F259,控制台!$B$599:$B$615,0)-1,0),OFFSET(控制台!$F$618,MATCH(F259,控制台!$B$618:$B$636,0)-1,0))</f>
        <v>66769.92</v>
      </c>
      <c r="V259" s="1">
        <f ca="1">IF(E259=1,U259/G259,IF(E259=5,U259/G259*OFFSET(控制台!$D$641,MATCH(B259,控制台!$B$641:$B$645,0)-1,0),U259/G259*OFFSET(控制台!$H$641,MATCH(B259,控制台!$F$641:$F$650,0)-1,0)))</f>
        <v>8093.32363636365</v>
      </c>
      <c r="W259" s="20">
        <f ca="1" t="shared" si="10"/>
        <v>5.62036363636365</v>
      </c>
      <c r="X259" s="15">
        <f ca="1">IF(C259=1,OFFSET(控制台!$U$599,MATCH(F259,控制台!$B$599:$B$615,0)-1,0),OFFSET(控制台!$U$618,MATCH(F259,控制台!$B$618:$B$636,0)-1,0))</f>
        <v>197505</v>
      </c>
      <c r="Y259" s="16">
        <f ca="1">_xlfn.FLOOR.MATH(IF(E259=1,X259/G259,IF(E259=5,X259/G259*OFFSET(控制台!$D$641,MATCH(B259,控制台!$B$641:$B$645,0)-1,0),X259/G259*OFFSET(控制台!$H$641,MATCH(B259,控制台!$F$641:$F$650,0)-1,0))))</f>
        <v>23940</v>
      </c>
      <c r="Z259" s="16">
        <f ca="1" t="shared" si="11"/>
        <v>65831</v>
      </c>
    </row>
    <row r="260" spans="1:26">
      <c r="A260" s="1">
        <v>21102</v>
      </c>
      <c r="B260" s="1">
        <v>1</v>
      </c>
      <c r="C260" s="1">
        <v>2</v>
      </c>
      <c r="D260" s="1" t="s">
        <v>2826</v>
      </c>
      <c r="E260" s="1">
        <f ca="1">IF(C260=1,OFFSET(控制台!$F$552,MATCH(A260,控制台!$B$552:$B$580,0)-1,0),OFFSET(控制台!$L$552,MATCH(A260,控制台!$H$552:$H$594,0)-1,0))</f>
        <v>10</v>
      </c>
      <c r="F260" s="1">
        <f ca="1">IF(C260=1,OFFSET(控制台!$D$552,MATCH(A260,控制台!$B$552:$B$580,0)-1,0),OFFSET(控制台!$J$552,MATCH(A260,控制台!$H$552:$H$594,0)-1,0))</f>
        <v>11</v>
      </c>
      <c r="G260" s="1">
        <f ca="1">IF(C260=1,OFFSET(控制台!$I$599,MATCH(F260,控制台!$B$599:$B$615,0)-1,0),OFFSET(控制台!$I$618,MATCH(F260,控制台!$B$618:$B$636,0)-1,0))</f>
        <v>1</v>
      </c>
      <c r="H260" s="1">
        <f ca="1">IF(C260=1,OFFSET(控制台!$D$599,MATCH(F260,控制台!$B$599:$B$615,0)-1,0),OFFSET(控制台!$D$618,MATCH(F260,控制台!$B$618:$B$636,0)-1,0))</f>
        <v>110880000</v>
      </c>
      <c r="I260" s="1">
        <f ca="1">IF(E260=1,H260/G260,IF(E260=5,H260/G260*OFFSET(控制台!$D$641,MATCH(B260,控制台!$B$641:$B$645,0)-1,0),H260/G260*OFFSET(控制台!$H$641,MATCH(B260,控制台!$F$641:$F$650,0)-1,0)))</f>
        <v>1008000</v>
      </c>
      <c r="J260" s="1">
        <f ca="1">$I260/3*控制台!H$102</f>
        <v>336000</v>
      </c>
      <c r="K260" s="1">
        <f ca="1">$I260/3*控制台!I$102</f>
        <v>252000</v>
      </c>
      <c r="L260" s="1">
        <f ca="1">$I260/3*控制台!J$102</f>
        <v>420000</v>
      </c>
      <c r="M260" s="1">
        <f ca="1">_xlfn.FLOOR.MATH(J260,POWER(10,MAX(2,INT(LOG10(J260)-2))))</f>
        <v>336000</v>
      </c>
      <c r="N260" s="1">
        <f ca="1">_xlfn.FLOOR.MATH(K260,POWER(10,MAX(2,INT(LOG10(K260)-2))))</f>
        <v>252000</v>
      </c>
      <c r="O260" s="1">
        <f ca="1">_xlfn.FLOOR.MATH(L260,POWER(10,MAX(2,INT(LOG10(L260)-2))))</f>
        <v>420000</v>
      </c>
      <c r="P260" s="4" t="str">
        <f ca="1" t="shared" si="9"/>
        <v>336000;252000;420000</v>
      </c>
      <c r="Q260" s="15">
        <f ca="1">IF(C260=1,OFFSET(控制台!$H$599,MATCH(F260,控制台!$B$599:$B$615,0)-1,0),OFFSET(控制台!$H$618,MATCH(F260,控制台!$B$618:$B$636,0)-1,0))</f>
        <v>86510.5919999999</v>
      </c>
      <c r="R260" s="15">
        <f ca="1">IF(E260=1,Q260/G260,IF(E260=5,Q260/G260*OFFSET(控制台!$D$641,MATCH(B260,控制台!$B$641:$B$645,0)-1,0),Q260/G260*OFFSET(控制台!$H$641,MATCH(B260,控制台!$F$641:$F$650,0)-1,0)))</f>
        <v>786.459927272726</v>
      </c>
      <c r="S260" s="16">
        <f ca="1">_xlfn.FLOOR.MATH(R260)*60</f>
        <v>47160</v>
      </c>
      <c r="T260" s="16">
        <f ca="1">8000+IF(C260=1,OFFSET(控制台!$K$599,MATCH(F260,控制台!$B$599:$B$615,0)-1,0),OFFSET(控制台!$K$618,MATCH(F260,控制台!$B$618:$B$636,0)-1,0))</f>
        <v>8023</v>
      </c>
      <c r="U260" s="1">
        <f ca="1">IF(C260=1,OFFSET(控制台!$F$599,MATCH(F260,控制台!$B$599:$B$615,0)-1,0),OFFSET(控制台!$F$618,MATCH(F260,控制台!$B$618:$B$636,0)-1,0))</f>
        <v>58060.7999999999</v>
      </c>
      <c r="V260" s="1">
        <f ca="1">IF(E260=1,U260/G260,IF(E260=5,U260/G260*OFFSET(控制台!$D$641,MATCH(B260,控制台!$B$641:$B$645,0)-1,0),U260/G260*OFFSET(控制台!$H$641,MATCH(B260,控制台!$F$641:$F$650,0)-1,0)))</f>
        <v>527.825454545454</v>
      </c>
      <c r="W260" s="20">
        <f ca="1" t="shared" si="10"/>
        <v>0.366545454545454</v>
      </c>
      <c r="X260" s="15">
        <f ca="1">IF(C260=1,OFFSET(控制台!$U$599,MATCH(F260,控制台!$B$599:$B$615,0)-1,0),OFFSET(控制台!$U$618,MATCH(F260,控制台!$B$618:$B$636,0)-1,0))</f>
        <v>180600</v>
      </c>
      <c r="Y260" s="16">
        <f ca="1">_xlfn.FLOOR.MATH(IF(E260=1,X260/G260,IF(E260=5,X260/G260*OFFSET(控制台!$D$641,MATCH(B260,控制台!$B$641:$B$645,0)-1,0),X260/G260*OFFSET(控制台!$H$641,MATCH(B260,控制台!$F$641:$F$650,0)-1,0))))</f>
        <v>1641</v>
      </c>
      <c r="Z260" s="16">
        <f ca="1" t="shared" si="11"/>
        <v>1641</v>
      </c>
    </row>
    <row r="261" spans="1:26">
      <c r="A261" s="1">
        <v>21102</v>
      </c>
      <c r="B261" s="1">
        <v>2</v>
      </c>
      <c r="C261" s="1">
        <v>2</v>
      </c>
      <c r="D261" s="1" t="s">
        <v>2826</v>
      </c>
      <c r="E261" s="1">
        <f ca="1">IF(C261=1,OFFSET(控制台!$F$552,MATCH(A261,控制台!$B$552:$B$580,0)-1,0),OFFSET(控制台!$L$552,MATCH(A261,控制台!$H$552:$H$594,0)-1,0))</f>
        <v>10</v>
      </c>
      <c r="F261" s="1">
        <f ca="1">IF(C261=1,OFFSET(控制台!$D$552,MATCH(A261,控制台!$B$552:$B$580,0)-1,0),OFFSET(控制台!$J$552,MATCH(A261,控制台!$H$552:$H$594,0)-1,0))</f>
        <v>11</v>
      </c>
      <c r="G261" s="1">
        <f ca="1">IF(C261=1,OFFSET(控制台!$I$599,MATCH(F261,控制台!$B$599:$B$615,0)-1,0),OFFSET(控制台!$I$618,MATCH(F261,控制台!$B$618:$B$636,0)-1,0))</f>
        <v>1</v>
      </c>
      <c r="H261" s="1">
        <f ca="1">IF(C261=1,OFFSET(控制台!$D$599,MATCH(F261,控制台!$B$599:$B$615,0)-1,0),OFFSET(控制台!$D$618,MATCH(F261,控制台!$B$618:$B$636,0)-1,0))</f>
        <v>110880000</v>
      </c>
      <c r="I261" s="1">
        <f ca="1">IF(E261=1,H261/G261,IF(E261=5,H261/G261*OFFSET(控制台!$D$641,MATCH(B261,控制台!$B$641:$B$645,0)-1,0),H261/G261*OFFSET(控制台!$H$641,MATCH(B261,控制台!$F$641:$F$650,0)-1,0)))</f>
        <v>1512000</v>
      </c>
      <c r="J261" s="1">
        <f ca="1">$I261/3*控制台!H$102</f>
        <v>503999.999999999</v>
      </c>
      <c r="K261" s="1">
        <f ca="1">$I261/3*控制台!I$102</f>
        <v>377999.999999999</v>
      </c>
      <c r="L261" s="1">
        <f ca="1">$I261/3*控制台!J$102</f>
        <v>629999.999999998</v>
      </c>
      <c r="M261" s="1">
        <f ca="1">_xlfn.FLOOR.MATH(J261,POWER(10,MAX(2,INT(LOG10(J261)-2))))</f>
        <v>504000</v>
      </c>
      <c r="N261" s="1">
        <f ca="1">_xlfn.FLOOR.MATH(K261,POWER(10,MAX(2,INT(LOG10(K261)-2))))</f>
        <v>378000</v>
      </c>
      <c r="O261" s="1">
        <f ca="1">_xlfn.FLOOR.MATH(L261,POWER(10,MAX(2,INT(LOG10(L261)-2))))</f>
        <v>630000</v>
      </c>
      <c r="P261" s="4" t="str">
        <f ca="1" t="shared" si="9"/>
        <v>504000;378000;630000</v>
      </c>
      <c r="Q261" s="15">
        <f ca="1">IF(C261=1,OFFSET(控制台!$H$599,MATCH(F261,控制台!$B$599:$B$615,0)-1,0),OFFSET(控制台!$H$618,MATCH(F261,控制台!$B$618:$B$636,0)-1,0))</f>
        <v>86510.5919999999</v>
      </c>
      <c r="R261" s="15">
        <f ca="1">IF(E261=1,Q261/G261,IF(E261=5,Q261/G261*OFFSET(控制台!$D$641,MATCH(B261,控制台!$B$641:$B$645,0)-1,0),Q261/G261*OFFSET(控制台!$H$641,MATCH(B261,控制台!$F$641:$F$650,0)-1,0)))</f>
        <v>1179.68989090909</v>
      </c>
      <c r="S261" s="16">
        <f ca="1">_xlfn.FLOOR.MATH(R261)*60</f>
        <v>70740</v>
      </c>
      <c r="T261" s="16">
        <f ca="1">8000+IF(C261=1,OFFSET(控制台!$K$599,MATCH(F261,控制台!$B$599:$B$615,0)-1,0),OFFSET(控制台!$K$618,MATCH(F261,控制台!$B$618:$B$636,0)-1,0))</f>
        <v>8023</v>
      </c>
      <c r="U261" s="1">
        <f ca="1">IF(C261=1,OFFSET(控制台!$F$599,MATCH(F261,控制台!$B$599:$B$615,0)-1,0),OFFSET(控制台!$F$618,MATCH(F261,控制台!$B$618:$B$636,0)-1,0))</f>
        <v>58060.7999999999</v>
      </c>
      <c r="V261" s="1">
        <f ca="1">IF(E261=1,U261/G261,IF(E261=5,U261/G261*OFFSET(控制台!$D$641,MATCH(B261,控制台!$B$641:$B$645,0)-1,0),U261/G261*OFFSET(控制台!$H$641,MATCH(B261,控制台!$F$641:$F$650,0)-1,0)))</f>
        <v>791.738181818178</v>
      </c>
      <c r="W261" s="20">
        <f ca="1" t="shared" si="10"/>
        <v>0.549818181818179</v>
      </c>
      <c r="X261" s="15">
        <f ca="1">IF(C261=1,OFFSET(控制台!$U$599,MATCH(F261,控制台!$B$599:$B$615,0)-1,0),OFFSET(控制台!$U$618,MATCH(F261,控制台!$B$618:$B$636,0)-1,0))</f>
        <v>180600</v>
      </c>
      <c r="Y261" s="16">
        <f ca="1">_xlfn.FLOOR.MATH(IF(E261=1,X261/G261,IF(E261=5,X261/G261*OFFSET(控制台!$D$641,MATCH(B261,控制台!$B$641:$B$645,0)-1,0),X261/G261*OFFSET(控制台!$H$641,MATCH(B261,控制台!$F$641:$F$650,0)-1,0))))</f>
        <v>2462</v>
      </c>
      <c r="Z261" s="16">
        <f ca="1" t="shared" si="11"/>
        <v>4103</v>
      </c>
    </row>
    <row r="262" spans="1:26">
      <c r="A262" s="1">
        <v>21102</v>
      </c>
      <c r="B262" s="1">
        <v>3</v>
      </c>
      <c r="C262" s="1">
        <v>2</v>
      </c>
      <c r="D262" s="1" t="s">
        <v>2826</v>
      </c>
      <c r="E262" s="1">
        <f ca="1">IF(C262=1,OFFSET(控制台!$F$552,MATCH(A262,控制台!$B$552:$B$580,0)-1,0),OFFSET(控制台!$L$552,MATCH(A262,控制台!$H$552:$H$594,0)-1,0))</f>
        <v>10</v>
      </c>
      <c r="F262" s="1">
        <f ca="1">IF(C262=1,OFFSET(控制台!$D$552,MATCH(A262,控制台!$B$552:$B$580,0)-1,0),OFFSET(控制台!$J$552,MATCH(A262,控制台!$H$552:$H$594,0)-1,0))</f>
        <v>11</v>
      </c>
      <c r="G262" s="1">
        <f ca="1">IF(C262=1,OFFSET(控制台!$I$599,MATCH(F262,控制台!$B$599:$B$615,0)-1,0),OFFSET(控制台!$I$618,MATCH(F262,控制台!$B$618:$B$636,0)-1,0))</f>
        <v>1</v>
      </c>
      <c r="H262" s="1">
        <f ca="1">IF(C262=1,OFFSET(控制台!$D$599,MATCH(F262,控制台!$B$599:$B$615,0)-1,0),OFFSET(控制台!$D$618,MATCH(F262,控制台!$B$618:$B$636,0)-1,0))</f>
        <v>110880000</v>
      </c>
      <c r="I262" s="1">
        <f ca="1">IF(E262=1,H262/G262,IF(E262=5,H262/G262*OFFSET(控制台!$D$641,MATCH(B262,控制台!$B$641:$B$645,0)-1,0),H262/G262*OFFSET(控制台!$H$641,MATCH(B262,控制台!$F$641:$F$650,0)-1,0)))</f>
        <v>2016000</v>
      </c>
      <c r="J262" s="1">
        <f ca="1">$I262/3*控制台!H$102</f>
        <v>672000.000000001</v>
      </c>
      <c r="K262" s="1">
        <f ca="1">$I262/3*控制台!I$102</f>
        <v>504000.000000001</v>
      </c>
      <c r="L262" s="1">
        <f ca="1">$I262/3*控制台!J$102</f>
        <v>840000.000000001</v>
      </c>
      <c r="M262" s="1">
        <f ca="1">_xlfn.FLOOR.MATH(J262,POWER(10,MAX(2,INT(LOG10(J262)-2))))</f>
        <v>672000</v>
      </c>
      <c r="N262" s="1">
        <f ca="1">_xlfn.FLOOR.MATH(K262,POWER(10,MAX(2,INT(LOG10(K262)-2))))</f>
        <v>504000</v>
      </c>
      <c r="O262" s="1">
        <f ca="1">_xlfn.FLOOR.MATH(L262,POWER(10,MAX(2,INT(LOG10(L262)-2))))</f>
        <v>840000</v>
      </c>
      <c r="P262" s="4" t="str">
        <f ca="1" t="shared" si="9"/>
        <v>672000;504000;840000</v>
      </c>
      <c r="Q262" s="15">
        <f ca="1">IF(C262=1,OFFSET(控制台!$H$599,MATCH(F262,控制台!$B$599:$B$615,0)-1,0),OFFSET(控制台!$H$618,MATCH(F262,控制台!$B$618:$B$636,0)-1,0))</f>
        <v>86510.5919999999</v>
      </c>
      <c r="R262" s="15">
        <f ca="1">IF(E262=1,Q262/G262,IF(E262=5,Q262/G262*OFFSET(控制台!$D$641,MATCH(B262,控制台!$B$641:$B$645,0)-1,0),Q262/G262*OFFSET(控制台!$H$641,MATCH(B262,控制台!$F$641:$F$650,0)-1,0)))</f>
        <v>1572.91985454545</v>
      </c>
      <c r="S262" s="16">
        <f ca="1">_xlfn.FLOOR.MATH(R262)*60</f>
        <v>94320</v>
      </c>
      <c r="T262" s="16">
        <f ca="1">8000+IF(C262=1,OFFSET(控制台!$K$599,MATCH(F262,控制台!$B$599:$B$615,0)-1,0),OFFSET(控制台!$K$618,MATCH(F262,控制台!$B$618:$B$636,0)-1,0))</f>
        <v>8023</v>
      </c>
      <c r="U262" s="1">
        <f ca="1">IF(C262=1,OFFSET(控制台!$F$599,MATCH(F262,控制台!$B$599:$B$615,0)-1,0),OFFSET(控制台!$F$618,MATCH(F262,控制台!$B$618:$B$636,0)-1,0))</f>
        <v>58060.7999999999</v>
      </c>
      <c r="V262" s="1">
        <f ca="1">IF(E262=1,U262/G262,IF(E262=5,U262/G262*OFFSET(控制台!$D$641,MATCH(B262,控制台!$B$641:$B$645,0)-1,0),U262/G262*OFFSET(控制台!$H$641,MATCH(B262,控制台!$F$641:$F$650,0)-1,0)))</f>
        <v>1055.65090909091</v>
      </c>
      <c r="W262" s="20">
        <f ca="1" t="shared" si="10"/>
        <v>0.733090909090909</v>
      </c>
      <c r="X262" s="15">
        <f ca="1">IF(C262=1,OFFSET(控制台!$U$599,MATCH(F262,控制台!$B$599:$B$615,0)-1,0),OFFSET(控制台!$U$618,MATCH(F262,控制台!$B$618:$B$636,0)-1,0))</f>
        <v>180600</v>
      </c>
      <c r="Y262" s="16">
        <f ca="1">_xlfn.FLOOR.MATH(IF(E262=1,X262/G262,IF(E262=5,X262/G262*OFFSET(控制台!$D$641,MATCH(B262,控制台!$B$641:$B$645,0)-1,0),X262/G262*OFFSET(控制台!$H$641,MATCH(B262,控制台!$F$641:$F$650,0)-1,0))))</f>
        <v>3283</v>
      </c>
      <c r="Z262" s="16">
        <f ca="1" t="shared" si="11"/>
        <v>7386</v>
      </c>
    </row>
    <row r="263" spans="1:26">
      <c r="A263" s="1">
        <v>21102</v>
      </c>
      <c r="B263" s="1">
        <v>4</v>
      </c>
      <c r="C263" s="1">
        <v>2</v>
      </c>
      <c r="D263" s="1" t="s">
        <v>2826</v>
      </c>
      <c r="E263" s="1">
        <f ca="1">IF(C263=1,OFFSET(控制台!$F$552,MATCH(A263,控制台!$B$552:$B$580,0)-1,0),OFFSET(控制台!$L$552,MATCH(A263,控制台!$H$552:$H$594,0)-1,0))</f>
        <v>10</v>
      </c>
      <c r="F263" s="1">
        <f ca="1">IF(C263=1,OFFSET(控制台!$D$552,MATCH(A263,控制台!$B$552:$B$580,0)-1,0),OFFSET(控制台!$J$552,MATCH(A263,控制台!$H$552:$H$594,0)-1,0))</f>
        <v>11</v>
      </c>
      <c r="G263" s="1">
        <f ca="1">IF(C263=1,OFFSET(控制台!$I$599,MATCH(F263,控制台!$B$599:$B$615,0)-1,0),OFFSET(控制台!$I$618,MATCH(F263,控制台!$B$618:$B$636,0)-1,0))</f>
        <v>1</v>
      </c>
      <c r="H263" s="1">
        <f ca="1">IF(C263=1,OFFSET(控制台!$D$599,MATCH(F263,控制台!$B$599:$B$615,0)-1,0),OFFSET(控制台!$D$618,MATCH(F263,控制台!$B$618:$B$636,0)-1,0))</f>
        <v>110880000</v>
      </c>
      <c r="I263" s="1">
        <f ca="1">IF(E263=1,H263/G263,IF(E263=5,H263/G263*OFFSET(控制台!$D$641,MATCH(B263,控制台!$B$641:$B$645,0)-1,0),H263/G263*OFFSET(控制台!$H$641,MATCH(B263,控制台!$F$641:$F$650,0)-1,0)))</f>
        <v>3024000</v>
      </c>
      <c r="J263" s="1">
        <f ca="1">$I263/3*控制台!H$102</f>
        <v>1008000</v>
      </c>
      <c r="K263" s="1">
        <f ca="1">$I263/3*控制台!I$102</f>
        <v>756000.000000001</v>
      </c>
      <c r="L263" s="1">
        <f ca="1">$I263/3*控制台!J$102</f>
        <v>1260000</v>
      </c>
      <c r="M263" s="1">
        <f ca="1">_xlfn.FLOOR.MATH(J263,POWER(10,MAX(2,INT(LOG10(J263)-2))))</f>
        <v>1000000</v>
      </c>
      <c r="N263" s="1">
        <f ca="1">_xlfn.FLOOR.MATH(K263,POWER(10,MAX(2,INT(LOG10(K263)-2))))</f>
        <v>756000</v>
      </c>
      <c r="O263" s="1">
        <f ca="1">_xlfn.FLOOR.MATH(L263,POWER(10,MAX(2,INT(LOG10(L263)-2))))</f>
        <v>1260000</v>
      </c>
      <c r="P263" s="4" t="str">
        <f ca="1" t="shared" ref="P263:P326" si="12">CONCATENATE(M263,";",N263,";",O263)</f>
        <v>1000000;756000;1260000</v>
      </c>
      <c r="Q263" s="15">
        <f ca="1">IF(C263=1,OFFSET(控制台!$H$599,MATCH(F263,控制台!$B$599:$B$615,0)-1,0),OFFSET(控制台!$H$618,MATCH(F263,控制台!$B$618:$B$636,0)-1,0))</f>
        <v>86510.5919999999</v>
      </c>
      <c r="R263" s="15">
        <f ca="1">IF(E263=1,Q263/G263,IF(E263=5,Q263/G263*OFFSET(控制台!$D$641,MATCH(B263,控制台!$B$641:$B$645,0)-1,0),Q263/G263*OFFSET(控制台!$H$641,MATCH(B263,控制台!$F$641:$F$650,0)-1,0)))</f>
        <v>2359.37978181818</v>
      </c>
      <c r="S263" s="16">
        <f ca="1">_xlfn.FLOOR.MATH(R263)*60</f>
        <v>141540</v>
      </c>
      <c r="T263" s="16">
        <f ca="1">8000+IF(C263=1,OFFSET(控制台!$K$599,MATCH(F263,控制台!$B$599:$B$615,0)-1,0),OFFSET(控制台!$K$618,MATCH(F263,控制台!$B$618:$B$636,0)-1,0))</f>
        <v>8023</v>
      </c>
      <c r="U263" s="1">
        <f ca="1">IF(C263=1,OFFSET(控制台!$F$599,MATCH(F263,控制台!$B$599:$B$615,0)-1,0),OFFSET(控制台!$F$618,MATCH(F263,控制台!$B$618:$B$636,0)-1,0))</f>
        <v>58060.7999999999</v>
      </c>
      <c r="V263" s="1">
        <f ca="1">IF(E263=1,U263/G263,IF(E263=5,U263/G263*OFFSET(控制台!$D$641,MATCH(B263,控制台!$B$641:$B$645,0)-1,0),U263/G263*OFFSET(控制台!$H$641,MATCH(B263,控制台!$F$641:$F$650,0)-1,0)))</f>
        <v>1583.47636363636</v>
      </c>
      <c r="W263" s="20">
        <f ca="1" t="shared" ref="W263:W326" si="13">V263/60/24</f>
        <v>1.09963636363636</v>
      </c>
      <c r="X263" s="15">
        <f ca="1">IF(C263=1,OFFSET(控制台!$U$599,MATCH(F263,控制台!$B$599:$B$615,0)-1,0),OFFSET(控制台!$U$618,MATCH(F263,控制台!$B$618:$B$636,0)-1,0))</f>
        <v>180600</v>
      </c>
      <c r="Y263" s="16">
        <f ca="1">_xlfn.FLOOR.MATH(IF(E263=1,X263/G263,IF(E263=5,X263/G263*OFFSET(控制台!$D$641,MATCH(B263,控制台!$B$641:$B$645,0)-1,0),X263/G263*OFFSET(控制台!$H$641,MATCH(B263,控制台!$F$641:$F$650,0)-1,0))))</f>
        <v>4925</v>
      </c>
      <c r="Z263" s="16">
        <f ca="1" t="shared" ref="Z263:Z326" si="14">IF(B263=1,Y263,Z262+Y263)</f>
        <v>12311</v>
      </c>
    </row>
    <row r="264" spans="1:26">
      <c r="A264" s="1">
        <v>21102</v>
      </c>
      <c r="B264" s="1">
        <v>5</v>
      </c>
      <c r="C264" s="1">
        <v>2</v>
      </c>
      <c r="D264" s="1" t="s">
        <v>2826</v>
      </c>
      <c r="E264" s="1">
        <f ca="1">IF(C264=1,OFFSET(控制台!$F$552,MATCH(A264,控制台!$B$552:$B$580,0)-1,0),OFFSET(控制台!$L$552,MATCH(A264,控制台!$H$552:$H$594,0)-1,0))</f>
        <v>10</v>
      </c>
      <c r="F264" s="1">
        <f ca="1">IF(C264=1,OFFSET(控制台!$D$552,MATCH(A264,控制台!$B$552:$B$580,0)-1,0),OFFSET(控制台!$J$552,MATCH(A264,控制台!$H$552:$H$594,0)-1,0))</f>
        <v>11</v>
      </c>
      <c r="G264" s="1">
        <f ca="1">IF(C264=1,OFFSET(控制台!$I$599,MATCH(F264,控制台!$B$599:$B$615,0)-1,0),OFFSET(控制台!$I$618,MATCH(F264,控制台!$B$618:$B$636,0)-1,0))</f>
        <v>1</v>
      </c>
      <c r="H264" s="1">
        <f ca="1">IF(C264=1,OFFSET(控制台!$D$599,MATCH(F264,控制台!$B$599:$B$615,0)-1,0),OFFSET(控制台!$D$618,MATCH(F264,控制台!$B$618:$B$636,0)-1,0))</f>
        <v>110880000</v>
      </c>
      <c r="I264" s="1">
        <f ca="1">IF(E264=1,H264/G264,IF(E264=5,H264/G264*OFFSET(控制台!$D$641,MATCH(B264,控制台!$B$641:$B$645,0)-1,0),H264/G264*OFFSET(控制台!$H$641,MATCH(B264,控制台!$F$641:$F$650,0)-1,0)))</f>
        <v>5040000.00000001</v>
      </c>
      <c r="J264" s="1">
        <f ca="1">$I264/3*控制台!H$102</f>
        <v>1680000</v>
      </c>
      <c r="K264" s="1">
        <f ca="1">$I264/3*控制台!I$102</f>
        <v>1260000</v>
      </c>
      <c r="L264" s="1">
        <f ca="1">$I264/3*控制台!J$102</f>
        <v>2100000</v>
      </c>
      <c r="M264" s="1">
        <f ca="1">_xlfn.FLOOR.MATH(J264,POWER(10,MAX(2,INT(LOG10(J264)-2))))</f>
        <v>1680000</v>
      </c>
      <c r="N264" s="1">
        <f ca="1">_xlfn.FLOOR.MATH(K264,POWER(10,MAX(2,INT(LOG10(K264)-2))))</f>
        <v>1260000</v>
      </c>
      <c r="O264" s="1">
        <f ca="1">_xlfn.FLOOR.MATH(L264,POWER(10,MAX(2,INT(LOG10(L264)-2))))</f>
        <v>2100000</v>
      </c>
      <c r="P264" s="4" t="str">
        <f ca="1" t="shared" si="12"/>
        <v>1680000;1260000;2100000</v>
      </c>
      <c r="Q264" s="15">
        <f ca="1">IF(C264=1,OFFSET(控制台!$H$599,MATCH(F264,控制台!$B$599:$B$615,0)-1,0),OFFSET(控制台!$H$618,MATCH(F264,控制台!$B$618:$B$636,0)-1,0))</f>
        <v>86510.5919999999</v>
      </c>
      <c r="R264" s="15">
        <f ca="1">IF(E264=1,Q264/G264,IF(E264=5,Q264/G264*OFFSET(控制台!$D$641,MATCH(B264,控制台!$B$641:$B$645,0)-1,0),Q264/G264*OFFSET(控制台!$H$641,MATCH(B264,控制台!$F$641:$F$650,0)-1,0)))</f>
        <v>3932.29963636363</v>
      </c>
      <c r="S264" s="16">
        <f ca="1">_xlfn.FLOOR.MATH(R264)*60</f>
        <v>235920</v>
      </c>
      <c r="T264" s="16">
        <f ca="1">8000+IF(C264=1,OFFSET(控制台!$K$599,MATCH(F264,控制台!$B$599:$B$615,0)-1,0),OFFSET(控制台!$K$618,MATCH(F264,控制台!$B$618:$B$636,0)-1,0))</f>
        <v>8023</v>
      </c>
      <c r="U264" s="1">
        <f ca="1">IF(C264=1,OFFSET(控制台!$F$599,MATCH(F264,控制台!$B$599:$B$615,0)-1,0),OFFSET(控制台!$F$618,MATCH(F264,控制台!$B$618:$B$636,0)-1,0))</f>
        <v>58060.7999999999</v>
      </c>
      <c r="V264" s="1">
        <f ca="1">IF(E264=1,U264/G264,IF(E264=5,U264/G264*OFFSET(控制台!$D$641,MATCH(B264,控制台!$B$641:$B$645,0)-1,0),U264/G264*OFFSET(控制台!$H$641,MATCH(B264,控制台!$F$641:$F$650,0)-1,0)))</f>
        <v>2639.12727272727</v>
      </c>
      <c r="W264" s="20">
        <f ca="1" t="shared" si="13"/>
        <v>1.83272727272727</v>
      </c>
      <c r="X264" s="15">
        <f ca="1">IF(C264=1,OFFSET(控制台!$U$599,MATCH(F264,控制台!$B$599:$B$615,0)-1,0),OFFSET(控制台!$U$618,MATCH(F264,控制台!$B$618:$B$636,0)-1,0))</f>
        <v>180600</v>
      </c>
      <c r="Y264" s="16">
        <f ca="1">_xlfn.FLOOR.MATH(IF(E264=1,X264/G264,IF(E264=5,X264/G264*OFFSET(控制台!$D$641,MATCH(B264,控制台!$B$641:$B$645,0)-1,0),X264/G264*OFFSET(控制台!$H$641,MATCH(B264,控制台!$F$641:$F$650,0)-1,0))))</f>
        <v>8209</v>
      </c>
      <c r="Z264" s="16">
        <f ca="1" t="shared" si="14"/>
        <v>20520</v>
      </c>
    </row>
    <row r="265" spans="1:26">
      <c r="A265" s="1">
        <v>21102</v>
      </c>
      <c r="B265" s="1">
        <v>6</v>
      </c>
      <c r="C265" s="1">
        <v>2</v>
      </c>
      <c r="D265" s="1" t="s">
        <v>2826</v>
      </c>
      <c r="E265" s="1">
        <f ca="1">IF(C265=1,OFFSET(控制台!$F$552,MATCH(A265,控制台!$B$552:$B$580,0)-1,0),OFFSET(控制台!$L$552,MATCH(A265,控制台!$H$552:$H$594,0)-1,0))</f>
        <v>10</v>
      </c>
      <c r="F265" s="1">
        <f ca="1">IF(C265=1,OFFSET(控制台!$D$552,MATCH(A265,控制台!$B$552:$B$580,0)-1,0),OFFSET(控制台!$J$552,MATCH(A265,控制台!$H$552:$H$594,0)-1,0))</f>
        <v>11</v>
      </c>
      <c r="G265" s="1">
        <f ca="1">IF(C265=1,OFFSET(控制台!$I$599,MATCH(F265,控制台!$B$599:$B$615,0)-1,0),OFFSET(控制台!$I$618,MATCH(F265,控制台!$B$618:$B$636,0)-1,0))</f>
        <v>1</v>
      </c>
      <c r="H265" s="1">
        <f ca="1">IF(C265=1,OFFSET(控制台!$D$599,MATCH(F265,控制台!$B$599:$B$615,0)-1,0),OFFSET(控制台!$D$618,MATCH(F265,控制台!$B$618:$B$636,0)-1,0))</f>
        <v>110880000</v>
      </c>
      <c r="I265" s="1">
        <f ca="1">IF(E265=1,H265/G265,IF(E265=5,H265/G265*OFFSET(控制台!$D$641,MATCH(B265,控制台!$B$641:$B$645,0)-1,0),H265/G265*OFFSET(控制台!$H$641,MATCH(B265,控制台!$F$641:$F$650,0)-1,0)))</f>
        <v>7560000</v>
      </c>
      <c r="J265" s="1">
        <f ca="1">$I265/3*控制台!H$102</f>
        <v>2520000</v>
      </c>
      <c r="K265" s="1">
        <f ca="1">$I265/3*控制台!I$102</f>
        <v>1890000</v>
      </c>
      <c r="L265" s="1">
        <f ca="1">$I265/3*控制台!J$102</f>
        <v>3150000</v>
      </c>
      <c r="M265" s="1">
        <f ca="1">_xlfn.FLOOR.MATH(J265,POWER(10,MAX(2,INT(LOG10(J265)-2))))</f>
        <v>2520000</v>
      </c>
      <c r="N265" s="1">
        <f ca="1">_xlfn.FLOOR.MATH(K265,POWER(10,MAX(2,INT(LOG10(K265)-2))))</f>
        <v>1890000</v>
      </c>
      <c r="O265" s="1">
        <f ca="1">_xlfn.FLOOR.MATH(L265,POWER(10,MAX(2,INT(LOG10(L265)-2))))</f>
        <v>3150000</v>
      </c>
      <c r="P265" s="4" t="str">
        <f ca="1" t="shared" si="12"/>
        <v>2520000;1890000;3150000</v>
      </c>
      <c r="Q265" s="15">
        <f ca="1">IF(C265=1,OFFSET(控制台!$H$599,MATCH(F265,控制台!$B$599:$B$615,0)-1,0),OFFSET(控制台!$H$618,MATCH(F265,控制台!$B$618:$B$636,0)-1,0))</f>
        <v>86510.5919999999</v>
      </c>
      <c r="R265" s="15">
        <f ca="1">IF(E265=1,Q265/G265,IF(E265=5,Q265/G265*OFFSET(控制台!$D$641,MATCH(B265,控制台!$B$641:$B$645,0)-1,0),Q265/G265*OFFSET(控制台!$H$641,MATCH(B265,控制台!$F$641:$F$650,0)-1,0)))</f>
        <v>5898.44945454545</v>
      </c>
      <c r="S265" s="16">
        <f ca="1">_xlfn.FLOOR.MATH(R265)*60</f>
        <v>353880</v>
      </c>
      <c r="T265" s="16">
        <f ca="1">8000+IF(C265=1,OFFSET(控制台!$K$599,MATCH(F265,控制台!$B$599:$B$615,0)-1,0),OFFSET(控制台!$K$618,MATCH(F265,控制台!$B$618:$B$636,0)-1,0))</f>
        <v>8023</v>
      </c>
      <c r="U265" s="1">
        <f ca="1">IF(C265=1,OFFSET(控制台!$F$599,MATCH(F265,控制台!$B$599:$B$615,0)-1,0),OFFSET(控制台!$F$618,MATCH(F265,控制台!$B$618:$B$636,0)-1,0))</f>
        <v>58060.7999999999</v>
      </c>
      <c r="V265" s="1">
        <f ca="1">IF(E265=1,U265/G265,IF(E265=5,U265/G265*OFFSET(控制台!$D$641,MATCH(B265,控制台!$B$641:$B$645,0)-1,0),U265/G265*OFFSET(控制台!$H$641,MATCH(B265,控制台!$F$641:$F$650,0)-1,0)))</f>
        <v>3958.6909090909</v>
      </c>
      <c r="W265" s="20">
        <f ca="1" t="shared" si="13"/>
        <v>2.7490909090909</v>
      </c>
      <c r="X265" s="15">
        <f ca="1">IF(C265=1,OFFSET(控制台!$U$599,MATCH(F265,控制台!$B$599:$B$615,0)-1,0),OFFSET(控制台!$U$618,MATCH(F265,控制台!$B$618:$B$636,0)-1,0))</f>
        <v>180600</v>
      </c>
      <c r="Y265" s="16">
        <f ca="1">_xlfn.FLOOR.MATH(IF(E265=1,X265/G265,IF(E265=5,X265/G265*OFFSET(控制台!$D$641,MATCH(B265,控制台!$B$641:$B$645,0)-1,0),X265/G265*OFFSET(控制台!$H$641,MATCH(B265,控制台!$F$641:$F$650,0)-1,0))))</f>
        <v>12313</v>
      </c>
      <c r="Z265" s="16">
        <f ca="1" t="shared" si="14"/>
        <v>32833</v>
      </c>
    </row>
    <row r="266" spans="1:26">
      <c r="A266" s="1">
        <v>21102</v>
      </c>
      <c r="B266" s="1">
        <v>7</v>
      </c>
      <c r="C266" s="1">
        <v>2</v>
      </c>
      <c r="D266" s="1" t="s">
        <v>2826</v>
      </c>
      <c r="E266" s="1">
        <f ca="1">IF(C266=1,OFFSET(控制台!$F$552,MATCH(A266,控制台!$B$552:$B$580,0)-1,0),OFFSET(控制台!$L$552,MATCH(A266,控制台!$H$552:$H$594,0)-1,0))</f>
        <v>10</v>
      </c>
      <c r="F266" s="1">
        <f ca="1">IF(C266=1,OFFSET(控制台!$D$552,MATCH(A266,控制台!$B$552:$B$580,0)-1,0),OFFSET(控制台!$J$552,MATCH(A266,控制台!$H$552:$H$594,0)-1,0))</f>
        <v>11</v>
      </c>
      <c r="G266" s="1">
        <f ca="1">IF(C266=1,OFFSET(控制台!$I$599,MATCH(F266,控制台!$B$599:$B$615,0)-1,0),OFFSET(控制台!$I$618,MATCH(F266,控制台!$B$618:$B$636,0)-1,0))</f>
        <v>1</v>
      </c>
      <c r="H266" s="1">
        <f ca="1">IF(C266=1,OFFSET(控制台!$D$599,MATCH(F266,控制台!$B$599:$B$615,0)-1,0),OFFSET(控制台!$D$618,MATCH(F266,控制台!$B$618:$B$636,0)-1,0))</f>
        <v>110880000</v>
      </c>
      <c r="I266" s="1">
        <f ca="1">IF(E266=1,H266/G266,IF(E266=5,H266/G266*OFFSET(控制台!$D$641,MATCH(B266,控制台!$B$641:$B$645,0)-1,0),H266/G266*OFFSET(控制台!$H$641,MATCH(B266,控制台!$F$641:$F$650,0)-1,0)))</f>
        <v>10080000</v>
      </c>
      <c r="J266" s="1">
        <f ca="1">$I266/3*控制台!H$102</f>
        <v>3360000</v>
      </c>
      <c r="K266" s="1">
        <f ca="1">$I266/3*控制台!I$102</f>
        <v>2520000</v>
      </c>
      <c r="L266" s="1">
        <f ca="1">$I266/3*控制台!J$102</f>
        <v>4200000</v>
      </c>
      <c r="M266" s="1">
        <f ca="1">_xlfn.FLOOR.MATH(J266,POWER(10,MAX(2,INT(LOG10(J266)-2))))</f>
        <v>3360000</v>
      </c>
      <c r="N266" s="1">
        <f ca="1">_xlfn.FLOOR.MATH(K266,POWER(10,MAX(2,INT(LOG10(K266)-2))))</f>
        <v>2520000</v>
      </c>
      <c r="O266" s="1">
        <f ca="1">_xlfn.FLOOR.MATH(L266,POWER(10,MAX(2,INT(LOG10(L266)-2))))</f>
        <v>4200000</v>
      </c>
      <c r="P266" s="4" t="str">
        <f ca="1" t="shared" si="12"/>
        <v>3360000;2520000;4200000</v>
      </c>
      <c r="Q266" s="15">
        <f ca="1">IF(C266=1,OFFSET(控制台!$H$599,MATCH(F266,控制台!$B$599:$B$615,0)-1,0),OFFSET(控制台!$H$618,MATCH(F266,控制台!$B$618:$B$636,0)-1,0))</f>
        <v>86510.5919999999</v>
      </c>
      <c r="R266" s="15">
        <f ca="1">IF(E266=1,Q266/G266,IF(E266=5,Q266/G266*OFFSET(控制台!$D$641,MATCH(B266,控制台!$B$641:$B$645,0)-1,0),Q266/G266*OFFSET(控制台!$H$641,MATCH(B266,控制台!$F$641:$F$650,0)-1,0)))</f>
        <v>7864.59927272726</v>
      </c>
      <c r="S266" s="16">
        <f ca="1">_xlfn.FLOOR.MATH(R266)*60</f>
        <v>471840</v>
      </c>
      <c r="T266" s="16">
        <f ca="1">8000+IF(C266=1,OFFSET(控制台!$K$599,MATCH(F266,控制台!$B$599:$B$615,0)-1,0),OFFSET(控制台!$K$618,MATCH(F266,控制台!$B$618:$B$636,0)-1,0))</f>
        <v>8023</v>
      </c>
      <c r="U266" s="1">
        <f ca="1">IF(C266=1,OFFSET(控制台!$F$599,MATCH(F266,控制台!$B$599:$B$615,0)-1,0),OFFSET(控制台!$F$618,MATCH(F266,控制台!$B$618:$B$636,0)-1,0))</f>
        <v>58060.7999999999</v>
      </c>
      <c r="V266" s="1">
        <f ca="1">IF(E266=1,U266/G266,IF(E266=5,U266/G266*OFFSET(控制台!$D$641,MATCH(B266,控制台!$B$641:$B$645,0)-1,0),U266/G266*OFFSET(控制台!$H$641,MATCH(B266,控制台!$F$641:$F$650,0)-1,0)))</f>
        <v>5278.25454545454</v>
      </c>
      <c r="W266" s="20">
        <f ca="1" t="shared" si="13"/>
        <v>3.66545454545454</v>
      </c>
      <c r="X266" s="15">
        <f ca="1">IF(C266=1,OFFSET(控制台!$U$599,MATCH(F266,控制台!$B$599:$B$615,0)-1,0),OFFSET(控制台!$U$618,MATCH(F266,控制台!$B$618:$B$636,0)-1,0))</f>
        <v>180600</v>
      </c>
      <c r="Y266" s="16">
        <f ca="1">_xlfn.FLOOR.MATH(IF(E266=1,X266/G266,IF(E266=5,X266/G266*OFFSET(控制台!$D$641,MATCH(B266,控制台!$B$641:$B$645,0)-1,0),X266/G266*OFFSET(控制台!$H$641,MATCH(B266,控制台!$F$641:$F$650,0)-1,0))))</f>
        <v>16418</v>
      </c>
      <c r="Z266" s="16">
        <f ca="1" t="shared" si="14"/>
        <v>49251</v>
      </c>
    </row>
    <row r="267" spans="1:26">
      <c r="A267" s="1">
        <v>21102</v>
      </c>
      <c r="B267" s="1">
        <v>8</v>
      </c>
      <c r="C267" s="1">
        <v>2</v>
      </c>
      <c r="D267" s="1" t="s">
        <v>2826</v>
      </c>
      <c r="E267" s="1">
        <f ca="1">IF(C267=1,OFFSET(控制台!$F$552,MATCH(A267,控制台!$B$552:$B$580,0)-1,0),OFFSET(控制台!$L$552,MATCH(A267,控制台!$H$552:$H$594,0)-1,0))</f>
        <v>10</v>
      </c>
      <c r="F267" s="1">
        <f ca="1">IF(C267=1,OFFSET(控制台!$D$552,MATCH(A267,控制台!$B$552:$B$580,0)-1,0),OFFSET(控制台!$J$552,MATCH(A267,控制台!$H$552:$H$594,0)-1,0))</f>
        <v>11</v>
      </c>
      <c r="G267" s="1">
        <f ca="1">IF(C267=1,OFFSET(控制台!$I$599,MATCH(F267,控制台!$B$599:$B$615,0)-1,0),OFFSET(控制台!$I$618,MATCH(F267,控制台!$B$618:$B$636,0)-1,0))</f>
        <v>1</v>
      </c>
      <c r="H267" s="1">
        <f ca="1">IF(C267=1,OFFSET(控制台!$D$599,MATCH(F267,控制台!$B$599:$B$615,0)-1,0),OFFSET(控制台!$D$618,MATCH(F267,控制台!$B$618:$B$636,0)-1,0))</f>
        <v>110880000</v>
      </c>
      <c r="I267" s="1">
        <f ca="1">IF(E267=1,H267/G267,IF(E267=5,H267/G267*OFFSET(控制台!$D$641,MATCH(B267,控制台!$B$641:$B$645,0)-1,0),H267/G267*OFFSET(控制台!$H$641,MATCH(B267,控制台!$F$641:$F$650,0)-1,0)))</f>
        <v>15120000</v>
      </c>
      <c r="J267" s="1">
        <f ca="1">$I267/3*控制台!H$102</f>
        <v>5039999.99999999</v>
      </c>
      <c r="K267" s="1">
        <f ca="1">$I267/3*控制台!I$102</f>
        <v>3779999.99999999</v>
      </c>
      <c r="L267" s="1">
        <f ca="1">$I267/3*控制台!J$102</f>
        <v>6299999.99999999</v>
      </c>
      <c r="M267" s="1">
        <f ca="1">_xlfn.FLOOR.MATH(J267,POWER(10,MAX(2,INT(LOG10(J267)-2))))</f>
        <v>5040000</v>
      </c>
      <c r="N267" s="1">
        <f ca="1">_xlfn.FLOOR.MATH(K267,POWER(10,MAX(2,INT(LOG10(K267)-2))))</f>
        <v>3780000</v>
      </c>
      <c r="O267" s="1">
        <f ca="1">_xlfn.FLOOR.MATH(L267,POWER(10,MAX(2,INT(LOG10(L267)-2))))</f>
        <v>6300000</v>
      </c>
      <c r="P267" s="4" t="str">
        <f ca="1" t="shared" si="12"/>
        <v>5040000;3780000;6300000</v>
      </c>
      <c r="Q267" s="15">
        <f ca="1">IF(C267=1,OFFSET(控制台!$H$599,MATCH(F267,控制台!$B$599:$B$615,0)-1,0),OFFSET(控制台!$H$618,MATCH(F267,控制台!$B$618:$B$636,0)-1,0))</f>
        <v>86510.5919999999</v>
      </c>
      <c r="R267" s="15">
        <f ca="1">IF(E267=1,Q267/G267,IF(E267=5,Q267/G267*OFFSET(控制台!$D$641,MATCH(B267,控制台!$B$641:$B$645,0)-1,0),Q267/G267*OFFSET(控制台!$H$641,MATCH(B267,控制台!$F$641:$F$650,0)-1,0)))</f>
        <v>11796.8989090909</v>
      </c>
      <c r="S267" s="16">
        <f ca="1">_xlfn.FLOOR.MATH(R267)*60</f>
        <v>707760</v>
      </c>
      <c r="T267" s="16">
        <f ca="1">8000+IF(C267=1,OFFSET(控制台!$K$599,MATCH(F267,控制台!$B$599:$B$615,0)-1,0),OFFSET(控制台!$K$618,MATCH(F267,控制台!$B$618:$B$636,0)-1,0))</f>
        <v>8023</v>
      </c>
      <c r="U267" s="1">
        <f ca="1">IF(C267=1,OFFSET(控制台!$F$599,MATCH(F267,控制台!$B$599:$B$615,0)-1,0),OFFSET(控制台!$F$618,MATCH(F267,控制台!$B$618:$B$636,0)-1,0))</f>
        <v>58060.7999999999</v>
      </c>
      <c r="V267" s="1">
        <f ca="1">IF(E267=1,U267/G267,IF(E267=5,U267/G267*OFFSET(控制台!$D$641,MATCH(B267,控制台!$B$641:$B$645,0)-1,0),U267/G267*OFFSET(控制台!$H$641,MATCH(B267,控制台!$F$641:$F$650,0)-1,0)))</f>
        <v>7917.38181818178</v>
      </c>
      <c r="W267" s="20">
        <f ca="1" t="shared" si="13"/>
        <v>5.49818181818179</v>
      </c>
      <c r="X267" s="15">
        <f ca="1">IF(C267=1,OFFSET(控制台!$U$599,MATCH(F267,控制台!$B$599:$B$615,0)-1,0),OFFSET(控制台!$U$618,MATCH(F267,控制台!$B$618:$B$636,0)-1,0))</f>
        <v>180600</v>
      </c>
      <c r="Y267" s="16">
        <f ca="1">_xlfn.FLOOR.MATH(IF(E267=1,X267/G267,IF(E267=5,X267/G267*OFFSET(控制台!$D$641,MATCH(B267,控制台!$B$641:$B$645,0)-1,0),X267/G267*OFFSET(控制台!$H$641,MATCH(B267,控制台!$F$641:$F$650,0)-1,0))))</f>
        <v>24627</v>
      </c>
      <c r="Z267" s="16">
        <f ca="1" t="shared" si="14"/>
        <v>73878</v>
      </c>
    </row>
    <row r="268" spans="1:26">
      <c r="A268" s="1">
        <v>21102</v>
      </c>
      <c r="B268" s="1">
        <v>9</v>
      </c>
      <c r="C268" s="1">
        <v>2</v>
      </c>
      <c r="D268" s="1" t="s">
        <v>2826</v>
      </c>
      <c r="E268" s="1">
        <f ca="1">IF(C268=1,OFFSET(控制台!$F$552,MATCH(A268,控制台!$B$552:$B$580,0)-1,0),OFFSET(控制台!$L$552,MATCH(A268,控制台!$H$552:$H$594,0)-1,0))</f>
        <v>10</v>
      </c>
      <c r="F268" s="1">
        <f ca="1">IF(C268=1,OFFSET(控制台!$D$552,MATCH(A268,控制台!$B$552:$B$580,0)-1,0),OFFSET(控制台!$J$552,MATCH(A268,控制台!$H$552:$H$594,0)-1,0))</f>
        <v>11</v>
      </c>
      <c r="G268" s="1">
        <f ca="1">IF(C268=1,OFFSET(控制台!$I$599,MATCH(F268,控制台!$B$599:$B$615,0)-1,0),OFFSET(控制台!$I$618,MATCH(F268,控制台!$B$618:$B$636,0)-1,0))</f>
        <v>1</v>
      </c>
      <c r="H268" s="1">
        <f ca="1">IF(C268=1,OFFSET(控制台!$D$599,MATCH(F268,控制台!$B$599:$B$615,0)-1,0),OFFSET(控制台!$D$618,MATCH(F268,控制台!$B$618:$B$636,0)-1,0))</f>
        <v>110880000</v>
      </c>
      <c r="I268" s="1">
        <f ca="1">IF(E268=1,H268/G268,IF(E268=5,H268/G268*OFFSET(控制台!$D$641,MATCH(B268,控制台!$B$641:$B$645,0)-1,0),H268/G268*OFFSET(控制台!$H$641,MATCH(B268,控制台!$F$641:$F$650,0)-1,0)))</f>
        <v>25200000</v>
      </c>
      <c r="J268" s="1">
        <f ca="1">$I268/3*控制台!H$102</f>
        <v>8399999.99999999</v>
      </c>
      <c r="K268" s="1">
        <f ca="1">$I268/3*控制台!I$102</f>
        <v>6299999.99999999</v>
      </c>
      <c r="L268" s="1">
        <f ca="1">$I268/3*控制台!J$102</f>
        <v>10500000</v>
      </c>
      <c r="M268" s="1">
        <f ca="1">_xlfn.FLOOR.MATH(J268,POWER(10,MAX(2,INT(LOG10(J268)-2))))</f>
        <v>8400000</v>
      </c>
      <c r="N268" s="1">
        <f ca="1">_xlfn.FLOOR.MATH(K268,POWER(10,MAX(2,INT(LOG10(K268)-2))))</f>
        <v>6300000</v>
      </c>
      <c r="O268" s="1">
        <f ca="1">_xlfn.FLOOR.MATH(L268,POWER(10,MAX(2,INT(LOG10(L268)-2))))</f>
        <v>10500000</v>
      </c>
      <c r="P268" s="4" t="str">
        <f ca="1" t="shared" si="12"/>
        <v>8400000;6300000;10500000</v>
      </c>
      <c r="Q268" s="15">
        <f ca="1">IF(C268=1,OFFSET(控制台!$H$599,MATCH(F268,控制台!$B$599:$B$615,0)-1,0),OFFSET(控制台!$H$618,MATCH(F268,控制台!$B$618:$B$636,0)-1,0))</f>
        <v>86510.5919999999</v>
      </c>
      <c r="R268" s="15">
        <f ca="1">IF(E268=1,Q268/G268,IF(E268=5,Q268/G268*OFFSET(控制台!$D$641,MATCH(B268,控制台!$B$641:$B$645,0)-1,0),Q268/G268*OFFSET(控制台!$H$641,MATCH(B268,控制台!$F$641:$F$650,0)-1,0)))</f>
        <v>19661.4981818181</v>
      </c>
      <c r="S268" s="16">
        <f ca="1">_xlfn.FLOOR.MATH(R268)*60</f>
        <v>1179660</v>
      </c>
      <c r="T268" s="16">
        <f ca="1">8000+IF(C268=1,OFFSET(控制台!$K$599,MATCH(F268,控制台!$B$599:$B$615,0)-1,0),OFFSET(控制台!$K$618,MATCH(F268,控制台!$B$618:$B$636,0)-1,0))</f>
        <v>8023</v>
      </c>
      <c r="U268" s="1">
        <f ca="1">IF(C268=1,OFFSET(控制台!$F$599,MATCH(F268,控制台!$B$599:$B$615,0)-1,0),OFFSET(控制台!$F$618,MATCH(F268,控制台!$B$618:$B$636,0)-1,0))</f>
        <v>58060.7999999999</v>
      </c>
      <c r="V268" s="1">
        <f ca="1">IF(E268=1,U268/G268,IF(E268=5,U268/G268*OFFSET(控制台!$D$641,MATCH(B268,控制台!$B$641:$B$645,0)-1,0),U268/G268*OFFSET(控制台!$H$641,MATCH(B268,控制台!$F$641:$F$650,0)-1,0)))</f>
        <v>13195.6363636363</v>
      </c>
      <c r="W268" s="20">
        <f ca="1" t="shared" si="13"/>
        <v>9.16363636363634</v>
      </c>
      <c r="X268" s="15">
        <f ca="1">IF(C268=1,OFFSET(控制台!$U$599,MATCH(F268,控制台!$B$599:$B$615,0)-1,0),OFFSET(控制台!$U$618,MATCH(F268,控制台!$B$618:$B$636,0)-1,0))</f>
        <v>180600</v>
      </c>
      <c r="Y268" s="16">
        <f ca="1">_xlfn.FLOOR.MATH(IF(E268=1,X268/G268,IF(E268=5,X268/G268*OFFSET(控制台!$D$641,MATCH(B268,控制台!$B$641:$B$645,0)-1,0),X268/G268*OFFSET(控制台!$H$641,MATCH(B268,控制台!$F$641:$F$650,0)-1,0))))</f>
        <v>41045</v>
      </c>
      <c r="Z268" s="16">
        <f ca="1" t="shared" si="14"/>
        <v>114923</v>
      </c>
    </row>
    <row r="269" spans="1:26">
      <c r="A269" s="1">
        <v>21102</v>
      </c>
      <c r="B269" s="1">
        <v>10</v>
      </c>
      <c r="C269" s="1">
        <v>2</v>
      </c>
      <c r="D269" s="1" t="s">
        <v>2826</v>
      </c>
      <c r="E269" s="1">
        <f ca="1">IF(C269=1,OFFSET(控制台!$F$552,MATCH(A269,控制台!$B$552:$B$580,0)-1,0),OFFSET(控制台!$L$552,MATCH(A269,控制台!$H$552:$H$594,0)-1,0))</f>
        <v>10</v>
      </c>
      <c r="F269" s="1">
        <f ca="1">IF(C269=1,OFFSET(控制台!$D$552,MATCH(A269,控制台!$B$552:$B$580,0)-1,0),OFFSET(控制台!$J$552,MATCH(A269,控制台!$H$552:$H$594,0)-1,0))</f>
        <v>11</v>
      </c>
      <c r="G269" s="1">
        <f ca="1">IF(C269=1,OFFSET(控制台!$I$599,MATCH(F269,控制台!$B$599:$B$615,0)-1,0),OFFSET(控制台!$I$618,MATCH(F269,控制台!$B$618:$B$636,0)-1,0))</f>
        <v>1</v>
      </c>
      <c r="H269" s="1">
        <f ca="1">IF(C269=1,OFFSET(控制台!$D$599,MATCH(F269,控制台!$B$599:$B$615,0)-1,0),OFFSET(控制台!$D$618,MATCH(F269,控制台!$B$618:$B$636,0)-1,0))</f>
        <v>110880000</v>
      </c>
      <c r="I269" s="1">
        <f ca="1">IF(E269=1,H269/G269,IF(E269=5,H269/G269*OFFSET(控制台!$D$641,MATCH(B269,控制台!$B$641:$B$645,0)-1,0),H269/G269*OFFSET(控制台!$H$641,MATCH(B269,控制台!$F$641:$F$650,0)-1,0)))</f>
        <v>40320000.0000001</v>
      </c>
      <c r="J269" s="1">
        <f ca="1">$I269/3*控制台!H$102</f>
        <v>13440000</v>
      </c>
      <c r="K269" s="1">
        <f ca="1">$I269/3*控制台!I$102</f>
        <v>10080000</v>
      </c>
      <c r="L269" s="1">
        <f ca="1">$I269/3*控制台!J$102</f>
        <v>16800000</v>
      </c>
      <c r="M269" s="1">
        <f ca="1">_xlfn.FLOOR.MATH(J269,POWER(10,MAX(2,INT(LOG10(J269)-2))))</f>
        <v>13400000</v>
      </c>
      <c r="N269" s="1">
        <f ca="1">_xlfn.FLOOR.MATH(K269,POWER(10,MAX(2,INT(LOG10(K269)-2))))</f>
        <v>10000000</v>
      </c>
      <c r="O269" s="1">
        <f ca="1">_xlfn.FLOOR.MATH(L269,POWER(10,MAX(2,INT(LOG10(L269)-2))))</f>
        <v>16800000</v>
      </c>
      <c r="P269" s="4" t="str">
        <f ca="1" t="shared" si="12"/>
        <v>13400000;10000000;16800000</v>
      </c>
      <c r="Q269" s="15">
        <f ca="1">IF(C269=1,OFFSET(控制台!$H$599,MATCH(F269,控制台!$B$599:$B$615,0)-1,0),OFFSET(控制台!$H$618,MATCH(F269,控制台!$B$618:$B$636,0)-1,0))</f>
        <v>86510.5919999999</v>
      </c>
      <c r="R269" s="15">
        <f ca="1">IF(E269=1,Q269/G269,IF(E269=5,Q269/G269*OFFSET(控制台!$D$641,MATCH(B269,控制台!$B$641:$B$645,0)-1,0),Q269/G269*OFFSET(控制台!$H$641,MATCH(B269,控制台!$F$641:$F$650,0)-1,0)))</f>
        <v>31458.3970909091</v>
      </c>
      <c r="S269" s="16">
        <f ca="1">_xlfn.FLOOR.MATH(R269)*60</f>
        <v>1887480</v>
      </c>
      <c r="T269" s="16">
        <f ca="1">8000+IF(C269=1,OFFSET(控制台!$K$599,MATCH(F269,控制台!$B$599:$B$615,0)-1,0),OFFSET(控制台!$K$618,MATCH(F269,控制台!$B$618:$B$636,0)-1,0))</f>
        <v>8023</v>
      </c>
      <c r="U269" s="1">
        <f ca="1">IF(C269=1,OFFSET(控制台!$F$599,MATCH(F269,控制台!$B$599:$B$615,0)-1,0),OFFSET(控制台!$F$618,MATCH(F269,控制台!$B$618:$B$636,0)-1,0))</f>
        <v>58060.7999999999</v>
      </c>
      <c r="V269" s="1">
        <f ca="1">IF(E269=1,U269/G269,IF(E269=5,U269/G269*OFFSET(控制台!$D$641,MATCH(B269,控制台!$B$641:$B$645,0)-1,0),U269/G269*OFFSET(控制台!$H$641,MATCH(B269,控制台!$F$641:$F$650,0)-1,0)))</f>
        <v>21113.0181818182</v>
      </c>
      <c r="W269" s="20">
        <f ca="1" t="shared" si="13"/>
        <v>14.6618181818182</v>
      </c>
      <c r="X269" s="15">
        <f ca="1">IF(C269=1,OFFSET(控制台!$U$599,MATCH(F269,控制台!$B$599:$B$615,0)-1,0),OFFSET(控制台!$U$618,MATCH(F269,控制台!$B$618:$B$636,0)-1,0))</f>
        <v>180600</v>
      </c>
      <c r="Y269" s="16">
        <f ca="1">_xlfn.FLOOR.MATH(IF(E269=1,X269/G269,IF(E269=5,X269/G269*OFFSET(控制台!$D$641,MATCH(B269,控制台!$B$641:$B$645,0)-1,0),X269/G269*OFFSET(控制台!$H$641,MATCH(B269,控制台!$F$641:$F$650,0)-1,0))))</f>
        <v>65672</v>
      </c>
      <c r="Z269" s="16">
        <f ca="1" t="shared" si="14"/>
        <v>180595</v>
      </c>
    </row>
    <row r="270" spans="1:26">
      <c r="A270" s="1">
        <v>21201</v>
      </c>
      <c r="B270" s="1">
        <v>1</v>
      </c>
      <c r="C270" s="1">
        <v>2</v>
      </c>
      <c r="D270" s="1" t="s">
        <v>2827</v>
      </c>
      <c r="E270" s="1">
        <f ca="1">IF(C270=1,OFFSET(控制台!$F$552,MATCH(A270,控制台!$B$552:$B$580,0)-1,0),OFFSET(控制台!$L$552,MATCH(A270,控制台!$H$552:$H$594,0)-1,0))</f>
        <v>10</v>
      </c>
      <c r="F270" s="1">
        <f ca="1">IF(C270=1,OFFSET(控制台!$D$552,MATCH(A270,控制台!$B$552:$B$580,0)-1,0),OFFSET(控制台!$J$552,MATCH(A270,控制台!$H$552:$H$594,0)-1,0))</f>
        <v>12</v>
      </c>
      <c r="G270" s="1">
        <f ca="1">IF(C270=1,OFFSET(控制台!$I$599,MATCH(F270,控制台!$B$599:$B$615,0)-1,0),OFFSET(控制台!$I$618,MATCH(F270,控制台!$B$618:$B$636,0)-1,0))</f>
        <v>3</v>
      </c>
      <c r="H270" s="1">
        <f ca="1">IF(C270=1,OFFSET(控制台!$D$599,MATCH(F270,控制台!$B$599:$B$615,0)-1,0),OFFSET(控制台!$D$618,MATCH(F270,控制台!$B$618:$B$636,0)-1,0))</f>
        <v>302400000</v>
      </c>
      <c r="I270" s="1">
        <f ca="1">IF(E270=1,H270/G270,IF(E270=5,H270/G270*OFFSET(控制台!$D$641,MATCH(B270,控制台!$B$641:$B$645,0)-1,0),H270/G270*OFFSET(控制台!$H$641,MATCH(B270,控制台!$F$641:$F$650,0)-1,0)))</f>
        <v>916363.636363636</v>
      </c>
      <c r="J270" s="1">
        <f ca="1">$I270/3*控制台!H$102</f>
        <v>305454.545454545</v>
      </c>
      <c r="K270" s="1">
        <f ca="1">$I270/3*控制台!I$102</f>
        <v>229090.909090909</v>
      </c>
      <c r="L270" s="1">
        <f ca="1">$I270/3*控制台!J$102</f>
        <v>381818.181818182</v>
      </c>
      <c r="M270" s="1">
        <f ca="1">_xlfn.FLOOR.MATH(J270,POWER(10,MAX(2,INT(LOG10(J270)-2))))</f>
        <v>305000</v>
      </c>
      <c r="N270" s="1">
        <f ca="1">_xlfn.FLOOR.MATH(K270,POWER(10,MAX(2,INT(LOG10(K270)-2))))</f>
        <v>229000</v>
      </c>
      <c r="O270" s="1">
        <f ca="1">_xlfn.FLOOR.MATH(L270,POWER(10,MAX(2,INT(LOG10(L270)-2))))</f>
        <v>381000</v>
      </c>
      <c r="P270" s="4" t="str">
        <f ca="1" t="shared" si="12"/>
        <v>305000;229000;381000</v>
      </c>
      <c r="Q270" s="15">
        <f ca="1">IF(C270=1,OFFSET(控制台!$H$599,MATCH(F270,控制台!$B$599:$B$615,0)-1,0),OFFSET(控制台!$H$618,MATCH(F270,控制台!$B$618:$B$636,0)-1,0))</f>
        <v>306851.328</v>
      </c>
      <c r="R270" s="15">
        <f ca="1">IF(E270=1,Q270/G270,IF(E270=5,Q270/G270*OFFSET(控制台!$D$641,MATCH(B270,控制台!$B$641:$B$645,0)-1,0),Q270/G270*OFFSET(控制台!$H$641,MATCH(B270,控制台!$F$641:$F$650,0)-1,0)))</f>
        <v>929.852509090909</v>
      </c>
      <c r="S270" s="16">
        <f ca="1">_xlfn.FLOOR.MATH(R270)*60</f>
        <v>55740</v>
      </c>
      <c r="T270" s="16">
        <f ca="1">8000+IF(C270=1,OFFSET(控制台!$K$599,MATCH(F270,控制台!$B$599:$B$615,0)-1,0),OFFSET(控制台!$K$618,MATCH(F270,控制台!$B$618:$B$636,0)-1,0))</f>
        <v>8024</v>
      </c>
      <c r="U270" s="1">
        <f ca="1">IF(C270=1,OFFSET(控制台!$F$599,MATCH(F270,控制台!$B$599:$B$615,0)-1,0),OFFSET(控制台!$F$618,MATCH(F270,控制台!$B$618:$B$636,0)-1,0))</f>
        <v>203212.8</v>
      </c>
      <c r="V270" s="1">
        <f ca="1">IF(E270=1,U270/G270,IF(E270=5,U270/G270*OFFSET(控制台!$D$641,MATCH(B270,控制台!$B$641:$B$645,0)-1,0),U270/G270*OFFSET(控制台!$H$641,MATCH(B270,控制台!$F$641:$F$650,0)-1,0)))</f>
        <v>615.796363636364</v>
      </c>
      <c r="W270" s="20">
        <f ca="1" t="shared" si="13"/>
        <v>0.427636363636364</v>
      </c>
      <c r="X270" s="15">
        <f ca="1">IF(C270=1,OFFSET(控制台!$U$599,MATCH(F270,控制台!$B$599:$B$615,0)-1,0),OFFSET(控制台!$U$618,MATCH(F270,控制台!$B$618:$B$636,0)-1,0))</f>
        <v>614250</v>
      </c>
      <c r="Y270" s="16">
        <f ca="1">_xlfn.FLOOR.MATH(IF(E270=1,X270/G270,IF(E270=5,X270/G270*OFFSET(控制台!$D$641,MATCH(B270,控制台!$B$641:$B$645,0)-1,0),X270/G270*OFFSET(控制台!$H$641,MATCH(B270,控制台!$F$641:$F$650,0)-1,0))))</f>
        <v>1861</v>
      </c>
      <c r="Z270" s="16">
        <f ca="1" t="shared" si="14"/>
        <v>1861</v>
      </c>
    </row>
    <row r="271" spans="1:26">
      <c r="A271" s="1">
        <v>21201</v>
      </c>
      <c r="B271" s="1">
        <v>2</v>
      </c>
      <c r="C271" s="1">
        <v>2</v>
      </c>
      <c r="D271" s="1" t="s">
        <v>2827</v>
      </c>
      <c r="E271" s="1">
        <f ca="1">IF(C271=1,OFFSET(控制台!$F$552,MATCH(A271,控制台!$B$552:$B$580,0)-1,0),OFFSET(控制台!$L$552,MATCH(A271,控制台!$H$552:$H$594,0)-1,0))</f>
        <v>10</v>
      </c>
      <c r="F271" s="1">
        <f ca="1">IF(C271=1,OFFSET(控制台!$D$552,MATCH(A271,控制台!$B$552:$B$580,0)-1,0),OFFSET(控制台!$J$552,MATCH(A271,控制台!$H$552:$H$594,0)-1,0))</f>
        <v>12</v>
      </c>
      <c r="G271" s="1">
        <f ca="1">IF(C271=1,OFFSET(控制台!$I$599,MATCH(F271,控制台!$B$599:$B$615,0)-1,0),OFFSET(控制台!$I$618,MATCH(F271,控制台!$B$618:$B$636,0)-1,0))</f>
        <v>3</v>
      </c>
      <c r="H271" s="1">
        <f ca="1">IF(C271=1,OFFSET(控制台!$D$599,MATCH(F271,控制台!$B$599:$B$615,0)-1,0),OFFSET(控制台!$D$618,MATCH(F271,控制台!$B$618:$B$636,0)-1,0))</f>
        <v>302400000</v>
      </c>
      <c r="I271" s="1">
        <f ca="1">IF(E271=1,H271/G271,IF(E271=5,H271/G271*OFFSET(控制台!$D$641,MATCH(B271,控制台!$B$641:$B$645,0)-1,0),H271/G271*OFFSET(控制台!$H$641,MATCH(B271,控制台!$F$641:$F$650,0)-1,0)))</f>
        <v>1374545.45454545</v>
      </c>
      <c r="J271" s="1">
        <f ca="1">$I271/3*控制台!H$102</f>
        <v>458181.818181817</v>
      </c>
      <c r="K271" s="1">
        <f ca="1">$I271/3*控制台!I$102</f>
        <v>343636.363636363</v>
      </c>
      <c r="L271" s="1">
        <f ca="1">$I271/3*控制台!J$102</f>
        <v>572727.272727271</v>
      </c>
      <c r="M271" s="1">
        <f ca="1">_xlfn.FLOOR.MATH(J271,POWER(10,MAX(2,INT(LOG10(J271)-2))))</f>
        <v>458000</v>
      </c>
      <c r="N271" s="1">
        <f ca="1">_xlfn.FLOOR.MATH(K271,POWER(10,MAX(2,INT(LOG10(K271)-2))))</f>
        <v>343000</v>
      </c>
      <c r="O271" s="1">
        <f ca="1">_xlfn.FLOOR.MATH(L271,POWER(10,MAX(2,INT(LOG10(L271)-2))))</f>
        <v>572000</v>
      </c>
      <c r="P271" s="4" t="str">
        <f ca="1" t="shared" si="12"/>
        <v>458000;343000;572000</v>
      </c>
      <c r="Q271" s="15">
        <f ca="1">IF(C271=1,OFFSET(控制台!$H$599,MATCH(F271,控制台!$B$599:$B$615,0)-1,0),OFFSET(控制台!$H$618,MATCH(F271,控制台!$B$618:$B$636,0)-1,0))</f>
        <v>306851.328</v>
      </c>
      <c r="R271" s="15">
        <f ca="1">IF(E271=1,Q271/G271,IF(E271=5,Q271/G271*OFFSET(控制台!$D$641,MATCH(B271,控制台!$B$641:$B$645,0)-1,0),Q271/G271*OFFSET(控制台!$H$641,MATCH(B271,控制台!$F$641:$F$650,0)-1,0)))</f>
        <v>1394.77876363636</v>
      </c>
      <c r="S271" s="16">
        <f ca="1">_xlfn.FLOOR.MATH(R271)*60</f>
        <v>83640</v>
      </c>
      <c r="T271" s="16">
        <f ca="1">8000+IF(C271=1,OFFSET(控制台!$K$599,MATCH(F271,控制台!$B$599:$B$615,0)-1,0),OFFSET(控制台!$K$618,MATCH(F271,控制台!$B$618:$B$636,0)-1,0))</f>
        <v>8024</v>
      </c>
      <c r="U271" s="1">
        <f ca="1">IF(C271=1,OFFSET(控制台!$F$599,MATCH(F271,控制台!$B$599:$B$615,0)-1,0),OFFSET(控制台!$F$618,MATCH(F271,控制台!$B$618:$B$636,0)-1,0))</f>
        <v>203212.8</v>
      </c>
      <c r="V271" s="1">
        <f ca="1">IF(E271=1,U271/G271,IF(E271=5,U271/G271*OFFSET(控制台!$D$641,MATCH(B271,控制台!$B$641:$B$645,0)-1,0),U271/G271*OFFSET(控制台!$H$641,MATCH(B271,控制台!$F$641:$F$650,0)-1,0)))</f>
        <v>923.694545454543</v>
      </c>
      <c r="W271" s="20">
        <f ca="1" t="shared" si="13"/>
        <v>0.641454545454544</v>
      </c>
      <c r="X271" s="15">
        <f ca="1">IF(C271=1,OFFSET(控制台!$U$599,MATCH(F271,控制台!$B$599:$B$615,0)-1,0),OFFSET(控制台!$U$618,MATCH(F271,控制台!$B$618:$B$636,0)-1,0))</f>
        <v>614250</v>
      </c>
      <c r="Y271" s="16">
        <f ca="1">_xlfn.FLOOR.MATH(IF(E271=1,X271/G271,IF(E271=5,X271/G271*OFFSET(控制台!$D$641,MATCH(B271,控制台!$B$641:$B$645,0)-1,0),X271/G271*OFFSET(控制台!$H$641,MATCH(B271,控制台!$F$641:$F$650,0)-1,0))))</f>
        <v>2792</v>
      </c>
      <c r="Z271" s="16">
        <f ca="1" t="shared" si="14"/>
        <v>4653</v>
      </c>
    </row>
    <row r="272" spans="1:26">
      <c r="A272" s="1">
        <v>21201</v>
      </c>
      <c r="B272" s="1">
        <v>3</v>
      </c>
      <c r="C272" s="1">
        <v>2</v>
      </c>
      <c r="D272" s="1" t="s">
        <v>2827</v>
      </c>
      <c r="E272" s="1">
        <f ca="1">IF(C272=1,OFFSET(控制台!$F$552,MATCH(A272,控制台!$B$552:$B$580,0)-1,0),OFFSET(控制台!$L$552,MATCH(A272,控制台!$H$552:$H$594,0)-1,0))</f>
        <v>10</v>
      </c>
      <c r="F272" s="1">
        <f ca="1">IF(C272=1,OFFSET(控制台!$D$552,MATCH(A272,控制台!$B$552:$B$580,0)-1,0),OFFSET(控制台!$J$552,MATCH(A272,控制台!$H$552:$H$594,0)-1,0))</f>
        <v>12</v>
      </c>
      <c r="G272" s="1">
        <f ca="1">IF(C272=1,OFFSET(控制台!$I$599,MATCH(F272,控制台!$B$599:$B$615,0)-1,0),OFFSET(控制台!$I$618,MATCH(F272,控制台!$B$618:$B$636,0)-1,0))</f>
        <v>3</v>
      </c>
      <c r="H272" s="1">
        <f ca="1">IF(C272=1,OFFSET(控制台!$D$599,MATCH(F272,控制台!$B$599:$B$615,0)-1,0),OFFSET(控制台!$D$618,MATCH(F272,控制台!$B$618:$B$636,0)-1,0))</f>
        <v>302400000</v>
      </c>
      <c r="I272" s="1">
        <f ca="1">IF(E272=1,H272/G272,IF(E272=5,H272/G272*OFFSET(控制台!$D$641,MATCH(B272,控制台!$B$641:$B$645,0)-1,0),H272/G272*OFFSET(控制台!$H$641,MATCH(B272,控制台!$F$641:$F$650,0)-1,0)))</f>
        <v>1832727.27272727</v>
      </c>
      <c r="J272" s="1">
        <f ca="1">$I272/3*控制台!H$102</f>
        <v>610909.090909091</v>
      </c>
      <c r="K272" s="1">
        <f ca="1">$I272/3*控制台!I$102</f>
        <v>458181.818181819</v>
      </c>
      <c r="L272" s="1">
        <f ca="1">$I272/3*控制台!J$102</f>
        <v>763636.363636364</v>
      </c>
      <c r="M272" s="1">
        <f ca="1">_xlfn.FLOOR.MATH(J272,POWER(10,MAX(2,INT(LOG10(J272)-2))))</f>
        <v>610000</v>
      </c>
      <c r="N272" s="1">
        <f ca="1">_xlfn.FLOOR.MATH(K272,POWER(10,MAX(2,INT(LOG10(K272)-2))))</f>
        <v>458000</v>
      </c>
      <c r="O272" s="1">
        <f ca="1">_xlfn.FLOOR.MATH(L272,POWER(10,MAX(2,INT(LOG10(L272)-2))))</f>
        <v>763000</v>
      </c>
      <c r="P272" s="4" t="str">
        <f ca="1" t="shared" si="12"/>
        <v>610000;458000;763000</v>
      </c>
      <c r="Q272" s="15">
        <f ca="1">IF(C272=1,OFFSET(控制台!$H$599,MATCH(F272,控制台!$B$599:$B$615,0)-1,0),OFFSET(控制台!$H$618,MATCH(F272,控制台!$B$618:$B$636,0)-1,0))</f>
        <v>306851.328</v>
      </c>
      <c r="R272" s="15">
        <f ca="1">IF(E272=1,Q272/G272,IF(E272=5,Q272/G272*OFFSET(控制台!$D$641,MATCH(B272,控制台!$B$641:$B$645,0)-1,0),Q272/G272*OFFSET(控制台!$H$641,MATCH(B272,控制台!$F$641:$F$650,0)-1,0)))</f>
        <v>1859.70501818182</v>
      </c>
      <c r="S272" s="16">
        <f ca="1">_xlfn.FLOOR.MATH(R272)*60</f>
        <v>111540</v>
      </c>
      <c r="T272" s="16">
        <f ca="1">8000+IF(C272=1,OFFSET(控制台!$K$599,MATCH(F272,控制台!$B$599:$B$615,0)-1,0),OFFSET(控制台!$K$618,MATCH(F272,控制台!$B$618:$B$636,0)-1,0))</f>
        <v>8024</v>
      </c>
      <c r="U272" s="1">
        <f ca="1">IF(C272=1,OFFSET(控制台!$F$599,MATCH(F272,控制台!$B$599:$B$615,0)-1,0),OFFSET(控制台!$F$618,MATCH(F272,控制台!$B$618:$B$636,0)-1,0))</f>
        <v>203212.8</v>
      </c>
      <c r="V272" s="1">
        <f ca="1">IF(E272=1,U272/G272,IF(E272=5,U272/G272*OFFSET(控制台!$D$641,MATCH(B272,控制台!$B$641:$B$645,0)-1,0),U272/G272*OFFSET(控制台!$H$641,MATCH(B272,控制台!$F$641:$F$650,0)-1,0)))</f>
        <v>1231.59272727273</v>
      </c>
      <c r="W272" s="20">
        <f ca="1" t="shared" si="13"/>
        <v>0.855272727272728</v>
      </c>
      <c r="X272" s="15">
        <f ca="1">IF(C272=1,OFFSET(控制台!$U$599,MATCH(F272,控制台!$B$599:$B$615,0)-1,0),OFFSET(控制台!$U$618,MATCH(F272,控制台!$B$618:$B$636,0)-1,0))</f>
        <v>614250</v>
      </c>
      <c r="Y272" s="16">
        <f ca="1">_xlfn.FLOOR.MATH(IF(E272=1,X272/G272,IF(E272=5,X272/G272*OFFSET(控制台!$D$641,MATCH(B272,控制台!$B$641:$B$645,0)-1,0),X272/G272*OFFSET(控制台!$H$641,MATCH(B272,控制台!$F$641:$F$650,0)-1,0))))</f>
        <v>3722</v>
      </c>
      <c r="Z272" s="16">
        <f ca="1" t="shared" si="14"/>
        <v>8375</v>
      </c>
    </row>
    <row r="273" spans="1:26">
      <c r="A273" s="1">
        <v>21201</v>
      </c>
      <c r="B273" s="1">
        <v>4</v>
      </c>
      <c r="C273" s="1">
        <v>2</v>
      </c>
      <c r="D273" s="1" t="s">
        <v>2827</v>
      </c>
      <c r="E273" s="1">
        <f ca="1">IF(C273=1,OFFSET(控制台!$F$552,MATCH(A273,控制台!$B$552:$B$580,0)-1,0),OFFSET(控制台!$L$552,MATCH(A273,控制台!$H$552:$H$594,0)-1,0))</f>
        <v>10</v>
      </c>
      <c r="F273" s="1">
        <f ca="1">IF(C273=1,OFFSET(控制台!$D$552,MATCH(A273,控制台!$B$552:$B$580,0)-1,0),OFFSET(控制台!$J$552,MATCH(A273,控制台!$H$552:$H$594,0)-1,0))</f>
        <v>12</v>
      </c>
      <c r="G273" s="1">
        <f ca="1">IF(C273=1,OFFSET(控制台!$I$599,MATCH(F273,控制台!$B$599:$B$615,0)-1,0),OFFSET(控制台!$I$618,MATCH(F273,控制台!$B$618:$B$636,0)-1,0))</f>
        <v>3</v>
      </c>
      <c r="H273" s="1">
        <f ca="1">IF(C273=1,OFFSET(控制台!$D$599,MATCH(F273,控制台!$B$599:$B$615,0)-1,0),OFFSET(控制台!$D$618,MATCH(F273,控制台!$B$618:$B$636,0)-1,0))</f>
        <v>302400000</v>
      </c>
      <c r="I273" s="1">
        <f ca="1">IF(E273=1,H273/G273,IF(E273=5,H273/G273*OFFSET(控制台!$D$641,MATCH(B273,控制台!$B$641:$B$645,0)-1,0),H273/G273*OFFSET(控制台!$H$641,MATCH(B273,控制台!$F$641:$F$650,0)-1,0)))</f>
        <v>2749090.90909091</v>
      </c>
      <c r="J273" s="1">
        <f ca="1">$I273/3*控制台!H$102</f>
        <v>916363.636363637</v>
      </c>
      <c r="K273" s="1">
        <f ca="1">$I273/3*控制台!I$102</f>
        <v>687272.727272728</v>
      </c>
      <c r="L273" s="1">
        <f ca="1">$I273/3*控制台!J$102</f>
        <v>1145454.54545455</v>
      </c>
      <c r="M273" s="1">
        <f ca="1">_xlfn.FLOOR.MATH(J273,POWER(10,MAX(2,INT(LOG10(J273)-2))))</f>
        <v>916000</v>
      </c>
      <c r="N273" s="1">
        <f ca="1">_xlfn.FLOOR.MATH(K273,POWER(10,MAX(2,INT(LOG10(K273)-2))))</f>
        <v>687000</v>
      </c>
      <c r="O273" s="1">
        <f ca="1">_xlfn.FLOOR.MATH(L273,POWER(10,MAX(2,INT(LOG10(L273)-2))))</f>
        <v>1140000</v>
      </c>
      <c r="P273" s="4" t="str">
        <f ca="1" t="shared" si="12"/>
        <v>916000;687000;1140000</v>
      </c>
      <c r="Q273" s="15">
        <f ca="1">IF(C273=1,OFFSET(控制台!$H$599,MATCH(F273,控制台!$B$599:$B$615,0)-1,0),OFFSET(控制台!$H$618,MATCH(F273,控制台!$B$618:$B$636,0)-1,0))</f>
        <v>306851.328</v>
      </c>
      <c r="R273" s="15">
        <f ca="1">IF(E273=1,Q273/G273,IF(E273=5,Q273/G273*OFFSET(控制台!$D$641,MATCH(B273,控制台!$B$641:$B$645,0)-1,0),Q273/G273*OFFSET(控制台!$H$641,MATCH(B273,控制台!$F$641:$F$650,0)-1,0)))</f>
        <v>2789.55752727273</v>
      </c>
      <c r="S273" s="16">
        <f ca="1">_xlfn.FLOOR.MATH(R273)*60</f>
        <v>167340</v>
      </c>
      <c r="T273" s="16">
        <f ca="1">8000+IF(C273=1,OFFSET(控制台!$K$599,MATCH(F273,控制台!$B$599:$B$615,0)-1,0),OFFSET(控制台!$K$618,MATCH(F273,控制台!$B$618:$B$636,0)-1,0))</f>
        <v>8024</v>
      </c>
      <c r="U273" s="1">
        <f ca="1">IF(C273=1,OFFSET(控制台!$F$599,MATCH(F273,控制台!$B$599:$B$615,0)-1,0),OFFSET(控制台!$F$618,MATCH(F273,控制台!$B$618:$B$636,0)-1,0))</f>
        <v>203212.8</v>
      </c>
      <c r="V273" s="1">
        <f ca="1">IF(E273=1,U273/G273,IF(E273=5,U273/G273*OFFSET(控制台!$D$641,MATCH(B273,控制台!$B$641:$B$645,0)-1,0),U273/G273*OFFSET(控制台!$H$641,MATCH(B273,控制台!$F$641:$F$650,0)-1,0)))</f>
        <v>1847.38909090909</v>
      </c>
      <c r="W273" s="20">
        <f ca="1" t="shared" si="13"/>
        <v>1.28290909090909</v>
      </c>
      <c r="X273" s="15">
        <f ca="1">IF(C273=1,OFFSET(控制台!$U$599,MATCH(F273,控制台!$B$599:$B$615,0)-1,0),OFFSET(控制台!$U$618,MATCH(F273,控制台!$B$618:$B$636,0)-1,0))</f>
        <v>614250</v>
      </c>
      <c r="Y273" s="16">
        <f ca="1">_xlfn.FLOOR.MATH(IF(E273=1,X273/G273,IF(E273=5,X273/G273*OFFSET(控制台!$D$641,MATCH(B273,控制台!$B$641:$B$645,0)-1,0),X273/G273*OFFSET(控制台!$H$641,MATCH(B273,控制台!$F$641:$F$650,0)-1,0))))</f>
        <v>5584</v>
      </c>
      <c r="Z273" s="16">
        <f ca="1" t="shared" si="14"/>
        <v>13959</v>
      </c>
    </row>
    <row r="274" spans="1:26">
      <c r="A274" s="1">
        <v>21201</v>
      </c>
      <c r="B274" s="1">
        <v>5</v>
      </c>
      <c r="C274" s="1">
        <v>2</v>
      </c>
      <c r="D274" s="1" t="s">
        <v>2827</v>
      </c>
      <c r="E274" s="1">
        <f ca="1">IF(C274=1,OFFSET(控制台!$F$552,MATCH(A274,控制台!$B$552:$B$580,0)-1,0),OFFSET(控制台!$L$552,MATCH(A274,控制台!$H$552:$H$594,0)-1,0))</f>
        <v>10</v>
      </c>
      <c r="F274" s="1">
        <f ca="1">IF(C274=1,OFFSET(控制台!$D$552,MATCH(A274,控制台!$B$552:$B$580,0)-1,0),OFFSET(控制台!$J$552,MATCH(A274,控制台!$H$552:$H$594,0)-1,0))</f>
        <v>12</v>
      </c>
      <c r="G274" s="1">
        <f ca="1">IF(C274=1,OFFSET(控制台!$I$599,MATCH(F274,控制台!$B$599:$B$615,0)-1,0),OFFSET(控制台!$I$618,MATCH(F274,控制台!$B$618:$B$636,0)-1,0))</f>
        <v>3</v>
      </c>
      <c r="H274" s="1">
        <f ca="1">IF(C274=1,OFFSET(控制台!$D$599,MATCH(F274,控制台!$B$599:$B$615,0)-1,0),OFFSET(控制台!$D$618,MATCH(F274,控制台!$B$618:$B$636,0)-1,0))</f>
        <v>302400000</v>
      </c>
      <c r="I274" s="1">
        <f ca="1">IF(E274=1,H274/G274,IF(E274=5,H274/G274*OFFSET(控制台!$D$641,MATCH(B274,控制台!$B$641:$B$645,0)-1,0),H274/G274*OFFSET(控制台!$H$641,MATCH(B274,控制台!$F$641:$F$650,0)-1,0)))</f>
        <v>4581818.18181819</v>
      </c>
      <c r="J274" s="1">
        <f ca="1">$I274/3*控制台!H$102</f>
        <v>1527272.72727273</v>
      </c>
      <c r="K274" s="1">
        <f ca="1">$I274/3*控制台!I$102</f>
        <v>1145454.54545455</v>
      </c>
      <c r="L274" s="1">
        <f ca="1">$I274/3*控制台!J$102</f>
        <v>1909090.90909091</v>
      </c>
      <c r="M274" s="1">
        <f ca="1">_xlfn.FLOOR.MATH(J274,POWER(10,MAX(2,INT(LOG10(J274)-2))))</f>
        <v>1520000</v>
      </c>
      <c r="N274" s="1">
        <f ca="1">_xlfn.FLOOR.MATH(K274,POWER(10,MAX(2,INT(LOG10(K274)-2))))</f>
        <v>1140000</v>
      </c>
      <c r="O274" s="1">
        <f ca="1">_xlfn.FLOOR.MATH(L274,POWER(10,MAX(2,INT(LOG10(L274)-2))))</f>
        <v>1900000</v>
      </c>
      <c r="P274" s="4" t="str">
        <f ca="1" t="shared" si="12"/>
        <v>1520000;1140000;1900000</v>
      </c>
      <c r="Q274" s="15">
        <f ca="1">IF(C274=1,OFFSET(控制台!$H$599,MATCH(F274,控制台!$B$599:$B$615,0)-1,0),OFFSET(控制台!$H$618,MATCH(F274,控制台!$B$618:$B$636,0)-1,0))</f>
        <v>306851.328</v>
      </c>
      <c r="R274" s="15">
        <f ca="1">IF(E274=1,Q274/G274,IF(E274=5,Q274/G274*OFFSET(控制台!$D$641,MATCH(B274,控制台!$B$641:$B$645,0)-1,0),Q274/G274*OFFSET(控制台!$H$641,MATCH(B274,控制台!$F$641:$F$650,0)-1,0)))</f>
        <v>4649.26254545455</v>
      </c>
      <c r="S274" s="16">
        <f ca="1">_xlfn.FLOOR.MATH(R274)*60</f>
        <v>278940</v>
      </c>
      <c r="T274" s="16">
        <f ca="1">8000+IF(C274=1,OFFSET(控制台!$K$599,MATCH(F274,控制台!$B$599:$B$615,0)-1,0),OFFSET(控制台!$K$618,MATCH(F274,控制台!$B$618:$B$636,0)-1,0))</f>
        <v>8024</v>
      </c>
      <c r="U274" s="1">
        <f ca="1">IF(C274=1,OFFSET(控制台!$F$599,MATCH(F274,控制台!$B$599:$B$615,0)-1,0),OFFSET(控制台!$F$618,MATCH(F274,控制台!$B$618:$B$636,0)-1,0))</f>
        <v>203212.8</v>
      </c>
      <c r="V274" s="1">
        <f ca="1">IF(E274=1,U274/G274,IF(E274=5,U274/G274*OFFSET(控制台!$D$641,MATCH(B274,控制台!$B$641:$B$645,0)-1,0),U274/G274*OFFSET(控制台!$H$641,MATCH(B274,控制台!$F$641:$F$650,0)-1,0)))</f>
        <v>3078.98181818182</v>
      </c>
      <c r="W274" s="20">
        <f ca="1" t="shared" si="13"/>
        <v>2.13818181818182</v>
      </c>
      <c r="X274" s="15">
        <f ca="1">IF(C274=1,OFFSET(控制台!$U$599,MATCH(F274,控制台!$B$599:$B$615,0)-1,0),OFFSET(控制台!$U$618,MATCH(F274,控制台!$B$618:$B$636,0)-1,0))</f>
        <v>614250</v>
      </c>
      <c r="Y274" s="16">
        <f ca="1">_xlfn.FLOOR.MATH(IF(E274=1,X274/G274,IF(E274=5,X274/G274*OFFSET(控制台!$D$641,MATCH(B274,控制台!$B$641:$B$645,0)-1,0),X274/G274*OFFSET(控制台!$H$641,MATCH(B274,控制台!$F$641:$F$650,0)-1,0))))</f>
        <v>9306</v>
      </c>
      <c r="Z274" s="16">
        <f ca="1" t="shared" si="14"/>
        <v>23265</v>
      </c>
    </row>
    <row r="275" spans="1:26">
      <c r="A275" s="1">
        <v>21201</v>
      </c>
      <c r="B275" s="1">
        <v>6</v>
      </c>
      <c r="C275" s="1">
        <v>2</v>
      </c>
      <c r="D275" s="1" t="s">
        <v>2827</v>
      </c>
      <c r="E275" s="1">
        <f ca="1">IF(C275=1,OFFSET(控制台!$F$552,MATCH(A275,控制台!$B$552:$B$580,0)-1,0),OFFSET(控制台!$L$552,MATCH(A275,控制台!$H$552:$H$594,0)-1,0))</f>
        <v>10</v>
      </c>
      <c r="F275" s="1">
        <f ca="1">IF(C275=1,OFFSET(控制台!$D$552,MATCH(A275,控制台!$B$552:$B$580,0)-1,0),OFFSET(控制台!$J$552,MATCH(A275,控制台!$H$552:$H$594,0)-1,0))</f>
        <v>12</v>
      </c>
      <c r="G275" s="1">
        <f ca="1">IF(C275=1,OFFSET(控制台!$I$599,MATCH(F275,控制台!$B$599:$B$615,0)-1,0),OFFSET(控制台!$I$618,MATCH(F275,控制台!$B$618:$B$636,0)-1,0))</f>
        <v>3</v>
      </c>
      <c r="H275" s="1">
        <f ca="1">IF(C275=1,OFFSET(控制台!$D$599,MATCH(F275,控制台!$B$599:$B$615,0)-1,0),OFFSET(控制台!$D$618,MATCH(F275,控制台!$B$618:$B$636,0)-1,0))</f>
        <v>302400000</v>
      </c>
      <c r="I275" s="1">
        <f ca="1">IF(E275=1,H275/G275,IF(E275=5,H275/G275*OFFSET(控制台!$D$641,MATCH(B275,控制台!$B$641:$B$645,0)-1,0),H275/G275*OFFSET(控制台!$H$641,MATCH(B275,控制台!$F$641:$F$650,0)-1,0)))</f>
        <v>6872727.27272728</v>
      </c>
      <c r="J275" s="1">
        <f ca="1">$I275/3*控制台!H$102</f>
        <v>2290909.09090909</v>
      </c>
      <c r="K275" s="1">
        <f ca="1">$I275/3*控制台!I$102</f>
        <v>1718181.81818182</v>
      </c>
      <c r="L275" s="1">
        <f ca="1">$I275/3*控制台!J$102</f>
        <v>2863636.36363636</v>
      </c>
      <c r="M275" s="1">
        <f ca="1">_xlfn.FLOOR.MATH(J275,POWER(10,MAX(2,INT(LOG10(J275)-2))))</f>
        <v>2290000</v>
      </c>
      <c r="N275" s="1">
        <f ca="1">_xlfn.FLOOR.MATH(K275,POWER(10,MAX(2,INT(LOG10(K275)-2))))</f>
        <v>1710000</v>
      </c>
      <c r="O275" s="1">
        <f ca="1">_xlfn.FLOOR.MATH(L275,POWER(10,MAX(2,INT(LOG10(L275)-2))))</f>
        <v>2860000</v>
      </c>
      <c r="P275" s="4" t="str">
        <f ca="1" t="shared" si="12"/>
        <v>2290000;1710000;2860000</v>
      </c>
      <c r="Q275" s="15">
        <f ca="1">IF(C275=1,OFFSET(控制台!$H$599,MATCH(F275,控制台!$B$599:$B$615,0)-1,0),OFFSET(控制台!$H$618,MATCH(F275,控制台!$B$618:$B$636,0)-1,0))</f>
        <v>306851.328</v>
      </c>
      <c r="R275" s="15">
        <f ca="1">IF(E275=1,Q275/G275,IF(E275=5,Q275/G275*OFFSET(控制台!$D$641,MATCH(B275,控制台!$B$641:$B$645,0)-1,0),Q275/G275*OFFSET(控制台!$H$641,MATCH(B275,控制台!$F$641:$F$650,0)-1,0)))</f>
        <v>6973.89381818182</v>
      </c>
      <c r="S275" s="16">
        <f ca="1">_xlfn.FLOOR.MATH(R275)*60</f>
        <v>418380</v>
      </c>
      <c r="T275" s="16">
        <f ca="1">8000+IF(C275=1,OFFSET(控制台!$K$599,MATCH(F275,控制台!$B$599:$B$615,0)-1,0),OFFSET(控制台!$K$618,MATCH(F275,控制台!$B$618:$B$636,0)-1,0))</f>
        <v>8024</v>
      </c>
      <c r="U275" s="1">
        <f ca="1">IF(C275=1,OFFSET(控制台!$F$599,MATCH(F275,控制台!$B$599:$B$615,0)-1,0),OFFSET(控制台!$F$618,MATCH(F275,控制台!$B$618:$B$636,0)-1,0))</f>
        <v>203212.8</v>
      </c>
      <c r="V275" s="1">
        <f ca="1">IF(E275=1,U275/G275,IF(E275=5,U275/G275*OFFSET(控制台!$D$641,MATCH(B275,控制台!$B$641:$B$645,0)-1,0),U275/G275*OFFSET(控制台!$H$641,MATCH(B275,控制台!$F$641:$F$650,0)-1,0)))</f>
        <v>4618.47272727273</v>
      </c>
      <c r="W275" s="20">
        <f ca="1" t="shared" si="13"/>
        <v>3.20727272727273</v>
      </c>
      <c r="X275" s="15">
        <f ca="1">IF(C275=1,OFFSET(控制台!$U$599,MATCH(F275,控制台!$B$599:$B$615,0)-1,0),OFFSET(控制台!$U$618,MATCH(F275,控制台!$B$618:$B$636,0)-1,0))</f>
        <v>614250</v>
      </c>
      <c r="Y275" s="16">
        <f ca="1">_xlfn.FLOOR.MATH(IF(E275=1,X275/G275,IF(E275=5,X275/G275*OFFSET(控制台!$D$641,MATCH(B275,控制台!$B$641:$B$645,0)-1,0),X275/G275*OFFSET(控制台!$H$641,MATCH(B275,控制台!$F$641:$F$650,0)-1,0))))</f>
        <v>13960</v>
      </c>
      <c r="Z275" s="16">
        <f ca="1" t="shared" si="14"/>
        <v>37225</v>
      </c>
    </row>
    <row r="276" spans="1:26">
      <c r="A276" s="1">
        <v>21201</v>
      </c>
      <c r="B276" s="1">
        <v>7</v>
      </c>
      <c r="C276" s="1">
        <v>2</v>
      </c>
      <c r="D276" s="1" t="s">
        <v>2827</v>
      </c>
      <c r="E276" s="1">
        <f ca="1">IF(C276=1,OFFSET(控制台!$F$552,MATCH(A276,控制台!$B$552:$B$580,0)-1,0),OFFSET(控制台!$L$552,MATCH(A276,控制台!$H$552:$H$594,0)-1,0))</f>
        <v>10</v>
      </c>
      <c r="F276" s="1">
        <f ca="1">IF(C276=1,OFFSET(控制台!$D$552,MATCH(A276,控制台!$B$552:$B$580,0)-1,0),OFFSET(控制台!$J$552,MATCH(A276,控制台!$H$552:$H$594,0)-1,0))</f>
        <v>12</v>
      </c>
      <c r="G276" s="1">
        <f ca="1">IF(C276=1,OFFSET(控制台!$I$599,MATCH(F276,控制台!$B$599:$B$615,0)-1,0),OFFSET(控制台!$I$618,MATCH(F276,控制台!$B$618:$B$636,0)-1,0))</f>
        <v>3</v>
      </c>
      <c r="H276" s="1">
        <f ca="1">IF(C276=1,OFFSET(控制台!$D$599,MATCH(F276,控制台!$B$599:$B$615,0)-1,0),OFFSET(控制台!$D$618,MATCH(F276,控制台!$B$618:$B$636,0)-1,0))</f>
        <v>302400000</v>
      </c>
      <c r="I276" s="1">
        <f ca="1">IF(E276=1,H276/G276,IF(E276=5,H276/G276*OFFSET(控制台!$D$641,MATCH(B276,控制台!$B$641:$B$645,0)-1,0),H276/G276*OFFSET(控制台!$H$641,MATCH(B276,控制台!$F$641:$F$650,0)-1,0)))</f>
        <v>9163636.36363636</v>
      </c>
      <c r="J276" s="1">
        <f ca="1">$I276/3*控制台!H$102</f>
        <v>3054545.45454545</v>
      </c>
      <c r="K276" s="1">
        <f ca="1">$I276/3*控制台!I$102</f>
        <v>2290909.09090909</v>
      </c>
      <c r="L276" s="1">
        <f ca="1">$I276/3*控制台!J$102</f>
        <v>3818181.81818182</v>
      </c>
      <c r="M276" s="1">
        <f ca="1">_xlfn.FLOOR.MATH(J276,POWER(10,MAX(2,INT(LOG10(J276)-2))))</f>
        <v>3050000</v>
      </c>
      <c r="N276" s="1">
        <f ca="1">_xlfn.FLOOR.MATH(K276,POWER(10,MAX(2,INT(LOG10(K276)-2))))</f>
        <v>2290000</v>
      </c>
      <c r="O276" s="1">
        <f ca="1">_xlfn.FLOOR.MATH(L276,POWER(10,MAX(2,INT(LOG10(L276)-2))))</f>
        <v>3810000</v>
      </c>
      <c r="P276" s="4" t="str">
        <f ca="1" t="shared" si="12"/>
        <v>3050000;2290000;3810000</v>
      </c>
      <c r="Q276" s="15">
        <f ca="1">IF(C276=1,OFFSET(控制台!$H$599,MATCH(F276,控制台!$B$599:$B$615,0)-1,0),OFFSET(控制台!$H$618,MATCH(F276,控制台!$B$618:$B$636,0)-1,0))</f>
        <v>306851.328</v>
      </c>
      <c r="R276" s="15">
        <f ca="1">IF(E276=1,Q276/G276,IF(E276=5,Q276/G276*OFFSET(控制台!$D$641,MATCH(B276,控制台!$B$641:$B$645,0)-1,0),Q276/G276*OFFSET(控制台!$H$641,MATCH(B276,控制台!$F$641:$F$650,0)-1,0)))</f>
        <v>9298.52509090909</v>
      </c>
      <c r="S276" s="16">
        <f ca="1">_xlfn.FLOOR.MATH(R276)*60</f>
        <v>557880</v>
      </c>
      <c r="T276" s="16">
        <f ca="1">8000+IF(C276=1,OFFSET(控制台!$K$599,MATCH(F276,控制台!$B$599:$B$615,0)-1,0),OFFSET(控制台!$K$618,MATCH(F276,控制台!$B$618:$B$636,0)-1,0))</f>
        <v>8024</v>
      </c>
      <c r="U276" s="1">
        <f ca="1">IF(C276=1,OFFSET(控制台!$F$599,MATCH(F276,控制台!$B$599:$B$615,0)-1,0),OFFSET(控制台!$F$618,MATCH(F276,控制台!$B$618:$B$636,0)-1,0))</f>
        <v>203212.8</v>
      </c>
      <c r="V276" s="1">
        <f ca="1">IF(E276=1,U276/G276,IF(E276=5,U276/G276*OFFSET(控制台!$D$641,MATCH(B276,控制台!$B$641:$B$645,0)-1,0),U276/G276*OFFSET(控制台!$H$641,MATCH(B276,控制台!$F$641:$F$650,0)-1,0)))</f>
        <v>6157.96363636364</v>
      </c>
      <c r="W276" s="20">
        <f ca="1" t="shared" si="13"/>
        <v>4.27636363636364</v>
      </c>
      <c r="X276" s="15">
        <f ca="1">IF(C276=1,OFFSET(控制台!$U$599,MATCH(F276,控制台!$B$599:$B$615,0)-1,0),OFFSET(控制台!$U$618,MATCH(F276,控制台!$B$618:$B$636,0)-1,0))</f>
        <v>614250</v>
      </c>
      <c r="Y276" s="16">
        <f ca="1">_xlfn.FLOOR.MATH(IF(E276=1,X276/G276,IF(E276=5,X276/G276*OFFSET(控制台!$D$641,MATCH(B276,控制台!$B$641:$B$645,0)-1,0),X276/G276*OFFSET(控制台!$H$641,MATCH(B276,控制台!$F$641:$F$650,0)-1,0))))</f>
        <v>18613</v>
      </c>
      <c r="Z276" s="16">
        <f ca="1" t="shared" si="14"/>
        <v>55838</v>
      </c>
    </row>
    <row r="277" spans="1:26">
      <c r="A277" s="1">
        <v>21201</v>
      </c>
      <c r="B277" s="1">
        <v>8</v>
      </c>
      <c r="C277" s="1">
        <v>2</v>
      </c>
      <c r="D277" s="1" t="s">
        <v>2827</v>
      </c>
      <c r="E277" s="1">
        <f ca="1">IF(C277=1,OFFSET(控制台!$F$552,MATCH(A277,控制台!$B$552:$B$580,0)-1,0),OFFSET(控制台!$L$552,MATCH(A277,控制台!$H$552:$H$594,0)-1,0))</f>
        <v>10</v>
      </c>
      <c r="F277" s="1">
        <f ca="1">IF(C277=1,OFFSET(控制台!$D$552,MATCH(A277,控制台!$B$552:$B$580,0)-1,0),OFFSET(控制台!$J$552,MATCH(A277,控制台!$H$552:$H$594,0)-1,0))</f>
        <v>12</v>
      </c>
      <c r="G277" s="1">
        <f ca="1">IF(C277=1,OFFSET(控制台!$I$599,MATCH(F277,控制台!$B$599:$B$615,0)-1,0),OFFSET(控制台!$I$618,MATCH(F277,控制台!$B$618:$B$636,0)-1,0))</f>
        <v>3</v>
      </c>
      <c r="H277" s="1">
        <f ca="1">IF(C277=1,OFFSET(控制台!$D$599,MATCH(F277,控制台!$B$599:$B$615,0)-1,0),OFFSET(控制台!$D$618,MATCH(F277,控制台!$B$618:$B$636,0)-1,0))</f>
        <v>302400000</v>
      </c>
      <c r="I277" s="1">
        <f ca="1">IF(E277=1,H277/G277,IF(E277=5,H277/G277*OFFSET(控制台!$D$641,MATCH(B277,控制台!$B$641:$B$645,0)-1,0),H277/G277*OFFSET(控制台!$H$641,MATCH(B277,控制台!$F$641:$F$650,0)-1,0)))</f>
        <v>13745454.5454545</v>
      </c>
      <c r="J277" s="1">
        <f ca="1">$I277/3*控制台!H$102</f>
        <v>4581818.18181817</v>
      </c>
      <c r="K277" s="1">
        <f ca="1">$I277/3*控制台!I$102</f>
        <v>3436363.63636363</v>
      </c>
      <c r="L277" s="1">
        <f ca="1">$I277/3*控制台!J$102</f>
        <v>5727272.72727271</v>
      </c>
      <c r="M277" s="1">
        <f ca="1">_xlfn.FLOOR.MATH(J277,POWER(10,MAX(2,INT(LOG10(J277)-2))))</f>
        <v>4580000</v>
      </c>
      <c r="N277" s="1">
        <f ca="1">_xlfn.FLOOR.MATH(K277,POWER(10,MAX(2,INT(LOG10(K277)-2))))</f>
        <v>3430000</v>
      </c>
      <c r="O277" s="1">
        <f ca="1">_xlfn.FLOOR.MATH(L277,POWER(10,MAX(2,INT(LOG10(L277)-2))))</f>
        <v>5720000</v>
      </c>
      <c r="P277" s="4" t="str">
        <f ca="1" t="shared" si="12"/>
        <v>4580000;3430000;5720000</v>
      </c>
      <c r="Q277" s="15">
        <f ca="1">IF(C277=1,OFFSET(控制台!$H$599,MATCH(F277,控制台!$B$599:$B$615,0)-1,0),OFFSET(控制台!$H$618,MATCH(F277,控制台!$B$618:$B$636,0)-1,0))</f>
        <v>306851.328</v>
      </c>
      <c r="R277" s="15">
        <f ca="1">IF(E277=1,Q277/G277,IF(E277=5,Q277/G277*OFFSET(控制台!$D$641,MATCH(B277,控制台!$B$641:$B$645,0)-1,0),Q277/G277*OFFSET(控制台!$H$641,MATCH(B277,控制台!$F$641:$F$650,0)-1,0)))</f>
        <v>13947.7876363636</v>
      </c>
      <c r="S277" s="16">
        <f ca="1">_xlfn.FLOOR.MATH(R277)*60</f>
        <v>836820</v>
      </c>
      <c r="T277" s="16">
        <f ca="1">8000+IF(C277=1,OFFSET(控制台!$K$599,MATCH(F277,控制台!$B$599:$B$615,0)-1,0),OFFSET(控制台!$K$618,MATCH(F277,控制台!$B$618:$B$636,0)-1,0))</f>
        <v>8024</v>
      </c>
      <c r="U277" s="1">
        <f ca="1">IF(C277=1,OFFSET(控制台!$F$599,MATCH(F277,控制台!$B$599:$B$615,0)-1,0),OFFSET(控制台!$F$618,MATCH(F277,控制台!$B$618:$B$636,0)-1,0))</f>
        <v>203212.8</v>
      </c>
      <c r="V277" s="1">
        <f ca="1">IF(E277=1,U277/G277,IF(E277=5,U277/G277*OFFSET(控制台!$D$641,MATCH(B277,控制台!$B$641:$B$645,0)-1,0),U277/G277*OFFSET(控制台!$H$641,MATCH(B277,控制台!$F$641:$F$650,0)-1,0)))</f>
        <v>9236.94545454543</v>
      </c>
      <c r="W277" s="20">
        <f ca="1" t="shared" si="13"/>
        <v>6.41454545454544</v>
      </c>
      <c r="X277" s="15">
        <f ca="1">IF(C277=1,OFFSET(控制台!$U$599,MATCH(F277,控制台!$B$599:$B$615,0)-1,0),OFFSET(控制台!$U$618,MATCH(F277,控制台!$B$618:$B$636,0)-1,0))</f>
        <v>614250</v>
      </c>
      <c r="Y277" s="16">
        <f ca="1">_xlfn.FLOOR.MATH(IF(E277=1,X277/G277,IF(E277=5,X277/G277*OFFSET(控制台!$D$641,MATCH(B277,控制台!$B$641:$B$645,0)-1,0),X277/G277*OFFSET(控制台!$H$641,MATCH(B277,控制台!$F$641:$F$650,0)-1,0))))</f>
        <v>27920</v>
      </c>
      <c r="Z277" s="16">
        <f ca="1" t="shared" si="14"/>
        <v>83758</v>
      </c>
    </row>
    <row r="278" spans="1:26">
      <c r="A278" s="1">
        <v>21201</v>
      </c>
      <c r="B278" s="1">
        <v>9</v>
      </c>
      <c r="C278" s="1">
        <v>2</v>
      </c>
      <c r="D278" s="1" t="s">
        <v>2827</v>
      </c>
      <c r="E278" s="1">
        <f ca="1">IF(C278=1,OFFSET(控制台!$F$552,MATCH(A278,控制台!$B$552:$B$580,0)-1,0),OFFSET(控制台!$L$552,MATCH(A278,控制台!$H$552:$H$594,0)-1,0))</f>
        <v>10</v>
      </c>
      <c r="F278" s="1">
        <f ca="1">IF(C278=1,OFFSET(控制台!$D$552,MATCH(A278,控制台!$B$552:$B$580,0)-1,0),OFFSET(控制台!$J$552,MATCH(A278,控制台!$H$552:$H$594,0)-1,0))</f>
        <v>12</v>
      </c>
      <c r="G278" s="1">
        <f ca="1">IF(C278=1,OFFSET(控制台!$I$599,MATCH(F278,控制台!$B$599:$B$615,0)-1,0),OFFSET(控制台!$I$618,MATCH(F278,控制台!$B$618:$B$636,0)-1,0))</f>
        <v>3</v>
      </c>
      <c r="H278" s="1">
        <f ca="1">IF(C278=1,OFFSET(控制台!$D$599,MATCH(F278,控制台!$B$599:$B$615,0)-1,0),OFFSET(控制台!$D$618,MATCH(F278,控制台!$B$618:$B$636,0)-1,0))</f>
        <v>302400000</v>
      </c>
      <c r="I278" s="1">
        <f ca="1">IF(E278=1,H278/G278,IF(E278=5,H278/G278*OFFSET(控制台!$D$641,MATCH(B278,控制台!$B$641:$B$645,0)-1,0),H278/G278*OFFSET(控制台!$H$641,MATCH(B278,控制台!$F$641:$F$650,0)-1,0)))</f>
        <v>22909090.9090909</v>
      </c>
      <c r="J278" s="1">
        <f ca="1">$I278/3*控制台!H$102</f>
        <v>7636363.63636363</v>
      </c>
      <c r="K278" s="1">
        <f ca="1">$I278/3*控制台!I$102</f>
        <v>5727272.72727272</v>
      </c>
      <c r="L278" s="1">
        <f ca="1">$I278/3*控制台!J$102</f>
        <v>9545454.54545453</v>
      </c>
      <c r="M278" s="1">
        <f ca="1">_xlfn.FLOOR.MATH(J278,POWER(10,MAX(2,INT(LOG10(J278)-2))))</f>
        <v>7630000</v>
      </c>
      <c r="N278" s="1">
        <f ca="1">_xlfn.FLOOR.MATH(K278,POWER(10,MAX(2,INT(LOG10(K278)-2))))</f>
        <v>5720000</v>
      </c>
      <c r="O278" s="1">
        <f ca="1">_xlfn.FLOOR.MATH(L278,POWER(10,MAX(2,INT(LOG10(L278)-2))))</f>
        <v>9540000</v>
      </c>
      <c r="P278" s="4" t="str">
        <f ca="1" t="shared" si="12"/>
        <v>7630000;5720000;9540000</v>
      </c>
      <c r="Q278" s="15">
        <f ca="1">IF(C278=1,OFFSET(控制台!$H$599,MATCH(F278,控制台!$B$599:$B$615,0)-1,0),OFFSET(控制台!$H$618,MATCH(F278,控制台!$B$618:$B$636,0)-1,0))</f>
        <v>306851.328</v>
      </c>
      <c r="R278" s="15">
        <f ca="1">IF(E278=1,Q278/G278,IF(E278=5,Q278/G278*OFFSET(控制台!$D$641,MATCH(B278,控制台!$B$641:$B$645,0)-1,0),Q278/G278*OFFSET(控制台!$H$641,MATCH(B278,控制台!$F$641:$F$650,0)-1,0)))</f>
        <v>23246.3127272727</v>
      </c>
      <c r="S278" s="16">
        <f ca="1">_xlfn.FLOOR.MATH(R278)*60</f>
        <v>1394760</v>
      </c>
      <c r="T278" s="16">
        <f ca="1">8000+IF(C278=1,OFFSET(控制台!$K$599,MATCH(F278,控制台!$B$599:$B$615,0)-1,0),OFFSET(控制台!$K$618,MATCH(F278,控制台!$B$618:$B$636,0)-1,0))</f>
        <v>8024</v>
      </c>
      <c r="U278" s="1">
        <f ca="1">IF(C278=1,OFFSET(控制台!$F$599,MATCH(F278,控制台!$B$599:$B$615,0)-1,0),OFFSET(控制台!$F$618,MATCH(F278,控制台!$B$618:$B$636,0)-1,0))</f>
        <v>203212.8</v>
      </c>
      <c r="V278" s="1">
        <f ca="1">IF(E278=1,U278/G278,IF(E278=5,U278/G278*OFFSET(控制台!$D$641,MATCH(B278,控制台!$B$641:$B$645,0)-1,0),U278/G278*OFFSET(控制台!$H$641,MATCH(B278,控制台!$F$641:$F$650,0)-1,0)))</f>
        <v>15394.9090909091</v>
      </c>
      <c r="W278" s="20">
        <f ca="1" t="shared" si="13"/>
        <v>10.6909090909091</v>
      </c>
      <c r="X278" s="15">
        <f ca="1">IF(C278=1,OFFSET(控制台!$U$599,MATCH(F278,控制台!$B$599:$B$615,0)-1,0),OFFSET(控制台!$U$618,MATCH(F278,控制台!$B$618:$B$636,0)-1,0))</f>
        <v>614250</v>
      </c>
      <c r="Y278" s="16">
        <f ca="1">_xlfn.FLOOR.MATH(IF(E278=1,X278/G278,IF(E278=5,X278/G278*OFFSET(控制台!$D$641,MATCH(B278,控制台!$B$641:$B$645,0)-1,0),X278/G278*OFFSET(控制台!$H$641,MATCH(B278,控制台!$F$641:$F$650,0)-1,0))))</f>
        <v>46534</v>
      </c>
      <c r="Z278" s="16">
        <f ca="1" t="shared" si="14"/>
        <v>130292</v>
      </c>
    </row>
    <row r="279" spans="1:26">
      <c r="A279" s="1">
        <v>21201</v>
      </c>
      <c r="B279" s="1">
        <v>10</v>
      </c>
      <c r="C279" s="1">
        <v>2</v>
      </c>
      <c r="D279" s="1" t="s">
        <v>2827</v>
      </c>
      <c r="E279" s="1">
        <f ca="1">IF(C279=1,OFFSET(控制台!$F$552,MATCH(A279,控制台!$B$552:$B$580,0)-1,0),OFFSET(控制台!$L$552,MATCH(A279,控制台!$H$552:$H$594,0)-1,0))</f>
        <v>10</v>
      </c>
      <c r="F279" s="1">
        <f ca="1">IF(C279=1,OFFSET(控制台!$D$552,MATCH(A279,控制台!$B$552:$B$580,0)-1,0),OFFSET(控制台!$J$552,MATCH(A279,控制台!$H$552:$H$594,0)-1,0))</f>
        <v>12</v>
      </c>
      <c r="G279" s="1">
        <f ca="1">IF(C279=1,OFFSET(控制台!$I$599,MATCH(F279,控制台!$B$599:$B$615,0)-1,0),OFFSET(控制台!$I$618,MATCH(F279,控制台!$B$618:$B$636,0)-1,0))</f>
        <v>3</v>
      </c>
      <c r="H279" s="1">
        <f ca="1">IF(C279=1,OFFSET(控制台!$D$599,MATCH(F279,控制台!$B$599:$B$615,0)-1,0),OFFSET(控制台!$D$618,MATCH(F279,控制台!$B$618:$B$636,0)-1,0))</f>
        <v>302400000</v>
      </c>
      <c r="I279" s="1">
        <f ca="1">IF(E279=1,H279/G279,IF(E279=5,H279/G279*OFFSET(控制台!$D$641,MATCH(B279,控制台!$B$641:$B$645,0)-1,0),H279/G279*OFFSET(控制台!$H$641,MATCH(B279,控制台!$F$641:$F$650,0)-1,0)))</f>
        <v>36654545.4545455</v>
      </c>
      <c r="J279" s="1">
        <f ca="1">$I279/3*控制台!H$102</f>
        <v>12218181.8181818</v>
      </c>
      <c r="K279" s="1">
        <f ca="1">$I279/3*控制台!I$102</f>
        <v>9163636.36363637</v>
      </c>
      <c r="L279" s="1">
        <f ca="1">$I279/3*控制台!J$102</f>
        <v>15272727.2727273</v>
      </c>
      <c r="M279" s="1">
        <f ca="1">_xlfn.FLOOR.MATH(J279,POWER(10,MAX(2,INT(LOG10(J279)-2))))</f>
        <v>12200000</v>
      </c>
      <c r="N279" s="1">
        <f ca="1">_xlfn.FLOOR.MATH(K279,POWER(10,MAX(2,INT(LOG10(K279)-2))))</f>
        <v>9160000</v>
      </c>
      <c r="O279" s="1">
        <f ca="1">_xlfn.FLOOR.MATH(L279,POWER(10,MAX(2,INT(LOG10(L279)-2))))</f>
        <v>15200000</v>
      </c>
      <c r="P279" s="4" t="str">
        <f ca="1" t="shared" si="12"/>
        <v>12200000;9160000;15200000</v>
      </c>
      <c r="Q279" s="15">
        <f ca="1">IF(C279=1,OFFSET(控制台!$H$599,MATCH(F279,控制台!$B$599:$B$615,0)-1,0),OFFSET(控制台!$H$618,MATCH(F279,控制台!$B$618:$B$636,0)-1,0))</f>
        <v>306851.328</v>
      </c>
      <c r="R279" s="15">
        <f ca="1">IF(E279=1,Q279/G279,IF(E279=5,Q279/G279*OFFSET(控制台!$D$641,MATCH(B279,控制台!$B$641:$B$645,0)-1,0),Q279/G279*OFFSET(控制台!$H$641,MATCH(B279,控制台!$F$641:$F$650,0)-1,0)))</f>
        <v>37194.1003636364</v>
      </c>
      <c r="S279" s="16">
        <f ca="1">_xlfn.FLOOR.MATH(R279)*60</f>
        <v>2231640</v>
      </c>
      <c r="T279" s="16">
        <f ca="1">8000+IF(C279=1,OFFSET(控制台!$K$599,MATCH(F279,控制台!$B$599:$B$615,0)-1,0),OFFSET(控制台!$K$618,MATCH(F279,控制台!$B$618:$B$636,0)-1,0))</f>
        <v>8024</v>
      </c>
      <c r="U279" s="1">
        <f ca="1">IF(C279=1,OFFSET(控制台!$F$599,MATCH(F279,控制台!$B$599:$B$615,0)-1,0),OFFSET(控制台!$F$618,MATCH(F279,控制台!$B$618:$B$636,0)-1,0))</f>
        <v>203212.8</v>
      </c>
      <c r="V279" s="1">
        <f ca="1">IF(E279=1,U279/G279,IF(E279=5,U279/G279*OFFSET(控制台!$D$641,MATCH(B279,控制台!$B$641:$B$645,0)-1,0),U279/G279*OFFSET(控制台!$H$641,MATCH(B279,控制台!$F$641:$F$650,0)-1,0)))</f>
        <v>24631.8545454546</v>
      </c>
      <c r="W279" s="20">
        <f ca="1" t="shared" si="13"/>
        <v>17.1054545454546</v>
      </c>
      <c r="X279" s="15">
        <f ca="1">IF(C279=1,OFFSET(控制台!$U$599,MATCH(F279,控制台!$B$599:$B$615,0)-1,0),OFFSET(控制台!$U$618,MATCH(F279,控制台!$B$618:$B$636,0)-1,0))</f>
        <v>614250</v>
      </c>
      <c r="Y279" s="16">
        <f ca="1">_xlfn.FLOOR.MATH(IF(E279=1,X279/G279,IF(E279=5,X279/G279*OFFSET(控制台!$D$641,MATCH(B279,控制台!$B$641:$B$645,0)-1,0),X279/G279*OFFSET(控制台!$H$641,MATCH(B279,控制台!$F$641:$F$650,0)-1,0))))</f>
        <v>74454</v>
      </c>
      <c r="Z279" s="16">
        <f ca="1" t="shared" si="14"/>
        <v>204746</v>
      </c>
    </row>
    <row r="280" spans="1:26">
      <c r="A280" s="1">
        <v>21202</v>
      </c>
      <c r="B280" s="1">
        <v>1</v>
      </c>
      <c r="C280" s="1">
        <v>2</v>
      </c>
      <c r="D280" s="1" t="s">
        <v>2828</v>
      </c>
      <c r="E280" s="1">
        <f ca="1">IF(C280=1,OFFSET(控制台!$F$552,MATCH(A280,控制台!$B$552:$B$580,0)-1,0),OFFSET(控制台!$L$552,MATCH(A280,控制台!$H$552:$H$594,0)-1,0))</f>
        <v>10</v>
      </c>
      <c r="F280" s="1">
        <f ca="1">IF(C280=1,OFFSET(控制台!$D$552,MATCH(A280,控制台!$B$552:$B$580,0)-1,0),OFFSET(控制台!$J$552,MATCH(A280,控制台!$H$552:$H$594,0)-1,0))</f>
        <v>12</v>
      </c>
      <c r="G280" s="1">
        <f ca="1">IF(C280=1,OFFSET(控制台!$I$599,MATCH(F280,控制台!$B$599:$B$615,0)-1,0),OFFSET(控制台!$I$618,MATCH(F280,控制台!$B$618:$B$636,0)-1,0))</f>
        <v>3</v>
      </c>
      <c r="H280" s="1">
        <f ca="1">IF(C280=1,OFFSET(控制台!$D$599,MATCH(F280,控制台!$B$599:$B$615,0)-1,0),OFFSET(控制台!$D$618,MATCH(F280,控制台!$B$618:$B$636,0)-1,0))</f>
        <v>302400000</v>
      </c>
      <c r="I280" s="1">
        <f ca="1">IF(E280=1,H280/G280,IF(E280=5,H280/G280*OFFSET(控制台!$D$641,MATCH(B280,控制台!$B$641:$B$645,0)-1,0),H280/G280*OFFSET(控制台!$H$641,MATCH(B280,控制台!$F$641:$F$650,0)-1,0)))</f>
        <v>916363.636363636</v>
      </c>
      <c r="J280" s="1">
        <f ca="1">$I280/3*控制台!H$102</f>
        <v>305454.545454545</v>
      </c>
      <c r="K280" s="1">
        <f ca="1">$I280/3*控制台!I$102</f>
        <v>229090.909090909</v>
      </c>
      <c r="L280" s="1">
        <f ca="1">$I280/3*控制台!J$102</f>
        <v>381818.181818182</v>
      </c>
      <c r="M280" s="1">
        <f ca="1">_xlfn.FLOOR.MATH(J280,POWER(10,MAX(2,INT(LOG10(J280)-2))))</f>
        <v>305000</v>
      </c>
      <c r="N280" s="1">
        <f ca="1">_xlfn.FLOOR.MATH(K280,POWER(10,MAX(2,INT(LOG10(K280)-2))))</f>
        <v>229000</v>
      </c>
      <c r="O280" s="1">
        <f ca="1">_xlfn.FLOOR.MATH(L280,POWER(10,MAX(2,INT(LOG10(L280)-2))))</f>
        <v>381000</v>
      </c>
      <c r="P280" s="4" t="str">
        <f ca="1" t="shared" si="12"/>
        <v>305000;229000;381000</v>
      </c>
      <c r="Q280" s="15">
        <f ca="1">IF(C280=1,OFFSET(控制台!$H$599,MATCH(F280,控制台!$B$599:$B$615,0)-1,0),OFFSET(控制台!$H$618,MATCH(F280,控制台!$B$618:$B$636,0)-1,0))</f>
        <v>306851.328</v>
      </c>
      <c r="R280" s="15">
        <f ca="1">IF(E280=1,Q280/G280,IF(E280=5,Q280/G280*OFFSET(控制台!$D$641,MATCH(B280,控制台!$B$641:$B$645,0)-1,0),Q280/G280*OFFSET(控制台!$H$641,MATCH(B280,控制台!$F$641:$F$650,0)-1,0)))</f>
        <v>929.852509090909</v>
      </c>
      <c r="S280" s="16">
        <f ca="1">_xlfn.FLOOR.MATH(R280)*60</f>
        <v>55740</v>
      </c>
      <c r="T280" s="16">
        <f ca="1">8000+IF(C280=1,OFFSET(控制台!$K$599,MATCH(F280,控制台!$B$599:$B$615,0)-1,0),OFFSET(控制台!$K$618,MATCH(F280,控制台!$B$618:$B$636,0)-1,0))</f>
        <v>8024</v>
      </c>
      <c r="U280" s="1">
        <f ca="1">IF(C280=1,OFFSET(控制台!$F$599,MATCH(F280,控制台!$B$599:$B$615,0)-1,0),OFFSET(控制台!$F$618,MATCH(F280,控制台!$B$618:$B$636,0)-1,0))</f>
        <v>203212.8</v>
      </c>
      <c r="V280" s="1">
        <f ca="1">IF(E280=1,U280/G280,IF(E280=5,U280/G280*OFFSET(控制台!$D$641,MATCH(B280,控制台!$B$641:$B$645,0)-1,0),U280/G280*OFFSET(控制台!$H$641,MATCH(B280,控制台!$F$641:$F$650,0)-1,0)))</f>
        <v>615.796363636364</v>
      </c>
      <c r="W280" s="20">
        <f ca="1" t="shared" si="13"/>
        <v>0.427636363636364</v>
      </c>
      <c r="X280" s="15">
        <f ca="1">IF(C280=1,OFFSET(控制台!$U$599,MATCH(F280,控制台!$B$599:$B$615,0)-1,0),OFFSET(控制台!$U$618,MATCH(F280,控制台!$B$618:$B$636,0)-1,0))</f>
        <v>614250</v>
      </c>
      <c r="Y280" s="16">
        <f ca="1">_xlfn.FLOOR.MATH(IF(E280=1,X280/G280,IF(E280=5,X280/G280*OFFSET(控制台!$D$641,MATCH(B280,控制台!$B$641:$B$645,0)-1,0),X280/G280*OFFSET(控制台!$H$641,MATCH(B280,控制台!$F$641:$F$650,0)-1,0))))</f>
        <v>1861</v>
      </c>
      <c r="Z280" s="16">
        <f ca="1" t="shared" si="14"/>
        <v>1861</v>
      </c>
    </row>
    <row r="281" spans="1:26">
      <c r="A281" s="1">
        <v>21202</v>
      </c>
      <c r="B281" s="1">
        <v>2</v>
      </c>
      <c r="C281" s="1">
        <v>2</v>
      </c>
      <c r="D281" s="1" t="s">
        <v>2828</v>
      </c>
      <c r="E281" s="1">
        <f ca="1">IF(C281=1,OFFSET(控制台!$F$552,MATCH(A281,控制台!$B$552:$B$580,0)-1,0),OFFSET(控制台!$L$552,MATCH(A281,控制台!$H$552:$H$594,0)-1,0))</f>
        <v>10</v>
      </c>
      <c r="F281" s="1">
        <f ca="1">IF(C281=1,OFFSET(控制台!$D$552,MATCH(A281,控制台!$B$552:$B$580,0)-1,0),OFFSET(控制台!$J$552,MATCH(A281,控制台!$H$552:$H$594,0)-1,0))</f>
        <v>12</v>
      </c>
      <c r="G281" s="1">
        <f ca="1">IF(C281=1,OFFSET(控制台!$I$599,MATCH(F281,控制台!$B$599:$B$615,0)-1,0),OFFSET(控制台!$I$618,MATCH(F281,控制台!$B$618:$B$636,0)-1,0))</f>
        <v>3</v>
      </c>
      <c r="H281" s="1">
        <f ca="1">IF(C281=1,OFFSET(控制台!$D$599,MATCH(F281,控制台!$B$599:$B$615,0)-1,0),OFFSET(控制台!$D$618,MATCH(F281,控制台!$B$618:$B$636,0)-1,0))</f>
        <v>302400000</v>
      </c>
      <c r="I281" s="1">
        <f ca="1">IF(E281=1,H281/G281,IF(E281=5,H281/G281*OFFSET(控制台!$D$641,MATCH(B281,控制台!$B$641:$B$645,0)-1,0),H281/G281*OFFSET(控制台!$H$641,MATCH(B281,控制台!$F$641:$F$650,0)-1,0)))</f>
        <v>1374545.45454545</v>
      </c>
      <c r="J281" s="1">
        <f ca="1">$I281/3*控制台!H$102</f>
        <v>458181.818181817</v>
      </c>
      <c r="K281" s="1">
        <f ca="1">$I281/3*控制台!I$102</f>
        <v>343636.363636363</v>
      </c>
      <c r="L281" s="1">
        <f ca="1">$I281/3*控制台!J$102</f>
        <v>572727.272727271</v>
      </c>
      <c r="M281" s="1">
        <f ca="1">_xlfn.FLOOR.MATH(J281,POWER(10,MAX(2,INT(LOG10(J281)-2))))</f>
        <v>458000</v>
      </c>
      <c r="N281" s="1">
        <f ca="1">_xlfn.FLOOR.MATH(K281,POWER(10,MAX(2,INT(LOG10(K281)-2))))</f>
        <v>343000</v>
      </c>
      <c r="O281" s="1">
        <f ca="1">_xlfn.FLOOR.MATH(L281,POWER(10,MAX(2,INT(LOG10(L281)-2))))</f>
        <v>572000</v>
      </c>
      <c r="P281" s="4" t="str">
        <f ca="1" t="shared" si="12"/>
        <v>458000;343000;572000</v>
      </c>
      <c r="Q281" s="15">
        <f ca="1">IF(C281=1,OFFSET(控制台!$H$599,MATCH(F281,控制台!$B$599:$B$615,0)-1,0),OFFSET(控制台!$H$618,MATCH(F281,控制台!$B$618:$B$636,0)-1,0))</f>
        <v>306851.328</v>
      </c>
      <c r="R281" s="15">
        <f ca="1">IF(E281=1,Q281/G281,IF(E281=5,Q281/G281*OFFSET(控制台!$D$641,MATCH(B281,控制台!$B$641:$B$645,0)-1,0),Q281/G281*OFFSET(控制台!$H$641,MATCH(B281,控制台!$F$641:$F$650,0)-1,0)))</f>
        <v>1394.77876363636</v>
      </c>
      <c r="S281" s="16">
        <f ca="1">_xlfn.FLOOR.MATH(R281)*60</f>
        <v>83640</v>
      </c>
      <c r="T281" s="16">
        <f ca="1">8000+IF(C281=1,OFFSET(控制台!$K$599,MATCH(F281,控制台!$B$599:$B$615,0)-1,0),OFFSET(控制台!$K$618,MATCH(F281,控制台!$B$618:$B$636,0)-1,0))</f>
        <v>8024</v>
      </c>
      <c r="U281" s="1">
        <f ca="1">IF(C281=1,OFFSET(控制台!$F$599,MATCH(F281,控制台!$B$599:$B$615,0)-1,0),OFFSET(控制台!$F$618,MATCH(F281,控制台!$B$618:$B$636,0)-1,0))</f>
        <v>203212.8</v>
      </c>
      <c r="V281" s="1">
        <f ca="1">IF(E281=1,U281/G281,IF(E281=5,U281/G281*OFFSET(控制台!$D$641,MATCH(B281,控制台!$B$641:$B$645,0)-1,0),U281/G281*OFFSET(控制台!$H$641,MATCH(B281,控制台!$F$641:$F$650,0)-1,0)))</f>
        <v>923.694545454543</v>
      </c>
      <c r="W281" s="20">
        <f ca="1" t="shared" si="13"/>
        <v>0.641454545454544</v>
      </c>
      <c r="X281" s="15">
        <f ca="1">IF(C281=1,OFFSET(控制台!$U$599,MATCH(F281,控制台!$B$599:$B$615,0)-1,0),OFFSET(控制台!$U$618,MATCH(F281,控制台!$B$618:$B$636,0)-1,0))</f>
        <v>614250</v>
      </c>
      <c r="Y281" s="16">
        <f ca="1">_xlfn.FLOOR.MATH(IF(E281=1,X281/G281,IF(E281=5,X281/G281*OFFSET(控制台!$D$641,MATCH(B281,控制台!$B$641:$B$645,0)-1,0),X281/G281*OFFSET(控制台!$H$641,MATCH(B281,控制台!$F$641:$F$650,0)-1,0))))</f>
        <v>2792</v>
      </c>
      <c r="Z281" s="16">
        <f ca="1" t="shared" si="14"/>
        <v>4653</v>
      </c>
    </row>
    <row r="282" spans="1:26">
      <c r="A282" s="1">
        <v>21202</v>
      </c>
      <c r="B282" s="1">
        <v>3</v>
      </c>
      <c r="C282" s="1">
        <v>2</v>
      </c>
      <c r="D282" s="1" t="s">
        <v>2828</v>
      </c>
      <c r="E282" s="1">
        <f ca="1">IF(C282=1,OFFSET(控制台!$F$552,MATCH(A282,控制台!$B$552:$B$580,0)-1,0),OFFSET(控制台!$L$552,MATCH(A282,控制台!$H$552:$H$594,0)-1,0))</f>
        <v>10</v>
      </c>
      <c r="F282" s="1">
        <f ca="1">IF(C282=1,OFFSET(控制台!$D$552,MATCH(A282,控制台!$B$552:$B$580,0)-1,0),OFFSET(控制台!$J$552,MATCH(A282,控制台!$H$552:$H$594,0)-1,0))</f>
        <v>12</v>
      </c>
      <c r="G282" s="1">
        <f ca="1">IF(C282=1,OFFSET(控制台!$I$599,MATCH(F282,控制台!$B$599:$B$615,0)-1,0),OFFSET(控制台!$I$618,MATCH(F282,控制台!$B$618:$B$636,0)-1,0))</f>
        <v>3</v>
      </c>
      <c r="H282" s="1">
        <f ca="1">IF(C282=1,OFFSET(控制台!$D$599,MATCH(F282,控制台!$B$599:$B$615,0)-1,0),OFFSET(控制台!$D$618,MATCH(F282,控制台!$B$618:$B$636,0)-1,0))</f>
        <v>302400000</v>
      </c>
      <c r="I282" s="1">
        <f ca="1">IF(E282=1,H282/G282,IF(E282=5,H282/G282*OFFSET(控制台!$D$641,MATCH(B282,控制台!$B$641:$B$645,0)-1,0),H282/G282*OFFSET(控制台!$H$641,MATCH(B282,控制台!$F$641:$F$650,0)-1,0)))</f>
        <v>1832727.27272727</v>
      </c>
      <c r="J282" s="1">
        <f ca="1">$I282/3*控制台!H$102</f>
        <v>610909.090909091</v>
      </c>
      <c r="K282" s="1">
        <f ca="1">$I282/3*控制台!I$102</f>
        <v>458181.818181819</v>
      </c>
      <c r="L282" s="1">
        <f ca="1">$I282/3*控制台!J$102</f>
        <v>763636.363636364</v>
      </c>
      <c r="M282" s="1">
        <f ca="1">_xlfn.FLOOR.MATH(J282,POWER(10,MAX(2,INT(LOG10(J282)-2))))</f>
        <v>610000</v>
      </c>
      <c r="N282" s="1">
        <f ca="1">_xlfn.FLOOR.MATH(K282,POWER(10,MAX(2,INT(LOG10(K282)-2))))</f>
        <v>458000</v>
      </c>
      <c r="O282" s="1">
        <f ca="1">_xlfn.FLOOR.MATH(L282,POWER(10,MAX(2,INT(LOG10(L282)-2))))</f>
        <v>763000</v>
      </c>
      <c r="P282" s="4" t="str">
        <f ca="1" t="shared" si="12"/>
        <v>610000;458000;763000</v>
      </c>
      <c r="Q282" s="15">
        <f ca="1">IF(C282=1,OFFSET(控制台!$H$599,MATCH(F282,控制台!$B$599:$B$615,0)-1,0),OFFSET(控制台!$H$618,MATCH(F282,控制台!$B$618:$B$636,0)-1,0))</f>
        <v>306851.328</v>
      </c>
      <c r="R282" s="15">
        <f ca="1">IF(E282=1,Q282/G282,IF(E282=5,Q282/G282*OFFSET(控制台!$D$641,MATCH(B282,控制台!$B$641:$B$645,0)-1,0),Q282/G282*OFFSET(控制台!$H$641,MATCH(B282,控制台!$F$641:$F$650,0)-1,0)))</f>
        <v>1859.70501818182</v>
      </c>
      <c r="S282" s="16">
        <f ca="1">_xlfn.FLOOR.MATH(R282)*60</f>
        <v>111540</v>
      </c>
      <c r="T282" s="16">
        <f ca="1">8000+IF(C282=1,OFFSET(控制台!$K$599,MATCH(F282,控制台!$B$599:$B$615,0)-1,0),OFFSET(控制台!$K$618,MATCH(F282,控制台!$B$618:$B$636,0)-1,0))</f>
        <v>8024</v>
      </c>
      <c r="U282" s="1">
        <f ca="1">IF(C282=1,OFFSET(控制台!$F$599,MATCH(F282,控制台!$B$599:$B$615,0)-1,0),OFFSET(控制台!$F$618,MATCH(F282,控制台!$B$618:$B$636,0)-1,0))</f>
        <v>203212.8</v>
      </c>
      <c r="V282" s="1">
        <f ca="1">IF(E282=1,U282/G282,IF(E282=5,U282/G282*OFFSET(控制台!$D$641,MATCH(B282,控制台!$B$641:$B$645,0)-1,0),U282/G282*OFFSET(控制台!$H$641,MATCH(B282,控制台!$F$641:$F$650,0)-1,0)))</f>
        <v>1231.59272727273</v>
      </c>
      <c r="W282" s="20">
        <f ca="1" t="shared" si="13"/>
        <v>0.855272727272728</v>
      </c>
      <c r="X282" s="15">
        <f ca="1">IF(C282=1,OFFSET(控制台!$U$599,MATCH(F282,控制台!$B$599:$B$615,0)-1,0),OFFSET(控制台!$U$618,MATCH(F282,控制台!$B$618:$B$636,0)-1,0))</f>
        <v>614250</v>
      </c>
      <c r="Y282" s="16">
        <f ca="1">_xlfn.FLOOR.MATH(IF(E282=1,X282/G282,IF(E282=5,X282/G282*OFFSET(控制台!$D$641,MATCH(B282,控制台!$B$641:$B$645,0)-1,0),X282/G282*OFFSET(控制台!$H$641,MATCH(B282,控制台!$F$641:$F$650,0)-1,0))))</f>
        <v>3722</v>
      </c>
      <c r="Z282" s="16">
        <f ca="1" t="shared" si="14"/>
        <v>8375</v>
      </c>
    </row>
    <row r="283" spans="1:26">
      <c r="A283" s="1">
        <v>21202</v>
      </c>
      <c r="B283" s="1">
        <v>4</v>
      </c>
      <c r="C283" s="1">
        <v>2</v>
      </c>
      <c r="D283" s="1" t="s">
        <v>2828</v>
      </c>
      <c r="E283" s="1">
        <f ca="1">IF(C283=1,OFFSET(控制台!$F$552,MATCH(A283,控制台!$B$552:$B$580,0)-1,0),OFFSET(控制台!$L$552,MATCH(A283,控制台!$H$552:$H$594,0)-1,0))</f>
        <v>10</v>
      </c>
      <c r="F283" s="1">
        <f ca="1">IF(C283=1,OFFSET(控制台!$D$552,MATCH(A283,控制台!$B$552:$B$580,0)-1,0),OFFSET(控制台!$J$552,MATCH(A283,控制台!$H$552:$H$594,0)-1,0))</f>
        <v>12</v>
      </c>
      <c r="G283" s="1">
        <f ca="1">IF(C283=1,OFFSET(控制台!$I$599,MATCH(F283,控制台!$B$599:$B$615,0)-1,0),OFFSET(控制台!$I$618,MATCH(F283,控制台!$B$618:$B$636,0)-1,0))</f>
        <v>3</v>
      </c>
      <c r="H283" s="1">
        <f ca="1">IF(C283=1,OFFSET(控制台!$D$599,MATCH(F283,控制台!$B$599:$B$615,0)-1,0),OFFSET(控制台!$D$618,MATCH(F283,控制台!$B$618:$B$636,0)-1,0))</f>
        <v>302400000</v>
      </c>
      <c r="I283" s="1">
        <f ca="1">IF(E283=1,H283/G283,IF(E283=5,H283/G283*OFFSET(控制台!$D$641,MATCH(B283,控制台!$B$641:$B$645,0)-1,0),H283/G283*OFFSET(控制台!$H$641,MATCH(B283,控制台!$F$641:$F$650,0)-1,0)))</f>
        <v>2749090.90909091</v>
      </c>
      <c r="J283" s="1">
        <f ca="1">$I283/3*控制台!H$102</f>
        <v>916363.636363637</v>
      </c>
      <c r="K283" s="1">
        <f ca="1">$I283/3*控制台!I$102</f>
        <v>687272.727272728</v>
      </c>
      <c r="L283" s="1">
        <f ca="1">$I283/3*控制台!J$102</f>
        <v>1145454.54545455</v>
      </c>
      <c r="M283" s="1">
        <f ca="1">_xlfn.FLOOR.MATH(J283,POWER(10,MAX(2,INT(LOG10(J283)-2))))</f>
        <v>916000</v>
      </c>
      <c r="N283" s="1">
        <f ca="1">_xlfn.FLOOR.MATH(K283,POWER(10,MAX(2,INT(LOG10(K283)-2))))</f>
        <v>687000</v>
      </c>
      <c r="O283" s="1">
        <f ca="1">_xlfn.FLOOR.MATH(L283,POWER(10,MAX(2,INT(LOG10(L283)-2))))</f>
        <v>1140000</v>
      </c>
      <c r="P283" s="4" t="str">
        <f ca="1" t="shared" si="12"/>
        <v>916000;687000;1140000</v>
      </c>
      <c r="Q283" s="15">
        <f ca="1">IF(C283=1,OFFSET(控制台!$H$599,MATCH(F283,控制台!$B$599:$B$615,0)-1,0),OFFSET(控制台!$H$618,MATCH(F283,控制台!$B$618:$B$636,0)-1,0))</f>
        <v>306851.328</v>
      </c>
      <c r="R283" s="15">
        <f ca="1">IF(E283=1,Q283/G283,IF(E283=5,Q283/G283*OFFSET(控制台!$D$641,MATCH(B283,控制台!$B$641:$B$645,0)-1,0),Q283/G283*OFFSET(控制台!$H$641,MATCH(B283,控制台!$F$641:$F$650,0)-1,0)))</f>
        <v>2789.55752727273</v>
      </c>
      <c r="S283" s="16">
        <f ca="1">_xlfn.FLOOR.MATH(R283)*60</f>
        <v>167340</v>
      </c>
      <c r="T283" s="16">
        <f ca="1">8000+IF(C283=1,OFFSET(控制台!$K$599,MATCH(F283,控制台!$B$599:$B$615,0)-1,0),OFFSET(控制台!$K$618,MATCH(F283,控制台!$B$618:$B$636,0)-1,0))</f>
        <v>8024</v>
      </c>
      <c r="U283" s="1">
        <f ca="1">IF(C283=1,OFFSET(控制台!$F$599,MATCH(F283,控制台!$B$599:$B$615,0)-1,0),OFFSET(控制台!$F$618,MATCH(F283,控制台!$B$618:$B$636,0)-1,0))</f>
        <v>203212.8</v>
      </c>
      <c r="V283" s="1">
        <f ca="1">IF(E283=1,U283/G283,IF(E283=5,U283/G283*OFFSET(控制台!$D$641,MATCH(B283,控制台!$B$641:$B$645,0)-1,0),U283/G283*OFFSET(控制台!$H$641,MATCH(B283,控制台!$F$641:$F$650,0)-1,0)))</f>
        <v>1847.38909090909</v>
      </c>
      <c r="W283" s="20">
        <f ca="1" t="shared" si="13"/>
        <v>1.28290909090909</v>
      </c>
      <c r="X283" s="15">
        <f ca="1">IF(C283=1,OFFSET(控制台!$U$599,MATCH(F283,控制台!$B$599:$B$615,0)-1,0),OFFSET(控制台!$U$618,MATCH(F283,控制台!$B$618:$B$636,0)-1,0))</f>
        <v>614250</v>
      </c>
      <c r="Y283" s="16">
        <f ca="1">_xlfn.FLOOR.MATH(IF(E283=1,X283/G283,IF(E283=5,X283/G283*OFFSET(控制台!$D$641,MATCH(B283,控制台!$B$641:$B$645,0)-1,0),X283/G283*OFFSET(控制台!$H$641,MATCH(B283,控制台!$F$641:$F$650,0)-1,0))))</f>
        <v>5584</v>
      </c>
      <c r="Z283" s="16">
        <f ca="1" t="shared" si="14"/>
        <v>13959</v>
      </c>
    </row>
    <row r="284" spans="1:26">
      <c r="A284" s="1">
        <v>21202</v>
      </c>
      <c r="B284" s="1">
        <v>5</v>
      </c>
      <c r="C284" s="1">
        <v>2</v>
      </c>
      <c r="D284" s="1" t="s">
        <v>2828</v>
      </c>
      <c r="E284" s="1">
        <f ca="1">IF(C284=1,OFFSET(控制台!$F$552,MATCH(A284,控制台!$B$552:$B$580,0)-1,0),OFFSET(控制台!$L$552,MATCH(A284,控制台!$H$552:$H$594,0)-1,0))</f>
        <v>10</v>
      </c>
      <c r="F284" s="1">
        <f ca="1">IF(C284=1,OFFSET(控制台!$D$552,MATCH(A284,控制台!$B$552:$B$580,0)-1,0),OFFSET(控制台!$J$552,MATCH(A284,控制台!$H$552:$H$594,0)-1,0))</f>
        <v>12</v>
      </c>
      <c r="G284" s="1">
        <f ca="1">IF(C284=1,OFFSET(控制台!$I$599,MATCH(F284,控制台!$B$599:$B$615,0)-1,0),OFFSET(控制台!$I$618,MATCH(F284,控制台!$B$618:$B$636,0)-1,0))</f>
        <v>3</v>
      </c>
      <c r="H284" s="1">
        <f ca="1">IF(C284=1,OFFSET(控制台!$D$599,MATCH(F284,控制台!$B$599:$B$615,0)-1,0),OFFSET(控制台!$D$618,MATCH(F284,控制台!$B$618:$B$636,0)-1,0))</f>
        <v>302400000</v>
      </c>
      <c r="I284" s="1">
        <f ca="1">IF(E284=1,H284/G284,IF(E284=5,H284/G284*OFFSET(控制台!$D$641,MATCH(B284,控制台!$B$641:$B$645,0)-1,0),H284/G284*OFFSET(控制台!$H$641,MATCH(B284,控制台!$F$641:$F$650,0)-1,0)))</f>
        <v>4581818.18181819</v>
      </c>
      <c r="J284" s="1">
        <f ca="1">$I284/3*控制台!H$102</f>
        <v>1527272.72727273</v>
      </c>
      <c r="K284" s="1">
        <f ca="1">$I284/3*控制台!I$102</f>
        <v>1145454.54545455</v>
      </c>
      <c r="L284" s="1">
        <f ca="1">$I284/3*控制台!J$102</f>
        <v>1909090.90909091</v>
      </c>
      <c r="M284" s="1">
        <f ca="1">_xlfn.FLOOR.MATH(J284,POWER(10,MAX(2,INT(LOG10(J284)-2))))</f>
        <v>1520000</v>
      </c>
      <c r="N284" s="1">
        <f ca="1">_xlfn.FLOOR.MATH(K284,POWER(10,MAX(2,INT(LOG10(K284)-2))))</f>
        <v>1140000</v>
      </c>
      <c r="O284" s="1">
        <f ca="1">_xlfn.FLOOR.MATH(L284,POWER(10,MAX(2,INT(LOG10(L284)-2))))</f>
        <v>1900000</v>
      </c>
      <c r="P284" s="4" t="str">
        <f ca="1" t="shared" si="12"/>
        <v>1520000;1140000;1900000</v>
      </c>
      <c r="Q284" s="15">
        <f ca="1">IF(C284=1,OFFSET(控制台!$H$599,MATCH(F284,控制台!$B$599:$B$615,0)-1,0),OFFSET(控制台!$H$618,MATCH(F284,控制台!$B$618:$B$636,0)-1,0))</f>
        <v>306851.328</v>
      </c>
      <c r="R284" s="15">
        <f ca="1">IF(E284=1,Q284/G284,IF(E284=5,Q284/G284*OFFSET(控制台!$D$641,MATCH(B284,控制台!$B$641:$B$645,0)-1,0),Q284/G284*OFFSET(控制台!$H$641,MATCH(B284,控制台!$F$641:$F$650,0)-1,0)))</f>
        <v>4649.26254545455</v>
      </c>
      <c r="S284" s="16">
        <f ca="1">_xlfn.FLOOR.MATH(R284)*60</f>
        <v>278940</v>
      </c>
      <c r="T284" s="16">
        <f ca="1">8000+IF(C284=1,OFFSET(控制台!$K$599,MATCH(F284,控制台!$B$599:$B$615,0)-1,0),OFFSET(控制台!$K$618,MATCH(F284,控制台!$B$618:$B$636,0)-1,0))</f>
        <v>8024</v>
      </c>
      <c r="U284" s="1">
        <f ca="1">IF(C284=1,OFFSET(控制台!$F$599,MATCH(F284,控制台!$B$599:$B$615,0)-1,0),OFFSET(控制台!$F$618,MATCH(F284,控制台!$B$618:$B$636,0)-1,0))</f>
        <v>203212.8</v>
      </c>
      <c r="V284" s="1">
        <f ca="1">IF(E284=1,U284/G284,IF(E284=5,U284/G284*OFFSET(控制台!$D$641,MATCH(B284,控制台!$B$641:$B$645,0)-1,0),U284/G284*OFFSET(控制台!$H$641,MATCH(B284,控制台!$F$641:$F$650,0)-1,0)))</f>
        <v>3078.98181818182</v>
      </c>
      <c r="W284" s="20">
        <f ca="1" t="shared" si="13"/>
        <v>2.13818181818182</v>
      </c>
      <c r="X284" s="15">
        <f ca="1">IF(C284=1,OFFSET(控制台!$U$599,MATCH(F284,控制台!$B$599:$B$615,0)-1,0),OFFSET(控制台!$U$618,MATCH(F284,控制台!$B$618:$B$636,0)-1,0))</f>
        <v>614250</v>
      </c>
      <c r="Y284" s="16">
        <f ca="1">_xlfn.FLOOR.MATH(IF(E284=1,X284/G284,IF(E284=5,X284/G284*OFFSET(控制台!$D$641,MATCH(B284,控制台!$B$641:$B$645,0)-1,0),X284/G284*OFFSET(控制台!$H$641,MATCH(B284,控制台!$F$641:$F$650,0)-1,0))))</f>
        <v>9306</v>
      </c>
      <c r="Z284" s="16">
        <f ca="1" t="shared" si="14"/>
        <v>23265</v>
      </c>
    </row>
    <row r="285" spans="1:26">
      <c r="A285" s="1">
        <v>21202</v>
      </c>
      <c r="B285" s="1">
        <v>6</v>
      </c>
      <c r="C285" s="1">
        <v>2</v>
      </c>
      <c r="D285" s="1" t="s">
        <v>2828</v>
      </c>
      <c r="E285" s="1">
        <f ca="1">IF(C285=1,OFFSET(控制台!$F$552,MATCH(A285,控制台!$B$552:$B$580,0)-1,0),OFFSET(控制台!$L$552,MATCH(A285,控制台!$H$552:$H$594,0)-1,0))</f>
        <v>10</v>
      </c>
      <c r="F285" s="1">
        <f ca="1">IF(C285=1,OFFSET(控制台!$D$552,MATCH(A285,控制台!$B$552:$B$580,0)-1,0),OFFSET(控制台!$J$552,MATCH(A285,控制台!$H$552:$H$594,0)-1,0))</f>
        <v>12</v>
      </c>
      <c r="G285" s="1">
        <f ca="1">IF(C285=1,OFFSET(控制台!$I$599,MATCH(F285,控制台!$B$599:$B$615,0)-1,0),OFFSET(控制台!$I$618,MATCH(F285,控制台!$B$618:$B$636,0)-1,0))</f>
        <v>3</v>
      </c>
      <c r="H285" s="1">
        <f ca="1">IF(C285=1,OFFSET(控制台!$D$599,MATCH(F285,控制台!$B$599:$B$615,0)-1,0),OFFSET(控制台!$D$618,MATCH(F285,控制台!$B$618:$B$636,0)-1,0))</f>
        <v>302400000</v>
      </c>
      <c r="I285" s="1">
        <f ca="1">IF(E285=1,H285/G285,IF(E285=5,H285/G285*OFFSET(控制台!$D$641,MATCH(B285,控制台!$B$641:$B$645,0)-1,0),H285/G285*OFFSET(控制台!$H$641,MATCH(B285,控制台!$F$641:$F$650,0)-1,0)))</f>
        <v>6872727.27272728</v>
      </c>
      <c r="J285" s="1">
        <f ca="1">$I285/3*控制台!H$102</f>
        <v>2290909.09090909</v>
      </c>
      <c r="K285" s="1">
        <f ca="1">$I285/3*控制台!I$102</f>
        <v>1718181.81818182</v>
      </c>
      <c r="L285" s="1">
        <f ca="1">$I285/3*控制台!J$102</f>
        <v>2863636.36363636</v>
      </c>
      <c r="M285" s="1">
        <f ca="1">_xlfn.FLOOR.MATH(J285,POWER(10,MAX(2,INT(LOG10(J285)-2))))</f>
        <v>2290000</v>
      </c>
      <c r="N285" s="1">
        <f ca="1">_xlfn.FLOOR.MATH(K285,POWER(10,MAX(2,INT(LOG10(K285)-2))))</f>
        <v>1710000</v>
      </c>
      <c r="O285" s="1">
        <f ca="1">_xlfn.FLOOR.MATH(L285,POWER(10,MAX(2,INT(LOG10(L285)-2))))</f>
        <v>2860000</v>
      </c>
      <c r="P285" s="4" t="str">
        <f ca="1" t="shared" si="12"/>
        <v>2290000;1710000;2860000</v>
      </c>
      <c r="Q285" s="15">
        <f ca="1">IF(C285=1,OFFSET(控制台!$H$599,MATCH(F285,控制台!$B$599:$B$615,0)-1,0),OFFSET(控制台!$H$618,MATCH(F285,控制台!$B$618:$B$636,0)-1,0))</f>
        <v>306851.328</v>
      </c>
      <c r="R285" s="15">
        <f ca="1">IF(E285=1,Q285/G285,IF(E285=5,Q285/G285*OFFSET(控制台!$D$641,MATCH(B285,控制台!$B$641:$B$645,0)-1,0),Q285/G285*OFFSET(控制台!$H$641,MATCH(B285,控制台!$F$641:$F$650,0)-1,0)))</f>
        <v>6973.89381818182</v>
      </c>
      <c r="S285" s="16">
        <f ca="1">_xlfn.FLOOR.MATH(R285)*60</f>
        <v>418380</v>
      </c>
      <c r="T285" s="16">
        <f ca="1">8000+IF(C285=1,OFFSET(控制台!$K$599,MATCH(F285,控制台!$B$599:$B$615,0)-1,0),OFFSET(控制台!$K$618,MATCH(F285,控制台!$B$618:$B$636,0)-1,0))</f>
        <v>8024</v>
      </c>
      <c r="U285" s="1">
        <f ca="1">IF(C285=1,OFFSET(控制台!$F$599,MATCH(F285,控制台!$B$599:$B$615,0)-1,0),OFFSET(控制台!$F$618,MATCH(F285,控制台!$B$618:$B$636,0)-1,0))</f>
        <v>203212.8</v>
      </c>
      <c r="V285" s="1">
        <f ca="1">IF(E285=1,U285/G285,IF(E285=5,U285/G285*OFFSET(控制台!$D$641,MATCH(B285,控制台!$B$641:$B$645,0)-1,0),U285/G285*OFFSET(控制台!$H$641,MATCH(B285,控制台!$F$641:$F$650,0)-1,0)))</f>
        <v>4618.47272727273</v>
      </c>
      <c r="W285" s="20">
        <f ca="1" t="shared" si="13"/>
        <v>3.20727272727273</v>
      </c>
      <c r="X285" s="15">
        <f ca="1">IF(C285=1,OFFSET(控制台!$U$599,MATCH(F285,控制台!$B$599:$B$615,0)-1,0),OFFSET(控制台!$U$618,MATCH(F285,控制台!$B$618:$B$636,0)-1,0))</f>
        <v>614250</v>
      </c>
      <c r="Y285" s="16">
        <f ca="1">_xlfn.FLOOR.MATH(IF(E285=1,X285/G285,IF(E285=5,X285/G285*OFFSET(控制台!$D$641,MATCH(B285,控制台!$B$641:$B$645,0)-1,0),X285/G285*OFFSET(控制台!$H$641,MATCH(B285,控制台!$F$641:$F$650,0)-1,0))))</f>
        <v>13960</v>
      </c>
      <c r="Z285" s="16">
        <f ca="1" t="shared" si="14"/>
        <v>37225</v>
      </c>
    </row>
    <row r="286" spans="1:26">
      <c r="A286" s="1">
        <v>21202</v>
      </c>
      <c r="B286" s="1">
        <v>7</v>
      </c>
      <c r="C286" s="1">
        <v>2</v>
      </c>
      <c r="D286" s="1" t="s">
        <v>2828</v>
      </c>
      <c r="E286" s="1">
        <f ca="1">IF(C286=1,OFFSET(控制台!$F$552,MATCH(A286,控制台!$B$552:$B$580,0)-1,0),OFFSET(控制台!$L$552,MATCH(A286,控制台!$H$552:$H$594,0)-1,0))</f>
        <v>10</v>
      </c>
      <c r="F286" s="1">
        <f ca="1">IF(C286=1,OFFSET(控制台!$D$552,MATCH(A286,控制台!$B$552:$B$580,0)-1,0),OFFSET(控制台!$J$552,MATCH(A286,控制台!$H$552:$H$594,0)-1,0))</f>
        <v>12</v>
      </c>
      <c r="G286" s="1">
        <f ca="1">IF(C286=1,OFFSET(控制台!$I$599,MATCH(F286,控制台!$B$599:$B$615,0)-1,0),OFFSET(控制台!$I$618,MATCH(F286,控制台!$B$618:$B$636,0)-1,0))</f>
        <v>3</v>
      </c>
      <c r="H286" s="1">
        <f ca="1">IF(C286=1,OFFSET(控制台!$D$599,MATCH(F286,控制台!$B$599:$B$615,0)-1,0),OFFSET(控制台!$D$618,MATCH(F286,控制台!$B$618:$B$636,0)-1,0))</f>
        <v>302400000</v>
      </c>
      <c r="I286" s="1">
        <f ca="1">IF(E286=1,H286/G286,IF(E286=5,H286/G286*OFFSET(控制台!$D$641,MATCH(B286,控制台!$B$641:$B$645,0)-1,0),H286/G286*OFFSET(控制台!$H$641,MATCH(B286,控制台!$F$641:$F$650,0)-1,0)))</f>
        <v>9163636.36363636</v>
      </c>
      <c r="J286" s="1">
        <f ca="1">$I286/3*控制台!H$102</f>
        <v>3054545.45454545</v>
      </c>
      <c r="K286" s="1">
        <f ca="1">$I286/3*控制台!I$102</f>
        <v>2290909.09090909</v>
      </c>
      <c r="L286" s="1">
        <f ca="1">$I286/3*控制台!J$102</f>
        <v>3818181.81818182</v>
      </c>
      <c r="M286" s="1">
        <f ca="1">_xlfn.FLOOR.MATH(J286,POWER(10,MAX(2,INT(LOG10(J286)-2))))</f>
        <v>3050000</v>
      </c>
      <c r="N286" s="1">
        <f ca="1">_xlfn.FLOOR.MATH(K286,POWER(10,MAX(2,INT(LOG10(K286)-2))))</f>
        <v>2290000</v>
      </c>
      <c r="O286" s="1">
        <f ca="1">_xlfn.FLOOR.MATH(L286,POWER(10,MAX(2,INT(LOG10(L286)-2))))</f>
        <v>3810000</v>
      </c>
      <c r="P286" s="4" t="str">
        <f ca="1" t="shared" si="12"/>
        <v>3050000;2290000;3810000</v>
      </c>
      <c r="Q286" s="15">
        <f ca="1">IF(C286=1,OFFSET(控制台!$H$599,MATCH(F286,控制台!$B$599:$B$615,0)-1,0),OFFSET(控制台!$H$618,MATCH(F286,控制台!$B$618:$B$636,0)-1,0))</f>
        <v>306851.328</v>
      </c>
      <c r="R286" s="15">
        <f ca="1">IF(E286=1,Q286/G286,IF(E286=5,Q286/G286*OFFSET(控制台!$D$641,MATCH(B286,控制台!$B$641:$B$645,0)-1,0),Q286/G286*OFFSET(控制台!$H$641,MATCH(B286,控制台!$F$641:$F$650,0)-1,0)))</f>
        <v>9298.52509090909</v>
      </c>
      <c r="S286" s="16">
        <f ca="1">_xlfn.FLOOR.MATH(R286)*60</f>
        <v>557880</v>
      </c>
      <c r="T286" s="16">
        <f ca="1">8000+IF(C286=1,OFFSET(控制台!$K$599,MATCH(F286,控制台!$B$599:$B$615,0)-1,0),OFFSET(控制台!$K$618,MATCH(F286,控制台!$B$618:$B$636,0)-1,0))</f>
        <v>8024</v>
      </c>
      <c r="U286" s="1">
        <f ca="1">IF(C286=1,OFFSET(控制台!$F$599,MATCH(F286,控制台!$B$599:$B$615,0)-1,0),OFFSET(控制台!$F$618,MATCH(F286,控制台!$B$618:$B$636,0)-1,0))</f>
        <v>203212.8</v>
      </c>
      <c r="V286" s="1">
        <f ca="1">IF(E286=1,U286/G286,IF(E286=5,U286/G286*OFFSET(控制台!$D$641,MATCH(B286,控制台!$B$641:$B$645,0)-1,0),U286/G286*OFFSET(控制台!$H$641,MATCH(B286,控制台!$F$641:$F$650,0)-1,0)))</f>
        <v>6157.96363636364</v>
      </c>
      <c r="W286" s="20">
        <f ca="1" t="shared" si="13"/>
        <v>4.27636363636364</v>
      </c>
      <c r="X286" s="15">
        <f ca="1">IF(C286=1,OFFSET(控制台!$U$599,MATCH(F286,控制台!$B$599:$B$615,0)-1,0),OFFSET(控制台!$U$618,MATCH(F286,控制台!$B$618:$B$636,0)-1,0))</f>
        <v>614250</v>
      </c>
      <c r="Y286" s="16">
        <f ca="1">_xlfn.FLOOR.MATH(IF(E286=1,X286/G286,IF(E286=5,X286/G286*OFFSET(控制台!$D$641,MATCH(B286,控制台!$B$641:$B$645,0)-1,0),X286/G286*OFFSET(控制台!$H$641,MATCH(B286,控制台!$F$641:$F$650,0)-1,0))))</f>
        <v>18613</v>
      </c>
      <c r="Z286" s="16">
        <f ca="1" t="shared" si="14"/>
        <v>55838</v>
      </c>
    </row>
    <row r="287" spans="1:26">
      <c r="A287" s="1">
        <v>21202</v>
      </c>
      <c r="B287" s="1">
        <v>8</v>
      </c>
      <c r="C287" s="1">
        <v>2</v>
      </c>
      <c r="D287" s="1" t="s">
        <v>2828</v>
      </c>
      <c r="E287" s="1">
        <f ca="1">IF(C287=1,OFFSET(控制台!$F$552,MATCH(A287,控制台!$B$552:$B$580,0)-1,0),OFFSET(控制台!$L$552,MATCH(A287,控制台!$H$552:$H$594,0)-1,0))</f>
        <v>10</v>
      </c>
      <c r="F287" s="1">
        <f ca="1">IF(C287=1,OFFSET(控制台!$D$552,MATCH(A287,控制台!$B$552:$B$580,0)-1,0),OFFSET(控制台!$J$552,MATCH(A287,控制台!$H$552:$H$594,0)-1,0))</f>
        <v>12</v>
      </c>
      <c r="G287" s="1">
        <f ca="1">IF(C287=1,OFFSET(控制台!$I$599,MATCH(F287,控制台!$B$599:$B$615,0)-1,0),OFFSET(控制台!$I$618,MATCH(F287,控制台!$B$618:$B$636,0)-1,0))</f>
        <v>3</v>
      </c>
      <c r="H287" s="1">
        <f ca="1">IF(C287=1,OFFSET(控制台!$D$599,MATCH(F287,控制台!$B$599:$B$615,0)-1,0),OFFSET(控制台!$D$618,MATCH(F287,控制台!$B$618:$B$636,0)-1,0))</f>
        <v>302400000</v>
      </c>
      <c r="I287" s="1">
        <f ca="1">IF(E287=1,H287/G287,IF(E287=5,H287/G287*OFFSET(控制台!$D$641,MATCH(B287,控制台!$B$641:$B$645,0)-1,0),H287/G287*OFFSET(控制台!$H$641,MATCH(B287,控制台!$F$641:$F$650,0)-1,0)))</f>
        <v>13745454.5454545</v>
      </c>
      <c r="J287" s="1">
        <f ca="1">$I287/3*控制台!H$102</f>
        <v>4581818.18181817</v>
      </c>
      <c r="K287" s="1">
        <f ca="1">$I287/3*控制台!I$102</f>
        <v>3436363.63636363</v>
      </c>
      <c r="L287" s="1">
        <f ca="1">$I287/3*控制台!J$102</f>
        <v>5727272.72727271</v>
      </c>
      <c r="M287" s="1">
        <f ca="1">_xlfn.FLOOR.MATH(J287,POWER(10,MAX(2,INT(LOG10(J287)-2))))</f>
        <v>4580000</v>
      </c>
      <c r="N287" s="1">
        <f ca="1">_xlfn.FLOOR.MATH(K287,POWER(10,MAX(2,INT(LOG10(K287)-2))))</f>
        <v>3430000</v>
      </c>
      <c r="O287" s="1">
        <f ca="1">_xlfn.FLOOR.MATH(L287,POWER(10,MAX(2,INT(LOG10(L287)-2))))</f>
        <v>5720000</v>
      </c>
      <c r="P287" s="4" t="str">
        <f ca="1" t="shared" si="12"/>
        <v>4580000;3430000;5720000</v>
      </c>
      <c r="Q287" s="15">
        <f ca="1">IF(C287=1,OFFSET(控制台!$H$599,MATCH(F287,控制台!$B$599:$B$615,0)-1,0),OFFSET(控制台!$H$618,MATCH(F287,控制台!$B$618:$B$636,0)-1,0))</f>
        <v>306851.328</v>
      </c>
      <c r="R287" s="15">
        <f ca="1">IF(E287=1,Q287/G287,IF(E287=5,Q287/G287*OFFSET(控制台!$D$641,MATCH(B287,控制台!$B$641:$B$645,0)-1,0),Q287/G287*OFFSET(控制台!$H$641,MATCH(B287,控制台!$F$641:$F$650,0)-1,0)))</f>
        <v>13947.7876363636</v>
      </c>
      <c r="S287" s="16">
        <f ca="1">_xlfn.FLOOR.MATH(R287)*60</f>
        <v>836820</v>
      </c>
      <c r="T287" s="16">
        <f ca="1">8000+IF(C287=1,OFFSET(控制台!$K$599,MATCH(F287,控制台!$B$599:$B$615,0)-1,0),OFFSET(控制台!$K$618,MATCH(F287,控制台!$B$618:$B$636,0)-1,0))</f>
        <v>8024</v>
      </c>
      <c r="U287" s="1">
        <f ca="1">IF(C287=1,OFFSET(控制台!$F$599,MATCH(F287,控制台!$B$599:$B$615,0)-1,0),OFFSET(控制台!$F$618,MATCH(F287,控制台!$B$618:$B$636,0)-1,0))</f>
        <v>203212.8</v>
      </c>
      <c r="V287" s="1">
        <f ca="1">IF(E287=1,U287/G287,IF(E287=5,U287/G287*OFFSET(控制台!$D$641,MATCH(B287,控制台!$B$641:$B$645,0)-1,0),U287/G287*OFFSET(控制台!$H$641,MATCH(B287,控制台!$F$641:$F$650,0)-1,0)))</f>
        <v>9236.94545454543</v>
      </c>
      <c r="W287" s="20">
        <f ca="1" t="shared" si="13"/>
        <v>6.41454545454544</v>
      </c>
      <c r="X287" s="15">
        <f ca="1">IF(C287=1,OFFSET(控制台!$U$599,MATCH(F287,控制台!$B$599:$B$615,0)-1,0),OFFSET(控制台!$U$618,MATCH(F287,控制台!$B$618:$B$636,0)-1,0))</f>
        <v>614250</v>
      </c>
      <c r="Y287" s="16">
        <f ca="1">_xlfn.FLOOR.MATH(IF(E287=1,X287/G287,IF(E287=5,X287/G287*OFFSET(控制台!$D$641,MATCH(B287,控制台!$B$641:$B$645,0)-1,0),X287/G287*OFFSET(控制台!$H$641,MATCH(B287,控制台!$F$641:$F$650,0)-1,0))))</f>
        <v>27920</v>
      </c>
      <c r="Z287" s="16">
        <f ca="1" t="shared" si="14"/>
        <v>83758</v>
      </c>
    </row>
    <row r="288" spans="1:26">
      <c r="A288" s="1">
        <v>21202</v>
      </c>
      <c r="B288" s="1">
        <v>9</v>
      </c>
      <c r="C288" s="1">
        <v>2</v>
      </c>
      <c r="D288" s="1" t="s">
        <v>2828</v>
      </c>
      <c r="E288" s="1">
        <f ca="1">IF(C288=1,OFFSET(控制台!$F$552,MATCH(A288,控制台!$B$552:$B$580,0)-1,0),OFFSET(控制台!$L$552,MATCH(A288,控制台!$H$552:$H$594,0)-1,0))</f>
        <v>10</v>
      </c>
      <c r="F288" s="1">
        <f ca="1">IF(C288=1,OFFSET(控制台!$D$552,MATCH(A288,控制台!$B$552:$B$580,0)-1,0),OFFSET(控制台!$J$552,MATCH(A288,控制台!$H$552:$H$594,0)-1,0))</f>
        <v>12</v>
      </c>
      <c r="G288" s="1">
        <f ca="1">IF(C288=1,OFFSET(控制台!$I$599,MATCH(F288,控制台!$B$599:$B$615,0)-1,0),OFFSET(控制台!$I$618,MATCH(F288,控制台!$B$618:$B$636,0)-1,0))</f>
        <v>3</v>
      </c>
      <c r="H288" s="1">
        <f ca="1">IF(C288=1,OFFSET(控制台!$D$599,MATCH(F288,控制台!$B$599:$B$615,0)-1,0),OFFSET(控制台!$D$618,MATCH(F288,控制台!$B$618:$B$636,0)-1,0))</f>
        <v>302400000</v>
      </c>
      <c r="I288" s="1">
        <f ca="1">IF(E288=1,H288/G288,IF(E288=5,H288/G288*OFFSET(控制台!$D$641,MATCH(B288,控制台!$B$641:$B$645,0)-1,0),H288/G288*OFFSET(控制台!$H$641,MATCH(B288,控制台!$F$641:$F$650,0)-1,0)))</f>
        <v>22909090.9090909</v>
      </c>
      <c r="J288" s="1">
        <f ca="1">$I288/3*控制台!H$102</f>
        <v>7636363.63636363</v>
      </c>
      <c r="K288" s="1">
        <f ca="1">$I288/3*控制台!I$102</f>
        <v>5727272.72727272</v>
      </c>
      <c r="L288" s="1">
        <f ca="1">$I288/3*控制台!J$102</f>
        <v>9545454.54545453</v>
      </c>
      <c r="M288" s="1">
        <f ca="1">_xlfn.FLOOR.MATH(J288,POWER(10,MAX(2,INT(LOG10(J288)-2))))</f>
        <v>7630000</v>
      </c>
      <c r="N288" s="1">
        <f ca="1">_xlfn.FLOOR.MATH(K288,POWER(10,MAX(2,INT(LOG10(K288)-2))))</f>
        <v>5720000</v>
      </c>
      <c r="O288" s="1">
        <f ca="1">_xlfn.FLOOR.MATH(L288,POWER(10,MAX(2,INT(LOG10(L288)-2))))</f>
        <v>9540000</v>
      </c>
      <c r="P288" s="4" t="str">
        <f ca="1" t="shared" si="12"/>
        <v>7630000;5720000;9540000</v>
      </c>
      <c r="Q288" s="15">
        <f ca="1">IF(C288=1,OFFSET(控制台!$H$599,MATCH(F288,控制台!$B$599:$B$615,0)-1,0),OFFSET(控制台!$H$618,MATCH(F288,控制台!$B$618:$B$636,0)-1,0))</f>
        <v>306851.328</v>
      </c>
      <c r="R288" s="15">
        <f ca="1">IF(E288=1,Q288/G288,IF(E288=5,Q288/G288*OFFSET(控制台!$D$641,MATCH(B288,控制台!$B$641:$B$645,0)-1,0),Q288/G288*OFFSET(控制台!$H$641,MATCH(B288,控制台!$F$641:$F$650,0)-1,0)))</f>
        <v>23246.3127272727</v>
      </c>
      <c r="S288" s="16">
        <f ca="1">_xlfn.FLOOR.MATH(R288)*60</f>
        <v>1394760</v>
      </c>
      <c r="T288" s="16">
        <f ca="1">8000+IF(C288=1,OFFSET(控制台!$K$599,MATCH(F288,控制台!$B$599:$B$615,0)-1,0),OFFSET(控制台!$K$618,MATCH(F288,控制台!$B$618:$B$636,0)-1,0))</f>
        <v>8024</v>
      </c>
      <c r="U288" s="1">
        <f ca="1">IF(C288=1,OFFSET(控制台!$F$599,MATCH(F288,控制台!$B$599:$B$615,0)-1,0),OFFSET(控制台!$F$618,MATCH(F288,控制台!$B$618:$B$636,0)-1,0))</f>
        <v>203212.8</v>
      </c>
      <c r="V288" s="1">
        <f ca="1">IF(E288=1,U288/G288,IF(E288=5,U288/G288*OFFSET(控制台!$D$641,MATCH(B288,控制台!$B$641:$B$645,0)-1,0),U288/G288*OFFSET(控制台!$H$641,MATCH(B288,控制台!$F$641:$F$650,0)-1,0)))</f>
        <v>15394.9090909091</v>
      </c>
      <c r="W288" s="20">
        <f ca="1" t="shared" si="13"/>
        <v>10.6909090909091</v>
      </c>
      <c r="X288" s="15">
        <f ca="1">IF(C288=1,OFFSET(控制台!$U$599,MATCH(F288,控制台!$B$599:$B$615,0)-1,0),OFFSET(控制台!$U$618,MATCH(F288,控制台!$B$618:$B$636,0)-1,0))</f>
        <v>614250</v>
      </c>
      <c r="Y288" s="16">
        <f ca="1">_xlfn.FLOOR.MATH(IF(E288=1,X288/G288,IF(E288=5,X288/G288*OFFSET(控制台!$D$641,MATCH(B288,控制台!$B$641:$B$645,0)-1,0),X288/G288*OFFSET(控制台!$H$641,MATCH(B288,控制台!$F$641:$F$650,0)-1,0))))</f>
        <v>46534</v>
      </c>
      <c r="Z288" s="16">
        <f ca="1" t="shared" si="14"/>
        <v>130292</v>
      </c>
    </row>
    <row r="289" spans="1:26">
      <c r="A289" s="1">
        <v>21202</v>
      </c>
      <c r="B289" s="1">
        <v>10</v>
      </c>
      <c r="C289" s="1">
        <v>2</v>
      </c>
      <c r="D289" s="1" t="s">
        <v>2828</v>
      </c>
      <c r="E289" s="1">
        <f ca="1">IF(C289=1,OFFSET(控制台!$F$552,MATCH(A289,控制台!$B$552:$B$580,0)-1,0),OFFSET(控制台!$L$552,MATCH(A289,控制台!$H$552:$H$594,0)-1,0))</f>
        <v>10</v>
      </c>
      <c r="F289" s="1">
        <f ca="1">IF(C289=1,OFFSET(控制台!$D$552,MATCH(A289,控制台!$B$552:$B$580,0)-1,0),OFFSET(控制台!$J$552,MATCH(A289,控制台!$H$552:$H$594,0)-1,0))</f>
        <v>12</v>
      </c>
      <c r="G289" s="1">
        <f ca="1">IF(C289=1,OFFSET(控制台!$I$599,MATCH(F289,控制台!$B$599:$B$615,0)-1,0),OFFSET(控制台!$I$618,MATCH(F289,控制台!$B$618:$B$636,0)-1,0))</f>
        <v>3</v>
      </c>
      <c r="H289" s="1">
        <f ca="1">IF(C289=1,OFFSET(控制台!$D$599,MATCH(F289,控制台!$B$599:$B$615,0)-1,0),OFFSET(控制台!$D$618,MATCH(F289,控制台!$B$618:$B$636,0)-1,0))</f>
        <v>302400000</v>
      </c>
      <c r="I289" s="1">
        <f ca="1">IF(E289=1,H289/G289,IF(E289=5,H289/G289*OFFSET(控制台!$D$641,MATCH(B289,控制台!$B$641:$B$645,0)-1,0),H289/G289*OFFSET(控制台!$H$641,MATCH(B289,控制台!$F$641:$F$650,0)-1,0)))</f>
        <v>36654545.4545455</v>
      </c>
      <c r="J289" s="1">
        <f ca="1">$I289/3*控制台!H$102</f>
        <v>12218181.8181818</v>
      </c>
      <c r="K289" s="1">
        <f ca="1">$I289/3*控制台!I$102</f>
        <v>9163636.36363637</v>
      </c>
      <c r="L289" s="1">
        <f ca="1">$I289/3*控制台!J$102</f>
        <v>15272727.2727273</v>
      </c>
      <c r="M289" s="1">
        <f ca="1">_xlfn.FLOOR.MATH(J289,POWER(10,MAX(2,INT(LOG10(J289)-2))))</f>
        <v>12200000</v>
      </c>
      <c r="N289" s="1">
        <f ca="1">_xlfn.FLOOR.MATH(K289,POWER(10,MAX(2,INT(LOG10(K289)-2))))</f>
        <v>9160000</v>
      </c>
      <c r="O289" s="1">
        <f ca="1">_xlfn.FLOOR.MATH(L289,POWER(10,MAX(2,INT(LOG10(L289)-2))))</f>
        <v>15200000</v>
      </c>
      <c r="P289" s="4" t="str">
        <f ca="1" t="shared" si="12"/>
        <v>12200000;9160000;15200000</v>
      </c>
      <c r="Q289" s="15">
        <f ca="1">IF(C289=1,OFFSET(控制台!$H$599,MATCH(F289,控制台!$B$599:$B$615,0)-1,0),OFFSET(控制台!$H$618,MATCH(F289,控制台!$B$618:$B$636,0)-1,0))</f>
        <v>306851.328</v>
      </c>
      <c r="R289" s="15">
        <f ca="1">IF(E289=1,Q289/G289,IF(E289=5,Q289/G289*OFFSET(控制台!$D$641,MATCH(B289,控制台!$B$641:$B$645,0)-1,0),Q289/G289*OFFSET(控制台!$H$641,MATCH(B289,控制台!$F$641:$F$650,0)-1,0)))</f>
        <v>37194.1003636364</v>
      </c>
      <c r="S289" s="16">
        <f ca="1">_xlfn.FLOOR.MATH(R289)*60</f>
        <v>2231640</v>
      </c>
      <c r="T289" s="16">
        <f ca="1">8000+IF(C289=1,OFFSET(控制台!$K$599,MATCH(F289,控制台!$B$599:$B$615,0)-1,0),OFFSET(控制台!$K$618,MATCH(F289,控制台!$B$618:$B$636,0)-1,0))</f>
        <v>8024</v>
      </c>
      <c r="U289" s="1">
        <f ca="1">IF(C289=1,OFFSET(控制台!$F$599,MATCH(F289,控制台!$B$599:$B$615,0)-1,0),OFFSET(控制台!$F$618,MATCH(F289,控制台!$B$618:$B$636,0)-1,0))</f>
        <v>203212.8</v>
      </c>
      <c r="V289" s="1">
        <f ca="1">IF(E289=1,U289/G289,IF(E289=5,U289/G289*OFFSET(控制台!$D$641,MATCH(B289,控制台!$B$641:$B$645,0)-1,0),U289/G289*OFFSET(控制台!$H$641,MATCH(B289,控制台!$F$641:$F$650,0)-1,0)))</f>
        <v>24631.8545454546</v>
      </c>
      <c r="W289" s="20">
        <f ca="1" t="shared" si="13"/>
        <v>17.1054545454546</v>
      </c>
      <c r="X289" s="15">
        <f ca="1">IF(C289=1,OFFSET(控制台!$U$599,MATCH(F289,控制台!$B$599:$B$615,0)-1,0),OFFSET(控制台!$U$618,MATCH(F289,控制台!$B$618:$B$636,0)-1,0))</f>
        <v>614250</v>
      </c>
      <c r="Y289" s="16">
        <f ca="1">_xlfn.FLOOR.MATH(IF(E289=1,X289/G289,IF(E289=5,X289/G289*OFFSET(控制台!$D$641,MATCH(B289,控制台!$B$641:$B$645,0)-1,0),X289/G289*OFFSET(控制台!$H$641,MATCH(B289,控制台!$F$641:$F$650,0)-1,0))))</f>
        <v>74454</v>
      </c>
      <c r="Z289" s="16">
        <f ca="1" t="shared" si="14"/>
        <v>204746</v>
      </c>
    </row>
    <row r="290" spans="1:26">
      <c r="A290" s="1">
        <v>21203</v>
      </c>
      <c r="B290" s="1">
        <v>1</v>
      </c>
      <c r="C290" s="1">
        <v>2</v>
      </c>
      <c r="D290" s="1" t="s">
        <v>2829</v>
      </c>
      <c r="E290" s="1">
        <f ca="1">IF(C290=1,OFFSET(控制台!$F$552,MATCH(A290,控制台!$B$552:$B$580,0)-1,0),OFFSET(控制台!$L$552,MATCH(A290,控制台!$H$552:$H$594,0)-1,0))</f>
        <v>10</v>
      </c>
      <c r="F290" s="1">
        <f ca="1">IF(C290=1,OFFSET(控制台!$D$552,MATCH(A290,控制台!$B$552:$B$580,0)-1,0),OFFSET(控制台!$J$552,MATCH(A290,控制台!$H$552:$H$594,0)-1,0))</f>
        <v>12</v>
      </c>
      <c r="G290" s="1">
        <f ca="1">IF(C290=1,OFFSET(控制台!$I$599,MATCH(F290,控制台!$B$599:$B$615,0)-1,0),OFFSET(控制台!$I$618,MATCH(F290,控制台!$B$618:$B$636,0)-1,0))</f>
        <v>3</v>
      </c>
      <c r="H290" s="1">
        <f ca="1">IF(C290=1,OFFSET(控制台!$D$599,MATCH(F290,控制台!$B$599:$B$615,0)-1,0),OFFSET(控制台!$D$618,MATCH(F290,控制台!$B$618:$B$636,0)-1,0))</f>
        <v>302400000</v>
      </c>
      <c r="I290" s="1">
        <f ca="1">IF(E290=1,H290/G290,IF(E290=5,H290/G290*OFFSET(控制台!$D$641,MATCH(B290,控制台!$B$641:$B$645,0)-1,0),H290/G290*OFFSET(控制台!$H$641,MATCH(B290,控制台!$F$641:$F$650,0)-1,0)))</f>
        <v>916363.636363636</v>
      </c>
      <c r="J290" s="1">
        <f ca="1">$I290/3*控制台!H$102</f>
        <v>305454.545454545</v>
      </c>
      <c r="K290" s="1">
        <f ca="1">$I290/3*控制台!I$102</f>
        <v>229090.909090909</v>
      </c>
      <c r="L290" s="1">
        <f ca="1">$I290/3*控制台!J$102</f>
        <v>381818.181818182</v>
      </c>
      <c r="M290" s="1">
        <f ca="1">_xlfn.FLOOR.MATH(J290,POWER(10,MAX(2,INT(LOG10(J290)-2))))</f>
        <v>305000</v>
      </c>
      <c r="N290" s="1">
        <f ca="1">_xlfn.FLOOR.MATH(K290,POWER(10,MAX(2,INT(LOG10(K290)-2))))</f>
        <v>229000</v>
      </c>
      <c r="O290" s="1">
        <f ca="1">_xlfn.FLOOR.MATH(L290,POWER(10,MAX(2,INT(LOG10(L290)-2))))</f>
        <v>381000</v>
      </c>
      <c r="P290" s="4" t="str">
        <f ca="1" t="shared" si="12"/>
        <v>305000;229000;381000</v>
      </c>
      <c r="Q290" s="15">
        <f ca="1">IF(C290=1,OFFSET(控制台!$H$599,MATCH(F290,控制台!$B$599:$B$615,0)-1,0),OFFSET(控制台!$H$618,MATCH(F290,控制台!$B$618:$B$636,0)-1,0))</f>
        <v>306851.328</v>
      </c>
      <c r="R290" s="15">
        <f ca="1">IF(E290=1,Q290/G290,IF(E290=5,Q290/G290*OFFSET(控制台!$D$641,MATCH(B290,控制台!$B$641:$B$645,0)-1,0),Q290/G290*OFFSET(控制台!$H$641,MATCH(B290,控制台!$F$641:$F$650,0)-1,0)))</f>
        <v>929.852509090909</v>
      </c>
      <c r="S290" s="16">
        <f ca="1">_xlfn.FLOOR.MATH(R290)*60</f>
        <v>55740</v>
      </c>
      <c r="T290" s="16">
        <f ca="1">8000+IF(C290=1,OFFSET(控制台!$K$599,MATCH(F290,控制台!$B$599:$B$615,0)-1,0),OFFSET(控制台!$K$618,MATCH(F290,控制台!$B$618:$B$636,0)-1,0))</f>
        <v>8024</v>
      </c>
      <c r="U290" s="1">
        <f ca="1">IF(C290=1,OFFSET(控制台!$F$599,MATCH(F290,控制台!$B$599:$B$615,0)-1,0),OFFSET(控制台!$F$618,MATCH(F290,控制台!$B$618:$B$636,0)-1,0))</f>
        <v>203212.8</v>
      </c>
      <c r="V290" s="1">
        <f ca="1">IF(E290=1,U290/G290,IF(E290=5,U290/G290*OFFSET(控制台!$D$641,MATCH(B290,控制台!$B$641:$B$645,0)-1,0),U290/G290*OFFSET(控制台!$H$641,MATCH(B290,控制台!$F$641:$F$650,0)-1,0)))</f>
        <v>615.796363636364</v>
      </c>
      <c r="W290" s="20">
        <f ca="1" t="shared" si="13"/>
        <v>0.427636363636364</v>
      </c>
      <c r="X290" s="15">
        <f ca="1">IF(C290=1,OFFSET(控制台!$U$599,MATCH(F290,控制台!$B$599:$B$615,0)-1,0),OFFSET(控制台!$U$618,MATCH(F290,控制台!$B$618:$B$636,0)-1,0))</f>
        <v>614250</v>
      </c>
      <c r="Y290" s="16">
        <f ca="1">_xlfn.FLOOR.MATH(IF(E290=1,X290/G290,IF(E290=5,X290/G290*OFFSET(控制台!$D$641,MATCH(B290,控制台!$B$641:$B$645,0)-1,0),X290/G290*OFFSET(控制台!$H$641,MATCH(B290,控制台!$F$641:$F$650,0)-1,0))))</f>
        <v>1861</v>
      </c>
      <c r="Z290" s="16">
        <f ca="1" t="shared" si="14"/>
        <v>1861</v>
      </c>
    </row>
    <row r="291" spans="1:26">
      <c r="A291" s="1">
        <v>21203</v>
      </c>
      <c r="B291" s="1">
        <v>2</v>
      </c>
      <c r="C291" s="1">
        <v>2</v>
      </c>
      <c r="D291" s="1" t="s">
        <v>2829</v>
      </c>
      <c r="E291" s="1">
        <f ca="1">IF(C291=1,OFFSET(控制台!$F$552,MATCH(A291,控制台!$B$552:$B$580,0)-1,0),OFFSET(控制台!$L$552,MATCH(A291,控制台!$H$552:$H$594,0)-1,0))</f>
        <v>10</v>
      </c>
      <c r="F291" s="1">
        <f ca="1">IF(C291=1,OFFSET(控制台!$D$552,MATCH(A291,控制台!$B$552:$B$580,0)-1,0),OFFSET(控制台!$J$552,MATCH(A291,控制台!$H$552:$H$594,0)-1,0))</f>
        <v>12</v>
      </c>
      <c r="G291" s="1">
        <f ca="1">IF(C291=1,OFFSET(控制台!$I$599,MATCH(F291,控制台!$B$599:$B$615,0)-1,0),OFFSET(控制台!$I$618,MATCH(F291,控制台!$B$618:$B$636,0)-1,0))</f>
        <v>3</v>
      </c>
      <c r="H291" s="1">
        <f ca="1">IF(C291=1,OFFSET(控制台!$D$599,MATCH(F291,控制台!$B$599:$B$615,0)-1,0),OFFSET(控制台!$D$618,MATCH(F291,控制台!$B$618:$B$636,0)-1,0))</f>
        <v>302400000</v>
      </c>
      <c r="I291" s="1">
        <f ca="1">IF(E291=1,H291/G291,IF(E291=5,H291/G291*OFFSET(控制台!$D$641,MATCH(B291,控制台!$B$641:$B$645,0)-1,0),H291/G291*OFFSET(控制台!$H$641,MATCH(B291,控制台!$F$641:$F$650,0)-1,0)))</f>
        <v>1374545.45454545</v>
      </c>
      <c r="J291" s="1">
        <f ca="1">$I291/3*控制台!H$102</f>
        <v>458181.818181817</v>
      </c>
      <c r="K291" s="1">
        <f ca="1">$I291/3*控制台!I$102</f>
        <v>343636.363636363</v>
      </c>
      <c r="L291" s="1">
        <f ca="1">$I291/3*控制台!J$102</f>
        <v>572727.272727271</v>
      </c>
      <c r="M291" s="1">
        <f ca="1">_xlfn.FLOOR.MATH(J291,POWER(10,MAX(2,INT(LOG10(J291)-2))))</f>
        <v>458000</v>
      </c>
      <c r="N291" s="1">
        <f ca="1">_xlfn.FLOOR.MATH(K291,POWER(10,MAX(2,INT(LOG10(K291)-2))))</f>
        <v>343000</v>
      </c>
      <c r="O291" s="1">
        <f ca="1">_xlfn.FLOOR.MATH(L291,POWER(10,MAX(2,INT(LOG10(L291)-2))))</f>
        <v>572000</v>
      </c>
      <c r="P291" s="4" t="str">
        <f ca="1" t="shared" si="12"/>
        <v>458000;343000;572000</v>
      </c>
      <c r="Q291" s="15">
        <f ca="1">IF(C291=1,OFFSET(控制台!$H$599,MATCH(F291,控制台!$B$599:$B$615,0)-1,0),OFFSET(控制台!$H$618,MATCH(F291,控制台!$B$618:$B$636,0)-1,0))</f>
        <v>306851.328</v>
      </c>
      <c r="R291" s="15">
        <f ca="1">IF(E291=1,Q291/G291,IF(E291=5,Q291/G291*OFFSET(控制台!$D$641,MATCH(B291,控制台!$B$641:$B$645,0)-1,0),Q291/G291*OFFSET(控制台!$H$641,MATCH(B291,控制台!$F$641:$F$650,0)-1,0)))</f>
        <v>1394.77876363636</v>
      </c>
      <c r="S291" s="16">
        <f ca="1">_xlfn.FLOOR.MATH(R291)*60</f>
        <v>83640</v>
      </c>
      <c r="T291" s="16">
        <f ca="1">8000+IF(C291=1,OFFSET(控制台!$K$599,MATCH(F291,控制台!$B$599:$B$615,0)-1,0),OFFSET(控制台!$K$618,MATCH(F291,控制台!$B$618:$B$636,0)-1,0))</f>
        <v>8024</v>
      </c>
      <c r="U291" s="1">
        <f ca="1">IF(C291=1,OFFSET(控制台!$F$599,MATCH(F291,控制台!$B$599:$B$615,0)-1,0),OFFSET(控制台!$F$618,MATCH(F291,控制台!$B$618:$B$636,0)-1,0))</f>
        <v>203212.8</v>
      </c>
      <c r="V291" s="1">
        <f ca="1">IF(E291=1,U291/G291,IF(E291=5,U291/G291*OFFSET(控制台!$D$641,MATCH(B291,控制台!$B$641:$B$645,0)-1,0),U291/G291*OFFSET(控制台!$H$641,MATCH(B291,控制台!$F$641:$F$650,0)-1,0)))</f>
        <v>923.694545454543</v>
      </c>
      <c r="W291" s="20">
        <f ca="1" t="shared" si="13"/>
        <v>0.641454545454544</v>
      </c>
      <c r="X291" s="15">
        <f ca="1">IF(C291=1,OFFSET(控制台!$U$599,MATCH(F291,控制台!$B$599:$B$615,0)-1,0),OFFSET(控制台!$U$618,MATCH(F291,控制台!$B$618:$B$636,0)-1,0))</f>
        <v>614250</v>
      </c>
      <c r="Y291" s="16">
        <f ca="1">_xlfn.FLOOR.MATH(IF(E291=1,X291/G291,IF(E291=5,X291/G291*OFFSET(控制台!$D$641,MATCH(B291,控制台!$B$641:$B$645,0)-1,0),X291/G291*OFFSET(控制台!$H$641,MATCH(B291,控制台!$F$641:$F$650,0)-1,0))))</f>
        <v>2792</v>
      </c>
      <c r="Z291" s="16">
        <f ca="1" t="shared" si="14"/>
        <v>4653</v>
      </c>
    </row>
    <row r="292" spans="1:26">
      <c r="A292" s="1">
        <v>21203</v>
      </c>
      <c r="B292" s="1">
        <v>3</v>
      </c>
      <c r="C292" s="1">
        <v>2</v>
      </c>
      <c r="D292" s="1" t="s">
        <v>2829</v>
      </c>
      <c r="E292" s="1">
        <f ca="1">IF(C292=1,OFFSET(控制台!$F$552,MATCH(A292,控制台!$B$552:$B$580,0)-1,0),OFFSET(控制台!$L$552,MATCH(A292,控制台!$H$552:$H$594,0)-1,0))</f>
        <v>10</v>
      </c>
      <c r="F292" s="1">
        <f ca="1">IF(C292=1,OFFSET(控制台!$D$552,MATCH(A292,控制台!$B$552:$B$580,0)-1,0),OFFSET(控制台!$J$552,MATCH(A292,控制台!$H$552:$H$594,0)-1,0))</f>
        <v>12</v>
      </c>
      <c r="G292" s="1">
        <f ca="1">IF(C292=1,OFFSET(控制台!$I$599,MATCH(F292,控制台!$B$599:$B$615,0)-1,0),OFFSET(控制台!$I$618,MATCH(F292,控制台!$B$618:$B$636,0)-1,0))</f>
        <v>3</v>
      </c>
      <c r="H292" s="1">
        <f ca="1">IF(C292=1,OFFSET(控制台!$D$599,MATCH(F292,控制台!$B$599:$B$615,0)-1,0),OFFSET(控制台!$D$618,MATCH(F292,控制台!$B$618:$B$636,0)-1,0))</f>
        <v>302400000</v>
      </c>
      <c r="I292" s="1">
        <f ca="1">IF(E292=1,H292/G292,IF(E292=5,H292/G292*OFFSET(控制台!$D$641,MATCH(B292,控制台!$B$641:$B$645,0)-1,0),H292/G292*OFFSET(控制台!$H$641,MATCH(B292,控制台!$F$641:$F$650,0)-1,0)))</f>
        <v>1832727.27272727</v>
      </c>
      <c r="J292" s="1">
        <f ca="1">$I292/3*控制台!H$102</f>
        <v>610909.090909091</v>
      </c>
      <c r="K292" s="1">
        <f ca="1">$I292/3*控制台!I$102</f>
        <v>458181.818181819</v>
      </c>
      <c r="L292" s="1">
        <f ca="1">$I292/3*控制台!J$102</f>
        <v>763636.363636364</v>
      </c>
      <c r="M292" s="1">
        <f ca="1">_xlfn.FLOOR.MATH(J292,POWER(10,MAX(2,INT(LOG10(J292)-2))))</f>
        <v>610000</v>
      </c>
      <c r="N292" s="1">
        <f ca="1">_xlfn.FLOOR.MATH(K292,POWER(10,MAX(2,INT(LOG10(K292)-2))))</f>
        <v>458000</v>
      </c>
      <c r="O292" s="1">
        <f ca="1">_xlfn.FLOOR.MATH(L292,POWER(10,MAX(2,INT(LOG10(L292)-2))))</f>
        <v>763000</v>
      </c>
      <c r="P292" s="4" t="str">
        <f ca="1" t="shared" si="12"/>
        <v>610000;458000;763000</v>
      </c>
      <c r="Q292" s="15">
        <f ca="1">IF(C292=1,OFFSET(控制台!$H$599,MATCH(F292,控制台!$B$599:$B$615,0)-1,0),OFFSET(控制台!$H$618,MATCH(F292,控制台!$B$618:$B$636,0)-1,0))</f>
        <v>306851.328</v>
      </c>
      <c r="R292" s="15">
        <f ca="1">IF(E292=1,Q292/G292,IF(E292=5,Q292/G292*OFFSET(控制台!$D$641,MATCH(B292,控制台!$B$641:$B$645,0)-1,0),Q292/G292*OFFSET(控制台!$H$641,MATCH(B292,控制台!$F$641:$F$650,0)-1,0)))</f>
        <v>1859.70501818182</v>
      </c>
      <c r="S292" s="16">
        <f ca="1">_xlfn.FLOOR.MATH(R292)*60</f>
        <v>111540</v>
      </c>
      <c r="T292" s="16">
        <f ca="1">8000+IF(C292=1,OFFSET(控制台!$K$599,MATCH(F292,控制台!$B$599:$B$615,0)-1,0),OFFSET(控制台!$K$618,MATCH(F292,控制台!$B$618:$B$636,0)-1,0))</f>
        <v>8024</v>
      </c>
      <c r="U292" s="1">
        <f ca="1">IF(C292=1,OFFSET(控制台!$F$599,MATCH(F292,控制台!$B$599:$B$615,0)-1,0),OFFSET(控制台!$F$618,MATCH(F292,控制台!$B$618:$B$636,0)-1,0))</f>
        <v>203212.8</v>
      </c>
      <c r="V292" s="1">
        <f ca="1">IF(E292=1,U292/G292,IF(E292=5,U292/G292*OFFSET(控制台!$D$641,MATCH(B292,控制台!$B$641:$B$645,0)-1,0),U292/G292*OFFSET(控制台!$H$641,MATCH(B292,控制台!$F$641:$F$650,0)-1,0)))</f>
        <v>1231.59272727273</v>
      </c>
      <c r="W292" s="20">
        <f ca="1" t="shared" si="13"/>
        <v>0.855272727272728</v>
      </c>
      <c r="X292" s="15">
        <f ca="1">IF(C292=1,OFFSET(控制台!$U$599,MATCH(F292,控制台!$B$599:$B$615,0)-1,0),OFFSET(控制台!$U$618,MATCH(F292,控制台!$B$618:$B$636,0)-1,0))</f>
        <v>614250</v>
      </c>
      <c r="Y292" s="16">
        <f ca="1">_xlfn.FLOOR.MATH(IF(E292=1,X292/G292,IF(E292=5,X292/G292*OFFSET(控制台!$D$641,MATCH(B292,控制台!$B$641:$B$645,0)-1,0),X292/G292*OFFSET(控制台!$H$641,MATCH(B292,控制台!$F$641:$F$650,0)-1,0))))</f>
        <v>3722</v>
      </c>
      <c r="Z292" s="16">
        <f ca="1" t="shared" si="14"/>
        <v>8375</v>
      </c>
    </row>
    <row r="293" spans="1:26">
      <c r="A293" s="1">
        <v>21203</v>
      </c>
      <c r="B293" s="1">
        <v>4</v>
      </c>
      <c r="C293" s="1">
        <v>2</v>
      </c>
      <c r="D293" s="1" t="s">
        <v>2829</v>
      </c>
      <c r="E293" s="1">
        <f ca="1">IF(C293=1,OFFSET(控制台!$F$552,MATCH(A293,控制台!$B$552:$B$580,0)-1,0),OFFSET(控制台!$L$552,MATCH(A293,控制台!$H$552:$H$594,0)-1,0))</f>
        <v>10</v>
      </c>
      <c r="F293" s="1">
        <f ca="1">IF(C293=1,OFFSET(控制台!$D$552,MATCH(A293,控制台!$B$552:$B$580,0)-1,0),OFFSET(控制台!$J$552,MATCH(A293,控制台!$H$552:$H$594,0)-1,0))</f>
        <v>12</v>
      </c>
      <c r="G293" s="1">
        <f ca="1">IF(C293=1,OFFSET(控制台!$I$599,MATCH(F293,控制台!$B$599:$B$615,0)-1,0),OFFSET(控制台!$I$618,MATCH(F293,控制台!$B$618:$B$636,0)-1,0))</f>
        <v>3</v>
      </c>
      <c r="H293" s="1">
        <f ca="1">IF(C293=1,OFFSET(控制台!$D$599,MATCH(F293,控制台!$B$599:$B$615,0)-1,0),OFFSET(控制台!$D$618,MATCH(F293,控制台!$B$618:$B$636,0)-1,0))</f>
        <v>302400000</v>
      </c>
      <c r="I293" s="1">
        <f ca="1">IF(E293=1,H293/G293,IF(E293=5,H293/G293*OFFSET(控制台!$D$641,MATCH(B293,控制台!$B$641:$B$645,0)-1,0),H293/G293*OFFSET(控制台!$H$641,MATCH(B293,控制台!$F$641:$F$650,0)-1,0)))</f>
        <v>2749090.90909091</v>
      </c>
      <c r="J293" s="1">
        <f ca="1">$I293/3*控制台!H$102</f>
        <v>916363.636363637</v>
      </c>
      <c r="K293" s="1">
        <f ca="1">$I293/3*控制台!I$102</f>
        <v>687272.727272728</v>
      </c>
      <c r="L293" s="1">
        <f ca="1">$I293/3*控制台!J$102</f>
        <v>1145454.54545455</v>
      </c>
      <c r="M293" s="1">
        <f ca="1">_xlfn.FLOOR.MATH(J293,POWER(10,MAX(2,INT(LOG10(J293)-2))))</f>
        <v>916000</v>
      </c>
      <c r="N293" s="1">
        <f ca="1">_xlfn.FLOOR.MATH(K293,POWER(10,MAX(2,INT(LOG10(K293)-2))))</f>
        <v>687000</v>
      </c>
      <c r="O293" s="1">
        <f ca="1">_xlfn.FLOOR.MATH(L293,POWER(10,MAX(2,INT(LOG10(L293)-2))))</f>
        <v>1140000</v>
      </c>
      <c r="P293" s="4" t="str">
        <f ca="1" t="shared" si="12"/>
        <v>916000;687000;1140000</v>
      </c>
      <c r="Q293" s="15">
        <f ca="1">IF(C293=1,OFFSET(控制台!$H$599,MATCH(F293,控制台!$B$599:$B$615,0)-1,0),OFFSET(控制台!$H$618,MATCH(F293,控制台!$B$618:$B$636,0)-1,0))</f>
        <v>306851.328</v>
      </c>
      <c r="R293" s="15">
        <f ca="1">IF(E293=1,Q293/G293,IF(E293=5,Q293/G293*OFFSET(控制台!$D$641,MATCH(B293,控制台!$B$641:$B$645,0)-1,0),Q293/G293*OFFSET(控制台!$H$641,MATCH(B293,控制台!$F$641:$F$650,0)-1,0)))</f>
        <v>2789.55752727273</v>
      </c>
      <c r="S293" s="16">
        <f ca="1">_xlfn.FLOOR.MATH(R293)*60</f>
        <v>167340</v>
      </c>
      <c r="T293" s="16">
        <f ca="1">8000+IF(C293=1,OFFSET(控制台!$K$599,MATCH(F293,控制台!$B$599:$B$615,0)-1,0),OFFSET(控制台!$K$618,MATCH(F293,控制台!$B$618:$B$636,0)-1,0))</f>
        <v>8024</v>
      </c>
      <c r="U293" s="1">
        <f ca="1">IF(C293=1,OFFSET(控制台!$F$599,MATCH(F293,控制台!$B$599:$B$615,0)-1,0),OFFSET(控制台!$F$618,MATCH(F293,控制台!$B$618:$B$636,0)-1,0))</f>
        <v>203212.8</v>
      </c>
      <c r="V293" s="1">
        <f ca="1">IF(E293=1,U293/G293,IF(E293=5,U293/G293*OFFSET(控制台!$D$641,MATCH(B293,控制台!$B$641:$B$645,0)-1,0),U293/G293*OFFSET(控制台!$H$641,MATCH(B293,控制台!$F$641:$F$650,0)-1,0)))</f>
        <v>1847.38909090909</v>
      </c>
      <c r="W293" s="20">
        <f ca="1" t="shared" si="13"/>
        <v>1.28290909090909</v>
      </c>
      <c r="X293" s="15">
        <f ca="1">IF(C293=1,OFFSET(控制台!$U$599,MATCH(F293,控制台!$B$599:$B$615,0)-1,0),OFFSET(控制台!$U$618,MATCH(F293,控制台!$B$618:$B$636,0)-1,0))</f>
        <v>614250</v>
      </c>
      <c r="Y293" s="16">
        <f ca="1">_xlfn.FLOOR.MATH(IF(E293=1,X293/G293,IF(E293=5,X293/G293*OFFSET(控制台!$D$641,MATCH(B293,控制台!$B$641:$B$645,0)-1,0),X293/G293*OFFSET(控制台!$H$641,MATCH(B293,控制台!$F$641:$F$650,0)-1,0))))</f>
        <v>5584</v>
      </c>
      <c r="Z293" s="16">
        <f ca="1" t="shared" si="14"/>
        <v>13959</v>
      </c>
    </row>
    <row r="294" spans="1:26">
      <c r="A294" s="1">
        <v>21203</v>
      </c>
      <c r="B294" s="1">
        <v>5</v>
      </c>
      <c r="C294" s="1">
        <v>2</v>
      </c>
      <c r="D294" s="1" t="s">
        <v>2829</v>
      </c>
      <c r="E294" s="1">
        <f ca="1">IF(C294=1,OFFSET(控制台!$F$552,MATCH(A294,控制台!$B$552:$B$580,0)-1,0),OFFSET(控制台!$L$552,MATCH(A294,控制台!$H$552:$H$594,0)-1,0))</f>
        <v>10</v>
      </c>
      <c r="F294" s="1">
        <f ca="1">IF(C294=1,OFFSET(控制台!$D$552,MATCH(A294,控制台!$B$552:$B$580,0)-1,0),OFFSET(控制台!$J$552,MATCH(A294,控制台!$H$552:$H$594,0)-1,0))</f>
        <v>12</v>
      </c>
      <c r="G294" s="1">
        <f ca="1">IF(C294=1,OFFSET(控制台!$I$599,MATCH(F294,控制台!$B$599:$B$615,0)-1,0),OFFSET(控制台!$I$618,MATCH(F294,控制台!$B$618:$B$636,0)-1,0))</f>
        <v>3</v>
      </c>
      <c r="H294" s="1">
        <f ca="1">IF(C294=1,OFFSET(控制台!$D$599,MATCH(F294,控制台!$B$599:$B$615,0)-1,0),OFFSET(控制台!$D$618,MATCH(F294,控制台!$B$618:$B$636,0)-1,0))</f>
        <v>302400000</v>
      </c>
      <c r="I294" s="1">
        <f ca="1">IF(E294=1,H294/G294,IF(E294=5,H294/G294*OFFSET(控制台!$D$641,MATCH(B294,控制台!$B$641:$B$645,0)-1,0),H294/G294*OFFSET(控制台!$H$641,MATCH(B294,控制台!$F$641:$F$650,0)-1,0)))</f>
        <v>4581818.18181819</v>
      </c>
      <c r="J294" s="1">
        <f ca="1">$I294/3*控制台!H$102</f>
        <v>1527272.72727273</v>
      </c>
      <c r="K294" s="1">
        <f ca="1">$I294/3*控制台!I$102</f>
        <v>1145454.54545455</v>
      </c>
      <c r="L294" s="1">
        <f ca="1">$I294/3*控制台!J$102</f>
        <v>1909090.90909091</v>
      </c>
      <c r="M294" s="1">
        <f ca="1">_xlfn.FLOOR.MATH(J294,POWER(10,MAX(2,INT(LOG10(J294)-2))))</f>
        <v>1520000</v>
      </c>
      <c r="N294" s="1">
        <f ca="1">_xlfn.FLOOR.MATH(K294,POWER(10,MAX(2,INT(LOG10(K294)-2))))</f>
        <v>1140000</v>
      </c>
      <c r="O294" s="1">
        <f ca="1">_xlfn.FLOOR.MATH(L294,POWER(10,MAX(2,INT(LOG10(L294)-2))))</f>
        <v>1900000</v>
      </c>
      <c r="P294" s="4" t="str">
        <f ca="1" t="shared" si="12"/>
        <v>1520000;1140000;1900000</v>
      </c>
      <c r="Q294" s="15">
        <f ca="1">IF(C294=1,OFFSET(控制台!$H$599,MATCH(F294,控制台!$B$599:$B$615,0)-1,0),OFFSET(控制台!$H$618,MATCH(F294,控制台!$B$618:$B$636,0)-1,0))</f>
        <v>306851.328</v>
      </c>
      <c r="R294" s="15">
        <f ca="1">IF(E294=1,Q294/G294,IF(E294=5,Q294/G294*OFFSET(控制台!$D$641,MATCH(B294,控制台!$B$641:$B$645,0)-1,0),Q294/G294*OFFSET(控制台!$H$641,MATCH(B294,控制台!$F$641:$F$650,0)-1,0)))</f>
        <v>4649.26254545455</v>
      </c>
      <c r="S294" s="16">
        <f ca="1">_xlfn.FLOOR.MATH(R294)*60</f>
        <v>278940</v>
      </c>
      <c r="T294" s="16">
        <f ca="1">8000+IF(C294=1,OFFSET(控制台!$K$599,MATCH(F294,控制台!$B$599:$B$615,0)-1,0),OFFSET(控制台!$K$618,MATCH(F294,控制台!$B$618:$B$636,0)-1,0))</f>
        <v>8024</v>
      </c>
      <c r="U294" s="1">
        <f ca="1">IF(C294=1,OFFSET(控制台!$F$599,MATCH(F294,控制台!$B$599:$B$615,0)-1,0),OFFSET(控制台!$F$618,MATCH(F294,控制台!$B$618:$B$636,0)-1,0))</f>
        <v>203212.8</v>
      </c>
      <c r="V294" s="1">
        <f ca="1">IF(E294=1,U294/G294,IF(E294=5,U294/G294*OFFSET(控制台!$D$641,MATCH(B294,控制台!$B$641:$B$645,0)-1,0),U294/G294*OFFSET(控制台!$H$641,MATCH(B294,控制台!$F$641:$F$650,0)-1,0)))</f>
        <v>3078.98181818182</v>
      </c>
      <c r="W294" s="20">
        <f ca="1" t="shared" si="13"/>
        <v>2.13818181818182</v>
      </c>
      <c r="X294" s="15">
        <f ca="1">IF(C294=1,OFFSET(控制台!$U$599,MATCH(F294,控制台!$B$599:$B$615,0)-1,0),OFFSET(控制台!$U$618,MATCH(F294,控制台!$B$618:$B$636,0)-1,0))</f>
        <v>614250</v>
      </c>
      <c r="Y294" s="16">
        <f ca="1">_xlfn.FLOOR.MATH(IF(E294=1,X294/G294,IF(E294=5,X294/G294*OFFSET(控制台!$D$641,MATCH(B294,控制台!$B$641:$B$645,0)-1,0),X294/G294*OFFSET(控制台!$H$641,MATCH(B294,控制台!$F$641:$F$650,0)-1,0))))</f>
        <v>9306</v>
      </c>
      <c r="Z294" s="16">
        <f ca="1" t="shared" si="14"/>
        <v>23265</v>
      </c>
    </row>
    <row r="295" spans="1:26">
      <c r="A295" s="1">
        <v>21203</v>
      </c>
      <c r="B295" s="1">
        <v>6</v>
      </c>
      <c r="C295" s="1">
        <v>2</v>
      </c>
      <c r="D295" s="1" t="s">
        <v>2829</v>
      </c>
      <c r="E295" s="1">
        <f ca="1">IF(C295=1,OFFSET(控制台!$F$552,MATCH(A295,控制台!$B$552:$B$580,0)-1,0),OFFSET(控制台!$L$552,MATCH(A295,控制台!$H$552:$H$594,0)-1,0))</f>
        <v>10</v>
      </c>
      <c r="F295" s="1">
        <f ca="1">IF(C295=1,OFFSET(控制台!$D$552,MATCH(A295,控制台!$B$552:$B$580,0)-1,0),OFFSET(控制台!$J$552,MATCH(A295,控制台!$H$552:$H$594,0)-1,0))</f>
        <v>12</v>
      </c>
      <c r="G295" s="1">
        <f ca="1">IF(C295=1,OFFSET(控制台!$I$599,MATCH(F295,控制台!$B$599:$B$615,0)-1,0),OFFSET(控制台!$I$618,MATCH(F295,控制台!$B$618:$B$636,0)-1,0))</f>
        <v>3</v>
      </c>
      <c r="H295" s="1">
        <f ca="1">IF(C295=1,OFFSET(控制台!$D$599,MATCH(F295,控制台!$B$599:$B$615,0)-1,0),OFFSET(控制台!$D$618,MATCH(F295,控制台!$B$618:$B$636,0)-1,0))</f>
        <v>302400000</v>
      </c>
      <c r="I295" s="1">
        <f ca="1">IF(E295=1,H295/G295,IF(E295=5,H295/G295*OFFSET(控制台!$D$641,MATCH(B295,控制台!$B$641:$B$645,0)-1,0),H295/G295*OFFSET(控制台!$H$641,MATCH(B295,控制台!$F$641:$F$650,0)-1,0)))</f>
        <v>6872727.27272728</v>
      </c>
      <c r="J295" s="1">
        <f ca="1">$I295/3*控制台!H$102</f>
        <v>2290909.09090909</v>
      </c>
      <c r="K295" s="1">
        <f ca="1">$I295/3*控制台!I$102</f>
        <v>1718181.81818182</v>
      </c>
      <c r="L295" s="1">
        <f ca="1">$I295/3*控制台!J$102</f>
        <v>2863636.36363636</v>
      </c>
      <c r="M295" s="1">
        <f ca="1">_xlfn.FLOOR.MATH(J295,POWER(10,MAX(2,INT(LOG10(J295)-2))))</f>
        <v>2290000</v>
      </c>
      <c r="N295" s="1">
        <f ca="1">_xlfn.FLOOR.MATH(K295,POWER(10,MAX(2,INT(LOG10(K295)-2))))</f>
        <v>1710000</v>
      </c>
      <c r="O295" s="1">
        <f ca="1">_xlfn.FLOOR.MATH(L295,POWER(10,MAX(2,INT(LOG10(L295)-2))))</f>
        <v>2860000</v>
      </c>
      <c r="P295" s="4" t="str">
        <f ca="1" t="shared" si="12"/>
        <v>2290000;1710000;2860000</v>
      </c>
      <c r="Q295" s="15">
        <f ca="1">IF(C295=1,OFFSET(控制台!$H$599,MATCH(F295,控制台!$B$599:$B$615,0)-1,0),OFFSET(控制台!$H$618,MATCH(F295,控制台!$B$618:$B$636,0)-1,0))</f>
        <v>306851.328</v>
      </c>
      <c r="R295" s="15">
        <f ca="1">IF(E295=1,Q295/G295,IF(E295=5,Q295/G295*OFFSET(控制台!$D$641,MATCH(B295,控制台!$B$641:$B$645,0)-1,0),Q295/G295*OFFSET(控制台!$H$641,MATCH(B295,控制台!$F$641:$F$650,0)-1,0)))</f>
        <v>6973.89381818182</v>
      </c>
      <c r="S295" s="16">
        <f ca="1">_xlfn.FLOOR.MATH(R295)*60</f>
        <v>418380</v>
      </c>
      <c r="T295" s="16">
        <f ca="1">8000+IF(C295=1,OFFSET(控制台!$K$599,MATCH(F295,控制台!$B$599:$B$615,0)-1,0),OFFSET(控制台!$K$618,MATCH(F295,控制台!$B$618:$B$636,0)-1,0))</f>
        <v>8024</v>
      </c>
      <c r="U295" s="1">
        <f ca="1">IF(C295=1,OFFSET(控制台!$F$599,MATCH(F295,控制台!$B$599:$B$615,0)-1,0),OFFSET(控制台!$F$618,MATCH(F295,控制台!$B$618:$B$636,0)-1,0))</f>
        <v>203212.8</v>
      </c>
      <c r="V295" s="1">
        <f ca="1">IF(E295=1,U295/G295,IF(E295=5,U295/G295*OFFSET(控制台!$D$641,MATCH(B295,控制台!$B$641:$B$645,0)-1,0),U295/G295*OFFSET(控制台!$H$641,MATCH(B295,控制台!$F$641:$F$650,0)-1,0)))</f>
        <v>4618.47272727273</v>
      </c>
      <c r="W295" s="20">
        <f ca="1" t="shared" si="13"/>
        <v>3.20727272727273</v>
      </c>
      <c r="X295" s="15">
        <f ca="1">IF(C295=1,OFFSET(控制台!$U$599,MATCH(F295,控制台!$B$599:$B$615,0)-1,0),OFFSET(控制台!$U$618,MATCH(F295,控制台!$B$618:$B$636,0)-1,0))</f>
        <v>614250</v>
      </c>
      <c r="Y295" s="16">
        <f ca="1">_xlfn.FLOOR.MATH(IF(E295=1,X295/G295,IF(E295=5,X295/G295*OFFSET(控制台!$D$641,MATCH(B295,控制台!$B$641:$B$645,0)-1,0),X295/G295*OFFSET(控制台!$H$641,MATCH(B295,控制台!$F$641:$F$650,0)-1,0))))</f>
        <v>13960</v>
      </c>
      <c r="Z295" s="16">
        <f ca="1" t="shared" si="14"/>
        <v>37225</v>
      </c>
    </row>
    <row r="296" spans="1:26">
      <c r="A296" s="1">
        <v>21203</v>
      </c>
      <c r="B296" s="1">
        <v>7</v>
      </c>
      <c r="C296" s="1">
        <v>2</v>
      </c>
      <c r="D296" s="1" t="s">
        <v>2829</v>
      </c>
      <c r="E296" s="1">
        <f ca="1">IF(C296=1,OFFSET(控制台!$F$552,MATCH(A296,控制台!$B$552:$B$580,0)-1,0),OFFSET(控制台!$L$552,MATCH(A296,控制台!$H$552:$H$594,0)-1,0))</f>
        <v>10</v>
      </c>
      <c r="F296" s="1">
        <f ca="1">IF(C296=1,OFFSET(控制台!$D$552,MATCH(A296,控制台!$B$552:$B$580,0)-1,0),OFFSET(控制台!$J$552,MATCH(A296,控制台!$H$552:$H$594,0)-1,0))</f>
        <v>12</v>
      </c>
      <c r="G296" s="1">
        <f ca="1">IF(C296=1,OFFSET(控制台!$I$599,MATCH(F296,控制台!$B$599:$B$615,0)-1,0),OFFSET(控制台!$I$618,MATCH(F296,控制台!$B$618:$B$636,0)-1,0))</f>
        <v>3</v>
      </c>
      <c r="H296" s="1">
        <f ca="1">IF(C296=1,OFFSET(控制台!$D$599,MATCH(F296,控制台!$B$599:$B$615,0)-1,0),OFFSET(控制台!$D$618,MATCH(F296,控制台!$B$618:$B$636,0)-1,0))</f>
        <v>302400000</v>
      </c>
      <c r="I296" s="1">
        <f ca="1">IF(E296=1,H296/G296,IF(E296=5,H296/G296*OFFSET(控制台!$D$641,MATCH(B296,控制台!$B$641:$B$645,0)-1,0),H296/G296*OFFSET(控制台!$H$641,MATCH(B296,控制台!$F$641:$F$650,0)-1,0)))</f>
        <v>9163636.36363636</v>
      </c>
      <c r="J296" s="1">
        <f ca="1">$I296/3*控制台!H$102</f>
        <v>3054545.45454545</v>
      </c>
      <c r="K296" s="1">
        <f ca="1">$I296/3*控制台!I$102</f>
        <v>2290909.09090909</v>
      </c>
      <c r="L296" s="1">
        <f ca="1">$I296/3*控制台!J$102</f>
        <v>3818181.81818182</v>
      </c>
      <c r="M296" s="1">
        <f ca="1">_xlfn.FLOOR.MATH(J296,POWER(10,MAX(2,INT(LOG10(J296)-2))))</f>
        <v>3050000</v>
      </c>
      <c r="N296" s="1">
        <f ca="1">_xlfn.FLOOR.MATH(K296,POWER(10,MAX(2,INT(LOG10(K296)-2))))</f>
        <v>2290000</v>
      </c>
      <c r="O296" s="1">
        <f ca="1">_xlfn.FLOOR.MATH(L296,POWER(10,MAX(2,INT(LOG10(L296)-2))))</f>
        <v>3810000</v>
      </c>
      <c r="P296" s="4" t="str">
        <f ca="1" t="shared" si="12"/>
        <v>3050000;2290000;3810000</v>
      </c>
      <c r="Q296" s="15">
        <f ca="1">IF(C296=1,OFFSET(控制台!$H$599,MATCH(F296,控制台!$B$599:$B$615,0)-1,0),OFFSET(控制台!$H$618,MATCH(F296,控制台!$B$618:$B$636,0)-1,0))</f>
        <v>306851.328</v>
      </c>
      <c r="R296" s="15">
        <f ca="1">IF(E296=1,Q296/G296,IF(E296=5,Q296/G296*OFFSET(控制台!$D$641,MATCH(B296,控制台!$B$641:$B$645,0)-1,0),Q296/G296*OFFSET(控制台!$H$641,MATCH(B296,控制台!$F$641:$F$650,0)-1,0)))</f>
        <v>9298.52509090909</v>
      </c>
      <c r="S296" s="16">
        <f ca="1">_xlfn.FLOOR.MATH(R296)*60</f>
        <v>557880</v>
      </c>
      <c r="T296" s="16">
        <f ca="1">8000+IF(C296=1,OFFSET(控制台!$K$599,MATCH(F296,控制台!$B$599:$B$615,0)-1,0),OFFSET(控制台!$K$618,MATCH(F296,控制台!$B$618:$B$636,0)-1,0))</f>
        <v>8024</v>
      </c>
      <c r="U296" s="1">
        <f ca="1">IF(C296=1,OFFSET(控制台!$F$599,MATCH(F296,控制台!$B$599:$B$615,0)-1,0),OFFSET(控制台!$F$618,MATCH(F296,控制台!$B$618:$B$636,0)-1,0))</f>
        <v>203212.8</v>
      </c>
      <c r="V296" s="1">
        <f ca="1">IF(E296=1,U296/G296,IF(E296=5,U296/G296*OFFSET(控制台!$D$641,MATCH(B296,控制台!$B$641:$B$645,0)-1,0),U296/G296*OFFSET(控制台!$H$641,MATCH(B296,控制台!$F$641:$F$650,0)-1,0)))</f>
        <v>6157.96363636364</v>
      </c>
      <c r="W296" s="20">
        <f ca="1" t="shared" si="13"/>
        <v>4.27636363636364</v>
      </c>
      <c r="X296" s="15">
        <f ca="1">IF(C296=1,OFFSET(控制台!$U$599,MATCH(F296,控制台!$B$599:$B$615,0)-1,0),OFFSET(控制台!$U$618,MATCH(F296,控制台!$B$618:$B$636,0)-1,0))</f>
        <v>614250</v>
      </c>
      <c r="Y296" s="16">
        <f ca="1">_xlfn.FLOOR.MATH(IF(E296=1,X296/G296,IF(E296=5,X296/G296*OFFSET(控制台!$D$641,MATCH(B296,控制台!$B$641:$B$645,0)-1,0),X296/G296*OFFSET(控制台!$H$641,MATCH(B296,控制台!$F$641:$F$650,0)-1,0))))</f>
        <v>18613</v>
      </c>
      <c r="Z296" s="16">
        <f ca="1" t="shared" si="14"/>
        <v>55838</v>
      </c>
    </row>
    <row r="297" spans="1:26">
      <c r="A297" s="1">
        <v>21203</v>
      </c>
      <c r="B297" s="1">
        <v>8</v>
      </c>
      <c r="C297" s="1">
        <v>2</v>
      </c>
      <c r="D297" s="1" t="s">
        <v>2829</v>
      </c>
      <c r="E297" s="1">
        <f ca="1">IF(C297=1,OFFSET(控制台!$F$552,MATCH(A297,控制台!$B$552:$B$580,0)-1,0),OFFSET(控制台!$L$552,MATCH(A297,控制台!$H$552:$H$594,0)-1,0))</f>
        <v>10</v>
      </c>
      <c r="F297" s="1">
        <f ca="1">IF(C297=1,OFFSET(控制台!$D$552,MATCH(A297,控制台!$B$552:$B$580,0)-1,0),OFFSET(控制台!$J$552,MATCH(A297,控制台!$H$552:$H$594,0)-1,0))</f>
        <v>12</v>
      </c>
      <c r="G297" s="1">
        <f ca="1">IF(C297=1,OFFSET(控制台!$I$599,MATCH(F297,控制台!$B$599:$B$615,0)-1,0),OFFSET(控制台!$I$618,MATCH(F297,控制台!$B$618:$B$636,0)-1,0))</f>
        <v>3</v>
      </c>
      <c r="H297" s="1">
        <f ca="1">IF(C297=1,OFFSET(控制台!$D$599,MATCH(F297,控制台!$B$599:$B$615,0)-1,0),OFFSET(控制台!$D$618,MATCH(F297,控制台!$B$618:$B$636,0)-1,0))</f>
        <v>302400000</v>
      </c>
      <c r="I297" s="1">
        <f ca="1">IF(E297=1,H297/G297,IF(E297=5,H297/G297*OFFSET(控制台!$D$641,MATCH(B297,控制台!$B$641:$B$645,0)-1,0),H297/G297*OFFSET(控制台!$H$641,MATCH(B297,控制台!$F$641:$F$650,0)-1,0)))</f>
        <v>13745454.5454545</v>
      </c>
      <c r="J297" s="1">
        <f ca="1">$I297/3*控制台!H$102</f>
        <v>4581818.18181817</v>
      </c>
      <c r="K297" s="1">
        <f ca="1">$I297/3*控制台!I$102</f>
        <v>3436363.63636363</v>
      </c>
      <c r="L297" s="1">
        <f ca="1">$I297/3*控制台!J$102</f>
        <v>5727272.72727271</v>
      </c>
      <c r="M297" s="1">
        <f ca="1">_xlfn.FLOOR.MATH(J297,POWER(10,MAX(2,INT(LOG10(J297)-2))))</f>
        <v>4580000</v>
      </c>
      <c r="N297" s="1">
        <f ca="1">_xlfn.FLOOR.MATH(K297,POWER(10,MAX(2,INT(LOG10(K297)-2))))</f>
        <v>3430000</v>
      </c>
      <c r="O297" s="1">
        <f ca="1">_xlfn.FLOOR.MATH(L297,POWER(10,MAX(2,INT(LOG10(L297)-2))))</f>
        <v>5720000</v>
      </c>
      <c r="P297" s="4" t="str">
        <f ca="1" t="shared" si="12"/>
        <v>4580000;3430000;5720000</v>
      </c>
      <c r="Q297" s="15">
        <f ca="1">IF(C297=1,OFFSET(控制台!$H$599,MATCH(F297,控制台!$B$599:$B$615,0)-1,0),OFFSET(控制台!$H$618,MATCH(F297,控制台!$B$618:$B$636,0)-1,0))</f>
        <v>306851.328</v>
      </c>
      <c r="R297" s="15">
        <f ca="1">IF(E297=1,Q297/G297,IF(E297=5,Q297/G297*OFFSET(控制台!$D$641,MATCH(B297,控制台!$B$641:$B$645,0)-1,0),Q297/G297*OFFSET(控制台!$H$641,MATCH(B297,控制台!$F$641:$F$650,0)-1,0)))</f>
        <v>13947.7876363636</v>
      </c>
      <c r="S297" s="16">
        <f ca="1">_xlfn.FLOOR.MATH(R297)*60</f>
        <v>836820</v>
      </c>
      <c r="T297" s="16">
        <f ca="1">8000+IF(C297=1,OFFSET(控制台!$K$599,MATCH(F297,控制台!$B$599:$B$615,0)-1,0),OFFSET(控制台!$K$618,MATCH(F297,控制台!$B$618:$B$636,0)-1,0))</f>
        <v>8024</v>
      </c>
      <c r="U297" s="1">
        <f ca="1">IF(C297=1,OFFSET(控制台!$F$599,MATCH(F297,控制台!$B$599:$B$615,0)-1,0),OFFSET(控制台!$F$618,MATCH(F297,控制台!$B$618:$B$636,0)-1,0))</f>
        <v>203212.8</v>
      </c>
      <c r="V297" s="1">
        <f ca="1">IF(E297=1,U297/G297,IF(E297=5,U297/G297*OFFSET(控制台!$D$641,MATCH(B297,控制台!$B$641:$B$645,0)-1,0),U297/G297*OFFSET(控制台!$H$641,MATCH(B297,控制台!$F$641:$F$650,0)-1,0)))</f>
        <v>9236.94545454543</v>
      </c>
      <c r="W297" s="20">
        <f ca="1" t="shared" si="13"/>
        <v>6.41454545454544</v>
      </c>
      <c r="X297" s="15">
        <f ca="1">IF(C297=1,OFFSET(控制台!$U$599,MATCH(F297,控制台!$B$599:$B$615,0)-1,0),OFFSET(控制台!$U$618,MATCH(F297,控制台!$B$618:$B$636,0)-1,0))</f>
        <v>614250</v>
      </c>
      <c r="Y297" s="16">
        <f ca="1">_xlfn.FLOOR.MATH(IF(E297=1,X297/G297,IF(E297=5,X297/G297*OFFSET(控制台!$D$641,MATCH(B297,控制台!$B$641:$B$645,0)-1,0),X297/G297*OFFSET(控制台!$H$641,MATCH(B297,控制台!$F$641:$F$650,0)-1,0))))</f>
        <v>27920</v>
      </c>
      <c r="Z297" s="16">
        <f ca="1" t="shared" si="14"/>
        <v>83758</v>
      </c>
    </row>
    <row r="298" spans="1:26">
      <c r="A298" s="1">
        <v>21203</v>
      </c>
      <c r="B298" s="1">
        <v>9</v>
      </c>
      <c r="C298" s="1">
        <v>2</v>
      </c>
      <c r="D298" s="1" t="s">
        <v>2829</v>
      </c>
      <c r="E298" s="1">
        <f ca="1">IF(C298=1,OFFSET(控制台!$F$552,MATCH(A298,控制台!$B$552:$B$580,0)-1,0),OFFSET(控制台!$L$552,MATCH(A298,控制台!$H$552:$H$594,0)-1,0))</f>
        <v>10</v>
      </c>
      <c r="F298" s="1">
        <f ca="1">IF(C298=1,OFFSET(控制台!$D$552,MATCH(A298,控制台!$B$552:$B$580,0)-1,0),OFFSET(控制台!$J$552,MATCH(A298,控制台!$H$552:$H$594,0)-1,0))</f>
        <v>12</v>
      </c>
      <c r="G298" s="1">
        <f ca="1">IF(C298=1,OFFSET(控制台!$I$599,MATCH(F298,控制台!$B$599:$B$615,0)-1,0),OFFSET(控制台!$I$618,MATCH(F298,控制台!$B$618:$B$636,0)-1,0))</f>
        <v>3</v>
      </c>
      <c r="H298" s="1">
        <f ca="1">IF(C298=1,OFFSET(控制台!$D$599,MATCH(F298,控制台!$B$599:$B$615,0)-1,0),OFFSET(控制台!$D$618,MATCH(F298,控制台!$B$618:$B$636,0)-1,0))</f>
        <v>302400000</v>
      </c>
      <c r="I298" s="1">
        <f ca="1">IF(E298=1,H298/G298,IF(E298=5,H298/G298*OFFSET(控制台!$D$641,MATCH(B298,控制台!$B$641:$B$645,0)-1,0),H298/G298*OFFSET(控制台!$H$641,MATCH(B298,控制台!$F$641:$F$650,0)-1,0)))</f>
        <v>22909090.9090909</v>
      </c>
      <c r="J298" s="1">
        <f ca="1">$I298/3*控制台!H$102</f>
        <v>7636363.63636363</v>
      </c>
      <c r="K298" s="1">
        <f ca="1">$I298/3*控制台!I$102</f>
        <v>5727272.72727272</v>
      </c>
      <c r="L298" s="1">
        <f ca="1">$I298/3*控制台!J$102</f>
        <v>9545454.54545453</v>
      </c>
      <c r="M298" s="1">
        <f ca="1">_xlfn.FLOOR.MATH(J298,POWER(10,MAX(2,INT(LOG10(J298)-2))))</f>
        <v>7630000</v>
      </c>
      <c r="N298" s="1">
        <f ca="1">_xlfn.FLOOR.MATH(K298,POWER(10,MAX(2,INT(LOG10(K298)-2))))</f>
        <v>5720000</v>
      </c>
      <c r="O298" s="1">
        <f ca="1">_xlfn.FLOOR.MATH(L298,POWER(10,MAX(2,INT(LOG10(L298)-2))))</f>
        <v>9540000</v>
      </c>
      <c r="P298" s="4" t="str">
        <f ca="1" t="shared" si="12"/>
        <v>7630000;5720000;9540000</v>
      </c>
      <c r="Q298" s="15">
        <f ca="1">IF(C298=1,OFFSET(控制台!$H$599,MATCH(F298,控制台!$B$599:$B$615,0)-1,0),OFFSET(控制台!$H$618,MATCH(F298,控制台!$B$618:$B$636,0)-1,0))</f>
        <v>306851.328</v>
      </c>
      <c r="R298" s="15">
        <f ca="1">IF(E298=1,Q298/G298,IF(E298=5,Q298/G298*OFFSET(控制台!$D$641,MATCH(B298,控制台!$B$641:$B$645,0)-1,0),Q298/G298*OFFSET(控制台!$H$641,MATCH(B298,控制台!$F$641:$F$650,0)-1,0)))</f>
        <v>23246.3127272727</v>
      </c>
      <c r="S298" s="16">
        <f ca="1">_xlfn.FLOOR.MATH(R298)*60</f>
        <v>1394760</v>
      </c>
      <c r="T298" s="16">
        <f ca="1">8000+IF(C298=1,OFFSET(控制台!$K$599,MATCH(F298,控制台!$B$599:$B$615,0)-1,0),OFFSET(控制台!$K$618,MATCH(F298,控制台!$B$618:$B$636,0)-1,0))</f>
        <v>8024</v>
      </c>
      <c r="U298" s="1">
        <f ca="1">IF(C298=1,OFFSET(控制台!$F$599,MATCH(F298,控制台!$B$599:$B$615,0)-1,0),OFFSET(控制台!$F$618,MATCH(F298,控制台!$B$618:$B$636,0)-1,0))</f>
        <v>203212.8</v>
      </c>
      <c r="V298" s="1">
        <f ca="1">IF(E298=1,U298/G298,IF(E298=5,U298/G298*OFFSET(控制台!$D$641,MATCH(B298,控制台!$B$641:$B$645,0)-1,0),U298/G298*OFFSET(控制台!$H$641,MATCH(B298,控制台!$F$641:$F$650,0)-1,0)))</f>
        <v>15394.9090909091</v>
      </c>
      <c r="W298" s="20">
        <f ca="1" t="shared" si="13"/>
        <v>10.6909090909091</v>
      </c>
      <c r="X298" s="15">
        <f ca="1">IF(C298=1,OFFSET(控制台!$U$599,MATCH(F298,控制台!$B$599:$B$615,0)-1,0),OFFSET(控制台!$U$618,MATCH(F298,控制台!$B$618:$B$636,0)-1,0))</f>
        <v>614250</v>
      </c>
      <c r="Y298" s="16">
        <f ca="1">_xlfn.FLOOR.MATH(IF(E298=1,X298/G298,IF(E298=5,X298/G298*OFFSET(控制台!$D$641,MATCH(B298,控制台!$B$641:$B$645,0)-1,0),X298/G298*OFFSET(控制台!$H$641,MATCH(B298,控制台!$F$641:$F$650,0)-1,0))))</f>
        <v>46534</v>
      </c>
      <c r="Z298" s="16">
        <f ca="1" t="shared" si="14"/>
        <v>130292</v>
      </c>
    </row>
    <row r="299" spans="1:26">
      <c r="A299" s="1">
        <v>21203</v>
      </c>
      <c r="B299" s="1">
        <v>10</v>
      </c>
      <c r="C299" s="1">
        <v>2</v>
      </c>
      <c r="D299" s="1" t="s">
        <v>2829</v>
      </c>
      <c r="E299" s="1">
        <f ca="1">IF(C299=1,OFFSET(控制台!$F$552,MATCH(A299,控制台!$B$552:$B$580,0)-1,0),OFFSET(控制台!$L$552,MATCH(A299,控制台!$H$552:$H$594,0)-1,0))</f>
        <v>10</v>
      </c>
      <c r="F299" s="1">
        <f ca="1">IF(C299=1,OFFSET(控制台!$D$552,MATCH(A299,控制台!$B$552:$B$580,0)-1,0),OFFSET(控制台!$J$552,MATCH(A299,控制台!$H$552:$H$594,0)-1,0))</f>
        <v>12</v>
      </c>
      <c r="G299" s="1">
        <f ca="1">IF(C299=1,OFFSET(控制台!$I$599,MATCH(F299,控制台!$B$599:$B$615,0)-1,0),OFFSET(控制台!$I$618,MATCH(F299,控制台!$B$618:$B$636,0)-1,0))</f>
        <v>3</v>
      </c>
      <c r="H299" s="1">
        <f ca="1">IF(C299=1,OFFSET(控制台!$D$599,MATCH(F299,控制台!$B$599:$B$615,0)-1,0),OFFSET(控制台!$D$618,MATCH(F299,控制台!$B$618:$B$636,0)-1,0))</f>
        <v>302400000</v>
      </c>
      <c r="I299" s="1">
        <f ca="1">IF(E299=1,H299/G299,IF(E299=5,H299/G299*OFFSET(控制台!$D$641,MATCH(B299,控制台!$B$641:$B$645,0)-1,0),H299/G299*OFFSET(控制台!$H$641,MATCH(B299,控制台!$F$641:$F$650,0)-1,0)))</f>
        <v>36654545.4545455</v>
      </c>
      <c r="J299" s="1">
        <f ca="1">$I299/3*控制台!H$102</f>
        <v>12218181.8181818</v>
      </c>
      <c r="K299" s="1">
        <f ca="1">$I299/3*控制台!I$102</f>
        <v>9163636.36363637</v>
      </c>
      <c r="L299" s="1">
        <f ca="1">$I299/3*控制台!J$102</f>
        <v>15272727.2727273</v>
      </c>
      <c r="M299" s="1">
        <f ca="1">_xlfn.FLOOR.MATH(J299,POWER(10,MAX(2,INT(LOG10(J299)-2))))</f>
        <v>12200000</v>
      </c>
      <c r="N299" s="1">
        <f ca="1">_xlfn.FLOOR.MATH(K299,POWER(10,MAX(2,INT(LOG10(K299)-2))))</f>
        <v>9160000</v>
      </c>
      <c r="O299" s="1">
        <f ca="1">_xlfn.FLOOR.MATH(L299,POWER(10,MAX(2,INT(LOG10(L299)-2))))</f>
        <v>15200000</v>
      </c>
      <c r="P299" s="4" t="str">
        <f ca="1" t="shared" si="12"/>
        <v>12200000;9160000;15200000</v>
      </c>
      <c r="Q299" s="15">
        <f ca="1">IF(C299=1,OFFSET(控制台!$H$599,MATCH(F299,控制台!$B$599:$B$615,0)-1,0),OFFSET(控制台!$H$618,MATCH(F299,控制台!$B$618:$B$636,0)-1,0))</f>
        <v>306851.328</v>
      </c>
      <c r="R299" s="15">
        <f ca="1">IF(E299=1,Q299/G299,IF(E299=5,Q299/G299*OFFSET(控制台!$D$641,MATCH(B299,控制台!$B$641:$B$645,0)-1,0),Q299/G299*OFFSET(控制台!$H$641,MATCH(B299,控制台!$F$641:$F$650,0)-1,0)))</f>
        <v>37194.1003636364</v>
      </c>
      <c r="S299" s="16">
        <f ca="1">_xlfn.FLOOR.MATH(R299)*60</f>
        <v>2231640</v>
      </c>
      <c r="T299" s="16">
        <f ca="1">8000+IF(C299=1,OFFSET(控制台!$K$599,MATCH(F299,控制台!$B$599:$B$615,0)-1,0),OFFSET(控制台!$K$618,MATCH(F299,控制台!$B$618:$B$636,0)-1,0))</f>
        <v>8024</v>
      </c>
      <c r="U299" s="1">
        <f ca="1">IF(C299=1,OFFSET(控制台!$F$599,MATCH(F299,控制台!$B$599:$B$615,0)-1,0),OFFSET(控制台!$F$618,MATCH(F299,控制台!$B$618:$B$636,0)-1,0))</f>
        <v>203212.8</v>
      </c>
      <c r="V299" s="1">
        <f ca="1">IF(E299=1,U299/G299,IF(E299=5,U299/G299*OFFSET(控制台!$D$641,MATCH(B299,控制台!$B$641:$B$645,0)-1,0),U299/G299*OFFSET(控制台!$H$641,MATCH(B299,控制台!$F$641:$F$650,0)-1,0)))</f>
        <v>24631.8545454546</v>
      </c>
      <c r="W299" s="20">
        <f ca="1" t="shared" si="13"/>
        <v>17.1054545454546</v>
      </c>
      <c r="X299" s="15">
        <f ca="1">IF(C299=1,OFFSET(控制台!$U$599,MATCH(F299,控制台!$B$599:$B$615,0)-1,0),OFFSET(控制台!$U$618,MATCH(F299,控制台!$B$618:$B$636,0)-1,0))</f>
        <v>614250</v>
      </c>
      <c r="Y299" s="16">
        <f ca="1">_xlfn.FLOOR.MATH(IF(E299=1,X299/G299,IF(E299=5,X299/G299*OFFSET(控制台!$D$641,MATCH(B299,控制台!$B$641:$B$645,0)-1,0),X299/G299*OFFSET(控制台!$H$641,MATCH(B299,控制台!$F$641:$F$650,0)-1,0))))</f>
        <v>74454</v>
      </c>
      <c r="Z299" s="16">
        <f ca="1" t="shared" si="14"/>
        <v>204746</v>
      </c>
    </row>
    <row r="300" spans="1:26">
      <c r="A300" s="1">
        <v>21301</v>
      </c>
      <c r="B300" s="1">
        <v>1</v>
      </c>
      <c r="C300" s="1">
        <v>2</v>
      </c>
      <c r="D300" s="1" t="s">
        <v>2830</v>
      </c>
      <c r="E300" s="1">
        <f ca="1">IF(C300=1,OFFSET(控制台!$F$552,MATCH(A300,控制台!$B$552:$B$580,0)-1,0),OFFSET(控制台!$L$552,MATCH(A300,控制台!$H$552:$H$594,0)-1,0))</f>
        <v>1</v>
      </c>
      <c r="F300" s="1">
        <f ca="1">IF(C300=1,OFFSET(控制台!$D$552,MATCH(A300,控制台!$B$552:$B$580,0)-1,0),OFFSET(控制台!$J$552,MATCH(A300,控制台!$H$552:$H$594,0)-1,0))</f>
        <v>13</v>
      </c>
      <c r="G300" s="1">
        <f ca="1">IF(C300=1,OFFSET(控制台!$I$599,MATCH(F300,控制台!$B$599:$B$615,0)-1,0),OFFSET(控制台!$I$618,MATCH(F300,控制台!$B$618:$B$636,0)-1,0))</f>
        <v>3</v>
      </c>
      <c r="H300" s="1">
        <f ca="1">IF(C300=1,OFFSET(控制台!$D$599,MATCH(F300,控制台!$B$599:$B$615,0)-1,0),OFFSET(控制台!$D$618,MATCH(F300,控制台!$B$618:$B$636,0)-1,0))</f>
        <v>201600000</v>
      </c>
      <c r="I300" s="1">
        <f ca="1">IF(E300=1,H300/G300,IF(E300=5,H300/G300*OFFSET(控制台!$D$641,MATCH(B300,控制台!$B$641:$B$645,0)-1,0),H300/G300*OFFSET(控制台!$H$641,MATCH(B300,控制台!$F$641:$F$650,0)-1,0)))</f>
        <v>67200000</v>
      </c>
      <c r="J300" s="1">
        <f ca="1">$I300/3*控制台!H$102</f>
        <v>22400000</v>
      </c>
      <c r="K300" s="1">
        <f ca="1">$I300/3*控制台!I$102</f>
        <v>16800000</v>
      </c>
      <c r="L300" s="1">
        <f ca="1">$I300/3*控制台!J$102</f>
        <v>28000000</v>
      </c>
      <c r="M300" s="1">
        <f ca="1">_xlfn.FLOOR.MATH(J300,POWER(10,MAX(2,INT(LOG10(J300)-2))))</f>
        <v>22400000</v>
      </c>
      <c r="N300" s="1">
        <f ca="1">_xlfn.FLOOR.MATH(K300,POWER(10,MAX(2,INT(LOG10(K300)-2))))</f>
        <v>16800000</v>
      </c>
      <c r="O300" s="1">
        <f ca="1">_xlfn.FLOOR.MATH(L300,POWER(10,MAX(2,INT(LOG10(L300)-2))))</f>
        <v>28000000</v>
      </c>
      <c r="P300" s="4" t="str">
        <f ca="1" t="shared" si="12"/>
        <v>22400000;16800000;28000000</v>
      </c>
      <c r="Q300" s="15">
        <f ca="1">IF(C300=1,OFFSET(控制台!$H$599,MATCH(F300,控制台!$B$599:$B$615,0)-1,0),OFFSET(控制台!$H$618,MATCH(F300,控制台!$B$618:$B$636,0)-1,0))</f>
        <v>175343.616</v>
      </c>
      <c r="R300" s="15">
        <f ca="1">IF(E300=1,Q300/G300,IF(E300=5,Q300/G300*OFFSET(控制台!$D$641,MATCH(B300,控制台!$B$641:$B$645,0)-1,0),Q300/G300*OFFSET(控制台!$H$641,MATCH(B300,控制台!$F$641:$F$650,0)-1,0)))</f>
        <v>58447.872</v>
      </c>
      <c r="S300" s="16">
        <f ca="1">_xlfn.FLOOR.MATH(R300)*60</f>
        <v>3506820</v>
      </c>
      <c r="T300" s="16">
        <f ca="1">8000+IF(C300=1,OFFSET(控制台!$K$599,MATCH(F300,控制台!$B$599:$B$615,0)-1,0),OFFSET(控制台!$K$618,MATCH(F300,控制台!$B$618:$B$636,0)-1,0))</f>
        <v>8026</v>
      </c>
      <c r="U300" s="1">
        <f ca="1">IF(C300=1,OFFSET(控制台!$F$599,MATCH(F300,控制台!$B$599:$B$615,0)-1,0),OFFSET(控制台!$F$618,MATCH(F300,控制台!$B$618:$B$636,0)-1,0))</f>
        <v>116121.6</v>
      </c>
      <c r="V300" s="1">
        <f ca="1">IF(E300=1,U300/G300,IF(E300=5,U300/G300*OFFSET(控制台!$D$641,MATCH(B300,控制台!$B$641:$B$645,0)-1,0),U300/G300*OFFSET(控制台!$H$641,MATCH(B300,控制台!$F$641:$F$650,0)-1,0)))</f>
        <v>38707.2</v>
      </c>
      <c r="W300" s="20">
        <f ca="1" t="shared" si="13"/>
        <v>26.88</v>
      </c>
      <c r="X300" s="15">
        <f ca="1">IF(C300=1,OFFSET(控制台!$U$599,MATCH(F300,控制台!$B$599:$B$615,0)-1,0),OFFSET(控制台!$U$618,MATCH(F300,控制台!$B$618:$B$636,0)-1,0))</f>
        <v>357000</v>
      </c>
      <c r="Y300" s="16">
        <f ca="1">_xlfn.FLOOR.MATH(IF(E300=1,X300/G300,IF(E300=5,X300/G300*OFFSET(控制台!$D$641,MATCH(B300,控制台!$B$641:$B$645,0)-1,0),X300/G300*OFFSET(控制台!$H$641,MATCH(B300,控制台!$F$641:$F$650,0)-1,0))))</f>
        <v>119000</v>
      </c>
      <c r="Z300" s="16">
        <f ca="1" t="shared" si="14"/>
        <v>119000</v>
      </c>
    </row>
    <row r="301" spans="1:26">
      <c r="A301" s="1">
        <v>21302</v>
      </c>
      <c r="B301" s="1">
        <v>1</v>
      </c>
      <c r="C301" s="1">
        <v>2</v>
      </c>
      <c r="D301" s="1" t="s">
        <v>2831</v>
      </c>
      <c r="E301" s="1">
        <f ca="1">IF(C301=1,OFFSET(控制台!$F$552,MATCH(A301,控制台!$B$552:$B$580,0)-1,0),OFFSET(控制台!$L$552,MATCH(A301,控制台!$H$552:$H$594,0)-1,0))</f>
        <v>1</v>
      </c>
      <c r="F301" s="1">
        <f ca="1">IF(C301=1,OFFSET(控制台!$D$552,MATCH(A301,控制台!$B$552:$B$580,0)-1,0),OFFSET(控制台!$J$552,MATCH(A301,控制台!$H$552:$H$594,0)-1,0))</f>
        <v>13</v>
      </c>
      <c r="G301" s="1">
        <f ca="1">IF(C301=1,OFFSET(控制台!$I$599,MATCH(F301,控制台!$B$599:$B$615,0)-1,0),OFFSET(控制台!$I$618,MATCH(F301,控制台!$B$618:$B$636,0)-1,0))</f>
        <v>3</v>
      </c>
      <c r="H301" s="1">
        <f ca="1">IF(C301=1,OFFSET(控制台!$D$599,MATCH(F301,控制台!$B$599:$B$615,0)-1,0),OFFSET(控制台!$D$618,MATCH(F301,控制台!$B$618:$B$636,0)-1,0))</f>
        <v>201600000</v>
      </c>
      <c r="I301" s="1">
        <f ca="1">IF(E301=1,H301/G301,IF(E301=5,H301/G301*OFFSET(控制台!$D$641,MATCH(B301,控制台!$B$641:$B$645,0)-1,0),H301/G301*OFFSET(控制台!$H$641,MATCH(B301,控制台!$F$641:$F$650,0)-1,0)))</f>
        <v>67200000</v>
      </c>
      <c r="J301" s="1">
        <f ca="1">$I301/3*控制台!H$102</f>
        <v>22400000</v>
      </c>
      <c r="K301" s="1">
        <f ca="1">$I301/3*控制台!I$102</f>
        <v>16800000</v>
      </c>
      <c r="L301" s="1">
        <f ca="1">$I301/3*控制台!J$102</f>
        <v>28000000</v>
      </c>
      <c r="M301" s="1">
        <f ca="1">_xlfn.FLOOR.MATH(J301,POWER(10,MAX(2,INT(LOG10(J301)-2))))</f>
        <v>22400000</v>
      </c>
      <c r="N301" s="1">
        <f ca="1">_xlfn.FLOOR.MATH(K301,POWER(10,MAX(2,INT(LOG10(K301)-2))))</f>
        <v>16800000</v>
      </c>
      <c r="O301" s="1">
        <f ca="1">_xlfn.FLOOR.MATH(L301,POWER(10,MAX(2,INT(LOG10(L301)-2))))</f>
        <v>28000000</v>
      </c>
      <c r="P301" s="4" t="str">
        <f ca="1" t="shared" si="12"/>
        <v>22400000;16800000;28000000</v>
      </c>
      <c r="Q301" s="15">
        <f ca="1">IF(C301=1,OFFSET(控制台!$H$599,MATCH(F301,控制台!$B$599:$B$615,0)-1,0),OFFSET(控制台!$H$618,MATCH(F301,控制台!$B$618:$B$636,0)-1,0))</f>
        <v>175343.616</v>
      </c>
      <c r="R301" s="15">
        <f ca="1">IF(E301=1,Q301/G301,IF(E301=5,Q301/G301*OFFSET(控制台!$D$641,MATCH(B301,控制台!$B$641:$B$645,0)-1,0),Q301/G301*OFFSET(控制台!$H$641,MATCH(B301,控制台!$F$641:$F$650,0)-1,0)))</f>
        <v>58447.872</v>
      </c>
      <c r="S301" s="16">
        <f ca="1">_xlfn.FLOOR.MATH(R301)*60</f>
        <v>3506820</v>
      </c>
      <c r="T301" s="16">
        <f ca="1">8000+IF(C301=1,OFFSET(控制台!$K$599,MATCH(F301,控制台!$B$599:$B$615,0)-1,0),OFFSET(控制台!$K$618,MATCH(F301,控制台!$B$618:$B$636,0)-1,0))</f>
        <v>8026</v>
      </c>
      <c r="U301" s="1">
        <f ca="1">IF(C301=1,OFFSET(控制台!$F$599,MATCH(F301,控制台!$B$599:$B$615,0)-1,0),OFFSET(控制台!$F$618,MATCH(F301,控制台!$B$618:$B$636,0)-1,0))</f>
        <v>116121.6</v>
      </c>
      <c r="V301" s="1">
        <f ca="1">IF(E301=1,U301/G301,IF(E301=5,U301/G301*OFFSET(控制台!$D$641,MATCH(B301,控制台!$B$641:$B$645,0)-1,0),U301/G301*OFFSET(控制台!$H$641,MATCH(B301,控制台!$F$641:$F$650,0)-1,0)))</f>
        <v>38707.2</v>
      </c>
      <c r="W301" s="20">
        <f ca="1" t="shared" si="13"/>
        <v>26.88</v>
      </c>
      <c r="X301" s="15">
        <f ca="1">IF(C301=1,OFFSET(控制台!$U$599,MATCH(F301,控制台!$B$599:$B$615,0)-1,0),OFFSET(控制台!$U$618,MATCH(F301,控制台!$B$618:$B$636,0)-1,0))</f>
        <v>357000</v>
      </c>
      <c r="Y301" s="16">
        <f ca="1">_xlfn.FLOOR.MATH(IF(E301=1,X301/G301,IF(E301=5,X301/G301*OFFSET(控制台!$D$641,MATCH(B301,控制台!$B$641:$B$645,0)-1,0),X301/G301*OFFSET(控制台!$H$641,MATCH(B301,控制台!$F$641:$F$650,0)-1,0))))</f>
        <v>119000</v>
      </c>
      <c r="Z301" s="16">
        <f ca="1" t="shared" si="14"/>
        <v>119000</v>
      </c>
    </row>
    <row r="302" spans="1:26">
      <c r="A302" s="1">
        <v>21303</v>
      </c>
      <c r="B302" s="1">
        <v>1</v>
      </c>
      <c r="C302" s="1">
        <v>2</v>
      </c>
      <c r="D302" s="1" t="s">
        <v>2832</v>
      </c>
      <c r="E302" s="1">
        <f ca="1">IF(C302=1,OFFSET(控制台!$F$552,MATCH(A302,控制台!$B$552:$B$580,0)-1,0),OFFSET(控制台!$L$552,MATCH(A302,控制台!$H$552:$H$594,0)-1,0))</f>
        <v>1</v>
      </c>
      <c r="F302" s="1">
        <f ca="1">IF(C302=1,OFFSET(控制台!$D$552,MATCH(A302,控制台!$B$552:$B$580,0)-1,0),OFFSET(控制台!$J$552,MATCH(A302,控制台!$H$552:$H$594,0)-1,0))</f>
        <v>13</v>
      </c>
      <c r="G302" s="1">
        <f ca="1">IF(C302=1,OFFSET(控制台!$I$599,MATCH(F302,控制台!$B$599:$B$615,0)-1,0),OFFSET(控制台!$I$618,MATCH(F302,控制台!$B$618:$B$636,0)-1,0))</f>
        <v>3</v>
      </c>
      <c r="H302" s="1">
        <f ca="1">IF(C302=1,OFFSET(控制台!$D$599,MATCH(F302,控制台!$B$599:$B$615,0)-1,0),OFFSET(控制台!$D$618,MATCH(F302,控制台!$B$618:$B$636,0)-1,0))</f>
        <v>201600000</v>
      </c>
      <c r="I302" s="1">
        <f ca="1">IF(E302=1,H302/G302,IF(E302=5,H302/G302*OFFSET(控制台!$D$641,MATCH(B302,控制台!$B$641:$B$645,0)-1,0),H302/G302*OFFSET(控制台!$H$641,MATCH(B302,控制台!$F$641:$F$650,0)-1,0)))</f>
        <v>67200000</v>
      </c>
      <c r="J302" s="1">
        <f ca="1">$I302/3*控制台!H$102</f>
        <v>22400000</v>
      </c>
      <c r="K302" s="1">
        <f ca="1">$I302/3*控制台!I$102</f>
        <v>16800000</v>
      </c>
      <c r="L302" s="1">
        <f ca="1">$I302/3*控制台!J$102</f>
        <v>28000000</v>
      </c>
      <c r="M302" s="1">
        <f ca="1">_xlfn.FLOOR.MATH(J302,POWER(10,MAX(2,INT(LOG10(J302)-2))))</f>
        <v>22400000</v>
      </c>
      <c r="N302" s="1">
        <f ca="1">_xlfn.FLOOR.MATH(K302,POWER(10,MAX(2,INT(LOG10(K302)-2))))</f>
        <v>16800000</v>
      </c>
      <c r="O302" s="1">
        <f ca="1">_xlfn.FLOOR.MATH(L302,POWER(10,MAX(2,INT(LOG10(L302)-2))))</f>
        <v>28000000</v>
      </c>
      <c r="P302" s="4" t="str">
        <f ca="1" t="shared" si="12"/>
        <v>22400000;16800000;28000000</v>
      </c>
      <c r="Q302" s="15">
        <f ca="1">IF(C302=1,OFFSET(控制台!$H$599,MATCH(F302,控制台!$B$599:$B$615,0)-1,0),OFFSET(控制台!$H$618,MATCH(F302,控制台!$B$618:$B$636,0)-1,0))</f>
        <v>175343.616</v>
      </c>
      <c r="R302" s="15">
        <f ca="1">IF(E302=1,Q302/G302,IF(E302=5,Q302/G302*OFFSET(控制台!$D$641,MATCH(B302,控制台!$B$641:$B$645,0)-1,0),Q302/G302*OFFSET(控制台!$H$641,MATCH(B302,控制台!$F$641:$F$650,0)-1,0)))</f>
        <v>58447.872</v>
      </c>
      <c r="S302" s="16">
        <f ca="1">_xlfn.FLOOR.MATH(R302)*60</f>
        <v>3506820</v>
      </c>
      <c r="T302" s="16">
        <f ca="1">8000+IF(C302=1,OFFSET(控制台!$K$599,MATCH(F302,控制台!$B$599:$B$615,0)-1,0),OFFSET(控制台!$K$618,MATCH(F302,控制台!$B$618:$B$636,0)-1,0))</f>
        <v>8026</v>
      </c>
      <c r="U302" s="1">
        <f ca="1">IF(C302=1,OFFSET(控制台!$F$599,MATCH(F302,控制台!$B$599:$B$615,0)-1,0),OFFSET(控制台!$F$618,MATCH(F302,控制台!$B$618:$B$636,0)-1,0))</f>
        <v>116121.6</v>
      </c>
      <c r="V302" s="1">
        <f ca="1">IF(E302=1,U302/G302,IF(E302=5,U302/G302*OFFSET(控制台!$D$641,MATCH(B302,控制台!$B$641:$B$645,0)-1,0),U302/G302*OFFSET(控制台!$H$641,MATCH(B302,控制台!$F$641:$F$650,0)-1,0)))</f>
        <v>38707.2</v>
      </c>
      <c r="W302" s="20">
        <f ca="1" t="shared" si="13"/>
        <v>26.88</v>
      </c>
      <c r="X302" s="15">
        <f ca="1">IF(C302=1,OFFSET(控制台!$U$599,MATCH(F302,控制台!$B$599:$B$615,0)-1,0),OFFSET(控制台!$U$618,MATCH(F302,控制台!$B$618:$B$636,0)-1,0))</f>
        <v>357000</v>
      </c>
      <c r="Y302" s="16">
        <f ca="1">_xlfn.FLOOR.MATH(IF(E302=1,X302/G302,IF(E302=5,X302/G302*OFFSET(控制台!$D$641,MATCH(B302,控制台!$B$641:$B$645,0)-1,0),X302/G302*OFFSET(控制台!$H$641,MATCH(B302,控制台!$F$641:$F$650,0)-1,0))))</f>
        <v>119000</v>
      </c>
      <c r="Z302" s="16">
        <f ca="1" t="shared" si="14"/>
        <v>119000</v>
      </c>
    </row>
    <row r="303" spans="1:26">
      <c r="A303" s="1">
        <v>21401</v>
      </c>
      <c r="B303" s="1">
        <v>1</v>
      </c>
      <c r="C303" s="1">
        <v>2</v>
      </c>
      <c r="D303" s="1" t="s">
        <v>2833</v>
      </c>
      <c r="E303" s="1">
        <f ca="1">IF(C303=1,OFFSET(控制台!$F$552,MATCH(A303,控制台!$B$552:$B$580,0)-1,0),OFFSET(控制台!$L$552,MATCH(A303,控制台!$H$552:$H$594,0)-1,0))</f>
        <v>10</v>
      </c>
      <c r="F303" s="1">
        <f ca="1">IF(C303=1,OFFSET(控制台!$D$552,MATCH(A303,控制台!$B$552:$B$580,0)-1,0),OFFSET(控制台!$J$552,MATCH(A303,控制台!$H$552:$H$594,0)-1,0))</f>
        <v>14</v>
      </c>
      <c r="G303" s="1">
        <f ca="1">IF(C303=1,OFFSET(控制台!$I$599,MATCH(F303,控制台!$B$599:$B$615,0)-1,0),OFFSET(控制台!$I$618,MATCH(F303,控制台!$B$618:$B$636,0)-1,0))</f>
        <v>3</v>
      </c>
      <c r="H303" s="1">
        <f ca="1">IF(C303=1,OFFSET(控制台!$D$599,MATCH(F303,控制台!$B$599:$B$615,0)-1,0),OFFSET(控制台!$D$618,MATCH(F303,控制台!$B$618:$B$636,0)-1,0))</f>
        <v>1184400000</v>
      </c>
      <c r="I303" s="1">
        <f ca="1">IF(E303=1,H303/G303,IF(E303=5,H303/G303*OFFSET(控制台!$D$641,MATCH(B303,控制台!$B$641:$B$645,0)-1,0),H303/G303*OFFSET(控制台!$H$641,MATCH(B303,控制台!$F$641:$F$650,0)-1,0)))</f>
        <v>3589090.90909091</v>
      </c>
      <c r="J303" s="1">
        <f ca="1">$I303/3*控制台!H$102</f>
        <v>1196363.63636364</v>
      </c>
      <c r="K303" s="1">
        <f ca="1">$I303/3*控制台!I$102</f>
        <v>897272.727272727</v>
      </c>
      <c r="L303" s="1">
        <f ca="1">$I303/3*控制台!J$102</f>
        <v>1495454.54545454</v>
      </c>
      <c r="M303" s="1">
        <f ca="1">_xlfn.FLOOR.MATH(J303,POWER(10,MAX(2,INT(LOG10(J303)-2))))</f>
        <v>1190000</v>
      </c>
      <c r="N303" s="1">
        <f ca="1">_xlfn.FLOOR.MATH(K303,POWER(10,MAX(2,INT(LOG10(K303)-2))))</f>
        <v>897000</v>
      </c>
      <c r="O303" s="1">
        <f ca="1">_xlfn.FLOOR.MATH(L303,POWER(10,MAX(2,INT(LOG10(L303)-2))))</f>
        <v>1490000</v>
      </c>
      <c r="P303" s="4" t="str">
        <f ca="1" t="shared" si="12"/>
        <v>1190000;897000;1490000</v>
      </c>
      <c r="Q303" s="15">
        <f ca="1">IF(C303=1,OFFSET(控制台!$H$599,MATCH(F303,控制台!$B$599:$B$615,0)-1,0),OFFSET(控制台!$H$618,MATCH(F303,控制台!$B$618:$B$636,0)-1,0))</f>
        <v>1473147.648</v>
      </c>
      <c r="R303" s="15">
        <f ca="1">IF(E303=1,Q303/G303,IF(E303=5,Q303/G303*OFFSET(控制台!$D$641,MATCH(B303,控制台!$B$641:$B$645,0)-1,0),Q303/G303*OFFSET(控制台!$H$641,MATCH(B303,控制台!$F$641:$F$650,0)-1,0)))</f>
        <v>4464.08378181818</v>
      </c>
      <c r="S303" s="16">
        <f ca="1">_xlfn.FLOOR.MATH(R303)*60</f>
        <v>267840</v>
      </c>
      <c r="T303" s="16">
        <f ca="1">8000+IF(C303=1,OFFSET(控制台!$K$599,MATCH(F303,控制台!$B$599:$B$615,0)-1,0),OFFSET(控制台!$K$618,MATCH(F303,控制台!$B$618:$B$636,0)-1,0))</f>
        <v>8027</v>
      </c>
      <c r="U303" s="1">
        <f ca="1">IF(C303=1,OFFSET(控制台!$F$599,MATCH(F303,控制台!$B$599:$B$615,0)-1,0),OFFSET(控制台!$F$618,MATCH(F303,控制台!$B$618:$B$636,0)-1,0))</f>
        <v>740275.2</v>
      </c>
      <c r="V303" s="1">
        <f ca="1">IF(E303=1,U303/G303,IF(E303=5,U303/G303*OFFSET(控制台!$D$641,MATCH(B303,控制台!$B$641:$B$645,0)-1,0),U303/G303*OFFSET(控制台!$H$641,MATCH(B303,控制台!$F$641:$F$650,0)-1,0)))</f>
        <v>2243.25818181818</v>
      </c>
      <c r="W303" s="20">
        <f ca="1" t="shared" si="13"/>
        <v>1.55781818181818</v>
      </c>
      <c r="X303" s="15">
        <f ca="1">IF(C303=1,OFFSET(控制台!$U$599,MATCH(F303,控制台!$B$599:$B$615,0)-1,0),OFFSET(控制台!$U$618,MATCH(F303,控制台!$B$618:$B$636,0)-1,0))</f>
        <v>2254875</v>
      </c>
      <c r="Y303" s="16">
        <f ca="1">_xlfn.FLOOR.MATH(IF(E303=1,X303/G303,IF(E303=5,X303/G303*OFFSET(控制台!$D$641,MATCH(B303,控制台!$B$641:$B$645,0)-1,0),X303/G303*OFFSET(控制台!$H$641,MATCH(B303,控制台!$F$641:$F$650,0)-1,0))))</f>
        <v>6832</v>
      </c>
      <c r="Z303" s="16">
        <f ca="1" t="shared" si="14"/>
        <v>6832</v>
      </c>
    </row>
    <row r="304" spans="1:26">
      <c r="A304" s="1">
        <v>21401</v>
      </c>
      <c r="B304" s="1">
        <v>2</v>
      </c>
      <c r="C304" s="1">
        <v>2</v>
      </c>
      <c r="D304" s="1" t="s">
        <v>2833</v>
      </c>
      <c r="E304" s="1">
        <f ca="1">IF(C304=1,OFFSET(控制台!$F$552,MATCH(A304,控制台!$B$552:$B$580,0)-1,0),OFFSET(控制台!$L$552,MATCH(A304,控制台!$H$552:$H$594,0)-1,0))</f>
        <v>10</v>
      </c>
      <c r="F304" s="1">
        <f ca="1">IF(C304=1,OFFSET(控制台!$D$552,MATCH(A304,控制台!$B$552:$B$580,0)-1,0),OFFSET(控制台!$J$552,MATCH(A304,控制台!$H$552:$H$594,0)-1,0))</f>
        <v>14</v>
      </c>
      <c r="G304" s="1">
        <f ca="1">IF(C304=1,OFFSET(控制台!$I$599,MATCH(F304,控制台!$B$599:$B$615,0)-1,0),OFFSET(控制台!$I$618,MATCH(F304,控制台!$B$618:$B$636,0)-1,0))</f>
        <v>3</v>
      </c>
      <c r="H304" s="1">
        <f ca="1">IF(C304=1,OFFSET(控制台!$D$599,MATCH(F304,控制台!$B$599:$B$615,0)-1,0),OFFSET(控制台!$D$618,MATCH(F304,控制台!$B$618:$B$636,0)-1,0))</f>
        <v>1184400000</v>
      </c>
      <c r="I304" s="1">
        <f ca="1">IF(E304=1,H304/G304,IF(E304=5,H304/G304*OFFSET(控制台!$D$641,MATCH(B304,控制台!$B$641:$B$645,0)-1,0),H304/G304*OFFSET(控制台!$H$641,MATCH(B304,控制台!$F$641:$F$650,0)-1,0)))</f>
        <v>5383636.36363635</v>
      </c>
      <c r="J304" s="1">
        <f ca="1">$I304/3*控制台!H$102</f>
        <v>1794545.45454545</v>
      </c>
      <c r="K304" s="1">
        <f ca="1">$I304/3*控制台!I$102</f>
        <v>1345909.09090909</v>
      </c>
      <c r="L304" s="1">
        <f ca="1">$I304/3*控制台!J$102</f>
        <v>2243181.81818181</v>
      </c>
      <c r="M304" s="1">
        <f ca="1">_xlfn.FLOOR.MATH(J304,POWER(10,MAX(2,INT(LOG10(J304)-2))))</f>
        <v>1790000</v>
      </c>
      <c r="N304" s="1">
        <f ca="1">_xlfn.FLOOR.MATH(K304,POWER(10,MAX(2,INT(LOG10(K304)-2))))</f>
        <v>1340000</v>
      </c>
      <c r="O304" s="1">
        <f ca="1">_xlfn.FLOOR.MATH(L304,POWER(10,MAX(2,INT(LOG10(L304)-2))))</f>
        <v>2240000</v>
      </c>
      <c r="P304" s="4" t="str">
        <f ca="1" t="shared" si="12"/>
        <v>1790000;1340000;2240000</v>
      </c>
      <c r="Q304" s="15">
        <f ca="1">IF(C304=1,OFFSET(控制台!$H$599,MATCH(F304,控制台!$B$599:$B$615,0)-1,0),OFFSET(控制台!$H$618,MATCH(F304,控制台!$B$618:$B$636,0)-1,0))</f>
        <v>1473147.648</v>
      </c>
      <c r="R304" s="15">
        <f ca="1">IF(E304=1,Q304/G304,IF(E304=5,Q304/G304*OFFSET(控制台!$D$641,MATCH(B304,控制台!$B$641:$B$645,0)-1,0),Q304/G304*OFFSET(控制台!$H$641,MATCH(B304,控制台!$F$641:$F$650,0)-1,0)))</f>
        <v>6696.12567272725</v>
      </c>
      <c r="S304" s="16">
        <f ca="1">_xlfn.FLOOR.MATH(R304)*60</f>
        <v>401760</v>
      </c>
      <c r="T304" s="16">
        <f ca="1">8000+IF(C304=1,OFFSET(控制台!$K$599,MATCH(F304,控制台!$B$599:$B$615,0)-1,0),OFFSET(控制台!$K$618,MATCH(F304,控制台!$B$618:$B$636,0)-1,0))</f>
        <v>8027</v>
      </c>
      <c r="U304" s="1">
        <f ca="1">IF(C304=1,OFFSET(控制台!$F$599,MATCH(F304,控制台!$B$599:$B$615,0)-1,0),OFFSET(控制台!$F$618,MATCH(F304,控制台!$B$618:$B$636,0)-1,0))</f>
        <v>740275.2</v>
      </c>
      <c r="V304" s="1">
        <f ca="1">IF(E304=1,U304/G304,IF(E304=5,U304/G304*OFFSET(控制台!$D$641,MATCH(B304,控制台!$B$641:$B$645,0)-1,0),U304/G304*OFFSET(控制台!$H$641,MATCH(B304,控制台!$F$641:$F$650,0)-1,0)))</f>
        <v>3364.88727272726</v>
      </c>
      <c r="W304" s="20">
        <f ca="1" t="shared" si="13"/>
        <v>2.33672727272727</v>
      </c>
      <c r="X304" s="15">
        <f ca="1">IF(C304=1,OFFSET(控制台!$U$599,MATCH(F304,控制台!$B$599:$B$615,0)-1,0),OFFSET(控制台!$U$618,MATCH(F304,控制台!$B$618:$B$636,0)-1,0))</f>
        <v>2254875</v>
      </c>
      <c r="Y304" s="16">
        <f ca="1">_xlfn.FLOOR.MATH(IF(E304=1,X304/G304,IF(E304=5,X304/G304*OFFSET(控制台!$D$641,MATCH(B304,控制台!$B$641:$B$645,0)-1,0),X304/G304*OFFSET(控制台!$H$641,MATCH(B304,控制台!$F$641:$F$650,0)-1,0))))</f>
        <v>10249</v>
      </c>
      <c r="Z304" s="16">
        <f ca="1" t="shared" si="14"/>
        <v>17081</v>
      </c>
    </row>
    <row r="305" spans="1:26">
      <c r="A305" s="1">
        <v>21401</v>
      </c>
      <c r="B305" s="1">
        <v>3</v>
      </c>
      <c r="C305" s="1">
        <v>2</v>
      </c>
      <c r="D305" s="1" t="s">
        <v>2833</v>
      </c>
      <c r="E305" s="1">
        <f ca="1">IF(C305=1,OFFSET(控制台!$F$552,MATCH(A305,控制台!$B$552:$B$580,0)-1,0),OFFSET(控制台!$L$552,MATCH(A305,控制台!$H$552:$H$594,0)-1,0))</f>
        <v>10</v>
      </c>
      <c r="F305" s="1">
        <f ca="1">IF(C305=1,OFFSET(控制台!$D$552,MATCH(A305,控制台!$B$552:$B$580,0)-1,0),OFFSET(控制台!$J$552,MATCH(A305,控制台!$H$552:$H$594,0)-1,0))</f>
        <v>14</v>
      </c>
      <c r="G305" s="1">
        <f ca="1">IF(C305=1,OFFSET(控制台!$I$599,MATCH(F305,控制台!$B$599:$B$615,0)-1,0),OFFSET(控制台!$I$618,MATCH(F305,控制台!$B$618:$B$636,0)-1,0))</f>
        <v>3</v>
      </c>
      <c r="H305" s="1">
        <f ca="1">IF(C305=1,OFFSET(控制台!$D$599,MATCH(F305,控制台!$B$599:$B$615,0)-1,0),OFFSET(控制台!$D$618,MATCH(F305,控制台!$B$618:$B$636,0)-1,0))</f>
        <v>1184400000</v>
      </c>
      <c r="I305" s="1">
        <f ca="1">IF(E305=1,H305/G305,IF(E305=5,H305/G305*OFFSET(控制台!$D$641,MATCH(B305,控制台!$B$641:$B$645,0)-1,0),H305/G305*OFFSET(控制台!$H$641,MATCH(B305,控制台!$F$641:$F$650,0)-1,0)))</f>
        <v>7178181.81818182</v>
      </c>
      <c r="J305" s="1">
        <f ca="1">$I305/3*控制台!H$102</f>
        <v>2392727.27272727</v>
      </c>
      <c r="K305" s="1">
        <f ca="1">$I305/3*控制台!I$102</f>
        <v>1794545.45454546</v>
      </c>
      <c r="L305" s="1">
        <f ca="1">$I305/3*控制台!J$102</f>
        <v>2990909.09090909</v>
      </c>
      <c r="M305" s="1">
        <f ca="1">_xlfn.FLOOR.MATH(J305,POWER(10,MAX(2,INT(LOG10(J305)-2))))</f>
        <v>2390000</v>
      </c>
      <c r="N305" s="1">
        <f ca="1">_xlfn.FLOOR.MATH(K305,POWER(10,MAX(2,INT(LOG10(K305)-2))))</f>
        <v>1790000</v>
      </c>
      <c r="O305" s="1">
        <f ca="1">_xlfn.FLOOR.MATH(L305,POWER(10,MAX(2,INT(LOG10(L305)-2))))</f>
        <v>2990000</v>
      </c>
      <c r="P305" s="4" t="str">
        <f ca="1" t="shared" si="12"/>
        <v>2390000;1790000;2990000</v>
      </c>
      <c r="Q305" s="15">
        <f ca="1">IF(C305=1,OFFSET(控制台!$H$599,MATCH(F305,控制台!$B$599:$B$615,0)-1,0),OFFSET(控制台!$H$618,MATCH(F305,控制台!$B$618:$B$636,0)-1,0))</f>
        <v>1473147.648</v>
      </c>
      <c r="R305" s="15">
        <f ca="1">IF(E305=1,Q305/G305,IF(E305=5,Q305/G305*OFFSET(控制台!$D$641,MATCH(B305,控制台!$B$641:$B$645,0)-1,0),Q305/G305*OFFSET(控制台!$H$641,MATCH(B305,控制台!$F$641:$F$650,0)-1,0)))</f>
        <v>8928.16756363637</v>
      </c>
      <c r="S305" s="16">
        <f ca="1">_xlfn.FLOOR.MATH(R305)*60</f>
        <v>535680</v>
      </c>
      <c r="T305" s="16">
        <f ca="1">8000+IF(C305=1,OFFSET(控制台!$K$599,MATCH(F305,控制台!$B$599:$B$615,0)-1,0),OFFSET(控制台!$K$618,MATCH(F305,控制台!$B$618:$B$636,0)-1,0))</f>
        <v>8027</v>
      </c>
      <c r="U305" s="1">
        <f ca="1">IF(C305=1,OFFSET(控制台!$F$599,MATCH(F305,控制台!$B$599:$B$615,0)-1,0),OFFSET(控制台!$F$618,MATCH(F305,控制台!$B$618:$B$636,0)-1,0))</f>
        <v>740275.2</v>
      </c>
      <c r="V305" s="1">
        <f ca="1">IF(E305=1,U305/G305,IF(E305=5,U305/G305*OFFSET(控制台!$D$641,MATCH(B305,控制台!$B$641:$B$645,0)-1,0),U305/G305*OFFSET(控制台!$H$641,MATCH(B305,控制台!$F$641:$F$650,0)-1,0)))</f>
        <v>4486.51636363637</v>
      </c>
      <c r="W305" s="20">
        <f ca="1" t="shared" si="13"/>
        <v>3.11563636363637</v>
      </c>
      <c r="X305" s="15">
        <f ca="1">IF(C305=1,OFFSET(控制台!$U$599,MATCH(F305,控制台!$B$599:$B$615,0)-1,0),OFFSET(控制台!$U$618,MATCH(F305,控制台!$B$618:$B$636,0)-1,0))</f>
        <v>2254875</v>
      </c>
      <c r="Y305" s="16">
        <f ca="1">_xlfn.FLOOR.MATH(IF(E305=1,X305/G305,IF(E305=5,X305/G305*OFFSET(控制台!$D$641,MATCH(B305,控制台!$B$641:$B$645,0)-1,0),X305/G305*OFFSET(控制台!$H$641,MATCH(B305,控制台!$F$641:$F$650,0)-1,0))))</f>
        <v>13665</v>
      </c>
      <c r="Z305" s="16">
        <f ca="1" t="shared" si="14"/>
        <v>30746</v>
      </c>
    </row>
    <row r="306" spans="1:26">
      <c r="A306" s="1">
        <v>21401</v>
      </c>
      <c r="B306" s="1">
        <v>4</v>
      </c>
      <c r="C306" s="1">
        <v>2</v>
      </c>
      <c r="D306" s="1" t="s">
        <v>2833</v>
      </c>
      <c r="E306" s="1">
        <f ca="1">IF(C306=1,OFFSET(控制台!$F$552,MATCH(A306,控制台!$B$552:$B$580,0)-1,0),OFFSET(控制台!$L$552,MATCH(A306,控制台!$H$552:$H$594,0)-1,0))</f>
        <v>10</v>
      </c>
      <c r="F306" s="1">
        <f ca="1">IF(C306=1,OFFSET(控制台!$D$552,MATCH(A306,控制台!$B$552:$B$580,0)-1,0),OFFSET(控制台!$J$552,MATCH(A306,控制台!$H$552:$H$594,0)-1,0))</f>
        <v>14</v>
      </c>
      <c r="G306" s="1">
        <f ca="1">IF(C306=1,OFFSET(控制台!$I$599,MATCH(F306,控制台!$B$599:$B$615,0)-1,0),OFFSET(控制台!$I$618,MATCH(F306,控制台!$B$618:$B$636,0)-1,0))</f>
        <v>3</v>
      </c>
      <c r="H306" s="1">
        <f ca="1">IF(C306=1,OFFSET(控制台!$D$599,MATCH(F306,控制台!$B$599:$B$615,0)-1,0),OFFSET(控制台!$D$618,MATCH(F306,控制台!$B$618:$B$636,0)-1,0))</f>
        <v>1184400000</v>
      </c>
      <c r="I306" s="1">
        <f ca="1">IF(E306=1,H306/G306,IF(E306=5,H306/G306*OFFSET(控制台!$D$641,MATCH(B306,控制台!$B$641:$B$645,0)-1,0),H306/G306*OFFSET(控制台!$H$641,MATCH(B306,控制台!$F$641:$F$650,0)-1,0)))</f>
        <v>10767272.7272727</v>
      </c>
      <c r="J306" s="1">
        <f ca="1">$I306/3*控制台!H$102</f>
        <v>3589090.90909091</v>
      </c>
      <c r="K306" s="1">
        <f ca="1">$I306/3*控制台!I$102</f>
        <v>2691818.18181818</v>
      </c>
      <c r="L306" s="1">
        <f ca="1">$I306/3*控制台!J$102</f>
        <v>4486363.63636364</v>
      </c>
      <c r="M306" s="1">
        <f ca="1">_xlfn.FLOOR.MATH(J306,POWER(10,MAX(2,INT(LOG10(J306)-2))))</f>
        <v>3580000</v>
      </c>
      <c r="N306" s="1">
        <f ca="1">_xlfn.FLOOR.MATH(K306,POWER(10,MAX(2,INT(LOG10(K306)-2))))</f>
        <v>2690000</v>
      </c>
      <c r="O306" s="1">
        <f ca="1">_xlfn.FLOOR.MATH(L306,POWER(10,MAX(2,INT(LOG10(L306)-2))))</f>
        <v>4480000</v>
      </c>
      <c r="P306" s="4" t="str">
        <f ca="1" t="shared" si="12"/>
        <v>3580000;2690000;4480000</v>
      </c>
      <c r="Q306" s="15">
        <f ca="1">IF(C306=1,OFFSET(控制台!$H$599,MATCH(F306,控制台!$B$599:$B$615,0)-1,0),OFFSET(控制台!$H$618,MATCH(F306,控制台!$B$618:$B$636,0)-1,0))</f>
        <v>1473147.648</v>
      </c>
      <c r="R306" s="15">
        <f ca="1">IF(E306=1,Q306/G306,IF(E306=5,Q306/G306*OFFSET(控制台!$D$641,MATCH(B306,控制台!$B$641:$B$645,0)-1,0),Q306/G306*OFFSET(控制台!$H$641,MATCH(B306,控制台!$F$641:$F$650,0)-1,0)))</f>
        <v>13392.2513454546</v>
      </c>
      <c r="S306" s="16">
        <f ca="1">_xlfn.FLOOR.MATH(R306)*60</f>
        <v>803520</v>
      </c>
      <c r="T306" s="16">
        <f ca="1">8000+IF(C306=1,OFFSET(控制台!$K$599,MATCH(F306,控制台!$B$599:$B$615,0)-1,0),OFFSET(控制台!$K$618,MATCH(F306,控制台!$B$618:$B$636,0)-1,0))</f>
        <v>8027</v>
      </c>
      <c r="U306" s="1">
        <f ca="1">IF(C306=1,OFFSET(控制台!$F$599,MATCH(F306,控制台!$B$599:$B$615,0)-1,0),OFFSET(控制台!$F$618,MATCH(F306,控制台!$B$618:$B$636,0)-1,0))</f>
        <v>740275.2</v>
      </c>
      <c r="V306" s="1">
        <f ca="1">IF(E306=1,U306/G306,IF(E306=5,U306/G306*OFFSET(控制台!$D$641,MATCH(B306,控制台!$B$641:$B$645,0)-1,0),U306/G306*OFFSET(控制台!$H$641,MATCH(B306,控制台!$F$641:$F$650,0)-1,0)))</f>
        <v>6729.77454545455</v>
      </c>
      <c r="W306" s="20">
        <f ca="1" t="shared" si="13"/>
        <v>4.67345454545455</v>
      </c>
      <c r="X306" s="15">
        <f ca="1">IF(C306=1,OFFSET(控制台!$U$599,MATCH(F306,控制台!$B$599:$B$615,0)-1,0),OFFSET(控制台!$U$618,MATCH(F306,控制台!$B$618:$B$636,0)-1,0))</f>
        <v>2254875</v>
      </c>
      <c r="Y306" s="16">
        <f ca="1">_xlfn.FLOOR.MATH(IF(E306=1,X306/G306,IF(E306=5,X306/G306*OFFSET(控制台!$D$641,MATCH(B306,控制台!$B$641:$B$645,0)-1,0),X306/G306*OFFSET(控制台!$H$641,MATCH(B306,控制台!$F$641:$F$650,0)-1,0))))</f>
        <v>20498</v>
      </c>
      <c r="Z306" s="16">
        <f ca="1" t="shared" si="14"/>
        <v>51244</v>
      </c>
    </row>
    <row r="307" spans="1:26">
      <c r="A307" s="1">
        <v>21401</v>
      </c>
      <c r="B307" s="1">
        <v>5</v>
      </c>
      <c r="C307" s="1">
        <v>2</v>
      </c>
      <c r="D307" s="1" t="s">
        <v>2833</v>
      </c>
      <c r="E307" s="1">
        <f ca="1">IF(C307=1,OFFSET(控制台!$F$552,MATCH(A307,控制台!$B$552:$B$580,0)-1,0),OFFSET(控制台!$L$552,MATCH(A307,控制台!$H$552:$H$594,0)-1,0))</f>
        <v>10</v>
      </c>
      <c r="F307" s="1">
        <f ca="1">IF(C307=1,OFFSET(控制台!$D$552,MATCH(A307,控制台!$B$552:$B$580,0)-1,0),OFFSET(控制台!$J$552,MATCH(A307,控制台!$H$552:$H$594,0)-1,0))</f>
        <v>14</v>
      </c>
      <c r="G307" s="1">
        <f ca="1">IF(C307=1,OFFSET(控制台!$I$599,MATCH(F307,控制台!$B$599:$B$615,0)-1,0),OFFSET(控制台!$I$618,MATCH(F307,控制台!$B$618:$B$636,0)-1,0))</f>
        <v>3</v>
      </c>
      <c r="H307" s="1">
        <f ca="1">IF(C307=1,OFFSET(控制台!$D$599,MATCH(F307,控制台!$B$599:$B$615,0)-1,0),OFFSET(控制台!$D$618,MATCH(F307,控制台!$B$618:$B$636,0)-1,0))</f>
        <v>1184400000</v>
      </c>
      <c r="I307" s="1">
        <f ca="1">IF(E307=1,H307/G307,IF(E307=5,H307/G307*OFFSET(控制台!$D$641,MATCH(B307,控制台!$B$641:$B$645,0)-1,0),H307/G307*OFFSET(控制台!$H$641,MATCH(B307,控制台!$F$641:$F$650,0)-1,0)))</f>
        <v>17945454.5454546</v>
      </c>
      <c r="J307" s="1">
        <f ca="1">$I307/3*控制台!H$102</f>
        <v>5981818.18181819</v>
      </c>
      <c r="K307" s="1">
        <f ca="1">$I307/3*控制台!I$102</f>
        <v>4486363.63636364</v>
      </c>
      <c r="L307" s="1">
        <f ca="1">$I307/3*控制台!J$102</f>
        <v>7477272.72727273</v>
      </c>
      <c r="M307" s="1">
        <f ca="1">_xlfn.FLOOR.MATH(J307,POWER(10,MAX(2,INT(LOG10(J307)-2))))</f>
        <v>5980000</v>
      </c>
      <c r="N307" s="1">
        <f ca="1">_xlfn.FLOOR.MATH(K307,POWER(10,MAX(2,INT(LOG10(K307)-2))))</f>
        <v>4480000</v>
      </c>
      <c r="O307" s="1">
        <f ca="1">_xlfn.FLOOR.MATH(L307,POWER(10,MAX(2,INT(LOG10(L307)-2))))</f>
        <v>7470000</v>
      </c>
      <c r="P307" s="4" t="str">
        <f ca="1" t="shared" si="12"/>
        <v>5980000;4480000;7470000</v>
      </c>
      <c r="Q307" s="15">
        <f ca="1">IF(C307=1,OFFSET(控制台!$H$599,MATCH(F307,控制台!$B$599:$B$615,0)-1,0),OFFSET(控制台!$H$618,MATCH(F307,控制台!$B$618:$B$636,0)-1,0))</f>
        <v>1473147.648</v>
      </c>
      <c r="R307" s="15">
        <f ca="1">IF(E307=1,Q307/G307,IF(E307=5,Q307/G307*OFFSET(控制台!$D$641,MATCH(B307,控制台!$B$641:$B$645,0)-1,0),Q307/G307*OFFSET(控制台!$H$641,MATCH(B307,控制台!$F$641:$F$650,0)-1,0)))</f>
        <v>22320.4189090909</v>
      </c>
      <c r="S307" s="16">
        <f ca="1">_xlfn.FLOOR.MATH(R307)*60</f>
        <v>1339200</v>
      </c>
      <c r="T307" s="16">
        <f ca="1">8000+IF(C307=1,OFFSET(控制台!$K$599,MATCH(F307,控制台!$B$599:$B$615,0)-1,0),OFFSET(控制台!$K$618,MATCH(F307,控制台!$B$618:$B$636,0)-1,0))</f>
        <v>8027</v>
      </c>
      <c r="U307" s="1">
        <f ca="1">IF(C307=1,OFFSET(控制台!$F$599,MATCH(F307,控制台!$B$599:$B$615,0)-1,0),OFFSET(控制台!$F$618,MATCH(F307,控制台!$B$618:$B$636,0)-1,0))</f>
        <v>740275.2</v>
      </c>
      <c r="V307" s="1">
        <f ca="1">IF(E307=1,U307/G307,IF(E307=5,U307/G307*OFFSET(控制台!$D$641,MATCH(B307,控制台!$B$641:$B$645,0)-1,0),U307/G307*OFFSET(控制台!$H$641,MATCH(B307,控制台!$F$641:$F$650,0)-1,0)))</f>
        <v>11216.2909090909</v>
      </c>
      <c r="W307" s="20">
        <f ca="1" t="shared" si="13"/>
        <v>7.78909090909091</v>
      </c>
      <c r="X307" s="15">
        <f ca="1">IF(C307=1,OFFSET(控制台!$U$599,MATCH(F307,控制台!$B$599:$B$615,0)-1,0),OFFSET(控制台!$U$618,MATCH(F307,控制台!$B$618:$B$636,0)-1,0))</f>
        <v>2254875</v>
      </c>
      <c r="Y307" s="16">
        <f ca="1">_xlfn.FLOOR.MATH(IF(E307=1,X307/G307,IF(E307=5,X307/G307*OFFSET(控制台!$D$641,MATCH(B307,控制台!$B$641:$B$645,0)-1,0),X307/G307*OFFSET(控制台!$H$641,MATCH(B307,控制台!$F$641:$F$650,0)-1,0))))</f>
        <v>34164</v>
      </c>
      <c r="Z307" s="16">
        <f ca="1" t="shared" si="14"/>
        <v>85408</v>
      </c>
    </row>
    <row r="308" spans="1:26">
      <c r="A308" s="1">
        <v>21401</v>
      </c>
      <c r="B308" s="1">
        <v>6</v>
      </c>
      <c r="C308" s="1">
        <v>2</v>
      </c>
      <c r="D308" s="1" t="s">
        <v>2833</v>
      </c>
      <c r="E308" s="1">
        <f ca="1">IF(C308=1,OFFSET(控制台!$F$552,MATCH(A308,控制台!$B$552:$B$580,0)-1,0),OFFSET(控制台!$L$552,MATCH(A308,控制台!$H$552:$H$594,0)-1,0))</f>
        <v>10</v>
      </c>
      <c r="F308" s="1">
        <f ca="1">IF(C308=1,OFFSET(控制台!$D$552,MATCH(A308,控制台!$B$552:$B$580,0)-1,0),OFFSET(控制台!$J$552,MATCH(A308,控制台!$H$552:$H$594,0)-1,0))</f>
        <v>14</v>
      </c>
      <c r="G308" s="1">
        <f ca="1">IF(C308=1,OFFSET(控制台!$I$599,MATCH(F308,控制台!$B$599:$B$615,0)-1,0),OFFSET(控制台!$I$618,MATCH(F308,控制台!$B$618:$B$636,0)-1,0))</f>
        <v>3</v>
      </c>
      <c r="H308" s="1">
        <f ca="1">IF(C308=1,OFFSET(控制台!$D$599,MATCH(F308,控制台!$B$599:$B$615,0)-1,0),OFFSET(控制台!$D$618,MATCH(F308,控制台!$B$618:$B$636,0)-1,0))</f>
        <v>1184400000</v>
      </c>
      <c r="I308" s="1">
        <f ca="1">IF(E308=1,H308/G308,IF(E308=5,H308/G308*OFFSET(控制台!$D$641,MATCH(B308,控制台!$B$641:$B$645,0)-1,0),H308/G308*OFFSET(控制台!$H$641,MATCH(B308,控制台!$F$641:$F$650,0)-1,0)))</f>
        <v>26918181.8181818</v>
      </c>
      <c r="J308" s="1">
        <f ca="1">$I308/3*控制台!H$102</f>
        <v>8972727.27272728</v>
      </c>
      <c r="K308" s="1">
        <f ca="1">$I308/3*控制台!I$102</f>
        <v>6729545.45454546</v>
      </c>
      <c r="L308" s="1">
        <f ca="1">$I308/3*控制台!J$102</f>
        <v>11215909.0909091</v>
      </c>
      <c r="M308" s="1">
        <f ca="1">_xlfn.FLOOR.MATH(J308,POWER(10,MAX(2,INT(LOG10(J308)-2))))</f>
        <v>8970000</v>
      </c>
      <c r="N308" s="1">
        <f ca="1">_xlfn.FLOOR.MATH(K308,POWER(10,MAX(2,INT(LOG10(K308)-2))))</f>
        <v>6720000</v>
      </c>
      <c r="O308" s="1">
        <f ca="1">_xlfn.FLOOR.MATH(L308,POWER(10,MAX(2,INT(LOG10(L308)-2))))</f>
        <v>11200000</v>
      </c>
      <c r="P308" s="4" t="str">
        <f ca="1" t="shared" si="12"/>
        <v>8970000;6720000;11200000</v>
      </c>
      <c r="Q308" s="15">
        <f ca="1">IF(C308=1,OFFSET(控制台!$H$599,MATCH(F308,控制台!$B$599:$B$615,0)-1,0),OFFSET(控制台!$H$618,MATCH(F308,控制台!$B$618:$B$636,0)-1,0))</f>
        <v>1473147.648</v>
      </c>
      <c r="R308" s="15">
        <f ca="1">IF(E308=1,Q308/G308,IF(E308=5,Q308/G308*OFFSET(控制台!$D$641,MATCH(B308,控制台!$B$641:$B$645,0)-1,0),Q308/G308*OFFSET(控制台!$H$641,MATCH(B308,控制台!$F$641:$F$650,0)-1,0)))</f>
        <v>33480.6283636364</v>
      </c>
      <c r="S308" s="16">
        <f ca="1">_xlfn.FLOOR.MATH(R308)*60</f>
        <v>2008800</v>
      </c>
      <c r="T308" s="16">
        <f ca="1">8000+IF(C308=1,OFFSET(控制台!$K$599,MATCH(F308,控制台!$B$599:$B$615,0)-1,0),OFFSET(控制台!$K$618,MATCH(F308,控制台!$B$618:$B$636,0)-1,0))</f>
        <v>8027</v>
      </c>
      <c r="U308" s="1">
        <f ca="1">IF(C308=1,OFFSET(控制台!$F$599,MATCH(F308,控制台!$B$599:$B$615,0)-1,0),OFFSET(控制台!$F$618,MATCH(F308,控制台!$B$618:$B$636,0)-1,0))</f>
        <v>740275.2</v>
      </c>
      <c r="V308" s="1">
        <f ca="1">IF(E308=1,U308/G308,IF(E308=5,U308/G308*OFFSET(控制台!$D$641,MATCH(B308,控制台!$B$641:$B$645,0)-1,0),U308/G308*OFFSET(控制台!$H$641,MATCH(B308,控制台!$F$641:$F$650,0)-1,0)))</f>
        <v>16824.4363636364</v>
      </c>
      <c r="W308" s="20">
        <f ca="1" t="shared" si="13"/>
        <v>11.6836363636364</v>
      </c>
      <c r="X308" s="15">
        <f ca="1">IF(C308=1,OFFSET(控制台!$U$599,MATCH(F308,控制台!$B$599:$B$615,0)-1,0),OFFSET(控制台!$U$618,MATCH(F308,控制台!$B$618:$B$636,0)-1,0))</f>
        <v>2254875</v>
      </c>
      <c r="Y308" s="16">
        <f ca="1">_xlfn.FLOOR.MATH(IF(E308=1,X308/G308,IF(E308=5,X308/G308*OFFSET(控制台!$D$641,MATCH(B308,控制台!$B$641:$B$645,0)-1,0),X308/G308*OFFSET(控制台!$H$641,MATCH(B308,控制台!$F$641:$F$650,0)-1,0))))</f>
        <v>51247</v>
      </c>
      <c r="Z308" s="16">
        <f ca="1" t="shared" si="14"/>
        <v>136655</v>
      </c>
    </row>
    <row r="309" spans="1:26">
      <c r="A309" s="1">
        <v>21401</v>
      </c>
      <c r="B309" s="1">
        <v>7</v>
      </c>
      <c r="C309" s="1">
        <v>2</v>
      </c>
      <c r="D309" s="1" t="s">
        <v>2833</v>
      </c>
      <c r="E309" s="1">
        <f ca="1">IF(C309=1,OFFSET(控制台!$F$552,MATCH(A309,控制台!$B$552:$B$580,0)-1,0),OFFSET(控制台!$L$552,MATCH(A309,控制台!$H$552:$H$594,0)-1,0))</f>
        <v>10</v>
      </c>
      <c r="F309" s="1">
        <f ca="1">IF(C309=1,OFFSET(控制台!$D$552,MATCH(A309,控制台!$B$552:$B$580,0)-1,0),OFFSET(控制台!$J$552,MATCH(A309,控制台!$H$552:$H$594,0)-1,0))</f>
        <v>14</v>
      </c>
      <c r="G309" s="1">
        <f ca="1">IF(C309=1,OFFSET(控制台!$I$599,MATCH(F309,控制台!$B$599:$B$615,0)-1,0),OFFSET(控制台!$I$618,MATCH(F309,控制台!$B$618:$B$636,0)-1,0))</f>
        <v>3</v>
      </c>
      <c r="H309" s="1">
        <f ca="1">IF(C309=1,OFFSET(控制台!$D$599,MATCH(F309,控制台!$B$599:$B$615,0)-1,0),OFFSET(控制台!$D$618,MATCH(F309,控制台!$B$618:$B$636,0)-1,0))</f>
        <v>1184400000</v>
      </c>
      <c r="I309" s="1">
        <f ca="1">IF(E309=1,H309/G309,IF(E309=5,H309/G309*OFFSET(控制台!$D$641,MATCH(B309,控制台!$B$641:$B$645,0)-1,0),H309/G309*OFFSET(控制台!$H$641,MATCH(B309,控制台!$F$641:$F$650,0)-1,0)))</f>
        <v>35890909.0909091</v>
      </c>
      <c r="J309" s="1">
        <f ca="1">$I309/3*控制台!H$102</f>
        <v>11963636.3636364</v>
      </c>
      <c r="K309" s="1">
        <f ca="1">$I309/3*控制台!I$102</f>
        <v>8972727.27272727</v>
      </c>
      <c r="L309" s="1">
        <f ca="1">$I309/3*控制台!J$102</f>
        <v>14954545.4545454</v>
      </c>
      <c r="M309" s="1">
        <f ca="1">_xlfn.FLOOR.MATH(J309,POWER(10,MAX(2,INT(LOG10(J309)-2))))</f>
        <v>11900000</v>
      </c>
      <c r="N309" s="1">
        <f ca="1">_xlfn.FLOOR.MATH(K309,POWER(10,MAX(2,INT(LOG10(K309)-2))))</f>
        <v>8970000</v>
      </c>
      <c r="O309" s="1">
        <f ca="1">_xlfn.FLOOR.MATH(L309,POWER(10,MAX(2,INT(LOG10(L309)-2))))</f>
        <v>14900000</v>
      </c>
      <c r="P309" s="4" t="str">
        <f ca="1" t="shared" si="12"/>
        <v>11900000;8970000;14900000</v>
      </c>
      <c r="Q309" s="15">
        <f ca="1">IF(C309=1,OFFSET(控制台!$H$599,MATCH(F309,控制台!$B$599:$B$615,0)-1,0),OFFSET(控制台!$H$618,MATCH(F309,控制台!$B$618:$B$636,0)-1,0))</f>
        <v>1473147.648</v>
      </c>
      <c r="R309" s="15">
        <f ca="1">IF(E309=1,Q309/G309,IF(E309=5,Q309/G309*OFFSET(控制台!$D$641,MATCH(B309,控制台!$B$641:$B$645,0)-1,0),Q309/G309*OFFSET(控制台!$H$641,MATCH(B309,控制台!$F$641:$F$650,0)-1,0)))</f>
        <v>44640.8378181818</v>
      </c>
      <c r="S309" s="16">
        <f ca="1">_xlfn.FLOOR.MATH(R309)*60</f>
        <v>2678400</v>
      </c>
      <c r="T309" s="16">
        <f ca="1">8000+IF(C309=1,OFFSET(控制台!$K$599,MATCH(F309,控制台!$B$599:$B$615,0)-1,0),OFFSET(控制台!$K$618,MATCH(F309,控制台!$B$618:$B$636,0)-1,0))</f>
        <v>8027</v>
      </c>
      <c r="U309" s="1">
        <f ca="1">IF(C309=1,OFFSET(控制台!$F$599,MATCH(F309,控制台!$B$599:$B$615,0)-1,0),OFFSET(控制台!$F$618,MATCH(F309,控制台!$B$618:$B$636,0)-1,0))</f>
        <v>740275.2</v>
      </c>
      <c r="V309" s="1">
        <f ca="1">IF(E309=1,U309/G309,IF(E309=5,U309/G309*OFFSET(控制台!$D$641,MATCH(B309,控制台!$B$641:$B$645,0)-1,0),U309/G309*OFFSET(控制台!$H$641,MATCH(B309,控制台!$F$641:$F$650,0)-1,0)))</f>
        <v>22432.5818181818</v>
      </c>
      <c r="W309" s="20">
        <f ca="1" t="shared" si="13"/>
        <v>15.5781818181818</v>
      </c>
      <c r="X309" s="15">
        <f ca="1">IF(C309=1,OFFSET(控制台!$U$599,MATCH(F309,控制台!$B$599:$B$615,0)-1,0),OFFSET(控制台!$U$618,MATCH(F309,控制台!$B$618:$B$636,0)-1,0))</f>
        <v>2254875</v>
      </c>
      <c r="Y309" s="16">
        <f ca="1">_xlfn.FLOOR.MATH(IF(E309=1,X309/G309,IF(E309=5,X309/G309*OFFSET(控制台!$D$641,MATCH(B309,控制台!$B$641:$B$645,0)-1,0),X309/G309*OFFSET(控制台!$H$641,MATCH(B309,控制台!$F$641:$F$650,0)-1,0))))</f>
        <v>68329</v>
      </c>
      <c r="Z309" s="16">
        <f ca="1" t="shared" si="14"/>
        <v>204984</v>
      </c>
    </row>
    <row r="310" spans="1:26">
      <c r="A310" s="1">
        <v>21401</v>
      </c>
      <c r="B310" s="1">
        <v>8</v>
      </c>
      <c r="C310" s="1">
        <v>2</v>
      </c>
      <c r="D310" s="1" t="s">
        <v>2833</v>
      </c>
      <c r="E310" s="1">
        <f ca="1">IF(C310=1,OFFSET(控制台!$F$552,MATCH(A310,控制台!$B$552:$B$580,0)-1,0),OFFSET(控制台!$L$552,MATCH(A310,控制台!$H$552:$H$594,0)-1,0))</f>
        <v>10</v>
      </c>
      <c r="F310" s="1">
        <f ca="1">IF(C310=1,OFFSET(控制台!$D$552,MATCH(A310,控制台!$B$552:$B$580,0)-1,0),OFFSET(控制台!$J$552,MATCH(A310,控制台!$H$552:$H$594,0)-1,0))</f>
        <v>14</v>
      </c>
      <c r="G310" s="1">
        <f ca="1">IF(C310=1,OFFSET(控制台!$I$599,MATCH(F310,控制台!$B$599:$B$615,0)-1,0),OFFSET(控制台!$I$618,MATCH(F310,控制台!$B$618:$B$636,0)-1,0))</f>
        <v>3</v>
      </c>
      <c r="H310" s="1">
        <f ca="1">IF(C310=1,OFFSET(控制台!$D$599,MATCH(F310,控制台!$B$599:$B$615,0)-1,0),OFFSET(控制台!$D$618,MATCH(F310,控制台!$B$618:$B$636,0)-1,0))</f>
        <v>1184400000</v>
      </c>
      <c r="I310" s="1">
        <f ca="1">IF(E310=1,H310/G310,IF(E310=5,H310/G310*OFFSET(控制台!$D$641,MATCH(B310,控制台!$B$641:$B$645,0)-1,0),H310/G310*OFFSET(控制台!$H$641,MATCH(B310,控制台!$F$641:$F$650,0)-1,0)))</f>
        <v>53836363.6363635</v>
      </c>
      <c r="J310" s="1">
        <f ca="1">$I310/3*控制台!H$102</f>
        <v>17945454.5454545</v>
      </c>
      <c r="K310" s="1">
        <f ca="1">$I310/3*控制台!I$102</f>
        <v>13459090.9090909</v>
      </c>
      <c r="L310" s="1">
        <f ca="1">$I310/3*控制台!J$102</f>
        <v>22431818.1818181</v>
      </c>
      <c r="M310" s="1">
        <f ca="1">_xlfn.FLOOR.MATH(J310,POWER(10,MAX(2,INT(LOG10(J310)-2))))</f>
        <v>17900000</v>
      </c>
      <c r="N310" s="1">
        <f ca="1">_xlfn.FLOOR.MATH(K310,POWER(10,MAX(2,INT(LOG10(K310)-2))))</f>
        <v>13400000</v>
      </c>
      <c r="O310" s="1">
        <f ca="1">_xlfn.FLOOR.MATH(L310,POWER(10,MAX(2,INT(LOG10(L310)-2))))</f>
        <v>22400000</v>
      </c>
      <c r="P310" s="4" t="str">
        <f ca="1" t="shared" si="12"/>
        <v>17900000;13400000;22400000</v>
      </c>
      <c r="Q310" s="15">
        <f ca="1">IF(C310=1,OFFSET(控制台!$H$599,MATCH(F310,控制台!$B$599:$B$615,0)-1,0),OFFSET(控制台!$H$618,MATCH(F310,控制台!$B$618:$B$636,0)-1,0))</f>
        <v>1473147.648</v>
      </c>
      <c r="R310" s="15">
        <f ca="1">IF(E310=1,Q310/G310,IF(E310=5,Q310/G310*OFFSET(控制台!$D$641,MATCH(B310,控制台!$B$641:$B$645,0)-1,0),Q310/G310*OFFSET(控制台!$H$641,MATCH(B310,控制台!$F$641:$F$650,0)-1,0)))</f>
        <v>66961.2567272725</v>
      </c>
      <c r="S310" s="16">
        <f ca="1">_xlfn.FLOOR.MATH(R310)*60</f>
        <v>4017660</v>
      </c>
      <c r="T310" s="16">
        <f ca="1">8000+IF(C310=1,OFFSET(控制台!$K$599,MATCH(F310,控制台!$B$599:$B$615,0)-1,0),OFFSET(控制台!$K$618,MATCH(F310,控制台!$B$618:$B$636,0)-1,0))</f>
        <v>8027</v>
      </c>
      <c r="U310" s="1">
        <f ca="1">IF(C310=1,OFFSET(控制台!$F$599,MATCH(F310,控制台!$B$599:$B$615,0)-1,0),OFFSET(控制台!$F$618,MATCH(F310,控制台!$B$618:$B$636,0)-1,0))</f>
        <v>740275.2</v>
      </c>
      <c r="V310" s="1">
        <f ca="1">IF(E310=1,U310/G310,IF(E310=5,U310/G310*OFFSET(控制台!$D$641,MATCH(B310,控制台!$B$641:$B$645,0)-1,0),U310/G310*OFFSET(控制台!$H$641,MATCH(B310,控制台!$F$641:$F$650,0)-1,0)))</f>
        <v>33648.8727272726</v>
      </c>
      <c r="W310" s="20">
        <f ca="1" t="shared" si="13"/>
        <v>23.3672727272727</v>
      </c>
      <c r="X310" s="15">
        <f ca="1">IF(C310=1,OFFSET(控制台!$U$599,MATCH(F310,控制台!$B$599:$B$615,0)-1,0),OFFSET(控制台!$U$618,MATCH(F310,控制台!$B$618:$B$636,0)-1,0))</f>
        <v>2254875</v>
      </c>
      <c r="Y310" s="16">
        <f ca="1">_xlfn.FLOOR.MATH(IF(E310=1,X310/G310,IF(E310=5,X310/G310*OFFSET(控制台!$D$641,MATCH(B310,控制台!$B$641:$B$645,0)-1,0),X310/G310*OFFSET(控制台!$H$641,MATCH(B310,控制台!$F$641:$F$650,0)-1,0))))</f>
        <v>102494</v>
      </c>
      <c r="Z310" s="16">
        <f ca="1" t="shared" si="14"/>
        <v>307478</v>
      </c>
    </row>
    <row r="311" spans="1:26">
      <c r="A311" s="1">
        <v>21401</v>
      </c>
      <c r="B311" s="1">
        <v>9</v>
      </c>
      <c r="C311" s="1">
        <v>2</v>
      </c>
      <c r="D311" s="1" t="s">
        <v>2833</v>
      </c>
      <c r="E311" s="1">
        <f ca="1">IF(C311=1,OFFSET(控制台!$F$552,MATCH(A311,控制台!$B$552:$B$580,0)-1,0),OFFSET(控制台!$L$552,MATCH(A311,控制台!$H$552:$H$594,0)-1,0))</f>
        <v>10</v>
      </c>
      <c r="F311" s="1">
        <f ca="1">IF(C311=1,OFFSET(控制台!$D$552,MATCH(A311,控制台!$B$552:$B$580,0)-1,0),OFFSET(控制台!$J$552,MATCH(A311,控制台!$H$552:$H$594,0)-1,0))</f>
        <v>14</v>
      </c>
      <c r="G311" s="1">
        <f ca="1">IF(C311=1,OFFSET(控制台!$I$599,MATCH(F311,控制台!$B$599:$B$615,0)-1,0),OFFSET(控制台!$I$618,MATCH(F311,控制台!$B$618:$B$636,0)-1,0))</f>
        <v>3</v>
      </c>
      <c r="H311" s="1">
        <f ca="1">IF(C311=1,OFFSET(控制台!$D$599,MATCH(F311,控制台!$B$599:$B$615,0)-1,0),OFFSET(控制台!$D$618,MATCH(F311,控制台!$B$618:$B$636,0)-1,0))</f>
        <v>1184400000</v>
      </c>
      <c r="I311" s="1">
        <f ca="1">IF(E311=1,H311/G311,IF(E311=5,H311/G311*OFFSET(控制台!$D$641,MATCH(B311,控制台!$B$641:$B$645,0)-1,0),H311/G311*OFFSET(控制台!$H$641,MATCH(B311,控制台!$F$641:$F$650,0)-1,0)))</f>
        <v>89727272.7272726</v>
      </c>
      <c r="J311" s="1">
        <f ca="1">$I311/3*控制台!H$102</f>
        <v>29909090.9090909</v>
      </c>
      <c r="K311" s="1">
        <f ca="1">$I311/3*控制台!I$102</f>
        <v>22431818.1818181</v>
      </c>
      <c r="L311" s="1">
        <f ca="1">$I311/3*控制台!J$102</f>
        <v>37386363.6363636</v>
      </c>
      <c r="M311" s="1">
        <f ca="1">_xlfn.FLOOR.MATH(J311,POWER(10,MAX(2,INT(LOG10(J311)-2))))</f>
        <v>29900000</v>
      </c>
      <c r="N311" s="1">
        <f ca="1">_xlfn.FLOOR.MATH(K311,POWER(10,MAX(2,INT(LOG10(K311)-2))))</f>
        <v>22400000</v>
      </c>
      <c r="O311" s="1">
        <f ca="1">_xlfn.FLOOR.MATH(L311,POWER(10,MAX(2,INT(LOG10(L311)-2))))</f>
        <v>37300000</v>
      </c>
      <c r="P311" s="4" t="str">
        <f ca="1" t="shared" si="12"/>
        <v>29900000;22400000;37300000</v>
      </c>
      <c r="Q311" s="15">
        <f ca="1">IF(C311=1,OFFSET(控制台!$H$599,MATCH(F311,控制台!$B$599:$B$615,0)-1,0),OFFSET(控制台!$H$618,MATCH(F311,控制台!$B$618:$B$636,0)-1,0))</f>
        <v>1473147.648</v>
      </c>
      <c r="R311" s="15">
        <f ca="1">IF(E311=1,Q311/G311,IF(E311=5,Q311/G311*OFFSET(控制台!$D$641,MATCH(B311,控制台!$B$641:$B$645,0)-1,0),Q311/G311*OFFSET(控制台!$H$641,MATCH(B311,控制台!$F$641:$F$650,0)-1,0)))</f>
        <v>111602.094545454</v>
      </c>
      <c r="S311" s="16">
        <f ca="1">_xlfn.FLOOR.MATH(R311)*60</f>
        <v>6696120</v>
      </c>
      <c r="T311" s="16">
        <f ca="1">8000+IF(C311=1,OFFSET(控制台!$K$599,MATCH(F311,控制台!$B$599:$B$615,0)-1,0),OFFSET(控制台!$K$618,MATCH(F311,控制台!$B$618:$B$636,0)-1,0))</f>
        <v>8027</v>
      </c>
      <c r="U311" s="1">
        <f ca="1">IF(C311=1,OFFSET(控制台!$F$599,MATCH(F311,控制台!$B$599:$B$615,0)-1,0),OFFSET(控制台!$F$618,MATCH(F311,控制台!$B$618:$B$636,0)-1,0))</f>
        <v>740275.2</v>
      </c>
      <c r="V311" s="1">
        <f ca="1">IF(E311=1,U311/G311,IF(E311=5,U311/G311*OFFSET(控制台!$D$641,MATCH(B311,控制台!$B$641:$B$645,0)-1,0),U311/G311*OFFSET(控制台!$H$641,MATCH(B311,控制台!$F$641:$F$650,0)-1,0)))</f>
        <v>56081.4545454545</v>
      </c>
      <c r="W311" s="20">
        <f ca="1" t="shared" si="13"/>
        <v>38.9454545454545</v>
      </c>
      <c r="X311" s="15">
        <f ca="1">IF(C311=1,OFFSET(控制台!$U$599,MATCH(F311,控制台!$B$599:$B$615,0)-1,0),OFFSET(控制台!$U$618,MATCH(F311,控制台!$B$618:$B$636,0)-1,0))</f>
        <v>2254875</v>
      </c>
      <c r="Y311" s="16">
        <f ca="1">_xlfn.FLOOR.MATH(IF(E311=1,X311/G311,IF(E311=5,X311/G311*OFFSET(控制台!$D$641,MATCH(B311,控制台!$B$641:$B$645,0)-1,0),X311/G311*OFFSET(控制台!$H$641,MATCH(B311,控制台!$F$641:$F$650,0)-1,0))))</f>
        <v>170823</v>
      </c>
      <c r="Z311" s="16">
        <f ca="1" t="shared" si="14"/>
        <v>478301</v>
      </c>
    </row>
    <row r="312" spans="1:26">
      <c r="A312" s="1">
        <v>21401</v>
      </c>
      <c r="B312" s="1">
        <v>10</v>
      </c>
      <c r="C312" s="1">
        <v>2</v>
      </c>
      <c r="D312" s="1" t="s">
        <v>2833</v>
      </c>
      <c r="E312" s="1">
        <f ca="1">IF(C312=1,OFFSET(控制台!$F$552,MATCH(A312,控制台!$B$552:$B$580,0)-1,0),OFFSET(控制台!$L$552,MATCH(A312,控制台!$H$552:$H$594,0)-1,0))</f>
        <v>10</v>
      </c>
      <c r="F312" s="1">
        <f ca="1">IF(C312=1,OFFSET(控制台!$D$552,MATCH(A312,控制台!$B$552:$B$580,0)-1,0),OFFSET(控制台!$J$552,MATCH(A312,控制台!$H$552:$H$594,0)-1,0))</f>
        <v>14</v>
      </c>
      <c r="G312" s="1">
        <f ca="1">IF(C312=1,OFFSET(控制台!$I$599,MATCH(F312,控制台!$B$599:$B$615,0)-1,0),OFFSET(控制台!$I$618,MATCH(F312,控制台!$B$618:$B$636,0)-1,0))</f>
        <v>3</v>
      </c>
      <c r="H312" s="1">
        <f ca="1">IF(C312=1,OFFSET(控制台!$D$599,MATCH(F312,控制台!$B$599:$B$615,0)-1,0),OFFSET(控制台!$D$618,MATCH(F312,控制台!$B$618:$B$636,0)-1,0))</f>
        <v>1184400000</v>
      </c>
      <c r="I312" s="1">
        <f ca="1">IF(E312=1,H312/G312,IF(E312=5,H312/G312*OFFSET(控制台!$D$641,MATCH(B312,控制台!$B$641:$B$645,0)-1,0),H312/G312*OFFSET(控制台!$H$641,MATCH(B312,控制台!$F$641:$F$650,0)-1,0)))</f>
        <v>143563636.363636</v>
      </c>
      <c r="J312" s="1">
        <f ca="1">$I312/3*控制台!H$102</f>
        <v>47854545.4545455</v>
      </c>
      <c r="K312" s="1">
        <f ca="1">$I312/3*控制台!I$102</f>
        <v>35890909.0909091</v>
      </c>
      <c r="L312" s="1">
        <f ca="1">$I312/3*控制台!J$102</f>
        <v>59818181.8181819</v>
      </c>
      <c r="M312" s="1">
        <f ca="1">_xlfn.FLOOR.MATH(J312,POWER(10,MAX(2,INT(LOG10(J312)-2))))</f>
        <v>47800000</v>
      </c>
      <c r="N312" s="1">
        <f ca="1">_xlfn.FLOOR.MATH(K312,POWER(10,MAX(2,INT(LOG10(K312)-2))))</f>
        <v>35800000</v>
      </c>
      <c r="O312" s="1">
        <f ca="1">_xlfn.FLOOR.MATH(L312,POWER(10,MAX(2,INT(LOG10(L312)-2))))</f>
        <v>59800000</v>
      </c>
      <c r="P312" s="4" t="str">
        <f ca="1" t="shared" si="12"/>
        <v>47800000;35800000;59800000</v>
      </c>
      <c r="Q312" s="15">
        <f ca="1">IF(C312=1,OFFSET(控制台!$H$599,MATCH(F312,控制台!$B$599:$B$615,0)-1,0),OFFSET(控制台!$H$618,MATCH(F312,控制台!$B$618:$B$636,0)-1,0))</f>
        <v>1473147.648</v>
      </c>
      <c r="R312" s="15">
        <f ca="1">IF(E312=1,Q312/G312,IF(E312=5,Q312/G312*OFFSET(控制台!$D$641,MATCH(B312,控制台!$B$641:$B$645,0)-1,0),Q312/G312*OFFSET(控制台!$H$641,MATCH(B312,控制台!$F$641:$F$650,0)-1,0)))</f>
        <v>178563.351272727</v>
      </c>
      <c r="S312" s="16">
        <f ca="1">_xlfn.FLOOR.MATH(R312)*60</f>
        <v>10713780</v>
      </c>
      <c r="T312" s="16">
        <f ca="1">8000+IF(C312=1,OFFSET(控制台!$K$599,MATCH(F312,控制台!$B$599:$B$615,0)-1,0),OFFSET(控制台!$K$618,MATCH(F312,控制台!$B$618:$B$636,0)-1,0))</f>
        <v>8027</v>
      </c>
      <c r="U312" s="1">
        <f ca="1">IF(C312=1,OFFSET(控制台!$F$599,MATCH(F312,控制台!$B$599:$B$615,0)-1,0),OFFSET(控制台!$F$618,MATCH(F312,控制台!$B$618:$B$636,0)-1,0))</f>
        <v>740275.2</v>
      </c>
      <c r="V312" s="1">
        <f ca="1">IF(E312=1,U312/G312,IF(E312=5,U312/G312*OFFSET(控制台!$D$641,MATCH(B312,控制台!$B$641:$B$645,0)-1,0),U312/G312*OFFSET(控制台!$H$641,MATCH(B312,控制台!$F$641:$F$650,0)-1,0)))</f>
        <v>89730.3272727273</v>
      </c>
      <c r="W312" s="20">
        <f ca="1" t="shared" si="13"/>
        <v>62.3127272727273</v>
      </c>
      <c r="X312" s="15">
        <f ca="1">IF(C312=1,OFFSET(控制台!$U$599,MATCH(F312,控制台!$B$599:$B$615,0)-1,0),OFFSET(控制台!$U$618,MATCH(F312,控制台!$B$618:$B$636,0)-1,0))</f>
        <v>2254875</v>
      </c>
      <c r="Y312" s="16">
        <f ca="1">_xlfn.FLOOR.MATH(IF(E312=1,X312/G312,IF(E312=5,X312/G312*OFFSET(控制台!$D$641,MATCH(B312,控制台!$B$641:$B$645,0)-1,0),X312/G312*OFFSET(控制台!$H$641,MATCH(B312,控制台!$F$641:$F$650,0)-1,0))))</f>
        <v>273318</v>
      </c>
      <c r="Z312" s="16">
        <f ca="1" t="shared" si="14"/>
        <v>751619</v>
      </c>
    </row>
    <row r="313" spans="1:26">
      <c r="A313" s="1">
        <v>21402</v>
      </c>
      <c r="B313" s="1">
        <v>1</v>
      </c>
      <c r="C313" s="1">
        <v>2</v>
      </c>
      <c r="D313" s="1" t="s">
        <v>2834</v>
      </c>
      <c r="E313" s="1">
        <f ca="1">IF(C313=1,OFFSET(控制台!$F$552,MATCH(A313,控制台!$B$552:$B$580,0)-1,0),OFFSET(控制台!$L$552,MATCH(A313,控制台!$H$552:$H$594,0)-1,0))</f>
        <v>10</v>
      </c>
      <c r="F313" s="1">
        <f ca="1">IF(C313=1,OFFSET(控制台!$D$552,MATCH(A313,控制台!$B$552:$B$580,0)-1,0),OFFSET(控制台!$J$552,MATCH(A313,控制台!$H$552:$H$594,0)-1,0))</f>
        <v>14</v>
      </c>
      <c r="G313" s="1">
        <f ca="1">IF(C313=1,OFFSET(控制台!$I$599,MATCH(F313,控制台!$B$599:$B$615,0)-1,0),OFFSET(控制台!$I$618,MATCH(F313,控制台!$B$618:$B$636,0)-1,0))</f>
        <v>3</v>
      </c>
      <c r="H313" s="1">
        <f ca="1">IF(C313=1,OFFSET(控制台!$D$599,MATCH(F313,控制台!$B$599:$B$615,0)-1,0),OFFSET(控制台!$D$618,MATCH(F313,控制台!$B$618:$B$636,0)-1,0))</f>
        <v>1184400000</v>
      </c>
      <c r="I313" s="1">
        <f ca="1">IF(E313=1,H313/G313,IF(E313=5,H313/G313*OFFSET(控制台!$D$641,MATCH(B313,控制台!$B$641:$B$645,0)-1,0),H313/G313*OFFSET(控制台!$H$641,MATCH(B313,控制台!$F$641:$F$650,0)-1,0)))</f>
        <v>3589090.90909091</v>
      </c>
      <c r="J313" s="1">
        <f ca="1">$I313/3*控制台!H$102</f>
        <v>1196363.63636364</v>
      </c>
      <c r="K313" s="1">
        <f ca="1">$I313/3*控制台!I$102</f>
        <v>897272.727272727</v>
      </c>
      <c r="L313" s="1">
        <f ca="1">$I313/3*控制台!J$102</f>
        <v>1495454.54545454</v>
      </c>
      <c r="M313" s="1">
        <f ca="1">_xlfn.FLOOR.MATH(J313,POWER(10,MAX(2,INT(LOG10(J313)-2))))</f>
        <v>1190000</v>
      </c>
      <c r="N313" s="1">
        <f ca="1">_xlfn.FLOOR.MATH(K313,POWER(10,MAX(2,INT(LOG10(K313)-2))))</f>
        <v>897000</v>
      </c>
      <c r="O313" s="1">
        <f ca="1">_xlfn.FLOOR.MATH(L313,POWER(10,MAX(2,INT(LOG10(L313)-2))))</f>
        <v>1490000</v>
      </c>
      <c r="P313" s="4" t="str">
        <f ca="1" t="shared" si="12"/>
        <v>1190000;897000;1490000</v>
      </c>
      <c r="Q313" s="15">
        <f ca="1">IF(C313=1,OFFSET(控制台!$H$599,MATCH(F313,控制台!$B$599:$B$615,0)-1,0),OFFSET(控制台!$H$618,MATCH(F313,控制台!$B$618:$B$636,0)-1,0))</f>
        <v>1473147.648</v>
      </c>
      <c r="R313" s="15">
        <f ca="1">IF(E313=1,Q313/G313,IF(E313=5,Q313/G313*OFFSET(控制台!$D$641,MATCH(B313,控制台!$B$641:$B$645,0)-1,0),Q313/G313*OFFSET(控制台!$H$641,MATCH(B313,控制台!$F$641:$F$650,0)-1,0)))</f>
        <v>4464.08378181818</v>
      </c>
      <c r="S313" s="16">
        <f ca="1">_xlfn.FLOOR.MATH(R313)*60</f>
        <v>267840</v>
      </c>
      <c r="T313" s="16">
        <f ca="1">8000+IF(C313=1,OFFSET(控制台!$K$599,MATCH(F313,控制台!$B$599:$B$615,0)-1,0),OFFSET(控制台!$K$618,MATCH(F313,控制台!$B$618:$B$636,0)-1,0))</f>
        <v>8027</v>
      </c>
      <c r="U313" s="1">
        <f ca="1">IF(C313=1,OFFSET(控制台!$F$599,MATCH(F313,控制台!$B$599:$B$615,0)-1,0),OFFSET(控制台!$F$618,MATCH(F313,控制台!$B$618:$B$636,0)-1,0))</f>
        <v>740275.2</v>
      </c>
      <c r="V313" s="1">
        <f ca="1">IF(E313=1,U313/G313,IF(E313=5,U313/G313*OFFSET(控制台!$D$641,MATCH(B313,控制台!$B$641:$B$645,0)-1,0),U313/G313*OFFSET(控制台!$H$641,MATCH(B313,控制台!$F$641:$F$650,0)-1,0)))</f>
        <v>2243.25818181818</v>
      </c>
      <c r="W313" s="20">
        <f ca="1" t="shared" si="13"/>
        <v>1.55781818181818</v>
      </c>
      <c r="X313" s="15">
        <f ca="1">IF(C313=1,OFFSET(控制台!$U$599,MATCH(F313,控制台!$B$599:$B$615,0)-1,0),OFFSET(控制台!$U$618,MATCH(F313,控制台!$B$618:$B$636,0)-1,0))</f>
        <v>2254875</v>
      </c>
      <c r="Y313" s="16">
        <f ca="1">_xlfn.FLOOR.MATH(IF(E313=1,X313/G313,IF(E313=5,X313/G313*OFFSET(控制台!$D$641,MATCH(B313,控制台!$B$641:$B$645,0)-1,0),X313/G313*OFFSET(控制台!$H$641,MATCH(B313,控制台!$F$641:$F$650,0)-1,0))))</f>
        <v>6832</v>
      </c>
      <c r="Z313" s="16">
        <f ca="1" t="shared" si="14"/>
        <v>6832</v>
      </c>
    </row>
    <row r="314" spans="1:26">
      <c r="A314" s="1">
        <v>21402</v>
      </c>
      <c r="B314" s="1">
        <v>2</v>
      </c>
      <c r="C314" s="1">
        <v>2</v>
      </c>
      <c r="D314" s="1" t="s">
        <v>2834</v>
      </c>
      <c r="E314" s="1">
        <f ca="1">IF(C314=1,OFFSET(控制台!$F$552,MATCH(A314,控制台!$B$552:$B$580,0)-1,0),OFFSET(控制台!$L$552,MATCH(A314,控制台!$H$552:$H$594,0)-1,0))</f>
        <v>10</v>
      </c>
      <c r="F314" s="1">
        <f ca="1">IF(C314=1,OFFSET(控制台!$D$552,MATCH(A314,控制台!$B$552:$B$580,0)-1,0),OFFSET(控制台!$J$552,MATCH(A314,控制台!$H$552:$H$594,0)-1,0))</f>
        <v>14</v>
      </c>
      <c r="G314" s="1">
        <f ca="1">IF(C314=1,OFFSET(控制台!$I$599,MATCH(F314,控制台!$B$599:$B$615,0)-1,0),OFFSET(控制台!$I$618,MATCH(F314,控制台!$B$618:$B$636,0)-1,0))</f>
        <v>3</v>
      </c>
      <c r="H314" s="1">
        <f ca="1">IF(C314=1,OFFSET(控制台!$D$599,MATCH(F314,控制台!$B$599:$B$615,0)-1,0),OFFSET(控制台!$D$618,MATCH(F314,控制台!$B$618:$B$636,0)-1,0))</f>
        <v>1184400000</v>
      </c>
      <c r="I314" s="1">
        <f ca="1">IF(E314=1,H314/G314,IF(E314=5,H314/G314*OFFSET(控制台!$D$641,MATCH(B314,控制台!$B$641:$B$645,0)-1,0),H314/G314*OFFSET(控制台!$H$641,MATCH(B314,控制台!$F$641:$F$650,0)-1,0)))</f>
        <v>5383636.36363635</v>
      </c>
      <c r="J314" s="1">
        <f ca="1">$I314/3*控制台!H$102</f>
        <v>1794545.45454545</v>
      </c>
      <c r="K314" s="1">
        <f ca="1">$I314/3*控制台!I$102</f>
        <v>1345909.09090909</v>
      </c>
      <c r="L314" s="1">
        <f ca="1">$I314/3*控制台!J$102</f>
        <v>2243181.81818181</v>
      </c>
      <c r="M314" s="1">
        <f ca="1">_xlfn.FLOOR.MATH(J314,POWER(10,MAX(2,INT(LOG10(J314)-2))))</f>
        <v>1790000</v>
      </c>
      <c r="N314" s="1">
        <f ca="1">_xlfn.FLOOR.MATH(K314,POWER(10,MAX(2,INT(LOG10(K314)-2))))</f>
        <v>1340000</v>
      </c>
      <c r="O314" s="1">
        <f ca="1">_xlfn.FLOOR.MATH(L314,POWER(10,MAX(2,INT(LOG10(L314)-2))))</f>
        <v>2240000</v>
      </c>
      <c r="P314" s="4" t="str">
        <f ca="1" t="shared" si="12"/>
        <v>1790000;1340000;2240000</v>
      </c>
      <c r="Q314" s="15">
        <f ca="1">IF(C314=1,OFFSET(控制台!$H$599,MATCH(F314,控制台!$B$599:$B$615,0)-1,0),OFFSET(控制台!$H$618,MATCH(F314,控制台!$B$618:$B$636,0)-1,0))</f>
        <v>1473147.648</v>
      </c>
      <c r="R314" s="15">
        <f ca="1">IF(E314=1,Q314/G314,IF(E314=5,Q314/G314*OFFSET(控制台!$D$641,MATCH(B314,控制台!$B$641:$B$645,0)-1,0),Q314/G314*OFFSET(控制台!$H$641,MATCH(B314,控制台!$F$641:$F$650,0)-1,0)))</f>
        <v>6696.12567272725</v>
      </c>
      <c r="S314" s="16">
        <f ca="1">_xlfn.FLOOR.MATH(R314)*60</f>
        <v>401760</v>
      </c>
      <c r="T314" s="16">
        <f ca="1">8000+IF(C314=1,OFFSET(控制台!$K$599,MATCH(F314,控制台!$B$599:$B$615,0)-1,0),OFFSET(控制台!$K$618,MATCH(F314,控制台!$B$618:$B$636,0)-1,0))</f>
        <v>8027</v>
      </c>
      <c r="U314" s="1">
        <f ca="1">IF(C314=1,OFFSET(控制台!$F$599,MATCH(F314,控制台!$B$599:$B$615,0)-1,0),OFFSET(控制台!$F$618,MATCH(F314,控制台!$B$618:$B$636,0)-1,0))</f>
        <v>740275.2</v>
      </c>
      <c r="V314" s="1">
        <f ca="1">IF(E314=1,U314/G314,IF(E314=5,U314/G314*OFFSET(控制台!$D$641,MATCH(B314,控制台!$B$641:$B$645,0)-1,0),U314/G314*OFFSET(控制台!$H$641,MATCH(B314,控制台!$F$641:$F$650,0)-1,0)))</f>
        <v>3364.88727272726</v>
      </c>
      <c r="W314" s="20">
        <f ca="1" t="shared" si="13"/>
        <v>2.33672727272727</v>
      </c>
      <c r="X314" s="15">
        <f ca="1">IF(C314=1,OFFSET(控制台!$U$599,MATCH(F314,控制台!$B$599:$B$615,0)-1,0),OFFSET(控制台!$U$618,MATCH(F314,控制台!$B$618:$B$636,0)-1,0))</f>
        <v>2254875</v>
      </c>
      <c r="Y314" s="16">
        <f ca="1">_xlfn.FLOOR.MATH(IF(E314=1,X314/G314,IF(E314=5,X314/G314*OFFSET(控制台!$D$641,MATCH(B314,控制台!$B$641:$B$645,0)-1,0),X314/G314*OFFSET(控制台!$H$641,MATCH(B314,控制台!$F$641:$F$650,0)-1,0))))</f>
        <v>10249</v>
      </c>
      <c r="Z314" s="16">
        <f ca="1" t="shared" si="14"/>
        <v>17081</v>
      </c>
    </row>
    <row r="315" spans="1:26">
      <c r="A315" s="1">
        <v>21402</v>
      </c>
      <c r="B315" s="1">
        <v>3</v>
      </c>
      <c r="C315" s="1">
        <v>2</v>
      </c>
      <c r="D315" s="1" t="s">
        <v>2834</v>
      </c>
      <c r="E315" s="1">
        <f ca="1">IF(C315=1,OFFSET(控制台!$F$552,MATCH(A315,控制台!$B$552:$B$580,0)-1,0),OFFSET(控制台!$L$552,MATCH(A315,控制台!$H$552:$H$594,0)-1,0))</f>
        <v>10</v>
      </c>
      <c r="F315" s="1">
        <f ca="1">IF(C315=1,OFFSET(控制台!$D$552,MATCH(A315,控制台!$B$552:$B$580,0)-1,0),OFFSET(控制台!$J$552,MATCH(A315,控制台!$H$552:$H$594,0)-1,0))</f>
        <v>14</v>
      </c>
      <c r="G315" s="1">
        <f ca="1">IF(C315=1,OFFSET(控制台!$I$599,MATCH(F315,控制台!$B$599:$B$615,0)-1,0),OFFSET(控制台!$I$618,MATCH(F315,控制台!$B$618:$B$636,0)-1,0))</f>
        <v>3</v>
      </c>
      <c r="H315" s="1">
        <f ca="1">IF(C315=1,OFFSET(控制台!$D$599,MATCH(F315,控制台!$B$599:$B$615,0)-1,0),OFFSET(控制台!$D$618,MATCH(F315,控制台!$B$618:$B$636,0)-1,0))</f>
        <v>1184400000</v>
      </c>
      <c r="I315" s="1">
        <f ca="1">IF(E315=1,H315/G315,IF(E315=5,H315/G315*OFFSET(控制台!$D$641,MATCH(B315,控制台!$B$641:$B$645,0)-1,0),H315/G315*OFFSET(控制台!$H$641,MATCH(B315,控制台!$F$641:$F$650,0)-1,0)))</f>
        <v>7178181.81818182</v>
      </c>
      <c r="J315" s="1">
        <f ca="1">$I315/3*控制台!H$102</f>
        <v>2392727.27272727</v>
      </c>
      <c r="K315" s="1">
        <f ca="1">$I315/3*控制台!I$102</f>
        <v>1794545.45454546</v>
      </c>
      <c r="L315" s="1">
        <f ca="1">$I315/3*控制台!J$102</f>
        <v>2990909.09090909</v>
      </c>
      <c r="M315" s="1">
        <f ca="1">_xlfn.FLOOR.MATH(J315,POWER(10,MAX(2,INT(LOG10(J315)-2))))</f>
        <v>2390000</v>
      </c>
      <c r="N315" s="1">
        <f ca="1">_xlfn.FLOOR.MATH(K315,POWER(10,MAX(2,INT(LOG10(K315)-2))))</f>
        <v>1790000</v>
      </c>
      <c r="O315" s="1">
        <f ca="1">_xlfn.FLOOR.MATH(L315,POWER(10,MAX(2,INT(LOG10(L315)-2))))</f>
        <v>2990000</v>
      </c>
      <c r="P315" s="4" t="str">
        <f ca="1" t="shared" si="12"/>
        <v>2390000;1790000;2990000</v>
      </c>
      <c r="Q315" s="15">
        <f ca="1">IF(C315=1,OFFSET(控制台!$H$599,MATCH(F315,控制台!$B$599:$B$615,0)-1,0),OFFSET(控制台!$H$618,MATCH(F315,控制台!$B$618:$B$636,0)-1,0))</f>
        <v>1473147.648</v>
      </c>
      <c r="R315" s="15">
        <f ca="1">IF(E315=1,Q315/G315,IF(E315=5,Q315/G315*OFFSET(控制台!$D$641,MATCH(B315,控制台!$B$641:$B$645,0)-1,0),Q315/G315*OFFSET(控制台!$H$641,MATCH(B315,控制台!$F$641:$F$650,0)-1,0)))</f>
        <v>8928.16756363637</v>
      </c>
      <c r="S315" s="16">
        <f ca="1">_xlfn.FLOOR.MATH(R315)*60</f>
        <v>535680</v>
      </c>
      <c r="T315" s="16">
        <f ca="1">8000+IF(C315=1,OFFSET(控制台!$K$599,MATCH(F315,控制台!$B$599:$B$615,0)-1,0),OFFSET(控制台!$K$618,MATCH(F315,控制台!$B$618:$B$636,0)-1,0))</f>
        <v>8027</v>
      </c>
      <c r="U315" s="1">
        <f ca="1">IF(C315=1,OFFSET(控制台!$F$599,MATCH(F315,控制台!$B$599:$B$615,0)-1,0),OFFSET(控制台!$F$618,MATCH(F315,控制台!$B$618:$B$636,0)-1,0))</f>
        <v>740275.2</v>
      </c>
      <c r="V315" s="1">
        <f ca="1">IF(E315=1,U315/G315,IF(E315=5,U315/G315*OFFSET(控制台!$D$641,MATCH(B315,控制台!$B$641:$B$645,0)-1,0),U315/G315*OFFSET(控制台!$H$641,MATCH(B315,控制台!$F$641:$F$650,0)-1,0)))</f>
        <v>4486.51636363637</v>
      </c>
      <c r="W315" s="20">
        <f ca="1" t="shared" si="13"/>
        <v>3.11563636363637</v>
      </c>
      <c r="X315" s="15">
        <f ca="1">IF(C315=1,OFFSET(控制台!$U$599,MATCH(F315,控制台!$B$599:$B$615,0)-1,0),OFFSET(控制台!$U$618,MATCH(F315,控制台!$B$618:$B$636,0)-1,0))</f>
        <v>2254875</v>
      </c>
      <c r="Y315" s="16">
        <f ca="1">_xlfn.FLOOR.MATH(IF(E315=1,X315/G315,IF(E315=5,X315/G315*OFFSET(控制台!$D$641,MATCH(B315,控制台!$B$641:$B$645,0)-1,0),X315/G315*OFFSET(控制台!$H$641,MATCH(B315,控制台!$F$641:$F$650,0)-1,0))))</f>
        <v>13665</v>
      </c>
      <c r="Z315" s="16">
        <f ca="1" t="shared" si="14"/>
        <v>30746</v>
      </c>
    </row>
    <row r="316" spans="1:26">
      <c r="A316" s="1">
        <v>21402</v>
      </c>
      <c r="B316" s="1">
        <v>4</v>
      </c>
      <c r="C316" s="1">
        <v>2</v>
      </c>
      <c r="D316" s="1" t="s">
        <v>2834</v>
      </c>
      <c r="E316" s="1">
        <f ca="1">IF(C316=1,OFFSET(控制台!$F$552,MATCH(A316,控制台!$B$552:$B$580,0)-1,0),OFFSET(控制台!$L$552,MATCH(A316,控制台!$H$552:$H$594,0)-1,0))</f>
        <v>10</v>
      </c>
      <c r="F316" s="1">
        <f ca="1">IF(C316=1,OFFSET(控制台!$D$552,MATCH(A316,控制台!$B$552:$B$580,0)-1,0),OFFSET(控制台!$J$552,MATCH(A316,控制台!$H$552:$H$594,0)-1,0))</f>
        <v>14</v>
      </c>
      <c r="G316" s="1">
        <f ca="1">IF(C316=1,OFFSET(控制台!$I$599,MATCH(F316,控制台!$B$599:$B$615,0)-1,0),OFFSET(控制台!$I$618,MATCH(F316,控制台!$B$618:$B$636,0)-1,0))</f>
        <v>3</v>
      </c>
      <c r="H316" s="1">
        <f ca="1">IF(C316=1,OFFSET(控制台!$D$599,MATCH(F316,控制台!$B$599:$B$615,0)-1,0),OFFSET(控制台!$D$618,MATCH(F316,控制台!$B$618:$B$636,0)-1,0))</f>
        <v>1184400000</v>
      </c>
      <c r="I316" s="1">
        <f ca="1">IF(E316=1,H316/G316,IF(E316=5,H316/G316*OFFSET(控制台!$D$641,MATCH(B316,控制台!$B$641:$B$645,0)-1,0),H316/G316*OFFSET(控制台!$H$641,MATCH(B316,控制台!$F$641:$F$650,0)-1,0)))</f>
        <v>10767272.7272727</v>
      </c>
      <c r="J316" s="1">
        <f ca="1">$I316/3*控制台!H$102</f>
        <v>3589090.90909091</v>
      </c>
      <c r="K316" s="1">
        <f ca="1">$I316/3*控制台!I$102</f>
        <v>2691818.18181818</v>
      </c>
      <c r="L316" s="1">
        <f ca="1">$I316/3*控制台!J$102</f>
        <v>4486363.63636364</v>
      </c>
      <c r="M316" s="1">
        <f ca="1">_xlfn.FLOOR.MATH(J316,POWER(10,MAX(2,INT(LOG10(J316)-2))))</f>
        <v>3580000</v>
      </c>
      <c r="N316" s="1">
        <f ca="1">_xlfn.FLOOR.MATH(K316,POWER(10,MAX(2,INT(LOG10(K316)-2))))</f>
        <v>2690000</v>
      </c>
      <c r="O316" s="1">
        <f ca="1">_xlfn.FLOOR.MATH(L316,POWER(10,MAX(2,INT(LOG10(L316)-2))))</f>
        <v>4480000</v>
      </c>
      <c r="P316" s="4" t="str">
        <f ca="1" t="shared" si="12"/>
        <v>3580000;2690000;4480000</v>
      </c>
      <c r="Q316" s="15">
        <f ca="1">IF(C316=1,OFFSET(控制台!$H$599,MATCH(F316,控制台!$B$599:$B$615,0)-1,0),OFFSET(控制台!$H$618,MATCH(F316,控制台!$B$618:$B$636,0)-1,0))</f>
        <v>1473147.648</v>
      </c>
      <c r="R316" s="15">
        <f ca="1">IF(E316=1,Q316/G316,IF(E316=5,Q316/G316*OFFSET(控制台!$D$641,MATCH(B316,控制台!$B$641:$B$645,0)-1,0),Q316/G316*OFFSET(控制台!$H$641,MATCH(B316,控制台!$F$641:$F$650,0)-1,0)))</f>
        <v>13392.2513454546</v>
      </c>
      <c r="S316" s="16">
        <f ca="1">_xlfn.FLOOR.MATH(R316)*60</f>
        <v>803520</v>
      </c>
      <c r="T316" s="16">
        <f ca="1">8000+IF(C316=1,OFFSET(控制台!$K$599,MATCH(F316,控制台!$B$599:$B$615,0)-1,0),OFFSET(控制台!$K$618,MATCH(F316,控制台!$B$618:$B$636,0)-1,0))</f>
        <v>8027</v>
      </c>
      <c r="U316" s="1">
        <f ca="1">IF(C316=1,OFFSET(控制台!$F$599,MATCH(F316,控制台!$B$599:$B$615,0)-1,0),OFFSET(控制台!$F$618,MATCH(F316,控制台!$B$618:$B$636,0)-1,0))</f>
        <v>740275.2</v>
      </c>
      <c r="V316" s="1">
        <f ca="1">IF(E316=1,U316/G316,IF(E316=5,U316/G316*OFFSET(控制台!$D$641,MATCH(B316,控制台!$B$641:$B$645,0)-1,0),U316/G316*OFFSET(控制台!$H$641,MATCH(B316,控制台!$F$641:$F$650,0)-1,0)))</f>
        <v>6729.77454545455</v>
      </c>
      <c r="W316" s="20">
        <f ca="1" t="shared" si="13"/>
        <v>4.67345454545455</v>
      </c>
      <c r="X316" s="15">
        <f ca="1">IF(C316=1,OFFSET(控制台!$U$599,MATCH(F316,控制台!$B$599:$B$615,0)-1,0),OFFSET(控制台!$U$618,MATCH(F316,控制台!$B$618:$B$636,0)-1,0))</f>
        <v>2254875</v>
      </c>
      <c r="Y316" s="16">
        <f ca="1">_xlfn.FLOOR.MATH(IF(E316=1,X316/G316,IF(E316=5,X316/G316*OFFSET(控制台!$D$641,MATCH(B316,控制台!$B$641:$B$645,0)-1,0),X316/G316*OFFSET(控制台!$H$641,MATCH(B316,控制台!$F$641:$F$650,0)-1,0))))</f>
        <v>20498</v>
      </c>
      <c r="Z316" s="16">
        <f ca="1" t="shared" si="14"/>
        <v>51244</v>
      </c>
    </row>
    <row r="317" spans="1:26">
      <c r="A317" s="1">
        <v>21402</v>
      </c>
      <c r="B317" s="1">
        <v>5</v>
      </c>
      <c r="C317" s="1">
        <v>2</v>
      </c>
      <c r="D317" s="1" t="s">
        <v>2834</v>
      </c>
      <c r="E317" s="1">
        <f ca="1">IF(C317=1,OFFSET(控制台!$F$552,MATCH(A317,控制台!$B$552:$B$580,0)-1,0),OFFSET(控制台!$L$552,MATCH(A317,控制台!$H$552:$H$594,0)-1,0))</f>
        <v>10</v>
      </c>
      <c r="F317" s="1">
        <f ca="1">IF(C317=1,OFFSET(控制台!$D$552,MATCH(A317,控制台!$B$552:$B$580,0)-1,0),OFFSET(控制台!$J$552,MATCH(A317,控制台!$H$552:$H$594,0)-1,0))</f>
        <v>14</v>
      </c>
      <c r="G317" s="1">
        <f ca="1">IF(C317=1,OFFSET(控制台!$I$599,MATCH(F317,控制台!$B$599:$B$615,0)-1,0),OFFSET(控制台!$I$618,MATCH(F317,控制台!$B$618:$B$636,0)-1,0))</f>
        <v>3</v>
      </c>
      <c r="H317" s="1">
        <f ca="1">IF(C317=1,OFFSET(控制台!$D$599,MATCH(F317,控制台!$B$599:$B$615,0)-1,0),OFFSET(控制台!$D$618,MATCH(F317,控制台!$B$618:$B$636,0)-1,0))</f>
        <v>1184400000</v>
      </c>
      <c r="I317" s="1">
        <f ca="1">IF(E317=1,H317/G317,IF(E317=5,H317/G317*OFFSET(控制台!$D$641,MATCH(B317,控制台!$B$641:$B$645,0)-1,0),H317/G317*OFFSET(控制台!$H$641,MATCH(B317,控制台!$F$641:$F$650,0)-1,0)))</f>
        <v>17945454.5454546</v>
      </c>
      <c r="J317" s="1">
        <f ca="1">$I317/3*控制台!H$102</f>
        <v>5981818.18181819</v>
      </c>
      <c r="K317" s="1">
        <f ca="1">$I317/3*控制台!I$102</f>
        <v>4486363.63636364</v>
      </c>
      <c r="L317" s="1">
        <f ca="1">$I317/3*控制台!J$102</f>
        <v>7477272.72727273</v>
      </c>
      <c r="M317" s="1">
        <f ca="1">_xlfn.FLOOR.MATH(J317,POWER(10,MAX(2,INT(LOG10(J317)-2))))</f>
        <v>5980000</v>
      </c>
      <c r="N317" s="1">
        <f ca="1">_xlfn.FLOOR.MATH(K317,POWER(10,MAX(2,INT(LOG10(K317)-2))))</f>
        <v>4480000</v>
      </c>
      <c r="O317" s="1">
        <f ca="1">_xlfn.FLOOR.MATH(L317,POWER(10,MAX(2,INT(LOG10(L317)-2))))</f>
        <v>7470000</v>
      </c>
      <c r="P317" s="4" t="str">
        <f ca="1" t="shared" si="12"/>
        <v>5980000;4480000;7470000</v>
      </c>
      <c r="Q317" s="15">
        <f ca="1">IF(C317=1,OFFSET(控制台!$H$599,MATCH(F317,控制台!$B$599:$B$615,0)-1,0),OFFSET(控制台!$H$618,MATCH(F317,控制台!$B$618:$B$636,0)-1,0))</f>
        <v>1473147.648</v>
      </c>
      <c r="R317" s="15">
        <f ca="1">IF(E317=1,Q317/G317,IF(E317=5,Q317/G317*OFFSET(控制台!$D$641,MATCH(B317,控制台!$B$641:$B$645,0)-1,0),Q317/G317*OFFSET(控制台!$H$641,MATCH(B317,控制台!$F$641:$F$650,0)-1,0)))</f>
        <v>22320.4189090909</v>
      </c>
      <c r="S317" s="16">
        <f ca="1">_xlfn.FLOOR.MATH(R317)*60</f>
        <v>1339200</v>
      </c>
      <c r="T317" s="16">
        <f ca="1">8000+IF(C317=1,OFFSET(控制台!$K$599,MATCH(F317,控制台!$B$599:$B$615,0)-1,0),OFFSET(控制台!$K$618,MATCH(F317,控制台!$B$618:$B$636,0)-1,0))</f>
        <v>8027</v>
      </c>
      <c r="U317" s="1">
        <f ca="1">IF(C317=1,OFFSET(控制台!$F$599,MATCH(F317,控制台!$B$599:$B$615,0)-1,0),OFFSET(控制台!$F$618,MATCH(F317,控制台!$B$618:$B$636,0)-1,0))</f>
        <v>740275.2</v>
      </c>
      <c r="V317" s="1">
        <f ca="1">IF(E317=1,U317/G317,IF(E317=5,U317/G317*OFFSET(控制台!$D$641,MATCH(B317,控制台!$B$641:$B$645,0)-1,0),U317/G317*OFFSET(控制台!$H$641,MATCH(B317,控制台!$F$641:$F$650,0)-1,0)))</f>
        <v>11216.2909090909</v>
      </c>
      <c r="W317" s="20">
        <f ca="1" t="shared" si="13"/>
        <v>7.78909090909091</v>
      </c>
      <c r="X317" s="15">
        <f ca="1">IF(C317=1,OFFSET(控制台!$U$599,MATCH(F317,控制台!$B$599:$B$615,0)-1,0),OFFSET(控制台!$U$618,MATCH(F317,控制台!$B$618:$B$636,0)-1,0))</f>
        <v>2254875</v>
      </c>
      <c r="Y317" s="16">
        <f ca="1">_xlfn.FLOOR.MATH(IF(E317=1,X317/G317,IF(E317=5,X317/G317*OFFSET(控制台!$D$641,MATCH(B317,控制台!$B$641:$B$645,0)-1,0),X317/G317*OFFSET(控制台!$H$641,MATCH(B317,控制台!$F$641:$F$650,0)-1,0))))</f>
        <v>34164</v>
      </c>
      <c r="Z317" s="16">
        <f ca="1" t="shared" si="14"/>
        <v>85408</v>
      </c>
    </row>
    <row r="318" spans="1:26">
      <c r="A318" s="1">
        <v>21402</v>
      </c>
      <c r="B318" s="1">
        <v>6</v>
      </c>
      <c r="C318" s="1">
        <v>2</v>
      </c>
      <c r="D318" s="1" t="s">
        <v>2834</v>
      </c>
      <c r="E318" s="1">
        <f ca="1">IF(C318=1,OFFSET(控制台!$F$552,MATCH(A318,控制台!$B$552:$B$580,0)-1,0),OFFSET(控制台!$L$552,MATCH(A318,控制台!$H$552:$H$594,0)-1,0))</f>
        <v>10</v>
      </c>
      <c r="F318" s="1">
        <f ca="1">IF(C318=1,OFFSET(控制台!$D$552,MATCH(A318,控制台!$B$552:$B$580,0)-1,0),OFFSET(控制台!$J$552,MATCH(A318,控制台!$H$552:$H$594,0)-1,0))</f>
        <v>14</v>
      </c>
      <c r="G318" s="1">
        <f ca="1">IF(C318=1,OFFSET(控制台!$I$599,MATCH(F318,控制台!$B$599:$B$615,0)-1,0),OFFSET(控制台!$I$618,MATCH(F318,控制台!$B$618:$B$636,0)-1,0))</f>
        <v>3</v>
      </c>
      <c r="H318" s="1">
        <f ca="1">IF(C318=1,OFFSET(控制台!$D$599,MATCH(F318,控制台!$B$599:$B$615,0)-1,0),OFFSET(控制台!$D$618,MATCH(F318,控制台!$B$618:$B$636,0)-1,0))</f>
        <v>1184400000</v>
      </c>
      <c r="I318" s="1">
        <f ca="1">IF(E318=1,H318/G318,IF(E318=5,H318/G318*OFFSET(控制台!$D$641,MATCH(B318,控制台!$B$641:$B$645,0)-1,0),H318/G318*OFFSET(控制台!$H$641,MATCH(B318,控制台!$F$641:$F$650,0)-1,0)))</f>
        <v>26918181.8181818</v>
      </c>
      <c r="J318" s="1">
        <f ca="1">$I318/3*控制台!H$102</f>
        <v>8972727.27272728</v>
      </c>
      <c r="K318" s="1">
        <f ca="1">$I318/3*控制台!I$102</f>
        <v>6729545.45454546</v>
      </c>
      <c r="L318" s="1">
        <f ca="1">$I318/3*控制台!J$102</f>
        <v>11215909.0909091</v>
      </c>
      <c r="M318" s="1">
        <f ca="1">_xlfn.FLOOR.MATH(J318,POWER(10,MAX(2,INT(LOG10(J318)-2))))</f>
        <v>8970000</v>
      </c>
      <c r="N318" s="1">
        <f ca="1">_xlfn.FLOOR.MATH(K318,POWER(10,MAX(2,INT(LOG10(K318)-2))))</f>
        <v>6720000</v>
      </c>
      <c r="O318" s="1">
        <f ca="1">_xlfn.FLOOR.MATH(L318,POWER(10,MAX(2,INT(LOG10(L318)-2))))</f>
        <v>11200000</v>
      </c>
      <c r="P318" s="4" t="str">
        <f ca="1" t="shared" si="12"/>
        <v>8970000;6720000;11200000</v>
      </c>
      <c r="Q318" s="15">
        <f ca="1">IF(C318=1,OFFSET(控制台!$H$599,MATCH(F318,控制台!$B$599:$B$615,0)-1,0),OFFSET(控制台!$H$618,MATCH(F318,控制台!$B$618:$B$636,0)-1,0))</f>
        <v>1473147.648</v>
      </c>
      <c r="R318" s="15">
        <f ca="1">IF(E318=1,Q318/G318,IF(E318=5,Q318/G318*OFFSET(控制台!$D$641,MATCH(B318,控制台!$B$641:$B$645,0)-1,0),Q318/G318*OFFSET(控制台!$H$641,MATCH(B318,控制台!$F$641:$F$650,0)-1,0)))</f>
        <v>33480.6283636364</v>
      </c>
      <c r="S318" s="16">
        <f ca="1">_xlfn.FLOOR.MATH(R318)*60</f>
        <v>2008800</v>
      </c>
      <c r="T318" s="16">
        <f ca="1">8000+IF(C318=1,OFFSET(控制台!$K$599,MATCH(F318,控制台!$B$599:$B$615,0)-1,0),OFFSET(控制台!$K$618,MATCH(F318,控制台!$B$618:$B$636,0)-1,0))</f>
        <v>8027</v>
      </c>
      <c r="U318" s="1">
        <f ca="1">IF(C318=1,OFFSET(控制台!$F$599,MATCH(F318,控制台!$B$599:$B$615,0)-1,0),OFFSET(控制台!$F$618,MATCH(F318,控制台!$B$618:$B$636,0)-1,0))</f>
        <v>740275.2</v>
      </c>
      <c r="V318" s="1">
        <f ca="1">IF(E318=1,U318/G318,IF(E318=5,U318/G318*OFFSET(控制台!$D$641,MATCH(B318,控制台!$B$641:$B$645,0)-1,0),U318/G318*OFFSET(控制台!$H$641,MATCH(B318,控制台!$F$641:$F$650,0)-1,0)))</f>
        <v>16824.4363636364</v>
      </c>
      <c r="W318" s="20">
        <f ca="1" t="shared" si="13"/>
        <v>11.6836363636364</v>
      </c>
      <c r="X318" s="15">
        <f ca="1">IF(C318=1,OFFSET(控制台!$U$599,MATCH(F318,控制台!$B$599:$B$615,0)-1,0),OFFSET(控制台!$U$618,MATCH(F318,控制台!$B$618:$B$636,0)-1,0))</f>
        <v>2254875</v>
      </c>
      <c r="Y318" s="16">
        <f ca="1">_xlfn.FLOOR.MATH(IF(E318=1,X318/G318,IF(E318=5,X318/G318*OFFSET(控制台!$D$641,MATCH(B318,控制台!$B$641:$B$645,0)-1,0),X318/G318*OFFSET(控制台!$H$641,MATCH(B318,控制台!$F$641:$F$650,0)-1,0))))</f>
        <v>51247</v>
      </c>
      <c r="Z318" s="16">
        <f ca="1" t="shared" si="14"/>
        <v>136655</v>
      </c>
    </row>
    <row r="319" spans="1:26">
      <c r="A319" s="1">
        <v>21402</v>
      </c>
      <c r="B319" s="1">
        <v>7</v>
      </c>
      <c r="C319" s="1">
        <v>2</v>
      </c>
      <c r="D319" s="1" t="s">
        <v>2834</v>
      </c>
      <c r="E319" s="1">
        <f ca="1">IF(C319=1,OFFSET(控制台!$F$552,MATCH(A319,控制台!$B$552:$B$580,0)-1,0),OFFSET(控制台!$L$552,MATCH(A319,控制台!$H$552:$H$594,0)-1,0))</f>
        <v>10</v>
      </c>
      <c r="F319" s="1">
        <f ca="1">IF(C319=1,OFFSET(控制台!$D$552,MATCH(A319,控制台!$B$552:$B$580,0)-1,0),OFFSET(控制台!$J$552,MATCH(A319,控制台!$H$552:$H$594,0)-1,0))</f>
        <v>14</v>
      </c>
      <c r="G319" s="1">
        <f ca="1">IF(C319=1,OFFSET(控制台!$I$599,MATCH(F319,控制台!$B$599:$B$615,0)-1,0),OFFSET(控制台!$I$618,MATCH(F319,控制台!$B$618:$B$636,0)-1,0))</f>
        <v>3</v>
      </c>
      <c r="H319" s="1">
        <f ca="1">IF(C319=1,OFFSET(控制台!$D$599,MATCH(F319,控制台!$B$599:$B$615,0)-1,0),OFFSET(控制台!$D$618,MATCH(F319,控制台!$B$618:$B$636,0)-1,0))</f>
        <v>1184400000</v>
      </c>
      <c r="I319" s="1">
        <f ca="1">IF(E319=1,H319/G319,IF(E319=5,H319/G319*OFFSET(控制台!$D$641,MATCH(B319,控制台!$B$641:$B$645,0)-1,0),H319/G319*OFFSET(控制台!$H$641,MATCH(B319,控制台!$F$641:$F$650,0)-1,0)))</f>
        <v>35890909.0909091</v>
      </c>
      <c r="J319" s="1">
        <f ca="1">$I319/3*控制台!H$102</f>
        <v>11963636.3636364</v>
      </c>
      <c r="K319" s="1">
        <f ca="1">$I319/3*控制台!I$102</f>
        <v>8972727.27272727</v>
      </c>
      <c r="L319" s="1">
        <f ca="1">$I319/3*控制台!J$102</f>
        <v>14954545.4545454</v>
      </c>
      <c r="M319" s="1">
        <f ca="1">_xlfn.FLOOR.MATH(J319,POWER(10,MAX(2,INT(LOG10(J319)-2))))</f>
        <v>11900000</v>
      </c>
      <c r="N319" s="1">
        <f ca="1">_xlfn.FLOOR.MATH(K319,POWER(10,MAX(2,INT(LOG10(K319)-2))))</f>
        <v>8970000</v>
      </c>
      <c r="O319" s="1">
        <f ca="1">_xlfn.FLOOR.MATH(L319,POWER(10,MAX(2,INT(LOG10(L319)-2))))</f>
        <v>14900000</v>
      </c>
      <c r="P319" s="4" t="str">
        <f ca="1" t="shared" si="12"/>
        <v>11900000;8970000;14900000</v>
      </c>
      <c r="Q319" s="15">
        <f ca="1">IF(C319=1,OFFSET(控制台!$H$599,MATCH(F319,控制台!$B$599:$B$615,0)-1,0),OFFSET(控制台!$H$618,MATCH(F319,控制台!$B$618:$B$636,0)-1,0))</f>
        <v>1473147.648</v>
      </c>
      <c r="R319" s="15">
        <f ca="1">IF(E319=1,Q319/G319,IF(E319=5,Q319/G319*OFFSET(控制台!$D$641,MATCH(B319,控制台!$B$641:$B$645,0)-1,0),Q319/G319*OFFSET(控制台!$H$641,MATCH(B319,控制台!$F$641:$F$650,0)-1,0)))</f>
        <v>44640.8378181818</v>
      </c>
      <c r="S319" s="16">
        <f ca="1">_xlfn.FLOOR.MATH(R319)*60</f>
        <v>2678400</v>
      </c>
      <c r="T319" s="16">
        <f ca="1">8000+IF(C319=1,OFFSET(控制台!$K$599,MATCH(F319,控制台!$B$599:$B$615,0)-1,0),OFFSET(控制台!$K$618,MATCH(F319,控制台!$B$618:$B$636,0)-1,0))</f>
        <v>8027</v>
      </c>
      <c r="U319" s="1">
        <f ca="1">IF(C319=1,OFFSET(控制台!$F$599,MATCH(F319,控制台!$B$599:$B$615,0)-1,0),OFFSET(控制台!$F$618,MATCH(F319,控制台!$B$618:$B$636,0)-1,0))</f>
        <v>740275.2</v>
      </c>
      <c r="V319" s="1">
        <f ca="1">IF(E319=1,U319/G319,IF(E319=5,U319/G319*OFFSET(控制台!$D$641,MATCH(B319,控制台!$B$641:$B$645,0)-1,0),U319/G319*OFFSET(控制台!$H$641,MATCH(B319,控制台!$F$641:$F$650,0)-1,0)))</f>
        <v>22432.5818181818</v>
      </c>
      <c r="W319" s="20">
        <f ca="1" t="shared" si="13"/>
        <v>15.5781818181818</v>
      </c>
      <c r="X319" s="15">
        <f ca="1">IF(C319=1,OFFSET(控制台!$U$599,MATCH(F319,控制台!$B$599:$B$615,0)-1,0),OFFSET(控制台!$U$618,MATCH(F319,控制台!$B$618:$B$636,0)-1,0))</f>
        <v>2254875</v>
      </c>
      <c r="Y319" s="16">
        <f ca="1">_xlfn.FLOOR.MATH(IF(E319=1,X319/G319,IF(E319=5,X319/G319*OFFSET(控制台!$D$641,MATCH(B319,控制台!$B$641:$B$645,0)-1,0),X319/G319*OFFSET(控制台!$H$641,MATCH(B319,控制台!$F$641:$F$650,0)-1,0))))</f>
        <v>68329</v>
      </c>
      <c r="Z319" s="16">
        <f ca="1" t="shared" si="14"/>
        <v>204984</v>
      </c>
    </row>
    <row r="320" spans="1:26">
      <c r="A320" s="1">
        <v>21402</v>
      </c>
      <c r="B320" s="1">
        <v>8</v>
      </c>
      <c r="C320" s="1">
        <v>2</v>
      </c>
      <c r="D320" s="1" t="s">
        <v>2834</v>
      </c>
      <c r="E320" s="1">
        <f ca="1">IF(C320=1,OFFSET(控制台!$F$552,MATCH(A320,控制台!$B$552:$B$580,0)-1,0),OFFSET(控制台!$L$552,MATCH(A320,控制台!$H$552:$H$594,0)-1,0))</f>
        <v>10</v>
      </c>
      <c r="F320" s="1">
        <f ca="1">IF(C320=1,OFFSET(控制台!$D$552,MATCH(A320,控制台!$B$552:$B$580,0)-1,0),OFFSET(控制台!$J$552,MATCH(A320,控制台!$H$552:$H$594,0)-1,0))</f>
        <v>14</v>
      </c>
      <c r="G320" s="1">
        <f ca="1">IF(C320=1,OFFSET(控制台!$I$599,MATCH(F320,控制台!$B$599:$B$615,0)-1,0),OFFSET(控制台!$I$618,MATCH(F320,控制台!$B$618:$B$636,0)-1,0))</f>
        <v>3</v>
      </c>
      <c r="H320" s="1">
        <f ca="1">IF(C320=1,OFFSET(控制台!$D$599,MATCH(F320,控制台!$B$599:$B$615,0)-1,0),OFFSET(控制台!$D$618,MATCH(F320,控制台!$B$618:$B$636,0)-1,0))</f>
        <v>1184400000</v>
      </c>
      <c r="I320" s="1">
        <f ca="1">IF(E320=1,H320/G320,IF(E320=5,H320/G320*OFFSET(控制台!$D$641,MATCH(B320,控制台!$B$641:$B$645,0)-1,0),H320/G320*OFFSET(控制台!$H$641,MATCH(B320,控制台!$F$641:$F$650,0)-1,0)))</f>
        <v>53836363.6363635</v>
      </c>
      <c r="J320" s="1">
        <f ca="1">$I320/3*控制台!H$102</f>
        <v>17945454.5454545</v>
      </c>
      <c r="K320" s="1">
        <f ca="1">$I320/3*控制台!I$102</f>
        <v>13459090.9090909</v>
      </c>
      <c r="L320" s="1">
        <f ca="1">$I320/3*控制台!J$102</f>
        <v>22431818.1818181</v>
      </c>
      <c r="M320" s="1">
        <f ca="1">_xlfn.FLOOR.MATH(J320,POWER(10,MAX(2,INT(LOG10(J320)-2))))</f>
        <v>17900000</v>
      </c>
      <c r="N320" s="1">
        <f ca="1">_xlfn.FLOOR.MATH(K320,POWER(10,MAX(2,INT(LOG10(K320)-2))))</f>
        <v>13400000</v>
      </c>
      <c r="O320" s="1">
        <f ca="1">_xlfn.FLOOR.MATH(L320,POWER(10,MAX(2,INT(LOG10(L320)-2))))</f>
        <v>22400000</v>
      </c>
      <c r="P320" s="4" t="str">
        <f ca="1" t="shared" si="12"/>
        <v>17900000;13400000;22400000</v>
      </c>
      <c r="Q320" s="15">
        <f ca="1">IF(C320=1,OFFSET(控制台!$H$599,MATCH(F320,控制台!$B$599:$B$615,0)-1,0),OFFSET(控制台!$H$618,MATCH(F320,控制台!$B$618:$B$636,0)-1,0))</f>
        <v>1473147.648</v>
      </c>
      <c r="R320" s="15">
        <f ca="1">IF(E320=1,Q320/G320,IF(E320=5,Q320/G320*OFFSET(控制台!$D$641,MATCH(B320,控制台!$B$641:$B$645,0)-1,0),Q320/G320*OFFSET(控制台!$H$641,MATCH(B320,控制台!$F$641:$F$650,0)-1,0)))</f>
        <v>66961.2567272725</v>
      </c>
      <c r="S320" s="16">
        <f ca="1">_xlfn.FLOOR.MATH(R320)*60</f>
        <v>4017660</v>
      </c>
      <c r="T320" s="16">
        <f ca="1">8000+IF(C320=1,OFFSET(控制台!$K$599,MATCH(F320,控制台!$B$599:$B$615,0)-1,0),OFFSET(控制台!$K$618,MATCH(F320,控制台!$B$618:$B$636,0)-1,0))</f>
        <v>8027</v>
      </c>
      <c r="U320" s="1">
        <f ca="1">IF(C320=1,OFFSET(控制台!$F$599,MATCH(F320,控制台!$B$599:$B$615,0)-1,0),OFFSET(控制台!$F$618,MATCH(F320,控制台!$B$618:$B$636,0)-1,0))</f>
        <v>740275.2</v>
      </c>
      <c r="V320" s="1">
        <f ca="1">IF(E320=1,U320/G320,IF(E320=5,U320/G320*OFFSET(控制台!$D$641,MATCH(B320,控制台!$B$641:$B$645,0)-1,0),U320/G320*OFFSET(控制台!$H$641,MATCH(B320,控制台!$F$641:$F$650,0)-1,0)))</f>
        <v>33648.8727272726</v>
      </c>
      <c r="W320" s="20">
        <f ca="1" t="shared" si="13"/>
        <v>23.3672727272727</v>
      </c>
      <c r="X320" s="15">
        <f ca="1">IF(C320=1,OFFSET(控制台!$U$599,MATCH(F320,控制台!$B$599:$B$615,0)-1,0),OFFSET(控制台!$U$618,MATCH(F320,控制台!$B$618:$B$636,0)-1,0))</f>
        <v>2254875</v>
      </c>
      <c r="Y320" s="16">
        <f ca="1">_xlfn.FLOOR.MATH(IF(E320=1,X320/G320,IF(E320=5,X320/G320*OFFSET(控制台!$D$641,MATCH(B320,控制台!$B$641:$B$645,0)-1,0),X320/G320*OFFSET(控制台!$H$641,MATCH(B320,控制台!$F$641:$F$650,0)-1,0))))</f>
        <v>102494</v>
      </c>
      <c r="Z320" s="16">
        <f ca="1" t="shared" si="14"/>
        <v>307478</v>
      </c>
    </row>
    <row r="321" spans="1:26">
      <c r="A321" s="1">
        <v>21402</v>
      </c>
      <c r="B321" s="1">
        <v>9</v>
      </c>
      <c r="C321" s="1">
        <v>2</v>
      </c>
      <c r="D321" s="1" t="s">
        <v>2834</v>
      </c>
      <c r="E321" s="1">
        <f ca="1">IF(C321=1,OFFSET(控制台!$F$552,MATCH(A321,控制台!$B$552:$B$580,0)-1,0),OFFSET(控制台!$L$552,MATCH(A321,控制台!$H$552:$H$594,0)-1,0))</f>
        <v>10</v>
      </c>
      <c r="F321" s="1">
        <f ca="1">IF(C321=1,OFFSET(控制台!$D$552,MATCH(A321,控制台!$B$552:$B$580,0)-1,0),OFFSET(控制台!$J$552,MATCH(A321,控制台!$H$552:$H$594,0)-1,0))</f>
        <v>14</v>
      </c>
      <c r="G321" s="1">
        <f ca="1">IF(C321=1,OFFSET(控制台!$I$599,MATCH(F321,控制台!$B$599:$B$615,0)-1,0),OFFSET(控制台!$I$618,MATCH(F321,控制台!$B$618:$B$636,0)-1,0))</f>
        <v>3</v>
      </c>
      <c r="H321" s="1">
        <f ca="1">IF(C321=1,OFFSET(控制台!$D$599,MATCH(F321,控制台!$B$599:$B$615,0)-1,0),OFFSET(控制台!$D$618,MATCH(F321,控制台!$B$618:$B$636,0)-1,0))</f>
        <v>1184400000</v>
      </c>
      <c r="I321" s="1">
        <f ca="1">IF(E321=1,H321/G321,IF(E321=5,H321/G321*OFFSET(控制台!$D$641,MATCH(B321,控制台!$B$641:$B$645,0)-1,0),H321/G321*OFFSET(控制台!$H$641,MATCH(B321,控制台!$F$641:$F$650,0)-1,0)))</f>
        <v>89727272.7272726</v>
      </c>
      <c r="J321" s="1">
        <f ca="1">$I321/3*控制台!H$102</f>
        <v>29909090.9090909</v>
      </c>
      <c r="K321" s="1">
        <f ca="1">$I321/3*控制台!I$102</f>
        <v>22431818.1818181</v>
      </c>
      <c r="L321" s="1">
        <f ca="1">$I321/3*控制台!J$102</f>
        <v>37386363.6363636</v>
      </c>
      <c r="M321" s="1">
        <f ca="1">_xlfn.FLOOR.MATH(J321,POWER(10,MAX(2,INT(LOG10(J321)-2))))</f>
        <v>29900000</v>
      </c>
      <c r="N321" s="1">
        <f ca="1">_xlfn.FLOOR.MATH(K321,POWER(10,MAX(2,INT(LOG10(K321)-2))))</f>
        <v>22400000</v>
      </c>
      <c r="O321" s="1">
        <f ca="1">_xlfn.FLOOR.MATH(L321,POWER(10,MAX(2,INT(LOG10(L321)-2))))</f>
        <v>37300000</v>
      </c>
      <c r="P321" s="4" t="str">
        <f ca="1" t="shared" si="12"/>
        <v>29900000;22400000;37300000</v>
      </c>
      <c r="Q321" s="15">
        <f ca="1">IF(C321=1,OFFSET(控制台!$H$599,MATCH(F321,控制台!$B$599:$B$615,0)-1,0),OFFSET(控制台!$H$618,MATCH(F321,控制台!$B$618:$B$636,0)-1,0))</f>
        <v>1473147.648</v>
      </c>
      <c r="R321" s="15">
        <f ca="1">IF(E321=1,Q321/G321,IF(E321=5,Q321/G321*OFFSET(控制台!$D$641,MATCH(B321,控制台!$B$641:$B$645,0)-1,0),Q321/G321*OFFSET(控制台!$H$641,MATCH(B321,控制台!$F$641:$F$650,0)-1,0)))</f>
        <v>111602.094545454</v>
      </c>
      <c r="S321" s="16">
        <f ca="1">_xlfn.FLOOR.MATH(R321)*60</f>
        <v>6696120</v>
      </c>
      <c r="T321" s="16">
        <f ca="1">8000+IF(C321=1,OFFSET(控制台!$K$599,MATCH(F321,控制台!$B$599:$B$615,0)-1,0),OFFSET(控制台!$K$618,MATCH(F321,控制台!$B$618:$B$636,0)-1,0))</f>
        <v>8027</v>
      </c>
      <c r="U321" s="1">
        <f ca="1">IF(C321=1,OFFSET(控制台!$F$599,MATCH(F321,控制台!$B$599:$B$615,0)-1,0),OFFSET(控制台!$F$618,MATCH(F321,控制台!$B$618:$B$636,0)-1,0))</f>
        <v>740275.2</v>
      </c>
      <c r="V321" s="1">
        <f ca="1">IF(E321=1,U321/G321,IF(E321=5,U321/G321*OFFSET(控制台!$D$641,MATCH(B321,控制台!$B$641:$B$645,0)-1,0),U321/G321*OFFSET(控制台!$H$641,MATCH(B321,控制台!$F$641:$F$650,0)-1,0)))</f>
        <v>56081.4545454545</v>
      </c>
      <c r="W321" s="20">
        <f ca="1" t="shared" si="13"/>
        <v>38.9454545454545</v>
      </c>
      <c r="X321" s="15">
        <f ca="1">IF(C321=1,OFFSET(控制台!$U$599,MATCH(F321,控制台!$B$599:$B$615,0)-1,0),OFFSET(控制台!$U$618,MATCH(F321,控制台!$B$618:$B$636,0)-1,0))</f>
        <v>2254875</v>
      </c>
      <c r="Y321" s="16">
        <f ca="1">_xlfn.FLOOR.MATH(IF(E321=1,X321/G321,IF(E321=5,X321/G321*OFFSET(控制台!$D$641,MATCH(B321,控制台!$B$641:$B$645,0)-1,0),X321/G321*OFFSET(控制台!$H$641,MATCH(B321,控制台!$F$641:$F$650,0)-1,0))))</f>
        <v>170823</v>
      </c>
      <c r="Z321" s="16">
        <f ca="1" t="shared" si="14"/>
        <v>478301</v>
      </c>
    </row>
    <row r="322" spans="1:26">
      <c r="A322" s="1">
        <v>21402</v>
      </c>
      <c r="B322" s="1">
        <v>10</v>
      </c>
      <c r="C322" s="1">
        <v>2</v>
      </c>
      <c r="D322" s="1" t="s">
        <v>2834</v>
      </c>
      <c r="E322" s="1">
        <f ca="1">IF(C322=1,OFFSET(控制台!$F$552,MATCH(A322,控制台!$B$552:$B$580,0)-1,0),OFFSET(控制台!$L$552,MATCH(A322,控制台!$H$552:$H$594,0)-1,0))</f>
        <v>10</v>
      </c>
      <c r="F322" s="1">
        <f ca="1">IF(C322=1,OFFSET(控制台!$D$552,MATCH(A322,控制台!$B$552:$B$580,0)-1,0),OFFSET(控制台!$J$552,MATCH(A322,控制台!$H$552:$H$594,0)-1,0))</f>
        <v>14</v>
      </c>
      <c r="G322" s="1">
        <f ca="1">IF(C322=1,OFFSET(控制台!$I$599,MATCH(F322,控制台!$B$599:$B$615,0)-1,0),OFFSET(控制台!$I$618,MATCH(F322,控制台!$B$618:$B$636,0)-1,0))</f>
        <v>3</v>
      </c>
      <c r="H322" s="1">
        <f ca="1">IF(C322=1,OFFSET(控制台!$D$599,MATCH(F322,控制台!$B$599:$B$615,0)-1,0),OFFSET(控制台!$D$618,MATCH(F322,控制台!$B$618:$B$636,0)-1,0))</f>
        <v>1184400000</v>
      </c>
      <c r="I322" s="1">
        <f ca="1">IF(E322=1,H322/G322,IF(E322=5,H322/G322*OFFSET(控制台!$D$641,MATCH(B322,控制台!$B$641:$B$645,0)-1,0),H322/G322*OFFSET(控制台!$H$641,MATCH(B322,控制台!$F$641:$F$650,0)-1,0)))</f>
        <v>143563636.363636</v>
      </c>
      <c r="J322" s="1">
        <f ca="1">$I322/3*控制台!H$102</f>
        <v>47854545.4545455</v>
      </c>
      <c r="K322" s="1">
        <f ca="1">$I322/3*控制台!I$102</f>
        <v>35890909.0909091</v>
      </c>
      <c r="L322" s="1">
        <f ca="1">$I322/3*控制台!J$102</f>
        <v>59818181.8181819</v>
      </c>
      <c r="M322" s="1">
        <f ca="1">_xlfn.FLOOR.MATH(J322,POWER(10,MAX(2,INT(LOG10(J322)-2))))</f>
        <v>47800000</v>
      </c>
      <c r="N322" s="1">
        <f ca="1">_xlfn.FLOOR.MATH(K322,POWER(10,MAX(2,INT(LOG10(K322)-2))))</f>
        <v>35800000</v>
      </c>
      <c r="O322" s="1">
        <f ca="1">_xlfn.FLOOR.MATH(L322,POWER(10,MAX(2,INT(LOG10(L322)-2))))</f>
        <v>59800000</v>
      </c>
      <c r="P322" s="4" t="str">
        <f ca="1" t="shared" si="12"/>
        <v>47800000;35800000;59800000</v>
      </c>
      <c r="Q322" s="15">
        <f ca="1">IF(C322=1,OFFSET(控制台!$H$599,MATCH(F322,控制台!$B$599:$B$615,0)-1,0),OFFSET(控制台!$H$618,MATCH(F322,控制台!$B$618:$B$636,0)-1,0))</f>
        <v>1473147.648</v>
      </c>
      <c r="R322" s="15">
        <f ca="1">IF(E322=1,Q322/G322,IF(E322=5,Q322/G322*OFFSET(控制台!$D$641,MATCH(B322,控制台!$B$641:$B$645,0)-1,0),Q322/G322*OFFSET(控制台!$H$641,MATCH(B322,控制台!$F$641:$F$650,0)-1,0)))</f>
        <v>178563.351272727</v>
      </c>
      <c r="S322" s="16">
        <f ca="1">_xlfn.FLOOR.MATH(R322)*60</f>
        <v>10713780</v>
      </c>
      <c r="T322" s="16">
        <f ca="1">8000+IF(C322=1,OFFSET(控制台!$K$599,MATCH(F322,控制台!$B$599:$B$615,0)-1,0),OFFSET(控制台!$K$618,MATCH(F322,控制台!$B$618:$B$636,0)-1,0))</f>
        <v>8027</v>
      </c>
      <c r="U322" s="1">
        <f ca="1">IF(C322=1,OFFSET(控制台!$F$599,MATCH(F322,控制台!$B$599:$B$615,0)-1,0),OFFSET(控制台!$F$618,MATCH(F322,控制台!$B$618:$B$636,0)-1,0))</f>
        <v>740275.2</v>
      </c>
      <c r="V322" s="1">
        <f ca="1">IF(E322=1,U322/G322,IF(E322=5,U322/G322*OFFSET(控制台!$D$641,MATCH(B322,控制台!$B$641:$B$645,0)-1,0),U322/G322*OFFSET(控制台!$H$641,MATCH(B322,控制台!$F$641:$F$650,0)-1,0)))</f>
        <v>89730.3272727273</v>
      </c>
      <c r="W322" s="20">
        <f ca="1" t="shared" si="13"/>
        <v>62.3127272727273</v>
      </c>
      <c r="X322" s="15">
        <f ca="1">IF(C322=1,OFFSET(控制台!$U$599,MATCH(F322,控制台!$B$599:$B$615,0)-1,0),OFFSET(控制台!$U$618,MATCH(F322,控制台!$B$618:$B$636,0)-1,0))</f>
        <v>2254875</v>
      </c>
      <c r="Y322" s="16">
        <f ca="1">_xlfn.FLOOR.MATH(IF(E322=1,X322/G322,IF(E322=5,X322/G322*OFFSET(控制台!$D$641,MATCH(B322,控制台!$B$641:$B$645,0)-1,0),X322/G322*OFFSET(控制台!$H$641,MATCH(B322,控制台!$F$641:$F$650,0)-1,0))))</f>
        <v>273318</v>
      </c>
      <c r="Z322" s="16">
        <f ca="1" t="shared" si="14"/>
        <v>751619</v>
      </c>
    </row>
    <row r="323" spans="1:26">
      <c r="A323" s="1">
        <v>21403</v>
      </c>
      <c r="B323" s="1">
        <v>1</v>
      </c>
      <c r="C323" s="1">
        <v>2</v>
      </c>
      <c r="D323" s="1" t="s">
        <v>2835</v>
      </c>
      <c r="E323" s="1">
        <f ca="1">IF(C323=1,OFFSET(控制台!$F$552,MATCH(A323,控制台!$B$552:$B$580,0)-1,0),OFFSET(控制台!$L$552,MATCH(A323,控制台!$H$552:$H$594,0)-1,0))</f>
        <v>10</v>
      </c>
      <c r="F323" s="1">
        <f ca="1">IF(C323=1,OFFSET(控制台!$D$552,MATCH(A323,控制台!$B$552:$B$580,0)-1,0),OFFSET(控制台!$J$552,MATCH(A323,控制台!$H$552:$H$594,0)-1,0))</f>
        <v>14</v>
      </c>
      <c r="G323" s="1">
        <f ca="1">IF(C323=1,OFFSET(控制台!$I$599,MATCH(F323,控制台!$B$599:$B$615,0)-1,0),OFFSET(控制台!$I$618,MATCH(F323,控制台!$B$618:$B$636,0)-1,0))</f>
        <v>3</v>
      </c>
      <c r="H323" s="1">
        <f ca="1">IF(C323=1,OFFSET(控制台!$D$599,MATCH(F323,控制台!$B$599:$B$615,0)-1,0),OFFSET(控制台!$D$618,MATCH(F323,控制台!$B$618:$B$636,0)-1,0))</f>
        <v>1184400000</v>
      </c>
      <c r="I323" s="1">
        <f ca="1">IF(E323=1,H323/G323,IF(E323=5,H323/G323*OFFSET(控制台!$D$641,MATCH(B323,控制台!$B$641:$B$645,0)-1,0),H323/G323*OFFSET(控制台!$H$641,MATCH(B323,控制台!$F$641:$F$650,0)-1,0)))</f>
        <v>3589090.90909091</v>
      </c>
      <c r="J323" s="1">
        <f ca="1">$I323/3*控制台!H$102</f>
        <v>1196363.63636364</v>
      </c>
      <c r="K323" s="1">
        <f ca="1">$I323/3*控制台!I$102</f>
        <v>897272.727272727</v>
      </c>
      <c r="L323" s="1">
        <f ca="1">$I323/3*控制台!J$102</f>
        <v>1495454.54545454</v>
      </c>
      <c r="M323" s="1">
        <f ca="1">_xlfn.FLOOR.MATH(J323,POWER(10,MAX(2,INT(LOG10(J323)-2))))</f>
        <v>1190000</v>
      </c>
      <c r="N323" s="1">
        <f ca="1">_xlfn.FLOOR.MATH(K323,POWER(10,MAX(2,INT(LOG10(K323)-2))))</f>
        <v>897000</v>
      </c>
      <c r="O323" s="1">
        <f ca="1">_xlfn.FLOOR.MATH(L323,POWER(10,MAX(2,INT(LOG10(L323)-2))))</f>
        <v>1490000</v>
      </c>
      <c r="P323" s="4" t="str">
        <f ca="1" t="shared" si="12"/>
        <v>1190000;897000;1490000</v>
      </c>
      <c r="Q323" s="15">
        <f ca="1">IF(C323=1,OFFSET(控制台!$H$599,MATCH(F323,控制台!$B$599:$B$615,0)-1,0),OFFSET(控制台!$H$618,MATCH(F323,控制台!$B$618:$B$636,0)-1,0))</f>
        <v>1473147.648</v>
      </c>
      <c r="R323" s="15">
        <f ca="1">IF(E323=1,Q323/G323,IF(E323=5,Q323/G323*OFFSET(控制台!$D$641,MATCH(B323,控制台!$B$641:$B$645,0)-1,0),Q323/G323*OFFSET(控制台!$H$641,MATCH(B323,控制台!$F$641:$F$650,0)-1,0)))</f>
        <v>4464.08378181818</v>
      </c>
      <c r="S323" s="16">
        <f ca="1">_xlfn.FLOOR.MATH(R323)*60</f>
        <v>267840</v>
      </c>
      <c r="T323" s="16">
        <f ca="1">8000+IF(C323=1,OFFSET(控制台!$K$599,MATCH(F323,控制台!$B$599:$B$615,0)-1,0),OFFSET(控制台!$K$618,MATCH(F323,控制台!$B$618:$B$636,0)-1,0))</f>
        <v>8027</v>
      </c>
      <c r="U323" s="1">
        <f ca="1">IF(C323=1,OFFSET(控制台!$F$599,MATCH(F323,控制台!$B$599:$B$615,0)-1,0),OFFSET(控制台!$F$618,MATCH(F323,控制台!$B$618:$B$636,0)-1,0))</f>
        <v>740275.2</v>
      </c>
      <c r="V323" s="1">
        <f ca="1">IF(E323=1,U323/G323,IF(E323=5,U323/G323*OFFSET(控制台!$D$641,MATCH(B323,控制台!$B$641:$B$645,0)-1,0),U323/G323*OFFSET(控制台!$H$641,MATCH(B323,控制台!$F$641:$F$650,0)-1,0)))</f>
        <v>2243.25818181818</v>
      </c>
      <c r="W323" s="20">
        <f ca="1" t="shared" si="13"/>
        <v>1.55781818181818</v>
      </c>
      <c r="X323" s="15">
        <f ca="1">IF(C323=1,OFFSET(控制台!$U$599,MATCH(F323,控制台!$B$599:$B$615,0)-1,0),OFFSET(控制台!$U$618,MATCH(F323,控制台!$B$618:$B$636,0)-1,0))</f>
        <v>2254875</v>
      </c>
      <c r="Y323" s="16">
        <f ca="1">_xlfn.FLOOR.MATH(IF(E323=1,X323/G323,IF(E323=5,X323/G323*OFFSET(控制台!$D$641,MATCH(B323,控制台!$B$641:$B$645,0)-1,0),X323/G323*OFFSET(控制台!$H$641,MATCH(B323,控制台!$F$641:$F$650,0)-1,0))))</f>
        <v>6832</v>
      </c>
      <c r="Z323" s="16">
        <f ca="1" t="shared" si="14"/>
        <v>6832</v>
      </c>
    </row>
    <row r="324" spans="1:26">
      <c r="A324" s="1">
        <v>21403</v>
      </c>
      <c r="B324" s="1">
        <v>2</v>
      </c>
      <c r="C324" s="1">
        <v>2</v>
      </c>
      <c r="D324" s="1" t="s">
        <v>2835</v>
      </c>
      <c r="E324" s="1">
        <f ca="1">IF(C324=1,OFFSET(控制台!$F$552,MATCH(A324,控制台!$B$552:$B$580,0)-1,0),OFFSET(控制台!$L$552,MATCH(A324,控制台!$H$552:$H$594,0)-1,0))</f>
        <v>10</v>
      </c>
      <c r="F324" s="1">
        <f ca="1">IF(C324=1,OFFSET(控制台!$D$552,MATCH(A324,控制台!$B$552:$B$580,0)-1,0),OFFSET(控制台!$J$552,MATCH(A324,控制台!$H$552:$H$594,0)-1,0))</f>
        <v>14</v>
      </c>
      <c r="G324" s="1">
        <f ca="1">IF(C324=1,OFFSET(控制台!$I$599,MATCH(F324,控制台!$B$599:$B$615,0)-1,0),OFFSET(控制台!$I$618,MATCH(F324,控制台!$B$618:$B$636,0)-1,0))</f>
        <v>3</v>
      </c>
      <c r="H324" s="1">
        <f ca="1">IF(C324=1,OFFSET(控制台!$D$599,MATCH(F324,控制台!$B$599:$B$615,0)-1,0),OFFSET(控制台!$D$618,MATCH(F324,控制台!$B$618:$B$636,0)-1,0))</f>
        <v>1184400000</v>
      </c>
      <c r="I324" s="1">
        <f ca="1">IF(E324=1,H324/G324,IF(E324=5,H324/G324*OFFSET(控制台!$D$641,MATCH(B324,控制台!$B$641:$B$645,0)-1,0),H324/G324*OFFSET(控制台!$H$641,MATCH(B324,控制台!$F$641:$F$650,0)-1,0)))</f>
        <v>5383636.36363635</v>
      </c>
      <c r="J324" s="1">
        <f ca="1">$I324/3*控制台!H$102</f>
        <v>1794545.45454545</v>
      </c>
      <c r="K324" s="1">
        <f ca="1">$I324/3*控制台!I$102</f>
        <v>1345909.09090909</v>
      </c>
      <c r="L324" s="1">
        <f ca="1">$I324/3*控制台!J$102</f>
        <v>2243181.81818181</v>
      </c>
      <c r="M324" s="1">
        <f ca="1">_xlfn.FLOOR.MATH(J324,POWER(10,MAX(2,INT(LOG10(J324)-2))))</f>
        <v>1790000</v>
      </c>
      <c r="N324" s="1">
        <f ca="1">_xlfn.FLOOR.MATH(K324,POWER(10,MAX(2,INT(LOG10(K324)-2))))</f>
        <v>1340000</v>
      </c>
      <c r="O324" s="1">
        <f ca="1">_xlfn.FLOOR.MATH(L324,POWER(10,MAX(2,INT(LOG10(L324)-2))))</f>
        <v>2240000</v>
      </c>
      <c r="P324" s="4" t="str">
        <f ca="1" t="shared" si="12"/>
        <v>1790000;1340000;2240000</v>
      </c>
      <c r="Q324" s="15">
        <f ca="1">IF(C324=1,OFFSET(控制台!$H$599,MATCH(F324,控制台!$B$599:$B$615,0)-1,0),OFFSET(控制台!$H$618,MATCH(F324,控制台!$B$618:$B$636,0)-1,0))</f>
        <v>1473147.648</v>
      </c>
      <c r="R324" s="15">
        <f ca="1">IF(E324=1,Q324/G324,IF(E324=5,Q324/G324*OFFSET(控制台!$D$641,MATCH(B324,控制台!$B$641:$B$645,0)-1,0),Q324/G324*OFFSET(控制台!$H$641,MATCH(B324,控制台!$F$641:$F$650,0)-1,0)))</f>
        <v>6696.12567272725</v>
      </c>
      <c r="S324" s="16">
        <f ca="1">_xlfn.FLOOR.MATH(R324)*60</f>
        <v>401760</v>
      </c>
      <c r="T324" s="16">
        <f ca="1">8000+IF(C324=1,OFFSET(控制台!$K$599,MATCH(F324,控制台!$B$599:$B$615,0)-1,0),OFFSET(控制台!$K$618,MATCH(F324,控制台!$B$618:$B$636,0)-1,0))</f>
        <v>8027</v>
      </c>
      <c r="U324" s="1">
        <f ca="1">IF(C324=1,OFFSET(控制台!$F$599,MATCH(F324,控制台!$B$599:$B$615,0)-1,0),OFFSET(控制台!$F$618,MATCH(F324,控制台!$B$618:$B$636,0)-1,0))</f>
        <v>740275.2</v>
      </c>
      <c r="V324" s="1">
        <f ca="1">IF(E324=1,U324/G324,IF(E324=5,U324/G324*OFFSET(控制台!$D$641,MATCH(B324,控制台!$B$641:$B$645,0)-1,0),U324/G324*OFFSET(控制台!$H$641,MATCH(B324,控制台!$F$641:$F$650,0)-1,0)))</f>
        <v>3364.88727272726</v>
      </c>
      <c r="W324" s="20">
        <f ca="1" t="shared" si="13"/>
        <v>2.33672727272727</v>
      </c>
      <c r="X324" s="15">
        <f ca="1">IF(C324=1,OFFSET(控制台!$U$599,MATCH(F324,控制台!$B$599:$B$615,0)-1,0),OFFSET(控制台!$U$618,MATCH(F324,控制台!$B$618:$B$636,0)-1,0))</f>
        <v>2254875</v>
      </c>
      <c r="Y324" s="16">
        <f ca="1">_xlfn.FLOOR.MATH(IF(E324=1,X324/G324,IF(E324=5,X324/G324*OFFSET(控制台!$D$641,MATCH(B324,控制台!$B$641:$B$645,0)-1,0),X324/G324*OFFSET(控制台!$H$641,MATCH(B324,控制台!$F$641:$F$650,0)-1,0))))</f>
        <v>10249</v>
      </c>
      <c r="Z324" s="16">
        <f ca="1" t="shared" si="14"/>
        <v>17081</v>
      </c>
    </row>
    <row r="325" spans="1:26">
      <c r="A325" s="1">
        <v>21403</v>
      </c>
      <c r="B325" s="1">
        <v>3</v>
      </c>
      <c r="C325" s="1">
        <v>2</v>
      </c>
      <c r="D325" s="1" t="s">
        <v>2835</v>
      </c>
      <c r="E325" s="1">
        <f ca="1">IF(C325=1,OFFSET(控制台!$F$552,MATCH(A325,控制台!$B$552:$B$580,0)-1,0),OFFSET(控制台!$L$552,MATCH(A325,控制台!$H$552:$H$594,0)-1,0))</f>
        <v>10</v>
      </c>
      <c r="F325" s="1">
        <f ca="1">IF(C325=1,OFFSET(控制台!$D$552,MATCH(A325,控制台!$B$552:$B$580,0)-1,0),OFFSET(控制台!$J$552,MATCH(A325,控制台!$H$552:$H$594,0)-1,0))</f>
        <v>14</v>
      </c>
      <c r="G325" s="1">
        <f ca="1">IF(C325=1,OFFSET(控制台!$I$599,MATCH(F325,控制台!$B$599:$B$615,0)-1,0),OFFSET(控制台!$I$618,MATCH(F325,控制台!$B$618:$B$636,0)-1,0))</f>
        <v>3</v>
      </c>
      <c r="H325" s="1">
        <f ca="1">IF(C325=1,OFFSET(控制台!$D$599,MATCH(F325,控制台!$B$599:$B$615,0)-1,0),OFFSET(控制台!$D$618,MATCH(F325,控制台!$B$618:$B$636,0)-1,0))</f>
        <v>1184400000</v>
      </c>
      <c r="I325" s="1">
        <f ca="1">IF(E325=1,H325/G325,IF(E325=5,H325/G325*OFFSET(控制台!$D$641,MATCH(B325,控制台!$B$641:$B$645,0)-1,0),H325/G325*OFFSET(控制台!$H$641,MATCH(B325,控制台!$F$641:$F$650,0)-1,0)))</f>
        <v>7178181.81818182</v>
      </c>
      <c r="J325" s="1">
        <f ca="1">$I325/3*控制台!H$102</f>
        <v>2392727.27272727</v>
      </c>
      <c r="K325" s="1">
        <f ca="1">$I325/3*控制台!I$102</f>
        <v>1794545.45454546</v>
      </c>
      <c r="L325" s="1">
        <f ca="1">$I325/3*控制台!J$102</f>
        <v>2990909.09090909</v>
      </c>
      <c r="M325" s="1">
        <f ca="1">_xlfn.FLOOR.MATH(J325,POWER(10,MAX(2,INT(LOG10(J325)-2))))</f>
        <v>2390000</v>
      </c>
      <c r="N325" s="1">
        <f ca="1">_xlfn.FLOOR.MATH(K325,POWER(10,MAX(2,INT(LOG10(K325)-2))))</f>
        <v>1790000</v>
      </c>
      <c r="O325" s="1">
        <f ca="1">_xlfn.FLOOR.MATH(L325,POWER(10,MAX(2,INT(LOG10(L325)-2))))</f>
        <v>2990000</v>
      </c>
      <c r="P325" s="4" t="str">
        <f ca="1" t="shared" si="12"/>
        <v>2390000;1790000;2990000</v>
      </c>
      <c r="Q325" s="15">
        <f ca="1">IF(C325=1,OFFSET(控制台!$H$599,MATCH(F325,控制台!$B$599:$B$615,0)-1,0),OFFSET(控制台!$H$618,MATCH(F325,控制台!$B$618:$B$636,0)-1,0))</f>
        <v>1473147.648</v>
      </c>
      <c r="R325" s="15">
        <f ca="1">IF(E325=1,Q325/G325,IF(E325=5,Q325/G325*OFFSET(控制台!$D$641,MATCH(B325,控制台!$B$641:$B$645,0)-1,0),Q325/G325*OFFSET(控制台!$H$641,MATCH(B325,控制台!$F$641:$F$650,0)-1,0)))</f>
        <v>8928.16756363637</v>
      </c>
      <c r="S325" s="16">
        <f ca="1">_xlfn.FLOOR.MATH(R325)*60</f>
        <v>535680</v>
      </c>
      <c r="T325" s="16">
        <f ca="1">8000+IF(C325=1,OFFSET(控制台!$K$599,MATCH(F325,控制台!$B$599:$B$615,0)-1,0),OFFSET(控制台!$K$618,MATCH(F325,控制台!$B$618:$B$636,0)-1,0))</f>
        <v>8027</v>
      </c>
      <c r="U325" s="1">
        <f ca="1">IF(C325=1,OFFSET(控制台!$F$599,MATCH(F325,控制台!$B$599:$B$615,0)-1,0),OFFSET(控制台!$F$618,MATCH(F325,控制台!$B$618:$B$636,0)-1,0))</f>
        <v>740275.2</v>
      </c>
      <c r="V325" s="1">
        <f ca="1">IF(E325=1,U325/G325,IF(E325=5,U325/G325*OFFSET(控制台!$D$641,MATCH(B325,控制台!$B$641:$B$645,0)-1,0),U325/G325*OFFSET(控制台!$H$641,MATCH(B325,控制台!$F$641:$F$650,0)-1,0)))</f>
        <v>4486.51636363637</v>
      </c>
      <c r="W325" s="20">
        <f ca="1" t="shared" si="13"/>
        <v>3.11563636363637</v>
      </c>
      <c r="X325" s="15">
        <f ca="1">IF(C325=1,OFFSET(控制台!$U$599,MATCH(F325,控制台!$B$599:$B$615,0)-1,0),OFFSET(控制台!$U$618,MATCH(F325,控制台!$B$618:$B$636,0)-1,0))</f>
        <v>2254875</v>
      </c>
      <c r="Y325" s="16">
        <f ca="1">_xlfn.FLOOR.MATH(IF(E325=1,X325/G325,IF(E325=5,X325/G325*OFFSET(控制台!$D$641,MATCH(B325,控制台!$B$641:$B$645,0)-1,0),X325/G325*OFFSET(控制台!$H$641,MATCH(B325,控制台!$F$641:$F$650,0)-1,0))))</f>
        <v>13665</v>
      </c>
      <c r="Z325" s="16">
        <f ca="1" t="shared" si="14"/>
        <v>30746</v>
      </c>
    </row>
    <row r="326" spans="1:26">
      <c r="A326" s="1">
        <v>21403</v>
      </c>
      <c r="B326" s="1">
        <v>4</v>
      </c>
      <c r="C326" s="1">
        <v>2</v>
      </c>
      <c r="D326" s="1" t="s">
        <v>2835</v>
      </c>
      <c r="E326" s="1">
        <f ca="1">IF(C326=1,OFFSET(控制台!$F$552,MATCH(A326,控制台!$B$552:$B$580,0)-1,0),OFFSET(控制台!$L$552,MATCH(A326,控制台!$H$552:$H$594,0)-1,0))</f>
        <v>10</v>
      </c>
      <c r="F326" s="1">
        <f ca="1">IF(C326=1,OFFSET(控制台!$D$552,MATCH(A326,控制台!$B$552:$B$580,0)-1,0),OFFSET(控制台!$J$552,MATCH(A326,控制台!$H$552:$H$594,0)-1,0))</f>
        <v>14</v>
      </c>
      <c r="G326" s="1">
        <f ca="1">IF(C326=1,OFFSET(控制台!$I$599,MATCH(F326,控制台!$B$599:$B$615,0)-1,0),OFFSET(控制台!$I$618,MATCH(F326,控制台!$B$618:$B$636,0)-1,0))</f>
        <v>3</v>
      </c>
      <c r="H326" s="1">
        <f ca="1">IF(C326=1,OFFSET(控制台!$D$599,MATCH(F326,控制台!$B$599:$B$615,0)-1,0),OFFSET(控制台!$D$618,MATCH(F326,控制台!$B$618:$B$636,0)-1,0))</f>
        <v>1184400000</v>
      </c>
      <c r="I326" s="1">
        <f ca="1">IF(E326=1,H326/G326,IF(E326=5,H326/G326*OFFSET(控制台!$D$641,MATCH(B326,控制台!$B$641:$B$645,0)-1,0),H326/G326*OFFSET(控制台!$H$641,MATCH(B326,控制台!$F$641:$F$650,0)-1,0)))</f>
        <v>10767272.7272727</v>
      </c>
      <c r="J326" s="1">
        <f ca="1">$I326/3*控制台!H$102</f>
        <v>3589090.90909091</v>
      </c>
      <c r="K326" s="1">
        <f ca="1">$I326/3*控制台!I$102</f>
        <v>2691818.18181818</v>
      </c>
      <c r="L326" s="1">
        <f ca="1">$I326/3*控制台!J$102</f>
        <v>4486363.63636364</v>
      </c>
      <c r="M326" s="1">
        <f ca="1">_xlfn.FLOOR.MATH(J326,POWER(10,MAX(2,INT(LOG10(J326)-2))))</f>
        <v>3580000</v>
      </c>
      <c r="N326" s="1">
        <f ca="1">_xlfn.FLOOR.MATH(K326,POWER(10,MAX(2,INT(LOG10(K326)-2))))</f>
        <v>2690000</v>
      </c>
      <c r="O326" s="1">
        <f ca="1">_xlfn.FLOOR.MATH(L326,POWER(10,MAX(2,INT(LOG10(L326)-2))))</f>
        <v>4480000</v>
      </c>
      <c r="P326" s="4" t="str">
        <f ca="1" t="shared" si="12"/>
        <v>3580000;2690000;4480000</v>
      </c>
      <c r="Q326" s="15">
        <f ca="1">IF(C326=1,OFFSET(控制台!$H$599,MATCH(F326,控制台!$B$599:$B$615,0)-1,0),OFFSET(控制台!$H$618,MATCH(F326,控制台!$B$618:$B$636,0)-1,0))</f>
        <v>1473147.648</v>
      </c>
      <c r="R326" s="15">
        <f ca="1">IF(E326=1,Q326/G326,IF(E326=5,Q326/G326*OFFSET(控制台!$D$641,MATCH(B326,控制台!$B$641:$B$645,0)-1,0),Q326/G326*OFFSET(控制台!$H$641,MATCH(B326,控制台!$F$641:$F$650,0)-1,0)))</f>
        <v>13392.2513454546</v>
      </c>
      <c r="S326" s="16">
        <f ca="1">_xlfn.FLOOR.MATH(R326)*60</f>
        <v>803520</v>
      </c>
      <c r="T326" s="16">
        <f ca="1">8000+IF(C326=1,OFFSET(控制台!$K$599,MATCH(F326,控制台!$B$599:$B$615,0)-1,0),OFFSET(控制台!$K$618,MATCH(F326,控制台!$B$618:$B$636,0)-1,0))</f>
        <v>8027</v>
      </c>
      <c r="U326" s="1">
        <f ca="1">IF(C326=1,OFFSET(控制台!$F$599,MATCH(F326,控制台!$B$599:$B$615,0)-1,0),OFFSET(控制台!$F$618,MATCH(F326,控制台!$B$618:$B$636,0)-1,0))</f>
        <v>740275.2</v>
      </c>
      <c r="V326" s="1">
        <f ca="1">IF(E326=1,U326/G326,IF(E326=5,U326/G326*OFFSET(控制台!$D$641,MATCH(B326,控制台!$B$641:$B$645,0)-1,0),U326/G326*OFFSET(控制台!$H$641,MATCH(B326,控制台!$F$641:$F$650,0)-1,0)))</f>
        <v>6729.77454545455</v>
      </c>
      <c r="W326" s="20">
        <f ca="1" t="shared" si="13"/>
        <v>4.67345454545455</v>
      </c>
      <c r="X326" s="15">
        <f ca="1">IF(C326=1,OFFSET(控制台!$U$599,MATCH(F326,控制台!$B$599:$B$615,0)-1,0),OFFSET(控制台!$U$618,MATCH(F326,控制台!$B$618:$B$636,0)-1,0))</f>
        <v>2254875</v>
      </c>
      <c r="Y326" s="16">
        <f ca="1">_xlfn.FLOOR.MATH(IF(E326=1,X326/G326,IF(E326=5,X326/G326*OFFSET(控制台!$D$641,MATCH(B326,控制台!$B$641:$B$645,0)-1,0),X326/G326*OFFSET(控制台!$H$641,MATCH(B326,控制台!$F$641:$F$650,0)-1,0))))</f>
        <v>20498</v>
      </c>
      <c r="Z326" s="16">
        <f ca="1" t="shared" si="14"/>
        <v>51244</v>
      </c>
    </row>
    <row r="327" spans="1:26">
      <c r="A327" s="1">
        <v>21403</v>
      </c>
      <c r="B327" s="1">
        <v>5</v>
      </c>
      <c r="C327" s="1">
        <v>2</v>
      </c>
      <c r="D327" s="1" t="s">
        <v>2835</v>
      </c>
      <c r="E327" s="1">
        <f ca="1">IF(C327=1,OFFSET(控制台!$F$552,MATCH(A327,控制台!$B$552:$B$580,0)-1,0),OFFSET(控制台!$L$552,MATCH(A327,控制台!$H$552:$H$594,0)-1,0))</f>
        <v>10</v>
      </c>
      <c r="F327" s="1">
        <f ca="1">IF(C327=1,OFFSET(控制台!$D$552,MATCH(A327,控制台!$B$552:$B$580,0)-1,0),OFFSET(控制台!$J$552,MATCH(A327,控制台!$H$552:$H$594,0)-1,0))</f>
        <v>14</v>
      </c>
      <c r="G327" s="1">
        <f ca="1">IF(C327=1,OFFSET(控制台!$I$599,MATCH(F327,控制台!$B$599:$B$615,0)-1,0),OFFSET(控制台!$I$618,MATCH(F327,控制台!$B$618:$B$636,0)-1,0))</f>
        <v>3</v>
      </c>
      <c r="H327" s="1">
        <f ca="1">IF(C327=1,OFFSET(控制台!$D$599,MATCH(F327,控制台!$B$599:$B$615,0)-1,0),OFFSET(控制台!$D$618,MATCH(F327,控制台!$B$618:$B$636,0)-1,0))</f>
        <v>1184400000</v>
      </c>
      <c r="I327" s="1">
        <f ca="1">IF(E327=1,H327/G327,IF(E327=5,H327/G327*OFFSET(控制台!$D$641,MATCH(B327,控制台!$B$641:$B$645,0)-1,0),H327/G327*OFFSET(控制台!$H$641,MATCH(B327,控制台!$F$641:$F$650,0)-1,0)))</f>
        <v>17945454.5454546</v>
      </c>
      <c r="J327" s="1">
        <f ca="1">$I327/3*控制台!H$102</f>
        <v>5981818.18181819</v>
      </c>
      <c r="K327" s="1">
        <f ca="1">$I327/3*控制台!I$102</f>
        <v>4486363.63636364</v>
      </c>
      <c r="L327" s="1">
        <f ca="1">$I327/3*控制台!J$102</f>
        <v>7477272.72727273</v>
      </c>
      <c r="M327" s="1">
        <f ca="1">_xlfn.FLOOR.MATH(J327,POWER(10,MAX(2,INT(LOG10(J327)-2))))</f>
        <v>5980000</v>
      </c>
      <c r="N327" s="1">
        <f ca="1">_xlfn.FLOOR.MATH(K327,POWER(10,MAX(2,INT(LOG10(K327)-2))))</f>
        <v>4480000</v>
      </c>
      <c r="O327" s="1">
        <f ca="1">_xlfn.FLOOR.MATH(L327,POWER(10,MAX(2,INT(LOG10(L327)-2))))</f>
        <v>7470000</v>
      </c>
      <c r="P327" s="4" t="str">
        <f ca="1" t="shared" ref="P327:P390" si="15">CONCATENATE(M327,";",N327,";",O327)</f>
        <v>5980000;4480000;7470000</v>
      </c>
      <c r="Q327" s="15">
        <f ca="1">IF(C327=1,OFFSET(控制台!$H$599,MATCH(F327,控制台!$B$599:$B$615,0)-1,0),OFFSET(控制台!$H$618,MATCH(F327,控制台!$B$618:$B$636,0)-1,0))</f>
        <v>1473147.648</v>
      </c>
      <c r="R327" s="15">
        <f ca="1">IF(E327=1,Q327/G327,IF(E327=5,Q327/G327*OFFSET(控制台!$D$641,MATCH(B327,控制台!$B$641:$B$645,0)-1,0),Q327/G327*OFFSET(控制台!$H$641,MATCH(B327,控制台!$F$641:$F$650,0)-1,0)))</f>
        <v>22320.4189090909</v>
      </c>
      <c r="S327" s="16">
        <f ca="1">_xlfn.FLOOR.MATH(R327)*60</f>
        <v>1339200</v>
      </c>
      <c r="T327" s="16">
        <f ca="1">8000+IF(C327=1,OFFSET(控制台!$K$599,MATCH(F327,控制台!$B$599:$B$615,0)-1,0),OFFSET(控制台!$K$618,MATCH(F327,控制台!$B$618:$B$636,0)-1,0))</f>
        <v>8027</v>
      </c>
      <c r="U327" s="1">
        <f ca="1">IF(C327=1,OFFSET(控制台!$F$599,MATCH(F327,控制台!$B$599:$B$615,0)-1,0),OFFSET(控制台!$F$618,MATCH(F327,控制台!$B$618:$B$636,0)-1,0))</f>
        <v>740275.2</v>
      </c>
      <c r="V327" s="1">
        <f ca="1">IF(E327=1,U327/G327,IF(E327=5,U327/G327*OFFSET(控制台!$D$641,MATCH(B327,控制台!$B$641:$B$645,0)-1,0),U327/G327*OFFSET(控制台!$H$641,MATCH(B327,控制台!$F$641:$F$650,0)-1,0)))</f>
        <v>11216.2909090909</v>
      </c>
      <c r="W327" s="20">
        <f ca="1" t="shared" ref="W327:W390" si="16">V327/60/24</f>
        <v>7.78909090909091</v>
      </c>
      <c r="X327" s="15">
        <f ca="1">IF(C327=1,OFFSET(控制台!$U$599,MATCH(F327,控制台!$B$599:$B$615,0)-1,0),OFFSET(控制台!$U$618,MATCH(F327,控制台!$B$618:$B$636,0)-1,0))</f>
        <v>2254875</v>
      </c>
      <c r="Y327" s="16">
        <f ca="1">_xlfn.FLOOR.MATH(IF(E327=1,X327/G327,IF(E327=5,X327/G327*OFFSET(控制台!$D$641,MATCH(B327,控制台!$B$641:$B$645,0)-1,0),X327/G327*OFFSET(控制台!$H$641,MATCH(B327,控制台!$F$641:$F$650,0)-1,0))))</f>
        <v>34164</v>
      </c>
      <c r="Z327" s="16">
        <f ca="1" t="shared" ref="Z327:Z390" si="17">IF(B327=1,Y327,Z326+Y327)</f>
        <v>85408</v>
      </c>
    </row>
    <row r="328" spans="1:26">
      <c r="A328" s="1">
        <v>21403</v>
      </c>
      <c r="B328" s="1">
        <v>6</v>
      </c>
      <c r="C328" s="1">
        <v>2</v>
      </c>
      <c r="D328" s="1" t="s">
        <v>2835</v>
      </c>
      <c r="E328" s="1">
        <f ca="1">IF(C328=1,OFFSET(控制台!$F$552,MATCH(A328,控制台!$B$552:$B$580,0)-1,0),OFFSET(控制台!$L$552,MATCH(A328,控制台!$H$552:$H$594,0)-1,0))</f>
        <v>10</v>
      </c>
      <c r="F328" s="1">
        <f ca="1">IF(C328=1,OFFSET(控制台!$D$552,MATCH(A328,控制台!$B$552:$B$580,0)-1,0),OFFSET(控制台!$J$552,MATCH(A328,控制台!$H$552:$H$594,0)-1,0))</f>
        <v>14</v>
      </c>
      <c r="G328" s="1">
        <f ca="1">IF(C328=1,OFFSET(控制台!$I$599,MATCH(F328,控制台!$B$599:$B$615,0)-1,0),OFFSET(控制台!$I$618,MATCH(F328,控制台!$B$618:$B$636,0)-1,0))</f>
        <v>3</v>
      </c>
      <c r="H328" s="1">
        <f ca="1">IF(C328=1,OFFSET(控制台!$D$599,MATCH(F328,控制台!$B$599:$B$615,0)-1,0),OFFSET(控制台!$D$618,MATCH(F328,控制台!$B$618:$B$636,0)-1,0))</f>
        <v>1184400000</v>
      </c>
      <c r="I328" s="1">
        <f ca="1">IF(E328=1,H328/G328,IF(E328=5,H328/G328*OFFSET(控制台!$D$641,MATCH(B328,控制台!$B$641:$B$645,0)-1,0),H328/G328*OFFSET(控制台!$H$641,MATCH(B328,控制台!$F$641:$F$650,0)-1,0)))</f>
        <v>26918181.8181818</v>
      </c>
      <c r="J328" s="1">
        <f ca="1">$I328/3*控制台!H$102</f>
        <v>8972727.27272728</v>
      </c>
      <c r="K328" s="1">
        <f ca="1">$I328/3*控制台!I$102</f>
        <v>6729545.45454546</v>
      </c>
      <c r="L328" s="1">
        <f ca="1">$I328/3*控制台!J$102</f>
        <v>11215909.0909091</v>
      </c>
      <c r="M328" s="1">
        <f ca="1">_xlfn.FLOOR.MATH(J328,POWER(10,MAX(2,INT(LOG10(J328)-2))))</f>
        <v>8970000</v>
      </c>
      <c r="N328" s="1">
        <f ca="1">_xlfn.FLOOR.MATH(K328,POWER(10,MAX(2,INT(LOG10(K328)-2))))</f>
        <v>6720000</v>
      </c>
      <c r="O328" s="1">
        <f ca="1">_xlfn.FLOOR.MATH(L328,POWER(10,MAX(2,INT(LOG10(L328)-2))))</f>
        <v>11200000</v>
      </c>
      <c r="P328" s="4" t="str">
        <f ca="1" t="shared" si="15"/>
        <v>8970000;6720000;11200000</v>
      </c>
      <c r="Q328" s="15">
        <f ca="1">IF(C328=1,OFFSET(控制台!$H$599,MATCH(F328,控制台!$B$599:$B$615,0)-1,0),OFFSET(控制台!$H$618,MATCH(F328,控制台!$B$618:$B$636,0)-1,0))</f>
        <v>1473147.648</v>
      </c>
      <c r="R328" s="15">
        <f ca="1">IF(E328=1,Q328/G328,IF(E328=5,Q328/G328*OFFSET(控制台!$D$641,MATCH(B328,控制台!$B$641:$B$645,0)-1,0),Q328/G328*OFFSET(控制台!$H$641,MATCH(B328,控制台!$F$641:$F$650,0)-1,0)))</f>
        <v>33480.6283636364</v>
      </c>
      <c r="S328" s="16">
        <f ca="1">_xlfn.FLOOR.MATH(R328)*60</f>
        <v>2008800</v>
      </c>
      <c r="T328" s="16">
        <f ca="1">8000+IF(C328=1,OFFSET(控制台!$K$599,MATCH(F328,控制台!$B$599:$B$615,0)-1,0),OFFSET(控制台!$K$618,MATCH(F328,控制台!$B$618:$B$636,0)-1,0))</f>
        <v>8027</v>
      </c>
      <c r="U328" s="1">
        <f ca="1">IF(C328=1,OFFSET(控制台!$F$599,MATCH(F328,控制台!$B$599:$B$615,0)-1,0),OFFSET(控制台!$F$618,MATCH(F328,控制台!$B$618:$B$636,0)-1,0))</f>
        <v>740275.2</v>
      </c>
      <c r="V328" s="1">
        <f ca="1">IF(E328=1,U328/G328,IF(E328=5,U328/G328*OFFSET(控制台!$D$641,MATCH(B328,控制台!$B$641:$B$645,0)-1,0),U328/G328*OFFSET(控制台!$H$641,MATCH(B328,控制台!$F$641:$F$650,0)-1,0)))</f>
        <v>16824.4363636364</v>
      </c>
      <c r="W328" s="20">
        <f ca="1" t="shared" si="16"/>
        <v>11.6836363636364</v>
      </c>
      <c r="X328" s="15">
        <f ca="1">IF(C328=1,OFFSET(控制台!$U$599,MATCH(F328,控制台!$B$599:$B$615,0)-1,0),OFFSET(控制台!$U$618,MATCH(F328,控制台!$B$618:$B$636,0)-1,0))</f>
        <v>2254875</v>
      </c>
      <c r="Y328" s="16">
        <f ca="1">_xlfn.FLOOR.MATH(IF(E328=1,X328/G328,IF(E328=5,X328/G328*OFFSET(控制台!$D$641,MATCH(B328,控制台!$B$641:$B$645,0)-1,0),X328/G328*OFFSET(控制台!$H$641,MATCH(B328,控制台!$F$641:$F$650,0)-1,0))))</f>
        <v>51247</v>
      </c>
      <c r="Z328" s="16">
        <f ca="1" t="shared" si="17"/>
        <v>136655</v>
      </c>
    </row>
    <row r="329" spans="1:26">
      <c r="A329" s="1">
        <v>21403</v>
      </c>
      <c r="B329" s="1">
        <v>7</v>
      </c>
      <c r="C329" s="1">
        <v>2</v>
      </c>
      <c r="D329" s="1" t="s">
        <v>2835</v>
      </c>
      <c r="E329" s="1">
        <f ca="1">IF(C329=1,OFFSET(控制台!$F$552,MATCH(A329,控制台!$B$552:$B$580,0)-1,0),OFFSET(控制台!$L$552,MATCH(A329,控制台!$H$552:$H$594,0)-1,0))</f>
        <v>10</v>
      </c>
      <c r="F329" s="1">
        <f ca="1">IF(C329=1,OFFSET(控制台!$D$552,MATCH(A329,控制台!$B$552:$B$580,0)-1,0),OFFSET(控制台!$J$552,MATCH(A329,控制台!$H$552:$H$594,0)-1,0))</f>
        <v>14</v>
      </c>
      <c r="G329" s="1">
        <f ca="1">IF(C329=1,OFFSET(控制台!$I$599,MATCH(F329,控制台!$B$599:$B$615,0)-1,0),OFFSET(控制台!$I$618,MATCH(F329,控制台!$B$618:$B$636,0)-1,0))</f>
        <v>3</v>
      </c>
      <c r="H329" s="1">
        <f ca="1">IF(C329=1,OFFSET(控制台!$D$599,MATCH(F329,控制台!$B$599:$B$615,0)-1,0),OFFSET(控制台!$D$618,MATCH(F329,控制台!$B$618:$B$636,0)-1,0))</f>
        <v>1184400000</v>
      </c>
      <c r="I329" s="1">
        <f ca="1">IF(E329=1,H329/G329,IF(E329=5,H329/G329*OFFSET(控制台!$D$641,MATCH(B329,控制台!$B$641:$B$645,0)-1,0),H329/G329*OFFSET(控制台!$H$641,MATCH(B329,控制台!$F$641:$F$650,0)-1,0)))</f>
        <v>35890909.0909091</v>
      </c>
      <c r="J329" s="1">
        <f ca="1">$I329/3*控制台!H$102</f>
        <v>11963636.3636364</v>
      </c>
      <c r="K329" s="1">
        <f ca="1">$I329/3*控制台!I$102</f>
        <v>8972727.27272727</v>
      </c>
      <c r="L329" s="1">
        <f ca="1">$I329/3*控制台!J$102</f>
        <v>14954545.4545454</v>
      </c>
      <c r="M329" s="1">
        <f ca="1">_xlfn.FLOOR.MATH(J329,POWER(10,MAX(2,INT(LOG10(J329)-2))))</f>
        <v>11900000</v>
      </c>
      <c r="N329" s="1">
        <f ca="1">_xlfn.FLOOR.MATH(K329,POWER(10,MAX(2,INT(LOG10(K329)-2))))</f>
        <v>8970000</v>
      </c>
      <c r="O329" s="1">
        <f ca="1">_xlfn.FLOOR.MATH(L329,POWER(10,MAX(2,INT(LOG10(L329)-2))))</f>
        <v>14900000</v>
      </c>
      <c r="P329" s="4" t="str">
        <f ca="1" t="shared" si="15"/>
        <v>11900000;8970000;14900000</v>
      </c>
      <c r="Q329" s="15">
        <f ca="1">IF(C329=1,OFFSET(控制台!$H$599,MATCH(F329,控制台!$B$599:$B$615,0)-1,0),OFFSET(控制台!$H$618,MATCH(F329,控制台!$B$618:$B$636,0)-1,0))</f>
        <v>1473147.648</v>
      </c>
      <c r="R329" s="15">
        <f ca="1">IF(E329=1,Q329/G329,IF(E329=5,Q329/G329*OFFSET(控制台!$D$641,MATCH(B329,控制台!$B$641:$B$645,0)-1,0),Q329/G329*OFFSET(控制台!$H$641,MATCH(B329,控制台!$F$641:$F$650,0)-1,0)))</f>
        <v>44640.8378181818</v>
      </c>
      <c r="S329" s="16">
        <f ca="1">_xlfn.FLOOR.MATH(R329)*60</f>
        <v>2678400</v>
      </c>
      <c r="T329" s="16">
        <f ca="1">8000+IF(C329=1,OFFSET(控制台!$K$599,MATCH(F329,控制台!$B$599:$B$615,0)-1,0),OFFSET(控制台!$K$618,MATCH(F329,控制台!$B$618:$B$636,0)-1,0))</f>
        <v>8027</v>
      </c>
      <c r="U329" s="1">
        <f ca="1">IF(C329=1,OFFSET(控制台!$F$599,MATCH(F329,控制台!$B$599:$B$615,0)-1,0),OFFSET(控制台!$F$618,MATCH(F329,控制台!$B$618:$B$636,0)-1,0))</f>
        <v>740275.2</v>
      </c>
      <c r="V329" s="1">
        <f ca="1">IF(E329=1,U329/G329,IF(E329=5,U329/G329*OFFSET(控制台!$D$641,MATCH(B329,控制台!$B$641:$B$645,0)-1,0),U329/G329*OFFSET(控制台!$H$641,MATCH(B329,控制台!$F$641:$F$650,0)-1,0)))</f>
        <v>22432.5818181818</v>
      </c>
      <c r="W329" s="20">
        <f ca="1" t="shared" si="16"/>
        <v>15.5781818181818</v>
      </c>
      <c r="X329" s="15">
        <f ca="1">IF(C329=1,OFFSET(控制台!$U$599,MATCH(F329,控制台!$B$599:$B$615,0)-1,0),OFFSET(控制台!$U$618,MATCH(F329,控制台!$B$618:$B$636,0)-1,0))</f>
        <v>2254875</v>
      </c>
      <c r="Y329" s="16">
        <f ca="1">_xlfn.FLOOR.MATH(IF(E329=1,X329/G329,IF(E329=5,X329/G329*OFFSET(控制台!$D$641,MATCH(B329,控制台!$B$641:$B$645,0)-1,0),X329/G329*OFFSET(控制台!$H$641,MATCH(B329,控制台!$F$641:$F$650,0)-1,0))))</f>
        <v>68329</v>
      </c>
      <c r="Z329" s="16">
        <f ca="1" t="shared" si="17"/>
        <v>204984</v>
      </c>
    </row>
    <row r="330" spans="1:26">
      <c r="A330" s="1">
        <v>21403</v>
      </c>
      <c r="B330" s="1">
        <v>8</v>
      </c>
      <c r="C330" s="1">
        <v>2</v>
      </c>
      <c r="D330" s="1" t="s">
        <v>2835</v>
      </c>
      <c r="E330" s="1">
        <f ca="1">IF(C330=1,OFFSET(控制台!$F$552,MATCH(A330,控制台!$B$552:$B$580,0)-1,0),OFFSET(控制台!$L$552,MATCH(A330,控制台!$H$552:$H$594,0)-1,0))</f>
        <v>10</v>
      </c>
      <c r="F330" s="1">
        <f ca="1">IF(C330=1,OFFSET(控制台!$D$552,MATCH(A330,控制台!$B$552:$B$580,0)-1,0),OFFSET(控制台!$J$552,MATCH(A330,控制台!$H$552:$H$594,0)-1,0))</f>
        <v>14</v>
      </c>
      <c r="G330" s="1">
        <f ca="1">IF(C330=1,OFFSET(控制台!$I$599,MATCH(F330,控制台!$B$599:$B$615,0)-1,0),OFFSET(控制台!$I$618,MATCH(F330,控制台!$B$618:$B$636,0)-1,0))</f>
        <v>3</v>
      </c>
      <c r="H330" s="1">
        <f ca="1">IF(C330=1,OFFSET(控制台!$D$599,MATCH(F330,控制台!$B$599:$B$615,0)-1,0),OFFSET(控制台!$D$618,MATCH(F330,控制台!$B$618:$B$636,0)-1,0))</f>
        <v>1184400000</v>
      </c>
      <c r="I330" s="1">
        <f ca="1">IF(E330=1,H330/G330,IF(E330=5,H330/G330*OFFSET(控制台!$D$641,MATCH(B330,控制台!$B$641:$B$645,0)-1,0),H330/G330*OFFSET(控制台!$H$641,MATCH(B330,控制台!$F$641:$F$650,0)-1,0)))</f>
        <v>53836363.6363635</v>
      </c>
      <c r="J330" s="1">
        <f ca="1">$I330/3*控制台!H$102</f>
        <v>17945454.5454545</v>
      </c>
      <c r="K330" s="1">
        <f ca="1">$I330/3*控制台!I$102</f>
        <v>13459090.9090909</v>
      </c>
      <c r="L330" s="1">
        <f ca="1">$I330/3*控制台!J$102</f>
        <v>22431818.1818181</v>
      </c>
      <c r="M330" s="1">
        <f ca="1">_xlfn.FLOOR.MATH(J330,POWER(10,MAX(2,INT(LOG10(J330)-2))))</f>
        <v>17900000</v>
      </c>
      <c r="N330" s="1">
        <f ca="1">_xlfn.FLOOR.MATH(K330,POWER(10,MAX(2,INT(LOG10(K330)-2))))</f>
        <v>13400000</v>
      </c>
      <c r="O330" s="1">
        <f ca="1">_xlfn.FLOOR.MATH(L330,POWER(10,MAX(2,INT(LOG10(L330)-2))))</f>
        <v>22400000</v>
      </c>
      <c r="P330" s="4" t="str">
        <f ca="1" t="shared" si="15"/>
        <v>17900000;13400000;22400000</v>
      </c>
      <c r="Q330" s="15">
        <f ca="1">IF(C330=1,OFFSET(控制台!$H$599,MATCH(F330,控制台!$B$599:$B$615,0)-1,0),OFFSET(控制台!$H$618,MATCH(F330,控制台!$B$618:$B$636,0)-1,0))</f>
        <v>1473147.648</v>
      </c>
      <c r="R330" s="15">
        <f ca="1">IF(E330=1,Q330/G330,IF(E330=5,Q330/G330*OFFSET(控制台!$D$641,MATCH(B330,控制台!$B$641:$B$645,0)-1,0),Q330/G330*OFFSET(控制台!$H$641,MATCH(B330,控制台!$F$641:$F$650,0)-1,0)))</f>
        <v>66961.2567272725</v>
      </c>
      <c r="S330" s="16">
        <f ca="1">_xlfn.FLOOR.MATH(R330)*60</f>
        <v>4017660</v>
      </c>
      <c r="T330" s="16">
        <f ca="1">8000+IF(C330=1,OFFSET(控制台!$K$599,MATCH(F330,控制台!$B$599:$B$615,0)-1,0),OFFSET(控制台!$K$618,MATCH(F330,控制台!$B$618:$B$636,0)-1,0))</f>
        <v>8027</v>
      </c>
      <c r="U330" s="1">
        <f ca="1">IF(C330=1,OFFSET(控制台!$F$599,MATCH(F330,控制台!$B$599:$B$615,0)-1,0),OFFSET(控制台!$F$618,MATCH(F330,控制台!$B$618:$B$636,0)-1,0))</f>
        <v>740275.2</v>
      </c>
      <c r="V330" s="1">
        <f ca="1">IF(E330=1,U330/G330,IF(E330=5,U330/G330*OFFSET(控制台!$D$641,MATCH(B330,控制台!$B$641:$B$645,0)-1,0),U330/G330*OFFSET(控制台!$H$641,MATCH(B330,控制台!$F$641:$F$650,0)-1,0)))</f>
        <v>33648.8727272726</v>
      </c>
      <c r="W330" s="20">
        <f ca="1" t="shared" si="16"/>
        <v>23.3672727272727</v>
      </c>
      <c r="X330" s="15">
        <f ca="1">IF(C330=1,OFFSET(控制台!$U$599,MATCH(F330,控制台!$B$599:$B$615,0)-1,0),OFFSET(控制台!$U$618,MATCH(F330,控制台!$B$618:$B$636,0)-1,0))</f>
        <v>2254875</v>
      </c>
      <c r="Y330" s="16">
        <f ca="1">_xlfn.FLOOR.MATH(IF(E330=1,X330/G330,IF(E330=5,X330/G330*OFFSET(控制台!$D$641,MATCH(B330,控制台!$B$641:$B$645,0)-1,0),X330/G330*OFFSET(控制台!$H$641,MATCH(B330,控制台!$F$641:$F$650,0)-1,0))))</f>
        <v>102494</v>
      </c>
      <c r="Z330" s="16">
        <f ca="1" t="shared" si="17"/>
        <v>307478</v>
      </c>
    </row>
    <row r="331" spans="1:26">
      <c r="A331" s="1">
        <v>21403</v>
      </c>
      <c r="B331" s="1">
        <v>9</v>
      </c>
      <c r="C331" s="1">
        <v>2</v>
      </c>
      <c r="D331" s="1" t="s">
        <v>2835</v>
      </c>
      <c r="E331" s="1">
        <f ca="1">IF(C331=1,OFFSET(控制台!$F$552,MATCH(A331,控制台!$B$552:$B$580,0)-1,0),OFFSET(控制台!$L$552,MATCH(A331,控制台!$H$552:$H$594,0)-1,0))</f>
        <v>10</v>
      </c>
      <c r="F331" s="1">
        <f ca="1">IF(C331=1,OFFSET(控制台!$D$552,MATCH(A331,控制台!$B$552:$B$580,0)-1,0),OFFSET(控制台!$J$552,MATCH(A331,控制台!$H$552:$H$594,0)-1,0))</f>
        <v>14</v>
      </c>
      <c r="G331" s="1">
        <f ca="1">IF(C331=1,OFFSET(控制台!$I$599,MATCH(F331,控制台!$B$599:$B$615,0)-1,0),OFFSET(控制台!$I$618,MATCH(F331,控制台!$B$618:$B$636,0)-1,0))</f>
        <v>3</v>
      </c>
      <c r="H331" s="1">
        <f ca="1">IF(C331=1,OFFSET(控制台!$D$599,MATCH(F331,控制台!$B$599:$B$615,0)-1,0),OFFSET(控制台!$D$618,MATCH(F331,控制台!$B$618:$B$636,0)-1,0))</f>
        <v>1184400000</v>
      </c>
      <c r="I331" s="1">
        <f ca="1">IF(E331=1,H331/G331,IF(E331=5,H331/G331*OFFSET(控制台!$D$641,MATCH(B331,控制台!$B$641:$B$645,0)-1,0),H331/G331*OFFSET(控制台!$H$641,MATCH(B331,控制台!$F$641:$F$650,0)-1,0)))</f>
        <v>89727272.7272726</v>
      </c>
      <c r="J331" s="1">
        <f ca="1">$I331/3*控制台!H$102</f>
        <v>29909090.9090909</v>
      </c>
      <c r="K331" s="1">
        <f ca="1">$I331/3*控制台!I$102</f>
        <v>22431818.1818181</v>
      </c>
      <c r="L331" s="1">
        <f ca="1">$I331/3*控制台!J$102</f>
        <v>37386363.6363636</v>
      </c>
      <c r="M331" s="1">
        <f ca="1">_xlfn.FLOOR.MATH(J331,POWER(10,MAX(2,INT(LOG10(J331)-2))))</f>
        <v>29900000</v>
      </c>
      <c r="N331" s="1">
        <f ca="1">_xlfn.FLOOR.MATH(K331,POWER(10,MAX(2,INT(LOG10(K331)-2))))</f>
        <v>22400000</v>
      </c>
      <c r="O331" s="1">
        <f ca="1">_xlfn.FLOOR.MATH(L331,POWER(10,MAX(2,INT(LOG10(L331)-2))))</f>
        <v>37300000</v>
      </c>
      <c r="P331" s="4" t="str">
        <f ca="1" t="shared" si="15"/>
        <v>29900000;22400000;37300000</v>
      </c>
      <c r="Q331" s="15">
        <f ca="1">IF(C331=1,OFFSET(控制台!$H$599,MATCH(F331,控制台!$B$599:$B$615,0)-1,0),OFFSET(控制台!$H$618,MATCH(F331,控制台!$B$618:$B$636,0)-1,0))</f>
        <v>1473147.648</v>
      </c>
      <c r="R331" s="15">
        <f ca="1">IF(E331=1,Q331/G331,IF(E331=5,Q331/G331*OFFSET(控制台!$D$641,MATCH(B331,控制台!$B$641:$B$645,0)-1,0),Q331/G331*OFFSET(控制台!$H$641,MATCH(B331,控制台!$F$641:$F$650,0)-1,0)))</f>
        <v>111602.094545454</v>
      </c>
      <c r="S331" s="16">
        <f ca="1">_xlfn.FLOOR.MATH(R331)*60</f>
        <v>6696120</v>
      </c>
      <c r="T331" s="16">
        <f ca="1">8000+IF(C331=1,OFFSET(控制台!$K$599,MATCH(F331,控制台!$B$599:$B$615,0)-1,0),OFFSET(控制台!$K$618,MATCH(F331,控制台!$B$618:$B$636,0)-1,0))</f>
        <v>8027</v>
      </c>
      <c r="U331" s="1">
        <f ca="1">IF(C331=1,OFFSET(控制台!$F$599,MATCH(F331,控制台!$B$599:$B$615,0)-1,0),OFFSET(控制台!$F$618,MATCH(F331,控制台!$B$618:$B$636,0)-1,0))</f>
        <v>740275.2</v>
      </c>
      <c r="V331" s="1">
        <f ca="1">IF(E331=1,U331/G331,IF(E331=5,U331/G331*OFFSET(控制台!$D$641,MATCH(B331,控制台!$B$641:$B$645,0)-1,0),U331/G331*OFFSET(控制台!$H$641,MATCH(B331,控制台!$F$641:$F$650,0)-1,0)))</f>
        <v>56081.4545454545</v>
      </c>
      <c r="W331" s="20">
        <f ca="1" t="shared" si="16"/>
        <v>38.9454545454545</v>
      </c>
      <c r="X331" s="15">
        <f ca="1">IF(C331=1,OFFSET(控制台!$U$599,MATCH(F331,控制台!$B$599:$B$615,0)-1,0),OFFSET(控制台!$U$618,MATCH(F331,控制台!$B$618:$B$636,0)-1,0))</f>
        <v>2254875</v>
      </c>
      <c r="Y331" s="16">
        <f ca="1">_xlfn.FLOOR.MATH(IF(E331=1,X331/G331,IF(E331=5,X331/G331*OFFSET(控制台!$D$641,MATCH(B331,控制台!$B$641:$B$645,0)-1,0),X331/G331*OFFSET(控制台!$H$641,MATCH(B331,控制台!$F$641:$F$650,0)-1,0))))</f>
        <v>170823</v>
      </c>
      <c r="Z331" s="16">
        <f ca="1" t="shared" si="17"/>
        <v>478301</v>
      </c>
    </row>
    <row r="332" spans="1:26">
      <c r="A332" s="1">
        <v>21403</v>
      </c>
      <c r="B332" s="1">
        <v>10</v>
      </c>
      <c r="C332" s="1">
        <v>2</v>
      </c>
      <c r="D332" s="1" t="s">
        <v>2835</v>
      </c>
      <c r="E332" s="1">
        <f ca="1">IF(C332=1,OFFSET(控制台!$F$552,MATCH(A332,控制台!$B$552:$B$580,0)-1,0),OFFSET(控制台!$L$552,MATCH(A332,控制台!$H$552:$H$594,0)-1,0))</f>
        <v>10</v>
      </c>
      <c r="F332" s="1">
        <f ca="1">IF(C332=1,OFFSET(控制台!$D$552,MATCH(A332,控制台!$B$552:$B$580,0)-1,0),OFFSET(控制台!$J$552,MATCH(A332,控制台!$H$552:$H$594,0)-1,0))</f>
        <v>14</v>
      </c>
      <c r="G332" s="1">
        <f ca="1">IF(C332=1,OFFSET(控制台!$I$599,MATCH(F332,控制台!$B$599:$B$615,0)-1,0),OFFSET(控制台!$I$618,MATCH(F332,控制台!$B$618:$B$636,0)-1,0))</f>
        <v>3</v>
      </c>
      <c r="H332" s="1">
        <f ca="1">IF(C332=1,OFFSET(控制台!$D$599,MATCH(F332,控制台!$B$599:$B$615,0)-1,0),OFFSET(控制台!$D$618,MATCH(F332,控制台!$B$618:$B$636,0)-1,0))</f>
        <v>1184400000</v>
      </c>
      <c r="I332" s="1">
        <f ca="1">IF(E332=1,H332/G332,IF(E332=5,H332/G332*OFFSET(控制台!$D$641,MATCH(B332,控制台!$B$641:$B$645,0)-1,0),H332/G332*OFFSET(控制台!$H$641,MATCH(B332,控制台!$F$641:$F$650,0)-1,0)))</f>
        <v>143563636.363636</v>
      </c>
      <c r="J332" s="1">
        <f ca="1">$I332/3*控制台!H$102</f>
        <v>47854545.4545455</v>
      </c>
      <c r="K332" s="1">
        <f ca="1">$I332/3*控制台!I$102</f>
        <v>35890909.0909091</v>
      </c>
      <c r="L332" s="1">
        <f ca="1">$I332/3*控制台!J$102</f>
        <v>59818181.8181819</v>
      </c>
      <c r="M332" s="1">
        <f ca="1">_xlfn.FLOOR.MATH(J332,POWER(10,MAX(2,INT(LOG10(J332)-2))))</f>
        <v>47800000</v>
      </c>
      <c r="N332" s="1">
        <f ca="1">_xlfn.FLOOR.MATH(K332,POWER(10,MAX(2,INT(LOG10(K332)-2))))</f>
        <v>35800000</v>
      </c>
      <c r="O332" s="1">
        <f ca="1">_xlfn.FLOOR.MATH(L332,POWER(10,MAX(2,INT(LOG10(L332)-2))))</f>
        <v>59800000</v>
      </c>
      <c r="P332" s="4" t="str">
        <f ca="1" t="shared" si="15"/>
        <v>47800000;35800000;59800000</v>
      </c>
      <c r="Q332" s="15">
        <f ca="1">IF(C332=1,OFFSET(控制台!$H$599,MATCH(F332,控制台!$B$599:$B$615,0)-1,0),OFFSET(控制台!$H$618,MATCH(F332,控制台!$B$618:$B$636,0)-1,0))</f>
        <v>1473147.648</v>
      </c>
      <c r="R332" s="15">
        <f ca="1">IF(E332=1,Q332/G332,IF(E332=5,Q332/G332*OFFSET(控制台!$D$641,MATCH(B332,控制台!$B$641:$B$645,0)-1,0),Q332/G332*OFFSET(控制台!$H$641,MATCH(B332,控制台!$F$641:$F$650,0)-1,0)))</f>
        <v>178563.351272727</v>
      </c>
      <c r="S332" s="16">
        <f ca="1">_xlfn.FLOOR.MATH(R332)*60</f>
        <v>10713780</v>
      </c>
      <c r="T332" s="16">
        <f ca="1">8000+IF(C332=1,OFFSET(控制台!$K$599,MATCH(F332,控制台!$B$599:$B$615,0)-1,0),OFFSET(控制台!$K$618,MATCH(F332,控制台!$B$618:$B$636,0)-1,0))</f>
        <v>8027</v>
      </c>
      <c r="U332" s="1">
        <f ca="1">IF(C332=1,OFFSET(控制台!$F$599,MATCH(F332,控制台!$B$599:$B$615,0)-1,0),OFFSET(控制台!$F$618,MATCH(F332,控制台!$B$618:$B$636,0)-1,0))</f>
        <v>740275.2</v>
      </c>
      <c r="V332" s="1">
        <f ca="1">IF(E332=1,U332/G332,IF(E332=5,U332/G332*OFFSET(控制台!$D$641,MATCH(B332,控制台!$B$641:$B$645,0)-1,0),U332/G332*OFFSET(控制台!$H$641,MATCH(B332,控制台!$F$641:$F$650,0)-1,0)))</f>
        <v>89730.3272727273</v>
      </c>
      <c r="W332" s="20">
        <f ca="1" t="shared" si="16"/>
        <v>62.3127272727273</v>
      </c>
      <c r="X332" s="15">
        <f ca="1">IF(C332=1,OFFSET(控制台!$U$599,MATCH(F332,控制台!$B$599:$B$615,0)-1,0),OFFSET(控制台!$U$618,MATCH(F332,控制台!$B$618:$B$636,0)-1,0))</f>
        <v>2254875</v>
      </c>
      <c r="Y332" s="16">
        <f ca="1">_xlfn.FLOOR.MATH(IF(E332=1,X332/G332,IF(E332=5,X332/G332*OFFSET(控制台!$D$641,MATCH(B332,控制台!$B$641:$B$645,0)-1,0),X332/G332*OFFSET(控制台!$H$641,MATCH(B332,控制台!$F$641:$F$650,0)-1,0))))</f>
        <v>273318</v>
      </c>
      <c r="Z332" s="16">
        <f ca="1" t="shared" si="17"/>
        <v>751619</v>
      </c>
    </row>
    <row r="333" spans="1:26">
      <c r="A333" s="1">
        <v>21501</v>
      </c>
      <c r="B333" s="1">
        <v>1</v>
      </c>
      <c r="C333" s="1">
        <v>2</v>
      </c>
      <c r="D333" s="1" t="s">
        <v>2836</v>
      </c>
      <c r="E333" s="1">
        <f ca="1">IF(C333=1,OFFSET(控制台!$F$552,MATCH(A333,控制台!$B$552:$B$580,0)-1,0),OFFSET(控制台!$L$552,MATCH(A333,控制台!$H$552:$H$594,0)-1,0))</f>
        <v>10</v>
      </c>
      <c r="F333" s="1">
        <f ca="1">IF(C333=1,OFFSET(控制台!$D$552,MATCH(A333,控制台!$B$552:$B$580,0)-1,0),OFFSET(控制台!$J$552,MATCH(A333,控制台!$H$552:$H$594,0)-1,0))</f>
        <v>15</v>
      </c>
      <c r="G333" s="1">
        <f ca="1">IF(C333=1,OFFSET(控制台!$I$599,MATCH(F333,控制台!$B$599:$B$615,0)-1,0),OFFSET(控制台!$I$618,MATCH(F333,控制台!$B$618:$B$636,0)-1,0))</f>
        <v>3</v>
      </c>
      <c r="H333" s="1">
        <f ca="1">IF(C333=1,OFFSET(控制台!$D$599,MATCH(F333,控制台!$B$599:$B$615,0)-1,0),OFFSET(控制台!$D$618,MATCH(F333,控制台!$B$618:$B$636,0)-1,0))</f>
        <v>1375200000</v>
      </c>
      <c r="I333" s="1">
        <f ca="1">IF(E333=1,H333/G333,IF(E333=5,H333/G333*OFFSET(控制台!$D$641,MATCH(B333,控制台!$B$641:$B$645,0)-1,0),H333/G333*OFFSET(控制台!$H$641,MATCH(B333,控制台!$F$641:$F$650,0)-1,0)))</f>
        <v>4167272.72727273</v>
      </c>
      <c r="J333" s="1">
        <f ca="1">$I333/3*控制台!H$102</f>
        <v>1389090.90909091</v>
      </c>
      <c r="K333" s="1">
        <f ca="1">$I333/3*控制台!I$102</f>
        <v>1041818.18181818</v>
      </c>
      <c r="L333" s="1">
        <f ca="1">$I333/3*控制台!J$102</f>
        <v>1736363.63636364</v>
      </c>
      <c r="M333" s="1">
        <f ca="1">_xlfn.FLOOR.MATH(J333,POWER(10,MAX(2,INT(LOG10(J333)-2))))</f>
        <v>1380000</v>
      </c>
      <c r="N333" s="1">
        <f ca="1">_xlfn.FLOOR.MATH(K333,POWER(10,MAX(2,INT(LOG10(K333)-2))))</f>
        <v>1040000</v>
      </c>
      <c r="O333" s="1">
        <f ca="1">_xlfn.FLOOR.MATH(L333,POWER(10,MAX(2,INT(LOG10(L333)-2))))</f>
        <v>1730000</v>
      </c>
      <c r="P333" s="4" t="str">
        <f ca="1" t="shared" si="15"/>
        <v>1380000;1040000;1730000</v>
      </c>
      <c r="Q333" s="15">
        <f ca="1">IF(C333=1,OFFSET(控制台!$H$599,MATCH(F333,控制台!$B$599:$B$615,0)-1,0),OFFSET(控制台!$H$618,MATCH(F333,控制台!$B$618:$B$636,0)-1,0))</f>
        <v>1596506.112</v>
      </c>
      <c r="R333" s="15">
        <f ca="1">IF(E333=1,Q333/G333,IF(E333=5,Q333/G333*OFFSET(控制台!$D$641,MATCH(B333,控制台!$B$641:$B$645,0)-1,0),Q333/G333*OFFSET(控制台!$H$641,MATCH(B333,控制台!$F$641:$F$650,0)-1,0)))</f>
        <v>4837.89730909091</v>
      </c>
      <c r="S333" s="16">
        <f ca="1">_xlfn.FLOOR.MATH(R333)*60</f>
        <v>290220</v>
      </c>
      <c r="T333" s="16">
        <f ca="1">8000+IF(C333=1,OFFSET(控制台!$K$599,MATCH(F333,控制台!$B$599:$B$615,0)-1,0),OFFSET(控制台!$K$618,MATCH(F333,控制台!$B$618:$B$636,0)-1,0))</f>
        <v>8028</v>
      </c>
      <c r="U333" s="1">
        <f ca="1">IF(C333=1,OFFSET(控制台!$F$599,MATCH(F333,控制台!$B$599:$B$615,0)-1,0),OFFSET(控制台!$F$618,MATCH(F333,控制台!$B$618:$B$636,0)-1,0))</f>
        <v>796262.4</v>
      </c>
      <c r="V333" s="1">
        <f ca="1">IF(E333=1,U333/G333,IF(E333=5,U333/G333*OFFSET(控制台!$D$641,MATCH(B333,控制台!$B$641:$B$645,0)-1,0),U333/G333*OFFSET(控制台!$H$641,MATCH(B333,控制台!$F$641:$F$650,0)-1,0)))</f>
        <v>2412.91636363636</v>
      </c>
      <c r="W333" s="20">
        <f ca="1" t="shared" si="16"/>
        <v>1.67563636363636</v>
      </c>
      <c r="X333" s="15">
        <f ca="1">IF(C333=1,OFFSET(控制台!$U$599,MATCH(F333,控制台!$B$599:$B$615,0)-1,0),OFFSET(控制台!$U$618,MATCH(F333,控制台!$B$618:$B$636,0)-1,0))</f>
        <v>2446500</v>
      </c>
      <c r="Y333" s="16">
        <f ca="1">_xlfn.FLOOR.MATH(IF(E333=1,X333/G333,IF(E333=5,X333/G333*OFFSET(控制台!$D$641,MATCH(B333,控制台!$B$641:$B$645,0)-1,0),X333/G333*OFFSET(控制台!$H$641,MATCH(B333,控制台!$F$641:$F$650,0)-1,0))))</f>
        <v>7413</v>
      </c>
      <c r="Z333" s="16">
        <f ca="1" t="shared" si="17"/>
        <v>7413</v>
      </c>
    </row>
    <row r="334" spans="1:26">
      <c r="A334" s="1">
        <v>21501</v>
      </c>
      <c r="B334" s="1">
        <v>2</v>
      </c>
      <c r="C334" s="1">
        <v>2</v>
      </c>
      <c r="D334" s="1" t="s">
        <v>2836</v>
      </c>
      <c r="E334" s="1">
        <f ca="1">IF(C334=1,OFFSET(控制台!$F$552,MATCH(A334,控制台!$B$552:$B$580,0)-1,0),OFFSET(控制台!$L$552,MATCH(A334,控制台!$H$552:$H$594,0)-1,0))</f>
        <v>10</v>
      </c>
      <c r="F334" s="1">
        <f ca="1">IF(C334=1,OFFSET(控制台!$D$552,MATCH(A334,控制台!$B$552:$B$580,0)-1,0),OFFSET(控制台!$J$552,MATCH(A334,控制台!$H$552:$H$594,0)-1,0))</f>
        <v>15</v>
      </c>
      <c r="G334" s="1">
        <f ca="1">IF(C334=1,OFFSET(控制台!$I$599,MATCH(F334,控制台!$B$599:$B$615,0)-1,0),OFFSET(控制台!$I$618,MATCH(F334,控制台!$B$618:$B$636,0)-1,0))</f>
        <v>3</v>
      </c>
      <c r="H334" s="1">
        <f ca="1">IF(C334=1,OFFSET(控制台!$D$599,MATCH(F334,控制台!$B$599:$B$615,0)-1,0),OFFSET(控制台!$D$618,MATCH(F334,控制台!$B$618:$B$636,0)-1,0))</f>
        <v>1375200000</v>
      </c>
      <c r="I334" s="1">
        <f ca="1">IF(E334=1,H334/G334,IF(E334=5,H334/G334*OFFSET(控制台!$D$641,MATCH(B334,控制台!$B$641:$B$645,0)-1,0),H334/G334*OFFSET(控制台!$H$641,MATCH(B334,控制台!$F$641:$F$650,0)-1,0)))</f>
        <v>6250909.09090907</v>
      </c>
      <c r="J334" s="1">
        <f ca="1">$I334/3*控制台!H$102</f>
        <v>2083636.36363636</v>
      </c>
      <c r="K334" s="1">
        <f ca="1">$I334/3*控制台!I$102</f>
        <v>1562727.27272727</v>
      </c>
      <c r="L334" s="1">
        <f ca="1">$I334/3*控制台!J$102</f>
        <v>2604545.45454545</v>
      </c>
      <c r="M334" s="1">
        <f ca="1">_xlfn.FLOOR.MATH(J334,POWER(10,MAX(2,INT(LOG10(J334)-2))))</f>
        <v>2080000</v>
      </c>
      <c r="N334" s="1">
        <f ca="1">_xlfn.FLOOR.MATH(K334,POWER(10,MAX(2,INT(LOG10(K334)-2))))</f>
        <v>1560000</v>
      </c>
      <c r="O334" s="1">
        <f ca="1">_xlfn.FLOOR.MATH(L334,POWER(10,MAX(2,INT(LOG10(L334)-2))))</f>
        <v>2600000</v>
      </c>
      <c r="P334" s="4" t="str">
        <f ca="1" t="shared" si="15"/>
        <v>2080000;1560000;2600000</v>
      </c>
      <c r="Q334" s="15">
        <f ca="1">IF(C334=1,OFFSET(控制台!$H$599,MATCH(F334,控制台!$B$599:$B$615,0)-1,0),OFFSET(控制台!$H$618,MATCH(F334,控制台!$B$618:$B$636,0)-1,0))</f>
        <v>1596506.112</v>
      </c>
      <c r="R334" s="15">
        <f ca="1">IF(E334=1,Q334/G334,IF(E334=5,Q334/G334*OFFSET(控制台!$D$641,MATCH(B334,控制台!$B$641:$B$645,0)-1,0),Q334/G334*OFFSET(控制台!$H$641,MATCH(B334,控制台!$F$641:$F$650,0)-1,0)))</f>
        <v>7256.84596363634</v>
      </c>
      <c r="S334" s="16">
        <f ca="1">_xlfn.FLOOR.MATH(R334)*60</f>
        <v>435360</v>
      </c>
      <c r="T334" s="16">
        <f ca="1">8000+IF(C334=1,OFFSET(控制台!$K$599,MATCH(F334,控制台!$B$599:$B$615,0)-1,0),OFFSET(控制台!$K$618,MATCH(F334,控制台!$B$618:$B$636,0)-1,0))</f>
        <v>8028</v>
      </c>
      <c r="U334" s="1">
        <f ca="1">IF(C334=1,OFFSET(控制台!$F$599,MATCH(F334,控制台!$B$599:$B$615,0)-1,0),OFFSET(控制台!$F$618,MATCH(F334,控制台!$B$618:$B$636,0)-1,0))</f>
        <v>796262.4</v>
      </c>
      <c r="V334" s="1">
        <f ca="1">IF(E334=1,U334/G334,IF(E334=5,U334/G334*OFFSET(控制台!$D$641,MATCH(B334,控制台!$B$641:$B$645,0)-1,0),U334/G334*OFFSET(控制台!$H$641,MATCH(B334,控制台!$F$641:$F$650,0)-1,0)))</f>
        <v>3619.37454545454</v>
      </c>
      <c r="W334" s="20">
        <f ca="1" t="shared" si="16"/>
        <v>2.51345454545454</v>
      </c>
      <c r="X334" s="15">
        <f ca="1">IF(C334=1,OFFSET(控制台!$U$599,MATCH(F334,控制台!$B$599:$B$615,0)-1,0),OFFSET(控制台!$U$618,MATCH(F334,控制台!$B$618:$B$636,0)-1,0))</f>
        <v>2446500</v>
      </c>
      <c r="Y334" s="16">
        <f ca="1">_xlfn.FLOOR.MATH(IF(E334=1,X334/G334,IF(E334=5,X334/G334*OFFSET(控制台!$D$641,MATCH(B334,控制台!$B$641:$B$645,0)-1,0),X334/G334*OFFSET(控制台!$H$641,MATCH(B334,控制台!$F$641:$F$650,0)-1,0))))</f>
        <v>11120</v>
      </c>
      <c r="Z334" s="16">
        <f ca="1" t="shared" si="17"/>
        <v>18533</v>
      </c>
    </row>
    <row r="335" spans="1:26">
      <c r="A335" s="1">
        <v>21501</v>
      </c>
      <c r="B335" s="1">
        <v>3</v>
      </c>
      <c r="C335" s="1">
        <v>2</v>
      </c>
      <c r="D335" s="1" t="s">
        <v>2836</v>
      </c>
      <c r="E335" s="1">
        <f ca="1">IF(C335=1,OFFSET(控制台!$F$552,MATCH(A335,控制台!$B$552:$B$580,0)-1,0),OFFSET(控制台!$L$552,MATCH(A335,控制台!$H$552:$H$594,0)-1,0))</f>
        <v>10</v>
      </c>
      <c r="F335" s="1">
        <f ca="1">IF(C335=1,OFFSET(控制台!$D$552,MATCH(A335,控制台!$B$552:$B$580,0)-1,0),OFFSET(控制台!$J$552,MATCH(A335,控制台!$H$552:$H$594,0)-1,0))</f>
        <v>15</v>
      </c>
      <c r="G335" s="1">
        <f ca="1">IF(C335=1,OFFSET(控制台!$I$599,MATCH(F335,控制台!$B$599:$B$615,0)-1,0),OFFSET(控制台!$I$618,MATCH(F335,控制台!$B$618:$B$636,0)-1,0))</f>
        <v>3</v>
      </c>
      <c r="H335" s="1">
        <f ca="1">IF(C335=1,OFFSET(控制台!$D$599,MATCH(F335,控制台!$B$599:$B$615,0)-1,0),OFFSET(控制台!$D$618,MATCH(F335,控制台!$B$618:$B$636,0)-1,0))</f>
        <v>1375200000</v>
      </c>
      <c r="I335" s="1">
        <f ca="1">IF(E335=1,H335/G335,IF(E335=5,H335/G335*OFFSET(控制台!$D$641,MATCH(B335,控制台!$B$641:$B$645,0)-1,0),H335/G335*OFFSET(控制台!$H$641,MATCH(B335,控制台!$F$641:$F$650,0)-1,0)))</f>
        <v>8334545.45454546</v>
      </c>
      <c r="J335" s="1">
        <f ca="1">$I335/3*控制台!H$102</f>
        <v>2778181.81818182</v>
      </c>
      <c r="K335" s="1">
        <f ca="1">$I335/3*控制台!I$102</f>
        <v>2083636.36363637</v>
      </c>
      <c r="L335" s="1">
        <f ca="1">$I335/3*控制台!J$102</f>
        <v>3472727.27272728</v>
      </c>
      <c r="M335" s="1">
        <f ca="1">_xlfn.FLOOR.MATH(J335,POWER(10,MAX(2,INT(LOG10(J335)-2))))</f>
        <v>2770000</v>
      </c>
      <c r="N335" s="1">
        <f ca="1">_xlfn.FLOOR.MATH(K335,POWER(10,MAX(2,INT(LOG10(K335)-2))))</f>
        <v>2080000</v>
      </c>
      <c r="O335" s="1">
        <f ca="1">_xlfn.FLOOR.MATH(L335,POWER(10,MAX(2,INT(LOG10(L335)-2))))</f>
        <v>3470000</v>
      </c>
      <c r="P335" s="4" t="str">
        <f ca="1" t="shared" si="15"/>
        <v>2770000;2080000;3470000</v>
      </c>
      <c r="Q335" s="15">
        <f ca="1">IF(C335=1,OFFSET(控制台!$H$599,MATCH(F335,控制台!$B$599:$B$615,0)-1,0),OFFSET(控制台!$H$618,MATCH(F335,控制台!$B$618:$B$636,0)-1,0))</f>
        <v>1596506.112</v>
      </c>
      <c r="R335" s="15">
        <f ca="1">IF(E335=1,Q335/G335,IF(E335=5,Q335/G335*OFFSET(控制台!$D$641,MATCH(B335,控制台!$B$641:$B$645,0)-1,0),Q335/G335*OFFSET(控制台!$H$641,MATCH(B335,控制台!$F$641:$F$650,0)-1,0)))</f>
        <v>9675.79461818183</v>
      </c>
      <c r="S335" s="16">
        <f ca="1">_xlfn.FLOOR.MATH(R335)*60</f>
        <v>580500</v>
      </c>
      <c r="T335" s="16">
        <f ca="1">8000+IF(C335=1,OFFSET(控制台!$K$599,MATCH(F335,控制台!$B$599:$B$615,0)-1,0),OFFSET(控制台!$K$618,MATCH(F335,控制台!$B$618:$B$636,0)-1,0))</f>
        <v>8028</v>
      </c>
      <c r="U335" s="1">
        <f ca="1">IF(C335=1,OFFSET(控制台!$F$599,MATCH(F335,控制台!$B$599:$B$615,0)-1,0),OFFSET(控制台!$F$618,MATCH(F335,控制台!$B$618:$B$636,0)-1,0))</f>
        <v>796262.4</v>
      </c>
      <c r="V335" s="1">
        <f ca="1">IF(E335=1,U335/G335,IF(E335=5,U335/G335*OFFSET(控制台!$D$641,MATCH(B335,控制台!$B$641:$B$645,0)-1,0),U335/G335*OFFSET(控制台!$H$641,MATCH(B335,控制台!$F$641:$F$650,0)-1,0)))</f>
        <v>4825.83272727273</v>
      </c>
      <c r="W335" s="20">
        <f ca="1" t="shared" si="16"/>
        <v>3.35127272727273</v>
      </c>
      <c r="X335" s="15">
        <f ca="1">IF(C335=1,OFFSET(控制台!$U$599,MATCH(F335,控制台!$B$599:$B$615,0)-1,0),OFFSET(控制台!$U$618,MATCH(F335,控制台!$B$618:$B$636,0)-1,0))</f>
        <v>2446500</v>
      </c>
      <c r="Y335" s="16">
        <f ca="1">_xlfn.FLOOR.MATH(IF(E335=1,X335/G335,IF(E335=5,X335/G335*OFFSET(控制台!$D$641,MATCH(B335,控制台!$B$641:$B$645,0)-1,0),X335/G335*OFFSET(控制台!$H$641,MATCH(B335,控制台!$F$641:$F$650,0)-1,0))))</f>
        <v>14827</v>
      </c>
      <c r="Z335" s="16">
        <f ca="1" t="shared" si="17"/>
        <v>33360</v>
      </c>
    </row>
    <row r="336" spans="1:26">
      <c r="A336" s="1">
        <v>21501</v>
      </c>
      <c r="B336" s="1">
        <v>4</v>
      </c>
      <c r="C336" s="1">
        <v>2</v>
      </c>
      <c r="D336" s="1" t="s">
        <v>2836</v>
      </c>
      <c r="E336" s="1">
        <f ca="1">IF(C336=1,OFFSET(控制台!$F$552,MATCH(A336,控制台!$B$552:$B$580,0)-1,0),OFFSET(控制台!$L$552,MATCH(A336,控制台!$H$552:$H$594,0)-1,0))</f>
        <v>10</v>
      </c>
      <c r="F336" s="1">
        <f ca="1">IF(C336=1,OFFSET(控制台!$D$552,MATCH(A336,控制台!$B$552:$B$580,0)-1,0),OFFSET(控制台!$J$552,MATCH(A336,控制台!$H$552:$H$594,0)-1,0))</f>
        <v>15</v>
      </c>
      <c r="G336" s="1">
        <f ca="1">IF(C336=1,OFFSET(控制台!$I$599,MATCH(F336,控制台!$B$599:$B$615,0)-1,0),OFFSET(控制台!$I$618,MATCH(F336,控制台!$B$618:$B$636,0)-1,0))</f>
        <v>3</v>
      </c>
      <c r="H336" s="1">
        <f ca="1">IF(C336=1,OFFSET(控制台!$D$599,MATCH(F336,控制台!$B$599:$B$615,0)-1,0),OFFSET(控制台!$D$618,MATCH(F336,控制台!$B$618:$B$636,0)-1,0))</f>
        <v>1375200000</v>
      </c>
      <c r="I336" s="1">
        <f ca="1">IF(E336=1,H336/G336,IF(E336=5,H336/G336*OFFSET(控制台!$D$641,MATCH(B336,控制台!$B$641:$B$645,0)-1,0),H336/G336*OFFSET(控制台!$H$641,MATCH(B336,控制台!$F$641:$F$650,0)-1,0)))</f>
        <v>12501818.1818182</v>
      </c>
      <c r="J336" s="1">
        <f ca="1">$I336/3*控制台!H$102</f>
        <v>4167272.72727273</v>
      </c>
      <c r="K336" s="1">
        <f ca="1">$I336/3*控制台!I$102</f>
        <v>3125454.54545455</v>
      </c>
      <c r="L336" s="1">
        <f ca="1">$I336/3*控制台!J$102</f>
        <v>5209090.90909091</v>
      </c>
      <c r="M336" s="1">
        <f ca="1">_xlfn.FLOOR.MATH(J336,POWER(10,MAX(2,INT(LOG10(J336)-2))))</f>
        <v>4160000</v>
      </c>
      <c r="N336" s="1">
        <f ca="1">_xlfn.FLOOR.MATH(K336,POWER(10,MAX(2,INT(LOG10(K336)-2))))</f>
        <v>3120000</v>
      </c>
      <c r="O336" s="1">
        <f ca="1">_xlfn.FLOOR.MATH(L336,POWER(10,MAX(2,INT(LOG10(L336)-2))))</f>
        <v>5200000</v>
      </c>
      <c r="P336" s="4" t="str">
        <f ca="1" t="shared" si="15"/>
        <v>4160000;3120000;5200000</v>
      </c>
      <c r="Q336" s="15">
        <f ca="1">IF(C336=1,OFFSET(控制台!$H$599,MATCH(F336,控制台!$B$599:$B$615,0)-1,0),OFFSET(控制台!$H$618,MATCH(F336,控制台!$B$618:$B$636,0)-1,0))</f>
        <v>1596506.112</v>
      </c>
      <c r="R336" s="15">
        <f ca="1">IF(E336=1,Q336/G336,IF(E336=5,Q336/G336*OFFSET(控制台!$D$641,MATCH(B336,控制台!$B$641:$B$645,0)-1,0),Q336/G336*OFFSET(控制台!$H$641,MATCH(B336,控制台!$F$641:$F$650,0)-1,0)))</f>
        <v>14513.6919272727</v>
      </c>
      <c r="S336" s="16">
        <f ca="1">_xlfn.FLOOR.MATH(R336)*60</f>
        <v>870780</v>
      </c>
      <c r="T336" s="16">
        <f ca="1">8000+IF(C336=1,OFFSET(控制台!$K$599,MATCH(F336,控制台!$B$599:$B$615,0)-1,0),OFFSET(控制台!$K$618,MATCH(F336,控制台!$B$618:$B$636,0)-1,0))</f>
        <v>8028</v>
      </c>
      <c r="U336" s="1">
        <f ca="1">IF(C336=1,OFFSET(控制台!$F$599,MATCH(F336,控制台!$B$599:$B$615,0)-1,0),OFFSET(控制台!$F$618,MATCH(F336,控制台!$B$618:$B$636,0)-1,0))</f>
        <v>796262.4</v>
      </c>
      <c r="V336" s="1">
        <f ca="1">IF(E336=1,U336/G336,IF(E336=5,U336/G336*OFFSET(控制台!$D$641,MATCH(B336,控制台!$B$641:$B$645,0)-1,0),U336/G336*OFFSET(控制台!$H$641,MATCH(B336,控制台!$F$641:$F$650,0)-1,0)))</f>
        <v>7238.7490909091</v>
      </c>
      <c r="W336" s="20">
        <f ca="1" t="shared" si="16"/>
        <v>5.0269090909091</v>
      </c>
      <c r="X336" s="15">
        <f ca="1">IF(C336=1,OFFSET(控制台!$U$599,MATCH(F336,控制台!$B$599:$B$615,0)-1,0),OFFSET(控制台!$U$618,MATCH(F336,控制台!$B$618:$B$636,0)-1,0))</f>
        <v>2446500</v>
      </c>
      <c r="Y336" s="16">
        <f ca="1">_xlfn.FLOOR.MATH(IF(E336=1,X336/G336,IF(E336=5,X336/G336*OFFSET(控制台!$D$641,MATCH(B336,控制台!$B$641:$B$645,0)-1,0),X336/G336*OFFSET(控制台!$H$641,MATCH(B336,控制台!$F$641:$F$650,0)-1,0))))</f>
        <v>22240</v>
      </c>
      <c r="Z336" s="16">
        <f ca="1" t="shared" si="17"/>
        <v>55600</v>
      </c>
    </row>
    <row r="337" spans="1:26">
      <c r="A337" s="1">
        <v>21501</v>
      </c>
      <c r="B337" s="1">
        <v>5</v>
      </c>
      <c r="C337" s="1">
        <v>2</v>
      </c>
      <c r="D337" s="1" t="s">
        <v>2836</v>
      </c>
      <c r="E337" s="1">
        <f ca="1">IF(C337=1,OFFSET(控制台!$F$552,MATCH(A337,控制台!$B$552:$B$580,0)-1,0),OFFSET(控制台!$L$552,MATCH(A337,控制台!$H$552:$H$594,0)-1,0))</f>
        <v>10</v>
      </c>
      <c r="F337" s="1">
        <f ca="1">IF(C337=1,OFFSET(控制台!$D$552,MATCH(A337,控制台!$B$552:$B$580,0)-1,0),OFFSET(控制台!$J$552,MATCH(A337,控制台!$H$552:$H$594,0)-1,0))</f>
        <v>15</v>
      </c>
      <c r="G337" s="1">
        <f ca="1">IF(C337=1,OFFSET(控制台!$I$599,MATCH(F337,控制台!$B$599:$B$615,0)-1,0),OFFSET(控制台!$I$618,MATCH(F337,控制台!$B$618:$B$636,0)-1,0))</f>
        <v>3</v>
      </c>
      <c r="H337" s="1">
        <f ca="1">IF(C337=1,OFFSET(控制台!$D$599,MATCH(F337,控制台!$B$599:$B$615,0)-1,0),OFFSET(控制台!$D$618,MATCH(F337,控制台!$B$618:$B$636,0)-1,0))</f>
        <v>1375200000</v>
      </c>
      <c r="I337" s="1">
        <f ca="1">IF(E337=1,H337/G337,IF(E337=5,H337/G337*OFFSET(控制台!$D$641,MATCH(B337,控制台!$B$641:$B$645,0)-1,0),H337/G337*OFFSET(控制台!$H$641,MATCH(B337,控制台!$F$641:$F$650,0)-1,0)))</f>
        <v>20836363.6363637</v>
      </c>
      <c r="J337" s="1">
        <f ca="1">$I337/3*控制台!H$102</f>
        <v>6945454.54545455</v>
      </c>
      <c r="K337" s="1">
        <f ca="1">$I337/3*控制台!I$102</f>
        <v>5209090.90909091</v>
      </c>
      <c r="L337" s="1">
        <f ca="1">$I337/3*控制台!J$102</f>
        <v>8681818.18181819</v>
      </c>
      <c r="M337" s="1">
        <f ca="1">_xlfn.FLOOR.MATH(J337,POWER(10,MAX(2,INT(LOG10(J337)-2))))</f>
        <v>6940000</v>
      </c>
      <c r="N337" s="1">
        <f ca="1">_xlfn.FLOOR.MATH(K337,POWER(10,MAX(2,INT(LOG10(K337)-2))))</f>
        <v>5200000</v>
      </c>
      <c r="O337" s="1">
        <f ca="1">_xlfn.FLOOR.MATH(L337,POWER(10,MAX(2,INT(LOG10(L337)-2))))</f>
        <v>8680000</v>
      </c>
      <c r="P337" s="4" t="str">
        <f ca="1" t="shared" si="15"/>
        <v>6940000;5200000;8680000</v>
      </c>
      <c r="Q337" s="15">
        <f ca="1">IF(C337=1,OFFSET(控制台!$H$599,MATCH(F337,控制台!$B$599:$B$615,0)-1,0),OFFSET(控制台!$H$618,MATCH(F337,控制台!$B$618:$B$636,0)-1,0))</f>
        <v>1596506.112</v>
      </c>
      <c r="R337" s="15">
        <f ca="1">IF(E337=1,Q337/G337,IF(E337=5,Q337/G337*OFFSET(控制台!$D$641,MATCH(B337,控制台!$B$641:$B$645,0)-1,0),Q337/G337*OFFSET(控制台!$H$641,MATCH(B337,控制台!$F$641:$F$650,0)-1,0)))</f>
        <v>24189.4865454546</v>
      </c>
      <c r="S337" s="16">
        <f ca="1">_xlfn.FLOOR.MATH(R337)*60</f>
        <v>1451340</v>
      </c>
      <c r="T337" s="16">
        <f ca="1">8000+IF(C337=1,OFFSET(控制台!$K$599,MATCH(F337,控制台!$B$599:$B$615,0)-1,0),OFFSET(控制台!$K$618,MATCH(F337,控制台!$B$618:$B$636,0)-1,0))</f>
        <v>8028</v>
      </c>
      <c r="U337" s="1">
        <f ca="1">IF(C337=1,OFFSET(控制台!$F$599,MATCH(F337,控制台!$B$599:$B$615,0)-1,0),OFFSET(控制台!$F$618,MATCH(F337,控制台!$B$618:$B$636,0)-1,0))</f>
        <v>796262.4</v>
      </c>
      <c r="V337" s="1">
        <f ca="1">IF(E337=1,U337/G337,IF(E337=5,U337/G337*OFFSET(控制台!$D$641,MATCH(B337,控制台!$B$641:$B$645,0)-1,0),U337/G337*OFFSET(控制台!$H$641,MATCH(B337,控制台!$F$641:$F$650,0)-1,0)))</f>
        <v>12064.5818181818</v>
      </c>
      <c r="W337" s="20">
        <f ca="1" t="shared" si="16"/>
        <v>8.37818181818183</v>
      </c>
      <c r="X337" s="15">
        <f ca="1">IF(C337=1,OFFSET(控制台!$U$599,MATCH(F337,控制台!$B$599:$B$615,0)-1,0),OFFSET(控制台!$U$618,MATCH(F337,控制台!$B$618:$B$636,0)-1,0))</f>
        <v>2446500</v>
      </c>
      <c r="Y337" s="16">
        <f ca="1">_xlfn.FLOOR.MATH(IF(E337=1,X337/G337,IF(E337=5,X337/G337*OFFSET(控制台!$D$641,MATCH(B337,控制台!$B$641:$B$645,0)-1,0),X337/G337*OFFSET(控制台!$H$641,MATCH(B337,控制台!$F$641:$F$650,0)-1,0))))</f>
        <v>37068</v>
      </c>
      <c r="Z337" s="16">
        <f ca="1" t="shared" si="17"/>
        <v>92668</v>
      </c>
    </row>
    <row r="338" spans="1:26">
      <c r="A338" s="1">
        <v>21501</v>
      </c>
      <c r="B338" s="1">
        <v>6</v>
      </c>
      <c r="C338" s="1">
        <v>2</v>
      </c>
      <c r="D338" s="1" t="s">
        <v>2836</v>
      </c>
      <c r="E338" s="1">
        <f ca="1">IF(C338=1,OFFSET(控制台!$F$552,MATCH(A338,控制台!$B$552:$B$580,0)-1,0),OFFSET(控制台!$L$552,MATCH(A338,控制台!$H$552:$H$594,0)-1,0))</f>
        <v>10</v>
      </c>
      <c r="F338" s="1">
        <f ca="1">IF(C338=1,OFFSET(控制台!$D$552,MATCH(A338,控制台!$B$552:$B$580,0)-1,0),OFFSET(控制台!$J$552,MATCH(A338,控制台!$H$552:$H$594,0)-1,0))</f>
        <v>15</v>
      </c>
      <c r="G338" s="1">
        <f ca="1">IF(C338=1,OFFSET(控制台!$I$599,MATCH(F338,控制台!$B$599:$B$615,0)-1,0),OFFSET(控制台!$I$618,MATCH(F338,控制台!$B$618:$B$636,0)-1,0))</f>
        <v>3</v>
      </c>
      <c r="H338" s="1">
        <f ca="1">IF(C338=1,OFFSET(控制台!$D$599,MATCH(F338,控制台!$B$599:$B$615,0)-1,0),OFFSET(控制台!$D$618,MATCH(F338,控制台!$B$618:$B$636,0)-1,0))</f>
        <v>1375200000</v>
      </c>
      <c r="I338" s="1">
        <f ca="1">IF(E338=1,H338/G338,IF(E338=5,H338/G338*OFFSET(控制台!$D$641,MATCH(B338,控制台!$B$641:$B$645,0)-1,0),H338/G338*OFFSET(控制台!$H$641,MATCH(B338,控制台!$F$641:$F$650,0)-1,0)))</f>
        <v>31254545.4545455</v>
      </c>
      <c r="J338" s="1">
        <f ca="1">$I338/3*控制台!H$102</f>
        <v>10418181.8181818</v>
      </c>
      <c r="K338" s="1">
        <f ca="1">$I338/3*控制台!I$102</f>
        <v>7813636.36363637</v>
      </c>
      <c r="L338" s="1">
        <f ca="1">$I338/3*控制台!J$102</f>
        <v>13022727.2727273</v>
      </c>
      <c r="M338" s="1">
        <f ca="1">_xlfn.FLOOR.MATH(J338,POWER(10,MAX(2,INT(LOG10(J338)-2))))</f>
        <v>10400000</v>
      </c>
      <c r="N338" s="1">
        <f ca="1">_xlfn.FLOOR.MATH(K338,POWER(10,MAX(2,INT(LOG10(K338)-2))))</f>
        <v>7810000</v>
      </c>
      <c r="O338" s="1">
        <f ca="1">_xlfn.FLOOR.MATH(L338,POWER(10,MAX(2,INT(LOG10(L338)-2))))</f>
        <v>13000000</v>
      </c>
      <c r="P338" s="4" t="str">
        <f ca="1" t="shared" si="15"/>
        <v>10400000;7810000;13000000</v>
      </c>
      <c r="Q338" s="15">
        <f ca="1">IF(C338=1,OFFSET(控制台!$H$599,MATCH(F338,控制台!$B$599:$B$615,0)-1,0),OFFSET(控制台!$H$618,MATCH(F338,控制台!$B$618:$B$636,0)-1,0))</f>
        <v>1596506.112</v>
      </c>
      <c r="R338" s="15">
        <f ca="1">IF(E338=1,Q338/G338,IF(E338=5,Q338/G338*OFFSET(控制台!$D$641,MATCH(B338,控制台!$B$641:$B$645,0)-1,0),Q338/G338*OFFSET(控制台!$H$641,MATCH(B338,控制台!$F$641:$F$650,0)-1,0)))</f>
        <v>36284.2298181818</v>
      </c>
      <c r="S338" s="16">
        <f ca="1">_xlfn.FLOOR.MATH(R338)*60</f>
        <v>2177040</v>
      </c>
      <c r="T338" s="16">
        <f ca="1">8000+IF(C338=1,OFFSET(控制台!$K$599,MATCH(F338,控制台!$B$599:$B$615,0)-1,0),OFFSET(控制台!$K$618,MATCH(F338,控制台!$B$618:$B$636,0)-1,0))</f>
        <v>8028</v>
      </c>
      <c r="U338" s="1">
        <f ca="1">IF(C338=1,OFFSET(控制台!$F$599,MATCH(F338,控制台!$B$599:$B$615,0)-1,0),OFFSET(控制台!$F$618,MATCH(F338,控制台!$B$618:$B$636,0)-1,0))</f>
        <v>796262.4</v>
      </c>
      <c r="V338" s="1">
        <f ca="1">IF(E338=1,U338/G338,IF(E338=5,U338/G338*OFFSET(控制台!$D$641,MATCH(B338,控制台!$B$641:$B$645,0)-1,0),U338/G338*OFFSET(控制台!$H$641,MATCH(B338,控制台!$F$641:$F$650,0)-1,0)))</f>
        <v>18096.8727272727</v>
      </c>
      <c r="W338" s="20">
        <f ca="1" t="shared" si="16"/>
        <v>12.5672727272727</v>
      </c>
      <c r="X338" s="15">
        <f ca="1">IF(C338=1,OFFSET(控制台!$U$599,MATCH(F338,控制台!$B$599:$B$615,0)-1,0),OFFSET(控制台!$U$618,MATCH(F338,控制台!$B$618:$B$636,0)-1,0))</f>
        <v>2446500</v>
      </c>
      <c r="Y338" s="16">
        <f ca="1">_xlfn.FLOOR.MATH(IF(E338=1,X338/G338,IF(E338=5,X338/G338*OFFSET(控制台!$D$641,MATCH(B338,控制台!$B$641:$B$645,0)-1,0),X338/G338*OFFSET(控制台!$H$641,MATCH(B338,控制台!$F$641:$F$650,0)-1,0))))</f>
        <v>55602</v>
      </c>
      <c r="Z338" s="16">
        <f ca="1" t="shared" si="17"/>
        <v>148270</v>
      </c>
    </row>
    <row r="339" spans="1:26">
      <c r="A339" s="1">
        <v>21501</v>
      </c>
      <c r="B339" s="1">
        <v>7</v>
      </c>
      <c r="C339" s="1">
        <v>2</v>
      </c>
      <c r="D339" s="1" t="s">
        <v>2836</v>
      </c>
      <c r="E339" s="1">
        <f ca="1">IF(C339=1,OFFSET(控制台!$F$552,MATCH(A339,控制台!$B$552:$B$580,0)-1,0),OFFSET(控制台!$L$552,MATCH(A339,控制台!$H$552:$H$594,0)-1,0))</f>
        <v>10</v>
      </c>
      <c r="F339" s="1">
        <f ca="1">IF(C339=1,OFFSET(控制台!$D$552,MATCH(A339,控制台!$B$552:$B$580,0)-1,0),OFFSET(控制台!$J$552,MATCH(A339,控制台!$H$552:$H$594,0)-1,0))</f>
        <v>15</v>
      </c>
      <c r="G339" s="1">
        <f ca="1">IF(C339=1,OFFSET(控制台!$I$599,MATCH(F339,控制台!$B$599:$B$615,0)-1,0),OFFSET(控制台!$I$618,MATCH(F339,控制台!$B$618:$B$636,0)-1,0))</f>
        <v>3</v>
      </c>
      <c r="H339" s="1">
        <f ca="1">IF(C339=1,OFFSET(控制台!$D$599,MATCH(F339,控制台!$B$599:$B$615,0)-1,0),OFFSET(控制台!$D$618,MATCH(F339,控制台!$B$618:$B$636,0)-1,0))</f>
        <v>1375200000</v>
      </c>
      <c r="I339" s="1">
        <f ca="1">IF(E339=1,H339/G339,IF(E339=5,H339/G339*OFFSET(控制台!$D$641,MATCH(B339,控制台!$B$641:$B$645,0)-1,0),H339/G339*OFFSET(控制台!$H$641,MATCH(B339,控制台!$F$641:$F$650,0)-1,0)))</f>
        <v>41672727.2727273</v>
      </c>
      <c r="J339" s="1">
        <f ca="1">$I339/3*控制台!H$102</f>
        <v>13890909.0909091</v>
      </c>
      <c r="K339" s="1">
        <f ca="1">$I339/3*控制台!I$102</f>
        <v>10418181.8181818</v>
      </c>
      <c r="L339" s="1">
        <f ca="1">$I339/3*控制台!J$102</f>
        <v>17363636.3636364</v>
      </c>
      <c r="M339" s="1">
        <f ca="1">_xlfn.FLOOR.MATH(J339,POWER(10,MAX(2,INT(LOG10(J339)-2))))</f>
        <v>13800000</v>
      </c>
      <c r="N339" s="1">
        <f ca="1">_xlfn.FLOOR.MATH(K339,POWER(10,MAX(2,INT(LOG10(K339)-2))))</f>
        <v>10400000</v>
      </c>
      <c r="O339" s="1">
        <f ca="1">_xlfn.FLOOR.MATH(L339,POWER(10,MAX(2,INT(LOG10(L339)-2))))</f>
        <v>17300000</v>
      </c>
      <c r="P339" s="4" t="str">
        <f ca="1" t="shared" si="15"/>
        <v>13800000;10400000;17300000</v>
      </c>
      <c r="Q339" s="15">
        <f ca="1">IF(C339=1,OFFSET(控制台!$H$599,MATCH(F339,控制台!$B$599:$B$615,0)-1,0),OFFSET(控制台!$H$618,MATCH(F339,控制台!$B$618:$B$636,0)-1,0))</f>
        <v>1596506.112</v>
      </c>
      <c r="R339" s="15">
        <f ca="1">IF(E339=1,Q339/G339,IF(E339=5,Q339/G339*OFFSET(控制台!$D$641,MATCH(B339,控制台!$B$641:$B$645,0)-1,0),Q339/G339*OFFSET(控制台!$H$641,MATCH(B339,控制台!$F$641:$F$650,0)-1,0)))</f>
        <v>48378.9730909091</v>
      </c>
      <c r="S339" s="16">
        <f ca="1">_xlfn.FLOOR.MATH(R339)*60</f>
        <v>2902680</v>
      </c>
      <c r="T339" s="16">
        <f ca="1">8000+IF(C339=1,OFFSET(控制台!$K$599,MATCH(F339,控制台!$B$599:$B$615,0)-1,0),OFFSET(控制台!$K$618,MATCH(F339,控制台!$B$618:$B$636,0)-1,0))</f>
        <v>8028</v>
      </c>
      <c r="U339" s="1">
        <f ca="1">IF(C339=1,OFFSET(控制台!$F$599,MATCH(F339,控制台!$B$599:$B$615,0)-1,0),OFFSET(控制台!$F$618,MATCH(F339,控制台!$B$618:$B$636,0)-1,0))</f>
        <v>796262.4</v>
      </c>
      <c r="V339" s="1">
        <f ca="1">IF(E339=1,U339/G339,IF(E339=5,U339/G339*OFFSET(控制台!$D$641,MATCH(B339,控制台!$B$641:$B$645,0)-1,0),U339/G339*OFFSET(控制台!$H$641,MATCH(B339,控制台!$F$641:$F$650,0)-1,0)))</f>
        <v>24129.1636363636</v>
      </c>
      <c r="W339" s="20">
        <f ca="1" t="shared" si="16"/>
        <v>16.7563636363636</v>
      </c>
      <c r="X339" s="15">
        <f ca="1">IF(C339=1,OFFSET(控制台!$U$599,MATCH(F339,控制台!$B$599:$B$615,0)-1,0),OFFSET(控制台!$U$618,MATCH(F339,控制台!$B$618:$B$636,0)-1,0))</f>
        <v>2446500</v>
      </c>
      <c r="Y339" s="16">
        <f ca="1">_xlfn.FLOOR.MATH(IF(E339=1,X339/G339,IF(E339=5,X339/G339*OFFSET(控制台!$D$641,MATCH(B339,控制台!$B$641:$B$645,0)-1,0),X339/G339*OFFSET(控制台!$H$641,MATCH(B339,控制台!$F$641:$F$650,0)-1,0))))</f>
        <v>74136</v>
      </c>
      <c r="Z339" s="16">
        <f ca="1" t="shared" si="17"/>
        <v>222406</v>
      </c>
    </row>
    <row r="340" spans="1:26">
      <c r="A340" s="1">
        <v>21501</v>
      </c>
      <c r="B340" s="1">
        <v>8</v>
      </c>
      <c r="C340" s="1">
        <v>2</v>
      </c>
      <c r="D340" s="1" t="s">
        <v>2836</v>
      </c>
      <c r="E340" s="1">
        <f ca="1">IF(C340=1,OFFSET(控制台!$F$552,MATCH(A340,控制台!$B$552:$B$580,0)-1,0),OFFSET(控制台!$L$552,MATCH(A340,控制台!$H$552:$H$594,0)-1,0))</f>
        <v>10</v>
      </c>
      <c r="F340" s="1">
        <f ca="1">IF(C340=1,OFFSET(控制台!$D$552,MATCH(A340,控制台!$B$552:$B$580,0)-1,0),OFFSET(控制台!$J$552,MATCH(A340,控制台!$H$552:$H$594,0)-1,0))</f>
        <v>15</v>
      </c>
      <c r="G340" s="1">
        <f ca="1">IF(C340=1,OFFSET(控制台!$I$599,MATCH(F340,控制台!$B$599:$B$615,0)-1,0),OFFSET(控制台!$I$618,MATCH(F340,控制台!$B$618:$B$636,0)-1,0))</f>
        <v>3</v>
      </c>
      <c r="H340" s="1">
        <f ca="1">IF(C340=1,OFFSET(控制台!$D$599,MATCH(F340,控制台!$B$599:$B$615,0)-1,0),OFFSET(控制台!$D$618,MATCH(F340,控制台!$B$618:$B$636,0)-1,0))</f>
        <v>1375200000</v>
      </c>
      <c r="I340" s="1">
        <f ca="1">IF(E340=1,H340/G340,IF(E340=5,H340/G340*OFFSET(控制台!$D$641,MATCH(B340,控制台!$B$641:$B$645,0)-1,0),H340/G340*OFFSET(控制台!$H$641,MATCH(B340,控制台!$F$641:$F$650,0)-1,0)))</f>
        <v>62509090.9090907</v>
      </c>
      <c r="J340" s="1">
        <f ca="1">$I340/3*控制台!H$102</f>
        <v>20836363.6363636</v>
      </c>
      <c r="K340" s="1">
        <f ca="1">$I340/3*控制台!I$102</f>
        <v>15627272.7272727</v>
      </c>
      <c r="L340" s="1">
        <f ca="1">$I340/3*控制台!J$102</f>
        <v>26045454.5454545</v>
      </c>
      <c r="M340" s="1">
        <f ca="1">_xlfn.FLOOR.MATH(J340,POWER(10,MAX(2,INT(LOG10(J340)-2))))</f>
        <v>20800000</v>
      </c>
      <c r="N340" s="1">
        <f ca="1">_xlfn.FLOOR.MATH(K340,POWER(10,MAX(2,INT(LOG10(K340)-2))))</f>
        <v>15600000</v>
      </c>
      <c r="O340" s="1">
        <f ca="1">_xlfn.FLOOR.MATH(L340,POWER(10,MAX(2,INT(LOG10(L340)-2))))</f>
        <v>26000000</v>
      </c>
      <c r="P340" s="4" t="str">
        <f ca="1" t="shared" si="15"/>
        <v>20800000;15600000;26000000</v>
      </c>
      <c r="Q340" s="15">
        <f ca="1">IF(C340=1,OFFSET(控制台!$H$599,MATCH(F340,控制台!$B$599:$B$615,0)-1,0),OFFSET(控制台!$H$618,MATCH(F340,控制台!$B$618:$B$636,0)-1,0))</f>
        <v>1596506.112</v>
      </c>
      <c r="R340" s="15">
        <f ca="1">IF(E340=1,Q340/G340,IF(E340=5,Q340/G340*OFFSET(控制台!$D$641,MATCH(B340,控制台!$B$641:$B$645,0)-1,0),Q340/G340*OFFSET(控制台!$H$641,MATCH(B340,控制台!$F$641:$F$650,0)-1,0)))</f>
        <v>72568.4596363634</v>
      </c>
      <c r="S340" s="16">
        <f ca="1">_xlfn.FLOOR.MATH(R340)*60</f>
        <v>4354080</v>
      </c>
      <c r="T340" s="16">
        <f ca="1">8000+IF(C340=1,OFFSET(控制台!$K$599,MATCH(F340,控制台!$B$599:$B$615,0)-1,0),OFFSET(控制台!$K$618,MATCH(F340,控制台!$B$618:$B$636,0)-1,0))</f>
        <v>8028</v>
      </c>
      <c r="U340" s="1">
        <f ca="1">IF(C340=1,OFFSET(控制台!$F$599,MATCH(F340,控制台!$B$599:$B$615,0)-1,0),OFFSET(控制台!$F$618,MATCH(F340,控制台!$B$618:$B$636,0)-1,0))</f>
        <v>796262.4</v>
      </c>
      <c r="V340" s="1">
        <f ca="1">IF(E340=1,U340/G340,IF(E340=5,U340/G340*OFFSET(控制台!$D$641,MATCH(B340,控制台!$B$641:$B$645,0)-1,0),U340/G340*OFFSET(控制台!$H$641,MATCH(B340,控制台!$F$641:$F$650,0)-1,0)))</f>
        <v>36193.7454545454</v>
      </c>
      <c r="W340" s="20">
        <f ca="1" t="shared" si="16"/>
        <v>25.1345454545454</v>
      </c>
      <c r="X340" s="15">
        <f ca="1">IF(C340=1,OFFSET(控制台!$U$599,MATCH(F340,控制台!$B$599:$B$615,0)-1,0),OFFSET(控制台!$U$618,MATCH(F340,控制台!$B$618:$B$636,0)-1,0))</f>
        <v>2446500</v>
      </c>
      <c r="Y340" s="16">
        <f ca="1">_xlfn.FLOOR.MATH(IF(E340=1,X340/G340,IF(E340=5,X340/G340*OFFSET(控制台!$D$641,MATCH(B340,控制台!$B$641:$B$645,0)-1,0),X340/G340*OFFSET(控制台!$H$641,MATCH(B340,控制台!$F$641:$F$650,0)-1,0))))</f>
        <v>111204</v>
      </c>
      <c r="Z340" s="16">
        <f ca="1" t="shared" si="17"/>
        <v>333610</v>
      </c>
    </row>
    <row r="341" spans="1:26">
      <c r="A341" s="1">
        <v>21501</v>
      </c>
      <c r="B341" s="1">
        <v>9</v>
      </c>
      <c r="C341" s="1">
        <v>2</v>
      </c>
      <c r="D341" s="1" t="s">
        <v>2836</v>
      </c>
      <c r="E341" s="1">
        <f ca="1">IF(C341=1,OFFSET(控制台!$F$552,MATCH(A341,控制台!$B$552:$B$580,0)-1,0),OFFSET(控制台!$L$552,MATCH(A341,控制台!$H$552:$H$594,0)-1,0))</f>
        <v>10</v>
      </c>
      <c r="F341" s="1">
        <f ca="1">IF(C341=1,OFFSET(控制台!$D$552,MATCH(A341,控制台!$B$552:$B$580,0)-1,0),OFFSET(控制台!$J$552,MATCH(A341,控制台!$H$552:$H$594,0)-1,0))</f>
        <v>15</v>
      </c>
      <c r="G341" s="1">
        <f ca="1">IF(C341=1,OFFSET(控制台!$I$599,MATCH(F341,控制台!$B$599:$B$615,0)-1,0),OFFSET(控制台!$I$618,MATCH(F341,控制台!$B$618:$B$636,0)-1,0))</f>
        <v>3</v>
      </c>
      <c r="H341" s="1">
        <f ca="1">IF(C341=1,OFFSET(控制台!$D$599,MATCH(F341,控制台!$B$599:$B$615,0)-1,0),OFFSET(控制台!$D$618,MATCH(F341,控制台!$B$618:$B$636,0)-1,0))</f>
        <v>1375200000</v>
      </c>
      <c r="I341" s="1">
        <f ca="1">IF(E341=1,H341/G341,IF(E341=5,H341/G341*OFFSET(控制台!$D$641,MATCH(B341,控制台!$B$641:$B$645,0)-1,0),H341/G341*OFFSET(控制台!$H$641,MATCH(B341,控制台!$F$641:$F$650,0)-1,0)))</f>
        <v>104181818.181818</v>
      </c>
      <c r="J341" s="1">
        <f ca="1">$I341/3*控制台!H$102</f>
        <v>34727272.7272727</v>
      </c>
      <c r="K341" s="1">
        <f ca="1">$I341/3*控制台!I$102</f>
        <v>26045454.5454545</v>
      </c>
      <c r="L341" s="1">
        <f ca="1">$I341/3*控制台!J$102</f>
        <v>43409090.9090909</v>
      </c>
      <c r="M341" s="1">
        <f ca="1">_xlfn.FLOOR.MATH(J341,POWER(10,MAX(2,INT(LOG10(J341)-2))))</f>
        <v>34700000</v>
      </c>
      <c r="N341" s="1">
        <f ca="1">_xlfn.FLOOR.MATH(K341,POWER(10,MAX(2,INT(LOG10(K341)-2))))</f>
        <v>26000000</v>
      </c>
      <c r="O341" s="1">
        <f ca="1">_xlfn.FLOOR.MATH(L341,POWER(10,MAX(2,INT(LOG10(L341)-2))))</f>
        <v>43400000</v>
      </c>
      <c r="P341" s="4" t="str">
        <f ca="1" t="shared" si="15"/>
        <v>34700000;26000000;43400000</v>
      </c>
      <c r="Q341" s="15">
        <f ca="1">IF(C341=1,OFFSET(控制台!$H$599,MATCH(F341,控制台!$B$599:$B$615,0)-1,0),OFFSET(控制台!$H$618,MATCH(F341,控制台!$B$618:$B$636,0)-1,0))</f>
        <v>1596506.112</v>
      </c>
      <c r="R341" s="15">
        <f ca="1">IF(E341=1,Q341/G341,IF(E341=5,Q341/G341*OFFSET(控制台!$D$641,MATCH(B341,控制台!$B$641:$B$645,0)-1,0),Q341/G341*OFFSET(控制台!$H$641,MATCH(B341,控制台!$F$641:$F$650,0)-1,0)))</f>
        <v>120947.432727273</v>
      </c>
      <c r="S341" s="16">
        <f ca="1">_xlfn.FLOOR.MATH(R341)*60</f>
        <v>7256820</v>
      </c>
      <c r="T341" s="16">
        <f ca="1">8000+IF(C341=1,OFFSET(控制台!$K$599,MATCH(F341,控制台!$B$599:$B$615,0)-1,0),OFFSET(控制台!$K$618,MATCH(F341,控制台!$B$618:$B$636,0)-1,0))</f>
        <v>8028</v>
      </c>
      <c r="U341" s="1">
        <f ca="1">IF(C341=1,OFFSET(控制台!$F$599,MATCH(F341,控制台!$B$599:$B$615,0)-1,0),OFFSET(控制台!$F$618,MATCH(F341,控制台!$B$618:$B$636,0)-1,0))</f>
        <v>796262.4</v>
      </c>
      <c r="V341" s="1">
        <f ca="1">IF(E341=1,U341/G341,IF(E341=5,U341/G341*OFFSET(控制台!$D$641,MATCH(B341,控制台!$B$641:$B$645,0)-1,0),U341/G341*OFFSET(控制台!$H$641,MATCH(B341,控制台!$F$641:$F$650,0)-1,0)))</f>
        <v>60322.909090909</v>
      </c>
      <c r="W341" s="20">
        <f ca="1" t="shared" si="16"/>
        <v>41.890909090909</v>
      </c>
      <c r="X341" s="15">
        <f ca="1">IF(C341=1,OFFSET(控制台!$U$599,MATCH(F341,控制台!$B$599:$B$615,0)-1,0),OFFSET(控制台!$U$618,MATCH(F341,控制台!$B$618:$B$636,0)-1,0))</f>
        <v>2446500</v>
      </c>
      <c r="Y341" s="16">
        <f ca="1">_xlfn.FLOOR.MATH(IF(E341=1,X341/G341,IF(E341=5,X341/G341*OFFSET(控制台!$D$641,MATCH(B341,控制台!$B$641:$B$645,0)-1,0),X341/G341*OFFSET(控制台!$H$641,MATCH(B341,控制台!$F$641:$F$650,0)-1,0))))</f>
        <v>185340</v>
      </c>
      <c r="Z341" s="16">
        <f ca="1" t="shared" si="17"/>
        <v>518950</v>
      </c>
    </row>
    <row r="342" spans="1:26">
      <c r="A342" s="1">
        <v>21501</v>
      </c>
      <c r="B342" s="1">
        <v>10</v>
      </c>
      <c r="C342" s="1">
        <v>2</v>
      </c>
      <c r="D342" s="1" t="s">
        <v>2836</v>
      </c>
      <c r="E342" s="1">
        <f ca="1">IF(C342=1,OFFSET(控制台!$F$552,MATCH(A342,控制台!$B$552:$B$580,0)-1,0),OFFSET(控制台!$L$552,MATCH(A342,控制台!$H$552:$H$594,0)-1,0))</f>
        <v>10</v>
      </c>
      <c r="F342" s="1">
        <f ca="1">IF(C342=1,OFFSET(控制台!$D$552,MATCH(A342,控制台!$B$552:$B$580,0)-1,0),OFFSET(控制台!$J$552,MATCH(A342,控制台!$H$552:$H$594,0)-1,0))</f>
        <v>15</v>
      </c>
      <c r="G342" s="1">
        <f ca="1">IF(C342=1,OFFSET(控制台!$I$599,MATCH(F342,控制台!$B$599:$B$615,0)-1,0),OFFSET(控制台!$I$618,MATCH(F342,控制台!$B$618:$B$636,0)-1,0))</f>
        <v>3</v>
      </c>
      <c r="H342" s="1">
        <f ca="1">IF(C342=1,OFFSET(控制台!$D$599,MATCH(F342,控制台!$B$599:$B$615,0)-1,0),OFFSET(控制台!$D$618,MATCH(F342,控制台!$B$618:$B$636,0)-1,0))</f>
        <v>1375200000</v>
      </c>
      <c r="I342" s="1">
        <f ca="1">IF(E342=1,H342/G342,IF(E342=5,H342/G342*OFFSET(控制台!$D$641,MATCH(B342,控制台!$B$641:$B$645,0)-1,0),H342/G342*OFFSET(控制台!$H$641,MATCH(B342,控制台!$F$641:$F$650,0)-1,0)))</f>
        <v>166690909.090909</v>
      </c>
      <c r="J342" s="1">
        <f ca="1">$I342/3*控制台!H$102</f>
        <v>55563636.3636364</v>
      </c>
      <c r="K342" s="1">
        <f ca="1">$I342/3*控制台!I$102</f>
        <v>41672727.2727273</v>
      </c>
      <c r="L342" s="1">
        <f ca="1">$I342/3*控制台!J$102</f>
        <v>69454545.4545455</v>
      </c>
      <c r="M342" s="1">
        <f ca="1">_xlfn.FLOOR.MATH(J342,POWER(10,MAX(2,INT(LOG10(J342)-2))))</f>
        <v>55500000</v>
      </c>
      <c r="N342" s="1">
        <f ca="1">_xlfn.FLOOR.MATH(K342,POWER(10,MAX(2,INT(LOG10(K342)-2))))</f>
        <v>41600000</v>
      </c>
      <c r="O342" s="1">
        <f ca="1">_xlfn.FLOOR.MATH(L342,POWER(10,MAX(2,INT(LOG10(L342)-2))))</f>
        <v>69400000</v>
      </c>
      <c r="P342" s="4" t="str">
        <f ca="1" t="shared" si="15"/>
        <v>55500000;41600000;69400000</v>
      </c>
      <c r="Q342" s="15">
        <f ca="1">IF(C342=1,OFFSET(控制台!$H$599,MATCH(F342,控制台!$B$599:$B$615,0)-1,0),OFFSET(控制台!$H$618,MATCH(F342,控制台!$B$618:$B$636,0)-1,0))</f>
        <v>1596506.112</v>
      </c>
      <c r="R342" s="15">
        <f ca="1">IF(E342=1,Q342/G342,IF(E342=5,Q342/G342*OFFSET(控制台!$D$641,MATCH(B342,控制台!$B$641:$B$645,0)-1,0),Q342/G342*OFFSET(控制台!$H$641,MATCH(B342,控制台!$F$641:$F$650,0)-1,0)))</f>
        <v>193515.892363637</v>
      </c>
      <c r="S342" s="16">
        <f ca="1">_xlfn.FLOOR.MATH(R342)*60</f>
        <v>11610900</v>
      </c>
      <c r="T342" s="16">
        <f ca="1">8000+IF(C342=1,OFFSET(控制台!$K$599,MATCH(F342,控制台!$B$599:$B$615,0)-1,0),OFFSET(控制台!$K$618,MATCH(F342,控制台!$B$618:$B$636,0)-1,0))</f>
        <v>8028</v>
      </c>
      <c r="U342" s="1">
        <f ca="1">IF(C342=1,OFFSET(控制台!$F$599,MATCH(F342,控制台!$B$599:$B$615,0)-1,0),OFFSET(控制台!$F$618,MATCH(F342,控制台!$B$618:$B$636,0)-1,0))</f>
        <v>796262.4</v>
      </c>
      <c r="V342" s="1">
        <f ca="1">IF(E342=1,U342/G342,IF(E342=5,U342/G342*OFFSET(控制台!$D$641,MATCH(B342,控制台!$B$641:$B$645,0)-1,0),U342/G342*OFFSET(控制台!$H$641,MATCH(B342,控制台!$F$641:$F$650,0)-1,0)))</f>
        <v>96516.6545454546</v>
      </c>
      <c r="W342" s="20">
        <f ca="1" t="shared" si="16"/>
        <v>67.0254545454546</v>
      </c>
      <c r="X342" s="15">
        <f ca="1">IF(C342=1,OFFSET(控制台!$U$599,MATCH(F342,控制台!$B$599:$B$615,0)-1,0),OFFSET(控制台!$U$618,MATCH(F342,控制台!$B$618:$B$636,0)-1,0))</f>
        <v>2446500</v>
      </c>
      <c r="Y342" s="16">
        <f ca="1">_xlfn.FLOOR.MATH(IF(E342=1,X342/G342,IF(E342=5,X342/G342*OFFSET(控制台!$D$641,MATCH(B342,控制台!$B$641:$B$645,0)-1,0),X342/G342*OFFSET(控制台!$H$641,MATCH(B342,控制台!$F$641:$F$650,0)-1,0))))</f>
        <v>296545</v>
      </c>
      <c r="Z342" s="16">
        <f ca="1" t="shared" si="17"/>
        <v>815495</v>
      </c>
    </row>
    <row r="343" spans="1:26">
      <c r="A343" s="1">
        <v>21502</v>
      </c>
      <c r="B343" s="1">
        <v>1</v>
      </c>
      <c r="C343" s="1">
        <v>2</v>
      </c>
      <c r="D343" s="1" t="s">
        <v>2837</v>
      </c>
      <c r="E343" s="1">
        <f ca="1">IF(C343=1,OFFSET(控制台!$F$552,MATCH(A343,控制台!$B$552:$B$580,0)-1,0),OFFSET(控制台!$L$552,MATCH(A343,控制台!$H$552:$H$594,0)-1,0))</f>
        <v>10</v>
      </c>
      <c r="F343" s="1">
        <f ca="1">IF(C343=1,OFFSET(控制台!$D$552,MATCH(A343,控制台!$B$552:$B$580,0)-1,0),OFFSET(控制台!$J$552,MATCH(A343,控制台!$H$552:$H$594,0)-1,0))</f>
        <v>15</v>
      </c>
      <c r="G343" s="1">
        <f ca="1">IF(C343=1,OFFSET(控制台!$I$599,MATCH(F343,控制台!$B$599:$B$615,0)-1,0),OFFSET(控制台!$I$618,MATCH(F343,控制台!$B$618:$B$636,0)-1,0))</f>
        <v>3</v>
      </c>
      <c r="H343" s="1">
        <f ca="1">IF(C343=1,OFFSET(控制台!$D$599,MATCH(F343,控制台!$B$599:$B$615,0)-1,0),OFFSET(控制台!$D$618,MATCH(F343,控制台!$B$618:$B$636,0)-1,0))</f>
        <v>1375200000</v>
      </c>
      <c r="I343" s="1">
        <f ca="1">IF(E343=1,H343/G343,IF(E343=5,H343/G343*OFFSET(控制台!$D$641,MATCH(B343,控制台!$B$641:$B$645,0)-1,0),H343/G343*OFFSET(控制台!$H$641,MATCH(B343,控制台!$F$641:$F$650,0)-1,0)))</f>
        <v>4167272.72727273</v>
      </c>
      <c r="J343" s="1">
        <f ca="1">$I343/3*控制台!H$102</f>
        <v>1389090.90909091</v>
      </c>
      <c r="K343" s="1">
        <f ca="1">$I343/3*控制台!I$102</f>
        <v>1041818.18181818</v>
      </c>
      <c r="L343" s="1">
        <f ca="1">$I343/3*控制台!J$102</f>
        <v>1736363.63636364</v>
      </c>
      <c r="M343" s="1">
        <f ca="1">_xlfn.FLOOR.MATH(J343,POWER(10,MAX(2,INT(LOG10(J343)-2))))</f>
        <v>1380000</v>
      </c>
      <c r="N343" s="1">
        <f ca="1">_xlfn.FLOOR.MATH(K343,POWER(10,MAX(2,INT(LOG10(K343)-2))))</f>
        <v>1040000</v>
      </c>
      <c r="O343" s="1">
        <f ca="1">_xlfn.FLOOR.MATH(L343,POWER(10,MAX(2,INT(LOG10(L343)-2))))</f>
        <v>1730000</v>
      </c>
      <c r="P343" s="4" t="str">
        <f ca="1" t="shared" si="15"/>
        <v>1380000;1040000;1730000</v>
      </c>
      <c r="Q343" s="15">
        <f ca="1">IF(C343=1,OFFSET(控制台!$H$599,MATCH(F343,控制台!$B$599:$B$615,0)-1,0),OFFSET(控制台!$H$618,MATCH(F343,控制台!$B$618:$B$636,0)-1,0))</f>
        <v>1596506.112</v>
      </c>
      <c r="R343" s="15">
        <f ca="1">IF(E343=1,Q343/G343,IF(E343=5,Q343/G343*OFFSET(控制台!$D$641,MATCH(B343,控制台!$B$641:$B$645,0)-1,0),Q343/G343*OFFSET(控制台!$H$641,MATCH(B343,控制台!$F$641:$F$650,0)-1,0)))</f>
        <v>4837.89730909091</v>
      </c>
      <c r="S343" s="16">
        <f ca="1">_xlfn.FLOOR.MATH(R343)*60</f>
        <v>290220</v>
      </c>
      <c r="T343" s="16">
        <f ca="1">8000+IF(C343=1,OFFSET(控制台!$K$599,MATCH(F343,控制台!$B$599:$B$615,0)-1,0),OFFSET(控制台!$K$618,MATCH(F343,控制台!$B$618:$B$636,0)-1,0))</f>
        <v>8028</v>
      </c>
      <c r="U343" s="1">
        <f ca="1">IF(C343=1,OFFSET(控制台!$F$599,MATCH(F343,控制台!$B$599:$B$615,0)-1,0),OFFSET(控制台!$F$618,MATCH(F343,控制台!$B$618:$B$636,0)-1,0))</f>
        <v>796262.4</v>
      </c>
      <c r="V343" s="1">
        <f ca="1">IF(E343=1,U343/G343,IF(E343=5,U343/G343*OFFSET(控制台!$D$641,MATCH(B343,控制台!$B$641:$B$645,0)-1,0),U343/G343*OFFSET(控制台!$H$641,MATCH(B343,控制台!$F$641:$F$650,0)-1,0)))</f>
        <v>2412.91636363636</v>
      </c>
      <c r="W343" s="20">
        <f ca="1" t="shared" si="16"/>
        <v>1.67563636363636</v>
      </c>
      <c r="X343" s="15">
        <f ca="1">IF(C343=1,OFFSET(控制台!$U$599,MATCH(F343,控制台!$B$599:$B$615,0)-1,0),OFFSET(控制台!$U$618,MATCH(F343,控制台!$B$618:$B$636,0)-1,0))</f>
        <v>2446500</v>
      </c>
      <c r="Y343" s="16">
        <f ca="1">_xlfn.FLOOR.MATH(IF(E343=1,X343/G343,IF(E343=5,X343/G343*OFFSET(控制台!$D$641,MATCH(B343,控制台!$B$641:$B$645,0)-1,0),X343/G343*OFFSET(控制台!$H$641,MATCH(B343,控制台!$F$641:$F$650,0)-1,0))))</f>
        <v>7413</v>
      </c>
      <c r="Z343" s="16">
        <f ca="1" t="shared" si="17"/>
        <v>7413</v>
      </c>
    </row>
    <row r="344" spans="1:26">
      <c r="A344" s="1">
        <v>21502</v>
      </c>
      <c r="B344" s="1">
        <v>2</v>
      </c>
      <c r="C344" s="1">
        <v>2</v>
      </c>
      <c r="D344" s="1" t="s">
        <v>2837</v>
      </c>
      <c r="E344" s="1">
        <f ca="1">IF(C344=1,OFFSET(控制台!$F$552,MATCH(A344,控制台!$B$552:$B$580,0)-1,0),OFFSET(控制台!$L$552,MATCH(A344,控制台!$H$552:$H$594,0)-1,0))</f>
        <v>10</v>
      </c>
      <c r="F344" s="1">
        <f ca="1">IF(C344=1,OFFSET(控制台!$D$552,MATCH(A344,控制台!$B$552:$B$580,0)-1,0),OFFSET(控制台!$J$552,MATCH(A344,控制台!$H$552:$H$594,0)-1,0))</f>
        <v>15</v>
      </c>
      <c r="G344" s="1">
        <f ca="1">IF(C344=1,OFFSET(控制台!$I$599,MATCH(F344,控制台!$B$599:$B$615,0)-1,0),OFFSET(控制台!$I$618,MATCH(F344,控制台!$B$618:$B$636,0)-1,0))</f>
        <v>3</v>
      </c>
      <c r="H344" s="1">
        <f ca="1">IF(C344=1,OFFSET(控制台!$D$599,MATCH(F344,控制台!$B$599:$B$615,0)-1,0),OFFSET(控制台!$D$618,MATCH(F344,控制台!$B$618:$B$636,0)-1,0))</f>
        <v>1375200000</v>
      </c>
      <c r="I344" s="1">
        <f ca="1">IF(E344=1,H344/G344,IF(E344=5,H344/G344*OFFSET(控制台!$D$641,MATCH(B344,控制台!$B$641:$B$645,0)-1,0),H344/G344*OFFSET(控制台!$H$641,MATCH(B344,控制台!$F$641:$F$650,0)-1,0)))</f>
        <v>6250909.09090907</v>
      </c>
      <c r="J344" s="1">
        <f ca="1">$I344/3*控制台!H$102</f>
        <v>2083636.36363636</v>
      </c>
      <c r="K344" s="1">
        <f ca="1">$I344/3*控制台!I$102</f>
        <v>1562727.27272727</v>
      </c>
      <c r="L344" s="1">
        <f ca="1">$I344/3*控制台!J$102</f>
        <v>2604545.45454545</v>
      </c>
      <c r="M344" s="1">
        <f ca="1">_xlfn.FLOOR.MATH(J344,POWER(10,MAX(2,INT(LOG10(J344)-2))))</f>
        <v>2080000</v>
      </c>
      <c r="N344" s="1">
        <f ca="1">_xlfn.FLOOR.MATH(K344,POWER(10,MAX(2,INT(LOG10(K344)-2))))</f>
        <v>1560000</v>
      </c>
      <c r="O344" s="1">
        <f ca="1">_xlfn.FLOOR.MATH(L344,POWER(10,MAX(2,INT(LOG10(L344)-2))))</f>
        <v>2600000</v>
      </c>
      <c r="P344" s="4" t="str">
        <f ca="1" t="shared" si="15"/>
        <v>2080000;1560000;2600000</v>
      </c>
      <c r="Q344" s="15">
        <f ca="1">IF(C344=1,OFFSET(控制台!$H$599,MATCH(F344,控制台!$B$599:$B$615,0)-1,0),OFFSET(控制台!$H$618,MATCH(F344,控制台!$B$618:$B$636,0)-1,0))</f>
        <v>1596506.112</v>
      </c>
      <c r="R344" s="15">
        <f ca="1">IF(E344=1,Q344/G344,IF(E344=5,Q344/G344*OFFSET(控制台!$D$641,MATCH(B344,控制台!$B$641:$B$645,0)-1,0),Q344/G344*OFFSET(控制台!$H$641,MATCH(B344,控制台!$F$641:$F$650,0)-1,0)))</f>
        <v>7256.84596363634</v>
      </c>
      <c r="S344" s="16">
        <f ca="1">_xlfn.FLOOR.MATH(R344)*60</f>
        <v>435360</v>
      </c>
      <c r="T344" s="16">
        <f ca="1">8000+IF(C344=1,OFFSET(控制台!$K$599,MATCH(F344,控制台!$B$599:$B$615,0)-1,0),OFFSET(控制台!$K$618,MATCH(F344,控制台!$B$618:$B$636,0)-1,0))</f>
        <v>8028</v>
      </c>
      <c r="U344" s="1">
        <f ca="1">IF(C344=1,OFFSET(控制台!$F$599,MATCH(F344,控制台!$B$599:$B$615,0)-1,0),OFFSET(控制台!$F$618,MATCH(F344,控制台!$B$618:$B$636,0)-1,0))</f>
        <v>796262.4</v>
      </c>
      <c r="V344" s="1">
        <f ca="1">IF(E344=1,U344/G344,IF(E344=5,U344/G344*OFFSET(控制台!$D$641,MATCH(B344,控制台!$B$641:$B$645,0)-1,0),U344/G344*OFFSET(控制台!$H$641,MATCH(B344,控制台!$F$641:$F$650,0)-1,0)))</f>
        <v>3619.37454545454</v>
      </c>
      <c r="W344" s="20">
        <f ca="1" t="shared" si="16"/>
        <v>2.51345454545454</v>
      </c>
      <c r="X344" s="15">
        <f ca="1">IF(C344=1,OFFSET(控制台!$U$599,MATCH(F344,控制台!$B$599:$B$615,0)-1,0),OFFSET(控制台!$U$618,MATCH(F344,控制台!$B$618:$B$636,0)-1,0))</f>
        <v>2446500</v>
      </c>
      <c r="Y344" s="16">
        <f ca="1">_xlfn.FLOOR.MATH(IF(E344=1,X344/G344,IF(E344=5,X344/G344*OFFSET(控制台!$D$641,MATCH(B344,控制台!$B$641:$B$645,0)-1,0),X344/G344*OFFSET(控制台!$H$641,MATCH(B344,控制台!$F$641:$F$650,0)-1,0))))</f>
        <v>11120</v>
      </c>
      <c r="Z344" s="16">
        <f ca="1" t="shared" si="17"/>
        <v>18533</v>
      </c>
    </row>
    <row r="345" spans="1:26">
      <c r="A345" s="1">
        <v>21502</v>
      </c>
      <c r="B345" s="1">
        <v>3</v>
      </c>
      <c r="C345" s="1">
        <v>2</v>
      </c>
      <c r="D345" s="1" t="s">
        <v>2837</v>
      </c>
      <c r="E345" s="1">
        <f ca="1">IF(C345=1,OFFSET(控制台!$F$552,MATCH(A345,控制台!$B$552:$B$580,0)-1,0),OFFSET(控制台!$L$552,MATCH(A345,控制台!$H$552:$H$594,0)-1,0))</f>
        <v>10</v>
      </c>
      <c r="F345" s="1">
        <f ca="1">IF(C345=1,OFFSET(控制台!$D$552,MATCH(A345,控制台!$B$552:$B$580,0)-1,0),OFFSET(控制台!$J$552,MATCH(A345,控制台!$H$552:$H$594,0)-1,0))</f>
        <v>15</v>
      </c>
      <c r="G345" s="1">
        <f ca="1">IF(C345=1,OFFSET(控制台!$I$599,MATCH(F345,控制台!$B$599:$B$615,0)-1,0),OFFSET(控制台!$I$618,MATCH(F345,控制台!$B$618:$B$636,0)-1,0))</f>
        <v>3</v>
      </c>
      <c r="H345" s="1">
        <f ca="1">IF(C345=1,OFFSET(控制台!$D$599,MATCH(F345,控制台!$B$599:$B$615,0)-1,0),OFFSET(控制台!$D$618,MATCH(F345,控制台!$B$618:$B$636,0)-1,0))</f>
        <v>1375200000</v>
      </c>
      <c r="I345" s="1">
        <f ca="1">IF(E345=1,H345/G345,IF(E345=5,H345/G345*OFFSET(控制台!$D$641,MATCH(B345,控制台!$B$641:$B$645,0)-1,0),H345/G345*OFFSET(控制台!$H$641,MATCH(B345,控制台!$F$641:$F$650,0)-1,0)))</f>
        <v>8334545.45454546</v>
      </c>
      <c r="J345" s="1">
        <f ca="1">$I345/3*控制台!H$102</f>
        <v>2778181.81818182</v>
      </c>
      <c r="K345" s="1">
        <f ca="1">$I345/3*控制台!I$102</f>
        <v>2083636.36363637</v>
      </c>
      <c r="L345" s="1">
        <f ca="1">$I345/3*控制台!J$102</f>
        <v>3472727.27272728</v>
      </c>
      <c r="M345" s="1">
        <f ca="1">_xlfn.FLOOR.MATH(J345,POWER(10,MAX(2,INT(LOG10(J345)-2))))</f>
        <v>2770000</v>
      </c>
      <c r="N345" s="1">
        <f ca="1">_xlfn.FLOOR.MATH(K345,POWER(10,MAX(2,INT(LOG10(K345)-2))))</f>
        <v>2080000</v>
      </c>
      <c r="O345" s="1">
        <f ca="1">_xlfn.FLOOR.MATH(L345,POWER(10,MAX(2,INT(LOG10(L345)-2))))</f>
        <v>3470000</v>
      </c>
      <c r="P345" s="4" t="str">
        <f ca="1" t="shared" si="15"/>
        <v>2770000;2080000;3470000</v>
      </c>
      <c r="Q345" s="15">
        <f ca="1">IF(C345=1,OFFSET(控制台!$H$599,MATCH(F345,控制台!$B$599:$B$615,0)-1,0),OFFSET(控制台!$H$618,MATCH(F345,控制台!$B$618:$B$636,0)-1,0))</f>
        <v>1596506.112</v>
      </c>
      <c r="R345" s="15">
        <f ca="1">IF(E345=1,Q345/G345,IF(E345=5,Q345/G345*OFFSET(控制台!$D$641,MATCH(B345,控制台!$B$641:$B$645,0)-1,0),Q345/G345*OFFSET(控制台!$H$641,MATCH(B345,控制台!$F$641:$F$650,0)-1,0)))</f>
        <v>9675.79461818183</v>
      </c>
      <c r="S345" s="16">
        <f ca="1">_xlfn.FLOOR.MATH(R345)*60</f>
        <v>580500</v>
      </c>
      <c r="T345" s="16">
        <f ca="1">8000+IF(C345=1,OFFSET(控制台!$K$599,MATCH(F345,控制台!$B$599:$B$615,0)-1,0),OFFSET(控制台!$K$618,MATCH(F345,控制台!$B$618:$B$636,0)-1,0))</f>
        <v>8028</v>
      </c>
      <c r="U345" s="1">
        <f ca="1">IF(C345=1,OFFSET(控制台!$F$599,MATCH(F345,控制台!$B$599:$B$615,0)-1,0),OFFSET(控制台!$F$618,MATCH(F345,控制台!$B$618:$B$636,0)-1,0))</f>
        <v>796262.4</v>
      </c>
      <c r="V345" s="1">
        <f ca="1">IF(E345=1,U345/G345,IF(E345=5,U345/G345*OFFSET(控制台!$D$641,MATCH(B345,控制台!$B$641:$B$645,0)-1,0),U345/G345*OFFSET(控制台!$H$641,MATCH(B345,控制台!$F$641:$F$650,0)-1,0)))</f>
        <v>4825.83272727273</v>
      </c>
      <c r="W345" s="20">
        <f ca="1" t="shared" si="16"/>
        <v>3.35127272727273</v>
      </c>
      <c r="X345" s="15">
        <f ca="1">IF(C345=1,OFFSET(控制台!$U$599,MATCH(F345,控制台!$B$599:$B$615,0)-1,0),OFFSET(控制台!$U$618,MATCH(F345,控制台!$B$618:$B$636,0)-1,0))</f>
        <v>2446500</v>
      </c>
      <c r="Y345" s="16">
        <f ca="1">_xlfn.FLOOR.MATH(IF(E345=1,X345/G345,IF(E345=5,X345/G345*OFFSET(控制台!$D$641,MATCH(B345,控制台!$B$641:$B$645,0)-1,0),X345/G345*OFFSET(控制台!$H$641,MATCH(B345,控制台!$F$641:$F$650,0)-1,0))))</f>
        <v>14827</v>
      </c>
      <c r="Z345" s="16">
        <f ca="1" t="shared" si="17"/>
        <v>33360</v>
      </c>
    </row>
    <row r="346" spans="1:26">
      <c r="A346" s="1">
        <v>21502</v>
      </c>
      <c r="B346" s="1">
        <v>4</v>
      </c>
      <c r="C346" s="1">
        <v>2</v>
      </c>
      <c r="D346" s="1" t="s">
        <v>2837</v>
      </c>
      <c r="E346" s="1">
        <f ca="1">IF(C346=1,OFFSET(控制台!$F$552,MATCH(A346,控制台!$B$552:$B$580,0)-1,0),OFFSET(控制台!$L$552,MATCH(A346,控制台!$H$552:$H$594,0)-1,0))</f>
        <v>10</v>
      </c>
      <c r="F346" s="1">
        <f ca="1">IF(C346=1,OFFSET(控制台!$D$552,MATCH(A346,控制台!$B$552:$B$580,0)-1,0),OFFSET(控制台!$J$552,MATCH(A346,控制台!$H$552:$H$594,0)-1,0))</f>
        <v>15</v>
      </c>
      <c r="G346" s="1">
        <f ca="1">IF(C346=1,OFFSET(控制台!$I$599,MATCH(F346,控制台!$B$599:$B$615,0)-1,0),OFFSET(控制台!$I$618,MATCH(F346,控制台!$B$618:$B$636,0)-1,0))</f>
        <v>3</v>
      </c>
      <c r="H346" s="1">
        <f ca="1">IF(C346=1,OFFSET(控制台!$D$599,MATCH(F346,控制台!$B$599:$B$615,0)-1,0),OFFSET(控制台!$D$618,MATCH(F346,控制台!$B$618:$B$636,0)-1,0))</f>
        <v>1375200000</v>
      </c>
      <c r="I346" s="1">
        <f ca="1">IF(E346=1,H346/G346,IF(E346=5,H346/G346*OFFSET(控制台!$D$641,MATCH(B346,控制台!$B$641:$B$645,0)-1,0),H346/G346*OFFSET(控制台!$H$641,MATCH(B346,控制台!$F$641:$F$650,0)-1,0)))</f>
        <v>12501818.1818182</v>
      </c>
      <c r="J346" s="1">
        <f ca="1">$I346/3*控制台!H$102</f>
        <v>4167272.72727273</v>
      </c>
      <c r="K346" s="1">
        <f ca="1">$I346/3*控制台!I$102</f>
        <v>3125454.54545455</v>
      </c>
      <c r="L346" s="1">
        <f ca="1">$I346/3*控制台!J$102</f>
        <v>5209090.90909091</v>
      </c>
      <c r="M346" s="1">
        <f ca="1">_xlfn.FLOOR.MATH(J346,POWER(10,MAX(2,INT(LOG10(J346)-2))))</f>
        <v>4160000</v>
      </c>
      <c r="N346" s="1">
        <f ca="1">_xlfn.FLOOR.MATH(K346,POWER(10,MAX(2,INT(LOG10(K346)-2))))</f>
        <v>3120000</v>
      </c>
      <c r="O346" s="1">
        <f ca="1">_xlfn.FLOOR.MATH(L346,POWER(10,MAX(2,INT(LOG10(L346)-2))))</f>
        <v>5200000</v>
      </c>
      <c r="P346" s="4" t="str">
        <f ca="1" t="shared" si="15"/>
        <v>4160000;3120000;5200000</v>
      </c>
      <c r="Q346" s="15">
        <f ca="1">IF(C346=1,OFFSET(控制台!$H$599,MATCH(F346,控制台!$B$599:$B$615,0)-1,0),OFFSET(控制台!$H$618,MATCH(F346,控制台!$B$618:$B$636,0)-1,0))</f>
        <v>1596506.112</v>
      </c>
      <c r="R346" s="15">
        <f ca="1">IF(E346=1,Q346/G346,IF(E346=5,Q346/G346*OFFSET(控制台!$D$641,MATCH(B346,控制台!$B$641:$B$645,0)-1,0),Q346/G346*OFFSET(控制台!$H$641,MATCH(B346,控制台!$F$641:$F$650,0)-1,0)))</f>
        <v>14513.6919272727</v>
      </c>
      <c r="S346" s="16">
        <f ca="1">_xlfn.FLOOR.MATH(R346)*60</f>
        <v>870780</v>
      </c>
      <c r="T346" s="16">
        <f ca="1">8000+IF(C346=1,OFFSET(控制台!$K$599,MATCH(F346,控制台!$B$599:$B$615,0)-1,0),OFFSET(控制台!$K$618,MATCH(F346,控制台!$B$618:$B$636,0)-1,0))</f>
        <v>8028</v>
      </c>
      <c r="U346" s="1">
        <f ca="1">IF(C346=1,OFFSET(控制台!$F$599,MATCH(F346,控制台!$B$599:$B$615,0)-1,0),OFFSET(控制台!$F$618,MATCH(F346,控制台!$B$618:$B$636,0)-1,0))</f>
        <v>796262.4</v>
      </c>
      <c r="V346" s="1">
        <f ca="1">IF(E346=1,U346/G346,IF(E346=5,U346/G346*OFFSET(控制台!$D$641,MATCH(B346,控制台!$B$641:$B$645,0)-1,0),U346/G346*OFFSET(控制台!$H$641,MATCH(B346,控制台!$F$641:$F$650,0)-1,0)))</f>
        <v>7238.7490909091</v>
      </c>
      <c r="W346" s="20">
        <f ca="1" t="shared" si="16"/>
        <v>5.0269090909091</v>
      </c>
      <c r="X346" s="15">
        <f ca="1">IF(C346=1,OFFSET(控制台!$U$599,MATCH(F346,控制台!$B$599:$B$615,0)-1,0),OFFSET(控制台!$U$618,MATCH(F346,控制台!$B$618:$B$636,0)-1,0))</f>
        <v>2446500</v>
      </c>
      <c r="Y346" s="16">
        <f ca="1">_xlfn.FLOOR.MATH(IF(E346=1,X346/G346,IF(E346=5,X346/G346*OFFSET(控制台!$D$641,MATCH(B346,控制台!$B$641:$B$645,0)-1,0),X346/G346*OFFSET(控制台!$H$641,MATCH(B346,控制台!$F$641:$F$650,0)-1,0))))</f>
        <v>22240</v>
      </c>
      <c r="Z346" s="16">
        <f ca="1" t="shared" si="17"/>
        <v>55600</v>
      </c>
    </row>
    <row r="347" spans="1:26">
      <c r="A347" s="1">
        <v>21502</v>
      </c>
      <c r="B347" s="1">
        <v>5</v>
      </c>
      <c r="C347" s="1">
        <v>2</v>
      </c>
      <c r="D347" s="1" t="s">
        <v>2837</v>
      </c>
      <c r="E347" s="1">
        <f ca="1">IF(C347=1,OFFSET(控制台!$F$552,MATCH(A347,控制台!$B$552:$B$580,0)-1,0),OFFSET(控制台!$L$552,MATCH(A347,控制台!$H$552:$H$594,0)-1,0))</f>
        <v>10</v>
      </c>
      <c r="F347" s="1">
        <f ca="1">IF(C347=1,OFFSET(控制台!$D$552,MATCH(A347,控制台!$B$552:$B$580,0)-1,0),OFFSET(控制台!$J$552,MATCH(A347,控制台!$H$552:$H$594,0)-1,0))</f>
        <v>15</v>
      </c>
      <c r="G347" s="1">
        <f ca="1">IF(C347=1,OFFSET(控制台!$I$599,MATCH(F347,控制台!$B$599:$B$615,0)-1,0),OFFSET(控制台!$I$618,MATCH(F347,控制台!$B$618:$B$636,0)-1,0))</f>
        <v>3</v>
      </c>
      <c r="H347" s="1">
        <f ca="1">IF(C347=1,OFFSET(控制台!$D$599,MATCH(F347,控制台!$B$599:$B$615,0)-1,0),OFFSET(控制台!$D$618,MATCH(F347,控制台!$B$618:$B$636,0)-1,0))</f>
        <v>1375200000</v>
      </c>
      <c r="I347" s="1">
        <f ca="1">IF(E347=1,H347/G347,IF(E347=5,H347/G347*OFFSET(控制台!$D$641,MATCH(B347,控制台!$B$641:$B$645,0)-1,0),H347/G347*OFFSET(控制台!$H$641,MATCH(B347,控制台!$F$641:$F$650,0)-1,0)))</f>
        <v>20836363.6363637</v>
      </c>
      <c r="J347" s="1">
        <f ca="1">$I347/3*控制台!H$102</f>
        <v>6945454.54545455</v>
      </c>
      <c r="K347" s="1">
        <f ca="1">$I347/3*控制台!I$102</f>
        <v>5209090.90909091</v>
      </c>
      <c r="L347" s="1">
        <f ca="1">$I347/3*控制台!J$102</f>
        <v>8681818.18181819</v>
      </c>
      <c r="M347" s="1">
        <f ca="1">_xlfn.FLOOR.MATH(J347,POWER(10,MAX(2,INT(LOG10(J347)-2))))</f>
        <v>6940000</v>
      </c>
      <c r="N347" s="1">
        <f ca="1">_xlfn.FLOOR.MATH(K347,POWER(10,MAX(2,INT(LOG10(K347)-2))))</f>
        <v>5200000</v>
      </c>
      <c r="O347" s="1">
        <f ca="1">_xlfn.FLOOR.MATH(L347,POWER(10,MAX(2,INT(LOG10(L347)-2))))</f>
        <v>8680000</v>
      </c>
      <c r="P347" s="4" t="str">
        <f ca="1" t="shared" si="15"/>
        <v>6940000;5200000;8680000</v>
      </c>
      <c r="Q347" s="15">
        <f ca="1">IF(C347=1,OFFSET(控制台!$H$599,MATCH(F347,控制台!$B$599:$B$615,0)-1,0),OFFSET(控制台!$H$618,MATCH(F347,控制台!$B$618:$B$636,0)-1,0))</f>
        <v>1596506.112</v>
      </c>
      <c r="R347" s="15">
        <f ca="1">IF(E347=1,Q347/G347,IF(E347=5,Q347/G347*OFFSET(控制台!$D$641,MATCH(B347,控制台!$B$641:$B$645,0)-1,0),Q347/G347*OFFSET(控制台!$H$641,MATCH(B347,控制台!$F$641:$F$650,0)-1,0)))</f>
        <v>24189.4865454546</v>
      </c>
      <c r="S347" s="16">
        <f ca="1">_xlfn.FLOOR.MATH(R347)*60</f>
        <v>1451340</v>
      </c>
      <c r="T347" s="16">
        <f ca="1">8000+IF(C347=1,OFFSET(控制台!$K$599,MATCH(F347,控制台!$B$599:$B$615,0)-1,0),OFFSET(控制台!$K$618,MATCH(F347,控制台!$B$618:$B$636,0)-1,0))</f>
        <v>8028</v>
      </c>
      <c r="U347" s="1">
        <f ca="1">IF(C347=1,OFFSET(控制台!$F$599,MATCH(F347,控制台!$B$599:$B$615,0)-1,0),OFFSET(控制台!$F$618,MATCH(F347,控制台!$B$618:$B$636,0)-1,0))</f>
        <v>796262.4</v>
      </c>
      <c r="V347" s="1">
        <f ca="1">IF(E347=1,U347/G347,IF(E347=5,U347/G347*OFFSET(控制台!$D$641,MATCH(B347,控制台!$B$641:$B$645,0)-1,0),U347/G347*OFFSET(控制台!$H$641,MATCH(B347,控制台!$F$641:$F$650,0)-1,0)))</f>
        <v>12064.5818181818</v>
      </c>
      <c r="W347" s="20">
        <f ca="1" t="shared" si="16"/>
        <v>8.37818181818183</v>
      </c>
      <c r="X347" s="15">
        <f ca="1">IF(C347=1,OFFSET(控制台!$U$599,MATCH(F347,控制台!$B$599:$B$615,0)-1,0),OFFSET(控制台!$U$618,MATCH(F347,控制台!$B$618:$B$636,0)-1,0))</f>
        <v>2446500</v>
      </c>
      <c r="Y347" s="16">
        <f ca="1">_xlfn.FLOOR.MATH(IF(E347=1,X347/G347,IF(E347=5,X347/G347*OFFSET(控制台!$D$641,MATCH(B347,控制台!$B$641:$B$645,0)-1,0),X347/G347*OFFSET(控制台!$H$641,MATCH(B347,控制台!$F$641:$F$650,0)-1,0))))</f>
        <v>37068</v>
      </c>
      <c r="Z347" s="16">
        <f ca="1" t="shared" si="17"/>
        <v>92668</v>
      </c>
    </row>
    <row r="348" spans="1:26">
      <c r="A348" s="1">
        <v>21502</v>
      </c>
      <c r="B348" s="1">
        <v>6</v>
      </c>
      <c r="C348" s="1">
        <v>2</v>
      </c>
      <c r="D348" s="1" t="s">
        <v>2837</v>
      </c>
      <c r="E348" s="1">
        <f ca="1">IF(C348=1,OFFSET(控制台!$F$552,MATCH(A348,控制台!$B$552:$B$580,0)-1,0),OFFSET(控制台!$L$552,MATCH(A348,控制台!$H$552:$H$594,0)-1,0))</f>
        <v>10</v>
      </c>
      <c r="F348" s="1">
        <f ca="1">IF(C348=1,OFFSET(控制台!$D$552,MATCH(A348,控制台!$B$552:$B$580,0)-1,0),OFFSET(控制台!$J$552,MATCH(A348,控制台!$H$552:$H$594,0)-1,0))</f>
        <v>15</v>
      </c>
      <c r="G348" s="1">
        <f ca="1">IF(C348=1,OFFSET(控制台!$I$599,MATCH(F348,控制台!$B$599:$B$615,0)-1,0),OFFSET(控制台!$I$618,MATCH(F348,控制台!$B$618:$B$636,0)-1,0))</f>
        <v>3</v>
      </c>
      <c r="H348" s="1">
        <f ca="1">IF(C348=1,OFFSET(控制台!$D$599,MATCH(F348,控制台!$B$599:$B$615,0)-1,0),OFFSET(控制台!$D$618,MATCH(F348,控制台!$B$618:$B$636,0)-1,0))</f>
        <v>1375200000</v>
      </c>
      <c r="I348" s="1">
        <f ca="1">IF(E348=1,H348/G348,IF(E348=5,H348/G348*OFFSET(控制台!$D$641,MATCH(B348,控制台!$B$641:$B$645,0)-1,0),H348/G348*OFFSET(控制台!$H$641,MATCH(B348,控制台!$F$641:$F$650,0)-1,0)))</f>
        <v>31254545.4545455</v>
      </c>
      <c r="J348" s="1">
        <f ca="1">$I348/3*控制台!H$102</f>
        <v>10418181.8181818</v>
      </c>
      <c r="K348" s="1">
        <f ca="1">$I348/3*控制台!I$102</f>
        <v>7813636.36363637</v>
      </c>
      <c r="L348" s="1">
        <f ca="1">$I348/3*控制台!J$102</f>
        <v>13022727.2727273</v>
      </c>
      <c r="M348" s="1">
        <f ca="1">_xlfn.FLOOR.MATH(J348,POWER(10,MAX(2,INT(LOG10(J348)-2))))</f>
        <v>10400000</v>
      </c>
      <c r="N348" s="1">
        <f ca="1">_xlfn.FLOOR.MATH(K348,POWER(10,MAX(2,INT(LOG10(K348)-2))))</f>
        <v>7810000</v>
      </c>
      <c r="O348" s="1">
        <f ca="1">_xlfn.FLOOR.MATH(L348,POWER(10,MAX(2,INT(LOG10(L348)-2))))</f>
        <v>13000000</v>
      </c>
      <c r="P348" s="4" t="str">
        <f ca="1" t="shared" si="15"/>
        <v>10400000;7810000;13000000</v>
      </c>
      <c r="Q348" s="15">
        <f ca="1">IF(C348=1,OFFSET(控制台!$H$599,MATCH(F348,控制台!$B$599:$B$615,0)-1,0),OFFSET(控制台!$H$618,MATCH(F348,控制台!$B$618:$B$636,0)-1,0))</f>
        <v>1596506.112</v>
      </c>
      <c r="R348" s="15">
        <f ca="1">IF(E348=1,Q348/G348,IF(E348=5,Q348/G348*OFFSET(控制台!$D$641,MATCH(B348,控制台!$B$641:$B$645,0)-1,0),Q348/G348*OFFSET(控制台!$H$641,MATCH(B348,控制台!$F$641:$F$650,0)-1,0)))</f>
        <v>36284.2298181818</v>
      </c>
      <c r="S348" s="16">
        <f ca="1">_xlfn.FLOOR.MATH(R348)*60</f>
        <v>2177040</v>
      </c>
      <c r="T348" s="16">
        <f ca="1">8000+IF(C348=1,OFFSET(控制台!$K$599,MATCH(F348,控制台!$B$599:$B$615,0)-1,0),OFFSET(控制台!$K$618,MATCH(F348,控制台!$B$618:$B$636,0)-1,0))</f>
        <v>8028</v>
      </c>
      <c r="U348" s="1">
        <f ca="1">IF(C348=1,OFFSET(控制台!$F$599,MATCH(F348,控制台!$B$599:$B$615,0)-1,0),OFFSET(控制台!$F$618,MATCH(F348,控制台!$B$618:$B$636,0)-1,0))</f>
        <v>796262.4</v>
      </c>
      <c r="V348" s="1">
        <f ca="1">IF(E348=1,U348/G348,IF(E348=5,U348/G348*OFFSET(控制台!$D$641,MATCH(B348,控制台!$B$641:$B$645,0)-1,0),U348/G348*OFFSET(控制台!$H$641,MATCH(B348,控制台!$F$641:$F$650,0)-1,0)))</f>
        <v>18096.8727272727</v>
      </c>
      <c r="W348" s="20">
        <f ca="1" t="shared" si="16"/>
        <v>12.5672727272727</v>
      </c>
      <c r="X348" s="15">
        <f ca="1">IF(C348=1,OFFSET(控制台!$U$599,MATCH(F348,控制台!$B$599:$B$615,0)-1,0),OFFSET(控制台!$U$618,MATCH(F348,控制台!$B$618:$B$636,0)-1,0))</f>
        <v>2446500</v>
      </c>
      <c r="Y348" s="16">
        <f ca="1">_xlfn.FLOOR.MATH(IF(E348=1,X348/G348,IF(E348=5,X348/G348*OFFSET(控制台!$D$641,MATCH(B348,控制台!$B$641:$B$645,0)-1,0),X348/G348*OFFSET(控制台!$H$641,MATCH(B348,控制台!$F$641:$F$650,0)-1,0))))</f>
        <v>55602</v>
      </c>
      <c r="Z348" s="16">
        <f ca="1" t="shared" si="17"/>
        <v>148270</v>
      </c>
    </row>
    <row r="349" spans="1:26">
      <c r="A349" s="1">
        <v>21502</v>
      </c>
      <c r="B349" s="1">
        <v>7</v>
      </c>
      <c r="C349" s="1">
        <v>2</v>
      </c>
      <c r="D349" s="1" t="s">
        <v>2837</v>
      </c>
      <c r="E349" s="1">
        <f ca="1">IF(C349=1,OFFSET(控制台!$F$552,MATCH(A349,控制台!$B$552:$B$580,0)-1,0),OFFSET(控制台!$L$552,MATCH(A349,控制台!$H$552:$H$594,0)-1,0))</f>
        <v>10</v>
      </c>
      <c r="F349" s="1">
        <f ca="1">IF(C349=1,OFFSET(控制台!$D$552,MATCH(A349,控制台!$B$552:$B$580,0)-1,0),OFFSET(控制台!$J$552,MATCH(A349,控制台!$H$552:$H$594,0)-1,0))</f>
        <v>15</v>
      </c>
      <c r="G349" s="1">
        <f ca="1">IF(C349=1,OFFSET(控制台!$I$599,MATCH(F349,控制台!$B$599:$B$615,0)-1,0),OFFSET(控制台!$I$618,MATCH(F349,控制台!$B$618:$B$636,0)-1,0))</f>
        <v>3</v>
      </c>
      <c r="H349" s="1">
        <f ca="1">IF(C349=1,OFFSET(控制台!$D$599,MATCH(F349,控制台!$B$599:$B$615,0)-1,0),OFFSET(控制台!$D$618,MATCH(F349,控制台!$B$618:$B$636,0)-1,0))</f>
        <v>1375200000</v>
      </c>
      <c r="I349" s="1">
        <f ca="1">IF(E349=1,H349/G349,IF(E349=5,H349/G349*OFFSET(控制台!$D$641,MATCH(B349,控制台!$B$641:$B$645,0)-1,0),H349/G349*OFFSET(控制台!$H$641,MATCH(B349,控制台!$F$641:$F$650,0)-1,0)))</f>
        <v>41672727.2727273</v>
      </c>
      <c r="J349" s="1">
        <f ca="1">$I349/3*控制台!H$102</f>
        <v>13890909.0909091</v>
      </c>
      <c r="K349" s="1">
        <f ca="1">$I349/3*控制台!I$102</f>
        <v>10418181.8181818</v>
      </c>
      <c r="L349" s="1">
        <f ca="1">$I349/3*控制台!J$102</f>
        <v>17363636.3636364</v>
      </c>
      <c r="M349" s="1">
        <f ca="1">_xlfn.FLOOR.MATH(J349,POWER(10,MAX(2,INT(LOG10(J349)-2))))</f>
        <v>13800000</v>
      </c>
      <c r="N349" s="1">
        <f ca="1">_xlfn.FLOOR.MATH(K349,POWER(10,MAX(2,INT(LOG10(K349)-2))))</f>
        <v>10400000</v>
      </c>
      <c r="O349" s="1">
        <f ca="1">_xlfn.FLOOR.MATH(L349,POWER(10,MAX(2,INT(LOG10(L349)-2))))</f>
        <v>17300000</v>
      </c>
      <c r="P349" s="4" t="str">
        <f ca="1" t="shared" si="15"/>
        <v>13800000;10400000;17300000</v>
      </c>
      <c r="Q349" s="15">
        <f ca="1">IF(C349=1,OFFSET(控制台!$H$599,MATCH(F349,控制台!$B$599:$B$615,0)-1,0),OFFSET(控制台!$H$618,MATCH(F349,控制台!$B$618:$B$636,0)-1,0))</f>
        <v>1596506.112</v>
      </c>
      <c r="R349" s="15">
        <f ca="1">IF(E349=1,Q349/G349,IF(E349=5,Q349/G349*OFFSET(控制台!$D$641,MATCH(B349,控制台!$B$641:$B$645,0)-1,0),Q349/G349*OFFSET(控制台!$H$641,MATCH(B349,控制台!$F$641:$F$650,0)-1,0)))</f>
        <v>48378.9730909091</v>
      </c>
      <c r="S349" s="16">
        <f ca="1">_xlfn.FLOOR.MATH(R349)*60</f>
        <v>2902680</v>
      </c>
      <c r="T349" s="16">
        <f ca="1">8000+IF(C349=1,OFFSET(控制台!$K$599,MATCH(F349,控制台!$B$599:$B$615,0)-1,0),OFFSET(控制台!$K$618,MATCH(F349,控制台!$B$618:$B$636,0)-1,0))</f>
        <v>8028</v>
      </c>
      <c r="U349" s="1">
        <f ca="1">IF(C349=1,OFFSET(控制台!$F$599,MATCH(F349,控制台!$B$599:$B$615,0)-1,0),OFFSET(控制台!$F$618,MATCH(F349,控制台!$B$618:$B$636,0)-1,0))</f>
        <v>796262.4</v>
      </c>
      <c r="V349" s="1">
        <f ca="1">IF(E349=1,U349/G349,IF(E349=5,U349/G349*OFFSET(控制台!$D$641,MATCH(B349,控制台!$B$641:$B$645,0)-1,0),U349/G349*OFFSET(控制台!$H$641,MATCH(B349,控制台!$F$641:$F$650,0)-1,0)))</f>
        <v>24129.1636363636</v>
      </c>
      <c r="W349" s="20">
        <f ca="1" t="shared" si="16"/>
        <v>16.7563636363636</v>
      </c>
      <c r="X349" s="15">
        <f ca="1">IF(C349=1,OFFSET(控制台!$U$599,MATCH(F349,控制台!$B$599:$B$615,0)-1,0),OFFSET(控制台!$U$618,MATCH(F349,控制台!$B$618:$B$636,0)-1,0))</f>
        <v>2446500</v>
      </c>
      <c r="Y349" s="16">
        <f ca="1">_xlfn.FLOOR.MATH(IF(E349=1,X349/G349,IF(E349=5,X349/G349*OFFSET(控制台!$D$641,MATCH(B349,控制台!$B$641:$B$645,0)-1,0),X349/G349*OFFSET(控制台!$H$641,MATCH(B349,控制台!$F$641:$F$650,0)-1,0))))</f>
        <v>74136</v>
      </c>
      <c r="Z349" s="16">
        <f ca="1" t="shared" si="17"/>
        <v>222406</v>
      </c>
    </row>
    <row r="350" spans="1:26">
      <c r="A350" s="1">
        <v>21502</v>
      </c>
      <c r="B350" s="1">
        <v>8</v>
      </c>
      <c r="C350" s="1">
        <v>2</v>
      </c>
      <c r="D350" s="1" t="s">
        <v>2837</v>
      </c>
      <c r="E350" s="1">
        <f ca="1">IF(C350=1,OFFSET(控制台!$F$552,MATCH(A350,控制台!$B$552:$B$580,0)-1,0),OFFSET(控制台!$L$552,MATCH(A350,控制台!$H$552:$H$594,0)-1,0))</f>
        <v>10</v>
      </c>
      <c r="F350" s="1">
        <f ca="1">IF(C350=1,OFFSET(控制台!$D$552,MATCH(A350,控制台!$B$552:$B$580,0)-1,0),OFFSET(控制台!$J$552,MATCH(A350,控制台!$H$552:$H$594,0)-1,0))</f>
        <v>15</v>
      </c>
      <c r="G350" s="1">
        <f ca="1">IF(C350=1,OFFSET(控制台!$I$599,MATCH(F350,控制台!$B$599:$B$615,0)-1,0),OFFSET(控制台!$I$618,MATCH(F350,控制台!$B$618:$B$636,0)-1,0))</f>
        <v>3</v>
      </c>
      <c r="H350" s="1">
        <f ca="1">IF(C350=1,OFFSET(控制台!$D$599,MATCH(F350,控制台!$B$599:$B$615,0)-1,0),OFFSET(控制台!$D$618,MATCH(F350,控制台!$B$618:$B$636,0)-1,0))</f>
        <v>1375200000</v>
      </c>
      <c r="I350" s="1">
        <f ca="1">IF(E350=1,H350/G350,IF(E350=5,H350/G350*OFFSET(控制台!$D$641,MATCH(B350,控制台!$B$641:$B$645,0)-1,0),H350/G350*OFFSET(控制台!$H$641,MATCH(B350,控制台!$F$641:$F$650,0)-1,0)))</f>
        <v>62509090.9090907</v>
      </c>
      <c r="J350" s="1">
        <f ca="1">$I350/3*控制台!H$102</f>
        <v>20836363.6363636</v>
      </c>
      <c r="K350" s="1">
        <f ca="1">$I350/3*控制台!I$102</f>
        <v>15627272.7272727</v>
      </c>
      <c r="L350" s="1">
        <f ca="1">$I350/3*控制台!J$102</f>
        <v>26045454.5454545</v>
      </c>
      <c r="M350" s="1">
        <f ca="1">_xlfn.FLOOR.MATH(J350,POWER(10,MAX(2,INT(LOG10(J350)-2))))</f>
        <v>20800000</v>
      </c>
      <c r="N350" s="1">
        <f ca="1">_xlfn.FLOOR.MATH(K350,POWER(10,MAX(2,INT(LOG10(K350)-2))))</f>
        <v>15600000</v>
      </c>
      <c r="O350" s="1">
        <f ca="1">_xlfn.FLOOR.MATH(L350,POWER(10,MAX(2,INT(LOG10(L350)-2))))</f>
        <v>26000000</v>
      </c>
      <c r="P350" s="4" t="str">
        <f ca="1" t="shared" si="15"/>
        <v>20800000;15600000;26000000</v>
      </c>
      <c r="Q350" s="15">
        <f ca="1">IF(C350=1,OFFSET(控制台!$H$599,MATCH(F350,控制台!$B$599:$B$615,0)-1,0),OFFSET(控制台!$H$618,MATCH(F350,控制台!$B$618:$B$636,0)-1,0))</f>
        <v>1596506.112</v>
      </c>
      <c r="R350" s="15">
        <f ca="1">IF(E350=1,Q350/G350,IF(E350=5,Q350/G350*OFFSET(控制台!$D$641,MATCH(B350,控制台!$B$641:$B$645,0)-1,0),Q350/G350*OFFSET(控制台!$H$641,MATCH(B350,控制台!$F$641:$F$650,0)-1,0)))</f>
        <v>72568.4596363634</v>
      </c>
      <c r="S350" s="16">
        <f ca="1">_xlfn.FLOOR.MATH(R350)*60</f>
        <v>4354080</v>
      </c>
      <c r="T350" s="16">
        <f ca="1">8000+IF(C350=1,OFFSET(控制台!$K$599,MATCH(F350,控制台!$B$599:$B$615,0)-1,0),OFFSET(控制台!$K$618,MATCH(F350,控制台!$B$618:$B$636,0)-1,0))</f>
        <v>8028</v>
      </c>
      <c r="U350" s="1">
        <f ca="1">IF(C350=1,OFFSET(控制台!$F$599,MATCH(F350,控制台!$B$599:$B$615,0)-1,0),OFFSET(控制台!$F$618,MATCH(F350,控制台!$B$618:$B$636,0)-1,0))</f>
        <v>796262.4</v>
      </c>
      <c r="V350" s="1">
        <f ca="1">IF(E350=1,U350/G350,IF(E350=5,U350/G350*OFFSET(控制台!$D$641,MATCH(B350,控制台!$B$641:$B$645,0)-1,0),U350/G350*OFFSET(控制台!$H$641,MATCH(B350,控制台!$F$641:$F$650,0)-1,0)))</f>
        <v>36193.7454545454</v>
      </c>
      <c r="W350" s="20">
        <f ca="1" t="shared" si="16"/>
        <v>25.1345454545454</v>
      </c>
      <c r="X350" s="15">
        <f ca="1">IF(C350=1,OFFSET(控制台!$U$599,MATCH(F350,控制台!$B$599:$B$615,0)-1,0),OFFSET(控制台!$U$618,MATCH(F350,控制台!$B$618:$B$636,0)-1,0))</f>
        <v>2446500</v>
      </c>
      <c r="Y350" s="16">
        <f ca="1">_xlfn.FLOOR.MATH(IF(E350=1,X350/G350,IF(E350=5,X350/G350*OFFSET(控制台!$D$641,MATCH(B350,控制台!$B$641:$B$645,0)-1,0),X350/G350*OFFSET(控制台!$H$641,MATCH(B350,控制台!$F$641:$F$650,0)-1,0))))</f>
        <v>111204</v>
      </c>
      <c r="Z350" s="16">
        <f ca="1" t="shared" si="17"/>
        <v>333610</v>
      </c>
    </row>
    <row r="351" spans="1:26">
      <c r="A351" s="1">
        <v>21502</v>
      </c>
      <c r="B351" s="1">
        <v>9</v>
      </c>
      <c r="C351" s="1">
        <v>2</v>
      </c>
      <c r="D351" s="1" t="s">
        <v>2837</v>
      </c>
      <c r="E351" s="1">
        <f ca="1">IF(C351=1,OFFSET(控制台!$F$552,MATCH(A351,控制台!$B$552:$B$580,0)-1,0),OFFSET(控制台!$L$552,MATCH(A351,控制台!$H$552:$H$594,0)-1,0))</f>
        <v>10</v>
      </c>
      <c r="F351" s="1">
        <f ca="1">IF(C351=1,OFFSET(控制台!$D$552,MATCH(A351,控制台!$B$552:$B$580,0)-1,0),OFFSET(控制台!$J$552,MATCH(A351,控制台!$H$552:$H$594,0)-1,0))</f>
        <v>15</v>
      </c>
      <c r="G351" s="1">
        <f ca="1">IF(C351=1,OFFSET(控制台!$I$599,MATCH(F351,控制台!$B$599:$B$615,0)-1,0),OFFSET(控制台!$I$618,MATCH(F351,控制台!$B$618:$B$636,0)-1,0))</f>
        <v>3</v>
      </c>
      <c r="H351" s="1">
        <f ca="1">IF(C351=1,OFFSET(控制台!$D$599,MATCH(F351,控制台!$B$599:$B$615,0)-1,0),OFFSET(控制台!$D$618,MATCH(F351,控制台!$B$618:$B$636,0)-1,0))</f>
        <v>1375200000</v>
      </c>
      <c r="I351" s="1">
        <f ca="1">IF(E351=1,H351/G351,IF(E351=5,H351/G351*OFFSET(控制台!$D$641,MATCH(B351,控制台!$B$641:$B$645,0)-1,0),H351/G351*OFFSET(控制台!$H$641,MATCH(B351,控制台!$F$641:$F$650,0)-1,0)))</f>
        <v>104181818.181818</v>
      </c>
      <c r="J351" s="1">
        <f ca="1">$I351/3*控制台!H$102</f>
        <v>34727272.7272727</v>
      </c>
      <c r="K351" s="1">
        <f ca="1">$I351/3*控制台!I$102</f>
        <v>26045454.5454545</v>
      </c>
      <c r="L351" s="1">
        <f ca="1">$I351/3*控制台!J$102</f>
        <v>43409090.9090909</v>
      </c>
      <c r="M351" s="1">
        <f ca="1">_xlfn.FLOOR.MATH(J351,POWER(10,MAX(2,INT(LOG10(J351)-2))))</f>
        <v>34700000</v>
      </c>
      <c r="N351" s="1">
        <f ca="1">_xlfn.FLOOR.MATH(K351,POWER(10,MAX(2,INT(LOG10(K351)-2))))</f>
        <v>26000000</v>
      </c>
      <c r="O351" s="1">
        <f ca="1">_xlfn.FLOOR.MATH(L351,POWER(10,MAX(2,INT(LOG10(L351)-2))))</f>
        <v>43400000</v>
      </c>
      <c r="P351" s="4" t="str">
        <f ca="1" t="shared" si="15"/>
        <v>34700000;26000000;43400000</v>
      </c>
      <c r="Q351" s="15">
        <f ca="1">IF(C351=1,OFFSET(控制台!$H$599,MATCH(F351,控制台!$B$599:$B$615,0)-1,0),OFFSET(控制台!$H$618,MATCH(F351,控制台!$B$618:$B$636,0)-1,0))</f>
        <v>1596506.112</v>
      </c>
      <c r="R351" s="15">
        <f ca="1">IF(E351=1,Q351/G351,IF(E351=5,Q351/G351*OFFSET(控制台!$D$641,MATCH(B351,控制台!$B$641:$B$645,0)-1,0),Q351/G351*OFFSET(控制台!$H$641,MATCH(B351,控制台!$F$641:$F$650,0)-1,0)))</f>
        <v>120947.432727273</v>
      </c>
      <c r="S351" s="16">
        <f ca="1">_xlfn.FLOOR.MATH(R351)*60</f>
        <v>7256820</v>
      </c>
      <c r="T351" s="16">
        <f ca="1">8000+IF(C351=1,OFFSET(控制台!$K$599,MATCH(F351,控制台!$B$599:$B$615,0)-1,0),OFFSET(控制台!$K$618,MATCH(F351,控制台!$B$618:$B$636,0)-1,0))</f>
        <v>8028</v>
      </c>
      <c r="U351" s="1">
        <f ca="1">IF(C351=1,OFFSET(控制台!$F$599,MATCH(F351,控制台!$B$599:$B$615,0)-1,0),OFFSET(控制台!$F$618,MATCH(F351,控制台!$B$618:$B$636,0)-1,0))</f>
        <v>796262.4</v>
      </c>
      <c r="V351" s="1">
        <f ca="1">IF(E351=1,U351/G351,IF(E351=5,U351/G351*OFFSET(控制台!$D$641,MATCH(B351,控制台!$B$641:$B$645,0)-1,0),U351/G351*OFFSET(控制台!$H$641,MATCH(B351,控制台!$F$641:$F$650,0)-1,0)))</f>
        <v>60322.909090909</v>
      </c>
      <c r="W351" s="20">
        <f ca="1" t="shared" si="16"/>
        <v>41.890909090909</v>
      </c>
      <c r="X351" s="15">
        <f ca="1">IF(C351=1,OFFSET(控制台!$U$599,MATCH(F351,控制台!$B$599:$B$615,0)-1,0),OFFSET(控制台!$U$618,MATCH(F351,控制台!$B$618:$B$636,0)-1,0))</f>
        <v>2446500</v>
      </c>
      <c r="Y351" s="16">
        <f ca="1">_xlfn.FLOOR.MATH(IF(E351=1,X351/G351,IF(E351=5,X351/G351*OFFSET(控制台!$D$641,MATCH(B351,控制台!$B$641:$B$645,0)-1,0),X351/G351*OFFSET(控制台!$H$641,MATCH(B351,控制台!$F$641:$F$650,0)-1,0))))</f>
        <v>185340</v>
      </c>
      <c r="Z351" s="16">
        <f ca="1" t="shared" si="17"/>
        <v>518950</v>
      </c>
    </row>
    <row r="352" spans="1:26">
      <c r="A352" s="1">
        <v>21502</v>
      </c>
      <c r="B352" s="1">
        <v>10</v>
      </c>
      <c r="C352" s="1">
        <v>2</v>
      </c>
      <c r="D352" s="1" t="s">
        <v>2837</v>
      </c>
      <c r="E352" s="1">
        <f ca="1">IF(C352=1,OFFSET(控制台!$F$552,MATCH(A352,控制台!$B$552:$B$580,0)-1,0),OFFSET(控制台!$L$552,MATCH(A352,控制台!$H$552:$H$594,0)-1,0))</f>
        <v>10</v>
      </c>
      <c r="F352" s="1">
        <f ca="1">IF(C352=1,OFFSET(控制台!$D$552,MATCH(A352,控制台!$B$552:$B$580,0)-1,0),OFFSET(控制台!$J$552,MATCH(A352,控制台!$H$552:$H$594,0)-1,0))</f>
        <v>15</v>
      </c>
      <c r="G352" s="1">
        <f ca="1">IF(C352=1,OFFSET(控制台!$I$599,MATCH(F352,控制台!$B$599:$B$615,0)-1,0),OFFSET(控制台!$I$618,MATCH(F352,控制台!$B$618:$B$636,0)-1,0))</f>
        <v>3</v>
      </c>
      <c r="H352" s="1">
        <f ca="1">IF(C352=1,OFFSET(控制台!$D$599,MATCH(F352,控制台!$B$599:$B$615,0)-1,0),OFFSET(控制台!$D$618,MATCH(F352,控制台!$B$618:$B$636,0)-1,0))</f>
        <v>1375200000</v>
      </c>
      <c r="I352" s="1">
        <f ca="1">IF(E352=1,H352/G352,IF(E352=5,H352/G352*OFFSET(控制台!$D$641,MATCH(B352,控制台!$B$641:$B$645,0)-1,0),H352/G352*OFFSET(控制台!$H$641,MATCH(B352,控制台!$F$641:$F$650,0)-1,0)))</f>
        <v>166690909.090909</v>
      </c>
      <c r="J352" s="1">
        <f ca="1">$I352/3*控制台!H$102</f>
        <v>55563636.3636364</v>
      </c>
      <c r="K352" s="1">
        <f ca="1">$I352/3*控制台!I$102</f>
        <v>41672727.2727273</v>
      </c>
      <c r="L352" s="1">
        <f ca="1">$I352/3*控制台!J$102</f>
        <v>69454545.4545455</v>
      </c>
      <c r="M352" s="1">
        <f ca="1">_xlfn.FLOOR.MATH(J352,POWER(10,MAX(2,INT(LOG10(J352)-2))))</f>
        <v>55500000</v>
      </c>
      <c r="N352" s="1">
        <f ca="1">_xlfn.FLOOR.MATH(K352,POWER(10,MAX(2,INT(LOG10(K352)-2))))</f>
        <v>41600000</v>
      </c>
      <c r="O352" s="1">
        <f ca="1">_xlfn.FLOOR.MATH(L352,POWER(10,MAX(2,INT(LOG10(L352)-2))))</f>
        <v>69400000</v>
      </c>
      <c r="P352" s="4" t="str">
        <f ca="1" t="shared" si="15"/>
        <v>55500000;41600000;69400000</v>
      </c>
      <c r="Q352" s="15">
        <f ca="1">IF(C352=1,OFFSET(控制台!$H$599,MATCH(F352,控制台!$B$599:$B$615,0)-1,0),OFFSET(控制台!$H$618,MATCH(F352,控制台!$B$618:$B$636,0)-1,0))</f>
        <v>1596506.112</v>
      </c>
      <c r="R352" s="15">
        <f ca="1">IF(E352=1,Q352/G352,IF(E352=5,Q352/G352*OFFSET(控制台!$D$641,MATCH(B352,控制台!$B$641:$B$645,0)-1,0),Q352/G352*OFFSET(控制台!$H$641,MATCH(B352,控制台!$F$641:$F$650,0)-1,0)))</f>
        <v>193515.892363637</v>
      </c>
      <c r="S352" s="16">
        <f ca="1">_xlfn.FLOOR.MATH(R352)*60</f>
        <v>11610900</v>
      </c>
      <c r="T352" s="16">
        <f ca="1">8000+IF(C352=1,OFFSET(控制台!$K$599,MATCH(F352,控制台!$B$599:$B$615,0)-1,0),OFFSET(控制台!$K$618,MATCH(F352,控制台!$B$618:$B$636,0)-1,0))</f>
        <v>8028</v>
      </c>
      <c r="U352" s="1">
        <f ca="1">IF(C352=1,OFFSET(控制台!$F$599,MATCH(F352,控制台!$B$599:$B$615,0)-1,0),OFFSET(控制台!$F$618,MATCH(F352,控制台!$B$618:$B$636,0)-1,0))</f>
        <v>796262.4</v>
      </c>
      <c r="V352" s="1">
        <f ca="1">IF(E352=1,U352/G352,IF(E352=5,U352/G352*OFFSET(控制台!$D$641,MATCH(B352,控制台!$B$641:$B$645,0)-1,0),U352/G352*OFFSET(控制台!$H$641,MATCH(B352,控制台!$F$641:$F$650,0)-1,0)))</f>
        <v>96516.6545454546</v>
      </c>
      <c r="W352" s="20">
        <f ca="1" t="shared" si="16"/>
        <v>67.0254545454546</v>
      </c>
      <c r="X352" s="15">
        <f ca="1">IF(C352=1,OFFSET(控制台!$U$599,MATCH(F352,控制台!$B$599:$B$615,0)-1,0),OFFSET(控制台!$U$618,MATCH(F352,控制台!$B$618:$B$636,0)-1,0))</f>
        <v>2446500</v>
      </c>
      <c r="Y352" s="16">
        <f ca="1">_xlfn.FLOOR.MATH(IF(E352=1,X352/G352,IF(E352=5,X352/G352*OFFSET(控制台!$D$641,MATCH(B352,控制台!$B$641:$B$645,0)-1,0),X352/G352*OFFSET(控制台!$H$641,MATCH(B352,控制台!$F$641:$F$650,0)-1,0))))</f>
        <v>296545</v>
      </c>
      <c r="Z352" s="16">
        <f ca="1" t="shared" si="17"/>
        <v>815495</v>
      </c>
    </row>
    <row r="353" spans="1:26">
      <c r="A353" s="1">
        <v>21503</v>
      </c>
      <c r="B353" s="1">
        <v>1</v>
      </c>
      <c r="C353" s="1">
        <v>2</v>
      </c>
      <c r="D353" s="1" t="s">
        <v>2838</v>
      </c>
      <c r="E353" s="1">
        <f ca="1">IF(C353=1,OFFSET(控制台!$F$552,MATCH(A353,控制台!$B$552:$B$580,0)-1,0),OFFSET(控制台!$L$552,MATCH(A353,控制台!$H$552:$H$594,0)-1,0))</f>
        <v>10</v>
      </c>
      <c r="F353" s="1">
        <f ca="1">IF(C353=1,OFFSET(控制台!$D$552,MATCH(A353,控制台!$B$552:$B$580,0)-1,0),OFFSET(控制台!$J$552,MATCH(A353,控制台!$H$552:$H$594,0)-1,0))</f>
        <v>15</v>
      </c>
      <c r="G353" s="1">
        <f ca="1">IF(C353=1,OFFSET(控制台!$I$599,MATCH(F353,控制台!$B$599:$B$615,0)-1,0),OFFSET(控制台!$I$618,MATCH(F353,控制台!$B$618:$B$636,0)-1,0))</f>
        <v>3</v>
      </c>
      <c r="H353" s="1">
        <f ca="1">IF(C353=1,OFFSET(控制台!$D$599,MATCH(F353,控制台!$B$599:$B$615,0)-1,0),OFFSET(控制台!$D$618,MATCH(F353,控制台!$B$618:$B$636,0)-1,0))</f>
        <v>1375200000</v>
      </c>
      <c r="I353" s="1">
        <f ca="1">IF(E353=1,H353/G353,IF(E353=5,H353/G353*OFFSET(控制台!$D$641,MATCH(B353,控制台!$B$641:$B$645,0)-1,0),H353/G353*OFFSET(控制台!$H$641,MATCH(B353,控制台!$F$641:$F$650,0)-1,0)))</f>
        <v>4167272.72727273</v>
      </c>
      <c r="J353" s="1">
        <f ca="1">$I353/3*控制台!H$102</f>
        <v>1389090.90909091</v>
      </c>
      <c r="K353" s="1">
        <f ca="1">$I353/3*控制台!I$102</f>
        <v>1041818.18181818</v>
      </c>
      <c r="L353" s="1">
        <f ca="1">$I353/3*控制台!J$102</f>
        <v>1736363.63636364</v>
      </c>
      <c r="M353" s="1">
        <f ca="1">_xlfn.FLOOR.MATH(J353,POWER(10,MAX(2,INT(LOG10(J353)-2))))</f>
        <v>1380000</v>
      </c>
      <c r="N353" s="1">
        <f ca="1">_xlfn.FLOOR.MATH(K353,POWER(10,MAX(2,INT(LOG10(K353)-2))))</f>
        <v>1040000</v>
      </c>
      <c r="O353" s="1">
        <f ca="1">_xlfn.FLOOR.MATH(L353,POWER(10,MAX(2,INT(LOG10(L353)-2))))</f>
        <v>1730000</v>
      </c>
      <c r="P353" s="4" t="str">
        <f ca="1" t="shared" si="15"/>
        <v>1380000;1040000;1730000</v>
      </c>
      <c r="Q353" s="15">
        <f ca="1">IF(C353=1,OFFSET(控制台!$H$599,MATCH(F353,控制台!$B$599:$B$615,0)-1,0),OFFSET(控制台!$H$618,MATCH(F353,控制台!$B$618:$B$636,0)-1,0))</f>
        <v>1596506.112</v>
      </c>
      <c r="R353" s="15">
        <f ca="1">IF(E353=1,Q353/G353,IF(E353=5,Q353/G353*OFFSET(控制台!$D$641,MATCH(B353,控制台!$B$641:$B$645,0)-1,0),Q353/G353*OFFSET(控制台!$H$641,MATCH(B353,控制台!$F$641:$F$650,0)-1,0)))</f>
        <v>4837.89730909091</v>
      </c>
      <c r="S353" s="16">
        <f ca="1">_xlfn.FLOOR.MATH(R353)*60</f>
        <v>290220</v>
      </c>
      <c r="T353" s="16">
        <f ca="1">8000+IF(C353=1,OFFSET(控制台!$K$599,MATCH(F353,控制台!$B$599:$B$615,0)-1,0),OFFSET(控制台!$K$618,MATCH(F353,控制台!$B$618:$B$636,0)-1,0))</f>
        <v>8028</v>
      </c>
      <c r="U353" s="1">
        <f ca="1">IF(C353=1,OFFSET(控制台!$F$599,MATCH(F353,控制台!$B$599:$B$615,0)-1,0),OFFSET(控制台!$F$618,MATCH(F353,控制台!$B$618:$B$636,0)-1,0))</f>
        <v>796262.4</v>
      </c>
      <c r="V353" s="1">
        <f ca="1">IF(E353=1,U353/G353,IF(E353=5,U353/G353*OFFSET(控制台!$D$641,MATCH(B353,控制台!$B$641:$B$645,0)-1,0),U353/G353*OFFSET(控制台!$H$641,MATCH(B353,控制台!$F$641:$F$650,0)-1,0)))</f>
        <v>2412.91636363636</v>
      </c>
      <c r="W353" s="20">
        <f ca="1" t="shared" si="16"/>
        <v>1.67563636363636</v>
      </c>
      <c r="X353" s="15">
        <f ca="1">IF(C353=1,OFFSET(控制台!$U$599,MATCH(F353,控制台!$B$599:$B$615,0)-1,0),OFFSET(控制台!$U$618,MATCH(F353,控制台!$B$618:$B$636,0)-1,0))</f>
        <v>2446500</v>
      </c>
      <c r="Y353" s="16">
        <f ca="1">_xlfn.FLOOR.MATH(IF(E353=1,X353/G353,IF(E353=5,X353/G353*OFFSET(控制台!$D$641,MATCH(B353,控制台!$B$641:$B$645,0)-1,0),X353/G353*OFFSET(控制台!$H$641,MATCH(B353,控制台!$F$641:$F$650,0)-1,0))))</f>
        <v>7413</v>
      </c>
      <c r="Z353" s="16">
        <f ca="1" t="shared" si="17"/>
        <v>7413</v>
      </c>
    </row>
    <row r="354" spans="1:26">
      <c r="A354" s="1">
        <v>21503</v>
      </c>
      <c r="B354" s="1">
        <v>2</v>
      </c>
      <c r="C354" s="1">
        <v>2</v>
      </c>
      <c r="D354" s="1" t="s">
        <v>2838</v>
      </c>
      <c r="E354" s="1">
        <f ca="1">IF(C354=1,OFFSET(控制台!$F$552,MATCH(A354,控制台!$B$552:$B$580,0)-1,0),OFFSET(控制台!$L$552,MATCH(A354,控制台!$H$552:$H$594,0)-1,0))</f>
        <v>10</v>
      </c>
      <c r="F354" s="1">
        <f ca="1">IF(C354=1,OFFSET(控制台!$D$552,MATCH(A354,控制台!$B$552:$B$580,0)-1,0),OFFSET(控制台!$J$552,MATCH(A354,控制台!$H$552:$H$594,0)-1,0))</f>
        <v>15</v>
      </c>
      <c r="G354" s="1">
        <f ca="1">IF(C354=1,OFFSET(控制台!$I$599,MATCH(F354,控制台!$B$599:$B$615,0)-1,0),OFFSET(控制台!$I$618,MATCH(F354,控制台!$B$618:$B$636,0)-1,0))</f>
        <v>3</v>
      </c>
      <c r="H354" s="1">
        <f ca="1">IF(C354=1,OFFSET(控制台!$D$599,MATCH(F354,控制台!$B$599:$B$615,0)-1,0),OFFSET(控制台!$D$618,MATCH(F354,控制台!$B$618:$B$636,0)-1,0))</f>
        <v>1375200000</v>
      </c>
      <c r="I354" s="1">
        <f ca="1">IF(E354=1,H354/G354,IF(E354=5,H354/G354*OFFSET(控制台!$D$641,MATCH(B354,控制台!$B$641:$B$645,0)-1,0),H354/G354*OFFSET(控制台!$H$641,MATCH(B354,控制台!$F$641:$F$650,0)-1,0)))</f>
        <v>6250909.09090907</v>
      </c>
      <c r="J354" s="1">
        <f ca="1">$I354/3*控制台!H$102</f>
        <v>2083636.36363636</v>
      </c>
      <c r="K354" s="1">
        <f ca="1">$I354/3*控制台!I$102</f>
        <v>1562727.27272727</v>
      </c>
      <c r="L354" s="1">
        <f ca="1">$I354/3*控制台!J$102</f>
        <v>2604545.45454545</v>
      </c>
      <c r="M354" s="1">
        <f ca="1">_xlfn.FLOOR.MATH(J354,POWER(10,MAX(2,INT(LOG10(J354)-2))))</f>
        <v>2080000</v>
      </c>
      <c r="N354" s="1">
        <f ca="1">_xlfn.FLOOR.MATH(K354,POWER(10,MAX(2,INT(LOG10(K354)-2))))</f>
        <v>1560000</v>
      </c>
      <c r="O354" s="1">
        <f ca="1">_xlfn.FLOOR.MATH(L354,POWER(10,MAX(2,INT(LOG10(L354)-2))))</f>
        <v>2600000</v>
      </c>
      <c r="P354" s="4" t="str">
        <f ca="1" t="shared" si="15"/>
        <v>2080000;1560000;2600000</v>
      </c>
      <c r="Q354" s="15">
        <f ca="1">IF(C354=1,OFFSET(控制台!$H$599,MATCH(F354,控制台!$B$599:$B$615,0)-1,0),OFFSET(控制台!$H$618,MATCH(F354,控制台!$B$618:$B$636,0)-1,0))</f>
        <v>1596506.112</v>
      </c>
      <c r="R354" s="15">
        <f ca="1">IF(E354=1,Q354/G354,IF(E354=5,Q354/G354*OFFSET(控制台!$D$641,MATCH(B354,控制台!$B$641:$B$645,0)-1,0),Q354/G354*OFFSET(控制台!$H$641,MATCH(B354,控制台!$F$641:$F$650,0)-1,0)))</f>
        <v>7256.84596363634</v>
      </c>
      <c r="S354" s="16">
        <f ca="1">_xlfn.FLOOR.MATH(R354)*60</f>
        <v>435360</v>
      </c>
      <c r="T354" s="16">
        <f ca="1">8000+IF(C354=1,OFFSET(控制台!$K$599,MATCH(F354,控制台!$B$599:$B$615,0)-1,0),OFFSET(控制台!$K$618,MATCH(F354,控制台!$B$618:$B$636,0)-1,0))</f>
        <v>8028</v>
      </c>
      <c r="U354" s="1">
        <f ca="1">IF(C354=1,OFFSET(控制台!$F$599,MATCH(F354,控制台!$B$599:$B$615,0)-1,0),OFFSET(控制台!$F$618,MATCH(F354,控制台!$B$618:$B$636,0)-1,0))</f>
        <v>796262.4</v>
      </c>
      <c r="V354" s="1">
        <f ca="1">IF(E354=1,U354/G354,IF(E354=5,U354/G354*OFFSET(控制台!$D$641,MATCH(B354,控制台!$B$641:$B$645,0)-1,0),U354/G354*OFFSET(控制台!$H$641,MATCH(B354,控制台!$F$641:$F$650,0)-1,0)))</f>
        <v>3619.37454545454</v>
      </c>
      <c r="W354" s="20">
        <f ca="1" t="shared" si="16"/>
        <v>2.51345454545454</v>
      </c>
      <c r="X354" s="15">
        <f ca="1">IF(C354=1,OFFSET(控制台!$U$599,MATCH(F354,控制台!$B$599:$B$615,0)-1,0),OFFSET(控制台!$U$618,MATCH(F354,控制台!$B$618:$B$636,0)-1,0))</f>
        <v>2446500</v>
      </c>
      <c r="Y354" s="16">
        <f ca="1">_xlfn.FLOOR.MATH(IF(E354=1,X354/G354,IF(E354=5,X354/G354*OFFSET(控制台!$D$641,MATCH(B354,控制台!$B$641:$B$645,0)-1,0),X354/G354*OFFSET(控制台!$H$641,MATCH(B354,控制台!$F$641:$F$650,0)-1,0))))</f>
        <v>11120</v>
      </c>
      <c r="Z354" s="16">
        <f ca="1" t="shared" si="17"/>
        <v>18533</v>
      </c>
    </row>
    <row r="355" spans="1:26">
      <c r="A355" s="1">
        <v>21503</v>
      </c>
      <c r="B355" s="1">
        <v>3</v>
      </c>
      <c r="C355" s="1">
        <v>2</v>
      </c>
      <c r="D355" s="1" t="s">
        <v>2838</v>
      </c>
      <c r="E355" s="1">
        <f ca="1">IF(C355=1,OFFSET(控制台!$F$552,MATCH(A355,控制台!$B$552:$B$580,0)-1,0),OFFSET(控制台!$L$552,MATCH(A355,控制台!$H$552:$H$594,0)-1,0))</f>
        <v>10</v>
      </c>
      <c r="F355" s="1">
        <f ca="1">IF(C355=1,OFFSET(控制台!$D$552,MATCH(A355,控制台!$B$552:$B$580,0)-1,0),OFFSET(控制台!$J$552,MATCH(A355,控制台!$H$552:$H$594,0)-1,0))</f>
        <v>15</v>
      </c>
      <c r="G355" s="1">
        <f ca="1">IF(C355=1,OFFSET(控制台!$I$599,MATCH(F355,控制台!$B$599:$B$615,0)-1,0),OFFSET(控制台!$I$618,MATCH(F355,控制台!$B$618:$B$636,0)-1,0))</f>
        <v>3</v>
      </c>
      <c r="H355" s="1">
        <f ca="1">IF(C355=1,OFFSET(控制台!$D$599,MATCH(F355,控制台!$B$599:$B$615,0)-1,0),OFFSET(控制台!$D$618,MATCH(F355,控制台!$B$618:$B$636,0)-1,0))</f>
        <v>1375200000</v>
      </c>
      <c r="I355" s="1">
        <f ca="1">IF(E355=1,H355/G355,IF(E355=5,H355/G355*OFFSET(控制台!$D$641,MATCH(B355,控制台!$B$641:$B$645,0)-1,0),H355/G355*OFFSET(控制台!$H$641,MATCH(B355,控制台!$F$641:$F$650,0)-1,0)))</f>
        <v>8334545.45454546</v>
      </c>
      <c r="J355" s="1">
        <f ca="1">$I355/3*控制台!H$102</f>
        <v>2778181.81818182</v>
      </c>
      <c r="K355" s="1">
        <f ca="1">$I355/3*控制台!I$102</f>
        <v>2083636.36363637</v>
      </c>
      <c r="L355" s="1">
        <f ca="1">$I355/3*控制台!J$102</f>
        <v>3472727.27272728</v>
      </c>
      <c r="M355" s="1">
        <f ca="1">_xlfn.FLOOR.MATH(J355,POWER(10,MAX(2,INT(LOG10(J355)-2))))</f>
        <v>2770000</v>
      </c>
      <c r="N355" s="1">
        <f ca="1">_xlfn.FLOOR.MATH(K355,POWER(10,MAX(2,INT(LOG10(K355)-2))))</f>
        <v>2080000</v>
      </c>
      <c r="O355" s="1">
        <f ca="1">_xlfn.FLOOR.MATH(L355,POWER(10,MAX(2,INT(LOG10(L355)-2))))</f>
        <v>3470000</v>
      </c>
      <c r="P355" s="4" t="str">
        <f ca="1" t="shared" si="15"/>
        <v>2770000;2080000;3470000</v>
      </c>
      <c r="Q355" s="15">
        <f ca="1">IF(C355=1,OFFSET(控制台!$H$599,MATCH(F355,控制台!$B$599:$B$615,0)-1,0),OFFSET(控制台!$H$618,MATCH(F355,控制台!$B$618:$B$636,0)-1,0))</f>
        <v>1596506.112</v>
      </c>
      <c r="R355" s="15">
        <f ca="1">IF(E355=1,Q355/G355,IF(E355=5,Q355/G355*OFFSET(控制台!$D$641,MATCH(B355,控制台!$B$641:$B$645,0)-1,0),Q355/G355*OFFSET(控制台!$H$641,MATCH(B355,控制台!$F$641:$F$650,0)-1,0)))</f>
        <v>9675.79461818183</v>
      </c>
      <c r="S355" s="16">
        <f ca="1">_xlfn.FLOOR.MATH(R355)*60</f>
        <v>580500</v>
      </c>
      <c r="T355" s="16">
        <f ca="1">8000+IF(C355=1,OFFSET(控制台!$K$599,MATCH(F355,控制台!$B$599:$B$615,0)-1,0),OFFSET(控制台!$K$618,MATCH(F355,控制台!$B$618:$B$636,0)-1,0))</f>
        <v>8028</v>
      </c>
      <c r="U355" s="1">
        <f ca="1">IF(C355=1,OFFSET(控制台!$F$599,MATCH(F355,控制台!$B$599:$B$615,0)-1,0),OFFSET(控制台!$F$618,MATCH(F355,控制台!$B$618:$B$636,0)-1,0))</f>
        <v>796262.4</v>
      </c>
      <c r="V355" s="1">
        <f ca="1">IF(E355=1,U355/G355,IF(E355=5,U355/G355*OFFSET(控制台!$D$641,MATCH(B355,控制台!$B$641:$B$645,0)-1,0),U355/G355*OFFSET(控制台!$H$641,MATCH(B355,控制台!$F$641:$F$650,0)-1,0)))</f>
        <v>4825.83272727273</v>
      </c>
      <c r="W355" s="20">
        <f ca="1" t="shared" si="16"/>
        <v>3.35127272727273</v>
      </c>
      <c r="X355" s="15">
        <f ca="1">IF(C355=1,OFFSET(控制台!$U$599,MATCH(F355,控制台!$B$599:$B$615,0)-1,0),OFFSET(控制台!$U$618,MATCH(F355,控制台!$B$618:$B$636,0)-1,0))</f>
        <v>2446500</v>
      </c>
      <c r="Y355" s="16">
        <f ca="1">_xlfn.FLOOR.MATH(IF(E355=1,X355/G355,IF(E355=5,X355/G355*OFFSET(控制台!$D$641,MATCH(B355,控制台!$B$641:$B$645,0)-1,0),X355/G355*OFFSET(控制台!$H$641,MATCH(B355,控制台!$F$641:$F$650,0)-1,0))))</f>
        <v>14827</v>
      </c>
      <c r="Z355" s="16">
        <f ca="1" t="shared" si="17"/>
        <v>33360</v>
      </c>
    </row>
    <row r="356" spans="1:26">
      <c r="A356" s="1">
        <v>21503</v>
      </c>
      <c r="B356" s="1">
        <v>4</v>
      </c>
      <c r="C356" s="1">
        <v>2</v>
      </c>
      <c r="D356" s="1" t="s">
        <v>2838</v>
      </c>
      <c r="E356" s="1">
        <f ca="1">IF(C356=1,OFFSET(控制台!$F$552,MATCH(A356,控制台!$B$552:$B$580,0)-1,0),OFFSET(控制台!$L$552,MATCH(A356,控制台!$H$552:$H$594,0)-1,0))</f>
        <v>10</v>
      </c>
      <c r="F356" s="1">
        <f ca="1">IF(C356=1,OFFSET(控制台!$D$552,MATCH(A356,控制台!$B$552:$B$580,0)-1,0),OFFSET(控制台!$J$552,MATCH(A356,控制台!$H$552:$H$594,0)-1,0))</f>
        <v>15</v>
      </c>
      <c r="G356" s="1">
        <f ca="1">IF(C356=1,OFFSET(控制台!$I$599,MATCH(F356,控制台!$B$599:$B$615,0)-1,0),OFFSET(控制台!$I$618,MATCH(F356,控制台!$B$618:$B$636,0)-1,0))</f>
        <v>3</v>
      </c>
      <c r="H356" s="1">
        <f ca="1">IF(C356=1,OFFSET(控制台!$D$599,MATCH(F356,控制台!$B$599:$B$615,0)-1,0),OFFSET(控制台!$D$618,MATCH(F356,控制台!$B$618:$B$636,0)-1,0))</f>
        <v>1375200000</v>
      </c>
      <c r="I356" s="1">
        <f ca="1">IF(E356=1,H356/G356,IF(E356=5,H356/G356*OFFSET(控制台!$D$641,MATCH(B356,控制台!$B$641:$B$645,0)-1,0),H356/G356*OFFSET(控制台!$H$641,MATCH(B356,控制台!$F$641:$F$650,0)-1,0)))</f>
        <v>12501818.1818182</v>
      </c>
      <c r="J356" s="1">
        <f ca="1">$I356/3*控制台!H$102</f>
        <v>4167272.72727273</v>
      </c>
      <c r="K356" s="1">
        <f ca="1">$I356/3*控制台!I$102</f>
        <v>3125454.54545455</v>
      </c>
      <c r="L356" s="1">
        <f ca="1">$I356/3*控制台!J$102</f>
        <v>5209090.90909091</v>
      </c>
      <c r="M356" s="1">
        <f ca="1">_xlfn.FLOOR.MATH(J356,POWER(10,MAX(2,INT(LOG10(J356)-2))))</f>
        <v>4160000</v>
      </c>
      <c r="N356" s="1">
        <f ca="1">_xlfn.FLOOR.MATH(K356,POWER(10,MAX(2,INT(LOG10(K356)-2))))</f>
        <v>3120000</v>
      </c>
      <c r="O356" s="1">
        <f ca="1">_xlfn.FLOOR.MATH(L356,POWER(10,MAX(2,INT(LOG10(L356)-2))))</f>
        <v>5200000</v>
      </c>
      <c r="P356" s="4" t="str">
        <f ca="1" t="shared" si="15"/>
        <v>4160000;3120000;5200000</v>
      </c>
      <c r="Q356" s="15">
        <f ca="1">IF(C356=1,OFFSET(控制台!$H$599,MATCH(F356,控制台!$B$599:$B$615,0)-1,0),OFFSET(控制台!$H$618,MATCH(F356,控制台!$B$618:$B$636,0)-1,0))</f>
        <v>1596506.112</v>
      </c>
      <c r="R356" s="15">
        <f ca="1">IF(E356=1,Q356/G356,IF(E356=5,Q356/G356*OFFSET(控制台!$D$641,MATCH(B356,控制台!$B$641:$B$645,0)-1,0),Q356/G356*OFFSET(控制台!$H$641,MATCH(B356,控制台!$F$641:$F$650,0)-1,0)))</f>
        <v>14513.6919272727</v>
      </c>
      <c r="S356" s="16">
        <f ca="1">_xlfn.FLOOR.MATH(R356)*60</f>
        <v>870780</v>
      </c>
      <c r="T356" s="16">
        <f ca="1">8000+IF(C356=1,OFFSET(控制台!$K$599,MATCH(F356,控制台!$B$599:$B$615,0)-1,0),OFFSET(控制台!$K$618,MATCH(F356,控制台!$B$618:$B$636,0)-1,0))</f>
        <v>8028</v>
      </c>
      <c r="U356" s="1">
        <f ca="1">IF(C356=1,OFFSET(控制台!$F$599,MATCH(F356,控制台!$B$599:$B$615,0)-1,0),OFFSET(控制台!$F$618,MATCH(F356,控制台!$B$618:$B$636,0)-1,0))</f>
        <v>796262.4</v>
      </c>
      <c r="V356" s="1">
        <f ca="1">IF(E356=1,U356/G356,IF(E356=5,U356/G356*OFFSET(控制台!$D$641,MATCH(B356,控制台!$B$641:$B$645,0)-1,0),U356/G356*OFFSET(控制台!$H$641,MATCH(B356,控制台!$F$641:$F$650,0)-1,0)))</f>
        <v>7238.7490909091</v>
      </c>
      <c r="W356" s="20">
        <f ca="1" t="shared" si="16"/>
        <v>5.0269090909091</v>
      </c>
      <c r="X356" s="15">
        <f ca="1">IF(C356=1,OFFSET(控制台!$U$599,MATCH(F356,控制台!$B$599:$B$615,0)-1,0),OFFSET(控制台!$U$618,MATCH(F356,控制台!$B$618:$B$636,0)-1,0))</f>
        <v>2446500</v>
      </c>
      <c r="Y356" s="16">
        <f ca="1">_xlfn.FLOOR.MATH(IF(E356=1,X356/G356,IF(E356=5,X356/G356*OFFSET(控制台!$D$641,MATCH(B356,控制台!$B$641:$B$645,0)-1,0),X356/G356*OFFSET(控制台!$H$641,MATCH(B356,控制台!$F$641:$F$650,0)-1,0))))</f>
        <v>22240</v>
      </c>
      <c r="Z356" s="16">
        <f ca="1" t="shared" si="17"/>
        <v>55600</v>
      </c>
    </row>
    <row r="357" spans="1:26">
      <c r="A357" s="1">
        <v>21503</v>
      </c>
      <c r="B357" s="1">
        <v>5</v>
      </c>
      <c r="C357" s="1">
        <v>2</v>
      </c>
      <c r="D357" s="1" t="s">
        <v>2838</v>
      </c>
      <c r="E357" s="1">
        <f ca="1">IF(C357=1,OFFSET(控制台!$F$552,MATCH(A357,控制台!$B$552:$B$580,0)-1,0),OFFSET(控制台!$L$552,MATCH(A357,控制台!$H$552:$H$594,0)-1,0))</f>
        <v>10</v>
      </c>
      <c r="F357" s="1">
        <f ca="1">IF(C357=1,OFFSET(控制台!$D$552,MATCH(A357,控制台!$B$552:$B$580,0)-1,0),OFFSET(控制台!$J$552,MATCH(A357,控制台!$H$552:$H$594,0)-1,0))</f>
        <v>15</v>
      </c>
      <c r="G357" s="1">
        <f ca="1">IF(C357=1,OFFSET(控制台!$I$599,MATCH(F357,控制台!$B$599:$B$615,0)-1,0),OFFSET(控制台!$I$618,MATCH(F357,控制台!$B$618:$B$636,0)-1,0))</f>
        <v>3</v>
      </c>
      <c r="H357" s="1">
        <f ca="1">IF(C357=1,OFFSET(控制台!$D$599,MATCH(F357,控制台!$B$599:$B$615,0)-1,0),OFFSET(控制台!$D$618,MATCH(F357,控制台!$B$618:$B$636,0)-1,0))</f>
        <v>1375200000</v>
      </c>
      <c r="I357" s="1">
        <f ca="1">IF(E357=1,H357/G357,IF(E357=5,H357/G357*OFFSET(控制台!$D$641,MATCH(B357,控制台!$B$641:$B$645,0)-1,0),H357/G357*OFFSET(控制台!$H$641,MATCH(B357,控制台!$F$641:$F$650,0)-1,0)))</f>
        <v>20836363.6363637</v>
      </c>
      <c r="J357" s="1">
        <f ca="1">$I357/3*控制台!H$102</f>
        <v>6945454.54545455</v>
      </c>
      <c r="K357" s="1">
        <f ca="1">$I357/3*控制台!I$102</f>
        <v>5209090.90909091</v>
      </c>
      <c r="L357" s="1">
        <f ca="1">$I357/3*控制台!J$102</f>
        <v>8681818.18181819</v>
      </c>
      <c r="M357" s="1">
        <f ca="1">_xlfn.FLOOR.MATH(J357,POWER(10,MAX(2,INT(LOG10(J357)-2))))</f>
        <v>6940000</v>
      </c>
      <c r="N357" s="1">
        <f ca="1">_xlfn.FLOOR.MATH(K357,POWER(10,MAX(2,INT(LOG10(K357)-2))))</f>
        <v>5200000</v>
      </c>
      <c r="O357" s="1">
        <f ca="1">_xlfn.FLOOR.MATH(L357,POWER(10,MAX(2,INT(LOG10(L357)-2))))</f>
        <v>8680000</v>
      </c>
      <c r="P357" s="4" t="str">
        <f ca="1" t="shared" si="15"/>
        <v>6940000;5200000;8680000</v>
      </c>
      <c r="Q357" s="15">
        <f ca="1">IF(C357=1,OFFSET(控制台!$H$599,MATCH(F357,控制台!$B$599:$B$615,0)-1,0),OFFSET(控制台!$H$618,MATCH(F357,控制台!$B$618:$B$636,0)-1,0))</f>
        <v>1596506.112</v>
      </c>
      <c r="R357" s="15">
        <f ca="1">IF(E357=1,Q357/G357,IF(E357=5,Q357/G357*OFFSET(控制台!$D$641,MATCH(B357,控制台!$B$641:$B$645,0)-1,0),Q357/G357*OFFSET(控制台!$H$641,MATCH(B357,控制台!$F$641:$F$650,0)-1,0)))</f>
        <v>24189.4865454546</v>
      </c>
      <c r="S357" s="16">
        <f ca="1">_xlfn.FLOOR.MATH(R357)*60</f>
        <v>1451340</v>
      </c>
      <c r="T357" s="16">
        <f ca="1">8000+IF(C357=1,OFFSET(控制台!$K$599,MATCH(F357,控制台!$B$599:$B$615,0)-1,0),OFFSET(控制台!$K$618,MATCH(F357,控制台!$B$618:$B$636,0)-1,0))</f>
        <v>8028</v>
      </c>
      <c r="U357" s="1">
        <f ca="1">IF(C357=1,OFFSET(控制台!$F$599,MATCH(F357,控制台!$B$599:$B$615,0)-1,0),OFFSET(控制台!$F$618,MATCH(F357,控制台!$B$618:$B$636,0)-1,0))</f>
        <v>796262.4</v>
      </c>
      <c r="V357" s="1">
        <f ca="1">IF(E357=1,U357/G357,IF(E357=5,U357/G357*OFFSET(控制台!$D$641,MATCH(B357,控制台!$B$641:$B$645,0)-1,0),U357/G357*OFFSET(控制台!$H$641,MATCH(B357,控制台!$F$641:$F$650,0)-1,0)))</f>
        <v>12064.5818181818</v>
      </c>
      <c r="W357" s="20">
        <f ca="1" t="shared" si="16"/>
        <v>8.37818181818183</v>
      </c>
      <c r="X357" s="15">
        <f ca="1">IF(C357=1,OFFSET(控制台!$U$599,MATCH(F357,控制台!$B$599:$B$615,0)-1,0),OFFSET(控制台!$U$618,MATCH(F357,控制台!$B$618:$B$636,0)-1,0))</f>
        <v>2446500</v>
      </c>
      <c r="Y357" s="16">
        <f ca="1">_xlfn.FLOOR.MATH(IF(E357=1,X357/G357,IF(E357=5,X357/G357*OFFSET(控制台!$D$641,MATCH(B357,控制台!$B$641:$B$645,0)-1,0),X357/G357*OFFSET(控制台!$H$641,MATCH(B357,控制台!$F$641:$F$650,0)-1,0))))</f>
        <v>37068</v>
      </c>
      <c r="Z357" s="16">
        <f ca="1" t="shared" si="17"/>
        <v>92668</v>
      </c>
    </row>
    <row r="358" spans="1:26">
      <c r="A358" s="1">
        <v>21503</v>
      </c>
      <c r="B358" s="1">
        <v>6</v>
      </c>
      <c r="C358" s="1">
        <v>2</v>
      </c>
      <c r="D358" s="1" t="s">
        <v>2838</v>
      </c>
      <c r="E358" s="1">
        <f ca="1">IF(C358=1,OFFSET(控制台!$F$552,MATCH(A358,控制台!$B$552:$B$580,0)-1,0),OFFSET(控制台!$L$552,MATCH(A358,控制台!$H$552:$H$594,0)-1,0))</f>
        <v>10</v>
      </c>
      <c r="F358" s="1">
        <f ca="1">IF(C358=1,OFFSET(控制台!$D$552,MATCH(A358,控制台!$B$552:$B$580,0)-1,0),OFFSET(控制台!$J$552,MATCH(A358,控制台!$H$552:$H$594,0)-1,0))</f>
        <v>15</v>
      </c>
      <c r="G358" s="1">
        <f ca="1">IF(C358=1,OFFSET(控制台!$I$599,MATCH(F358,控制台!$B$599:$B$615,0)-1,0),OFFSET(控制台!$I$618,MATCH(F358,控制台!$B$618:$B$636,0)-1,0))</f>
        <v>3</v>
      </c>
      <c r="H358" s="1">
        <f ca="1">IF(C358=1,OFFSET(控制台!$D$599,MATCH(F358,控制台!$B$599:$B$615,0)-1,0),OFFSET(控制台!$D$618,MATCH(F358,控制台!$B$618:$B$636,0)-1,0))</f>
        <v>1375200000</v>
      </c>
      <c r="I358" s="1">
        <f ca="1">IF(E358=1,H358/G358,IF(E358=5,H358/G358*OFFSET(控制台!$D$641,MATCH(B358,控制台!$B$641:$B$645,0)-1,0),H358/G358*OFFSET(控制台!$H$641,MATCH(B358,控制台!$F$641:$F$650,0)-1,0)))</f>
        <v>31254545.4545455</v>
      </c>
      <c r="J358" s="1">
        <f ca="1">$I358/3*控制台!H$102</f>
        <v>10418181.8181818</v>
      </c>
      <c r="K358" s="1">
        <f ca="1">$I358/3*控制台!I$102</f>
        <v>7813636.36363637</v>
      </c>
      <c r="L358" s="1">
        <f ca="1">$I358/3*控制台!J$102</f>
        <v>13022727.2727273</v>
      </c>
      <c r="M358" s="1">
        <f ca="1">_xlfn.FLOOR.MATH(J358,POWER(10,MAX(2,INT(LOG10(J358)-2))))</f>
        <v>10400000</v>
      </c>
      <c r="N358" s="1">
        <f ca="1">_xlfn.FLOOR.MATH(K358,POWER(10,MAX(2,INT(LOG10(K358)-2))))</f>
        <v>7810000</v>
      </c>
      <c r="O358" s="1">
        <f ca="1">_xlfn.FLOOR.MATH(L358,POWER(10,MAX(2,INT(LOG10(L358)-2))))</f>
        <v>13000000</v>
      </c>
      <c r="P358" s="4" t="str">
        <f ca="1" t="shared" si="15"/>
        <v>10400000;7810000;13000000</v>
      </c>
      <c r="Q358" s="15">
        <f ca="1">IF(C358=1,OFFSET(控制台!$H$599,MATCH(F358,控制台!$B$599:$B$615,0)-1,0),OFFSET(控制台!$H$618,MATCH(F358,控制台!$B$618:$B$636,0)-1,0))</f>
        <v>1596506.112</v>
      </c>
      <c r="R358" s="15">
        <f ca="1">IF(E358=1,Q358/G358,IF(E358=5,Q358/G358*OFFSET(控制台!$D$641,MATCH(B358,控制台!$B$641:$B$645,0)-1,0),Q358/G358*OFFSET(控制台!$H$641,MATCH(B358,控制台!$F$641:$F$650,0)-1,0)))</f>
        <v>36284.2298181818</v>
      </c>
      <c r="S358" s="16">
        <f ca="1">_xlfn.FLOOR.MATH(R358)*60</f>
        <v>2177040</v>
      </c>
      <c r="T358" s="16">
        <f ca="1">8000+IF(C358=1,OFFSET(控制台!$K$599,MATCH(F358,控制台!$B$599:$B$615,0)-1,0),OFFSET(控制台!$K$618,MATCH(F358,控制台!$B$618:$B$636,0)-1,0))</f>
        <v>8028</v>
      </c>
      <c r="U358" s="1">
        <f ca="1">IF(C358=1,OFFSET(控制台!$F$599,MATCH(F358,控制台!$B$599:$B$615,0)-1,0),OFFSET(控制台!$F$618,MATCH(F358,控制台!$B$618:$B$636,0)-1,0))</f>
        <v>796262.4</v>
      </c>
      <c r="V358" s="1">
        <f ca="1">IF(E358=1,U358/G358,IF(E358=5,U358/G358*OFFSET(控制台!$D$641,MATCH(B358,控制台!$B$641:$B$645,0)-1,0),U358/G358*OFFSET(控制台!$H$641,MATCH(B358,控制台!$F$641:$F$650,0)-1,0)))</f>
        <v>18096.8727272727</v>
      </c>
      <c r="W358" s="20">
        <f ca="1" t="shared" si="16"/>
        <v>12.5672727272727</v>
      </c>
      <c r="X358" s="15">
        <f ca="1">IF(C358=1,OFFSET(控制台!$U$599,MATCH(F358,控制台!$B$599:$B$615,0)-1,0),OFFSET(控制台!$U$618,MATCH(F358,控制台!$B$618:$B$636,0)-1,0))</f>
        <v>2446500</v>
      </c>
      <c r="Y358" s="16">
        <f ca="1">_xlfn.FLOOR.MATH(IF(E358=1,X358/G358,IF(E358=5,X358/G358*OFFSET(控制台!$D$641,MATCH(B358,控制台!$B$641:$B$645,0)-1,0),X358/G358*OFFSET(控制台!$H$641,MATCH(B358,控制台!$F$641:$F$650,0)-1,0))))</f>
        <v>55602</v>
      </c>
      <c r="Z358" s="16">
        <f ca="1" t="shared" si="17"/>
        <v>148270</v>
      </c>
    </row>
    <row r="359" spans="1:26">
      <c r="A359" s="1">
        <v>21503</v>
      </c>
      <c r="B359" s="1">
        <v>7</v>
      </c>
      <c r="C359" s="1">
        <v>2</v>
      </c>
      <c r="D359" s="1" t="s">
        <v>2838</v>
      </c>
      <c r="E359" s="1">
        <f ca="1">IF(C359=1,OFFSET(控制台!$F$552,MATCH(A359,控制台!$B$552:$B$580,0)-1,0),OFFSET(控制台!$L$552,MATCH(A359,控制台!$H$552:$H$594,0)-1,0))</f>
        <v>10</v>
      </c>
      <c r="F359" s="1">
        <f ca="1">IF(C359=1,OFFSET(控制台!$D$552,MATCH(A359,控制台!$B$552:$B$580,0)-1,0),OFFSET(控制台!$J$552,MATCH(A359,控制台!$H$552:$H$594,0)-1,0))</f>
        <v>15</v>
      </c>
      <c r="G359" s="1">
        <f ca="1">IF(C359=1,OFFSET(控制台!$I$599,MATCH(F359,控制台!$B$599:$B$615,0)-1,0),OFFSET(控制台!$I$618,MATCH(F359,控制台!$B$618:$B$636,0)-1,0))</f>
        <v>3</v>
      </c>
      <c r="H359" s="1">
        <f ca="1">IF(C359=1,OFFSET(控制台!$D$599,MATCH(F359,控制台!$B$599:$B$615,0)-1,0),OFFSET(控制台!$D$618,MATCH(F359,控制台!$B$618:$B$636,0)-1,0))</f>
        <v>1375200000</v>
      </c>
      <c r="I359" s="1">
        <f ca="1">IF(E359=1,H359/G359,IF(E359=5,H359/G359*OFFSET(控制台!$D$641,MATCH(B359,控制台!$B$641:$B$645,0)-1,0),H359/G359*OFFSET(控制台!$H$641,MATCH(B359,控制台!$F$641:$F$650,0)-1,0)))</f>
        <v>41672727.2727273</v>
      </c>
      <c r="J359" s="1">
        <f ca="1">$I359/3*控制台!H$102</f>
        <v>13890909.0909091</v>
      </c>
      <c r="K359" s="1">
        <f ca="1">$I359/3*控制台!I$102</f>
        <v>10418181.8181818</v>
      </c>
      <c r="L359" s="1">
        <f ca="1">$I359/3*控制台!J$102</f>
        <v>17363636.3636364</v>
      </c>
      <c r="M359" s="1">
        <f ca="1">_xlfn.FLOOR.MATH(J359,POWER(10,MAX(2,INT(LOG10(J359)-2))))</f>
        <v>13800000</v>
      </c>
      <c r="N359" s="1">
        <f ca="1">_xlfn.FLOOR.MATH(K359,POWER(10,MAX(2,INT(LOG10(K359)-2))))</f>
        <v>10400000</v>
      </c>
      <c r="O359" s="1">
        <f ca="1">_xlfn.FLOOR.MATH(L359,POWER(10,MAX(2,INT(LOG10(L359)-2))))</f>
        <v>17300000</v>
      </c>
      <c r="P359" s="4" t="str">
        <f ca="1" t="shared" si="15"/>
        <v>13800000;10400000;17300000</v>
      </c>
      <c r="Q359" s="15">
        <f ca="1">IF(C359=1,OFFSET(控制台!$H$599,MATCH(F359,控制台!$B$599:$B$615,0)-1,0),OFFSET(控制台!$H$618,MATCH(F359,控制台!$B$618:$B$636,0)-1,0))</f>
        <v>1596506.112</v>
      </c>
      <c r="R359" s="15">
        <f ca="1">IF(E359=1,Q359/G359,IF(E359=5,Q359/G359*OFFSET(控制台!$D$641,MATCH(B359,控制台!$B$641:$B$645,0)-1,0),Q359/G359*OFFSET(控制台!$H$641,MATCH(B359,控制台!$F$641:$F$650,0)-1,0)))</f>
        <v>48378.9730909091</v>
      </c>
      <c r="S359" s="16">
        <f ca="1">_xlfn.FLOOR.MATH(R359)*60</f>
        <v>2902680</v>
      </c>
      <c r="T359" s="16">
        <f ca="1">8000+IF(C359=1,OFFSET(控制台!$K$599,MATCH(F359,控制台!$B$599:$B$615,0)-1,0),OFFSET(控制台!$K$618,MATCH(F359,控制台!$B$618:$B$636,0)-1,0))</f>
        <v>8028</v>
      </c>
      <c r="U359" s="1">
        <f ca="1">IF(C359=1,OFFSET(控制台!$F$599,MATCH(F359,控制台!$B$599:$B$615,0)-1,0),OFFSET(控制台!$F$618,MATCH(F359,控制台!$B$618:$B$636,0)-1,0))</f>
        <v>796262.4</v>
      </c>
      <c r="V359" s="1">
        <f ca="1">IF(E359=1,U359/G359,IF(E359=5,U359/G359*OFFSET(控制台!$D$641,MATCH(B359,控制台!$B$641:$B$645,0)-1,0),U359/G359*OFFSET(控制台!$H$641,MATCH(B359,控制台!$F$641:$F$650,0)-1,0)))</f>
        <v>24129.1636363636</v>
      </c>
      <c r="W359" s="20">
        <f ca="1" t="shared" si="16"/>
        <v>16.7563636363636</v>
      </c>
      <c r="X359" s="15">
        <f ca="1">IF(C359=1,OFFSET(控制台!$U$599,MATCH(F359,控制台!$B$599:$B$615,0)-1,0),OFFSET(控制台!$U$618,MATCH(F359,控制台!$B$618:$B$636,0)-1,0))</f>
        <v>2446500</v>
      </c>
      <c r="Y359" s="16">
        <f ca="1">_xlfn.FLOOR.MATH(IF(E359=1,X359/G359,IF(E359=5,X359/G359*OFFSET(控制台!$D$641,MATCH(B359,控制台!$B$641:$B$645,0)-1,0),X359/G359*OFFSET(控制台!$H$641,MATCH(B359,控制台!$F$641:$F$650,0)-1,0))))</f>
        <v>74136</v>
      </c>
      <c r="Z359" s="16">
        <f ca="1" t="shared" si="17"/>
        <v>222406</v>
      </c>
    </row>
    <row r="360" spans="1:26">
      <c r="A360" s="1">
        <v>21503</v>
      </c>
      <c r="B360" s="1">
        <v>8</v>
      </c>
      <c r="C360" s="1">
        <v>2</v>
      </c>
      <c r="D360" s="1" t="s">
        <v>2838</v>
      </c>
      <c r="E360" s="1">
        <f ca="1">IF(C360=1,OFFSET(控制台!$F$552,MATCH(A360,控制台!$B$552:$B$580,0)-1,0),OFFSET(控制台!$L$552,MATCH(A360,控制台!$H$552:$H$594,0)-1,0))</f>
        <v>10</v>
      </c>
      <c r="F360" s="1">
        <f ca="1">IF(C360=1,OFFSET(控制台!$D$552,MATCH(A360,控制台!$B$552:$B$580,0)-1,0),OFFSET(控制台!$J$552,MATCH(A360,控制台!$H$552:$H$594,0)-1,0))</f>
        <v>15</v>
      </c>
      <c r="G360" s="1">
        <f ca="1">IF(C360=1,OFFSET(控制台!$I$599,MATCH(F360,控制台!$B$599:$B$615,0)-1,0),OFFSET(控制台!$I$618,MATCH(F360,控制台!$B$618:$B$636,0)-1,0))</f>
        <v>3</v>
      </c>
      <c r="H360" s="1">
        <f ca="1">IF(C360=1,OFFSET(控制台!$D$599,MATCH(F360,控制台!$B$599:$B$615,0)-1,0),OFFSET(控制台!$D$618,MATCH(F360,控制台!$B$618:$B$636,0)-1,0))</f>
        <v>1375200000</v>
      </c>
      <c r="I360" s="1">
        <f ca="1">IF(E360=1,H360/G360,IF(E360=5,H360/G360*OFFSET(控制台!$D$641,MATCH(B360,控制台!$B$641:$B$645,0)-1,0),H360/G360*OFFSET(控制台!$H$641,MATCH(B360,控制台!$F$641:$F$650,0)-1,0)))</f>
        <v>62509090.9090907</v>
      </c>
      <c r="J360" s="1">
        <f ca="1">$I360/3*控制台!H$102</f>
        <v>20836363.6363636</v>
      </c>
      <c r="K360" s="1">
        <f ca="1">$I360/3*控制台!I$102</f>
        <v>15627272.7272727</v>
      </c>
      <c r="L360" s="1">
        <f ca="1">$I360/3*控制台!J$102</f>
        <v>26045454.5454545</v>
      </c>
      <c r="M360" s="1">
        <f ca="1">_xlfn.FLOOR.MATH(J360,POWER(10,MAX(2,INT(LOG10(J360)-2))))</f>
        <v>20800000</v>
      </c>
      <c r="N360" s="1">
        <f ca="1">_xlfn.FLOOR.MATH(K360,POWER(10,MAX(2,INT(LOG10(K360)-2))))</f>
        <v>15600000</v>
      </c>
      <c r="O360" s="1">
        <f ca="1">_xlfn.FLOOR.MATH(L360,POWER(10,MAX(2,INT(LOG10(L360)-2))))</f>
        <v>26000000</v>
      </c>
      <c r="P360" s="4" t="str">
        <f ca="1" t="shared" si="15"/>
        <v>20800000;15600000;26000000</v>
      </c>
      <c r="Q360" s="15">
        <f ca="1">IF(C360=1,OFFSET(控制台!$H$599,MATCH(F360,控制台!$B$599:$B$615,0)-1,0),OFFSET(控制台!$H$618,MATCH(F360,控制台!$B$618:$B$636,0)-1,0))</f>
        <v>1596506.112</v>
      </c>
      <c r="R360" s="15">
        <f ca="1">IF(E360=1,Q360/G360,IF(E360=5,Q360/G360*OFFSET(控制台!$D$641,MATCH(B360,控制台!$B$641:$B$645,0)-1,0),Q360/G360*OFFSET(控制台!$H$641,MATCH(B360,控制台!$F$641:$F$650,0)-1,0)))</f>
        <v>72568.4596363634</v>
      </c>
      <c r="S360" s="16">
        <f ca="1">_xlfn.FLOOR.MATH(R360)*60</f>
        <v>4354080</v>
      </c>
      <c r="T360" s="16">
        <f ca="1">8000+IF(C360=1,OFFSET(控制台!$K$599,MATCH(F360,控制台!$B$599:$B$615,0)-1,0),OFFSET(控制台!$K$618,MATCH(F360,控制台!$B$618:$B$636,0)-1,0))</f>
        <v>8028</v>
      </c>
      <c r="U360" s="1">
        <f ca="1">IF(C360=1,OFFSET(控制台!$F$599,MATCH(F360,控制台!$B$599:$B$615,0)-1,0),OFFSET(控制台!$F$618,MATCH(F360,控制台!$B$618:$B$636,0)-1,0))</f>
        <v>796262.4</v>
      </c>
      <c r="V360" s="1">
        <f ca="1">IF(E360=1,U360/G360,IF(E360=5,U360/G360*OFFSET(控制台!$D$641,MATCH(B360,控制台!$B$641:$B$645,0)-1,0),U360/G360*OFFSET(控制台!$H$641,MATCH(B360,控制台!$F$641:$F$650,0)-1,0)))</f>
        <v>36193.7454545454</v>
      </c>
      <c r="W360" s="20">
        <f ca="1" t="shared" si="16"/>
        <v>25.1345454545454</v>
      </c>
      <c r="X360" s="15">
        <f ca="1">IF(C360=1,OFFSET(控制台!$U$599,MATCH(F360,控制台!$B$599:$B$615,0)-1,0),OFFSET(控制台!$U$618,MATCH(F360,控制台!$B$618:$B$636,0)-1,0))</f>
        <v>2446500</v>
      </c>
      <c r="Y360" s="16">
        <f ca="1">_xlfn.FLOOR.MATH(IF(E360=1,X360/G360,IF(E360=5,X360/G360*OFFSET(控制台!$D$641,MATCH(B360,控制台!$B$641:$B$645,0)-1,0),X360/G360*OFFSET(控制台!$H$641,MATCH(B360,控制台!$F$641:$F$650,0)-1,0))))</f>
        <v>111204</v>
      </c>
      <c r="Z360" s="16">
        <f ca="1" t="shared" si="17"/>
        <v>333610</v>
      </c>
    </row>
    <row r="361" spans="1:26">
      <c r="A361" s="1">
        <v>21503</v>
      </c>
      <c r="B361" s="1">
        <v>9</v>
      </c>
      <c r="C361" s="1">
        <v>2</v>
      </c>
      <c r="D361" s="1" t="s">
        <v>2838</v>
      </c>
      <c r="E361" s="1">
        <f ca="1">IF(C361=1,OFFSET(控制台!$F$552,MATCH(A361,控制台!$B$552:$B$580,0)-1,0),OFFSET(控制台!$L$552,MATCH(A361,控制台!$H$552:$H$594,0)-1,0))</f>
        <v>10</v>
      </c>
      <c r="F361" s="1">
        <f ca="1">IF(C361=1,OFFSET(控制台!$D$552,MATCH(A361,控制台!$B$552:$B$580,0)-1,0),OFFSET(控制台!$J$552,MATCH(A361,控制台!$H$552:$H$594,0)-1,0))</f>
        <v>15</v>
      </c>
      <c r="G361" s="1">
        <f ca="1">IF(C361=1,OFFSET(控制台!$I$599,MATCH(F361,控制台!$B$599:$B$615,0)-1,0),OFFSET(控制台!$I$618,MATCH(F361,控制台!$B$618:$B$636,0)-1,0))</f>
        <v>3</v>
      </c>
      <c r="H361" s="1">
        <f ca="1">IF(C361=1,OFFSET(控制台!$D$599,MATCH(F361,控制台!$B$599:$B$615,0)-1,0),OFFSET(控制台!$D$618,MATCH(F361,控制台!$B$618:$B$636,0)-1,0))</f>
        <v>1375200000</v>
      </c>
      <c r="I361" s="1">
        <f ca="1">IF(E361=1,H361/G361,IF(E361=5,H361/G361*OFFSET(控制台!$D$641,MATCH(B361,控制台!$B$641:$B$645,0)-1,0),H361/G361*OFFSET(控制台!$H$641,MATCH(B361,控制台!$F$641:$F$650,0)-1,0)))</f>
        <v>104181818.181818</v>
      </c>
      <c r="J361" s="1">
        <f ca="1">$I361/3*控制台!H$102</f>
        <v>34727272.7272727</v>
      </c>
      <c r="K361" s="1">
        <f ca="1">$I361/3*控制台!I$102</f>
        <v>26045454.5454545</v>
      </c>
      <c r="L361" s="1">
        <f ca="1">$I361/3*控制台!J$102</f>
        <v>43409090.9090909</v>
      </c>
      <c r="M361" s="1">
        <f ca="1">_xlfn.FLOOR.MATH(J361,POWER(10,MAX(2,INT(LOG10(J361)-2))))</f>
        <v>34700000</v>
      </c>
      <c r="N361" s="1">
        <f ca="1">_xlfn.FLOOR.MATH(K361,POWER(10,MAX(2,INT(LOG10(K361)-2))))</f>
        <v>26000000</v>
      </c>
      <c r="O361" s="1">
        <f ca="1">_xlfn.FLOOR.MATH(L361,POWER(10,MAX(2,INT(LOG10(L361)-2))))</f>
        <v>43400000</v>
      </c>
      <c r="P361" s="4" t="str">
        <f ca="1" t="shared" si="15"/>
        <v>34700000;26000000;43400000</v>
      </c>
      <c r="Q361" s="15">
        <f ca="1">IF(C361=1,OFFSET(控制台!$H$599,MATCH(F361,控制台!$B$599:$B$615,0)-1,0),OFFSET(控制台!$H$618,MATCH(F361,控制台!$B$618:$B$636,0)-1,0))</f>
        <v>1596506.112</v>
      </c>
      <c r="R361" s="15">
        <f ca="1">IF(E361=1,Q361/G361,IF(E361=5,Q361/G361*OFFSET(控制台!$D$641,MATCH(B361,控制台!$B$641:$B$645,0)-1,0),Q361/G361*OFFSET(控制台!$H$641,MATCH(B361,控制台!$F$641:$F$650,0)-1,0)))</f>
        <v>120947.432727273</v>
      </c>
      <c r="S361" s="16">
        <f ca="1">_xlfn.FLOOR.MATH(R361)*60</f>
        <v>7256820</v>
      </c>
      <c r="T361" s="16">
        <f ca="1">8000+IF(C361=1,OFFSET(控制台!$K$599,MATCH(F361,控制台!$B$599:$B$615,0)-1,0),OFFSET(控制台!$K$618,MATCH(F361,控制台!$B$618:$B$636,0)-1,0))</f>
        <v>8028</v>
      </c>
      <c r="U361" s="1">
        <f ca="1">IF(C361=1,OFFSET(控制台!$F$599,MATCH(F361,控制台!$B$599:$B$615,0)-1,0),OFFSET(控制台!$F$618,MATCH(F361,控制台!$B$618:$B$636,0)-1,0))</f>
        <v>796262.4</v>
      </c>
      <c r="V361" s="1">
        <f ca="1">IF(E361=1,U361/G361,IF(E361=5,U361/G361*OFFSET(控制台!$D$641,MATCH(B361,控制台!$B$641:$B$645,0)-1,0),U361/G361*OFFSET(控制台!$H$641,MATCH(B361,控制台!$F$641:$F$650,0)-1,0)))</f>
        <v>60322.909090909</v>
      </c>
      <c r="W361" s="20">
        <f ca="1" t="shared" si="16"/>
        <v>41.890909090909</v>
      </c>
      <c r="X361" s="15">
        <f ca="1">IF(C361=1,OFFSET(控制台!$U$599,MATCH(F361,控制台!$B$599:$B$615,0)-1,0),OFFSET(控制台!$U$618,MATCH(F361,控制台!$B$618:$B$636,0)-1,0))</f>
        <v>2446500</v>
      </c>
      <c r="Y361" s="16">
        <f ca="1">_xlfn.FLOOR.MATH(IF(E361=1,X361/G361,IF(E361=5,X361/G361*OFFSET(控制台!$D$641,MATCH(B361,控制台!$B$641:$B$645,0)-1,0),X361/G361*OFFSET(控制台!$H$641,MATCH(B361,控制台!$F$641:$F$650,0)-1,0))))</f>
        <v>185340</v>
      </c>
      <c r="Z361" s="16">
        <f ca="1" t="shared" si="17"/>
        <v>518950</v>
      </c>
    </row>
    <row r="362" spans="1:26">
      <c r="A362" s="1">
        <v>21503</v>
      </c>
      <c r="B362" s="1">
        <v>10</v>
      </c>
      <c r="C362" s="1">
        <v>2</v>
      </c>
      <c r="D362" s="1" t="s">
        <v>2838</v>
      </c>
      <c r="E362" s="1">
        <f ca="1">IF(C362=1,OFFSET(控制台!$F$552,MATCH(A362,控制台!$B$552:$B$580,0)-1,0),OFFSET(控制台!$L$552,MATCH(A362,控制台!$H$552:$H$594,0)-1,0))</f>
        <v>10</v>
      </c>
      <c r="F362" s="1">
        <f ca="1">IF(C362=1,OFFSET(控制台!$D$552,MATCH(A362,控制台!$B$552:$B$580,0)-1,0),OFFSET(控制台!$J$552,MATCH(A362,控制台!$H$552:$H$594,0)-1,0))</f>
        <v>15</v>
      </c>
      <c r="G362" s="1">
        <f ca="1">IF(C362=1,OFFSET(控制台!$I$599,MATCH(F362,控制台!$B$599:$B$615,0)-1,0),OFFSET(控制台!$I$618,MATCH(F362,控制台!$B$618:$B$636,0)-1,0))</f>
        <v>3</v>
      </c>
      <c r="H362" s="1">
        <f ca="1">IF(C362=1,OFFSET(控制台!$D$599,MATCH(F362,控制台!$B$599:$B$615,0)-1,0),OFFSET(控制台!$D$618,MATCH(F362,控制台!$B$618:$B$636,0)-1,0))</f>
        <v>1375200000</v>
      </c>
      <c r="I362" s="1">
        <f ca="1">IF(E362=1,H362/G362,IF(E362=5,H362/G362*OFFSET(控制台!$D$641,MATCH(B362,控制台!$B$641:$B$645,0)-1,0),H362/G362*OFFSET(控制台!$H$641,MATCH(B362,控制台!$F$641:$F$650,0)-1,0)))</f>
        <v>166690909.090909</v>
      </c>
      <c r="J362" s="1">
        <f ca="1">$I362/3*控制台!H$102</f>
        <v>55563636.3636364</v>
      </c>
      <c r="K362" s="1">
        <f ca="1">$I362/3*控制台!I$102</f>
        <v>41672727.2727273</v>
      </c>
      <c r="L362" s="1">
        <f ca="1">$I362/3*控制台!J$102</f>
        <v>69454545.4545455</v>
      </c>
      <c r="M362" s="1">
        <f ca="1">_xlfn.FLOOR.MATH(J362,POWER(10,MAX(2,INT(LOG10(J362)-2))))</f>
        <v>55500000</v>
      </c>
      <c r="N362" s="1">
        <f ca="1">_xlfn.FLOOR.MATH(K362,POWER(10,MAX(2,INT(LOG10(K362)-2))))</f>
        <v>41600000</v>
      </c>
      <c r="O362" s="1">
        <f ca="1">_xlfn.FLOOR.MATH(L362,POWER(10,MAX(2,INT(LOG10(L362)-2))))</f>
        <v>69400000</v>
      </c>
      <c r="P362" s="4" t="str">
        <f ca="1" t="shared" si="15"/>
        <v>55500000;41600000;69400000</v>
      </c>
      <c r="Q362" s="15">
        <f ca="1">IF(C362=1,OFFSET(控制台!$H$599,MATCH(F362,控制台!$B$599:$B$615,0)-1,0),OFFSET(控制台!$H$618,MATCH(F362,控制台!$B$618:$B$636,0)-1,0))</f>
        <v>1596506.112</v>
      </c>
      <c r="R362" s="15">
        <f ca="1">IF(E362=1,Q362/G362,IF(E362=5,Q362/G362*OFFSET(控制台!$D$641,MATCH(B362,控制台!$B$641:$B$645,0)-1,0),Q362/G362*OFFSET(控制台!$H$641,MATCH(B362,控制台!$F$641:$F$650,0)-1,0)))</f>
        <v>193515.892363637</v>
      </c>
      <c r="S362" s="16">
        <f ca="1">_xlfn.FLOOR.MATH(R362)*60</f>
        <v>11610900</v>
      </c>
      <c r="T362" s="16">
        <f ca="1">8000+IF(C362=1,OFFSET(控制台!$K$599,MATCH(F362,控制台!$B$599:$B$615,0)-1,0),OFFSET(控制台!$K$618,MATCH(F362,控制台!$B$618:$B$636,0)-1,0))</f>
        <v>8028</v>
      </c>
      <c r="U362" s="1">
        <f ca="1">IF(C362=1,OFFSET(控制台!$F$599,MATCH(F362,控制台!$B$599:$B$615,0)-1,0),OFFSET(控制台!$F$618,MATCH(F362,控制台!$B$618:$B$636,0)-1,0))</f>
        <v>796262.4</v>
      </c>
      <c r="V362" s="1">
        <f ca="1">IF(E362=1,U362/G362,IF(E362=5,U362/G362*OFFSET(控制台!$D$641,MATCH(B362,控制台!$B$641:$B$645,0)-1,0),U362/G362*OFFSET(控制台!$H$641,MATCH(B362,控制台!$F$641:$F$650,0)-1,0)))</f>
        <v>96516.6545454546</v>
      </c>
      <c r="W362" s="20">
        <f ca="1" t="shared" si="16"/>
        <v>67.0254545454546</v>
      </c>
      <c r="X362" s="15">
        <f ca="1">IF(C362=1,OFFSET(控制台!$U$599,MATCH(F362,控制台!$B$599:$B$615,0)-1,0),OFFSET(控制台!$U$618,MATCH(F362,控制台!$B$618:$B$636,0)-1,0))</f>
        <v>2446500</v>
      </c>
      <c r="Y362" s="16">
        <f ca="1">_xlfn.FLOOR.MATH(IF(E362=1,X362/G362,IF(E362=5,X362/G362*OFFSET(控制台!$D$641,MATCH(B362,控制台!$B$641:$B$645,0)-1,0),X362/G362*OFFSET(控制台!$H$641,MATCH(B362,控制台!$F$641:$F$650,0)-1,0))))</f>
        <v>296545</v>
      </c>
      <c r="Z362" s="16">
        <f ca="1" t="shared" si="17"/>
        <v>815495</v>
      </c>
    </row>
    <row r="363" spans="1:26">
      <c r="A363" s="1">
        <v>21602</v>
      </c>
      <c r="B363" s="1">
        <v>1</v>
      </c>
      <c r="C363" s="1">
        <v>2</v>
      </c>
      <c r="D363" s="1" t="s">
        <v>2839</v>
      </c>
      <c r="E363" s="1">
        <f ca="1">IF(C363=1,OFFSET(控制台!$F$552,MATCH(A363,控制台!$B$552:$B$580,0)-1,0),OFFSET(控制台!$L$552,MATCH(A363,控制台!$H$552:$H$594,0)-1,0))</f>
        <v>10</v>
      </c>
      <c r="F363" s="1">
        <f ca="1">IF(C363=1,OFFSET(控制台!$D$552,MATCH(A363,控制台!$B$552:$B$580,0)-1,0),OFFSET(控制台!$J$552,MATCH(A363,控制台!$H$552:$H$594,0)-1,0))</f>
        <v>16</v>
      </c>
      <c r="G363" s="1">
        <f ca="1">IF(C363=1,OFFSET(控制台!$I$599,MATCH(F363,控制台!$B$599:$B$615,0)-1,0),OFFSET(控制台!$I$618,MATCH(F363,控制台!$B$618:$B$636,0)-1,0))</f>
        <v>1</v>
      </c>
      <c r="H363" s="1">
        <f ca="1">IF(C363=1,OFFSET(控制台!$D$599,MATCH(F363,控制台!$B$599:$B$615,0)-1,0),OFFSET(控制台!$D$618,MATCH(F363,控制台!$B$618:$B$636,0)-1,0))</f>
        <v>691200000</v>
      </c>
      <c r="I363" s="1">
        <f ca="1">IF(E363=1,H363/G363,IF(E363=5,H363/G363*OFFSET(控制台!$D$641,MATCH(B363,控制台!$B$641:$B$645,0)-1,0),H363/G363*OFFSET(控制台!$H$641,MATCH(B363,控制台!$F$641:$F$650,0)-1,0)))</f>
        <v>6283636.36363636</v>
      </c>
      <c r="J363" s="1">
        <f ca="1">$I363/3*控制台!H$102</f>
        <v>2094545.45454545</v>
      </c>
      <c r="K363" s="1">
        <f ca="1">$I363/3*控制台!I$102</f>
        <v>1570909.09090909</v>
      </c>
      <c r="L363" s="1">
        <f ca="1">$I363/3*控制台!J$102</f>
        <v>2618181.81818182</v>
      </c>
      <c r="M363" s="1">
        <f ca="1">_xlfn.FLOOR.MATH(J363,POWER(10,MAX(2,INT(LOG10(J363)-2))))</f>
        <v>2090000</v>
      </c>
      <c r="N363" s="1">
        <f ca="1">_xlfn.FLOOR.MATH(K363,POWER(10,MAX(2,INT(LOG10(K363)-2))))</f>
        <v>1570000</v>
      </c>
      <c r="O363" s="1">
        <f ca="1">_xlfn.FLOOR.MATH(L363,POWER(10,MAX(2,INT(LOG10(L363)-2))))</f>
        <v>2610000</v>
      </c>
      <c r="P363" s="4" t="str">
        <f ca="1" t="shared" si="15"/>
        <v>2090000;1570000;2610000</v>
      </c>
      <c r="Q363" s="15">
        <f ca="1">IF(C363=1,OFFSET(控制台!$H$599,MATCH(F363,控制台!$B$599:$B$615,0)-1,0),OFFSET(控制台!$H$618,MATCH(F363,控制台!$B$618:$B$636,0)-1,0))</f>
        <v>812602.368000001</v>
      </c>
      <c r="R363" s="15">
        <f ca="1">IF(E363=1,Q363/G363,IF(E363=5,Q363/G363*OFFSET(控制台!$D$641,MATCH(B363,控制台!$B$641:$B$645,0)-1,0),Q363/G363*OFFSET(控制台!$H$641,MATCH(B363,控制台!$F$641:$F$650,0)-1,0)))</f>
        <v>7387.29425454546</v>
      </c>
      <c r="S363" s="16">
        <f ca="1">_xlfn.FLOOR.MATH(R363)*60</f>
        <v>443220</v>
      </c>
      <c r="T363" s="16">
        <f ca="1">8000+IF(C363=1,OFFSET(控制台!$K$599,MATCH(F363,控制台!$B$599:$B$615,0)-1,0),OFFSET(控制台!$K$618,MATCH(F363,控制台!$B$618:$B$636,0)-1,0))</f>
        <v>8029</v>
      </c>
      <c r="U363" s="1">
        <f ca="1">IF(C363=1,OFFSET(控制台!$F$599,MATCH(F363,控制台!$B$599:$B$615,0)-1,0),OFFSET(控制台!$F$618,MATCH(F363,控制台!$B$618:$B$636,0)-1,0))</f>
        <v>402278.4</v>
      </c>
      <c r="V363" s="1">
        <f ca="1">IF(E363=1,U363/G363,IF(E363=5,U363/G363*OFFSET(控制台!$D$641,MATCH(B363,控制台!$B$641:$B$645,0)-1,0),U363/G363*OFFSET(控制台!$H$641,MATCH(B363,控制台!$F$641:$F$650,0)-1,0)))</f>
        <v>3657.07636363637</v>
      </c>
      <c r="W363" s="20">
        <f ca="1" t="shared" si="16"/>
        <v>2.53963636363637</v>
      </c>
      <c r="X363" s="15">
        <f ca="1">IF(C363=1,OFFSET(控制台!$U$599,MATCH(F363,控制台!$B$599:$B$615,0)-1,0),OFFSET(控制台!$U$618,MATCH(F363,控制台!$B$618:$B$636,0)-1,0))</f>
        <v>1235250</v>
      </c>
      <c r="Y363" s="16">
        <f ca="1">_xlfn.FLOOR.MATH(IF(E363=1,X363/G363,IF(E363=5,X363/G363*OFFSET(控制台!$D$641,MATCH(B363,控制台!$B$641:$B$645,0)-1,0),X363/G363*OFFSET(控制台!$H$641,MATCH(B363,控制台!$F$641:$F$650,0)-1,0))))</f>
        <v>11229</v>
      </c>
      <c r="Z363" s="16">
        <f ca="1" t="shared" si="17"/>
        <v>11229</v>
      </c>
    </row>
    <row r="364" spans="1:26">
      <c r="A364" s="1">
        <v>21602</v>
      </c>
      <c r="B364" s="1">
        <v>2</v>
      </c>
      <c r="C364" s="1">
        <v>2</v>
      </c>
      <c r="D364" s="1" t="s">
        <v>2839</v>
      </c>
      <c r="E364" s="1">
        <f ca="1">IF(C364=1,OFFSET(控制台!$F$552,MATCH(A364,控制台!$B$552:$B$580,0)-1,0),OFFSET(控制台!$L$552,MATCH(A364,控制台!$H$552:$H$594,0)-1,0))</f>
        <v>10</v>
      </c>
      <c r="F364" s="1">
        <f ca="1">IF(C364=1,OFFSET(控制台!$D$552,MATCH(A364,控制台!$B$552:$B$580,0)-1,0),OFFSET(控制台!$J$552,MATCH(A364,控制台!$H$552:$H$594,0)-1,0))</f>
        <v>16</v>
      </c>
      <c r="G364" s="1">
        <f ca="1">IF(C364=1,OFFSET(控制台!$I$599,MATCH(F364,控制台!$B$599:$B$615,0)-1,0),OFFSET(控制台!$I$618,MATCH(F364,控制台!$B$618:$B$636,0)-1,0))</f>
        <v>1</v>
      </c>
      <c r="H364" s="1">
        <f ca="1">IF(C364=1,OFFSET(控制台!$D$599,MATCH(F364,控制台!$B$599:$B$615,0)-1,0),OFFSET(控制台!$D$618,MATCH(F364,控制台!$B$618:$B$636,0)-1,0))</f>
        <v>691200000</v>
      </c>
      <c r="I364" s="1">
        <f ca="1">IF(E364=1,H364/G364,IF(E364=5,H364/G364*OFFSET(控制台!$D$641,MATCH(B364,控制台!$B$641:$B$645,0)-1,0),H364/G364*OFFSET(控制台!$H$641,MATCH(B364,控制台!$F$641:$F$650,0)-1,0)))</f>
        <v>9425454.54545452</v>
      </c>
      <c r="J364" s="1">
        <f ca="1">$I364/3*控制台!H$102</f>
        <v>3141818.18181817</v>
      </c>
      <c r="K364" s="1">
        <f ca="1">$I364/3*控制台!I$102</f>
        <v>2356363.63636363</v>
      </c>
      <c r="L364" s="1">
        <f ca="1">$I364/3*控制台!J$102</f>
        <v>3927272.72727272</v>
      </c>
      <c r="M364" s="1">
        <f ca="1">_xlfn.FLOOR.MATH(J364,POWER(10,MAX(2,INT(LOG10(J364)-2))))</f>
        <v>3140000</v>
      </c>
      <c r="N364" s="1">
        <f ca="1">_xlfn.FLOOR.MATH(K364,POWER(10,MAX(2,INT(LOG10(K364)-2))))</f>
        <v>2350000</v>
      </c>
      <c r="O364" s="1">
        <f ca="1">_xlfn.FLOOR.MATH(L364,POWER(10,MAX(2,INT(LOG10(L364)-2))))</f>
        <v>3920000</v>
      </c>
      <c r="P364" s="4" t="str">
        <f ca="1" t="shared" si="15"/>
        <v>3140000;2350000;3920000</v>
      </c>
      <c r="Q364" s="15">
        <f ca="1">IF(C364=1,OFFSET(控制台!$H$599,MATCH(F364,控制台!$B$599:$B$615,0)-1,0),OFFSET(控制台!$H$618,MATCH(F364,控制台!$B$618:$B$636,0)-1,0))</f>
        <v>812602.368000001</v>
      </c>
      <c r="R364" s="15">
        <f ca="1">IF(E364=1,Q364/G364,IF(E364=5,Q364/G364*OFFSET(控制台!$D$641,MATCH(B364,控制台!$B$641:$B$645,0)-1,0),Q364/G364*OFFSET(控制台!$H$641,MATCH(B364,控制台!$F$641:$F$650,0)-1,0)))</f>
        <v>11080.9413818182</v>
      </c>
      <c r="S364" s="16">
        <f ca="1">_xlfn.FLOOR.MATH(R364)*60</f>
        <v>664800</v>
      </c>
      <c r="T364" s="16">
        <f ca="1">8000+IF(C364=1,OFFSET(控制台!$K$599,MATCH(F364,控制台!$B$599:$B$615,0)-1,0),OFFSET(控制台!$K$618,MATCH(F364,控制台!$B$618:$B$636,0)-1,0))</f>
        <v>8029</v>
      </c>
      <c r="U364" s="1">
        <f ca="1">IF(C364=1,OFFSET(控制台!$F$599,MATCH(F364,控制台!$B$599:$B$615,0)-1,0),OFFSET(控制台!$F$618,MATCH(F364,控制台!$B$618:$B$636,0)-1,0))</f>
        <v>402278.4</v>
      </c>
      <c r="V364" s="1">
        <f ca="1">IF(E364=1,U364/G364,IF(E364=5,U364/G364*OFFSET(控制台!$D$641,MATCH(B364,控制台!$B$641:$B$645,0)-1,0),U364/G364*OFFSET(控制台!$H$641,MATCH(B364,控制台!$F$641:$F$650,0)-1,0)))</f>
        <v>5485.61454545454</v>
      </c>
      <c r="W364" s="20">
        <f ca="1" t="shared" si="16"/>
        <v>3.80945454545454</v>
      </c>
      <c r="X364" s="15">
        <f ca="1">IF(C364=1,OFFSET(控制台!$U$599,MATCH(F364,控制台!$B$599:$B$615,0)-1,0),OFFSET(控制台!$U$618,MATCH(F364,控制台!$B$618:$B$636,0)-1,0))</f>
        <v>1235250</v>
      </c>
      <c r="Y364" s="16">
        <f ca="1">_xlfn.FLOOR.MATH(IF(E364=1,X364/G364,IF(E364=5,X364/G364*OFFSET(控制台!$D$641,MATCH(B364,控制台!$B$641:$B$645,0)-1,0),X364/G364*OFFSET(控制台!$H$641,MATCH(B364,控制台!$F$641:$F$650,0)-1,0))))</f>
        <v>16844</v>
      </c>
      <c r="Z364" s="16">
        <f ca="1" t="shared" si="17"/>
        <v>28073</v>
      </c>
    </row>
    <row r="365" spans="1:26">
      <c r="A365" s="1">
        <v>21602</v>
      </c>
      <c r="B365" s="1">
        <v>3</v>
      </c>
      <c r="C365" s="1">
        <v>2</v>
      </c>
      <c r="D365" s="1" t="s">
        <v>2839</v>
      </c>
      <c r="E365" s="1">
        <f ca="1">IF(C365=1,OFFSET(控制台!$F$552,MATCH(A365,控制台!$B$552:$B$580,0)-1,0),OFFSET(控制台!$L$552,MATCH(A365,控制台!$H$552:$H$594,0)-1,0))</f>
        <v>10</v>
      </c>
      <c r="F365" s="1">
        <f ca="1">IF(C365=1,OFFSET(控制台!$D$552,MATCH(A365,控制台!$B$552:$B$580,0)-1,0),OFFSET(控制台!$J$552,MATCH(A365,控制台!$H$552:$H$594,0)-1,0))</f>
        <v>16</v>
      </c>
      <c r="G365" s="1">
        <f ca="1">IF(C365=1,OFFSET(控制台!$I$599,MATCH(F365,控制台!$B$599:$B$615,0)-1,0),OFFSET(控制台!$I$618,MATCH(F365,控制台!$B$618:$B$636,0)-1,0))</f>
        <v>1</v>
      </c>
      <c r="H365" s="1">
        <f ca="1">IF(C365=1,OFFSET(控制台!$D$599,MATCH(F365,控制台!$B$599:$B$615,0)-1,0),OFFSET(控制台!$D$618,MATCH(F365,控制台!$B$618:$B$636,0)-1,0))</f>
        <v>691200000</v>
      </c>
      <c r="I365" s="1">
        <f ca="1">IF(E365=1,H365/G365,IF(E365=5,H365/G365*OFFSET(控制台!$D$641,MATCH(B365,控制台!$B$641:$B$645,0)-1,0),H365/G365*OFFSET(控制台!$H$641,MATCH(B365,控制台!$F$641:$F$650,0)-1,0)))</f>
        <v>12567272.7272727</v>
      </c>
      <c r="J365" s="1">
        <f ca="1">$I365/3*控制台!H$102</f>
        <v>4189090.90909091</v>
      </c>
      <c r="K365" s="1">
        <f ca="1">$I365/3*控制台!I$102</f>
        <v>3141818.18181818</v>
      </c>
      <c r="L365" s="1">
        <f ca="1">$I365/3*控制台!J$102</f>
        <v>5236363.63636364</v>
      </c>
      <c r="M365" s="1">
        <f ca="1">_xlfn.FLOOR.MATH(J365,POWER(10,MAX(2,INT(LOG10(J365)-2))))</f>
        <v>4180000</v>
      </c>
      <c r="N365" s="1">
        <f ca="1">_xlfn.FLOOR.MATH(K365,POWER(10,MAX(2,INT(LOG10(K365)-2))))</f>
        <v>3140000</v>
      </c>
      <c r="O365" s="1">
        <f ca="1">_xlfn.FLOOR.MATH(L365,POWER(10,MAX(2,INT(LOG10(L365)-2))))</f>
        <v>5230000</v>
      </c>
      <c r="P365" s="4" t="str">
        <f ca="1" t="shared" si="15"/>
        <v>4180000;3140000;5230000</v>
      </c>
      <c r="Q365" s="15">
        <f ca="1">IF(C365=1,OFFSET(控制台!$H$599,MATCH(F365,控制台!$B$599:$B$615,0)-1,0),OFFSET(控制台!$H$618,MATCH(F365,控制台!$B$618:$B$636,0)-1,0))</f>
        <v>812602.368000001</v>
      </c>
      <c r="R365" s="15">
        <f ca="1">IF(E365=1,Q365/G365,IF(E365=5,Q365/G365*OFFSET(控制台!$D$641,MATCH(B365,控制台!$B$641:$B$645,0)-1,0),Q365/G365*OFFSET(控制台!$H$641,MATCH(B365,控制台!$F$641:$F$650,0)-1,0)))</f>
        <v>14774.5885090909</v>
      </c>
      <c r="S365" s="16">
        <f ca="1">_xlfn.FLOOR.MATH(R365)*60</f>
        <v>886440</v>
      </c>
      <c r="T365" s="16">
        <f ca="1">8000+IF(C365=1,OFFSET(控制台!$K$599,MATCH(F365,控制台!$B$599:$B$615,0)-1,0),OFFSET(控制台!$K$618,MATCH(F365,控制台!$B$618:$B$636,0)-1,0))</f>
        <v>8029</v>
      </c>
      <c r="U365" s="1">
        <f ca="1">IF(C365=1,OFFSET(控制台!$F$599,MATCH(F365,控制台!$B$599:$B$615,0)-1,0),OFFSET(控制台!$F$618,MATCH(F365,控制台!$B$618:$B$636,0)-1,0))</f>
        <v>402278.4</v>
      </c>
      <c r="V365" s="1">
        <f ca="1">IF(E365=1,U365/G365,IF(E365=5,U365/G365*OFFSET(控制台!$D$641,MATCH(B365,控制台!$B$641:$B$645,0)-1,0),U365/G365*OFFSET(控制台!$H$641,MATCH(B365,控制台!$F$641:$F$650,0)-1,0)))</f>
        <v>7314.15272727274</v>
      </c>
      <c r="W365" s="20">
        <f ca="1" t="shared" si="16"/>
        <v>5.07927272727274</v>
      </c>
      <c r="X365" s="15">
        <f ca="1">IF(C365=1,OFFSET(控制台!$U$599,MATCH(F365,控制台!$B$599:$B$615,0)-1,0),OFFSET(控制台!$U$618,MATCH(F365,控制台!$B$618:$B$636,0)-1,0))</f>
        <v>1235250</v>
      </c>
      <c r="Y365" s="16">
        <f ca="1">_xlfn.FLOOR.MATH(IF(E365=1,X365/G365,IF(E365=5,X365/G365*OFFSET(控制台!$D$641,MATCH(B365,控制台!$B$641:$B$645,0)-1,0),X365/G365*OFFSET(控制台!$H$641,MATCH(B365,控制台!$F$641:$F$650,0)-1,0))))</f>
        <v>22459</v>
      </c>
      <c r="Z365" s="16">
        <f ca="1" t="shared" si="17"/>
        <v>50532</v>
      </c>
    </row>
    <row r="366" spans="1:26">
      <c r="A366" s="1">
        <v>21602</v>
      </c>
      <c r="B366" s="1">
        <v>4</v>
      </c>
      <c r="C366" s="1">
        <v>2</v>
      </c>
      <c r="D366" s="1" t="s">
        <v>2839</v>
      </c>
      <c r="E366" s="1">
        <f ca="1">IF(C366=1,OFFSET(控制台!$F$552,MATCH(A366,控制台!$B$552:$B$580,0)-1,0),OFFSET(控制台!$L$552,MATCH(A366,控制台!$H$552:$H$594,0)-1,0))</f>
        <v>10</v>
      </c>
      <c r="F366" s="1">
        <f ca="1">IF(C366=1,OFFSET(控制台!$D$552,MATCH(A366,控制台!$B$552:$B$580,0)-1,0),OFFSET(控制台!$J$552,MATCH(A366,控制台!$H$552:$H$594,0)-1,0))</f>
        <v>16</v>
      </c>
      <c r="G366" s="1">
        <f ca="1">IF(C366=1,OFFSET(控制台!$I$599,MATCH(F366,控制台!$B$599:$B$615,0)-1,0),OFFSET(控制台!$I$618,MATCH(F366,控制台!$B$618:$B$636,0)-1,0))</f>
        <v>1</v>
      </c>
      <c r="H366" s="1">
        <f ca="1">IF(C366=1,OFFSET(控制台!$D$599,MATCH(F366,控制台!$B$599:$B$615,0)-1,0),OFFSET(控制台!$D$618,MATCH(F366,控制台!$B$618:$B$636,0)-1,0))</f>
        <v>691200000</v>
      </c>
      <c r="I366" s="1">
        <f ca="1">IF(E366=1,H366/G366,IF(E366=5,H366/G366*OFFSET(控制台!$D$641,MATCH(B366,控制台!$B$641:$B$645,0)-1,0),H366/G366*OFFSET(控制台!$H$641,MATCH(B366,控制台!$F$641:$F$650,0)-1,0)))</f>
        <v>18850909.0909091</v>
      </c>
      <c r="J366" s="1">
        <f ca="1">$I366/3*控制台!H$102</f>
        <v>6283636.36363637</v>
      </c>
      <c r="K366" s="1">
        <f ca="1">$I366/3*控制台!I$102</f>
        <v>4712727.27272728</v>
      </c>
      <c r="L366" s="1">
        <f ca="1">$I366/3*控制台!J$102</f>
        <v>7854545.45454546</v>
      </c>
      <c r="M366" s="1">
        <f ca="1">_xlfn.FLOOR.MATH(J366,POWER(10,MAX(2,INT(LOG10(J366)-2))))</f>
        <v>6280000</v>
      </c>
      <c r="N366" s="1">
        <f ca="1">_xlfn.FLOOR.MATH(K366,POWER(10,MAX(2,INT(LOG10(K366)-2))))</f>
        <v>4710000</v>
      </c>
      <c r="O366" s="1">
        <f ca="1">_xlfn.FLOOR.MATH(L366,POWER(10,MAX(2,INT(LOG10(L366)-2))))</f>
        <v>7850000</v>
      </c>
      <c r="P366" s="4" t="str">
        <f ca="1" t="shared" si="15"/>
        <v>6280000;4710000;7850000</v>
      </c>
      <c r="Q366" s="15">
        <f ca="1">IF(C366=1,OFFSET(控制台!$H$599,MATCH(F366,控制台!$B$599:$B$615,0)-1,0),OFFSET(控制台!$H$618,MATCH(F366,控制台!$B$618:$B$636,0)-1,0))</f>
        <v>812602.368000001</v>
      </c>
      <c r="R366" s="15">
        <f ca="1">IF(E366=1,Q366/G366,IF(E366=5,Q366/G366*OFFSET(控制台!$D$641,MATCH(B366,控制台!$B$641:$B$645,0)-1,0),Q366/G366*OFFSET(控制台!$H$641,MATCH(B366,控制台!$F$641:$F$650,0)-1,0)))</f>
        <v>22161.8827636364</v>
      </c>
      <c r="S366" s="16">
        <f ca="1">_xlfn.FLOOR.MATH(R366)*60</f>
        <v>1329660</v>
      </c>
      <c r="T366" s="16">
        <f ca="1">8000+IF(C366=1,OFFSET(控制台!$K$599,MATCH(F366,控制台!$B$599:$B$615,0)-1,0),OFFSET(控制台!$K$618,MATCH(F366,控制台!$B$618:$B$636,0)-1,0))</f>
        <v>8029</v>
      </c>
      <c r="U366" s="1">
        <f ca="1">IF(C366=1,OFFSET(控制台!$F$599,MATCH(F366,控制台!$B$599:$B$615,0)-1,0),OFFSET(控制台!$F$618,MATCH(F366,控制台!$B$618:$B$636,0)-1,0))</f>
        <v>402278.4</v>
      </c>
      <c r="V366" s="1">
        <f ca="1">IF(E366=1,U366/G366,IF(E366=5,U366/G366*OFFSET(控制台!$D$641,MATCH(B366,控制台!$B$641:$B$645,0)-1,0),U366/G366*OFFSET(控制台!$H$641,MATCH(B366,控制台!$F$641:$F$650,0)-1,0)))</f>
        <v>10971.2290909091</v>
      </c>
      <c r="W366" s="20">
        <f ca="1" t="shared" si="16"/>
        <v>7.61890909090911</v>
      </c>
      <c r="X366" s="15">
        <f ca="1">IF(C366=1,OFFSET(控制台!$U$599,MATCH(F366,控制台!$B$599:$B$615,0)-1,0),OFFSET(控制台!$U$618,MATCH(F366,控制台!$B$618:$B$636,0)-1,0))</f>
        <v>1235250</v>
      </c>
      <c r="Y366" s="16">
        <f ca="1">_xlfn.FLOOR.MATH(IF(E366=1,X366/G366,IF(E366=5,X366/G366*OFFSET(控制台!$D$641,MATCH(B366,控制台!$B$641:$B$645,0)-1,0),X366/G366*OFFSET(控制台!$H$641,MATCH(B366,控制台!$F$641:$F$650,0)-1,0))))</f>
        <v>33688</v>
      </c>
      <c r="Z366" s="16">
        <f ca="1" t="shared" si="17"/>
        <v>84220</v>
      </c>
    </row>
    <row r="367" spans="1:26">
      <c r="A367" s="1">
        <v>21602</v>
      </c>
      <c r="B367" s="1">
        <v>5</v>
      </c>
      <c r="C367" s="1">
        <v>2</v>
      </c>
      <c r="D367" s="1" t="s">
        <v>2839</v>
      </c>
      <c r="E367" s="1">
        <f ca="1">IF(C367=1,OFFSET(控制台!$F$552,MATCH(A367,控制台!$B$552:$B$580,0)-1,0),OFFSET(控制台!$L$552,MATCH(A367,控制台!$H$552:$H$594,0)-1,0))</f>
        <v>10</v>
      </c>
      <c r="F367" s="1">
        <f ca="1">IF(C367=1,OFFSET(控制台!$D$552,MATCH(A367,控制台!$B$552:$B$580,0)-1,0),OFFSET(控制台!$J$552,MATCH(A367,控制台!$H$552:$H$594,0)-1,0))</f>
        <v>16</v>
      </c>
      <c r="G367" s="1">
        <f ca="1">IF(C367=1,OFFSET(控制台!$I$599,MATCH(F367,控制台!$B$599:$B$615,0)-1,0),OFFSET(控制台!$I$618,MATCH(F367,控制台!$B$618:$B$636,0)-1,0))</f>
        <v>1</v>
      </c>
      <c r="H367" s="1">
        <f ca="1">IF(C367=1,OFFSET(控制台!$D$599,MATCH(F367,控制台!$B$599:$B$615,0)-1,0),OFFSET(控制台!$D$618,MATCH(F367,控制台!$B$618:$B$636,0)-1,0))</f>
        <v>691200000</v>
      </c>
      <c r="I367" s="1">
        <f ca="1">IF(E367=1,H367/G367,IF(E367=5,H367/G367*OFFSET(控制台!$D$641,MATCH(B367,控制台!$B$641:$B$645,0)-1,0),H367/G367*OFFSET(控制台!$H$641,MATCH(B367,控制台!$F$641:$F$650,0)-1,0)))</f>
        <v>31418181.8181818</v>
      </c>
      <c r="J367" s="1">
        <f ca="1">$I367/3*控制台!H$102</f>
        <v>10472727.2727273</v>
      </c>
      <c r="K367" s="1">
        <f ca="1">$I367/3*控制台!I$102</f>
        <v>7854545.45454546</v>
      </c>
      <c r="L367" s="1">
        <f ca="1">$I367/3*控制台!J$102</f>
        <v>13090909.0909091</v>
      </c>
      <c r="M367" s="1">
        <f ca="1">_xlfn.FLOOR.MATH(J367,POWER(10,MAX(2,INT(LOG10(J367)-2))))</f>
        <v>10400000</v>
      </c>
      <c r="N367" s="1">
        <f ca="1">_xlfn.FLOOR.MATH(K367,POWER(10,MAX(2,INT(LOG10(K367)-2))))</f>
        <v>7850000</v>
      </c>
      <c r="O367" s="1">
        <f ca="1">_xlfn.FLOOR.MATH(L367,POWER(10,MAX(2,INT(LOG10(L367)-2))))</f>
        <v>13000000</v>
      </c>
      <c r="P367" s="4" t="str">
        <f ca="1" t="shared" si="15"/>
        <v>10400000;7850000;13000000</v>
      </c>
      <c r="Q367" s="15">
        <f ca="1">IF(C367=1,OFFSET(控制台!$H$599,MATCH(F367,控制台!$B$599:$B$615,0)-1,0),OFFSET(控制台!$H$618,MATCH(F367,控制台!$B$618:$B$636,0)-1,0))</f>
        <v>812602.368000001</v>
      </c>
      <c r="R367" s="15">
        <f ca="1">IF(E367=1,Q367/G367,IF(E367=5,Q367/G367*OFFSET(控制台!$D$641,MATCH(B367,控制台!$B$641:$B$645,0)-1,0),Q367/G367*OFFSET(控制台!$H$641,MATCH(B367,控制台!$F$641:$F$650,0)-1,0)))</f>
        <v>36936.4712727273</v>
      </c>
      <c r="S367" s="16">
        <f ca="1">_xlfn.FLOOR.MATH(R367)*60</f>
        <v>2216160</v>
      </c>
      <c r="T367" s="16">
        <f ca="1">8000+IF(C367=1,OFFSET(控制台!$K$599,MATCH(F367,控制台!$B$599:$B$615,0)-1,0),OFFSET(控制台!$K$618,MATCH(F367,控制台!$B$618:$B$636,0)-1,0))</f>
        <v>8029</v>
      </c>
      <c r="U367" s="1">
        <f ca="1">IF(C367=1,OFFSET(控制台!$F$599,MATCH(F367,控制台!$B$599:$B$615,0)-1,0),OFFSET(控制台!$F$618,MATCH(F367,控制台!$B$618:$B$636,0)-1,0))</f>
        <v>402278.4</v>
      </c>
      <c r="V367" s="1">
        <f ca="1">IF(E367=1,U367/G367,IF(E367=5,U367/G367*OFFSET(控制台!$D$641,MATCH(B367,控制台!$B$641:$B$645,0)-1,0),U367/G367*OFFSET(控制台!$H$641,MATCH(B367,控制台!$F$641:$F$650,0)-1,0)))</f>
        <v>18285.3818181819</v>
      </c>
      <c r="W367" s="20">
        <f ca="1" t="shared" si="16"/>
        <v>12.6981818181818</v>
      </c>
      <c r="X367" s="15">
        <f ca="1">IF(C367=1,OFFSET(控制台!$U$599,MATCH(F367,控制台!$B$599:$B$615,0)-1,0),OFFSET(控制台!$U$618,MATCH(F367,控制台!$B$618:$B$636,0)-1,0))</f>
        <v>1235250</v>
      </c>
      <c r="Y367" s="16">
        <f ca="1">_xlfn.FLOOR.MATH(IF(E367=1,X367/G367,IF(E367=5,X367/G367*OFFSET(控制台!$D$641,MATCH(B367,控制台!$B$641:$B$645,0)-1,0),X367/G367*OFFSET(控制台!$H$641,MATCH(B367,控制台!$F$641:$F$650,0)-1,0))))</f>
        <v>56147</v>
      </c>
      <c r="Z367" s="16">
        <f ca="1" t="shared" si="17"/>
        <v>140367</v>
      </c>
    </row>
    <row r="368" spans="1:26">
      <c r="A368" s="1">
        <v>21602</v>
      </c>
      <c r="B368" s="1">
        <v>6</v>
      </c>
      <c r="C368" s="1">
        <v>2</v>
      </c>
      <c r="D368" s="1" t="s">
        <v>2839</v>
      </c>
      <c r="E368" s="1">
        <f ca="1">IF(C368=1,OFFSET(控制台!$F$552,MATCH(A368,控制台!$B$552:$B$580,0)-1,0),OFFSET(控制台!$L$552,MATCH(A368,控制台!$H$552:$H$594,0)-1,0))</f>
        <v>10</v>
      </c>
      <c r="F368" s="1">
        <f ca="1">IF(C368=1,OFFSET(控制台!$D$552,MATCH(A368,控制台!$B$552:$B$580,0)-1,0),OFFSET(控制台!$J$552,MATCH(A368,控制台!$H$552:$H$594,0)-1,0))</f>
        <v>16</v>
      </c>
      <c r="G368" s="1">
        <f ca="1">IF(C368=1,OFFSET(控制台!$I$599,MATCH(F368,控制台!$B$599:$B$615,0)-1,0),OFFSET(控制台!$I$618,MATCH(F368,控制台!$B$618:$B$636,0)-1,0))</f>
        <v>1</v>
      </c>
      <c r="H368" s="1">
        <f ca="1">IF(C368=1,OFFSET(控制台!$D$599,MATCH(F368,控制台!$B$599:$B$615,0)-1,0),OFFSET(控制台!$D$618,MATCH(F368,控制台!$B$618:$B$636,0)-1,0))</f>
        <v>691200000</v>
      </c>
      <c r="I368" s="1">
        <f ca="1">IF(E368=1,H368/G368,IF(E368=5,H368/G368*OFFSET(控制台!$D$641,MATCH(B368,控制台!$B$641:$B$645,0)-1,0),H368/G368*OFFSET(控制台!$H$641,MATCH(B368,控制台!$F$641:$F$650,0)-1,0)))</f>
        <v>47127272.7272727</v>
      </c>
      <c r="J368" s="1">
        <f ca="1">$I368/3*控制台!H$102</f>
        <v>15709090.9090909</v>
      </c>
      <c r="K368" s="1">
        <f ca="1">$I368/3*控制台!I$102</f>
        <v>11781818.1818182</v>
      </c>
      <c r="L368" s="1">
        <f ca="1">$I368/3*控制台!J$102</f>
        <v>19636363.6363636</v>
      </c>
      <c r="M368" s="1">
        <f ca="1">_xlfn.FLOOR.MATH(J368,POWER(10,MAX(2,INT(LOG10(J368)-2))))</f>
        <v>15700000</v>
      </c>
      <c r="N368" s="1">
        <f ca="1">_xlfn.FLOOR.MATH(K368,POWER(10,MAX(2,INT(LOG10(K368)-2))))</f>
        <v>11700000</v>
      </c>
      <c r="O368" s="1">
        <f ca="1">_xlfn.FLOOR.MATH(L368,POWER(10,MAX(2,INT(LOG10(L368)-2))))</f>
        <v>19600000</v>
      </c>
      <c r="P368" s="4" t="str">
        <f ca="1" t="shared" si="15"/>
        <v>15700000;11700000;19600000</v>
      </c>
      <c r="Q368" s="15">
        <f ca="1">IF(C368=1,OFFSET(控制台!$H$599,MATCH(F368,控制台!$B$599:$B$615,0)-1,0),OFFSET(控制台!$H$618,MATCH(F368,控制台!$B$618:$B$636,0)-1,0))</f>
        <v>812602.368000001</v>
      </c>
      <c r="R368" s="15">
        <f ca="1">IF(E368=1,Q368/G368,IF(E368=5,Q368/G368*OFFSET(控制台!$D$641,MATCH(B368,控制台!$B$641:$B$645,0)-1,0),Q368/G368*OFFSET(控制台!$H$641,MATCH(B368,控制台!$F$641:$F$650,0)-1,0)))</f>
        <v>55404.706909091</v>
      </c>
      <c r="S368" s="16">
        <f ca="1">_xlfn.FLOOR.MATH(R368)*60</f>
        <v>3324240</v>
      </c>
      <c r="T368" s="16">
        <f ca="1">8000+IF(C368=1,OFFSET(控制台!$K$599,MATCH(F368,控制台!$B$599:$B$615,0)-1,0),OFFSET(控制台!$K$618,MATCH(F368,控制台!$B$618:$B$636,0)-1,0))</f>
        <v>8029</v>
      </c>
      <c r="U368" s="1">
        <f ca="1">IF(C368=1,OFFSET(控制台!$F$599,MATCH(F368,控制台!$B$599:$B$615,0)-1,0),OFFSET(控制台!$F$618,MATCH(F368,控制台!$B$618:$B$636,0)-1,0))</f>
        <v>402278.4</v>
      </c>
      <c r="V368" s="1">
        <f ca="1">IF(E368=1,U368/G368,IF(E368=5,U368/G368*OFFSET(控制台!$D$641,MATCH(B368,控制台!$B$641:$B$645,0)-1,0),U368/G368*OFFSET(控制台!$H$641,MATCH(B368,控制台!$F$641:$F$650,0)-1,0)))</f>
        <v>27428.0727272728</v>
      </c>
      <c r="W368" s="20">
        <f ca="1" t="shared" si="16"/>
        <v>19.0472727272728</v>
      </c>
      <c r="X368" s="15">
        <f ca="1">IF(C368=1,OFFSET(控制台!$U$599,MATCH(F368,控制台!$B$599:$B$615,0)-1,0),OFFSET(控制台!$U$618,MATCH(F368,控制台!$B$618:$B$636,0)-1,0))</f>
        <v>1235250</v>
      </c>
      <c r="Y368" s="16">
        <f ca="1">_xlfn.FLOOR.MATH(IF(E368=1,X368/G368,IF(E368=5,X368/G368*OFFSET(控制台!$D$641,MATCH(B368,控制台!$B$641:$B$645,0)-1,0),X368/G368*OFFSET(控制台!$H$641,MATCH(B368,控制台!$F$641:$F$650,0)-1,0))))</f>
        <v>84221</v>
      </c>
      <c r="Z368" s="16">
        <f ca="1" t="shared" si="17"/>
        <v>224588</v>
      </c>
    </row>
    <row r="369" spans="1:26">
      <c r="A369" s="1">
        <v>21602</v>
      </c>
      <c r="B369" s="1">
        <v>7</v>
      </c>
      <c r="C369" s="1">
        <v>2</v>
      </c>
      <c r="D369" s="1" t="s">
        <v>2839</v>
      </c>
      <c r="E369" s="1">
        <f ca="1">IF(C369=1,OFFSET(控制台!$F$552,MATCH(A369,控制台!$B$552:$B$580,0)-1,0),OFFSET(控制台!$L$552,MATCH(A369,控制台!$H$552:$H$594,0)-1,0))</f>
        <v>10</v>
      </c>
      <c r="F369" s="1">
        <f ca="1">IF(C369=1,OFFSET(控制台!$D$552,MATCH(A369,控制台!$B$552:$B$580,0)-1,0),OFFSET(控制台!$J$552,MATCH(A369,控制台!$H$552:$H$594,0)-1,0))</f>
        <v>16</v>
      </c>
      <c r="G369" s="1">
        <f ca="1">IF(C369=1,OFFSET(控制台!$I$599,MATCH(F369,控制台!$B$599:$B$615,0)-1,0),OFFSET(控制台!$I$618,MATCH(F369,控制台!$B$618:$B$636,0)-1,0))</f>
        <v>1</v>
      </c>
      <c r="H369" s="1">
        <f ca="1">IF(C369=1,OFFSET(控制台!$D$599,MATCH(F369,控制台!$B$599:$B$615,0)-1,0),OFFSET(控制台!$D$618,MATCH(F369,控制台!$B$618:$B$636,0)-1,0))</f>
        <v>691200000</v>
      </c>
      <c r="I369" s="1">
        <f ca="1">IF(E369=1,H369/G369,IF(E369=5,H369/G369*OFFSET(控制台!$D$641,MATCH(B369,控制台!$B$641:$B$645,0)-1,0),H369/G369*OFFSET(控制台!$H$641,MATCH(B369,控制台!$F$641:$F$650,0)-1,0)))</f>
        <v>62836363.6363636</v>
      </c>
      <c r="J369" s="1">
        <f ca="1">$I369/3*控制台!H$102</f>
        <v>20945454.5454545</v>
      </c>
      <c r="K369" s="1">
        <f ca="1">$I369/3*控制台!I$102</f>
        <v>15709090.9090909</v>
      </c>
      <c r="L369" s="1">
        <f ca="1">$I369/3*控制台!J$102</f>
        <v>26181818.1818182</v>
      </c>
      <c r="M369" s="1">
        <f ca="1">_xlfn.FLOOR.MATH(J369,POWER(10,MAX(2,INT(LOG10(J369)-2))))</f>
        <v>20900000</v>
      </c>
      <c r="N369" s="1">
        <f ca="1">_xlfn.FLOOR.MATH(K369,POWER(10,MAX(2,INT(LOG10(K369)-2))))</f>
        <v>15700000</v>
      </c>
      <c r="O369" s="1">
        <f ca="1">_xlfn.FLOOR.MATH(L369,POWER(10,MAX(2,INT(LOG10(L369)-2))))</f>
        <v>26100000</v>
      </c>
      <c r="P369" s="4" t="str">
        <f ca="1" t="shared" si="15"/>
        <v>20900000;15700000;26100000</v>
      </c>
      <c r="Q369" s="15">
        <f ca="1">IF(C369=1,OFFSET(控制台!$H$599,MATCH(F369,控制台!$B$599:$B$615,0)-1,0),OFFSET(控制台!$H$618,MATCH(F369,控制台!$B$618:$B$636,0)-1,0))</f>
        <v>812602.368000001</v>
      </c>
      <c r="R369" s="15">
        <f ca="1">IF(E369=1,Q369/G369,IF(E369=5,Q369/G369*OFFSET(控制台!$D$641,MATCH(B369,控制台!$B$641:$B$645,0)-1,0),Q369/G369*OFFSET(控制台!$H$641,MATCH(B369,控制台!$F$641:$F$650,0)-1,0)))</f>
        <v>73872.9425454546</v>
      </c>
      <c r="S369" s="16">
        <f ca="1">_xlfn.FLOOR.MATH(R369)*60</f>
        <v>4432320</v>
      </c>
      <c r="T369" s="16">
        <f ca="1">8000+IF(C369=1,OFFSET(控制台!$K$599,MATCH(F369,控制台!$B$599:$B$615,0)-1,0),OFFSET(控制台!$K$618,MATCH(F369,控制台!$B$618:$B$636,0)-1,0))</f>
        <v>8029</v>
      </c>
      <c r="U369" s="1">
        <f ca="1">IF(C369=1,OFFSET(控制台!$F$599,MATCH(F369,控制台!$B$599:$B$615,0)-1,0),OFFSET(控制台!$F$618,MATCH(F369,控制台!$B$618:$B$636,0)-1,0))</f>
        <v>402278.4</v>
      </c>
      <c r="V369" s="1">
        <f ca="1">IF(E369=1,U369/G369,IF(E369=5,U369/G369*OFFSET(控制台!$D$641,MATCH(B369,控制台!$B$641:$B$645,0)-1,0),U369/G369*OFFSET(控制台!$H$641,MATCH(B369,控制台!$F$641:$F$650,0)-1,0)))</f>
        <v>36570.7636363637</v>
      </c>
      <c r="W369" s="20">
        <f ca="1" t="shared" si="16"/>
        <v>25.3963636363637</v>
      </c>
      <c r="X369" s="15">
        <f ca="1">IF(C369=1,OFFSET(控制台!$U$599,MATCH(F369,控制台!$B$599:$B$615,0)-1,0),OFFSET(控制台!$U$618,MATCH(F369,控制台!$B$618:$B$636,0)-1,0))</f>
        <v>1235250</v>
      </c>
      <c r="Y369" s="16">
        <f ca="1">_xlfn.FLOOR.MATH(IF(E369=1,X369/G369,IF(E369=5,X369/G369*OFFSET(控制台!$D$641,MATCH(B369,控制台!$B$641:$B$645,0)-1,0),X369/G369*OFFSET(控制台!$H$641,MATCH(B369,控制台!$F$641:$F$650,0)-1,0))))</f>
        <v>112295</v>
      </c>
      <c r="Z369" s="16">
        <f ca="1" t="shared" si="17"/>
        <v>336883</v>
      </c>
    </row>
    <row r="370" spans="1:26">
      <c r="A370" s="1">
        <v>21602</v>
      </c>
      <c r="B370" s="1">
        <v>8</v>
      </c>
      <c r="C370" s="1">
        <v>2</v>
      </c>
      <c r="D370" s="1" t="s">
        <v>2839</v>
      </c>
      <c r="E370" s="1">
        <f ca="1">IF(C370=1,OFFSET(控制台!$F$552,MATCH(A370,控制台!$B$552:$B$580,0)-1,0),OFFSET(控制台!$L$552,MATCH(A370,控制台!$H$552:$H$594,0)-1,0))</f>
        <v>10</v>
      </c>
      <c r="F370" s="1">
        <f ca="1">IF(C370=1,OFFSET(控制台!$D$552,MATCH(A370,控制台!$B$552:$B$580,0)-1,0),OFFSET(控制台!$J$552,MATCH(A370,控制台!$H$552:$H$594,0)-1,0))</f>
        <v>16</v>
      </c>
      <c r="G370" s="1">
        <f ca="1">IF(C370=1,OFFSET(控制台!$I$599,MATCH(F370,控制台!$B$599:$B$615,0)-1,0),OFFSET(控制台!$I$618,MATCH(F370,控制台!$B$618:$B$636,0)-1,0))</f>
        <v>1</v>
      </c>
      <c r="H370" s="1">
        <f ca="1">IF(C370=1,OFFSET(控制台!$D$599,MATCH(F370,控制台!$B$599:$B$615,0)-1,0),OFFSET(控制台!$D$618,MATCH(F370,控制台!$B$618:$B$636,0)-1,0))</f>
        <v>691200000</v>
      </c>
      <c r="I370" s="1">
        <f ca="1">IF(E370=1,H370/G370,IF(E370=5,H370/G370*OFFSET(控制台!$D$641,MATCH(B370,控制台!$B$641:$B$645,0)-1,0),H370/G370*OFFSET(控制台!$H$641,MATCH(B370,控制台!$F$641:$F$650,0)-1,0)))</f>
        <v>94254545.4545452</v>
      </c>
      <c r="J370" s="1">
        <f ca="1">$I370/3*控制台!H$102</f>
        <v>31418181.8181817</v>
      </c>
      <c r="K370" s="1">
        <f ca="1">$I370/3*控制台!I$102</f>
        <v>23563636.3636363</v>
      </c>
      <c r="L370" s="1">
        <f ca="1">$I370/3*控制台!J$102</f>
        <v>39272727.2727272</v>
      </c>
      <c r="M370" s="1">
        <f ca="1">_xlfn.FLOOR.MATH(J370,POWER(10,MAX(2,INT(LOG10(J370)-2))))</f>
        <v>31400000</v>
      </c>
      <c r="N370" s="1">
        <f ca="1">_xlfn.FLOOR.MATH(K370,POWER(10,MAX(2,INT(LOG10(K370)-2))))</f>
        <v>23500000</v>
      </c>
      <c r="O370" s="1">
        <f ca="1">_xlfn.FLOOR.MATH(L370,POWER(10,MAX(2,INT(LOG10(L370)-2))))</f>
        <v>39200000</v>
      </c>
      <c r="P370" s="4" t="str">
        <f ca="1" t="shared" si="15"/>
        <v>31400000;23500000;39200000</v>
      </c>
      <c r="Q370" s="15">
        <f ca="1">IF(C370=1,OFFSET(控制台!$H$599,MATCH(F370,控制台!$B$599:$B$615,0)-1,0),OFFSET(控制台!$H$618,MATCH(F370,控制台!$B$618:$B$636,0)-1,0))</f>
        <v>812602.368000001</v>
      </c>
      <c r="R370" s="15">
        <f ca="1">IF(E370=1,Q370/G370,IF(E370=5,Q370/G370*OFFSET(控制台!$D$641,MATCH(B370,控制台!$B$641:$B$645,0)-1,0),Q370/G370*OFFSET(控制台!$H$641,MATCH(B370,控制台!$F$641:$F$650,0)-1,0)))</f>
        <v>110809.413818182</v>
      </c>
      <c r="S370" s="16">
        <f ca="1">_xlfn.FLOOR.MATH(R370)*60</f>
        <v>6648540</v>
      </c>
      <c r="T370" s="16">
        <f ca="1">8000+IF(C370=1,OFFSET(控制台!$K$599,MATCH(F370,控制台!$B$599:$B$615,0)-1,0),OFFSET(控制台!$K$618,MATCH(F370,控制台!$B$618:$B$636,0)-1,0))</f>
        <v>8029</v>
      </c>
      <c r="U370" s="1">
        <f ca="1">IF(C370=1,OFFSET(控制台!$F$599,MATCH(F370,控制台!$B$599:$B$615,0)-1,0),OFFSET(控制台!$F$618,MATCH(F370,控制台!$B$618:$B$636,0)-1,0))</f>
        <v>402278.4</v>
      </c>
      <c r="V370" s="1">
        <f ca="1">IF(E370=1,U370/G370,IF(E370=5,U370/G370*OFFSET(控制台!$D$641,MATCH(B370,控制台!$B$641:$B$645,0)-1,0),U370/G370*OFFSET(控制台!$H$641,MATCH(B370,控制台!$F$641:$F$650,0)-1,0)))</f>
        <v>54856.1454545454</v>
      </c>
      <c r="W370" s="20">
        <f ca="1" t="shared" si="16"/>
        <v>38.0945454545454</v>
      </c>
      <c r="X370" s="15">
        <f ca="1">IF(C370=1,OFFSET(控制台!$U$599,MATCH(F370,控制台!$B$599:$B$615,0)-1,0),OFFSET(控制台!$U$618,MATCH(F370,控制台!$B$618:$B$636,0)-1,0))</f>
        <v>1235250</v>
      </c>
      <c r="Y370" s="16">
        <f ca="1">_xlfn.FLOOR.MATH(IF(E370=1,X370/G370,IF(E370=5,X370/G370*OFFSET(控制台!$D$641,MATCH(B370,控制台!$B$641:$B$645,0)-1,0),X370/G370*OFFSET(控制台!$H$641,MATCH(B370,控制台!$F$641:$F$650,0)-1,0))))</f>
        <v>168443</v>
      </c>
      <c r="Z370" s="16">
        <f ca="1" t="shared" si="17"/>
        <v>505326</v>
      </c>
    </row>
    <row r="371" spans="1:26">
      <c r="A371" s="1">
        <v>21602</v>
      </c>
      <c r="B371" s="1">
        <v>9</v>
      </c>
      <c r="C371" s="1">
        <v>2</v>
      </c>
      <c r="D371" s="1" t="s">
        <v>2839</v>
      </c>
      <c r="E371" s="1">
        <f ca="1">IF(C371=1,OFFSET(控制台!$F$552,MATCH(A371,控制台!$B$552:$B$580,0)-1,0),OFFSET(控制台!$L$552,MATCH(A371,控制台!$H$552:$H$594,0)-1,0))</f>
        <v>10</v>
      </c>
      <c r="F371" s="1">
        <f ca="1">IF(C371=1,OFFSET(控制台!$D$552,MATCH(A371,控制台!$B$552:$B$580,0)-1,0),OFFSET(控制台!$J$552,MATCH(A371,控制台!$H$552:$H$594,0)-1,0))</f>
        <v>16</v>
      </c>
      <c r="G371" s="1">
        <f ca="1">IF(C371=1,OFFSET(控制台!$I$599,MATCH(F371,控制台!$B$599:$B$615,0)-1,0),OFFSET(控制台!$I$618,MATCH(F371,控制台!$B$618:$B$636,0)-1,0))</f>
        <v>1</v>
      </c>
      <c r="H371" s="1">
        <f ca="1">IF(C371=1,OFFSET(控制台!$D$599,MATCH(F371,控制台!$B$599:$B$615,0)-1,0),OFFSET(控制台!$D$618,MATCH(F371,控制台!$B$618:$B$636,0)-1,0))</f>
        <v>691200000</v>
      </c>
      <c r="I371" s="1">
        <f ca="1">IF(E371=1,H371/G371,IF(E371=5,H371/G371*OFFSET(控制台!$D$641,MATCH(B371,控制台!$B$641:$B$645,0)-1,0),H371/G371*OFFSET(控制台!$H$641,MATCH(B371,控制台!$F$641:$F$650,0)-1,0)))</f>
        <v>157090909.090909</v>
      </c>
      <c r="J371" s="1">
        <f ca="1">$I371/3*控制台!H$102</f>
        <v>52363636.3636363</v>
      </c>
      <c r="K371" s="1">
        <f ca="1">$I371/3*控制台!I$102</f>
        <v>39272727.2727272</v>
      </c>
      <c r="L371" s="1">
        <f ca="1">$I371/3*控制台!J$102</f>
        <v>65454545.4545454</v>
      </c>
      <c r="M371" s="1">
        <f ca="1">_xlfn.FLOOR.MATH(J371,POWER(10,MAX(2,INT(LOG10(J371)-2))))</f>
        <v>52300000</v>
      </c>
      <c r="N371" s="1">
        <f ca="1">_xlfn.FLOOR.MATH(K371,POWER(10,MAX(2,INT(LOG10(K371)-2))))</f>
        <v>39200000</v>
      </c>
      <c r="O371" s="1">
        <f ca="1">_xlfn.FLOOR.MATH(L371,POWER(10,MAX(2,INT(LOG10(L371)-2))))</f>
        <v>65400000</v>
      </c>
      <c r="P371" s="4" t="str">
        <f ca="1" t="shared" si="15"/>
        <v>52300000;39200000;65400000</v>
      </c>
      <c r="Q371" s="15">
        <f ca="1">IF(C371=1,OFFSET(控制台!$H$599,MATCH(F371,控制台!$B$599:$B$615,0)-1,0),OFFSET(控制台!$H$618,MATCH(F371,控制台!$B$618:$B$636,0)-1,0))</f>
        <v>812602.368000001</v>
      </c>
      <c r="R371" s="15">
        <f ca="1">IF(E371=1,Q371/G371,IF(E371=5,Q371/G371*OFFSET(控制台!$D$641,MATCH(B371,控制台!$B$641:$B$645,0)-1,0),Q371/G371*OFFSET(控制台!$H$641,MATCH(B371,控制台!$F$641:$F$650,0)-1,0)))</f>
        <v>184682.356363636</v>
      </c>
      <c r="S371" s="16">
        <f ca="1">_xlfn.FLOOR.MATH(R371)*60</f>
        <v>11080920</v>
      </c>
      <c r="T371" s="16">
        <f ca="1">8000+IF(C371=1,OFFSET(控制台!$K$599,MATCH(F371,控制台!$B$599:$B$615,0)-1,0),OFFSET(控制台!$K$618,MATCH(F371,控制台!$B$618:$B$636,0)-1,0))</f>
        <v>8029</v>
      </c>
      <c r="U371" s="1">
        <f ca="1">IF(C371=1,OFFSET(控制台!$F$599,MATCH(F371,控制台!$B$599:$B$615,0)-1,0),OFFSET(控制台!$F$618,MATCH(F371,控制台!$B$618:$B$636,0)-1,0))</f>
        <v>402278.4</v>
      </c>
      <c r="V371" s="1">
        <f ca="1">IF(E371=1,U371/G371,IF(E371=5,U371/G371*OFFSET(控制台!$D$641,MATCH(B371,控制台!$B$641:$B$645,0)-1,0),U371/G371*OFFSET(控制台!$H$641,MATCH(B371,控制台!$F$641:$F$650,0)-1,0)))</f>
        <v>91426.9090909091</v>
      </c>
      <c r="W371" s="20">
        <f ca="1" t="shared" si="16"/>
        <v>63.4909090909091</v>
      </c>
      <c r="X371" s="15">
        <f ca="1">IF(C371=1,OFFSET(控制台!$U$599,MATCH(F371,控制台!$B$599:$B$615,0)-1,0),OFFSET(控制台!$U$618,MATCH(F371,控制台!$B$618:$B$636,0)-1,0))</f>
        <v>1235250</v>
      </c>
      <c r="Y371" s="16">
        <f ca="1">_xlfn.FLOOR.MATH(IF(E371=1,X371/G371,IF(E371=5,X371/G371*OFFSET(控制台!$D$641,MATCH(B371,控制台!$B$641:$B$645,0)-1,0),X371/G371*OFFSET(控制台!$H$641,MATCH(B371,控制台!$F$641:$F$650,0)-1,0))))</f>
        <v>280738</v>
      </c>
      <c r="Z371" s="16">
        <f ca="1" t="shared" si="17"/>
        <v>786064</v>
      </c>
    </row>
    <row r="372" spans="1:26">
      <c r="A372" s="1">
        <v>21602</v>
      </c>
      <c r="B372" s="1">
        <v>10</v>
      </c>
      <c r="C372" s="1">
        <v>2</v>
      </c>
      <c r="D372" s="1" t="s">
        <v>2839</v>
      </c>
      <c r="E372" s="1">
        <f ca="1">IF(C372=1,OFFSET(控制台!$F$552,MATCH(A372,控制台!$B$552:$B$580,0)-1,0),OFFSET(控制台!$L$552,MATCH(A372,控制台!$H$552:$H$594,0)-1,0))</f>
        <v>10</v>
      </c>
      <c r="F372" s="1">
        <f ca="1">IF(C372=1,OFFSET(控制台!$D$552,MATCH(A372,控制台!$B$552:$B$580,0)-1,0),OFFSET(控制台!$J$552,MATCH(A372,控制台!$H$552:$H$594,0)-1,0))</f>
        <v>16</v>
      </c>
      <c r="G372" s="1">
        <f ca="1">IF(C372=1,OFFSET(控制台!$I$599,MATCH(F372,控制台!$B$599:$B$615,0)-1,0),OFFSET(控制台!$I$618,MATCH(F372,控制台!$B$618:$B$636,0)-1,0))</f>
        <v>1</v>
      </c>
      <c r="H372" s="1">
        <f ca="1">IF(C372=1,OFFSET(控制台!$D$599,MATCH(F372,控制台!$B$599:$B$615,0)-1,0),OFFSET(控制台!$D$618,MATCH(F372,控制台!$B$618:$B$636,0)-1,0))</f>
        <v>691200000</v>
      </c>
      <c r="I372" s="1">
        <f ca="1">IF(E372=1,H372/G372,IF(E372=5,H372/G372*OFFSET(控制台!$D$641,MATCH(B372,控制台!$B$641:$B$645,0)-1,0),H372/G372*OFFSET(控制台!$H$641,MATCH(B372,控制台!$F$641:$F$650,0)-1,0)))</f>
        <v>251345454.545455</v>
      </c>
      <c r="J372" s="1">
        <f ca="1">$I372/3*控制台!H$102</f>
        <v>83781818.1818183</v>
      </c>
      <c r="K372" s="1">
        <f ca="1">$I372/3*控制台!I$102</f>
        <v>62836363.6363637</v>
      </c>
      <c r="L372" s="1">
        <f ca="1">$I372/3*控制台!J$102</f>
        <v>104727272.727273</v>
      </c>
      <c r="M372" s="1">
        <f ca="1">_xlfn.FLOOR.MATH(J372,POWER(10,MAX(2,INT(LOG10(J372)-2))))</f>
        <v>83700000</v>
      </c>
      <c r="N372" s="1">
        <f ca="1">_xlfn.FLOOR.MATH(K372,POWER(10,MAX(2,INT(LOG10(K372)-2))))</f>
        <v>62800000</v>
      </c>
      <c r="O372" s="1">
        <f ca="1">_xlfn.FLOOR.MATH(L372,POWER(10,MAX(2,INT(LOG10(L372)-2))))</f>
        <v>104000000</v>
      </c>
      <c r="P372" s="4" t="str">
        <f ca="1" t="shared" si="15"/>
        <v>83700000;62800000;104000000</v>
      </c>
      <c r="Q372" s="15">
        <f ca="1">IF(C372=1,OFFSET(控制台!$H$599,MATCH(F372,控制台!$B$599:$B$615,0)-1,0),OFFSET(控制台!$H$618,MATCH(F372,控制台!$B$618:$B$636,0)-1,0))</f>
        <v>812602.368000001</v>
      </c>
      <c r="R372" s="15">
        <f ca="1">IF(E372=1,Q372/G372,IF(E372=5,Q372/G372*OFFSET(控制台!$D$641,MATCH(B372,控制台!$B$641:$B$645,0)-1,0),Q372/G372*OFFSET(控制台!$H$641,MATCH(B372,控制台!$F$641:$F$650,0)-1,0)))</f>
        <v>295491.770181819</v>
      </c>
      <c r="S372" s="16">
        <f ca="1">_xlfn.FLOOR.MATH(R372)*60</f>
        <v>17729460</v>
      </c>
      <c r="T372" s="16">
        <f ca="1">8000+IF(C372=1,OFFSET(控制台!$K$599,MATCH(F372,控制台!$B$599:$B$615,0)-1,0),OFFSET(控制台!$K$618,MATCH(F372,控制台!$B$618:$B$636,0)-1,0))</f>
        <v>8029</v>
      </c>
      <c r="U372" s="1">
        <f ca="1">IF(C372=1,OFFSET(控制台!$F$599,MATCH(F372,控制台!$B$599:$B$615,0)-1,0),OFFSET(控制台!$F$618,MATCH(F372,控制台!$B$618:$B$636,0)-1,0))</f>
        <v>402278.4</v>
      </c>
      <c r="V372" s="1">
        <f ca="1">IF(E372=1,U372/G372,IF(E372=5,U372/G372*OFFSET(控制台!$D$641,MATCH(B372,控制台!$B$641:$B$645,0)-1,0),U372/G372*OFFSET(控制台!$H$641,MATCH(B372,控制台!$F$641:$F$650,0)-1,0)))</f>
        <v>146283.054545455</v>
      </c>
      <c r="W372" s="20">
        <f ca="1" t="shared" si="16"/>
        <v>101.585454545455</v>
      </c>
      <c r="X372" s="15">
        <f ca="1">IF(C372=1,OFFSET(控制台!$U$599,MATCH(F372,控制台!$B$599:$B$615,0)-1,0),OFFSET(控制台!$U$618,MATCH(F372,控制台!$B$618:$B$636,0)-1,0))</f>
        <v>1235250</v>
      </c>
      <c r="Y372" s="16">
        <f ca="1">_xlfn.FLOOR.MATH(IF(E372=1,X372/G372,IF(E372=5,X372/G372*OFFSET(控制台!$D$641,MATCH(B372,控制台!$B$641:$B$645,0)-1,0),X372/G372*OFFSET(控制台!$H$641,MATCH(B372,控制台!$F$641:$F$650,0)-1,0))))</f>
        <v>449181</v>
      </c>
      <c r="Z372" s="16">
        <f ca="1" t="shared" si="17"/>
        <v>1235245</v>
      </c>
    </row>
    <row r="373" spans="1:26">
      <c r="A373" s="1">
        <v>21701</v>
      </c>
      <c r="B373" s="1">
        <v>1</v>
      </c>
      <c r="C373" s="1">
        <v>2</v>
      </c>
      <c r="D373" s="1" t="s">
        <v>2840</v>
      </c>
      <c r="E373" s="1">
        <f ca="1">IF(C373=1,OFFSET(控制台!$F$552,MATCH(A373,控制台!$B$552:$B$580,0)-1,0),OFFSET(控制台!$L$552,MATCH(A373,控制台!$H$552:$H$594,0)-1,0))</f>
        <v>10</v>
      </c>
      <c r="F373" s="1">
        <f ca="1">IF(C373=1,OFFSET(控制台!$D$552,MATCH(A373,控制台!$B$552:$B$580,0)-1,0),OFFSET(控制台!$J$552,MATCH(A373,控制台!$H$552:$H$594,0)-1,0))</f>
        <v>17</v>
      </c>
      <c r="G373" s="1">
        <f ca="1">IF(C373=1,OFFSET(控制台!$I$599,MATCH(F373,控制台!$B$599:$B$615,0)-1,0),OFFSET(控制台!$I$618,MATCH(F373,控制台!$B$618:$B$636,0)-1,0))</f>
        <v>2</v>
      </c>
      <c r="H373" s="1">
        <f ca="1">IF(C373=1,OFFSET(控制台!$D$599,MATCH(F373,控制台!$B$599:$B$615,0)-1,0),OFFSET(控制台!$D$618,MATCH(F373,控制台!$B$618:$B$636,0)-1,0))</f>
        <v>2131200000</v>
      </c>
      <c r="I373" s="1">
        <f ca="1">IF(E373=1,H373/G373,IF(E373=5,H373/G373*OFFSET(控制台!$D$641,MATCH(B373,控制台!$B$641:$B$645,0)-1,0),H373/G373*OFFSET(控制台!$H$641,MATCH(B373,控制台!$F$641:$F$650,0)-1,0)))</f>
        <v>9687272.72727273</v>
      </c>
      <c r="J373" s="1">
        <f ca="1">$I373/3*控制台!H$102</f>
        <v>3229090.90909091</v>
      </c>
      <c r="K373" s="1">
        <f ca="1">$I373/3*控制台!I$102</f>
        <v>2421818.18181818</v>
      </c>
      <c r="L373" s="1">
        <f ca="1">$I373/3*控制台!J$102</f>
        <v>4036363.63636364</v>
      </c>
      <c r="M373" s="1">
        <f ca="1">_xlfn.FLOOR.MATH(J373,POWER(10,MAX(2,INT(LOG10(J373)-2))))</f>
        <v>3220000</v>
      </c>
      <c r="N373" s="1">
        <f ca="1">_xlfn.FLOOR.MATH(K373,POWER(10,MAX(2,INT(LOG10(K373)-2))))</f>
        <v>2420000</v>
      </c>
      <c r="O373" s="1">
        <f ca="1">_xlfn.FLOOR.MATH(L373,POWER(10,MAX(2,INT(LOG10(L373)-2))))</f>
        <v>4030000</v>
      </c>
      <c r="P373" s="4" t="str">
        <f ca="1" t="shared" si="15"/>
        <v>3220000;2420000;4030000</v>
      </c>
      <c r="Q373" s="15">
        <f ca="1">IF(C373=1,OFFSET(控制台!$H$599,MATCH(F373,控制台!$B$599:$B$615,0)-1,0),OFFSET(控制台!$H$618,MATCH(F373,控制台!$B$618:$B$636,0)-1,0))</f>
        <v>2533524.48</v>
      </c>
      <c r="R373" s="15">
        <f ca="1">IF(E373=1,Q373/G373,IF(E373=5,Q373/G373*OFFSET(控制台!$D$641,MATCH(B373,控制台!$B$641:$B$645,0)-1,0),Q373/G373*OFFSET(控制台!$H$641,MATCH(B373,控制台!$F$641:$F$650,0)-1,0)))</f>
        <v>11516.0203636364</v>
      </c>
      <c r="S373" s="16">
        <f ca="1">_xlfn.FLOOR.MATH(R373)*60</f>
        <v>690960</v>
      </c>
      <c r="T373" s="16">
        <f ca="1">8000+IF(C373=1,OFFSET(控制台!$K$599,MATCH(F373,控制台!$B$599:$B$615,0)-1,0),OFFSET(控制台!$K$618,MATCH(F373,控制台!$B$618:$B$636,0)-1,0))</f>
        <v>8030</v>
      </c>
      <c r="U373" s="1">
        <f ca="1">IF(C373=1,OFFSET(控制台!$F$599,MATCH(F373,控制台!$B$599:$B$615,0)-1,0),OFFSET(控制台!$F$618,MATCH(F373,控制台!$B$618:$B$636,0)-1,0))</f>
        <v>1235865.6</v>
      </c>
      <c r="V373" s="1">
        <f ca="1">IF(E373=1,U373/G373,IF(E373=5,U373/G373*OFFSET(控制台!$D$641,MATCH(B373,控制台!$B$641:$B$645,0)-1,0),U373/G373*OFFSET(控制台!$H$641,MATCH(B373,控制台!$F$641:$F$650,0)-1,0)))</f>
        <v>5617.57090909091</v>
      </c>
      <c r="W373" s="20">
        <f ca="1" t="shared" si="16"/>
        <v>3.90109090909091</v>
      </c>
      <c r="X373" s="15">
        <f ca="1">IF(C373=1,OFFSET(控制台!$U$599,MATCH(F373,控制台!$B$599:$B$615,0)-1,0),OFFSET(控制台!$U$618,MATCH(F373,控制台!$B$618:$B$636,0)-1,0))</f>
        <v>3796500</v>
      </c>
      <c r="Y373" s="16">
        <f ca="1">_xlfn.FLOOR.MATH(IF(E373=1,X373/G373,IF(E373=5,X373/G373*OFFSET(控制台!$D$641,MATCH(B373,控制台!$B$641:$B$645,0)-1,0),X373/G373*OFFSET(控制台!$H$641,MATCH(B373,控制台!$F$641:$F$650,0)-1,0))))</f>
        <v>17256</v>
      </c>
      <c r="Z373" s="16">
        <f ca="1" t="shared" si="17"/>
        <v>17256</v>
      </c>
    </row>
    <row r="374" spans="1:26">
      <c r="A374" s="1">
        <v>21701</v>
      </c>
      <c r="B374" s="1">
        <v>2</v>
      </c>
      <c r="C374" s="1">
        <v>2</v>
      </c>
      <c r="D374" s="1" t="s">
        <v>2840</v>
      </c>
      <c r="E374" s="1">
        <f ca="1">IF(C374=1,OFFSET(控制台!$F$552,MATCH(A374,控制台!$B$552:$B$580,0)-1,0),OFFSET(控制台!$L$552,MATCH(A374,控制台!$H$552:$H$594,0)-1,0))</f>
        <v>10</v>
      </c>
      <c r="F374" s="1">
        <f ca="1">IF(C374=1,OFFSET(控制台!$D$552,MATCH(A374,控制台!$B$552:$B$580,0)-1,0),OFFSET(控制台!$J$552,MATCH(A374,控制台!$H$552:$H$594,0)-1,0))</f>
        <v>17</v>
      </c>
      <c r="G374" s="1">
        <f ca="1">IF(C374=1,OFFSET(控制台!$I$599,MATCH(F374,控制台!$B$599:$B$615,0)-1,0),OFFSET(控制台!$I$618,MATCH(F374,控制台!$B$618:$B$636,0)-1,0))</f>
        <v>2</v>
      </c>
      <c r="H374" s="1">
        <f ca="1">IF(C374=1,OFFSET(控制台!$D$599,MATCH(F374,控制台!$B$599:$B$615,0)-1,0),OFFSET(控制台!$D$618,MATCH(F374,控制台!$B$618:$B$636,0)-1,0))</f>
        <v>2131200000</v>
      </c>
      <c r="I374" s="1">
        <f ca="1">IF(E374=1,H374/G374,IF(E374=5,H374/G374*OFFSET(控制台!$D$641,MATCH(B374,控制台!$B$641:$B$645,0)-1,0),H374/G374*OFFSET(控制台!$H$641,MATCH(B374,控制台!$F$641:$F$650,0)-1,0)))</f>
        <v>14530909.0909091</v>
      </c>
      <c r="J374" s="1">
        <f ca="1">$I374/3*控制台!H$102</f>
        <v>4843636.36363635</v>
      </c>
      <c r="K374" s="1">
        <f ca="1">$I374/3*控制台!I$102</f>
        <v>3632727.27272726</v>
      </c>
      <c r="L374" s="1">
        <f ca="1">$I374/3*控制台!J$102</f>
        <v>6054545.45454544</v>
      </c>
      <c r="M374" s="1">
        <f ca="1">_xlfn.FLOOR.MATH(J374,POWER(10,MAX(2,INT(LOG10(J374)-2))))</f>
        <v>4840000</v>
      </c>
      <c r="N374" s="1">
        <f ca="1">_xlfn.FLOOR.MATH(K374,POWER(10,MAX(2,INT(LOG10(K374)-2))))</f>
        <v>3630000</v>
      </c>
      <c r="O374" s="1">
        <f ca="1">_xlfn.FLOOR.MATH(L374,POWER(10,MAX(2,INT(LOG10(L374)-2))))</f>
        <v>6050000</v>
      </c>
      <c r="P374" s="4" t="str">
        <f ca="1" t="shared" si="15"/>
        <v>4840000;3630000;6050000</v>
      </c>
      <c r="Q374" s="15">
        <f ca="1">IF(C374=1,OFFSET(控制台!$H$599,MATCH(F374,控制台!$B$599:$B$615,0)-1,0),OFFSET(控制台!$H$618,MATCH(F374,控制台!$B$618:$B$636,0)-1,0))</f>
        <v>2533524.48</v>
      </c>
      <c r="R374" s="15">
        <f ca="1">IF(E374=1,Q374/G374,IF(E374=5,Q374/G374*OFFSET(控制台!$D$641,MATCH(B374,控制台!$B$641:$B$645,0)-1,0),Q374/G374*OFFSET(控制台!$H$641,MATCH(B374,控制台!$F$641:$F$650,0)-1,0)))</f>
        <v>17274.0305454545</v>
      </c>
      <c r="S374" s="16">
        <f ca="1">_xlfn.FLOOR.MATH(R374)*60</f>
        <v>1036440</v>
      </c>
      <c r="T374" s="16">
        <f ca="1">8000+IF(C374=1,OFFSET(控制台!$K$599,MATCH(F374,控制台!$B$599:$B$615,0)-1,0),OFFSET(控制台!$K$618,MATCH(F374,控制台!$B$618:$B$636,0)-1,0))</f>
        <v>8030</v>
      </c>
      <c r="U374" s="1">
        <f ca="1">IF(C374=1,OFFSET(控制台!$F$599,MATCH(F374,控制台!$B$599:$B$615,0)-1,0),OFFSET(控制台!$F$618,MATCH(F374,控制台!$B$618:$B$636,0)-1,0))</f>
        <v>1235865.6</v>
      </c>
      <c r="V374" s="1">
        <f ca="1">IF(E374=1,U374/G374,IF(E374=5,U374/G374*OFFSET(控制台!$D$641,MATCH(B374,控制台!$B$641:$B$645,0)-1,0),U374/G374*OFFSET(控制台!$H$641,MATCH(B374,控制台!$F$641:$F$650,0)-1,0)))</f>
        <v>8426.35636363635</v>
      </c>
      <c r="W374" s="20">
        <f ca="1" t="shared" si="16"/>
        <v>5.85163636363635</v>
      </c>
      <c r="X374" s="15">
        <f ca="1">IF(C374=1,OFFSET(控制台!$U$599,MATCH(F374,控制台!$B$599:$B$615,0)-1,0),OFFSET(控制台!$U$618,MATCH(F374,控制台!$B$618:$B$636,0)-1,0))</f>
        <v>3796500</v>
      </c>
      <c r="Y374" s="16">
        <f ca="1">_xlfn.FLOOR.MATH(IF(E374=1,X374/G374,IF(E374=5,X374/G374*OFFSET(控制台!$D$641,MATCH(B374,控制台!$B$641:$B$645,0)-1,0),X374/G374*OFFSET(控制台!$H$641,MATCH(B374,控制台!$F$641:$F$650,0)-1,0))))</f>
        <v>25885</v>
      </c>
      <c r="Z374" s="16">
        <f ca="1" t="shared" si="17"/>
        <v>43141</v>
      </c>
    </row>
    <row r="375" spans="1:26">
      <c r="A375" s="1">
        <v>21701</v>
      </c>
      <c r="B375" s="1">
        <v>3</v>
      </c>
      <c r="C375" s="1">
        <v>2</v>
      </c>
      <c r="D375" s="1" t="s">
        <v>2840</v>
      </c>
      <c r="E375" s="1">
        <f ca="1">IF(C375=1,OFFSET(控制台!$F$552,MATCH(A375,控制台!$B$552:$B$580,0)-1,0),OFFSET(控制台!$L$552,MATCH(A375,控制台!$H$552:$H$594,0)-1,0))</f>
        <v>10</v>
      </c>
      <c r="F375" s="1">
        <f ca="1">IF(C375=1,OFFSET(控制台!$D$552,MATCH(A375,控制台!$B$552:$B$580,0)-1,0),OFFSET(控制台!$J$552,MATCH(A375,控制台!$H$552:$H$594,0)-1,0))</f>
        <v>17</v>
      </c>
      <c r="G375" s="1">
        <f ca="1">IF(C375=1,OFFSET(控制台!$I$599,MATCH(F375,控制台!$B$599:$B$615,0)-1,0),OFFSET(控制台!$I$618,MATCH(F375,控制台!$B$618:$B$636,0)-1,0))</f>
        <v>2</v>
      </c>
      <c r="H375" s="1">
        <f ca="1">IF(C375=1,OFFSET(控制台!$D$599,MATCH(F375,控制台!$B$599:$B$615,0)-1,0),OFFSET(控制台!$D$618,MATCH(F375,控制台!$B$618:$B$636,0)-1,0))</f>
        <v>2131200000</v>
      </c>
      <c r="I375" s="1">
        <f ca="1">IF(E375=1,H375/G375,IF(E375=5,H375/G375*OFFSET(控制台!$D$641,MATCH(B375,控制台!$B$641:$B$645,0)-1,0),H375/G375*OFFSET(控制台!$H$641,MATCH(B375,控制台!$F$641:$F$650,0)-1,0)))</f>
        <v>19374545.4545455</v>
      </c>
      <c r="J375" s="1">
        <f ca="1">$I375/3*控制台!H$102</f>
        <v>6458181.81818182</v>
      </c>
      <c r="K375" s="1">
        <f ca="1">$I375/3*控制台!I$102</f>
        <v>4843636.36363637</v>
      </c>
      <c r="L375" s="1">
        <f ca="1">$I375/3*控制台!J$102</f>
        <v>8072727.27272728</v>
      </c>
      <c r="M375" s="1">
        <f ca="1">_xlfn.FLOOR.MATH(J375,POWER(10,MAX(2,INT(LOG10(J375)-2))))</f>
        <v>6450000</v>
      </c>
      <c r="N375" s="1">
        <f ca="1">_xlfn.FLOOR.MATH(K375,POWER(10,MAX(2,INT(LOG10(K375)-2))))</f>
        <v>4840000</v>
      </c>
      <c r="O375" s="1">
        <f ca="1">_xlfn.FLOOR.MATH(L375,POWER(10,MAX(2,INT(LOG10(L375)-2))))</f>
        <v>8070000</v>
      </c>
      <c r="P375" s="4" t="str">
        <f ca="1" t="shared" si="15"/>
        <v>6450000;4840000;8070000</v>
      </c>
      <c r="Q375" s="15">
        <f ca="1">IF(C375=1,OFFSET(控制台!$H$599,MATCH(F375,控制台!$B$599:$B$615,0)-1,0),OFFSET(控制台!$H$618,MATCH(F375,控制台!$B$618:$B$636,0)-1,0))</f>
        <v>2533524.48</v>
      </c>
      <c r="R375" s="15">
        <f ca="1">IF(E375=1,Q375/G375,IF(E375=5,Q375/G375*OFFSET(控制台!$D$641,MATCH(B375,控制台!$B$641:$B$645,0)-1,0),Q375/G375*OFFSET(控制台!$H$641,MATCH(B375,控制台!$F$641:$F$650,0)-1,0)))</f>
        <v>23032.0407272728</v>
      </c>
      <c r="S375" s="16">
        <f ca="1">_xlfn.FLOOR.MATH(R375)*60</f>
        <v>1381920</v>
      </c>
      <c r="T375" s="16">
        <f ca="1">8000+IF(C375=1,OFFSET(控制台!$K$599,MATCH(F375,控制台!$B$599:$B$615,0)-1,0),OFFSET(控制台!$K$618,MATCH(F375,控制台!$B$618:$B$636,0)-1,0))</f>
        <v>8030</v>
      </c>
      <c r="U375" s="1">
        <f ca="1">IF(C375=1,OFFSET(控制台!$F$599,MATCH(F375,控制台!$B$599:$B$615,0)-1,0),OFFSET(控制台!$F$618,MATCH(F375,控制台!$B$618:$B$636,0)-1,0))</f>
        <v>1235865.6</v>
      </c>
      <c r="V375" s="1">
        <f ca="1">IF(E375=1,U375/G375,IF(E375=5,U375/G375*OFFSET(控制台!$D$641,MATCH(B375,控制台!$B$641:$B$645,0)-1,0),U375/G375*OFFSET(控制台!$H$641,MATCH(B375,控制台!$F$641:$F$650,0)-1,0)))</f>
        <v>11235.1418181818</v>
      </c>
      <c r="W375" s="20">
        <f ca="1" t="shared" si="16"/>
        <v>7.80218181818183</v>
      </c>
      <c r="X375" s="15">
        <f ca="1">IF(C375=1,OFFSET(控制台!$U$599,MATCH(F375,控制台!$B$599:$B$615,0)-1,0),OFFSET(控制台!$U$618,MATCH(F375,控制台!$B$618:$B$636,0)-1,0))</f>
        <v>3796500</v>
      </c>
      <c r="Y375" s="16">
        <f ca="1">_xlfn.FLOOR.MATH(IF(E375=1,X375/G375,IF(E375=5,X375/G375*OFFSET(控制台!$D$641,MATCH(B375,控制台!$B$641:$B$645,0)-1,0),X375/G375*OFFSET(控制台!$H$641,MATCH(B375,控制台!$F$641:$F$650,0)-1,0))))</f>
        <v>34513</v>
      </c>
      <c r="Z375" s="16">
        <f ca="1" t="shared" si="17"/>
        <v>77654</v>
      </c>
    </row>
    <row r="376" spans="1:26">
      <c r="A376" s="1">
        <v>21701</v>
      </c>
      <c r="B376" s="1">
        <v>4</v>
      </c>
      <c r="C376" s="1">
        <v>2</v>
      </c>
      <c r="D376" s="1" t="s">
        <v>2840</v>
      </c>
      <c r="E376" s="1">
        <f ca="1">IF(C376=1,OFFSET(控制台!$F$552,MATCH(A376,控制台!$B$552:$B$580,0)-1,0),OFFSET(控制台!$L$552,MATCH(A376,控制台!$H$552:$H$594,0)-1,0))</f>
        <v>10</v>
      </c>
      <c r="F376" s="1">
        <f ca="1">IF(C376=1,OFFSET(控制台!$D$552,MATCH(A376,控制台!$B$552:$B$580,0)-1,0),OFFSET(控制台!$J$552,MATCH(A376,控制台!$H$552:$H$594,0)-1,0))</f>
        <v>17</v>
      </c>
      <c r="G376" s="1">
        <f ca="1">IF(C376=1,OFFSET(控制台!$I$599,MATCH(F376,控制台!$B$599:$B$615,0)-1,0),OFFSET(控制台!$I$618,MATCH(F376,控制台!$B$618:$B$636,0)-1,0))</f>
        <v>2</v>
      </c>
      <c r="H376" s="1">
        <f ca="1">IF(C376=1,OFFSET(控制台!$D$599,MATCH(F376,控制台!$B$599:$B$615,0)-1,0),OFFSET(控制台!$D$618,MATCH(F376,控制台!$B$618:$B$636,0)-1,0))</f>
        <v>2131200000</v>
      </c>
      <c r="I376" s="1">
        <f ca="1">IF(E376=1,H376/G376,IF(E376=5,H376/G376*OFFSET(控制台!$D$641,MATCH(B376,控制台!$B$641:$B$645,0)-1,0),H376/G376*OFFSET(控制台!$H$641,MATCH(B376,控制台!$F$641:$F$650,0)-1,0)))</f>
        <v>29061818.1818182</v>
      </c>
      <c r="J376" s="1">
        <f ca="1">$I376/3*控制台!H$102</f>
        <v>9687272.72727274</v>
      </c>
      <c r="K376" s="1">
        <f ca="1">$I376/3*控制台!I$102</f>
        <v>7265454.54545455</v>
      </c>
      <c r="L376" s="1">
        <f ca="1">$I376/3*控制台!J$102</f>
        <v>12109090.9090909</v>
      </c>
      <c r="M376" s="1">
        <f ca="1">_xlfn.FLOOR.MATH(J376,POWER(10,MAX(2,INT(LOG10(J376)-2))))</f>
        <v>9680000</v>
      </c>
      <c r="N376" s="1">
        <f ca="1">_xlfn.FLOOR.MATH(K376,POWER(10,MAX(2,INT(LOG10(K376)-2))))</f>
        <v>7260000</v>
      </c>
      <c r="O376" s="1">
        <f ca="1">_xlfn.FLOOR.MATH(L376,POWER(10,MAX(2,INT(LOG10(L376)-2))))</f>
        <v>12100000</v>
      </c>
      <c r="P376" s="4" t="str">
        <f ca="1" t="shared" si="15"/>
        <v>9680000;7260000;12100000</v>
      </c>
      <c r="Q376" s="15">
        <f ca="1">IF(C376=1,OFFSET(控制台!$H$599,MATCH(F376,控制台!$B$599:$B$615,0)-1,0),OFFSET(控制台!$H$618,MATCH(F376,控制台!$B$618:$B$636,0)-1,0))</f>
        <v>2533524.48</v>
      </c>
      <c r="R376" s="15">
        <f ca="1">IF(E376=1,Q376/G376,IF(E376=5,Q376/G376*OFFSET(控制台!$D$641,MATCH(B376,控制台!$B$641:$B$645,0)-1,0),Q376/G376*OFFSET(控制台!$H$641,MATCH(B376,控制台!$F$641:$F$650,0)-1,0)))</f>
        <v>34548.0610909091</v>
      </c>
      <c r="S376" s="16">
        <f ca="1">_xlfn.FLOOR.MATH(R376)*60</f>
        <v>2072880</v>
      </c>
      <c r="T376" s="16">
        <f ca="1">8000+IF(C376=1,OFFSET(控制台!$K$599,MATCH(F376,控制台!$B$599:$B$615,0)-1,0),OFFSET(控制台!$K$618,MATCH(F376,控制台!$B$618:$B$636,0)-1,0))</f>
        <v>8030</v>
      </c>
      <c r="U376" s="1">
        <f ca="1">IF(C376=1,OFFSET(控制台!$F$599,MATCH(F376,控制台!$B$599:$B$615,0)-1,0),OFFSET(控制台!$F$618,MATCH(F376,控制台!$B$618:$B$636,0)-1,0))</f>
        <v>1235865.6</v>
      </c>
      <c r="V376" s="1">
        <f ca="1">IF(E376=1,U376/G376,IF(E376=5,U376/G376*OFFSET(控制台!$D$641,MATCH(B376,控制台!$B$641:$B$645,0)-1,0),U376/G376*OFFSET(控制台!$H$641,MATCH(B376,控制台!$F$641:$F$650,0)-1,0)))</f>
        <v>16852.7127272728</v>
      </c>
      <c r="W376" s="20">
        <f ca="1" t="shared" si="16"/>
        <v>11.7032727272727</v>
      </c>
      <c r="X376" s="15">
        <f ca="1">IF(C376=1,OFFSET(控制台!$U$599,MATCH(F376,控制台!$B$599:$B$615,0)-1,0),OFFSET(控制台!$U$618,MATCH(F376,控制台!$B$618:$B$636,0)-1,0))</f>
        <v>3796500</v>
      </c>
      <c r="Y376" s="16">
        <f ca="1">_xlfn.FLOOR.MATH(IF(E376=1,X376/G376,IF(E376=5,X376/G376*OFFSET(控制台!$D$641,MATCH(B376,控制台!$B$641:$B$645,0)-1,0),X376/G376*OFFSET(控制台!$H$641,MATCH(B376,控制台!$F$641:$F$650,0)-1,0))))</f>
        <v>51770</v>
      </c>
      <c r="Z376" s="16">
        <f ca="1" t="shared" si="17"/>
        <v>129424</v>
      </c>
    </row>
    <row r="377" spans="1:26">
      <c r="A377" s="1">
        <v>21701</v>
      </c>
      <c r="B377" s="1">
        <v>5</v>
      </c>
      <c r="C377" s="1">
        <v>2</v>
      </c>
      <c r="D377" s="1" t="s">
        <v>2840</v>
      </c>
      <c r="E377" s="1">
        <f ca="1">IF(C377=1,OFFSET(控制台!$F$552,MATCH(A377,控制台!$B$552:$B$580,0)-1,0),OFFSET(控制台!$L$552,MATCH(A377,控制台!$H$552:$H$594,0)-1,0))</f>
        <v>10</v>
      </c>
      <c r="F377" s="1">
        <f ca="1">IF(C377=1,OFFSET(控制台!$D$552,MATCH(A377,控制台!$B$552:$B$580,0)-1,0),OFFSET(控制台!$J$552,MATCH(A377,控制台!$H$552:$H$594,0)-1,0))</f>
        <v>17</v>
      </c>
      <c r="G377" s="1">
        <f ca="1">IF(C377=1,OFFSET(控制台!$I$599,MATCH(F377,控制台!$B$599:$B$615,0)-1,0),OFFSET(控制台!$I$618,MATCH(F377,控制台!$B$618:$B$636,0)-1,0))</f>
        <v>2</v>
      </c>
      <c r="H377" s="1">
        <f ca="1">IF(C377=1,OFFSET(控制台!$D$599,MATCH(F377,控制台!$B$599:$B$615,0)-1,0),OFFSET(控制台!$D$618,MATCH(F377,控制台!$B$618:$B$636,0)-1,0))</f>
        <v>2131200000</v>
      </c>
      <c r="I377" s="1">
        <f ca="1">IF(E377=1,H377/G377,IF(E377=5,H377/G377*OFFSET(控制台!$D$641,MATCH(B377,控制台!$B$641:$B$645,0)-1,0),H377/G377*OFFSET(控制台!$H$641,MATCH(B377,控制台!$F$641:$F$650,0)-1,0)))</f>
        <v>48436363.6363637</v>
      </c>
      <c r="J377" s="1">
        <f ca="1">$I377/3*控制台!H$102</f>
        <v>16145454.5454546</v>
      </c>
      <c r="K377" s="1">
        <f ca="1">$I377/3*控制台!I$102</f>
        <v>12109090.9090909</v>
      </c>
      <c r="L377" s="1">
        <f ca="1">$I377/3*控制台!J$102</f>
        <v>20181818.1818182</v>
      </c>
      <c r="M377" s="1">
        <f ca="1">_xlfn.FLOOR.MATH(J377,POWER(10,MAX(2,INT(LOG10(J377)-2))))</f>
        <v>16100000</v>
      </c>
      <c r="N377" s="1">
        <f ca="1">_xlfn.FLOOR.MATH(K377,POWER(10,MAX(2,INT(LOG10(K377)-2))))</f>
        <v>12100000</v>
      </c>
      <c r="O377" s="1">
        <f ca="1">_xlfn.FLOOR.MATH(L377,POWER(10,MAX(2,INT(LOG10(L377)-2))))</f>
        <v>20100000</v>
      </c>
      <c r="P377" s="4" t="str">
        <f ca="1" t="shared" si="15"/>
        <v>16100000;12100000;20100000</v>
      </c>
      <c r="Q377" s="15">
        <f ca="1">IF(C377=1,OFFSET(控制台!$H$599,MATCH(F377,控制台!$B$599:$B$615,0)-1,0),OFFSET(控制台!$H$618,MATCH(F377,控制台!$B$618:$B$636,0)-1,0))</f>
        <v>2533524.48</v>
      </c>
      <c r="R377" s="15">
        <f ca="1">IF(E377=1,Q377/G377,IF(E377=5,Q377/G377*OFFSET(控制台!$D$641,MATCH(B377,控制台!$B$641:$B$645,0)-1,0),Q377/G377*OFFSET(控制台!$H$641,MATCH(B377,控制台!$F$641:$F$650,0)-1,0)))</f>
        <v>57580.1018181819</v>
      </c>
      <c r="S377" s="16">
        <f ca="1">_xlfn.FLOOR.MATH(R377)*60</f>
        <v>3454800</v>
      </c>
      <c r="T377" s="16">
        <f ca="1">8000+IF(C377=1,OFFSET(控制台!$K$599,MATCH(F377,控制台!$B$599:$B$615,0)-1,0),OFFSET(控制台!$K$618,MATCH(F377,控制台!$B$618:$B$636,0)-1,0))</f>
        <v>8030</v>
      </c>
      <c r="U377" s="1">
        <f ca="1">IF(C377=1,OFFSET(控制台!$F$599,MATCH(F377,控制台!$B$599:$B$615,0)-1,0),OFFSET(控制台!$F$618,MATCH(F377,控制台!$B$618:$B$636,0)-1,0))</f>
        <v>1235865.6</v>
      </c>
      <c r="V377" s="1">
        <f ca="1">IF(E377=1,U377/G377,IF(E377=5,U377/G377*OFFSET(控制台!$D$641,MATCH(B377,控制台!$B$641:$B$645,0)-1,0),U377/G377*OFFSET(控制台!$H$641,MATCH(B377,控制台!$F$641:$F$650,0)-1,0)))</f>
        <v>28087.8545454546</v>
      </c>
      <c r="W377" s="20">
        <f ca="1" t="shared" si="16"/>
        <v>19.5054545454546</v>
      </c>
      <c r="X377" s="15">
        <f ca="1">IF(C377=1,OFFSET(控制台!$U$599,MATCH(F377,控制台!$B$599:$B$615,0)-1,0),OFFSET(控制台!$U$618,MATCH(F377,控制台!$B$618:$B$636,0)-1,0))</f>
        <v>3796500</v>
      </c>
      <c r="Y377" s="16">
        <f ca="1">_xlfn.FLOOR.MATH(IF(E377=1,X377/G377,IF(E377=5,X377/G377*OFFSET(控制台!$D$641,MATCH(B377,控制台!$B$641:$B$645,0)-1,0),X377/G377*OFFSET(控制台!$H$641,MATCH(B377,控制台!$F$641:$F$650,0)-1,0))))</f>
        <v>86284</v>
      </c>
      <c r="Z377" s="16">
        <f ca="1" t="shared" si="17"/>
        <v>215708</v>
      </c>
    </row>
    <row r="378" spans="1:26">
      <c r="A378" s="1">
        <v>21701</v>
      </c>
      <c r="B378" s="1">
        <v>6</v>
      </c>
      <c r="C378" s="1">
        <v>2</v>
      </c>
      <c r="D378" s="1" t="s">
        <v>2840</v>
      </c>
      <c r="E378" s="1">
        <f ca="1">IF(C378=1,OFFSET(控制台!$F$552,MATCH(A378,控制台!$B$552:$B$580,0)-1,0),OFFSET(控制台!$L$552,MATCH(A378,控制台!$H$552:$H$594,0)-1,0))</f>
        <v>10</v>
      </c>
      <c r="F378" s="1">
        <f ca="1">IF(C378=1,OFFSET(控制台!$D$552,MATCH(A378,控制台!$B$552:$B$580,0)-1,0),OFFSET(控制台!$J$552,MATCH(A378,控制台!$H$552:$H$594,0)-1,0))</f>
        <v>17</v>
      </c>
      <c r="G378" s="1">
        <f ca="1">IF(C378=1,OFFSET(控制台!$I$599,MATCH(F378,控制台!$B$599:$B$615,0)-1,0),OFFSET(控制台!$I$618,MATCH(F378,控制台!$B$618:$B$636,0)-1,0))</f>
        <v>2</v>
      </c>
      <c r="H378" s="1">
        <f ca="1">IF(C378=1,OFFSET(控制台!$D$599,MATCH(F378,控制台!$B$599:$B$615,0)-1,0),OFFSET(控制台!$D$618,MATCH(F378,控制台!$B$618:$B$636,0)-1,0))</f>
        <v>2131200000</v>
      </c>
      <c r="I378" s="1">
        <f ca="1">IF(E378=1,H378/G378,IF(E378=5,H378/G378*OFFSET(控制台!$D$641,MATCH(B378,控制台!$B$641:$B$645,0)-1,0),H378/G378*OFFSET(控制台!$H$641,MATCH(B378,控制台!$F$641:$F$650,0)-1,0)))</f>
        <v>72654545.4545455</v>
      </c>
      <c r="J378" s="1">
        <f ca="1">$I378/3*控制台!H$102</f>
        <v>24218181.8181818</v>
      </c>
      <c r="K378" s="1">
        <f ca="1">$I378/3*控制台!I$102</f>
        <v>18163636.3636364</v>
      </c>
      <c r="L378" s="1">
        <f ca="1">$I378/3*控制台!J$102</f>
        <v>30272727.2727273</v>
      </c>
      <c r="M378" s="1">
        <f ca="1">_xlfn.FLOOR.MATH(J378,POWER(10,MAX(2,INT(LOG10(J378)-2))))</f>
        <v>24200000</v>
      </c>
      <c r="N378" s="1">
        <f ca="1">_xlfn.FLOOR.MATH(K378,POWER(10,MAX(2,INT(LOG10(K378)-2))))</f>
        <v>18100000</v>
      </c>
      <c r="O378" s="1">
        <f ca="1">_xlfn.FLOOR.MATH(L378,POWER(10,MAX(2,INT(LOG10(L378)-2))))</f>
        <v>30200000</v>
      </c>
      <c r="P378" s="4" t="str">
        <f ca="1" t="shared" si="15"/>
        <v>24200000;18100000;30200000</v>
      </c>
      <c r="Q378" s="15">
        <f ca="1">IF(C378=1,OFFSET(控制台!$H$599,MATCH(F378,控制台!$B$599:$B$615,0)-1,0),OFFSET(控制台!$H$618,MATCH(F378,控制台!$B$618:$B$636,0)-1,0))</f>
        <v>2533524.48</v>
      </c>
      <c r="R378" s="15">
        <f ca="1">IF(E378=1,Q378/G378,IF(E378=5,Q378/G378*OFFSET(控制台!$D$641,MATCH(B378,控制台!$B$641:$B$645,0)-1,0),Q378/G378*OFFSET(控制台!$H$641,MATCH(B378,控制台!$F$641:$F$650,0)-1,0)))</f>
        <v>86370.1527272728</v>
      </c>
      <c r="S378" s="16">
        <f ca="1">_xlfn.FLOOR.MATH(R378)*60</f>
        <v>5182200</v>
      </c>
      <c r="T378" s="16">
        <f ca="1">8000+IF(C378=1,OFFSET(控制台!$K$599,MATCH(F378,控制台!$B$599:$B$615,0)-1,0),OFFSET(控制台!$K$618,MATCH(F378,控制台!$B$618:$B$636,0)-1,0))</f>
        <v>8030</v>
      </c>
      <c r="U378" s="1">
        <f ca="1">IF(C378=1,OFFSET(控制台!$F$599,MATCH(F378,控制台!$B$599:$B$615,0)-1,0),OFFSET(控制台!$F$618,MATCH(F378,控制台!$B$618:$B$636,0)-1,0))</f>
        <v>1235865.6</v>
      </c>
      <c r="V378" s="1">
        <f ca="1">IF(E378=1,U378/G378,IF(E378=5,U378/G378*OFFSET(控制台!$D$641,MATCH(B378,控制台!$B$641:$B$645,0)-1,0),U378/G378*OFFSET(控制台!$H$641,MATCH(B378,控制台!$F$641:$F$650,0)-1,0)))</f>
        <v>42131.7818181819</v>
      </c>
      <c r="W378" s="20">
        <f ca="1" t="shared" si="16"/>
        <v>29.2581818181818</v>
      </c>
      <c r="X378" s="15">
        <f ca="1">IF(C378=1,OFFSET(控制台!$U$599,MATCH(F378,控制台!$B$599:$B$615,0)-1,0),OFFSET(控制台!$U$618,MATCH(F378,控制台!$B$618:$B$636,0)-1,0))</f>
        <v>3796500</v>
      </c>
      <c r="Y378" s="16">
        <f ca="1">_xlfn.FLOOR.MATH(IF(E378=1,X378/G378,IF(E378=5,X378/G378*OFFSET(控制台!$D$641,MATCH(B378,控制台!$B$641:$B$645,0)-1,0),X378/G378*OFFSET(控制台!$H$641,MATCH(B378,控制台!$F$641:$F$650,0)-1,0))))</f>
        <v>129426</v>
      </c>
      <c r="Z378" s="16">
        <f ca="1" t="shared" si="17"/>
        <v>345134</v>
      </c>
    </row>
    <row r="379" spans="1:26">
      <c r="A379" s="1">
        <v>21701</v>
      </c>
      <c r="B379" s="1">
        <v>7</v>
      </c>
      <c r="C379" s="1">
        <v>2</v>
      </c>
      <c r="D379" s="1" t="s">
        <v>2840</v>
      </c>
      <c r="E379" s="1">
        <f ca="1">IF(C379=1,OFFSET(控制台!$F$552,MATCH(A379,控制台!$B$552:$B$580,0)-1,0),OFFSET(控制台!$L$552,MATCH(A379,控制台!$H$552:$H$594,0)-1,0))</f>
        <v>10</v>
      </c>
      <c r="F379" s="1">
        <f ca="1">IF(C379=1,OFFSET(控制台!$D$552,MATCH(A379,控制台!$B$552:$B$580,0)-1,0),OFFSET(控制台!$J$552,MATCH(A379,控制台!$H$552:$H$594,0)-1,0))</f>
        <v>17</v>
      </c>
      <c r="G379" s="1">
        <f ca="1">IF(C379=1,OFFSET(控制台!$I$599,MATCH(F379,控制台!$B$599:$B$615,0)-1,0),OFFSET(控制台!$I$618,MATCH(F379,控制台!$B$618:$B$636,0)-1,0))</f>
        <v>2</v>
      </c>
      <c r="H379" s="1">
        <f ca="1">IF(C379=1,OFFSET(控制台!$D$599,MATCH(F379,控制台!$B$599:$B$615,0)-1,0),OFFSET(控制台!$D$618,MATCH(F379,控制台!$B$618:$B$636,0)-1,0))</f>
        <v>2131200000</v>
      </c>
      <c r="I379" s="1">
        <f ca="1">IF(E379=1,H379/G379,IF(E379=5,H379/G379*OFFSET(控制台!$D$641,MATCH(B379,控制台!$B$641:$B$645,0)-1,0),H379/G379*OFFSET(控制台!$H$641,MATCH(B379,控制台!$F$641:$F$650,0)-1,0)))</f>
        <v>96872727.2727273</v>
      </c>
      <c r="J379" s="1">
        <f ca="1">$I379/3*控制台!H$102</f>
        <v>32290909.0909091</v>
      </c>
      <c r="K379" s="1">
        <f ca="1">$I379/3*控制台!I$102</f>
        <v>24218181.8181818</v>
      </c>
      <c r="L379" s="1">
        <f ca="1">$I379/3*控制台!J$102</f>
        <v>40363636.3636364</v>
      </c>
      <c r="M379" s="1">
        <f ca="1">_xlfn.FLOOR.MATH(J379,POWER(10,MAX(2,INT(LOG10(J379)-2))))</f>
        <v>32200000</v>
      </c>
      <c r="N379" s="1">
        <f ca="1">_xlfn.FLOOR.MATH(K379,POWER(10,MAX(2,INT(LOG10(K379)-2))))</f>
        <v>24200000</v>
      </c>
      <c r="O379" s="1">
        <f ca="1">_xlfn.FLOOR.MATH(L379,POWER(10,MAX(2,INT(LOG10(L379)-2))))</f>
        <v>40300000</v>
      </c>
      <c r="P379" s="4" t="str">
        <f ca="1" t="shared" si="15"/>
        <v>32200000;24200000;40300000</v>
      </c>
      <c r="Q379" s="15">
        <f ca="1">IF(C379=1,OFFSET(控制台!$H$599,MATCH(F379,控制台!$B$599:$B$615,0)-1,0),OFFSET(控制台!$H$618,MATCH(F379,控制台!$B$618:$B$636,0)-1,0))</f>
        <v>2533524.48</v>
      </c>
      <c r="R379" s="15">
        <f ca="1">IF(E379=1,Q379/G379,IF(E379=5,Q379/G379*OFFSET(控制台!$D$641,MATCH(B379,控制台!$B$641:$B$645,0)-1,0),Q379/G379*OFFSET(控制台!$H$641,MATCH(B379,控制台!$F$641:$F$650,0)-1,0)))</f>
        <v>115160.203636364</v>
      </c>
      <c r="S379" s="16">
        <f ca="1">_xlfn.FLOOR.MATH(R379)*60</f>
        <v>6909600</v>
      </c>
      <c r="T379" s="16">
        <f ca="1">8000+IF(C379=1,OFFSET(控制台!$K$599,MATCH(F379,控制台!$B$599:$B$615,0)-1,0),OFFSET(控制台!$K$618,MATCH(F379,控制台!$B$618:$B$636,0)-1,0))</f>
        <v>8030</v>
      </c>
      <c r="U379" s="1">
        <f ca="1">IF(C379=1,OFFSET(控制台!$F$599,MATCH(F379,控制台!$B$599:$B$615,0)-1,0),OFFSET(控制台!$F$618,MATCH(F379,控制台!$B$618:$B$636,0)-1,0))</f>
        <v>1235865.6</v>
      </c>
      <c r="V379" s="1">
        <f ca="1">IF(E379=1,U379/G379,IF(E379=5,U379/G379*OFFSET(控制台!$D$641,MATCH(B379,控制台!$B$641:$B$645,0)-1,0),U379/G379*OFFSET(控制台!$H$641,MATCH(B379,控制台!$F$641:$F$650,0)-1,0)))</f>
        <v>56175.7090909091</v>
      </c>
      <c r="W379" s="20">
        <f ca="1" t="shared" si="16"/>
        <v>39.0109090909091</v>
      </c>
      <c r="X379" s="15">
        <f ca="1">IF(C379=1,OFFSET(控制台!$U$599,MATCH(F379,控制台!$B$599:$B$615,0)-1,0),OFFSET(控制台!$U$618,MATCH(F379,控制台!$B$618:$B$636,0)-1,0))</f>
        <v>3796500</v>
      </c>
      <c r="Y379" s="16">
        <f ca="1">_xlfn.FLOOR.MATH(IF(E379=1,X379/G379,IF(E379=5,X379/G379*OFFSET(控制台!$D$641,MATCH(B379,控制台!$B$641:$B$645,0)-1,0),X379/G379*OFFSET(控制台!$H$641,MATCH(B379,控制台!$F$641:$F$650,0)-1,0))))</f>
        <v>172568</v>
      </c>
      <c r="Z379" s="16">
        <f ca="1" t="shared" si="17"/>
        <v>517702</v>
      </c>
    </row>
    <row r="380" spans="1:26">
      <c r="A380" s="1">
        <v>21701</v>
      </c>
      <c r="B380" s="1">
        <v>8</v>
      </c>
      <c r="C380" s="1">
        <v>2</v>
      </c>
      <c r="D380" s="1" t="s">
        <v>2840</v>
      </c>
      <c r="E380" s="1">
        <f ca="1">IF(C380=1,OFFSET(控制台!$F$552,MATCH(A380,控制台!$B$552:$B$580,0)-1,0),OFFSET(控制台!$L$552,MATCH(A380,控制台!$H$552:$H$594,0)-1,0))</f>
        <v>10</v>
      </c>
      <c r="F380" s="1">
        <f ca="1">IF(C380=1,OFFSET(控制台!$D$552,MATCH(A380,控制台!$B$552:$B$580,0)-1,0),OFFSET(控制台!$J$552,MATCH(A380,控制台!$H$552:$H$594,0)-1,0))</f>
        <v>17</v>
      </c>
      <c r="G380" s="1">
        <f ca="1">IF(C380=1,OFFSET(控制台!$I$599,MATCH(F380,控制台!$B$599:$B$615,0)-1,0),OFFSET(控制台!$I$618,MATCH(F380,控制台!$B$618:$B$636,0)-1,0))</f>
        <v>2</v>
      </c>
      <c r="H380" s="1">
        <f ca="1">IF(C380=1,OFFSET(控制台!$D$599,MATCH(F380,控制台!$B$599:$B$615,0)-1,0),OFFSET(控制台!$D$618,MATCH(F380,控制台!$B$618:$B$636,0)-1,0))</f>
        <v>2131200000</v>
      </c>
      <c r="I380" s="1">
        <f ca="1">IF(E380=1,H380/G380,IF(E380=5,H380/G380*OFFSET(控制台!$D$641,MATCH(B380,控制台!$B$641:$B$645,0)-1,0),H380/G380*OFFSET(控制台!$H$641,MATCH(B380,控制台!$F$641:$F$650,0)-1,0)))</f>
        <v>145309090.909091</v>
      </c>
      <c r="J380" s="1">
        <f ca="1">$I380/3*控制台!H$102</f>
        <v>48436363.6363635</v>
      </c>
      <c r="K380" s="1">
        <f ca="1">$I380/3*控制台!I$102</f>
        <v>36327272.7272726</v>
      </c>
      <c r="L380" s="1">
        <f ca="1">$I380/3*控制台!J$102</f>
        <v>60545454.5454544</v>
      </c>
      <c r="M380" s="1">
        <f ca="1">_xlfn.FLOOR.MATH(J380,POWER(10,MAX(2,INT(LOG10(J380)-2))))</f>
        <v>48400000</v>
      </c>
      <c r="N380" s="1">
        <f ca="1">_xlfn.FLOOR.MATH(K380,POWER(10,MAX(2,INT(LOG10(K380)-2))))</f>
        <v>36300000</v>
      </c>
      <c r="O380" s="1">
        <f ca="1">_xlfn.FLOOR.MATH(L380,POWER(10,MAX(2,INT(LOG10(L380)-2))))</f>
        <v>60500000</v>
      </c>
      <c r="P380" s="4" t="str">
        <f ca="1" t="shared" si="15"/>
        <v>48400000;36300000;60500000</v>
      </c>
      <c r="Q380" s="15">
        <f ca="1">IF(C380=1,OFFSET(控制台!$H$599,MATCH(F380,控制台!$B$599:$B$615,0)-1,0),OFFSET(控制台!$H$618,MATCH(F380,控制台!$B$618:$B$636,0)-1,0))</f>
        <v>2533524.48</v>
      </c>
      <c r="R380" s="15">
        <f ca="1">IF(E380=1,Q380/G380,IF(E380=5,Q380/G380*OFFSET(控制台!$D$641,MATCH(B380,控制台!$B$641:$B$645,0)-1,0),Q380/G380*OFFSET(控制台!$H$641,MATCH(B380,控制台!$F$641:$F$650,0)-1,0)))</f>
        <v>172740.305454545</v>
      </c>
      <c r="S380" s="16">
        <f ca="1">_xlfn.FLOOR.MATH(R380)*60</f>
        <v>10364400</v>
      </c>
      <c r="T380" s="16">
        <f ca="1">8000+IF(C380=1,OFFSET(控制台!$K$599,MATCH(F380,控制台!$B$599:$B$615,0)-1,0),OFFSET(控制台!$K$618,MATCH(F380,控制台!$B$618:$B$636,0)-1,0))</f>
        <v>8030</v>
      </c>
      <c r="U380" s="1">
        <f ca="1">IF(C380=1,OFFSET(控制台!$F$599,MATCH(F380,控制台!$B$599:$B$615,0)-1,0),OFFSET(控制台!$F$618,MATCH(F380,控制台!$B$618:$B$636,0)-1,0))</f>
        <v>1235865.6</v>
      </c>
      <c r="V380" s="1">
        <f ca="1">IF(E380=1,U380/G380,IF(E380=5,U380/G380*OFFSET(控制台!$D$641,MATCH(B380,控制台!$B$641:$B$645,0)-1,0),U380/G380*OFFSET(控制台!$H$641,MATCH(B380,控制台!$F$641:$F$650,0)-1,0)))</f>
        <v>84263.5636363634</v>
      </c>
      <c r="W380" s="20">
        <f ca="1" t="shared" si="16"/>
        <v>58.5163636363635</v>
      </c>
      <c r="X380" s="15">
        <f ca="1">IF(C380=1,OFFSET(控制台!$U$599,MATCH(F380,控制台!$B$599:$B$615,0)-1,0),OFFSET(控制台!$U$618,MATCH(F380,控制台!$B$618:$B$636,0)-1,0))</f>
        <v>3796500</v>
      </c>
      <c r="Y380" s="16">
        <f ca="1">_xlfn.FLOOR.MATH(IF(E380=1,X380/G380,IF(E380=5,X380/G380*OFFSET(控制台!$D$641,MATCH(B380,控制台!$B$641:$B$645,0)-1,0),X380/G380*OFFSET(控制台!$H$641,MATCH(B380,控制台!$F$641:$F$650,0)-1,0))))</f>
        <v>258852</v>
      </c>
      <c r="Z380" s="16">
        <f ca="1" t="shared" si="17"/>
        <v>776554</v>
      </c>
    </row>
    <row r="381" spans="1:26">
      <c r="A381" s="1">
        <v>21701</v>
      </c>
      <c r="B381" s="1">
        <v>9</v>
      </c>
      <c r="C381" s="1">
        <v>2</v>
      </c>
      <c r="D381" s="1" t="s">
        <v>2840</v>
      </c>
      <c r="E381" s="1">
        <f ca="1">IF(C381=1,OFFSET(控制台!$F$552,MATCH(A381,控制台!$B$552:$B$580,0)-1,0),OFFSET(控制台!$L$552,MATCH(A381,控制台!$H$552:$H$594,0)-1,0))</f>
        <v>10</v>
      </c>
      <c r="F381" s="1">
        <f ca="1">IF(C381=1,OFFSET(控制台!$D$552,MATCH(A381,控制台!$B$552:$B$580,0)-1,0),OFFSET(控制台!$J$552,MATCH(A381,控制台!$H$552:$H$594,0)-1,0))</f>
        <v>17</v>
      </c>
      <c r="G381" s="1">
        <f ca="1">IF(C381=1,OFFSET(控制台!$I$599,MATCH(F381,控制台!$B$599:$B$615,0)-1,0),OFFSET(控制台!$I$618,MATCH(F381,控制台!$B$618:$B$636,0)-1,0))</f>
        <v>2</v>
      </c>
      <c r="H381" s="1">
        <f ca="1">IF(C381=1,OFFSET(控制台!$D$599,MATCH(F381,控制台!$B$599:$B$615,0)-1,0),OFFSET(控制台!$D$618,MATCH(F381,控制台!$B$618:$B$636,0)-1,0))</f>
        <v>2131200000</v>
      </c>
      <c r="I381" s="1">
        <f ca="1">IF(E381=1,H381/G381,IF(E381=5,H381/G381*OFFSET(控制台!$D$641,MATCH(B381,控制台!$B$641:$B$645,0)-1,0),H381/G381*OFFSET(控制台!$H$641,MATCH(B381,控制台!$F$641:$F$650,0)-1,0)))</f>
        <v>242181818.181818</v>
      </c>
      <c r="J381" s="1">
        <f ca="1">$I381/3*控制台!H$102</f>
        <v>80727272.7272726</v>
      </c>
      <c r="K381" s="1">
        <f ca="1">$I381/3*控制台!I$102</f>
        <v>60545454.5454545</v>
      </c>
      <c r="L381" s="1">
        <f ca="1">$I381/3*控制台!J$102</f>
        <v>100909090.909091</v>
      </c>
      <c r="M381" s="1">
        <f ca="1">_xlfn.FLOOR.MATH(J381,POWER(10,MAX(2,INT(LOG10(J381)-2))))</f>
        <v>80700000</v>
      </c>
      <c r="N381" s="1">
        <f ca="1">_xlfn.FLOOR.MATH(K381,POWER(10,MAX(2,INT(LOG10(K381)-2))))</f>
        <v>60500000</v>
      </c>
      <c r="O381" s="1">
        <f ca="1">_xlfn.FLOOR.MATH(L381,POWER(10,MAX(2,INT(LOG10(L381)-2))))</f>
        <v>100000000</v>
      </c>
      <c r="P381" s="4" t="str">
        <f ca="1" t="shared" si="15"/>
        <v>80700000;60500000;100000000</v>
      </c>
      <c r="Q381" s="15">
        <f ca="1">IF(C381=1,OFFSET(控制台!$H$599,MATCH(F381,控制台!$B$599:$B$615,0)-1,0),OFFSET(控制台!$H$618,MATCH(F381,控制台!$B$618:$B$636,0)-1,0))</f>
        <v>2533524.48</v>
      </c>
      <c r="R381" s="15">
        <f ca="1">IF(E381=1,Q381/G381,IF(E381=5,Q381/G381*OFFSET(控制台!$D$641,MATCH(B381,控制台!$B$641:$B$645,0)-1,0),Q381/G381*OFFSET(控制台!$H$641,MATCH(B381,控制台!$F$641:$F$650,0)-1,0)))</f>
        <v>287900.509090909</v>
      </c>
      <c r="S381" s="16">
        <f ca="1">_xlfn.FLOOR.MATH(R381)*60</f>
        <v>17274000</v>
      </c>
      <c r="T381" s="16">
        <f ca="1">8000+IF(C381=1,OFFSET(控制台!$K$599,MATCH(F381,控制台!$B$599:$B$615,0)-1,0),OFFSET(控制台!$K$618,MATCH(F381,控制台!$B$618:$B$636,0)-1,0))</f>
        <v>8030</v>
      </c>
      <c r="U381" s="1">
        <f ca="1">IF(C381=1,OFFSET(控制台!$F$599,MATCH(F381,控制台!$B$599:$B$615,0)-1,0),OFFSET(控制台!$F$618,MATCH(F381,控制台!$B$618:$B$636,0)-1,0))</f>
        <v>1235865.6</v>
      </c>
      <c r="V381" s="1">
        <f ca="1">IF(E381=1,U381/G381,IF(E381=5,U381/G381*OFFSET(控制台!$D$641,MATCH(B381,控制台!$B$641:$B$645,0)-1,0),U381/G381*OFFSET(控制台!$H$641,MATCH(B381,控制台!$F$641:$F$650,0)-1,0)))</f>
        <v>140439.272727273</v>
      </c>
      <c r="W381" s="20">
        <f ca="1" t="shared" si="16"/>
        <v>97.5272727272726</v>
      </c>
      <c r="X381" s="15">
        <f ca="1">IF(C381=1,OFFSET(控制台!$U$599,MATCH(F381,控制台!$B$599:$B$615,0)-1,0),OFFSET(控制台!$U$618,MATCH(F381,控制台!$B$618:$B$636,0)-1,0))</f>
        <v>3796500</v>
      </c>
      <c r="Y381" s="16">
        <f ca="1">_xlfn.FLOOR.MATH(IF(E381=1,X381/G381,IF(E381=5,X381/G381*OFFSET(控制台!$D$641,MATCH(B381,控制台!$B$641:$B$645,0)-1,0),X381/G381*OFFSET(控制台!$H$641,MATCH(B381,控制台!$F$641:$F$650,0)-1,0))))</f>
        <v>431420</v>
      </c>
      <c r="Z381" s="16">
        <f ca="1" t="shared" si="17"/>
        <v>1207974</v>
      </c>
    </row>
    <row r="382" spans="1:26">
      <c r="A382" s="1">
        <v>21701</v>
      </c>
      <c r="B382" s="1">
        <v>10</v>
      </c>
      <c r="C382" s="1">
        <v>2</v>
      </c>
      <c r="D382" s="1" t="s">
        <v>2840</v>
      </c>
      <c r="E382" s="1">
        <f ca="1">IF(C382=1,OFFSET(控制台!$F$552,MATCH(A382,控制台!$B$552:$B$580,0)-1,0),OFFSET(控制台!$L$552,MATCH(A382,控制台!$H$552:$H$594,0)-1,0))</f>
        <v>10</v>
      </c>
      <c r="F382" s="1">
        <f ca="1">IF(C382=1,OFFSET(控制台!$D$552,MATCH(A382,控制台!$B$552:$B$580,0)-1,0),OFFSET(控制台!$J$552,MATCH(A382,控制台!$H$552:$H$594,0)-1,0))</f>
        <v>17</v>
      </c>
      <c r="G382" s="1">
        <f ca="1">IF(C382=1,OFFSET(控制台!$I$599,MATCH(F382,控制台!$B$599:$B$615,0)-1,0),OFFSET(控制台!$I$618,MATCH(F382,控制台!$B$618:$B$636,0)-1,0))</f>
        <v>2</v>
      </c>
      <c r="H382" s="1">
        <f ca="1">IF(C382=1,OFFSET(控制台!$D$599,MATCH(F382,控制台!$B$599:$B$615,0)-1,0),OFFSET(控制台!$D$618,MATCH(F382,控制台!$B$618:$B$636,0)-1,0))</f>
        <v>2131200000</v>
      </c>
      <c r="I382" s="1">
        <f ca="1">IF(E382=1,H382/G382,IF(E382=5,H382/G382*OFFSET(控制台!$D$641,MATCH(B382,控制台!$B$641:$B$645,0)-1,0),H382/G382*OFFSET(控制台!$H$641,MATCH(B382,控制台!$F$641:$F$650,0)-1,0)))</f>
        <v>387490909.090909</v>
      </c>
      <c r="J382" s="1">
        <f ca="1">$I382/3*控制台!H$102</f>
        <v>129163636.363636</v>
      </c>
      <c r="K382" s="1">
        <f ca="1">$I382/3*控制台!I$102</f>
        <v>96872727.2727274</v>
      </c>
      <c r="L382" s="1">
        <f ca="1">$I382/3*控制台!J$102</f>
        <v>161454545.454546</v>
      </c>
      <c r="M382" s="1">
        <f ca="1">_xlfn.FLOOR.MATH(J382,POWER(10,MAX(2,INT(LOG10(J382)-2))))</f>
        <v>129000000</v>
      </c>
      <c r="N382" s="1">
        <f ca="1">_xlfn.FLOOR.MATH(K382,POWER(10,MAX(2,INT(LOG10(K382)-2))))</f>
        <v>96800000</v>
      </c>
      <c r="O382" s="1">
        <f ca="1">_xlfn.FLOOR.MATH(L382,POWER(10,MAX(2,INT(LOG10(L382)-2))))</f>
        <v>161000000</v>
      </c>
      <c r="P382" s="4" t="str">
        <f ca="1" t="shared" si="15"/>
        <v>129000000;96800000;161000000</v>
      </c>
      <c r="Q382" s="15">
        <f ca="1">IF(C382=1,OFFSET(控制台!$H$599,MATCH(F382,控制台!$B$599:$B$615,0)-1,0),OFFSET(控制台!$H$618,MATCH(F382,控制台!$B$618:$B$636,0)-1,0))</f>
        <v>2533524.48</v>
      </c>
      <c r="R382" s="15">
        <f ca="1">IF(E382=1,Q382/G382,IF(E382=5,Q382/G382*OFFSET(控制台!$D$641,MATCH(B382,控制台!$B$641:$B$645,0)-1,0),Q382/G382*OFFSET(控制台!$H$641,MATCH(B382,控制台!$F$641:$F$650,0)-1,0)))</f>
        <v>460640.814545455</v>
      </c>
      <c r="S382" s="16">
        <f ca="1">_xlfn.FLOOR.MATH(R382)*60</f>
        <v>27638400</v>
      </c>
      <c r="T382" s="16">
        <f ca="1">8000+IF(C382=1,OFFSET(控制台!$K$599,MATCH(F382,控制台!$B$599:$B$615,0)-1,0),OFFSET(控制台!$K$618,MATCH(F382,控制台!$B$618:$B$636,0)-1,0))</f>
        <v>8030</v>
      </c>
      <c r="U382" s="1">
        <f ca="1">IF(C382=1,OFFSET(控制台!$F$599,MATCH(F382,控制台!$B$599:$B$615,0)-1,0),OFFSET(控制台!$F$618,MATCH(F382,控制台!$B$618:$B$636,0)-1,0))</f>
        <v>1235865.6</v>
      </c>
      <c r="V382" s="1">
        <f ca="1">IF(E382=1,U382/G382,IF(E382=5,U382/G382*OFFSET(控制台!$D$641,MATCH(B382,控制台!$B$641:$B$645,0)-1,0),U382/G382*OFFSET(控制台!$H$641,MATCH(B382,控制台!$F$641:$F$650,0)-1,0)))</f>
        <v>224702.836363637</v>
      </c>
      <c r="W382" s="20">
        <f ca="1" t="shared" si="16"/>
        <v>156.043636363637</v>
      </c>
      <c r="X382" s="15">
        <f ca="1">IF(C382=1,OFFSET(控制台!$U$599,MATCH(F382,控制台!$B$599:$B$615,0)-1,0),OFFSET(控制台!$U$618,MATCH(F382,控制台!$B$618:$B$636,0)-1,0))</f>
        <v>3796500</v>
      </c>
      <c r="Y382" s="16">
        <f ca="1">_xlfn.FLOOR.MATH(IF(E382=1,X382/G382,IF(E382=5,X382/G382*OFFSET(控制台!$D$641,MATCH(B382,控制台!$B$641:$B$645,0)-1,0),X382/G382*OFFSET(控制台!$H$641,MATCH(B382,控制台!$F$641:$F$650,0)-1,0))))</f>
        <v>690272</v>
      </c>
      <c r="Z382" s="16">
        <f ca="1" t="shared" si="17"/>
        <v>1898246</v>
      </c>
    </row>
    <row r="383" spans="1:26">
      <c r="A383" s="1">
        <v>21703</v>
      </c>
      <c r="B383" s="1">
        <v>1</v>
      </c>
      <c r="C383" s="1">
        <v>2</v>
      </c>
      <c r="D383" s="1" t="s">
        <v>2841</v>
      </c>
      <c r="E383" s="1">
        <f ca="1">IF(C383=1,OFFSET(控制台!$F$552,MATCH(A383,控制台!$B$552:$B$580,0)-1,0),OFFSET(控制台!$L$552,MATCH(A383,控制台!$H$552:$H$594,0)-1,0))</f>
        <v>10</v>
      </c>
      <c r="F383" s="1">
        <f ca="1">IF(C383=1,OFFSET(控制台!$D$552,MATCH(A383,控制台!$B$552:$B$580,0)-1,0),OFFSET(控制台!$J$552,MATCH(A383,控制台!$H$552:$H$594,0)-1,0))</f>
        <v>17</v>
      </c>
      <c r="G383" s="1">
        <f ca="1">IF(C383=1,OFFSET(控制台!$I$599,MATCH(F383,控制台!$B$599:$B$615,0)-1,0),OFFSET(控制台!$I$618,MATCH(F383,控制台!$B$618:$B$636,0)-1,0))</f>
        <v>2</v>
      </c>
      <c r="H383" s="1">
        <f ca="1">IF(C383=1,OFFSET(控制台!$D$599,MATCH(F383,控制台!$B$599:$B$615,0)-1,0),OFFSET(控制台!$D$618,MATCH(F383,控制台!$B$618:$B$636,0)-1,0))</f>
        <v>2131200000</v>
      </c>
      <c r="I383" s="1">
        <f ca="1">IF(E383=1,H383/G383,IF(E383=5,H383/G383*OFFSET(控制台!$D$641,MATCH(B383,控制台!$B$641:$B$645,0)-1,0),H383/G383*OFFSET(控制台!$H$641,MATCH(B383,控制台!$F$641:$F$650,0)-1,0)))</f>
        <v>9687272.72727273</v>
      </c>
      <c r="J383" s="1">
        <f ca="1">$I383/3*控制台!H$102</f>
        <v>3229090.90909091</v>
      </c>
      <c r="K383" s="1">
        <f ca="1">$I383/3*控制台!I$102</f>
        <v>2421818.18181818</v>
      </c>
      <c r="L383" s="1">
        <f ca="1">$I383/3*控制台!J$102</f>
        <v>4036363.63636364</v>
      </c>
      <c r="M383" s="1">
        <f ca="1">_xlfn.FLOOR.MATH(J383,POWER(10,MAX(2,INT(LOG10(J383)-2))))</f>
        <v>3220000</v>
      </c>
      <c r="N383" s="1">
        <f ca="1">_xlfn.FLOOR.MATH(K383,POWER(10,MAX(2,INT(LOG10(K383)-2))))</f>
        <v>2420000</v>
      </c>
      <c r="O383" s="1">
        <f ca="1">_xlfn.FLOOR.MATH(L383,POWER(10,MAX(2,INT(LOG10(L383)-2))))</f>
        <v>4030000</v>
      </c>
      <c r="P383" s="4" t="str">
        <f ca="1" t="shared" si="15"/>
        <v>3220000;2420000;4030000</v>
      </c>
      <c r="Q383" s="15">
        <f ca="1">IF(C383=1,OFFSET(控制台!$H$599,MATCH(F383,控制台!$B$599:$B$615,0)-1,0),OFFSET(控制台!$H$618,MATCH(F383,控制台!$B$618:$B$636,0)-1,0))</f>
        <v>2533524.48</v>
      </c>
      <c r="R383" s="15">
        <f ca="1">IF(E383=1,Q383/G383,IF(E383=5,Q383/G383*OFFSET(控制台!$D$641,MATCH(B383,控制台!$B$641:$B$645,0)-1,0),Q383/G383*OFFSET(控制台!$H$641,MATCH(B383,控制台!$F$641:$F$650,0)-1,0)))</f>
        <v>11516.0203636364</v>
      </c>
      <c r="S383" s="16">
        <f ca="1">_xlfn.FLOOR.MATH(R383)*60</f>
        <v>690960</v>
      </c>
      <c r="T383" s="16">
        <f ca="1">8000+IF(C383=1,OFFSET(控制台!$K$599,MATCH(F383,控制台!$B$599:$B$615,0)-1,0),OFFSET(控制台!$K$618,MATCH(F383,控制台!$B$618:$B$636,0)-1,0))</f>
        <v>8030</v>
      </c>
      <c r="U383" s="1">
        <f ca="1">IF(C383=1,OFFSET(控制台!$F$599,MATCH(F383,控制台!$B$599:$B$615,0)-1,0),OFFSET(控制台!$F$618,MATCH(F383,控制台!$B$618:$B$636,0)-1,0))</f>
        <v>1235865.6</v>
      </c>
      <c r="V383" s="1">
        <f ca="1">IF(E383=1,U383/G383,IF(E383=5,U383/G383*OFFSET(控制台!$D$641,MATCH(B383,控制台!$B$641:$B$645,0)-1,0),U383/G383*OFFSET(控制台!$H$641,MATCH(B383,控制台!$F$641:$F$650,0)-1,0)))</f>
        <v>5617.57090909091</v>
      </c>
      <c r="W383" s="20">
        <f ca="1" t="shared" si="16"/>
        <v>3.90109090909091</v>
      </c>
      <c r="X383" s="15">
        <f ca="1">IF(C383=1,OFFSET(控制台!$U$599,MATCH(F383,控制台!$B$599:$B$615,0)-1,0),OFFSET(控制台!$U$618,MATCH(F383,控制台!$B$618:$B$636,0)-1,0))</f>
        <v>3796500</v>
      </c>
      <c r="Y383" s="16">
        <f ca="1">_xlfn.FLOOR.MATH(IF(E383=1,X383/G383,IF(E383=5,X383/G383*OFFSET(控制台!$D$641,MATCH(B383,控制台!$B$641:$B$645,0)-1,0),X383/G383*OFFSET(控制台!$H$641,MATCH(B383,控制台!$F$641:$F$650,0)-1,0))))</f>
        <v>17256</v>
      </c>
      <c r="Z383" s="16">
        <f ca="1" t="shared" si="17"/>
        <v>17256</v>
      </c>
    </row>
    <row r="384" spans="1:26">
      <c r="A384" s="1">
        <v>21703</v>
      </c>
      <c r="B384" s="1">
        <v>2</v>
      </c>
      <c r="C384" s="1">
        <v>2</v>
      </c>
      <c r="D384" s="1" t="s">
        <v>2841</v>
      </c>
      <c r="E384" s="1">
        <f ca="1">IF(C384=1,OFFSET(控制台!$F$552,MATCH(A384,控制台!$B$552:$B$580,0)-1,0),OFFSET(控制台!$L$552,MATCH(A384,控制台!$H$552:$H$594,0)-1,0))</f>
        <v>10</v>
      </c>
      <c r="F384" s="1">
        <f ca="1">IF(C384=1,OFFSET(控制台!$D$552,MATCH(A384,控制台!$B$552:$B$580,0)-1,0),OFFSET(控制台!$J$552,MATCH(A384,控制台!$H$552:$H$594,0)-1,0))</f>
        <v>17</v>
      </c>
      <c r="G384" s="1">
        <f ca="1">IF(C384=1,OFFSET(控制台!$I$599,MATCH(F384,控制台!$B$599:$B$615,0)-1,0),OFFSET(控制台!$I$618,MATCH(F384,控制台!$B$618:$B$636,0)-1,0))</f>
        <v>2</v>
      </c>
      <c r="H384" s="1">
        <f ca="1">IF(C384=1,OFFSET(控制台!$D$599,MATCH(F384,控制台!$B$599:$B$615,0)-1,0),OFFSET(控制台!$D$618,MATCH(F384,控制台!$B$618:$B$636,0)-1,0))</f>
        <v>2131200000</v>
      </c>
      <c r="I384" s="1">
        <f ca="1">IF(E384=1,H384/G384,IF(E384=5,H384/G384*OFFSET(控制台!$D$641,MATCH(B384,控制台!$B$641:$B$645,0)-1,0),H384/G384*OFFSET(控制台!$H$641,MATCH(B384,控制台!$F$641:$F$650,0)-1,0)))</f>
        <v>14530909.0909091</v>
      </c>
      <c r="J384" s="1">
        <f ca="1">$I384/3*控制台!H$102</f>
        <v>4843636.36363635</v>
      </c>
      <c r="K384" s="1">
        <f ca="1">$I384/3*控制台!I$102</f>
        <v>3632727.27272726</v>
      </c>
      <c r="L384" s="1">
        <f ca="1">$I384/3*控制台!J$102</f>
        <v>6054545.45454544</v>
      </c>
      <c r="M384" s="1">
        <f ca="1">_xlfn.FLOOR.MATH(J384,POWER(10,MAX(2,INT(LOG10(J384)-2))))</f>
        <v>4840000</v>
      </c>
      <c r="N384" s="1">
        <f ca="1">_xlfn.FLOOR.MATH(K384,POWER(10,MAX(2,INT(LOG10(K384)-2))))</f>
        <v>3630000</v>
      </c>
      <c r="O384" s="1">
        <f ca="1">_xlfn.FLOOR.MATH(L384,POWER(10,MAX(2,INT(LOG10(L384)-2))))</f>
        <v>6050000</v>
      </c>
      <c r="P384" s="4" t="str">
        <f ca="1" t="shared" si="15"/>
        <v>4840000;3630000;6050000</v>
      </c>
      <c r="Q384" s="15">
        <f ca="1">IF(C384=1,OFFSET(控制台!$H$599,MATCH(F384,控制台!$B$599:$B$615,0)-1,0),OFFSET(控制台!$H$618,MATCH(F384,控制台!$B$618:$B$636,0)-1,0))</f>
        <v>2533524.48</v>
      </c>
      <c r="R384" s="15">
        <f ca="1">IF(E384=1,Q384/G384,IF(E384=5,Q384/G384*OFFSET(控制台!$D$641,MATCH(B384,控制台!$B$641:$B$645,0)-1,0),Q384/G384*OFFSET(控制台!$H$641,MATCH(B384,控制台!$F$641:$F$650,0)-1,0)))</f>
        <v>17274.0305454545</v>
      </c>
      <c r="S384" s="16">
        <f ca="1">_xlfn.FLOOR.MATH(R384)*60</f>
        <v>1036440</v>
      </c>
      <c r="T384" s="16">
        <f ca="1">8000+IF(C384=1,OFFSET(控制台!$K$599,MATCH(F384,控制台!$B$599:$B$615,0)-1,0),OFFSET(控制台!$K$618,MATCH(F384,控制台!$B$618:$B$636,0)-1,0))</f>
        <v>8030</v>
      </c>
      <c r="U384" s="1">
        <f ca="1">IF(C384=1,OFFSET(控制台!$F$599,MATCH(F384,控制台!$B$599:$B$615,0)-1,0),OFFSET(控制台!$F$618,MATCH(F384,控制台!$B$618:$B$636,0)-1,0))</f>
        <v>1235865.6</v>
      </c>
      <c r="V384" s="1">
        <f ca="1">IF(E384=1,U384/G384,IF(E384=5,U384/G384*OFFSET(控制台!$D$641,MATCH(B384,控制台!$B$641:$B$645,0)-1,0),U384/G384*OFFSET(控制台!$H$641,MATCH(B384,控制台!$F$641:$F$650,0)-1,0)))</f>
        <v>8426.35636363635</v>
      </c>
      <c r="W384" s="20">
        <f ca="1" t="shared" si="16"/>
        <v>5.85163636363635</v>
      </c>
      <c r="X384" s="15">
        <f ca="1">IF(C384=1,OFFSET(控制台!$U$599,MATCH(F384,控制台!$B$599:$B$615,0)-1,0),OFFSET(控制台!$U$618,MATCH(F384,控制台!$B$618:$B$636,0)-1,0))</f>
        <v>3796500</v>
      </c>
      <c r="Y384" s="16">
        <f ca="1">_xlfn.FLOOR.MATH(IF(E384=1,X384/G384,IF(E384=5,X384/G384*OFFSET(控制台!$D$641,MATCH(B384,控制台!$B$641:$B$645,0)-1,0),X384/G384*OFFSET(控制台!$H$641,MATCH(B384,控制台!$F$641:$F$650,0)-1,0))))</f>
        <v>25885</v>
      </c>
      <c r="Z384" s="16">
        <f ca="1" t="shared" si="17"/>
        <v>43141</v>
      </c>
    </row>
    <row r="385" spans="1:26">
      <c r="A385" s="1">
        <v>21703</v>
      </c>
      <c r="B385" s="1">
        <v>3</v>
      </c>
      <c r="C385" s="1">
        <v>2</v>
      </c>
      <c r="D385" s="1" t="s">
        <v>2841</v>
      </c>
      <c r="E385" s="1">
        <f ca="1">IF(C385=1,OFFSET(控制台!$F$552,MATCH(A385,控制台!$B$552:$B$580,0)-1,0),OFFSET(控制台!$L$552,MATCH(A385,控制台!$H$552:$H$594,0)-1,0))</f>
        <v>10</v>
      </c>
      <c r="F385" s="1">
        <f ca="1">IF(C385=1,OFFSET(控制台!$D$552,MATCH(A385,控制台!$B$552:$B$580,0)-1,0),OFFSET(控制台!$J$552,MATCH(A385,控制台!$H$552:$H$594,0)-1,0))</f>
        <v>17</v>
      </c>
      <c r="G385" s="1">
        <f ca="1">IF(C385=1,OFFSET(控制台!$I$599,MATCH(F385,控制台!$B$599:$B$615,0)-1,0),OFFSET(控制台!$I$618,MATCH(F385,控制台!$B$618:$B$636,0)-1,0))</f>
        <v>2</v>
      </c>
      <c r="H385" s="1">
        <f ca="1">IF(C385=1,OFFSET(控制台!$D$599,MATCH(F385,控制台!$B$599:$B$615,0)-1,0),OFFSET(控制台!$D$618,MATCH(F385,控制台!$B$618:$B$636,0)-1,0))</f>
        <v>2131200000</v>
      </c>
      <c r="I385" s="1">
        <f ca="1">IF(E385=1,H385/G385,IF(E385=5,H385/G385*OFFSET(控制台!$D$641,MATCH(B385,控制台!$B$641:$B$645,0)-1,0),H385/G385*OFFSET(控制台!$H$641,MATCH(B385,控制台!$F$641:$F$650,0)-1,0)))</f>
        <v>19374545.4545455</v>
      </c>
      <c r="J385" s="1">
        <f ca="1">$I385/3*控制台!H$102</f>
        <v>6458181.81818182</v>
      </c>
      <c r="K385" s="1">
        <f ca="1">$I385/3*控制台!I$102</f>
        <v>4843636.36363637</v>
      </c>
      <c r="L385" s="1">
        <f ca="1">$I385/3*控制台!J$102</f>
        <v>8072727.27272728</v>
      </c>
      <c r="M385" s="1">
        <f ca="1">_xlfn.FLOOR.MATH(J385,POWER(10,MAX(2,INT(LOG10(J385)-2))))</f>
        <v>6450000</v>
      </c>
      <c r="N385" s="1">
        <f ca="1">_xlfn.FLOOR.MATH(K385,POWER(10,MAX(2,INT(LOG10(K385)-2))))</f>
        <v>4840000</v>
      </c>
      <c r="O385" s="1">
        <f ca="1">_xlfn.FLOOR.MATH(L385,POWER(10,MAX(2,INT(LOG10(L385)-2))))</f>
        <v>8070000</v>
      </c>
      <c r="P385" s="4" t="str">
        <f ca="1" t="shared" si="15"/>
        <v>6450000;4840000;8070000</v>
      </c>
      <c r="Q385" s="15">
        <f ca="1">IF(C385=1,OFFSET(控制台!$H$599,MATCH(F385,控制台!$B$599:$B$615,0)-1,0),OFFSET(控制台!$H$618,MATCH(F385,控制台!$B$618:$B$636,0)-1,0))</f>
        <v>2533524.48</v>
      </c>
      <c r="R385" s="15">
        <f ca="1">IF(E385=1,Q385/G385,IF(E385=5,Q385/G385*OFFSET(控制台!$D$641,MATCH(B385,控制台!$B$641:$B$645,0)-1,0),Q385/G385*OFFSET(控制台!$H$641,MATCH(B385,控制台!$F$641:$F$650,0)-1,0)))</f>
        <v>23032.0407272728</v>
      </c>
      <c r="S385" s="16">
        <f ca="1">_xlfn.FLOOR.MATH(R385)*60</f>
        <v>1381920</v>
      </c>
      <c r="T385" s="16">
        <f ca="1">8000+IF(C385=1,OFFSET(控制台!$K$599,MATCH(F385,控制台!$B$599:$B$615,0)-1,0),OFFSET(控制台!$K$618,MATCH(F385,控制台!$B$618:$B$636,0)-1,0))</f>
        <v>8030</v>
      </c>
      <c r="U385" s="1">
        <f ca="1">IF(C385=1,OFFSET(控制台!$F$599,MATCH(F385,控制台!$B$599:$B$615,0)-1,0),OFFSET(控制台!$F$618,MATCH(F385,控制台!$B$618:$B$636,0)-1,0))</f>
        <v>1235865.6</v>
      </c>
      <c r="V385" s="1">
        <f ca="1">IF(E385=1,U385/G385,IF(E385=5,U385/G385*OFFSET(控制台!$D$641,MATCH(B385,控制台!$B$641:$B$645,0)-1,0),U385/G385*OFFSET(控制台!$H$641,MATCH(B385,控制台!$F$641:$F$650,0)-1,0)))</f>
        <v>11235.1418181818</v>
      </c>
      <c r="W385" s="20">
        <f ca="1" t="shared" si="16"/>
        <v>7.80218181818183</v>
      </c>
      <c r="X385" s="15">
        <f ca="1">IF(C385=1,OFFSET(控制台!$U$599,MATCH(F385,控制台!$B$599:$B$615,0)-1,0),OFFSET(控制台!$U$618,MATCH(F385,控制台!$B$618:$B$636,0)-1,0))</f>
        <v>3796500</v>
      </c>
      <c r="Y385" s="16">
        <f ca="1">_xlfn.FLOOR.MATH(IF(E385=1,X385/G385,IF(E385=5,X385/G385*OFFSET(控制台!$D$641,MATCH(B385,控制台!$B$641:$B$645,0)-1,0),X385/G385*OFFSET(控制台!$H$641,MATCH(B385,控制台!$F$641:$F$650,0)-1,0))))</f>
        <v>34513</v>
      </c>
      <c r="Z385" s="16">
        <f ca="1" t="shared" si="17"/>
        <v>77654</v>
      </c>
    </row>
    <row r="386" spans="1:26">
      <c r="A386" s="1">
        <v>21703</v>
      </c>
      <c r="B386" s="1">
        <v>4</v>
      </c>
      <c r="C386" s="1">
        <v>2</v>
      </c>
      <c r="D386" s="1" t="s">
        <v>2841</v>
      </c>
      <c r="E386" s="1">
        <f ca="1">IF(C386=1,OFFSET(控制台!$F$552,MATCH(A386,控制台!$B$552:$B$580,0)-1,0),OFFSET(控制台!$L$552,MATCH(A386,控制台!$H$552:$H$594,0)-1,0))</f>
        <v>10</v>
      </c>
      <c r="F386" s="1">
        <f ca="1">IF(C386=1,OFFSET(控制台!$D$552,MATCH(A386,控制台!$B$552:$B$580,0)-1,0),OFFSET(控制台!$J$552,MATCH(A386,控制台!$H$552:$H$594,0)-1,0))</f>
        <v>17</v>
      </c>
      <c r="G386" s="1">
        <f ca="1">IF(C386=1,OFFSET(控制台!$I$599,MATCH(F386,控制台!$B$599:$B$615,0)-1,0),OFFSET(控制台!$I$618,MATCH(F386,控制台!$B$618:$B$636,0)-1,0))</f>
        <v>2</v>
      </c>
      <c r="H386" s="1">
        <f ca="1">IF(C386=1,OFFSET(控制台!$D$599,MATCH(F386,控制台!$B$599:$B$615,0)-1,0),OFFSET(控制台!$D$618,MATCH(F386,控制台!$B$618:$B$636,0)-1,0))</f>
        <v>2131200000</v>
      </c>
      <c r="I386" s="1">
        <f ca="1">IF(E386=1,H386/G386,IF(E386=5,H386/G386*OFFSET(控制台!$D$641,MATCH(B386,控制台!$B$641:$B$645,0)-1,0),H386/G386*OFFSET(控制台!$H$641,MATCH(B386,控制台!$F$641:$F$650,0)-1,0)))</f>
        <v>29061818.1818182</v>
      </c>
      <c r="J386" s="1">
        <f ca="1">$I386/3*控制台!H$102</f>
        <v>9687272.72727274</v>
      </c>
      <c r="K386" s="1">
        <f ca="1">$I386/3*控制台!I$102</f>
        <v>7265454.54545455</v>
      </c>
      <c r="L386" s="1">
        <f ca="1">$I386/3*控制台!J$102</f>
        <v>12109090.9090909</v>
      </c>
      <c r="M386" s="1">
        <f ca="1">_xlfn.FLOOR.MATH(J386,POWER(10,MAX(2,INT(LOG10(J386)-2))))</f>
        <v>9680000</v>
      </c>
      <c r="N386" s="1">
        <f ca="1">_xlfn.FLOOR.MATH(K386,POWER(10,MAX(2,INT(LOG10(K386)-2))))</f>
        <v>7260000</v>
      </c>
      <c r="O386" s="1">
        <f ca="1">_xlfn.FLOOR.MATH(L386,POWER(10,MAX(2,INT(LOG10(L386)-2))))</f>
        <v>12100000</v>
      </c>
      <c r="P386" s="4" t="str">
        <f ca="1" t="shared" si="15"/>
        <v>9680000;7260000;12100000</v>
      </c>
      <c r="Q386" s="15">
        <f ca="1">IF(C386=1,OFFSET(控制台!$H$599,MATCH(F386,控制台!$B$599:$B$615,0)-1,0),OFFSET(控制台!$H$618,MATCH(F386,控制台!$B$618:$B$636,0)-1,0))</f>
        <v>2533524.48</v>
      </c>
      <c r="R386" s="15">
        <f ca="1">IF(E386=1,Q386/G386,IF(E386=5,Q386/G386*OFFSET(控制台!$D$641,MATCH(B386,控制台!$B$641:$B$645,0)-1,0),Q386/G386*OFFSET(控制台!$H$641,MATCH(B386,控制台!$F$641:$F$650,0)-1,0)))</f>
        <v>34548.0610909091</v>
      </c>
      <c r="S386" s="16">
        <f ca="1">_xlfn.FLOOR.MATH(R386)*60</f>
        <v>2072880</v>
      </c>
      <c r="T386" s="16">
        <f ca="1">8000+IF(C386=1,OFFSET(控制台!$K$599,MATCH(F386,控制台!$B$599:$B$615,0)-1,0),OFFSET(控制台!$K$618,MATCH(F386,控制台!$B$618:$B$636,0)-1,0))</f>
        <v>8030</v>
      </c>
      <c r="U386" s="1">
        <f ca="1">IF(C386=1,OFFSET(控制台!$F$599,MATCH(F386,控制台!$B$599:$B$615,0)-1,0),OFFSET(控制台!$F$618,MATCH(F386,控制台!$B$618:$B$636,0)-1,0))</f>
        <v>1235865.6</v>
      </c>
      <c r="V386" s="1">
        <f ca="1">IF(E386=1,U386/G386,IF(E386=5,U386/G386*OFFSET(控制台!$D$641,MATCH(B386,控制台!$B$641:$B$645,0)-1,0),U386/G386*OFFSET(控制台!$H$641,MATCH(B386,控制台!$F$641:$F$650,0)-1,0)))</f>
        <v>16852.7127272728</v>
      </c>
      <c r="W386" s="20">
        <f ca="1" t="shared" si="16"/>
        <v>11.7032727272727</v>
      </c>
      <c r="X386" s="15">
        <f ca="1">IF(C386=1,OFFSET(控制台!$U$599,MATCH(F386,控制台!$B$599:$B$615,0)-1,0),OFFSET(控制台!$U$618,MATCH(F386,控制台!$B$618:$B$636,0)-1,0))</f>
        <v>3796500</v>
      </c>
      <c r="Y386" s="16">
        <f ca="1">_xlfn.FLOOR.MATH(IF(E386=1,X386/G386,IF(E386=5,X386/G386*OFFSET(控制台!$D$641,MATCH(B386,控制台!$B$641:$B$645,0)-1,0),X386/G386*OFFSET(控制台!$H$641,MATCH(B386,控制台!$F$641:$F$650,0)-1,0))))</f>
        <v>51770</v>
      </c>
      <c r="Z386" s="16">
        <f ca="1" t="shared" si="17"/>
        <v>129424</v>
      </c>
    </row>
    <row r="387" spans="1:26">
      <c r="A387" s="1">
        <v>21703</v>
      </c>
      <c r="B387" s="1">
        <v>5</v>
      </c>
      <c r="C387" s="1">
        <v>2</v>
      </c>
      <c r="D387" s="1" t="s">
        <v>2841</v>
      </c>
      <c r="E387" s="1">
        <f ca="1">IF(C387=1,OFFSET(控制台!$F$552,MATCH(A387,控制台!$B$552:$B$580,0)-1,0),OFFSET(控制台!$L$552,MATCH(A387,控制台!$H$552:$H$594,0)-1,0))</f>
        <v>10</v>
      </c>
      <c r="F387" s="1">
        <f ca="1">IF(C387=1,OFFSET(控制台!$D$552,MATCH(A387,控制台!$B$552:$B$580,0)-1,0),OFFSET(控制台!$J$552,MATCH(A387,控制台!$H$552:$H$594,0)-1,0))</f>
        <v>17</v>
      </c>
      <c r="G387" s="1">
        <f ca="1">IF(C387=1,OFFSET(控制台!$I$599,MATCH(F387,控制台!$B$599:$B$615,0)-1,0),OFFSET(控制台!$I$618,MATCH(F387,控制台!$B$618:$B$636,0)-1,0))</f>
        <v>2</v>
      </c>
      <c r="H387" s="1">
        <f ca="1">IF(C387=1,OFFSET(控制台!$D$599,MATCH(F387,控制台!$B$599:$B$615,0)-1,0),OFFSET(控制台!$D$618,MATCH(F387,控制台!$B$618:$B$636,0)-1,0))</f>
        <v>2131200000</v>
      </c>
      <c r="I387" s="1">
        <f ca="1">IF(E387=1,H387/G387,IF(E387=5,H387/G387*OFFSET(控制台!$D$641,MATCH(B387,控制台!$B$641:$B$645,0)-1,0),H387/G387*OFFSET(控制台!$H$641,MATCH(B387,控制台!$F$641:$F$650,0)-1,0)))</f>
        <v>48436363.6363637</v>
      </c>
      <c r="J387" s="1">
        <f ca="1">$I387/3*控制台!H$102</f>
        <v>16145454.5454546</v>
      </c>
      <c r="K387" s="1">
        <f ca="1">$I387/3*控制台!I$102</f>
        <v>12109090.9090909</v>
      </c>
      <c r="L387" s="1">
        <f ca="1">$I387/3*控制台!J$102</f>
        <v>20181818.1818182</v>
      </c>
      <c r="M387" s="1">
        <f ca="1">_xlfn.FLOOR.MATH(J387,POWER(10,MAX(2,INT(LOG10(J387)-2))))</f>
        <v>16100000</v>
      </c>
      <c r="N387" s="1">
        <f ca="1">_xlfn.FLOOR.MATH(K387,POWER(10,MAX(2,INT(LOG10(K387)-2))))</f>
        <v>12100000</v>
      </c>
      <c r="O387" s="1">
        <f ca="1">_xlfn.FLOOR.MATH(L387,POWER(10,MAX(2,INT(LOG10(L387)-2))))</f>
        <v>20100000</v>
      </c>
      <c r="P387" s="4" t="str">
        <f ca="1" t="shared" si="15"/>
        <v>16100000;12100000;20100000</v>
      </c>
      <c r="Q387" s="15">
        <f ca="1">IF(C387=1,OFFSET(控制台!$H$599,MATCH(F387,控制台!$B$599:$B$615,0)-1,0),OFFSET(控制台!$H$618,MATCH(F387,控制台!$B$618:$B$636,0)-1,0))</f>
        <v>2533524.48</v>
      </c>
      <c r="R387" s="15">
        <f ca="1">IF(E387=1,Q387/G387,IF(E387=5,Q387/G387*OFFSET(控制台!$D$641,MATCH(B387,控制台!$B$641:$B$645,0)-1,0),Q387/G387*OFFSET(控制台!$H$641,MATCH(B387,控制台!$F$641:$F$650,0)-1,0)))</f>
        <v>57580.1018181819</v>
      </c>
      <c r="S387" s="16">
        <f ca="1">_xlfn.FLOOR.MATH(R387)*60</f>
        <v>3454800</v>
      </c>
      <c r="T387" s="16">
        <f ca="1">8000+IF(C387=1,OFFSET(控制台!$K$599,MATCH(F387,控制台!$B$599:$B$615,0)-1,0),OFFSET(控制台!$K$618,MATCH(F387,控制台!$B$618:$B$636,0)-1,0))</f>
        <v>8030</v>
      </c>
      <c r="U387" s="1">
        <f ca="1">IF(C387=1,OFFSET(控制台!$F$599,MATCH(F387,控制台!$B$599:$B$615,0)-1,0),OFFSET(控制台!$F$618,MATCH(F387,控制台!$B$618:$B$636,0)-1,0))</f>
        <v>1235865.6</v>
      </c>
      <c r="V387" s="1">
        <f ca="1">IF(E387=1,U387/G387,IF(E387=5,U387/G387*OFFSET(控制台!$D$641,MATCH(B387,控制台!$B$641:$B$645,0)-1,0),U387/G387*OFFSET(控制台!$H$641,MATCH(B387,控制台!$F$641:$F$650,0)-1,0)))</f>
        <v>28087.8545454546</v>
      </c>
      <c r="W387" s="20">
        <f ca="1" t="shared" si="16"/>
        <v>19.5054545454546</v>
      </c>
      <c r="X387" s="15">
        <f ca="1">IF(C387=1,OFFSET(控制台!$U$599,MATCH(F387,控制台!$B$599:$B$615,0)-1,0),OFFSET(控制台!$U$618,MATCH(F387,控制台!$B$618:$B$636,0)-1,0))</f>
        <v>3796500</v>
      </c>
      <c r="Y387" s="16">
        <f ca="1">_xlfn.FLOOR.MATH(IF(E387=1,X387/G387,IF(E387=5,X387/G387*OFFSET(控制台!$D$641,MATCH(B387,控制台!$B$641:$B$645,0)-1,0),X387/G387*OFFSET(控制台!$H$641,MATCH(B387,控制台!$F$641:$F$650,0)-1,0))))</f>
        <v>86284</v>
      </c>
      <c r="Z387" s="16">
        <f ca="1" t="shared" si="17"/>
        <v>215708</v>
      </c>
    </row>
    <row r="388" spans="1:26">
      <c r="A388" s="1">
        <v>21703</v>
      </c>
      <c r="B388" s="1">
        <v>6</v>
      </c>
      <c r="C388" s="1">
        <v>2</v>
      </c>
      <c r="D388" s="1" t="s">
        <v>2841</v>
      </c>
      <c r="E388" s="1">
        <f ca="1">IF(C388=1,OFFSET(控制台!$F$552,MATCH(A388,控制台!$B$552:$B$580,0)-1,0),OFFSET(控制台!$L$552,MATCH(A388,控制台!$H$552:$H$594,0)-1,0))</f>
        <v>10</v>
      </c>
      <c r="F388" s="1">
        <f ca="1">IF(C388=1,OFFSET(控制台!$D$552,MATCH(A388,控制台!$B$552:$B$580,0)-1,0),OFFSET(控制台!$J$552,MATCH(A388,控制台!$H$552:$H$594,0)-1,0))</f>
        <v>17</v>
      </c>
      <c r="G388" s="1">
        <f ca="1">IF(C388=1,OFFSET(控制台!$I$599,MATCH(F388,控制台!$B$599:$B$615,0)-1,0),OFFSET(控制台!$I$618,MATCH(F388,控制台!$B$618:$B$636,0)-1,0))</f>
        <v>2</v>
      </c>
      <c r="H388" s="1">
        <f ca="1">IF(C388=1,OFFSET(控制台!$D$599,MATCH(F388,控制台!$B$599:$B$615,0)-1,0),OFFSET(控制台!$D$618,MATCH(F388,控制台!$B$618:$B$636,0)-1,0))</f>
        <v>2131200000</v>
      </c>
      <c r="I388" s="1">
        <f ca="1">IF(E388=1,H388/G388,IF(E388=5,H388/G388*OFFSET(控制台!$D$641,MATCH(B388,控制台!$B$641:$B$645,0)-1,0),H388/G388*OFFSET(控制台!$H$641,MATCH(B388,控制台!$F$641:$F$650,0)-1,0)))</f>
        <v>72654545.4545455</v>
      </c>
      <c r="J388" s="1">
        <f ca="1">$I388/3*控制台!H$102</f>
        <v>24218181.8181818</v>
      </c>
      <c r="K388" s="1">
        <f ca="1">$I388/3*控制台!I$102</f>
        <v>18163636.3636364</v>
      </c>
      <c r="L388" s="1">
        <f ca="1">$I388/3*控制台!J$102</f>
        <v>30272727.2727273</v>
      </c>
      <c r="M388" s="1">
        <f ca="1">_xlfn.FLOOR.MATH(J388,POWER(10,MAX(2,INT(LOG10(J388)-2))))</f>
        <v>24200000</v>
      </c>
      <c r="N388" s="1">
        <f ca="1">_xlfn.FLOOR.MATH(K388,POWER(10,MAX(2,INT(LOG10(K388)-2))))</f>
        <v>18100000</v>
      </c>
      <c r="O388" s="1">
        <f ca="1">_xlfn.FLOOR.MATH(L388,POWER(10,MAX(2,INT(LOG10(L388)-2))))</f>
        <v>30200000</v>
      </c>
      <c r="P388" s="4" t="str">
        <f ca="1" t="shared" si="15"/>
        <v>24200000;18100000;30200000</v>
      </c>
      <c r="Q388" s="15">
        <f ca="1">IF(C388=1,OFFSET(控制台!$H$599,MATCH(F388,控制台!$B$599:$B$615,0)-1,0),OFFSET(控制台!$H$618,MATCH(F388,控制台!$B$618:$B$636,0)-1,0))</f>
        <v>2533524.48</v>
      </c>
      <c r="R388" s="15">
        <f ca="1">IF(E388=1,Q388/G388,IF(E388=5,Q388/G388*OFFSET(控制台!$D$641,MATCH(B388,控制台!$B$641:$B$645,0)-1,0),Q388/G388*OFFSET(控制台!$H$641,MATCH(B388,控制台!$F$641:$F$650,0)-1,0)))</f>
        <v>86370.1527272728</v>
      </c>
      <c r="S388" s="16">
        <f ca="1">_xlfn.FLOOR.MATH(R388)*60</f>
        <v>5182200</v>
      </c>
      <c r="T388" s="16">
        <f ca="1">8000+IF(C388=1,OFFSET(控制台!$K$599,MATCH(F388,控制台!$B$599:$B$615,0)-1,0),OFFSET(控制台!$K$618,MATCH(F388,控制台!$B$618:$B$636,0)-1,0))</f>
        <v>8030</v>
      </c>
      <c r="U388" s="1">
        <f ca="1">IF(C388=1,OFFSET(控制台!$F$599,MATCH(F388,控制台!$B$599:$B$615,0)-1,0),OFFSET(控制台!$F$618,MATCH(F388,控制台!$B$618:$B$636,0)-1,0))</f>
        <v>1235865.6</v>
      </c>
      <c r="V388" s="1">
        <f ca="1">IF(E388=1,U388/G388,IF(E388=5,U388/G388*OFFSET(控制台!$D$641,MATCH(B388,控制台!$B$641:$B$645,0)-1,0),U388/G388*OFFSET(控制台!$H$641,MATCH(B388,控制台!$F$641:$F$650,0)-1,0)))</f>
        <v>42131.7818181819</v>
      </c>
      <c r="W388" s="20">
        <f ca="1" t="shared" si="16"/>
        <v>29.2581818181818</v>
      </c>
      <c r="X388" s="15">
        <f ca="1">IF(C388=1,OFFSET(控制台!$U$599,MATCH(F388,控制台!$B$599:$B$615,0)-1,0),OFFSET(控制台!$U$618,MATCH(F388,控制台!$B$618:$B$636,0)-1,0))</f>
        <v>3796500</v>
      </c>
      <c r="Y388" s="16">
        <f ca="1">_xlfn.FLOOR.MATH(IF(E388=1,X388/G388,IF(E388=5,X388/G388*OFFSET(控制台!$D$641,MATCH(B388,控制台!$B$641:$B$645,0)-1,0),X388/G388*OFFSET(控制台!$H$641,MATCH(B388,控制台!$F$641:$F$650,0)-1,0))))</f>
        <v>129426</v>
      </c>
      <c r="Z388" s="16">
        <f ca="1" t="shared" si="17"/>
        <v>345134</v>
      </c>
    </row>
    <row r="389" spans="1:26">
      <c r="A389" s="1">
        <v>21703</v>
      </c>
      <c r="B389" s="1">
        <v>7</v>
      </c>
      <c r="C389" s="1">
        <v>2</v>
      </c>
      <c r="D389" s="1" t="s">
        <v>2841</v>
      </c>
      <c r="E389" s="1">
        <f ca="1">IF(C389=1,OFFSET(控制台!$F$552,MATCH(A389,控制台!$B$552:$B$580,0)-1,0),OFFSET(控制台!$L$552,MATCH(A389,控制台!$H$552:$H$594,0)-1,0))</f>
        <v>10</v>
      </c>
      <c r="F389" s="1">
        <f ca="1">IF(C389=1,OFFSET(控制台!$D$552,MATCH(A389,控制台!$B$552:$B$580,0)-1,0),OFFSET(控制台!$J$552,MATCH(A389,控制台!$H$552:$H$594,0)-1,0))</f>
        <v>17</v>
      </c>
      <c r="G389" s="1">
        <f ca="1">IF(C389=1,OFFSET(控制台!$I$599,MATCH(F389,控制台!$B$599:$B$615,0)-1,0),OFFSET(控制台!$I$618,MATCH(F389,控制台!$B$618:$B$636,0)-1,0))</f>
        <v>2</v>
      </c>
      <c r="H389" s="1">
        <f ca="1">IF(C389=1,OFFSET(控制台!$D$599,MATCH(F389,控制台!$B$599:$B$615,0)-1,0),OFFSET(控制台!$D$618,MATCH(F389,控制台!$B$618:$B$636,0)-1,0))</f>
        <v>2131200000</v>
      </c>
      <c r="I389" s="1">
        <f ca="1">IF(E389=1,H389/G389,IF(E389=5,H389/G389*OFFSET(控制台!$D$641,MATCH(B389,控制台!$B$641:$B$645,0)-1,0),H389/G389*OFFSET(控制台!$H$641,MATCH(B389,控制台!$F$641:$F$650,0)-1,0)))</f>
        <v>96872727.2727273</v>
      </c>
      <c r="J389" s="1">
        <f ca="1">$I389/3*控制台!H$102</f>
        <v>32290909.0909091</v>
      </c>
      <c r="K389" s="1">
        <f ca="1">$I389/3*控制台!I$102</f>
        <v>24218181.8181818</v>
      </c>
      <c r="L389" s="1">
        <f ca="1">$I389/3*控制台!J$102</f>
        <v>40363636.3636364</v>
      </c>
      <c r="M389" s="1">
        <f ca="1">_xlfn.FLOOR.MATH(J389,POWER(10,MAX(2,INT(LOG10(J389)-2))))</f>
        <v>32200000</v>
      </c>
      <c r="N389" s="1">
        <f ca="1">_xlfn.FLOOR.MATH(K389,POWER(10,MAX(2,INT(LOG10(K389)-2))))</f>
        <v>24200000</v>
      </c>
      <c r="O389" s="1">
        <f ca="1">_xlfn.FLOOR.MATH(L389,POWER(10,MAX(2,INT(LOG10(L389)-2))))</f>
        <v>40300000</v>
      </c>
      <c r="P389" s="4" t="str">
        <f ca="1" t="shared" si="15"/>
        <v>32200000;24200000;40300000</v>
      </c>
      <c r="Q389" s="15">
        <f ca="1">IF(C389=1,OFFSET(控制台!$H$599,MATCH(F389,控制台!$B$599:$B$615,0)-1,0),OFFSET(控制台!$H$618,MATCH(F389,控制台!$B$618:$B$636,0)-1,0))</f>
        <v>2533524.48</v>
      </c>
      <c r="R389" s="15">
        <f ca="1">IF(E389=1,Q389/G389,IF(E389=5,Q389/G389*OFFSET(控制台!$D$641,MATCH(B389,控制台!$B$641:$B$645,0)-1,0),Q389/G389*OFFSET(控制台!$H$641,MATCH(B389,控制台!$F$641:$F$650,0)-1,0)))</f>
        <v>115160.203636364</v>
      </c>
      <c r="S389" s="16">
        <f ca="1">_xlfn.FLOOR.MATH(R389)*60</f>
        <v>6909600</v>
      </c>
      <c r="T389" s="16">
        <f ca="1">8000+IF(C389=1,OFFSET(控制台!$K$599,MATCH(F389,控制台!$B$599:$B$615,0)-1,0),OFFSET(控制台!$K$618,MATCH(F389,控制台!$B$618:$B$636,0)-1,0))</f>
        <v>8030</v>
      </c>
      <c r="U389" s="1">
        <f ca="1">IF(C389=1,OFFSET(控制台!$F$599,MATCH(F389,控制台!$B$599:$B$615,0)-1,0),OFFSET(控制台!$F$618,MATCH(F389,控制台!$B$618:$B$636,0)-1,0))</f>
        <v>1235865.6</v>
      </c>
      <c r="V389" s="1">
        <f ca="1">IF(E389=1,U389/G389,IF(E389=5,U389/G389*OFFSET(控制台!$D$641,MATCH(B389,控制台!$B$641:$B$645,0)-1,0),U389/G389*OFFSET(控制台!$H$641,MATCH(B389,控制台!$F$641:$F$650,0)-1,0)))</f>
        <v>56175.7090909091</v>
      </c>
      <c r="W389" s="20">
        <f ca="1" t="shared" si="16"/>
        <v>39.0109090909091</v>
      </c>
      <c r="X389" s="15">
        <f ca="1">IF(C389=1,OFFSET(控制台!$U$599,MATCH(F389,控制台!$B$599:$B$615,0)-1,0),OFFSET(控制台!$U$618,MATCH(F389,控制台!$B$618:$B$636,0)-1,0))</f>
        <v>3796500</v>
      </c>
      <c r="Y389" s="16">
        <f ca="1">_xlfn.FLOOR.MATH(IF(E389=1,X389/G389,IF(E389=5,X389/G389*OFFSET(控制台!$D$641,MATCH(B389,控制台!$B$641:$B$645,0)-1,0),X389/G389*OFFSET(控制台!$H$641,MATCH(B389,控制台!$F$641:$F$650,0)-1,0))))</f>
        <v>172568</v>
      </c>
      <c r="Z389" s="16">
        <f ca="1" t="shared" si="17"/>
        <v>517702</v>
      </c>
    </row>
    <row r="390" spans="1:26">
      <c r="A390" s="1">
        <v>21703</v>
      </c>
      <c r="B390" s="1">
        <v>8</v>
      </c>
      <c r="C390" s="1">
        <v>2</v>
      </c>
      <c r="D390" s="1" t="s">
        <v>2841</v>
      </c>
      <c r="E390" s="1">
        <f ca="1">IF(C390=1,OFFSET(控制台!$F$552,MATCH(A390,控制台!$B$552:$B$580,0)-1,0),OFFSET(控制台!$L$552,MATCH(A390,控制台!$H$552:$H$594,0)-1,0))</f>
        <v>10</v>
      </c>
      <c r="F390" s="1">
        <f ca="1">IF(C390=1,OFFSET(控制台!$D$552,MATCH(A390,控制台!$B$552:$B$580,0)-1,0),OFFSET(控制台!$J$552,MATCH(A390,控制台!$H$552:$H$594,0)-1,0))</f>
        <v>17</v>
      </c>
      <c r="G390" s="1">
        <f ca="1">IF(C390=1,OFFSET(控制台!$I$599,MATCH(F390,控制台!$B$599:$B$615,0)-1,0),OFFSET(控制台!$I$618,MATCH(F390,控制台!$B$618:$B$636,0)-1,0))</f>
        <v>2</v>
      </c>
      <c r="H390" s="1">
        <f ca="1">IF(C390=1,OFFSET(控制台!$D$599,MATCH(F390,控制台!$B$599:$B$615,0)-1,0),OFFSET(控制台!$D$618,MATCH(F390,控制台!$B$618:$B$636,0)-1,0))</f>
        <v>2131200000</v>
      </c>
      <c r="I390" s="1">
        <f ca="1">IF(E390=1,H390/G390,IF(E390=5,H390/G390*OFFSET(控制台!$D$641,MATCH(B390,控制台!$B$641:$B$645,0)-1,0),H390/G390*OFFSET(控制台!$H$641,MATCH(B390,控制台!$F$641:$F$650,0)-1,0)))</f>
        <v>145309090.909091</v>
      </c>
      <c r="J390" s="1">
        <f ca="1">$I390/3*控制台!H$102</f>
        <v>48436363.6363635</v>
      </c>
      <c r="K390" s="1">
        <f ca="1">$I390/3*控制台!I$102</f>
        <v>36327272.7272726</v>
      </c>
      <c r="L390" s="1">
        <f ca="1">$I390/3*控制台!J$102</f>
        <v>60545454.5454544</v>
      </c>
      <c r="M390" s="1">
        <f ca="1">_xlfn.FLOOR.MATH(J390,POWER(10,MAX(2,INT(LOG10(J390)-2))))</f>
        <v>48400000</v>
      </c>
      <c r="N390" s="1">
        <f ca="1">_xlfn.FLOOR.MATH(K390,POWER(10,MAX(2,INT(LOG10(K390)-2))))</f>
        <v>36300000</v>
      </c>
      <c r="O390" s="1">
        <f ca="1">_xlfn.FLOOR.MATH(L390,POWER(10,MAX(2,INT(LOG10(L390)-2))))</f>
        <v>60500000</v>
      </c>
      <c r="P390" s="4" t="str">
        <f ca="1" t="shared" si="15"/>
        <v>48400000;36300000;60500000</v>
      </c>
      <c r="Q390" s="15">
        <f ca="1">IF(C390=1,OFFSET(控制台!$H$599,MATCH(F390,控制台!$B$599:$B$615,0)-1,0),OFFSET(控制台!$H$618,MATCH(F390,控制台!$B$618:$B$636,0)-1,0))</f>
        <v>2533524.48</v>
      </c>
      <c r="R390" s="15">
        <f ca="1">IF(E390=1,Q390/G390,IF(E390=5,Q390/G390*OFFSET(控制台!$D$641,MATCH(B390,控制台!$B$641:$B$645,0)-1,0),Q390/G390*OFFSET(控制台!$H$641,MATCH(B390,控制台!$F$641:$F$650,0)-1,0)))</f>
        <v>172740.305454545</v>
      </c>
      <c r="S390" s="16">
        <f ca="1">_xlfn.FLOOR.MATH(R390)*60</f>
        <v>10364400</v>
      </c>
      <c r="T390" s="16">
        <f ca="1">8000+IF(C390=1,OFFSET(控制台!$K$599,MATCH(F390,控制台!$B$599:$B$615,0)-1,0),OFFSET(控制台!$K$618,MATCH(F390,控制台!$B$618:$B$636,0)-1,0))</f>
        <v>8030</v>
      </c>
      <c r="U390" s="1">
        <f ca="1">IF(C390=1,OFFSET(控制台!$F$599,MATCH(F390,控制台!$B$599:$B$615,0)-1,0),OFFSET(控制台!$F$618,MATCH(F390,控制台!$B$618:$B$636,0)-1,0))</f>
        <v>1235865.6</v>
      </c>
      <c r="V390" s="1">
        <f ca="1">IF(E390=1,U390/G390,IF(E390=5,U390/G390*OFFSET(控制台!$D$641,MATCH(B390,控制台!$B$641:$B$645,0)-1,0),U390/G390*OFFSET(控制台!$H$641,MATCH(B390,控制台!$F$641:$F$650,0)-1,0)))</f>
        <v>84263.5636363634</v>
      </c>
      <c r="W390" s="20">
        <f ca="1" t="shared" si="16"/>
        <v>58.5163636363635</v>
      </c>
      <c r="X390" s="15">
        <f ca="1">IF(C390=1,OFFSET(控制台!$U$599,MATCH(F390,控制台!$B$599:$B$615,0)-1,0),OFFSET(控制台!$U$618,MATCH(F390,控制台!$B$618:$B$636,0)-1,0))</f>
        <v>3796500</v>
      </c>
      <c r="Y390" s="16">
        <f ca="1">_xlfn.FLOOR.MATH(IF(E390=1,X390/G390,IF(E390=5,X390/G390*OFFSET(控制台!$D$641,MATCH(B390,控制台!$B$641:$B$645,0)-1,0),X390/G390*OFFSET(控制台!$H$641,MATCH(B390,控制台!$F$641:$F$650,0)-1,0))))</f>
        <v>258852</v>
      </c>
      <c r="Z390" s="16">
        <f ca="1" t="shared" si="17"/>
        <v>776554</v>
      </c>
    </row>
    <row r="391" spans="1:26">
      <c r="A391" s="1">
        <v>21703</v>
      </c>
      <c r="B391" s="1">
        <v>9</v>
      </c>
      <c r="C391" s="1">
        <v>2</v>
      </c>
      <c r="D391" s="1" t="s">
        <v>2841</v>
      </c>
      <c r="E391" s="1">
        <f ca="1">IF(C391=1,OFFSET(控制台!$F$552,MATCH(A391,控制台!$B$552:$B$580,0)-1,0),OFFSET(控制台!$L$552,MATCH(A391,控制台!$H$552:$H$594,0)-1,0))</f>
        <v>10</v>
      </c>
      <c r="F391" s="1">
        <f ca="1">IF(C391=1,OFFSET(控制台!$D$552,MATCH(A391,控制台!$B$552:$B$580,0)-1,0),OFFSET(控制台!$J$552,MATCH(A391,控制台!$H$552:$H$594,0)-1,0))</f>
        <v>17</v>
      </c>
      <c r="G391" s="1">
        <f ca="1">IF(C391=1,OFFSET(控制台!$I$599,MATCH(F391,控制台!$B$599:$B$615,0)-1,0),OFFSET(控制台!$I$618,MATCH(F391,控制台!$B$618:$B$636,0)-1,0))</f>
        <v>2</v>
      </c>
      <c r="H391" s="1">
        <f ca="1">IF(C391=1,OFFSET(控制台!$D$599,MATCH(F391,控制台!$B$599:$B$615,0)-1,0),OFFSET(控制台!$D$618,MATCH(F391,控制台!$B$618:$B$636,0)-1,0))</f>
        <v>2131200000</v>
      </c>
      <c r="I391" s="1">
        <f ca="1">IF(E391=1,H391/G391,IF(E391=5,H391/G391*OFFSET(控制台!$D$641,MATCH(B391,控制台!$B$641:$B$645,0)-1,0),H391/G391*OFFSET(控制台!$H$641,MATCH(B391,控制台!$F$641:$F$650,0)-1,0)))</f>
        <v>242181818.181818</v>
      </c>
      <c r="J391" s="1">
        <f ca="1">$I391/3*控制台!H$102</f>
        <v>80727272.7272726</v>
      </c>
      <c r="K391" s="1">
        <f ca="1">$I391/3*控制台!I$102</f>
        <v>60545454.5454545</v>
      </c>
      <c r="L391" s="1">
        <f ca="1">$I391/3*控制台!J$102</f>
        <v>100909090.909091</v>
      </c>
      <c r="M391" s="1">
        <f ca="1">_xlfn.FLOOR.MATH(J391,POWER(10,MAX(2,INT(LOG10(J391)-2))))</f>
        <v>80700000</v>
      </c>
      <c r="N391" s="1">
        <f ca="1">_xlfn.FLOOR.MATH(K391,POWER(10,MAX(2,INT(LOG10(K391)-2))))</f>
        <v>60500000</v>
      </c>
      <c r="O391" s="1">
        <f ca="1">_xlfn.FLOOR.MATH(L391,POWER(10,MAX(2,INT(LOG10(L391)-2))))</f>
        <v>100000000</v>
      </c>
      <c r="P391" s="4" t="str">
        <f ca="1" t="shared" ref="P391:P395" si="18">CONCATENATE(M391,";",N391,";",O391)</f>
        <v>80700000;60500000;100000000</v>
      </c>
      <c r="Q391" s="15">
        <f ca="1">IF(C391=1,OFFSET(控制台!$H$599,MATCH(F391,控制台!$B$599:$B$615,0)-1,0),OFFSET(控制台!$H$618,MATCH(F391,控制台!$B$618:$B$636,0)-1,0))</f>
        <v>2533524.48</v>
      </c>
      <c r="R391" s="15">
        <f ca="1">IF(E391=1,Q391/G391,IF(E391=5,Q391/G391*OFFSET(控制台!$D$641,MATCH(B391,控制台!$B$641:$B$645,0)-1,0),Q391/G391*OFFSET(控制台!$H$641,MATCH(B391,控制台!$F$641:$F$650,0)-1,0)))</f>
        <v>287900.509090909</v>
      </c>
      <c r="S391" s="16">
        <f ca="1">_xlfn.FLOOR.MATH(R391)*60</f>
        <v>17274000</v>
      </c>
      <c r="T391" s="16">
        <f ca="1">8000+IF(C391=1,OFFSET(控制台!$K$599,MATCH(F391,控制台!$B$599:$B$615,0)-1,0),OFFSET(控制台!$K$618,MATCH(F391,控制台!$B$618:$B$636,0)-1,0))</f>
        <v>8030</v>
      </c>
      <c r="U391" s="1">
        <f ca="1">IF(C391=1,OFFSET(控制台!$F$599,MATCH(F391,控制台!$B$599:$B$615,0)-1,0),OFFSET(控制台!$F$618,MATCH(F391,控制台!$B$618:$B$636,0)-1,0))</f>
        <v>1235865.6</v>
      </c>
      <c r="V391" s="1">
        <f ca="1">IF(E391=1,U391/G391,IF(E391=5,U391/G391*OFFSET(控制台!$D$641,MATCH(B391,控制台!$B$641:$B$645,0)-1,0),U391/G391*OFFSET(控制台!$H$641,MATCH(B391,控制台!$F$641:$F$650,0)-1,0)))</f>
        <v>140439.272727273</v>
      </c>
      <c r="W391" s="20">
        <f ca="1" t="shared" ref="W391:W395" si="19">V391/60/24</f>
        <v>97.5272727272726</v>
      </c>
      <c r="X391" s="15">
        <f ca="1">IF(C391=1,OFFSET(控制台!$U$599,MATCH(F391,控制台!$B$599:$B$615,0)-1,0),OFFSET(控制台!$U$618,MATCH(F391,控制台!$B$618:$B$636,0)-1,0))</f>
        <v>3796500</v>
      </c>
      <c r="Y391" s="16">
        <f ca="1">_xlfn.FLOOR.MATH(IF(E391=1,X391/G391,IF(E391=5,X391/G391*OFFSET(控制台!$D$641,MATCH(B391,控制台!$B$641:$B$645,0)-1,0),X391/G391*OFFSET(控制台!$H$641,MATCH(B391,控制台!$F$641:$F$650,0)-1,0))))</f>
        <v>431420</v>
      </c>
      <c r="Z391" s="16">
        <f ca="1" t="shared" ref="Z391:Z395" si="20">IF(B391=1,Y391,Z390+Y391)</f>
        <v>1207974</v>
      </c>
    </row>
    <row r="392" spans="1:26">
      <c r="A392" s="1">
        <v>21703</v>
      </c>
      <c r="B392" s="1">
        <v>10</v>
      </c>
      <c r="C392" s="1">
        <v>2</v>
      </c>
      <c r="D392" s="1" t="s">
        <v>2841</v>
      </c>
      <c r="E392" s="1">
        <f ca="1">IF(C392=1,OFFSET(控制台!$F$552,MATCH(A392,控制台!$B$552:$B$580,0)-1,0),OFFSET(控制台!$L$552,MATCH(A392,控制台!$H$552:$H$594,0)-1,0))</f>
        <v>10</v>
      </c>
      <c r="F392" s="1">
        <f ca="1">IF(C392=1,OFFSET(控制台!$D$552,MATCH(A392,控制台!$B$552:$B$580,0)-1,0),OFFSET(控制台!$J$552,MATCH(A392,控制台!$H$552:$H$594,0)-1,0))</f>
        <v>17</v>
      </c>
      <c r="G392" s="1">
        <f ca="1">IF(C392=1,OFFSET(控制台!$I$599,MATCH(F392,控制台!$B$599:$B$615,0)-1,0),OFFSET(控制台!$I$618,MATCH(F392,控制台!$B$618:$B$636,0)-1,0))</f>
        <v>2</v>
      </c>
      <c r="H392" s="1">
        <f ca="1">IF(C392=1,OFFSET(控制台!$D$599,MATCH(F392,控制台!$B$599:$B$615,0)-1,0),OFFSET(控制台!$D$618,MATCH(F392,控制台!$B$618:$B$636,0)-1,0))</f>
        <v>2131200000</v>
      </c>
      <c r="I392" s="1">
        <f ca="1">IF(E392=1,H392/G392,IF(E392=5,H392/G392*OFFSET(控制台!$D$641,MATCH(B392,控制台!$B$641:$B$645,0)-1,0),H392/G392*OFFSET(控制台!$H$641,MATCH(B392,控制台!$F$641:$F$650,0)-1,0)))</f>
        <v>387490909.090909</v>
      </c>
      <c r="J392" s="1">
        <f ca="1">$I392/3*控制台!H$102</f>
        <v>129163636.363636</v>
      </c>
      <c r="K392" s="1">
        <f ca="1">$I392/3*控制台!I$102</f>
        <v>96872727.2727274</v>
      </c>
      <c r="L392" s="1">
        <f ca="1">$I392/3*控制台!J$102</f>
        <v>161454545.454546</v>
      </c>
      <c r="M392" s="1">
        <f ca="1">_xlfn.FLOOR.MATH(J392,POWER(10,MAX(2,INT(LOG10(J392)-2))))</f>
        <v>129000000</v>
      </c>
      <c r="N392" s="1">
        <f ca="1">_xlfn.FLOOR.MATH(K392,POWER(10,MAX(2,INT(LOG10(K392)-2))))</f>
        <v>96800000</v>
      </c>
      <c r="O392" s="1">
        <f ca="1">_xlfn.FLOOR.MATH(L392,POWER(10,MAX(2,INT(LOG10(L392)-2))))</f>
        <v>161000000</v>
      </c>
      <c r="P392" s="4" t="str">
        <f ca="1" t="shared" si="18"/>
        <v>129000000;96800000;161000000</v>
      </c>
      <c r="Q392" s="15">
        <f ca="1">IF(C392=1,OFFSET(控制台!$H$599,MATCH(F392,控制台!$B$599:$B$615,0)-1,0),OFFSET(控制台!$H$618,MATCH(F392,控制台!$B$618:$B$636,0)-1,0))</f>
        <v>2533524.48</v>
      </c>
      <c r="R392" s="15">
        <f ca="1">IF(E392=1,Q392/G392,IF(E392=5,Q392/G392*OFFSET(控制台!$D$641,MATCH(B392,控制台!$B$641:$B$645,0)-1,0),Q392/G392*OFFSET(控制台!$H$641,MATCH(B392,控制台!$F$641:$F$650,0)-1,0)))</f>
        <v>460640.814545455</v>
      </c>
      <c r="S392" s="16">
        <f ca="1">_xlfn.FLOOR.MATH(R392)*60</f>
        <v>27638400</v>
      </c>
      <c r="T392" s="16">
        <f ca="1">8000+IF(C392=1,OFFSET(控制台!$K$599,MATCH(F392,控制台!$B$599:$B$615,0)-1,0),OFFSET(控制台!$K$618,MATCH(F392,控制台!$B$618:$B$636,0)-1,0))</f>
        <v>8030</v>
      </c>
      <c r="U392" s="1">
        <f ca="1">IF(C392=1,OFFSET(控制台!$F$599,MATCH(F392,控制台!$B$599:$B$615,0)-1,0),OFFSET(控制台!$F$618,MATCH(F392,控制台!$B$618:$B$636,0)-1,0))</f>
        <v>1235865.6</v>
      </c>
      <c r="V392" s="1">
        <f ca="1">IF(E392=1,U392/G392,IF(E392=5,U392/G392*OFFSET(控制台!$D$641,MATCH(B392,控制台!$B$641:$B$645,0)-1,0),U392/G392*OFFSET(控制台!$H$641,MATCH(B392,控制台!$F$641:$F$650,0)-1,0)))</f>
        <v>224702.836363637</v>
      </c>
      <c r="W392" s="20">
        <f ca="1" t="shared" si="19"/>
        <v>156.043636363637</v>
      </c>
      <c r="X392" s="15">
        <f ca="1">IF(C392=1,OFFSET(控制台!$U$599,MATCH(F392,控制台!$B$599:$B$615,0)-1,0),OFFSET(控制台!$U$618,MATCH(F392,控制台!$B$618:$B$636,0)-1,0))</f>
        <v>3796500</v>
      </c>
      <c r="Y392" s="16">
        <f ca="1">_xlfn.FLOOR.MATH(IF(E392=1,X392/G392,IF(E392=5,X392/G392*OFFSET(控制台!$D$641,MATCH(B392,控制台!$B$641:$B$645,0)-1,0),X392/G392*OFFSET(控制台!$H$641,MATCH(B392,控制台!$F$641:$F$650,0)-1,0))))</f>
        <v>690272</v>
      </c>
      <c r="Z392" s="16">
        <f ca="1" t="shared" si="20"/>
        <v>1898246</v>
      </c>
    </row>
    <row r="393" spans="1:26">
      <c r="A393" s="1">
        <v>21801</v>
      </c>
      <c r="B393" s="1">
        <v>1</v>
      </c>
      <c r="C393" s="1">
        <v>2</v>
      </c>
      <c r="D393" s="1" t="s">
        <v>2842</v>
      </c>
      <c r="E393" s="1">
        <f ca="1">IF(C393=1,OFFSET(控制台!$F$552,MATCH(A393,控制台!$B$552:$B$580,0)-1,0),OFFSET(控制台!$L$552,MATCH(A393,控制台!$H$552:$H$594,0)-1,0))</f>
        <v>1</v>
      </c>
      <c r="F393" s="1">
        <f ca="1">IF(C393=1,OFFSET(控制台!$D$552,MATCH(A393,控制台!$B$552:$B$580,0)-1,0),OFFSET(控制台!$J$552,MATCH(A393,控制台!$H$552:$H$594,0)-1,0))</f>
        <v>18</v>
      </c>
      <c r="G393" s="1">
        <f ca="1">IF(C393=1,OFFSET(控制台!$I$599,MATCH(F393,控制台!$B$599:$B$615,0)-1,0),OFFSET(控制台!$I$618,MATCH(F393,控制台!$B$618:$B$636,0)-1,0))</f>
        <v>3</v>
      </c>
      <c r="H393" s="1">
        <f ca="1">IF(C393=1,OFFSET(控制台!$D$599,MATCH(F393,控制台!$B$599:$B$615,0)-1,0),OFFSET(控制台!$D$618,MATCH(F393,控制台!$B$618:$B$636,0)-1,0))</f>
        <v>720000000</v>
      </c>
      <c r="I393" s="1">
        <f ca="1">IF(E393=1,H393/G393,IF(E393=5,H393/G393*OFFSET(控制台!$D$641,MATCH(B393,控制台!$B$641:$B$645,0)-1,0),H393/G393*OFFSET(控制台!$H$641,MATCH(B393,控制台!$F$641:$F$650,0)-1,0)))</f>
        <v>240000000</v>
      </c>
      <c r="J393" s="1">
        <f ca="1">$I393/3*控制台!H$102</f>
        <v>80000000</v>
      </c>
      <c r="K393" s="1">
        <f ca="1">$I393/3*控制台!I$102</f>
        <v>60000000</v>
      </c>
      <c r="L393" s="1">
        <f ca="1">$I393/3*控制台!J$102</f>
        <v>100000000</v>
      </c>
      <c r="M393" s="1">
        <f ca="1">_xlfn.FLOOR.MATH(J393,POWER(10,MAX(2,INT(LOG10(J393)-2))))</f>
        <v>80000000</v>
      </c>
      <c r="N393" s="1">
        <f ca="1">_xlfn.FLOOR.MATH(K393,POWER(10,MAX(2,INT(LOG10(K393)-2))))</f>
        <v>60000000</v>
      </c>
      <c r="O393" s="1">
        <f ca="1">_xlfn.FLOOR.MATH(L393,POWER(10,MAX(2,INT(LOG10(L393)-2))))</f>
        <v>100000000</v>
      </c>
      <c r="P393" s="4" t="str">
        <f ca="1" t="shared" si="18"/>
        <v>80000000;60000000;100000000</v>
      </c>
      <c r="Q393" s="15">
        <f ca="1">IF(C393=1,OFFSET(控制台!$H$599,MATCH(F393,控制台!$B$599:$B$615,0)-1,0),OFFSET(控制台!$H$618,MATCH(F393,控制台!$B$618:$B$636,0)-1,0))</f>
        <v>891648</v>
      </c>
      <c r="R393" s="15">
        <f ca="1">IF(E393=1,Q393/G393,IF(E393=5,Q393/G393*OFFSET(控制台!$D$641,MATCH(B393,控制台!$B$641:$B$645,0)-1,0),Q393/G393*OFFSET(控制台!$H$641,MATCH(B393,控制台!$F$641:$F$650,0)-1,0)))</f>
        <v>297216</v>
      </c>
      <c r="S393" s="16">
        <f ca="1">_xlfn.FLOOR.MATH(R393)*60</f>
        <v>17832960</v>
      </c>
      <c r="T393" s="16">
        <f ca="1">8000+IF(C393=1,OFFSET(控制台!$K$599,MATCH(F393,控制台!$B$599:$B$615,0)-1,0),OFFSET(控制台!$K$618,MATCH(F393,控制台!$B$618:$B$636,0)-1,0))</f>
        <v>8032</v>
      </c>
      <c r="U393" s="1">
        <f ca="1">IF(C393=1,OFFSET(控制台!$F$599,MATCH(F393,控制台!$B$599:$B$615,0)-1,0),OFFSET(控制台!$F$618,MATCH(F393,控制台!$B$618:$B$636,0)-1,0))</f>
        <v>414720</v>
      </c>
      <c r="V393" s="1">
        <f ca="1">IF(E393=1,U393/G393,IF(E393=5,U393/G393*OFFSET(控制台!$D$641,MATCH(B393,控制台!$B$641:$B$645,0)-1,0),U393/G393*OFFSET(控制台!$H$641,MATCH(B393,控制台!$F$641:$F$650,0)-1,0)))</f>
        <v>138240</v>
      </c>
      <c r="W393" s="20">
        <f ca="1" t="shared" si="19"/>
        <v>96</v>
      </c>
      <c r="X393" s="15">
        <f ca="1">IF(C393=1,OFFSET(控制台!$U$599,MATCH(F393,控制台!$B$599:$B$615,0)-1,0),OFFSET(控制台!$U$618,MATCH(F393,控制台!$B$618:$B$636,0)-1,0))</f>
        <v>1275000</v>
      </c>
      <c r="Y393" s="16">
        <f ca="1">_xlfn.FLOOR.MATH(IF(E393=1,X393/G393,IF(E393=5,X393/G393*OFFSET(控制台!$D$641,MATCH(B393,控制台!$B$641:$B$645,0)-1,0),X393/G393*OFFSET(控制台!$H$641,MATCH(B393,控制台!$F$641:$F$650,0)-1,0))))</f>
        <v>425000</v>
      </c>
      <c r="Z393" s="16">
        <f ca="1" t="shared" si="20"/>
        <v>425000</v>
      </c>
    </row>
    <row r="394" spans="1:26">
      <c r="A394" s="1">
        <v>21802</v>
      </c>
      <c r="B394" s="1">
        <v>1</v>
      </c>
      <c r="C394" s="1">
        <v>2</v>
      </c>
      <c r="D394" s="1" t="s">
        <v>2843</v>
      </c>
      <c r="E394" s="1">
        <f ca="1">IF(C394=1,OFFSET(控制台!$F$552,MATCH(A394,控制台!$B$552:$B$580,0)-1,0),OFFSET(控制台!$L$552,MATCH(A394,控制台!$H$552:$H$594,0)-1,0))</f>
        <v>1</v>
      </c>
      <c r="F394" s="1">
        <f ca="1">IF(C394=1,OFFSET(控制台!$D$552,MATCH(A394,控制台!$B$552:$B$580,0)-1,0),OFFSET(控制台!$J$552,MATCH(A394,控制台!$H$552:$H$594,0)-1,0))</f>
        <v>18</v>
      </c>
      <c r="G394" s="1">
        <f ca="1">IF(C394=1,OFFSET(控制台!$I$599,MATCH(F394,控制台!$B$599:$B$615,0)-1,0),OFFSET(控制台!$I$618,MATCH(F394,控制台!$B$618:$B$636,0)-1,0))</f>
        <v>3</v>
      </c>
      <c r="H394" s="1">
        <f ca="1">IF(C394=1,OFFSET(控制台!$D$599,MATCH(F394,控制台!$B$599:$B$615,0)-1,0),OFFSET(控制台!$D$618,MATCH(F394,控制台!$B$618:$B$636,0)-1,0))</f>
        <v>720000000</v>
      </c>
      <c r="I394" s="1">
        <f ca="1">IF(E394=1,H394/G394,IF(E394=5,H394/G394*OFFSET(控制台!$D$641,MATCH(B394,控制台!$B$641:$B$645,0)-1,0),H394/G394*OFFSET(控制台!$H$641,MATCH(B394,控制台!$F$641:$F$650,0)-1,0)))</f>
        <v>240000000</v>
      </c>
      <c r="J394" s="1">
        <f ca="1">$I394/3*控制台!H$102</f>
        <v>80000000</v>
      </c>
      <c r="K394" s="1">
        <f ca="1">$I394/3*控制台!I$102</f>
        <v>60000000</v>
      </c>
      <c r="L394" s="1">
        <f ca="1">$I394/3*控制台!J$102</f>
        <v>100000000</v>
      </c>
      <c r="M394" s="1">
        <f ca="1">_xlfn.FLOOR.MATH(J394,POWER(10,MAX(2,INT(LOG10(J394)-2))))</f>
        <v>80000000</v>
      </c>
      <c r="N394" s="1">
        <f ca="1">_xlfn.FLOOR.MATH(K394,POWER(10,MAX(2,INT(LOG10(K394)-2))))</f>
        <v>60000000</v>
      </c>
      <c r="O394" s="1">
        <f ca="1">_xlfn.FLOOR.MATH(L394,POWER(10,MAX(2,INT(LOG10(L394)-2))))</f>
        <v>100000000</v>
      </c>
      <c r="P394" s="4" t="str">
        <f ca="1" t="shared" si="18"/>
        <v>80000000;60000000;100000000</v>
      </c>
      <c r="Q394" s="15">
        <f ca="1">IF(C394=1,OFFSET(控制台!$H$599,MATCH(F394,控制台!$B$599:$B$615,0)-1,0),OFFSET(控制台!$H$618,MATCH(F394,控制台!$B$618:$B$636,0)-1,0))</f>
        <v>891648</v>
      </c>
      <c r="R394" s="15">
        <f ca="1">IF(E394=1,Q394/G394,IF(E394=5,Q394/G394*OFFSET(控制台!$D$641,MATCH(B394,控制台!$B$641:$B$645,0)-1,0),Q394/G394*OFFSET(控制台!$H$641,MATCH(B394,控制台!$F$641:$F$650,0)-1,0)))</f>
        <v>297216</v>
      </c>
      <c r="S394" s="16">
        <f ca="1">_xlfn.FLOOR.MATH(R394)*60</f>
        <v>17832960</v>
      </c>
      <c r="T394" s="16">
        <f ca="1">8000+IF(C394=1,OFFSET(控制台!$K$599,MATCH(F394,控制台!$B$599:$B$615,0)-1,0),OFFSET(控制台!$K$618,MATCH(F394,控制台!$B$618:$B$636,0)-1,0))</f>
        <v>8032</v>
      </c>
      <c r="U394" s="1">
        <f ca="1">IF(C394=1,OFFSET(控制台!$F$599,MATCH(F394,控制台!$B$599:$B$615,0)-1,0),OFFSET(控制台!$F$618,MATCH(F394,控制台!$B$618:$B$636,0)-1,0))</f>
        <v>414720</v>
      </c>
      <c r="V394" s="1">
        <f ca="1">IF(E394=1,U394/G394,IF(E394=5,U394/G394*OFFSET(控制台!$D$641,MATCH(B394,控制台!$B$641:$B$645,0)-1,0),U394/G394*OFFSET(控制台!$H$641,MATCH(B394,控制台!$F$641:$F$650,0)-1,0)))</f>
        <v>138240</v>
      </c>
      <c r="W394" s="20">
        <f ca="1" t="shared" si="19"/>
        <v>96</v>
      </c>
      <c r="X394" s="15">
        <f ca="1">IF(C394=1,OFFSET(控制台!$U$599,MATCH(F394,控制台!$B$599:$B$615,0)-1,0),OFFSET(控制台!$U$618,MATCH(F394,控制台!$B$618:$B$636,0)-1,0))</f>
        <v>1275000</v>
      </c>
      <c r="Y394" s="16">
        <f ca="1">_xlfn.FLOOR.MATH(IF(E394=1,X394/G394,IF(E394=5,X394/G394*OFFSET(控制台!$D$641,MATCH(B394,控制台!$B$641:$B$645,0)-1,0),X394/G394*OFFSET(控制台!$H$641,MATCH(B394,控制台!$F$641:$F$650,0)-1,0))))</f>
        <v>425000</v>
      </c>
      <c r="Z394" s="16">
        <f ca="1" t="shared" si="20"/>
        <v>425000</v>
      </c>
    </row>
    <row r="395" spans="1:26">
      <c r="A395" s="1">
        <v>21803</v>
      </c>
      <c r="B395" s="1">
        <v>1</v>
      </c>
      <c r="C395" s="1">
        <v>2</v>
      </c>
      <c r="D395" s="1" t="s">
        <v>2844</v>
      </c>
      <c r="E395" s="1">
        <f ca="1">IF(C395=1,OFFSET(控制台!$F$552,MATCH(A395,控制台!$B$552:$B$580,0)-1,0),OFFSET(控制台!$L$552,MATCH(A395,控制台!$H$552:$H$594,0)-1,0))</f>
        <v>1</v>
      </c>
      <c r="F395" s="1">
        <f ca="1">IF(C395=1,OFFSET(控制台!$D$552,MATCH(A395,控制台!$B$552:$B$580,0)-1,0),OFFSET(控制台!$J$552,MATCH(A395,控制台!$H$552:$H$594,0)-1,0))</f>
        <v>18</v>
      </c>
      <c r="G395" s="1">
        <f ca="1">IF(C395=1,OFFSET(控制台!$I$599,MATCH(F395,控制台!$B$599:$B$615,0)-1,0),OFFSET(控制台!$I$618,MATCH(F395,控制台!$B$618:$B$636,0)-1,0))</f>
        <v>3</v>
      </c>
      <c r="H395" s="1">
        <f ca="1">IF(C395=1,OFFSET(控制台!$D$599,MATCH(F395,控制台!$B$599:$B$615,0)-1,0),OFFSET(控制台!$D$618,MATCH(F395,控制台!$B$618:$B$636,0)-1,0))</f>
        <v>720000000</v>
      </c>
      <c r="I395" s="1">
        <f ca="1">IF(E395=1,H395/G395,IF(E395=5,H395/G395*OFFSET(控制台!$D$641,MATCH(B395,控制台!$B$641:$B$645,0)-1,0),H395/G395*OFFSET(控制台!$H$641,MATCH(B395,控制台!$F$641:$F$650,0)-1,0)))</f>
        <v>240000000</v>
      </c>
      <c r="J395" s="1">
        <f ca="1">$I395/3*控制台!H$102</f>
        <v>80000000</v>
      </c>
      <c r="K395" s="1">
        <f ca="1">$I395/3*控制台!I$102</f>
        <v>60000000</v>
      </c>
      <c r="L395" s="1">
        <f ca="1">$I395/3*控制台!J$102</f>
        <v>100000000</v>
      </c>
      <c r="M395" s="1">
        <f ca="1">_xlfn.FLOOR.MATH(J395,POWER(10,MAX(2,INT(LOG10(J395)-2))))</f>
        <v>80000000</v>
      </c>
      <c r="N395" s="1">
        <f ca="1">_xlfn.FLOOR.MATH(K395,POWER(10,MAX(2,INT(LOG10(K395)-2))))</f>
        <v>60000000</v>
      </c>
      <c r="O395" s="1">
        <f ca="1">_xlfn.FLOOR.MATH(L395,POWER(10,MAX(2,INT(LOG10(L395)-2))))</f>
        <v>100000000</v>
      </c>
      <c r="P395" s="4" t="str">
        <f ca="1" t="shared" si="18"/>
        <v>80000000;60000000;100000000</v>
      </c>
      <c r="Q395" s="15">
        <f ca="1">IF(C395=1,OFFSET(控制台!$H$599,MATCH(F395,控制台!$B$599:$B$615,0)-1,0),OFFSET(控制台!$H$618,MATCH(F395,控制台!$B$618:$B$636,0)-1,0))</f>
        <v>891648</v>
      </c>
      <c r="R395" s="15">
        <f ca="1">IF(E395=1,Q395/G395,IF(E395=5,Q395/G395*OFFSET(控制台!$D$641,MATCH(B395,控制台!$B$641:$B$645,0)-1,0),Q395/G395*OFFSET(控制台!$H$641,MATCH(B395,控制台!$F$641:$F$650,0)-1,0)))</f>
        <v>297216</v>
      </c>
      <c r="S395" s="16">
        <f ca="1">_xlfn.FLOOR.MATH(R395)*60</f>
        <v>17832960</v>
      </c>
      <c r="T395" s="16">
        <f ca="1">8000+IF(C395=1,OFFSET(控制台!$K$599,MATCH(F395,控制台!$B$599:$B$615,0)-1,0),OFFSET(控制台!$K$618,MATCH(F395,控制台!$B$618:$B$636,0)-1,0))</f>
        <v>8032</v>
      </c>
      <c r="U395" s="1">
        <f ca="1">IF(C395=1,OFFSET(控制台!$F$599,MATCH(F395,控制台!$B$599:$B$615,0)-1,0),OFFSET(控制台!$F$618,MATCH(F395,控制台!$B$618:$B$636,0)-1,0))</f>
        <v>414720</v>
      </c>
      <c r="V395" s="1">
        <f ca="1">IF(E395=1,U395/G395,IF(E395=5,U395/G395*OFFSET(控制台!$D$641,MATCH(B395,控制台!$B$641:$B$645,0)-1,0),U395/G395*OFFSET(控制台!$H$641,MATCH(B395,控制台!$F$641:$F$650,0)-1,0)))</f>
        <v>138240</v>
      </c>
      <c r="W395" s="20">
        <f ca="1" t="shared" si="19"/>
        <v>96</v>
      </c>
      <c r="X395" s="15">
        <f ca="1">IF(C395=1,OFFSET(控制台!$U$599,MATCH(F395,控制台!$B$599:$B$615,0)-1,0),OFFSET(控制台!$U$618,MATCH(F395,控制台!$B$618:$B$636,0)-1,0))</f>
        <v>1275000</v>
      </c>
      <c r="Y395" s="16">
        <f ca="1">_xlfn.FLOOR.MATH(IF(E395=1,X395/G395,IF(E395=5,X395/G395*OFFSET(控制台!$D$641,MATCH(B395,控制台!$B$641:$B$645,0)-1,0),X395/G395*OFFSET(控制台!$H$641,MATCH(B395,控制台!$F$641:$F$650,0)-1,0))))</f>
        <v>425000</v>
      </c>
      <c r="Z395" s="16">
        <f ca="1" t="shared" si="20"/>
        <v>425000</v>
      </c>
    </row>
  </sheetData>
  <hyperlinks>
    <hyperlink ref="A1" location="控制台_103_科技" display="返回控制台_科技"/>
  </hyperlinks>
  <pageMargins left="0.699305555555556" right="0.699305555555556" top="0.75" bottom="0.75" header="0.3" footer="0.3"/>
  <pageSetup paperSize="9" orientation="portrait"/>
  <headerFooter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7">
    <tabColor theme="9" tint="0.599993896298105"/>
  </sheetPr>
  <dimension ref="A1:Y205"/>
  <sheetViews>
    <sheetView zoomScale="70" zoomScaleNormal="70" workbookViewId="0">
      <selection activeCell="I11" sqref="I11"/>
    </sheetView>
  </sheetViews>
  <sheetFormatPr defaultColWidth="8.70967741935484" defaultRowHeight="13.1"/>
  <cols>
    <col min="1" max="1" width="9.62903225806452" style="1" customWidth="1"/>
    <col min="2" max="2" width="9.37903225806452" style="1" customWidth="1"/>
    <col min="3" max="4" width="10.5" style="1" customWidth="1"/>
    <col min="5" max="5" width="9.75" style="4" customWidth="1"/>
    <col min="6" max="6" width="12.1290322580645" style="5" customWidth="1"/>
    <col min="7" max="7" width="12" style="4" customWidth="1"/>
    <col min="8" max="8" width="9.37903225806452" style="5" customWidth="1"/>
    <col min="9" max="9" width="10.5" style="1" customWidth="1"/>
    <col min="10" max="10" width="9.75" style="1" customWidth="1"/>
    <col min="11" max="11" width="9.75" style="5" customWidth="1"/>
    <col min="12" max="12" width="9.75" style="1" customWidth="1"/>
    <col min="13" max="14" width="9.62903225806452" style="1"/>
    <col min="15" max="15" width="18.5" style="1" customWidth="1"/>
    <col min="16" max="19" width="9.62903225806452" style="1"/>
    <col min="20" max="20" width="18.5" style="1" customWidth="1"/>
    <col min="21" max="21" width="9.62903225806452" style="1"/>
    <col min="22" max="22" width="18.5" style="1" customWidth="1"/>
    <col min="23" max="25" width="9.62903225806452" style="1"/>
    <col min="26" max="26" width="9.37903225806452" style="1" customWidth="1"/>
    <col min="27" max="27" width="10.1290322580645" style="1" customWidth="1"/>
    <col min="28" max="28" width="12.1290322580645" style="1" customWidth="1"/>
    <col min="29" max="16384" width="9.62903225806452" style="1"/>
  </cols>
  <sheetData>
    <row r="1" spans="1:1">
      <c r="A1" s="3" t="s">
        <v>2845</v>
      </c>
    </row>
    <row r="3" s="2" customFormat="1" spans="1:1">
      <c r="A3" s="2" t="s">
        <v>2846</v>
      </c>
    </row>
    <row r="4" spans="1:14">
      <c r="A4" s="1" t="s">
        <v>2847</v>
      </c>
      <c r="N4" s="1" t="s">
        <v>2848</v>
      </c>
    </row>
    <row r="5" spans="1:25">
      <c r="A5" s="1" t="s">
        <v>2849</v>
      </c>
      <c r="B5" s="1" t="s">
        <v>455</v>
      </c>
      <c r="C5" s="1" t="s">
        <v>805</v>
      </c>
      <c r="D5" s="1" t="s">
        <v>806</v>
      </c>
      <c r="E5" s="1" t="s">
        <v>2850</v>
      </c>
      <c r="F5" s="4" t="s">
        <v>2851</v>
      </c>
      <c r="G5" s="5" t="s">
        <v>2852</v>
      </c>
      <c r="H5" s="4" t="s">
        <v>2853</v>
      </c>
      <c r="I5" s="5" t="s">
        <v>1649</v>
      </c>
      <c r="J5" s="1" t="s">
        <v>805</v>
      </c>
      <c r="K5" s="1" t="s">
        <v>806</v>
      </c>
      <c r="L5" s="5" t="s">
        <v>382</v>
      </c>
      <c r="N5" s="1" t="s">
        <v>2849</v>
      </c>
      <c r="O5" s="1" t="s">
        <v>455</v>
      </c>
      <c r="P5" s="1" t="s">
        <v>805</v>
      </c>
      <c r="Q5" s="1" t="s">
        <v>806</v>
      </c>
      <c r="R5" s="1" t="s">
        <v>2850</v>
      </c>
      <c r="S5" s="4" t="s">
        <v>2851</v>
      </c>
      <c r="T5" s="5" t="s">
        <v>2852</v>
      </c>
      <c r="U5" s="4" t="s">
        <v>2853</v>
      </c>
      <c r="V5" s="5" t="s">
        <v>1649</v>
      </c>
      <c r="W5" s="1" t="s">
        <v>805</v>
      </c>
      <c r="X5" s="1" t="s">
        <v>806</v>
      </c>
      <c r="Y5" s="5" t="s">
        <v>382</v>
      </c>
    </row>
    <row r="6" spans="2:25">
      <c r="B6" s="1">
        <v>1</v>
      </c>
      <c r="C6" s="1">
        <f>_xlfn.FLOOR.MATH(B6/10+0.9)*10</f>
        <v>10</v>
      </c>
      <c r="D6" s="1">
        <f ca="1">OFFSET(控制台!$C$1099,MATCH(C6,控制台!$B$1099:$B$1118,0)-2,0)*控制台!$E$1092</f>
        <v>60</v>
      </c>
      <c r="E6" s="1">
        <f ca="1">OFFSET(控制台!$C$1099,MATCH(C6,控制台!$B$1099:$B$1118,0)-1,0)*控制台!$E$1092</f>
        <v>600</v>
      </c>
      <c r="F6" s="6">
        <v>0</v>
      </c>
      <c r="G6" s="5">
        <f>F6</f>
        <v>0</v>
      </c>
      <c r="H6" s="4">
        <f ca="1">IF(AND(B6&lt;&gt;1,MOD(B6,10)=1),OFFSET(控制台!$E$1099,MATCH(C6,控制台!$B$1099:$B$1118,0)-1,0)*控制台!$E$1093,0)</f>
        <v>0</v>
      </c>
      <c r="I6" s="5">
        <f ca="1">H6</f>
        <v>0</v>
      </c>
      <c r="J6" s="1">
        <f ca="1">IF(_xlfn.CEILING.MATH(B6/10)*10=10,0,IFERROR(OFFSET(控制台!$B$865,MATCH(_xlfn.CEILING.MATH(B6/10-1)*10,控制台!$D$865:$D$936,0)-1,0),0))</f>
        <v>0</v>
      </c>
      <c r="K6" s="1">
        <f ca="1">IFERROR(OFFSET(控制台!$B$865,MATCH(_xlfn.CEILING.MATH(B6/10)*10,控制台!$D$865:$D$936,0)-1,0),1)</f>
        <v>0.2</v>
      </c>
      <c r="L6" s="5">
        <f ca="1">Lerp_dyy(J6,K6,IF(MOD(B6,10)=0,1,MOD(B6,10)/10))</f>
        <v>0.02</v>
      </c>
      <c r="O6" s="1">
        <v>1</v>
      </c>
      <c r="P6" s="1">
        <f>_xlfn.FLOOR.MATH(O6/10+0.9)*10</f>
        <v>10</v>
      </c>
      <c r="Q6" s="1">
        <f ca="1">OFFSET(控制台!$I$1099,MATCH(P6,控制台!$H$1099:$H$1118,0)-2,0)*控制台!$K$1092</f>
        <v>60</v>
      </c>
      <c r="R6" s="1">
        <f ca="1">OFFSET(控制台!$I$1099,MATCH(P6,控制台!$H$1099:$H$1118,0)-1,0)*控制台!$K$1092</f>
        <v>600</v>
      </c>
      <c r="S6" s="6">
        <v>0</v>
      </c>
      <c r="T6" s="5">
        <f>S6</f>
        <v>0</v>
      </c>
      <c r="U6" s="4">
        <f ca="1">IF(AND(O6&lt;&gt;1,MOD(O6,10)=1),OFFSET(控制台!$K$1099,MATCH(P6,控制台!$H$1099:$H$1118,0)-1,0)*控制台!$K$1093,0)</f>
        <v>0</v>
      </c>
      <c r="V6" s="5">
        <f ca="1">U6</f>
        <v>0</v>
      </c>
      <c r="W6" s="1">
        <f ca="1">IF(_xlfn.CEILING.MATH(O6/10)*10=10,0,IFERROR(OFFSET(控制台!$B$1007,MATCH(_xlfn.CEILING.MATH(O6/10-1)*10,控制台!$D$1007:$D$1080,0)-1,0),0))</f>
        <v>0</v>
      </c>
      <c r="X6" s="1">
        <f ca="1">IFERROR(OFFSET(控制台!$B$1007,MATCH(_xlfn.CEILING.MATH(O6/10)*10,控制台!$D$1007:$D$1080,0)-1,0),1)</f>
        <v>2.5</v>
      </c>
      <c r="Y6" s="5">
        <f ca="1">Lerp_dyy(W6,X6,IF(MOD(O6,10)=0,1,MOD(O6,10)/10))</f>
        <v>0.25</v>
      </c>
    </row>
    <row r="7" spans="2:25">
      <c r="B7" s="1">
        <v>2</v>
      </c>
      <c r="C7" s="1">
        <f>_xlfn.FLOOR.MATH(B7/10+0.9)*10</f>
        <v>10</v>
      </c>
      <c r="D7" s="1">
        <f ca="1">OFFSET(控制台!$C$1099,MATCH(C7,控制台!$B$1099:$B$1118,0)-2,0)*控制台!$E$1092</f>
        <v>60</v>
      </c>
      <c r="E7" s="1">
        <f ca="1">OFFSET(控制台!$C$1099,MATCH(C7,控制台!$B$1099:$B$1118,0)-1,0)*控制台!$E$1092</f>
        <v>600</v>
      </c>
      <c r="F7" s="6">
        <v>60</v>
      </c>
      <c r="G7" s="5">
        <f t="shared" ref="G7:G38" si="0">G6+F7</f>
        <v>60</v>
      </c>
      <c r="H7" s="4">
        <f ca="1">IF(AND(B7&lt;&gt;1,MOD(B7,10)=1),OFFSET(控制台!$E$1099,MATCH(C7,控制台!$B$1099:$B$1118,0)-1,0)*控制台!$E$1093,0)</f>
        <v>0</v>
      </c>
      <c r="I7" s="5">
        <f ca="1">I6+H7</f>
        <v>0</v>
      </c>
      <c r="J7" s="1">
        <f ca="1">IF(_xlfn.CEILING.MATH(B7/10)*10=10,0,IFERROR(OFFSET(控制台!$B$865,MATCH(_xlfn.CEILING.MATH(B7/10-1)*10,控制台!$D$865:$D$936,0)-1,0),0))</f>
        <v>0</v>
      </c>
      <c r="K7" s="1">
        <f ca="1">IFERROR(OFFSET(控制台!$B$865,MATCH(_xlfn.CEILING.MATH(B7/10)*10,控制台!$D$865:$D$936,0)-1,0),1)</f>
        <v>0.2</v>
      </c>
      <c r="L7" s="5">
        <f ca="1">Lerp_dyy(J7,K7,IF(MOD(B7,10)=0,1,MOD(B7,10)/10))</f>
        <v>0.04</v>
      </c>
      <c r="O7" s="1">
        <v>2</v>
      </c>
      <c r="P7" s="1">
        <f>_xlfn.FLOOR.MATH(O7/10+0.9)*10</f>
        <v>10</v>
      </c>
      <c r="Q7" s="1">
        <f ca="1">OFFSET(控制台!$I$1099,MATCH(P7,控制台!$H$1099:$H$1118,0)-2,0)*控制台!$K$1092</f>
        <v>60</v>
      </c>
      <c r="R7" s="1">
        <f ca="1">OFFSET(控制台!$I$1099,MATCH(P7,控制台!$H$1099:$H$1118,0)-1,0)*控制台!$K$1092</f>
        <v>600</v>
      </c>
      <c r="S7" s="6">
        <v>60</v>
      </c>
      <c r="T7" s="5">
        <f t="shared" ref="T7:T70" si="1">T6+S7</f>
        <v>60</v>
      </c>
      <c r="U7" s="4">
        <f ca="1">IF(AND(O7&lt;&gt;1,MOD(O7,10)=1),OFFSET(控制台!$K$1099,MATCH(P7,控制台!$H$1099:$H$1118,0)-1,0)*控制台!$K$1093,0)</f>
        <v>0</v>
      </c>
      <c r="V7" s="5">
        <f ca="1">V6+U7</f>
        <v>0</v>
      </c>
      <c r="W7" s="1">
        <f ca="1">IF(_xlfn.CEILING.MATH(O7/10)*10=10,0,IFERROR(OFFSET(控制台!$B$1007,MATCH(_xlfn.CEILING.MATH(O7/10-1)*10,控制台!$D$1007:$D$1080,0)-1,0),0))</f>
        <v>0</v>
      </c>
      <c r="X7" s="1">
        <f ca="1">IFERROR(OFFSET(控制台!$B$1007,MATCH(_xlfn.CEILING.MATH(O7/10)*10,控制台!$D$1007:$D$1080,0)-1,0),1)</f>
        <v>2.5</v>
      </c>
      <c r="Y7" s="5">
        <f ca="1">Lerp_dyy(W7,X7,IF(MOD(O7,10)=0,1,MOD(O7,10)/10))</f>
        <v>0.5</v>
      </c>
    </row>
    <row r="8" spans="2:25">
      <c r="B8" s="1">
        <v>3</v>
      </c>
      <c r="C8" s="1">
        <f>_xlfn.FLOOR.MATH(B8/10+0.9)*10</f>
        <v>10</v>
      </c>
      <c r="D8" s="1">
        <f ca="1">OFFSET(控制台!$C$1099,MATCH(C8,控制台!$B$1099:$B$1118,0)-2,0)*控制台!$E$1092</f>
        <v>60</v>
      </c>
      <c r="E8" s="1">
        <f ca="1">OFFSET(控制台!$C$1099,MATCH(C8,控制台!$B$1099:$B$1118,0)-1,0)*控制台!$E$1092</f>
        <v>600</v>
      </c>
      <c r="F8" s="6">
        <v>100</v>
      </c>
      <c r="G8" s="5">
        <f t="shared" si="0"/>
        <v>160</v>
      </c>
      <c r="H8" s="4">
        <f ca="1">IF(AND(B8&lt;&gt;1,MOD(B8,10)=1),OFFSET(控制台!$E$1099,MATCH(C8,控制台!$B$1099:$B$1118,0)-1,0)*控制台!$E$1093,0)</f>
        <v>0</v>
      </c>
      <c r="I8" s="5">
        <f ca="1" t="shared" ref="I8:I71" si="2">I7+H8</f>
        <v>0</v>
      </c>
      <c r="J8" s="1">
        <f ca="1">IF(_xlfn.CEILING.MATH(B8/10)*10=10,0,IFERROR(OFFSET(控制台!$B$865,MATCH(_xlfn.CEILING.MATH(B8/10-1)*10,控制台!$D$865:$D$936,0)-1,0),0))</f>
        <v>0</v>
      </c>
      <c r="K8" s="1">
        <f ca="1">IFERROR(OFFSET(控制台!$B$865,MATCH(_xlfn.CEILING.MATH(B8/10)*10,控制台!$D$865:$D$936,0)-1,0),1)</f>
        <v>0.2</v>
      </c>
      <c r="L8" s="5">
        <f ca="1">Lerp_dyy(J8,K8,IF(MOD(B8,10)=0,1,MOD(B8,10)/10))</f>
        <v>0.06</v>
      </c>
      <c r="O8" s="1">
        <v>3</v>
      </c>
      <c r="P8" s="1">
        <f>_xlfn.FLOOR.MATH(O8/10+0.9)*10</f>
        <v>10</v>
      </c>
      <c r="Q8" s="1">
        <f ca="1">OFFSET(控制台!$I$1099,MATCH(P8,控制台!$H$1099:$H$1118,0)-2,0)*控制台!$K$1092</f>
        <v>60</v>
      </c>
      <c r="R8" s="1">
        <f ca="1">OFFSET(控制台!$I$1099,MATCH(P8,控制台!$H$1099:$H$1118,0)-1,0)*控制台!$K$1092</f>
        <v>600</v>
      </c>
      <c r="S8" s="6">
        <v>100</v>
      </c>
      <c r="T8" s="5">
        <f t="shared" si="1"/>
        <v>160</v>
      </c>
      <c r="U8" s="4">
        <f ca="1">IF(AND(O8&lt;&gt;1,MOD(O8,10)=1),OFFSET(控制台!$K$1099,MATCH(P8,控制台!$H$1099:$H$1118,0)-1,0)*控制台!$K$1093,0)</f>
        <v>0</v>
      </c>
      <c r="V8" s="5">
        <f ca="1" t="shared" ref="V8:V71" si="3">V7+U8</f>
        <v>0</v>
      </c>
      <c r="W8" s="1">
        <f ca="1">IF(_xlfn.CEILING.MATH(O8/10)*10=10,0,IFERROR(OFFSET(控制台!$B$1007,MATCH(_xlfn.CEILING.MATH(O8/10-1)*10,控制台!$D$1007:$D$1080,0)-1,0),0))</f>
        <v>0</v>
      </c>
      <c r="X8" s="1">
        <f ca="1">IFERROR(OFFSET(控制台!$B$1007,MATCH(_xlfn.CEILING.MATH(O8/10)*10,控制台!$D$1007:$D$1080,0)-1,0),1)</f>
        <v>2.5</v>
      </c>
      <c r="Y8" s="5">
        <f ca="1">Lerp_dyy(W8,X8,IF(MOD(O8,10)=0,1,MOD(O8,10)/10))</f>
        <v>0.75</v>
      </c>
    </row>
    <row r="9" spans="2:25">
      <c r="B9" s="1">
        <v>4</v>
      </c>
      <c r="C9" s="1">
        <f>_xlfn.FLOOR.MATH(B9/10+0.9)*10</f>
        <v>10</v>
      </c>
      <c r="D9" s="1">
        <f ca="1">OFFSET(控制台!$C$1099,MATCH(C9,控制台!$B$1099:$B$1118,0)-2,0)*控制台!$E$1092</f>
        <v>60</v>
      </c>
      <c r="E9" s="1">
        <f ca="1">OFFSET(控制台!$C$1099,MATCH(C9,控制台!$B$1099:$B$1118,0)-1,0)*控制台!$E$1092</f>
        <v>600</v>
      </c>
      <c r="F9" s="4">
        <f ca="1">_xlfn.FLOOR.MATH(Lerp_dyy(D9,E9,IF(MOD(B9,10)=0,1,MOD(B9,10)/10)),10)</f>
        <v>270</v>
      </c>
      <c r="G9" s="5">
        <f ca="1" t="shared" si="0"/>
        <v>430</v>
      </c>
      <c r="H9" s="4">
        <f ca="1">IF(AND(B9&lt;&gt;1,MOD(B9,10)=1),OFFSET(控制台!$E$1099,MATCH(C9,控制台!$B$1099:$B$1118,0)-1,0)*控制台!$E$1093,0)</f>
        <v>0</v>
      </c>
      <c r="I9" s="5">
        <f ca="1" t="shared" si="2"/>
        <v>0</v>
      </c>
      <c r="J9" s="1">
        <f ca="1">IF(_xlfn.CEILING.MATH(B9/10)*10=10,0,IFERROR(OFFSET(控制台!$B$865,MATCH(_xlfn.CEILING.MATH(B9/10-1)*10,控制台!$D$865:$D$936,0)-1,0),0))</f>
        <v>0</v>
      </c>
      <c r="K9" s="1">
        <f ca="1">IFERROR(OFFSET(控制台!$B$865,MATCH(_xlfn.CEILING.MATH(B9/10)*10,控制台!$D$865:$D$936,0)-1,0),1)</f>
        <v>0.2</v>
      </c>
      <c r="L9" s="5">
        <f ca="1">Lerp_dyy(J9,K9,IF(MOD(B9,10)=0,1,MOD(B9,10)/10))</f>
        <v>0.08</v>
      </c>
      <c r="O9" s="1">
        <v>4</v>
      </c>
      <c r="P9" s="1">
        <f>_xlfn.FLOOR.MATH(O9/10+0.9)*10</f>
        <v>10</v>
      </c>
      <c r="Q9" s="1">
        <f ca="1">OFFSET(控制台!$I$1099,MATCH(P9,控制台!$H$1099:$H$1118,0)-2,0)*控制台!$K$1092</f>
        <v>60</v>
      </c>
      <c r="R9" s="1">
        <f ca="1">OFFSET(控制台!$I$1099,MATCH(P9,控制台!$H$1099:$H$1118,0)-1,0)*控制台!$K$1092</f>
        <v>600</v>
      </c>
      <c r="S9" s="4">
        <f ca="1">_xlfn.FLOOR.MATH(Lerp_dyy(Q9,R9,IF(MOD(O9,10)=0,1,MOD(O9,10)/10)),10)</f>
        <v>270</v>
      </c>
      <c r="T9" s="5">
        <f ca="1" t="shared" si="1"/>
        <v>430</v>
      </c>
      <c r="U9" s="4">
        <f ca="1">IF(AND(O9&lt;&gt;1,MOD(O9,10)=1),OFFSET(控制台!$K$1099,MATCH(P9,控制台!$H$1099:$H$1118,0)-1,0)*控制台!$K$1093,0)</f>
        <v>0</v>
      </c>
      <c r="V9" s="5">
        <f ca="1" t="shared" si="3"/>
        <v>0</v>
      </c>
      <c r="W9" s="1">
        <f ca="1">IF(_xlfn.CEILING.MATH(O9/10)*10=10,0,IFERROR(OFFSET(控制台!$B$1007,MATCH(_xlfn.CEILING.MATH(O9/10-1)*10,控制台!$D$1007:$D$1080,0)-1,0),0))</f>
        <v>0</v>
      </c>
      <c r="X9" s="1">
        <f ca="1">IFERROR(OFFSET(控制台!$B$1007,MATCH(_xlfn.CEILING.MATH(O9/10)*10,控制台!$D$1007:$D$1080,0)-1,0),1)</f>
        <v>2.5</v>
      </c>
      <c r="Y9" s="5">
        <f ca="1">Lerp_dyy(W9,X9,IF(MOD(O9,10)=0,1,MOD(O9,10)/10))</f>
        <v>1</v>
      </c>
    </row>
    <row r="10" spans="2:25">
      <c r="B10" s="1">
        <v>5</v>
      </c>
      <c r="C10" s="1">
        <f>_xlfn.FLOOR.MATH(B10/10+0.9)*10</f>
        <v>10</v>
      </c>
      <c r="D10" s="1">
        <f ca="1">OFFSET(控制台!$C$1099,MATCH(C10,控制台!$B$1099:$B$1118,0)-2,0)*控制台!$E$1092</f>
        <v>60</v>
      </c>
      <c r="E10" s="1">
        <f ca="1">OFFSET(控制台!$C$1099,MATCH(C10,控制台!$B$1099:$B$1118,0)-1,0)*控制台!$E$1092</f>
        <v>600</v>
      </c>
      <c r="F10" s="4">
        <f ca="1">_xlfn.FLOOR.MATH(Lerp_dyy(D10,E10,IF(MOD(B10,10)=0,1,MOD(B10,10)/10)),10)</f>
        <v>330</v>
      </c>
      <c r="G10" s="5">
        <f ca="1" t="shared" si="0"/>
        <v>760</v>
      </c>
      <c r="H10" s="4">
        <f ca="1">IF(AND(B10&lt;&gt;1,MOD(B10,10)=1),OFFSET(控制台!$E$1099,MATCH(C10,控制台!$B$1099:$B$1118,0)-1,0)*控制台!$E$1093,0)</f>
        <v>0</v>
      </c>
      <c r="I10" s="5">
        <f ca="1" t="shared" si="2"/>
        <v>0</v>
      </c>
      <c r="J10" s="1">
        <f ca="1">IF(_xlfn.CEILING.MATH(B10/10)*10=10,0,IFERROR(OFFSET(控制台!$B$865,MATCH(_xlfn.CEILING.MATH(B10/10-1)*10,控制台!$D$865:$D$936,0)-1,0),0))</f>
        <v>0</v>
      </c>
      <c r="K10" s="1">
        <f ca="1">IFERROR(OFFSET(控制台!$B$865,MATCH(_xlfn.CEILING.MATH(B10/10)*10,控制台!$D$865:$D$936,0)-1,0),1)</f>
        <v>0.2</v>
      </c>
      <c r="L10" s="5">
        <f ca="1">Lerp_dyy(J10,K10,IF(MOD(B10,10)=0,1,MOD(B10,10)/10))</f>
        <v>0.1</v>
      </c>
      <c r="O10" s="1">
        <v>5</v>
      </c>
      <c r="P10" s="1">
        <f>_xlfn.FLOOR.MATH(O10/10+0.9)*10</f>
        <v>10</v>
      </c>
      <c r="Q10" s="1">
        <f ca="1">OFFSET(控制台!$I$1099,MATCH(P10,控制台!$H$1099:$H$1118,0)-2,0)*控制台!$K$1092</f>
        <v>60</v>
      </c>
      <c r="R10" s="1">
        <f ca="1">OFFSET(控制台!$I$1099,MATCH(P10,控制台!$H$1099:$H$1118,0)-1,0)*控制台!$K$1092</f>
        <v>600</v>
      </c>
      <c r="S10" s="4">
        <f ca="1">_xlfn.FLOOR.MATH(Lerp_dyy(Q10,R10,IF(MOD(O10,10)=0,1,MOD(O10,10)/10)),10)</f>
        <v>330</v>
      </c>
      <c r="T10" s="5">
        <f ca="1" t="shared" si="1"/>
        <v>760</v>
      </c>
      <c r="U10" s="4">
        <f ca="1">IF(AND(O10&lt;&gt;1,MOD(O10,10)=1),OFFSET(控制台!$K$1099,MATCH(P10,控制台!$H$1099:$H$1118,0)-1,0)*控制台!$K$1093,0)</f>
        <v>0</v>
      </c>
      <c r="V10" s="5">
        <f ca="1" t="shared" si="3"/>
        <v>0</v>
      </c>
      <c r="W10" s="1">
        <f ca="1">IF(_xlfn.CEILING.MATH(O10/10)*10=10,0,IFERROR(OFFSET(控制台!$B$1007,MATCH(_xlfn.CEILING.MATH(O10/10-1)*10,控制台!$D$1007:$D$1080,0)-1,0),0))</f>
        <v>0</v>
      </c>
      <c r="X10" s="1">
        <f ca="1">IFERROR(OFFSET(控制台!$B$1007,MATCH(_xlfn.CEILING.MATH(O10/10)*10,控制台!$D$1007:$D$1080,0)-1,0),1)</f>
        <v>2.5</v>
      </c>
      <c r="Y10" s="5">
        <f ca="1">Lerp_dyy(W10,X10,IF(MOD(O10,10)=0,1,MOD(O10,10)/10))</f>
        <v>1.25</v>
      </c>
    </row>
    <row r="11" spans="2:25">
      <c r="B11" s="1">
        <v>6</v>
      </c>
      <c r="C11" s="1">
        <f>_xlfn.FLOOR.MATH(B11/10+0.9)*10</f>
        <v>10</v>
      </c>
      <c r="D11" s="1">
        <f ca="1">OFFSET(控制台!$C$1099,MATCH(C11,控制台!$B$1099:$B$1118,0)-2,0)*控制台!$E$1092</f>
        <v>60</v>
      </c>
      <c r="E11" s="1">
        <f ca="1">OFFSET(控制台!$C$1099,MATCH(C11,控制台!$B$1099:$B$1118,0)-1,0)*控制台!$E$1092</f>
        <v>600</v>
      </c>
      <c r="F11" s="4">
        <f ca="1">_xlfn.FLOOR.MATH(Lerp_dyy(D11,E11,IF(MOD(B11,10)=0,1,MOD(B11,10)/10)),10)</f>
        <v>380</v>
      </c>
      <c r="G11" s="5">
        <f ca="1" t="shared" si="0"/>
        <v>1140</v>
      </c>
      <c r="H11" s="4">
        <f ca="1">IF(AND(B11&lt;&gt;1,MOD(B11,10)=1),OFFSET(控制台!$E$1099,MATCH(C11,控制台!$B$1099:$B$1118,0)-1,0)*控制台!$E$1093,0)</f>
        <v>0</v>
      </c>
      <c r="I11" s="5">
        <f ca="1" t="shared" si="2"/>
        <v>0</v>
      </c>
      <c r="J11" s="1">
        <f ca="1">IF(_xlfn.CEILING.MATH(B11/10)*10=10,0,IFERROR(OFFSET(控制台!$B$865,MATCH(_xlfn.CEILING.MATH(B11/10-1)*10,控制台!$D$865:$D$936,0)-1,0),0))</f>
        <v>0</v>
      </c>
      <c r="K11" s="1">
        <f ca="1">IFERROR(OFFSET(控制台!$B$865,MATCH(_xlfn.CEILING.MATH(B11/10)*10,控制台!$D$865:$D$936,0)-1,0),1)</f>
        <v>0.2</v>
      </c>
      <c r="L11" s="5">
        <f ca="1">Lerp_dyy(J11,K11,IF(MOD(B11,10)=0,1,MOD(B11,10)/10))</f>
        <v>0.12</v>
      </c>
      <c r="O11" s="1">
        <v>6</v>
      </c>
      <c r="P11" s="1">
        <f>_xlfn.FLOOR.MATH(O11/10+0.9)*10</f>
        <v>10</v>
      </c>
      <c r="Q11" s="1">
        <f ca="1">OFFSET(控制台!$I$1099,MATCH(P11,控制台!$H$1099:$H$1118,0)-2,0)*控制台!$K$1092</f>
        <v>60</v>
      </c>
      <c r="R11" s="1">
        <f ca="1">OFFSET(控制台!$I$1099,MATCH(P11,控制台!$H$1099:$H$1118,0)-1,0)*控制台!$K$1092</f>
        <v>600</v>
      </c>
      <c r="S11" s="4">
        <f ca="1">_xlfn.FLOOR.MATH(Lerp_dyy(Q11,R11,IF(MOD(O11,10)=0,1,MOD(O11,10)/10)),10)</f>
        <v>380</v>
      </c>
      <c r="T11" s="5">
        <f ca="1" t="shared" si="1"/>
        <v>1140</v>
      </c>
      <c r="U11" s="4">
        <f ca="1">IF(AND(O11&lt;&gt;1,MOD(O11,10)=1),OFFSET(控制台!$K$1099,MATCH(P11,控制台!$H$1099:$H$1118,0)-1,0)*控制台!$K$1093,0)</f>
        <v>0</v>
      </c>
      <c r="V11" s="5">
        <f ca="1" t="shared" si="3"/>
        <v>0</v>
      </c>
      <c r="W11" s="1">
        <f ca="1">IF(_xlfn.CEILING.MATH(O11/10)*10=10,0,IFERROR(OFFSET(控制台!$B$1007,MATCH(_xlfn.CEILING.MATH(O11/10-1)*10,控制台!$D$1007:$D$1080,0)-1,0),0))</f>
        <v>0</v>
      </c>
      <c r="X11" s="1">
        <f ca="1">IFERROR(OFFSET(控制台!$B$1007,MATCH(_xlfn.CEILING.MATH(O11/10)*10,控制台!$D$1007:$D$1080,0)-1,0),1)</f>
        <v>2.5</v>
      </c>
      <c r="Y11" s="5">
        <f ca="1">Lerp_dyy(W11,X11,IF(MOD(O11,10)=0,1,MOD(O11,10)/10))</f>
        <v>1.5</v>
      </c>
    </row>
    <row r="12" spans="2:25">
      <c r="B12" s="1">
        <v>7</v>
      </c>
      <c r="C12" s="1">
        <f>_xlfn.FLOOR.MATH(B12/10+0.9)*10</f>
        <v>10</v>
      </c>
      <c r="D12" s="1">
        <f ca="1">OFFSET(控制台!$C$1099,MATCH(C12,控制台!$B$1099:$B$1118,0)-2,0)*控制台!$E$1092</f>
        <v>60</v>
      </c>
      <c r="E12" s="1">
        <f ca="1">OFFSET(控制台!$C$1099,MATCH(C12,控制台!$B$1099:$B$1118,0)-1,0)*控制台!$E$1092</f>
        <v>600</v>
      </c>
      <c r="F12" s="4">
        <f ca="1">_xlfn.FLOOR.MATH(Lerp_dyy(D12,E12,IF(MOD(B12,10)=0,1,MOD(B12,10)/10)),10)</f>
        <v>430</v>
      </c>
      <c r="G12" s="5">
        <f ca="1" t="shared" si="0"/>
        <v>1570</v>
      </c>
      <c r="H12" s="4">
        <f ca="1">IF(AND(B12&lt;&gt;1,MOD(B12,10)=1),OFFSET(控制台!$E$1099,MATCH(C12,控制台!$B$1099:$B$1118,0)-1,0)*控制台!$E$1093,0)</f>
        <v>0</v>
      </c>
      <c r="I12" s="5">
        <f ca="1" t="shared" si="2"/>
        <v>0</v>
      </c>
      <c r="J12" s="1">
        <f ca="1">IF(_xlfn.CEILING.MATH(B12/10)*10=10,0,IFERROR(OFFSET(控制台!$B$865,MATCH(_xlfn.CEILING.MATH(B12/10-1)*10,控制台!$D$865:$D$936,0)-1,0),0))</f>
        <v>0</v>
      </c>
      <c r="K12" s="1">
        <f ca="1">IFERROR(OFFSET(控制台!$B$865,MATCH(_xlfn.CEILING.MATH(B12/10)*10,控制台!$D$865:$D$936,0)-1,0),1)</f>
        <v>0.2</v>
      </c>
      <c r="L12" s="5">
        <f ca="1">Lerp_dyy(J12,K12,IF(MOD(B12,10)=0,1,MOD(B12,10)/10))</f>
        <v>0.14</v>
      </c>
      <c r="O12" s="1">
        <v>7</v>
      </c>
      <c r="P12" s="1">
        <f>_xlfn.FLOOR.MATH(O12/10+0.9)*10</f>
        <v>10</v>
      </c>
      <c r="Q12" s="1">
        <f ca="1">OFFSET(控制台!$I$1099,MATCH(P12,控制台!$H$1099:$H$1118,0)-2,0)*控制台!$K$1092</f>
        <v>60</v>
      </c>
      <c r="R12" s="1">
        <f ca="1">OFFSET(控制台!$I$1099,MATCH(P12,控制台!$H$1099:$H$1118,0)-1,0)*控制台!$K$1092</f>
        <v>600</v>
      </c>
      <c r="S12" s="4">
        <f ca="1">_xlfn.FLOOR.MATH(Lerp_dyy(Q12,R12,IF(MOD(O12,10)=0,1,MOD(O12,10)/10)),10)</f>
        <v>430</v>
      </c>
      <c r="T12" s="5">
        <f ca="1" t="shared" si="1"/>
        <v>1570</v>
      </c>
      <c r="U12" s="4">
        <f ca="1">IF(AND(O12&lt;&gt;1,MOD(O12,10)=1),OFFSET(控制台!$K$1099,MATCH(P12,控制台!$H$1099:$H$1118,0)-1,0)*控制台!$K$1093,0)</f>
        <v>0</v>
      </c>
      <c r="V12" s="5">
        <f ca="1" t="shared" si="3"/>
        <v>0</v>
      </c>
      <c r="W12" s="1">
        <f ca="1">IF(_xlfn.CEILING.MATH(O12/10)*10=10,0,IFERROR(OFFSET(控制台!$B$1007,MATCH(_xlfn.CEILING.MATH(O12/10-1)*10,控制台!$D$1007:$D$1080,0)-1,0),0))</f>
        <v>0</v>
      </c>
      <c r="X12" s="1">
        <f ca="1">IFERROR(OFFSET(控制台!$B$1007,MATCH(_xlfn.CEILING.MATH(O12/10)*10,控制台!$D$1007:$D$1080,0)-1,0),1)</f>
        <v>2.5</v>
      </c>
      <c r="Y12" s="5">
        <f ca="1">Lerp_dyy(W12,X12,IF(MOD(O12,10)=0,1,MOD(O12,10)/10))</f>
        <v>1.75</v>
      </c>
    </row>
    <row r="13" spans="2:25">
      <c r="B13" s="1">
        <v>8</v>
      </c>
      <c r="C13" s="1">
        <f>_xlfn.FLOOR.MATH(B13/10+0.9)*10</f>
        <v>10</v>
      </c>
      <c r="D13" s="1">
        <f ca="1">OFFSET(控制台!$C$1099,MATCH(C13,控制台!$B$1099:$B$1118,0)-2,0)*控制台!$E$1092</f>
        <v>60</v>
      </c>
      <c r="E13" s="1">
        <f ca="1">OFFSET(控制台!$C$1099,MATCH(C13,控制台!$B$1099:$B$1118,0)-1,0)*控制台!$E$1092</f>
        <v>600</v>
      </c>
      <c r="F13" s="4">
        <f ca="1">_xlfn.FLOOR.MATH(Lerp_dyy(D13,E13,IF(MOD(B13,10)=0,1,MOD(B13,10)/10)),10)</f>
        <v>490</v>
      </c>
      <c r="G13" s="5">
        <f ca="1" t="shared" si="0"/>
        <v>2060</v>
      </c>
      <c r="H13" s="4">
        <f ca="1">IF(AND(B13&lt;&gt;1,MOD(B13,10)=1),OFFSET(控制台!$E$1099,MATCH(C13,控制台!$B$1099:$B$1118,0)-1,0)*控制台!$E$1093,0)</f>
        <v>0</v>
      </c>
      <c r="I13" s="5">
        <f ca="1" t="shared" si="2"/>
        <v>0</v>
      </c>
      <c r="J13" s="1">
        <f ca="1">IF(_xlfn.CEILING.MATH(B13/10)*10=10,0,IFERROR(OFFSET(控制台!$B$865,MATCH(_xlfn.CEILING.MATH(B13/10-1)*10,控制台!$D$865:$D$936,0)-1,0),0))</f>
        <v>0</v>
      </c>
      <c r="K13" s="1">
        <f ca="1">IFERROR(OFFSET(控制台!$B$865,MATCH(_xlfn.CEILING.MATH(B13/10)*10,控制台!$D$865:$D$936,0)-1,0),1)</f>
        <v>0.2</v>
      </c>
      <c r="L13" s="5">
        <f ca="1">Lerp_dyy(J13,K13,IF(MOD(B13,10)=0,1,MOD(B13,10)/10))</f>
        <v>0.16</v>
      </c>
      <c r="O13" s="1">
        <v>8</v>
      </c>
      <c r="P13" s="1">
        <f>_xlfn.FLOOR.MATH(O13/10+0.9)*10</f>
        <v>10</v>
      </c>
      <c r="Q13" s="1">
        <f ca="1">OFFSET(控制台!$I$1099,MATCH(P13,控制台!$H$1099:$H$1118,0)-2,0)*控制台!$K$1092</f>
        <v>60</v>
      </c>
      <c r="R13" s="1">
        <f ca="1">OFFSET(控制台!$I$1099,MATCH(P13,控制台!$H$1099:$H$1118,0)-1,0)*控制台!$K$1092</f>
        <v>600</v>
      </c>
      <c r="S13" s="4">
        <f ca="1">_xlfn.FLOOR.MATH(Lerp_dyy(Q13,R13,IF(MOD(O13,10)=0,1,MOD(O13,10)/10)),10)</f>
        <v>490</v>
      </c>
      <c r="T13" s="5">
        <f ca="1" t="shared" si="1"/>
        <v>2060</v>
      </c>
      <c r="U13" s="4">
        <f ca="1">IF(AND(O13&lt;&gt;1,MOD(O13,10)=1),OFFSET(控制台!$K$1099,MATCH(P13,控制台!$H$1099:$H$1118,0)-1,0)*控制台!$K$1093,0)</f>
        <v>0</v>
      </c>
      <c r="V13" s="5">
        <f ca="1" t="shared" si="3"/>
        <v>0</v>
      </c>
      <c r="W13" s="1">
        <f ca="1">IF(_xlfn.CEILING.MATH(O13/10)*10=10,0,IFERROR(OFFSET(控制台!$B$1007,MATCH(_xlfn.CEILING.MATH(O13/10-1)*10,控制台!$D$1007:$D$1080,0)-1,0),0))</f>
        <v>0</v>
      </c>
      <c r="X13" s="1">
        <f ca="1">IFERROR(OFFSET(控制台!$B$1007,MATCH(_xlfn.CEILING.MATH(O13/10)*10,控制台!$D$1007:$D$1080,0)-1,0),1)</f>
        <v>2.5</v>
      </c>
      <c r="Y13" s="5">
        <f ca="1">Lerp_dyy(W13,X13,IF(MOD(O13,10)=0,1,MOD(O13,10)/10))</f>
        <v>2</v>
      </c>
    </row>
    <row r="14" spans="2:25">
      <c r="B14" s="1">
        <v>9</v>
      </c>
      <c r="C14" s="1">
        <f>_xlfn.FLOOR.MATH(B14/10+0.9)*10</f>
        <v>10</v>
      </c>
      <c r="D14" s="1">
        <f ca="1">OFFSET(控制台!$C$1099,MATCH(C14,控制台!$B$1099:$B$1118,0)-2,0)*控制台!$E$1092</f>
        <v>60</v>
      </c>
      <c r="E14" s="1">
        <f ca="1">OFFSET(控制台!$C$1099,MATCH(C14,控制台!$B$1099:$B$1118,0)-1,0)*控制台!$E$1092</f>
        <v>600</v>
      </c>
      <c r="F14" s="4">
        <f ca="1">_xlfn.FLOOR.MATH(Lerp_dyy(D14,E14,IF(MOD(B14,10)=0,1,MOD(B14,10)/10)),10)</f>
        <v>540</v>
      </c>
      <c r="G14" s="5">
        <f ca="1" t="shared" si="0"/>
        <v>2600</v>
      </c>
      <c r="H14" s="4">
        <f ca="1">IF(AND(B14&lt;&gt;1,MOD(B14,10)=1),OFFSET(控制台!$E$1099,MATCH(C14,控制台!$B$1099:$B$1118,0)-1,0)*控制台!$E$1093,0)</f>
        <v>0</v>
      </c>
      <c r="I14" s="5">
        <f ca="1" t="shared" si="2"/>
        <v>0</v>
      </c>
      <c r="J14" s="1">
        <f ca="1">IF(_xlfn.CEILING.MATH(B14/10)*10=10,0,IFERROR(OFFSET(控制台!$B$865,MATCH(_xlfn.CEILING.MATH(B14/10-1)*10,控制台!$D$865:$D$936,0)-1,0),0))</f>
        <v>0</v>
      </c>
      <c r="K14" s="1">
        <f ca="1">IFERROR(OFFSET(控制台!$B$865,MATCH(_xlfn.CEILING.MATH(B14/10)*10,控制台!$D$865:$D$936,0)-1,0),1)</f>
        <v>0.2</v>
      </c>
      <c r="L14" s="5">
        <f ca="1">Lerp_dyy(J14,K14,IF(MOD(B14,10)=0,1,MOD(B14,10)/10))</f>
        <v>0.18</v>
      </c>
      <c r="O14" s="1">
        <v>9</v>
      </c>
      <c r="P14" s="1">
        <f>_xlfn.FLOOR.MATH(O14/10+0.9)*10</f>
        <v>10</v>
      </c>
      <c r="Q14" s="1">
        <f ca="1">OFFSET(控制台!$I$1099,MATCH(P14,控制台!$H$1099:$H$1118,0)-2,0)*控制台!$K$1092</f>
        <v>60</v>
      </c>
      <c r="R14" s="1">
        <f ca="1">OFFSET(控制台!$I$1099,MATCH(P14,控制台!$H$1099:$H$1118,0)-1,0)*控制台!$K$1092</f>
        <v>600</v>
      </c>
      <c r="S14" s="4">
        <f ca="1">_xlfn.FLOOR.MATH(Lerp_dyy(Q14,R14,IF(MOD(O14,10)=0,1,MOD(O14,10)/10)),10)</f>
        <v>540</v>
      </c>
      <c r="T14" s="5">
        <f ca="1" t="shared" si="1"/>
        <v>2600</v>
      </c>
      <c r="U14" s="4">
        <f ca="1">IF(AND(O14&lt;&gt;1,MOD(O14,10)=1),OFFSET(控制台!$K$1099,MATCH(P14,控制台!$H$1099:$H$1118,0)-1,0)*控制台!$K$1093,0)</f>
        <v>0</v>
      </c>
      <c r="V14" s="5">
        <f ca="1" t="shared" si="3"/>
        <v>0</v>
      </c>
      <c r="W14" s="1">
        <f ca="1">IF(_xlfn.CEILING.MATH(O14/10)*10=10,0,IFERROR(OFFSET(控制台!$B$1007,MATCH(_xlfn.CEILING.MATH(O14/10-1)*10,控制台!$D$1007:$D$1080,0)-1,0),0))</f>
        <v>0</v>
      </c>
      <c r="X14" s="1">
        <f ca="1">IFERROR(OFFSET(控制台!$B$1007,MATCH(_xlfn.CEILING.MATH(O14/10)*10,控制台!$D$1007:$D$1080,0)-1,0),1)</f>
        <v>2.5</v>
      </c>
      <c r="Y14" s="5">
        <f ca="1">Lerp_dyy(W14,X14,IF(MOD(O14,10)=0,1,MOD(O14,10)/10))</f>
        <v>2.25</v>
      </c>
    </row>
    <row r="15" spans="2:25">
      <c r="B15" s="1">
        <v>10</v>
      </c>
      <c r="C15" s="1">
        <f>_xlfn.FLOOR.MATH(B15/10+0.9)*10</f>
        <v>10</v>
      </c>
      <c r="D15" s="1">
        <f ca="1">OFFSET(控制台!$C$1099,MATCH(C15,控制台!$B$1099:$B$1118,0)-2,0)*控制台!$E$1092</f>
        <v>60</v>
      </c>
      <c r="E15" s="1">
        <f ca="1">OFFSET(控制台!$C$1099,MATCH(C15,控制台!$B$1099:$B$1118,0)-1,0)*控制台!$E$1092</f>
        <v>600</v>
      </c>
      <c r="F15" s="4">
        <f ca="1">_xlfn.FLOOR.MATH(Lerp_dyy(D15,E15,IF(MOD(B15,10)=0,1,MOD(B15,10)/10)),10)</f>
        <v>600</v>
      </c>
      <c r="G15" s="5">
        <f ca="1" t="shared" si="0"/>
        <v>3200</v>
      </c>
      <c r="H15" s="4">
        <f ca="1">IF(AND(B15&lt;&gt;1,MOD(B15,10)=1),OFFSET(控制台!$E$1099,MATCH(C15,控制台!$B$1099:$B$1118,0)-1,0)*控制台!$E$1093,0)</f>
        <v>0</v>
      </c>
      <c r="I15" s="5">
        <f ca="1" t="shared" si="2"/>
        <v>0</v>
      </c>
      <c r="J15" s="1">
        <f ca="1">IF(_xlfn.CEILING.MATH(B15/10)*10=10,0,IFERROR(OFFSET(控制台!$B$865,MATCH(_xlfn.CEILING.MATH(B15/10-1)*10,控制台!$D$865:$D$936,0)-1,0),0))</f>
        <v>0</v>
      </c>
      <c r="K15" s="1">
        <f ca="1">IFERROR(OFFSET(控制台!$B$865,MATCH(_xlfn.CEILING.MATH(B15/10)*10,控制台!$D$865:$D$936,0)-1,0),1)</f>
        <v>0.2</v>
      </c>
      <c r="L15" s="5">
        <f ca="1">Lerp_dyy(J15,K15,IF(MOD(B15,10)=0,1,MOD(B15,10)/10))</f>
        <v>0.2</v>
      </c>
      <c r="O15" s="1">
        <v>10</v>
      </c>
      <c r="P15" s="1">
        <f>_xlfn.FLOOR.MATH(O15/10+0.9)*10</f>
        <v>10</v>
      </c>
      <c r="Q15" s="1">
        <f ca="1">OFFSET(控制台!$I$1099,MATCH(P15,控制台!$H$1099:$H$1118,0)-2,0)*控制台!$K$1092</f>
        <v>60</v>
      </c>
      <c r="R15" s="1">
        <f ca="1">OFFSET(控制台!$I$1099,MATCH(P15,控制台!$H$1099:$H$1118,0)-1,0)*控制台!$K$1092</f>
        <v>600</v>
      </c>
      <c r="S15" s="4">
        <f ca="1">_xlfn.FLOOR.MATH(Lerp_dyy(Q15,R15,IF(MOD(O15,10)=0,1,MOD(O15,10)/10)),10)</f>
        <v>600</v>
      </c>
      <c r="T15" s="5">
        <f ca="1" t="shared" si="1"/>
        <v>3200</v>
      </c>
      <c r="U15" s="4">
        <f ca="1">IF(AND(O15&lt;&gt;1,MOD(O15,10)=1),OFFSET(控制台!$K$1099,MATCH(P15,控制台!$H$1099:$H$1118,0)-1,0)*控制台!$K$1093,0)</f>
        <v>0</v>
      </c>
      <c r="V15" s="5">
        <f ca="1" t="shared" si="3"/>
        <v>0</v>
      </c>
      <c r="W15" s="1">
        <f ca="1">IF(_xlfn.CEILING.MATH(O15/10)*10=10,0,IFERROR(OFFSET(控制台!$B$1007,MATCH(_xlfn.CEILING.MATH(O15/10-1)*10,控制台!$D$1007:$D$1080,0)-1,0),0))</f>
        <v>0</v>
      </c>
      <c r="X15" s="1">
        <f ca="1">IFERROR(OFFSET(控制台!$B$1007,MATCH(_xlfn.CEILING.MATH(O15/10)*10,控制台!$D$1007:$D$1080,0)-1,0),1)</f>
        <v>2.5</v>
      </c>
      <c r="Y15" s="5">
        <f ca="1">Lerp_dyy(W15,X15,IF(MOD(O15,10)=0,1,MOD(O15,10)/10))</f>
        <v>2.5</v>
      </c>
    </row>
    <row r="16" s="15" customFormat="1" spans="2:25">
      <c r="B16" s="15">
        <v>11</v>
      </c>
      <c r="C16" s="15">
        <f>_xlfn.FLOOR.MATH(B16/10+0.9)*10</f>
        <v>20</v>
      </c>
      <c r="D16" s="15">
        <f ca="1">OFFSET(控制台!$C$1099,MATCH(C16,控制台!$B$1099:$B$1118,0)-2,0)*控制台!$E$1092</f>
        <v>600</v>
      </c>
      <c r="E16" s="15">
        <f ca="1">OFFSET(控制台!$C$1099,MATCH(C16,控制台!$B$1099:$B$1118,0)-1,0)*控制台!$E$1092</f>
        <v>6000</v>
      </c>
      <c r="F16" s="16">
        <f ca="1">_xlfn.FLOOR.MATH(Lerp_dyy(D16,E16,IF(MOD(B16,10)=0,1,MOD(B16,10)/10)),10)</f>
        <v>1140</v>
      </c>
      <c r="G16" s="17">
        <f ca="1" t="shared" si="0"/>
        <v>4340</v>
      </c>
      <c r="H16" s="16">
        <f ca="1">IF(AND(B16&lt;&gt;1,MOD(B16,10)=1),OFFSET(控制台!$E$1099,MATCH(C16,控制台!$B$1099:$B$1118,0)-1,0)*控制台!$E$1093,0)</f>
        <v>40</v>
      </c>
      <c r="I16" s="17">
        <f ca="1" t="shared" si="2"/>
        <v>40</v>
      </c>
      <c r="J16" s="15">
        <f ca="1">IF(_xlfn.CEILING.MATH(B16/10)*10=10,0,IFERROR(OFFSET(控制台!$B$865,MATCH(_xlfn.CEILING.MATH(B16/10-1)*10,控制台!$D$865:$D$936,0)-1,0),0))</f>
        <v>0.2</v>
      </c>
      <c r="K16" s="15">
        <f ca="1">IFERROR(OFFSET(控制台!$B$865,MATCH(_xlfn.CEILING.MATH(B16/10)*10,控制台!$D$865:$D$936,0)-1,0),1)</f>
        <v>1</v>
      </c>
      <c r="L16" s="17">
        <f ca="1">Lerp_dyy(J16,K16,IF(MOD(B16,10)=0,1,MOD(B16,10)/10))</f>
        <v>0.28</v>
      </c>
      <c r="O16" s="15">
        <v>11</v>
      </c>
      <c r="P16" s="1">
        <f>_xlfn.FLOOR.MATH(O16/10+0.9)*10</f>
        <v>20</v>
      </c>
      <c r="Q16" s="1">
        <f ca="1">OFFSET(控制台!$I$1099,MATCH(P16,控制台!$H$1099:$H$1118,0)-2,0)*控制台!$K$1092</f>
        <v>600</v>
      </c>
      <c r="R16" s="1">
        <f ca="1">OFFSET(控制台!$I$1099,MATCH(P16,控制台!$H$1099:$H$1118,0)-1,0)*控制台!$K$1092</f>
        <v>6000</v>
      </c>
      <c r="S16" s="16">
        <f ca="1">_xlfn.FLOOR.MATH(Lerp_dyy(Q16,R16,IF(MOD(O16,10)=0,1,MOD(O16,10)/10)),10)</f>
        <v>1140</v>
      </c>
      <c r="T16" s="17">
        <f ca="1" t="shared" si="1"/>
        <v>4340</v>
      </c>
      <c r="U16" s="4">
        <f ca="1">IF(AND(O16&lt;&gt;1,MOD(O16,10)=1),OFFSET(控制台!$K$1099,MATCH(P16,控制台!$H$1099:$H$1118,0)-1,0)*控制台!$K$1093,0)</f>
        <v>40</v>
      </c>
      <c r="V16" s="17">
        <f ca="1" t="shared" si="3"/>
        <v>40</v>
      </c>
      <c r="W16" s="1">
        <f ca="1">IF(_xlfn.CEILING.MATH(O16/10)*10=10,0,IFERROR(OFFSET(控制台!$B$1007,MATCH(_xlfn.CEILING.MATH(O16/10-1)*10,控制台!$D$1007:$D$1080,0)-1,0),0))</f>
        <v>2.5</v>
      </c>
      <c r="X16" s="1">
        <f ca="1">IFERROR(OFFSET(控制台!$B$1007,MATCH(_xlfn.CEILING.MATH(O16/10)*10,控制台!$D$1007:$D$1080,0)-1,0),1)</f>
        <v>3</v>
      </c>
      <c r="Y16" s="17">
        <f ca="1">Lerp_dyy(W16,X16,IF(MOD(O16,10)=0,1,MOD(O16,10)/10))</f>
        <v>2.55</v>
      </c>
    </row>
    <row r="17" s="15" customFormat="1" spans="2:25">
      <c r="B17" s="15">
        <v>12</v>
      </c>
      <c r="C17" s="15">
        <f>_xlfn.FLOOR.MATH(B17/10+0.9)*10</f>
        <v>20</v>
      </c>
      <c r="D17" s="15">
        <f ca="1">OFFSET(控制台!$C$1099,MATCH(C17,控制台!$B$1099:$B$1118,0)-2,0)*控制台!$E$1092</f>
        <v>600</v>
      </c>
      <c r="E17" s="15">
        <f ca="1">OFFSET(控制台!$C$1099,MATCH(C17,控制台!$B$1099:$B$1118,0)-1,0)*控制台!$E$1092</f>
        <v>6000</v>
      </c>
      <c r="F17" s="16">
        <f ca="1">_xlfn.FLOOR.MATH(Lerp_dyy(D17,E17,IF(MOD(B17,10)=0,1,MOD(B17,10)/10)),10)</f>
        <v>1680</v>
      </c>
      <c r="G17" s="17">
        <f ca="1" t="shared" si="0"/>
        <v>6020</v>
      </c>
      <c r="H17" s="16">
        <f ca="1">IF(AND(B17&lt;&gt;1,MOD(B17,10)=1),OFFSET(控制台!$E$1099,MATCH(C17,控制台!$B$1099:$B$1118,0)-1,0)*控制台!$E$1093,0)</f>
        <v>0</v>
      </c>
      <c r="I17" s="17">
        <f ca="1" t="shared" si="2"/>
        <v>40</v>
      </c>
      <c r="J17" s="15">
        <f ca="1">IF(_xlfn.CEILING.MATH(B17/10)*10=10,0,IFERROR(OFFSET(控制台!$B$865,MATCH(_xlfn.CEILING.MATH(B17/10-1)*10,控制台!$D$865:$D$936,0)-1,0),0))</f>
        <v>0.2</v>
      </c>
      <c r="K17" s="15">
        <f ca="1">IFERROR(OFFSET(控制台!$B$865,MATCH(_xlfn.CEILING.MATH(B17/10)*10,控制台!$D$865:$D$936,0)-1,0),1)</f>
        <v>1</v>
      </c>
      <c r="L17" s="17">
        <f ca="1">Lerp_dyy(J17,K17,IF(MOD(B17,10)=0,1,MOD(B17,10)/10))</f>
        <v>0.36</v>
      </c>
      <c r="O17" s="15">
        <v>12</v>
      </c>
      <c r="P17" s="1">
        <f>_xlfn.FLOOR.MATH(O17/10+0.9)*10</f>
        <v>20</v>
      </c>
      <c r="Q17" s="1">
        <f ca="1">OFFSET(控制台!$I$1099,MATCH(P17,控制台!$H$1099:$H$1118,0)-2,0)*控制台!$K$1092</f>
        <v>600</v>
      </c>
      <c r="R17" s="1">
        <f ca="1">OFFSET(控制台!$I$1099,MATCH(P17,控制台!$H$1099:$H$1118,0)-1,0)*控制台!$K$1092</f>
        <v>6000</v>
      </c>
      <c r="S17" s="16">
        <f ca="1">_xlfn.FLOOR.MATH(Lerp_dyy(Q17,R17,IF(MOD(O17,10)=0,1,MOD(O17,10)/10)),10)</f>
        <v>1680</v>
      </c>
      <c r="T17" s="17">
        <f ca="1" t="shared" si="1"/>
        <v>6020</v>
      </c>
      <c r="U17" s="4">
        <f ca="1">IF(AND(O17&lt;&gt;1,MOD(O17,10)=1),OFFSET(控制台!$K$1099,MATCH(P17,控制台!$H$1099:$H$1118,0)-1,0)*控制台!$K$1093,0)</f>
        <v>0</v>
      </c>
      <c r="V17" s="17">
        <f ca="1" t="shared" si="3"/>
        <v>40</v>
      </c>
      <c r="W17" s="1">
        <f ca="1">IF(_xlfn.CEILING.MATH(O17/10)*10=10,0,IFERROR(OFFSET(控制台!$B$1007,MATCH(_xlfn.CEILING.MATH(O17/10-1)*10,控制台!$D$1007:$D$1080,0)-1,0),0))</f>
        <v>2.5</v>
      </c>
      <c r="X17" s="1">
        <f ca="1">IFERROR(OFFSET(控制台!$B$1007,MATCH(_xlfn.CEILING.MATH(O17/10)*10,控制台!$D$1007:$D$1080,0)-1,0),1)</f>
        <v>3</v>
      </c>
      <c r="Y17" s="17">
        <f ca="1">Lerp_dyy(W17,X17,IF(MOD(O17,10)=0,1,MOD(O17,10)/10))</f>
        <v>2.6</v>
      </c>
    </row>
    <row r="18" s="15" customFormat="1" spans="2:25">
      <c r="B18" s="15">
        <v>13</v>
      </c>
      <c r="C18" s="15">
        <f>_xlfn.FLOOR.MATH(B18/10+0.9)*10</f>
        <v>20</v>
      </c>
      <c r="D18" s="15">
        <f ca="1">OFFSET(控制台!$C$1099,MATCH(C18,控制台!$B$1099:$B$1118,0)-2,0)*控制台!$E$1092</f>
        <v>600</v>
      </c>
      <c r="E18" s="15">
        <f ca="1">OFFSET(控制台!$C$1099,MATCH(C18,控制台!$B$1099:$B$1118,0)-1,0)*控制台!$E$1092</f>
        <v>6000</v>
      </c>
      <c r="F18" s="16">
        <f ca="1">_xlfn.FLOOR.MATH(Lerp_dyy(D18,E18,IF(MOD(B18,10)=0,1,MOD(B18,10)/10)),10)</f>
        <v>2220</v>
      </c>
      <c r="G18" s="17">
        <f ca="1" t="shared" si="0"/>
        <v>8240</v>
      </c>
      <c r="H18" s="16">
        <f ca="1">IF(AND(B18&lt;&gt;1,MOD(B18,10)=1),OFFSET(控制台!$E$1099,MATCH(C18,控制台!$B$1099:$B$1118,0)-1,0)*控制台!$E$1093,0)</f>
        <v>0</v>
      </c>
      <c r="I18" s="17">
        <f ca="1" t="shared" si="2"/>
        <v>40</v>
      </c>
      <c r="J18" s="15">
        <f ca="1">IF(_xlfn.CEILING.MATH(B18/10)*10=10,0,IFERROR(OFFSET(控制台!$B$865,MATCH(_xlfn.CEILING.MATH(B18/10-1)*10,控制台!$D$865:$D$936,0)-1,0),0))</f>
        <v>0.2</v>
      </c>
      <c r="K18" s="15">
        <f ca="1">IFERROR(OFFSET(控制台!$B$865,MATCH(_xlfn.CEILING.MATH(B18/10)*10,控制台!$D$865:$D$936,0)-1,0),1)</f>
        <v>1</v>
      </c>
      <c r="L18" s="17">
        <f ca="1">Lerp_dyy(J18,K18,IF(MOD(B18,10)=0,1,MOD(B18,10)/10))</f>
        <v>0.44</v>
      </c>
      <c r="O18" s="15">
        <v>13</v>
      </c>
      <c r="P18" s="1">
        <f>_xlfn.FLOOR.MATH(O18/10+0.9)*10</f>
        <v>20</v>
      </c>
      <c r="Q18" s="1">
        <f ca="1">OFFSET(控制台!$I$1099,MATCH(P18,控制台!$H$1099:$H$1118,0)-2,0)*控制台!$K$1092</f>
        <v>600</v>
      </c>
      <c r="R18" s="1">
        <f ca="1">OFFSET(控制台!$I$1099,MATCH(P18,控制台!$H$1099:$H$1118,0)-1,0)*控制台!$K$1092</f>
        <v>6000</v>
      </c>
      <c r="S18" s="16">
        <f ca="1">_xlfn.FLOOR.MATH(Lerp_dyy(Q18,R18,IF(MOD(O18,10)=0,1,MOD(O18,10)/10)),10)</f>
        <v>2220</v>
      </c>
      <c r="T18" s="17">
        <f ca="1" t="shared" si="1"/>
        <v>8240</v>
      </c>
      <c r="U18" s="4">
        <f ca="1">IF(AND(O18&lt;&gt;1,MOD(O18,10)=1),OFFSET(控制台!$K$1099,MATCH(P18,控制台!$H$1099:$H$1118,0)-1,0)*控制台!$K$1093,0)</f>
        <v>0</v>
      </c>
      <c r="V18" s="17">
        <f ca="1" t="shared" si="3"/>
        <v>40</v>
      </c>
      <c r="W18" s="1">
        <f ca="1">IF(_xlfn.CEILING.MATH(O18/10)*10=10,0,IFERROR(OFFSET(控制台!$B$1007,MATCH(_xlfn.CEILING.MATH(O18/10-1)*10,控制台!$D$1007:$D$1080,0)-1,0),0))</f>
        <v>2.5</v>
      </c>
      <c r="X18" s="1">
        <f ca="1">IFERROR(OFFSET(控制台!$B$1007,MATCH(_xlfn.CEILING.MATH(O18/10)*10,控制台!$D$1007:$D$1080,0)-1,0),1)</f>
        <v>3</v>
      </c>
      <c r="Y18" s="17">
        <f ca="1">Lerp_dyy(W18,X18,IF(MOD(O18,10)=0,1,MOD(O18,10)/10))</f>
        <v>2.65</v>
      </c>
    </row>
    <row r="19" s="15" customFormat="1" spans="2:25">
      <c r="B19" s="15">
        <v>14</v>
      </c>
      <c r="C19" s="15">
        <f>_xlfn.FLOOR.MATH(B19/10+0.9)*10</f>
        <v>20</v>
      </c>
      <c r="D19" s="15">
        <f ca="1">OFFSET(控制台!$C$1099,MATCH(C19,控制台!$B$1099:$B$1118,0)-2,0)*控制台!$E$1092</f>
        <v>600</v>
      </c>
      <c r="E19" s="15">
        <f ca="1">OFFSET(控制台!$C$1099,MATCH(C19,控制台!$B$1099:$B$1118,0)-1,0)*控制台!$E$1092</f>
        <v>6000</v>
      </c>
      <c r="F19" s="16">
        <f ca="1">_xlfn.FLOOR.MATH(Lerp_dyy(D19,E19,IF(MOD(B19,10)=0,1,MOD(B19,10)/10)),10)</f>
        <v>2760</v>
      </c>
      <c r="G19" s="17">
        <f ca="1" t="shared" si="0"/>
        <v>11000</v>
      </c>
      <c r="H19" s="16">
        <f ca="1">IF(AND(B19&lt;&gt;1,MOD(B19,10)=1),OFFSET(控制台!$E$1099,MATCH(C19,控制台!$B$1099:$B$1118,0)-1,0)*控制台!$E$1093,0)</f>
        <v>0</v>
      </c>
      <c r="I19" s="17">
        <f ca="1" t="shared" si="2"/>
        <v>40</v>
      </c>
      <c r="J19" s="15">
        <f ca="1">IF(_xlfn.CEILING.MATH(B19/10)*10=10,0,IFERROR(OFFSET(控制台!$B$865,MATCH(_xlfn.CEILING.MATH(B19/10-1)*10,控制台!$D$865:$D$936,0)-1,0),0))</f>
        <v>0.2</v>
      </c>
      <c r="K19" s="15">
        <f ca="1">IFERROR(OFFSET(控制台!$B$865,MATCH(_xlfn.CEILING.MATH(B19/10)*10,控制台!$D$865:$D$936,0)-1,0),1)</f>
        <v>1</v>
      </c>
      <c r="L19" s="17">
        <f ca="1">Lerp_dyy(J19,K19,IF(MOD(B19,10)=0,1,MOD(B19,10)/10))</f>
        <v>0.52</v>
      </c>
      <c r="O19" s="15">
        <v>14</v>
      </c>
      <c r="P19" s="1">
        <f>_xlfn.FLOOR.MATH(O19/10+0.9)*10</f>
        <v>20</v>
      </c>
      <c r="Q19" s="1">
        <f ca="1">OFFSET(控制台!$I$1099,MATCH(P19,控制台!$H$1099:$H$1118,0)-2,0)*控制台!$K$1092</f>
        <v>600</v>
      </c>
      <c r="R19" s="1">
        <f ca="1">OFFSET(控制台!$I$1099,MATCH(P19,控制台!$H$1099:$H$1118,0)-1,0)*控制台!$K$1092</f>
        <v>6000</v>
      </c>
      <c r="S19" s="16">
        <f ca="1">_xlfn.FLOOR.MATH(Lerp_dyy(Q19,R19,IF(MOD(O19,10)=0,1,MOD(O19,10)/10)),10)</f>
        <v>2760</v>
      </c>
      <c r="T19" s="17">
        <f ca="1" t="shared" si="1"/>
        <v>11000</v>
      </c>
      <c r="U19" s="4">
        <f ca="1">IF(AND(O19&lt;&gt;1,MOD(O19,10)=1),OFFSET(控制台!$K$1099,MATCH(P19,控制台!$H$1099:$H$1118,0)-1,0)*控制台!$K$1093,0)</f>
        <v>0</v>
      </c>
      <c r="V19" s="17">
        <f ca="1" t="shared" si="3"/>
        <v>40</v>
      </c>
      <c r="W19" s="1">
        <f ca="1">IF(_xlfn.CEILING.MATH(O19/10)*10=10,0,IFERROR(OFFSET(控制台!$B$1007,MATCH(_xlfn.CEILING.MATH(O19/10-1)*10,控制台!$D$1007:$D$1080,0)-1,0),0))</f>
        <v>2.5</v>
      </c>
      <c r="X19" s="1">
        <f ca="1">IFERROR(OFFSET(控制台!$B$1007,MATCH(_xlfn.CEILING.MATH(O19/10)*10,控制台!$D$1007:$D$1080,0)-1,0),1)</f>
        <v>3</v>
      </c>
      <c r="Y19" s="17">
        <f ca="1">Lerp_dyy(W19,X19,IF(MOD(O19,10)=0,1,MOD(O19,10)/10))</f>
        <v>2.7</v>
      </c>
    </row>
    <row r="20" s="15" customFormat="1" spans="2:25">
      <c r="B20" s="15">
        <v>15</v>
      </c>
      <c r="C20" s="15">
        <f>_xlfn.FLOOR.MATH(B20/10+0.9)*10</f>
        <v>20</v>
      </c>
      <c r="D20" s="15">
        <f ca="1">OFFSET(控制台!$C$1099,MATCH(C20,控制台!$B$1099:$B$1118,0)-2,0)*控制台!$E$1092</f>
        <v>600</v>
      </c>
      <c r="E20" s="15">
        <f ca="1">OFFSET(控制台!$C$1099,MATCH(C20,控制台!$B$1099:$B$1118,0)-1,0)*控制台!$E$1092</f>
        <v>6000</v>
      </c>
      <c r="F20" s="16">
        <f ca="1">_xlfn.FLOOR.MATH(Lerp_dyy(D20,E20,IF(MOD(B20,10)=0,1,MOD(B20,10)/10)),10)</f>
        <v>3300</v>
      </c>
      <c r="G20" s="17">
        <f ca="1" t="shared" si="0"/>
        <v>14300</v>
      </c>
      <c r="H20" s="16">
        <f ca="1">IF(AND(B20&lt;&gt;1,MOD(B20,10)=1),OFFSET(控制台!$E$1099,MATCH(C20,控制台!$B$1099:$B$1118,0)-1,0)*控制台!$E$1093,0)</f>
        <v>0</v>
      </c>
      <c r="I20" s="17">
        <f ca="1" t="shared" si="2"/>
        <v>40</v>
      </c>
      <c r="J20" s="15">
        <f ca="1">IF(_xlfn.CEILING.MATH(B20/10)*10=10,0,IFERROR(OFFSET(控制台!$B$865,MATCH(_xlfn.CEILING.MATH(B20/10-1)*10,控制台!$D$865:$D$936,0)-1,0),0))</f>
        <v>0.2</v>
      </c>
      <c r="K20" s="15">
        <f ca="1">IFERROR(OFFSET(控制台!$B$865,MATCH(_xlfn.CEILING.MATH(B20/10)*10,控制台!$D$865:$D$936,0)-1,0),1)</f>
        <v>1</v>
      </c>
      <c r="L20" s="17">
        <f ca="1">Lerp_dyy(J20,K20,IF(MOD(B20,10)=0,1,MOD(B20,10)/10))</f>
        <v>0.6</v>
      </c>
      <c r="O20" s="15">
        <v>15</v>
      </c>
      <c r="P20" s="1">
        <f>_xlfn.FLOOR.MATH(O20/10+0.9)*10</f>
        <v>20</v>
      </c>
      <c r="Q20" s="1">
        <f ca="1">OFFSET(控制台!$I$1099,MATCH(P20,控制台!$H$1099:$H$1118,0)-2,0)*控制台!$K$1092</f>
        <v>600</v>
      </c>
      <c r="R20" s="1">
        <f ca="1">OFFSET(控制台!$I$1099,MATCH(P20,控制台!$H$1099:$H$1118,0)-1,0)*控制台!$K$1092</f>
        <v>6000</v>
      </c>
      <c r="S20" s="16">
        <f ca="1">_xlfn.FLOOR.MATH(Lerp_dyy(Q20,R20,IF(MOD(O20,10)=0,1,MOD(O20,10)/10)),10)</f>
        <v>3300</v>
      </c>
      <c r="T20" s="17">
        <f ca="1" t="shared" si="1"/>
        <v>14300</v>
      </c>
      <c r="U20" s="4">
        <f ca="1">IF(AND(O20&lt;&gt;1,MOD(O20,10)=1),OFFSET(控制台!$K$1099,MATCH(P20,控制台!$H$1099:$H$1118,0)-1,0)*控制台!$K$1093,0)</f>
        <v>0</v>
      </c>
      <c r="V20" s="17">
        <f ca="1" t="shared" si="3"/>
        <v>40</v>
      </c>
      <c r="W20" s="1">
        <f ca="1">IF(_xlfn.CEILING.MATH(O20/10)*10=10,0,IFERROR(OFFSET(控制台!$B$1007,MATCH(_xlfn.CEILING.MATH(O20/10-1)*10,控制台!$D$1007:$D$1080,0)-1,0),0))</f>
        <v>2.5</v>
      </c>
      <c r="X20" s="1">
        <f ca="1">IFERROR(OFFSET(控制台!$B$1007,MATCH(_xlfn.CEILING.MATH(O20/10)*10,控制台!$D$1007:$D$1080,0)-1,0),1)</f>
        <v>3</v>
      </c>
      <c r="Y20" s="17">
        <f ca="1">Lerp_dyy(W20,X20,IF(MOD(O20,10)=0,1,MOD(O20,10)/10))</f>
        <v>2.75</v>
      </c>
    </row>
    <row r="21" s="15" customFormat="1" spans="2:25">
      <c r="B21" s="15">
        <v>16</v>
      </c>
      <c r="C21" s="15">
        <f>_xlfn.FLOOR.MATH(B21/10+0.9)*10</f>
        <v>20</v>
      </c>
      <c r="D21" s="15">
        <f ca="1">OFFSET(控制台!$C$1099,MATCH(C21,控制台!$B$1099:$B$1118,0)-2,0)*控制台!$E$1092</f>
        <v>600</v>
      </c>
      <c r="E21" s="15">
        <f ca="1">OFFSET(控制台!$C$1099,MATCH(C21,控制台!$B$1099:$B$1118,0)-1,0)*控制台!$E$1092</f>
        <v>6000</v>
      </c>
      <c r="F21" s="16">
        <f ca="1">_xlfn.FLOOR.MATH(Lerp_dyy(D21,E21,IF(MOD(B21,10)=0,1,MOD(B21,10)/10)),10)</f>
        <v>3840</v>
      </c>
      <c r="G21" s="17">
        <f ca="1" t="shared" si="0"/>
        <v>18140</v>
      </c>
      <c r="H21" s="16">
        <f ca="1">IF(AND(B21&lt;&gt;1,MOD(B21,10)=1),OFFSET(控制台!$E$1099,MATCH(C21,控制台!$B$1099:$B$1118,0)-1,0)*控制台!$E$1093,0)</f>
        <v>0</v>
      </c>
      <c r="I21" s="17">
        <f ca="1" t="shared" si="2"/>
        <v>40</v>
      </c>
      <c r="J21" s="15">
        <f ca="1">IF(_xlfn.CEILING.MATH(B21/10)*10=10,0,IFERROR(OFFSET(控制台!$B$865,MATCH(_xlfn.CEILING.MATH(B21/10-1)*10,控制台!$D$865:$D$936,0)-1,0),0))</f>
        <v>0.2</v>
      </c>
      <c r="K21" s="15">
        <f ca="1">IFERROR(OFFSET(控制台!$B$865,MATCH(_xlfn.CEILING.MATH(B21/10)*10,控制台!$D$865:$D$936,0)-1,0),1)</f>
        <v>1</v>
      </c>
      <c r="L21" s="17">
        <f ca="1">Lerp_dyy(J21,K21,IF(MOD(B21,10)=0,1,MOD(B21,10)/10))</f>
        <v>0.68</v>
      </c>
      <c r="O21" s="15">
        <v>16</v>
      </c>
      <c r="P21" s="1">
        <f>_xlfn.FLOOR.MATH(O21/10+0.9)*10</f>
        <v>20</v>
      </c>
      <c r="Q21" s="1">
        <f ca="1">OFFSET(控制台!$I$1099,MATCH(P21,控制台!$H$1099:$H$1118,0)-2,0)*控制台!$K$1092</f>
        <v>600</v>
      </c>
      <c r="R21" s="1">
        <f ca="1">OFFSET(控制台!$I$1099,MATCH(P21,控制台!$H$1099:$H$1118,0)-1,0)*控制台!$K$1092</f>
        <v>6000</v>
      </c>
      <c r="S21" s="16">
        <f ca="1">_xlfn.FLOOR.MATH(Lerp_dyy(Q21,R21,IF(MOD(O21,10)=0,1,MOD(O21,10)/10)),10)</f>
        <v>3840</v>
      </c>
      <c r="T21" s="17">
        <f ca="1" t="shared" si="1"/>
        <v>18140</v>
      </c>
      <c r="U21" s="4">
        <f ca="1">IF(AND(O21&lt;&gt;1,MOD(O21,10)=1),OFFSET(控制台!$K$1099,MATCH(P21,控制台!$H$1099:$H$1118,0)-1,0)*控制台!$K$1093,0)</f>
        <v>0</v>
      </c>
      <c r="V21" s="17">
        <f ca="1" t="shared" si="3"/>
        <v>40</v>
      </c>
      <c r="W21" s="1">
        <f ca="1">IF(_xlfn.CEILING.MATH(O21/10)*10=10,0,IFERROR(OFFSET(控制台!$B$1007,MATCH(_xlfn.CEILING.MATH(O21/10-1)*10,控制台!$D$1007:$D$1080,0)-1,0),0))</f>
        <v>2.5</v>
      </c>
      <c r="X21" s="1">
        <f ca="1">IFERROR(OFFSET(控制台!$B$1007,MATCH(_xlfn.CEILING.MATH(O21/10)*10,控制台!$D$1007:$D$1080,0)-1,0),1)</f>
        <v>3</v>
      </c>
      <c r="Y21" s="17">
        <f ca="1">Lerp_dyy(W21,X21,IF(MOD(O21,10)=0,1,MOD(O21,10)/10))</f>
        <v>2.8</v>
      </c>
    </row>
    <row r="22" s="15" customFormat="1" spans="2:25">
      <c r="B22" s="15">
        <v>17</v>
      </c>
      <c r="C22" s="15">
        <f>_xlfn.FLOOR.MATH(B22/10+0.9)*10</f>
        <v>20</v>
      </c>
      <c r="D22" s="15">
        <f ca="1">OFFSET(控制台!$C$1099,MATCH(C22,控制台!$B$1099:$B$1118,0)-2,0)*控制台!$E$1092</f>
        <v>600</v>
      </c>
      <c r="E22" s="15">
        <f ca="1">OFFSET(控制台!$C$1099,MATCH(C22,控制台!$B$1099:$B$1118,0)-1,0)*控制台!$E$1092</f>
        <v>6000</v>
      </c>
      <c r="F22" s="16">
        <f ca="1">_xlfn.FLOOR.MATH(Lerp_dyy(D22,E22,IF(MOD(B22,10)=0,1,MOD(B22,10)/10)),10)</f>
        <v>4380</v>
      </c>
      <c r="G22" s="17">
        <f ca="1" t="shared" si="0"/>
        <v>22520</v>
      </c>
      <c r="H22" s="16">
        <f ca="1">IF(AND(B22&lt;&gt;1,MOD(B22,10)=1),OFFSET(控制台!$E$1099,MATCH(C22,控制台!$B$1099:$B$1118,0)-1,0)*控制台!$E$1093,0)</f>
        <v>0</v>
      </c>
      <c r="I22" s="17">
        <f ca="1" t="shared" si="2"/>
        <v>40</v>
      </c>
      <c r="J22" s="15">
        <f ca="1">IF(_xlfn.CEILING.MATH(B22/10)*10=10,0,IFERROR(OFFSET(控制台!$B$865,MATCH(_xlfn.CEILING.MATH(B22/10-1)*10,控制台!$D$865:$D$936,0)-1,0),0))</f>
        <v>0.2</v>
      </c>
      <c r="K22" s="15">
        <f ca="1">IFERROR(OFFSET(控制台!$B$865,MATCH(_xlfn.CEILING.MATH(B22/10)*10,控制台!$D$865:$D$936,0)-1,0),1)</f>
        <v>1</v>
      </c>
      <c r="L22" s="17">
        <f ca="1">Lerp_dyy(J22,K22,IF(MOD(B22,10)=0,1,MOD(B22,10)/10))</f>
        <v>0.76</v>
      </c>
      <c r="O22" s="15">
        <v>17</v>
      </c>
      <c r="P22" s="1">
        <f>_xlfn.FLOOR.MATH(O22/10+0.9)*10</f>
        <v>20</v>
      </c>
      <c r="Q22" s="1">
        <f ca="1">OFFSET(控制台!$I$1099,MATCH(P22,控制台!$H$1099:$H$1118,0)-2,0)*控制台!$K$1092</f>
        <v>600</v>
      </c>
      <c r="R22" s="1">
        <f ca="1">OFFSET(控制台!$I$1099,MATCH(P22,控制台!$H$1099:$H$1118,0)-1,0)*控制台!$K$1092</f>
        <v>6000</v>
      </c>
      <c r="S22" s="16">
        <f ca="1">_xlfn.FLOOR.MATH(Lerp_dyy(Q22,R22,IF(MOD(O22,10)=0,1,MOD(O22,10)/10)),10)</f>
        <v>4380</v>
      </c>
      <c r="T22" s="17">
        <f ca="1" t="shared" si="1"/>
        <v>22520</v>
      </c>
      <c r="U22" s="4">
        <f ca="1">IF(AND(O22&lt;&gt;1,MOD(O22,10)=1),OFFSET(控制台!$K$1099,MATCH(P22,控制台!$H$1099:$H$1118,0)-1,0)*控制台!$K$1093,0)</f>
        <v>0</v>
      </c>
      <c r="V22" s="17">
        <f ca="1" t="shared" si="3"/>
        <v>40</v>
      </c>
      <c r="W22" s="1">
        <f ca="1">IF(_xlfn.CEILING.MATH(O22/10)*10=10,0,IFERROR(OFFSET(控制台!$B$1007,MATCH(_xlfn.CEILING.MATH(O22/10-1)*10,控制台!$D$1007:$D$1080,0)-1,0),0))</f>
        <v>2.5</v>
      </c>
      <c r="X22" s="1">
        <f ca="1">IFERROR(OFFSET(控制台!$B$1007,MATCH(_xlfn.CEILING.MATH(O22/10)*10,控制台!$D$1007:$D$1080,0)-1,0),1)</f>
        <v>3</v>
      </c>
      <c r="Y22" s="17">
        <f ca="1">Lerp_dyy(W22,X22,IF(MOD(O22,10)=0,1,MOD(O22,10)/10))</f>
        <v>2.85</v>
      </c>
    </row>
    <row r="23" s="15" customFormat="1" spans="2:25">
      <c r="B23" s="15">
        <v>18</v>
      </c>
      <c r="C23" s="15">
        <f>_xlfn.FLOOR.MATH(B23/10+0.9)*10</f>
        <v>20</v>
      </c>
      <c r="D23" s="15">
        <f ca="1">OFFSET(控制台!$C$1099,MATCH(C23,控制台!$B$1099:$B$1118,0)-2,0)*控制台!$E$1092</f>
        <v>600</v>
      </c>
      <c r="E23" s="15">
        <f ca="1">OFFSET(控制台!$C$1099,MATCH(C23,控制台!$B$1099:$B$1118,0)-1,0)*控制台!$E$1092</f>
        <v>6000</v>
      </c>
      <c r="F23" s="16">
        <f ca="1">_xlfn.FLOOR.MATH(Lerp_dyy(D23,E23,IF(MOD(B23,10)=0,1,MOD(B23,10)/10)),10)</f>
        <v>4920</v>
      </c>
      <c r="G23" s="17">
        <f ca="1" t="shared" si="0"/>
        <v>27440</v>
      </c>
      <c r="H23" s="16">
        <f ca="1">IF(AND(B23&lt;&gt;1,MOD(B23,10)=1),OFFSET(控制台!$E$1099,MATCH(C23,控制台!$B$1099:$B$1118,0)-1,0)*控制台!$E$1093,0)</f>
        <v>0</v>
      </c>
      <c r="I23" s="17">
        <f ca="1" t="shared" si="2"/>
        <v>40</v>
      </c>
      <c r="J23" s="15">
        <f ca="1">IF(_xlfn.CEILING.MATH(B23/10)*10=10,0,IFERROR(OFFSET(控制台!$B$865,MATCH(_xlfn.CEILING.MATH(B23/10-1)*10,控制台!$D$865:$D$936,0)-1,0),0))</f>
        <v>0.2</v>
      </c>
      <c r="K23" s="15">
        <f ca="1">IFERROR(OFFSET(控制台!$B$865,MATCH(_xlfn.CEILING.MATH(B23/10)*10,控制台!$D$865:$D$936,0)-1,0),1)</f>
        <v>1</v>
      </c>
      <c r="L23" s="17">
        <f ca="1">Lerp_dyy(J23,K23,IF(MOD(B23,10)=0,1,MOD(B23,10)/10))</f>
        <v>0.84</v>
      </c>
      <c r="O23" s="15">
        <v>18</v>
      </c>
      <c r="P23" s="1">
        <f>_xlfn.FLOOR.MATH(O23/10+0.9)*10</f>
        <v>20</v>
      </c>
      <c r="Q23" s="1">
        <f ca="1">OFFSET(控制台!$I$1099,MATCH(P23,控制台!$H$1099:$H$1118,0)-2,0)*控制台!$K$1092</f>
        <v>600</v>
      </c>
      <c r="R23" s="1">
        <f ca="1">OFFSET(控制台!$I$1099,MATCH(P23,控制台!$H$1099:$H$1118,0)-1,0)*控制台!$K$1092</f>
        <v>6000</v>
      </c>
      <c r="S23" s="16">
        <f ca="1">_xlfn.FLOOR.MATH(Lerp_dyy(Q23,R23,IF(MOD(O23,10)=0,1,MOD(O23,10)/10)),10)</f>
        <v>4920</v>
      </c>
      <c r="T23" s="17">
        <f ca="1" t="shared" si="1"/>
        <v>27440</v>
      </c>
      <c r="U23" s="4">
        <f ca="1">IF(AND(O23&lt;&gt;1,MOD(O23,10)=1),OFFSET(控制台!$K$1099,MATCH(P23,控制台!$H$1099:$H$1118,0)-1,0)*控制台!$K$1093,0)</f>
        <v>0</v>
      </c>
      <c r="V23" s="17">
        <f ca="1" t="shared" si="3"/>
        <v>40</v>
      </c>
      <c r="W23" s="1">
        <f ca="1">IF(_xlfn.CEILING.MATH(O23/10)*10=10,0,IFERROR(OFFSET(控制台!$B$1007,MATCH(_xlfn.CEILING.MATH(O23/10-1)*10,控制台!$D$1007:$D$1080,0)-1,0),0))</f>
        <v>2.5</v>
      </c>
      <c r="X23" s="1">
        <f ca="1">IFERROR(OFFSET(控制台!$B$1007,MATCH(_xlfn.CEILING.MATH(O23/10)*10,控制台!$D$1007:$D$1080,0)-1,0),1)</f>
        <v>3</v>
      </c>
      <c r="Y23" s="17">
        <f ca="1">Lerp_dyy(W23,X23,IF(MOD(O23,10)=0,1,MOD(O23,10)/10))</f>
        <v>2.9</v>
      </c>
    </row>
    <row r="24" s="15" customFormat="1" spans="2:25">
      <c r="B24" s="15">
        <v>19</v>
      </c>
      <c r="C24" s="15">
        <f>_xlfn.FLOOR.MATH(B24/10+0.9)*10</f>
        <v>20</v>
      </c>
      <c r="D24" s="15">
        <f ca="1">OFFSET(控制台!$C$1099,MATCH(C24,控制台!$B$1099:$B$1118,0)-2,0)*控制台!$E$1092</f>
        <v>600</v>
      </c>
      <c r="E24" s="15">
        <f ca="1">OFFSET(控制台!$C$1099,MATCH(C24,控制台!$B$1099:$B$1118,0)-1,0)*控制台!$E$1092</f>
        <v>6000</v>
      </c>
      <c r="F24" s="16">
        <f ca="1">_xlfn.FLOOR.MATH(Lerp_dyy(D24,E24,IF(MOD(B24,10)=0,1,MOD(B24,10)/10)),10)</f>
        <v>5460</v>
      </c>
      <c r="G24" s="17">
        <f ca="1" t="shared" si="0"/>
        <v>32900</v>
      </c>
      <c r="H24" s="16">
        <f ca="1">IF(AND(B24&lt;&gt;1,MOD(B24,10)=1),OFFSET(控制台!$E$1099,MATCH(C24,控制台!$B$1099:$B$1118,0)-1,0)*控制台!$E$1093,0)</f>
        <v>0</v>
      </c>
      <c r="I24" s="17">
        <f ca="1" t="shared" si="2"/>
        <v>40</v>
      </c>
      <c r="J24" s="15">
        <f ca="1">IF(_xlfn.CEILING.MATH(B24/10)*10=10,0,IFERROR(OFFSET(控制台!$B$865,MATCH(_xlfn.CEILING.MATH(B24/10-1)*10,控制台!$D$865:$D$936,0)-1,0),0))</f>
        <v>0.2</v>
      </c>
      <c r="K24" s="15">
        <f ca="1">IFERROR(OFFSET(控制台!$B$865,MATCH(_xlfn.CEILING.MATH(B24/10)*10,控制台!$D$865:$D$936,0)-1,0),1)</f>
        <v>1</v>
      </c>
      <c r="L24" s="17">
        <f ca="1">Lerp_dyy(J24,K24,IF(MOD(B24,10)=0,1,MOD(B24,10)/10))</f>
        <v>0.92</v>
      </c>
      <c r="O24" s="15">
        <v>19</v>
      </c>
      <c r="P24" s="1">
        <f>_xlfn.FLOOR.MATH(O24/10+0.9)*10</f>
        <v>20</v>
      </c>
      <c r="Q24" s="1">
        <f ca="1">OFFSET(控制台!$I$1099,MATCH(P24,控制台!$H$1099:$H$1118,0)-2,0)*控制台!$K$1092</f>
        <v>600</v>
      </c>
      <c r="R24" s="1">
        <f ca="1">OFFSET(控制台!$I$1099,MATCH(P24,控制台!$H$1099:$H$1118,0)-1,0)*控制台!$K$1092</f>
        <v>6000</v>
      </c>
      <c r="S24" s="16">
        <f ca="1">_xlfn.FLOOR.MATH(Lerp_dyy(Q24,R24,IF(MOD(O24,10)=0,1,MOD(O24,10)/10)),10)</f>
        <v>5460</v>
      </c>
      <c r="T24" s="17">
        <f ca="1" t="shared" si="1"/>
        <v>32900</v>
      </c>
      <c r="U24" s="4">
        <f ca="1">IF(AND(O24&lt;&gt;1,MOD(O24,10)=1),OFFSET(控制台!$K$1099,MATCH(P24,控制台!$H$1099:$H$1118,0)-1,0)*控制台!$K$1093,0)</f>
        <v>0</v>
      </c>
      <c r="V24" s="17">
        <f ca="1" t="shared" si="3"/>
        <v>40</v>
      </c>
      <c r="W24" s="1">
        <f ca="1">IF(_xlfn.CEILING.MATH(O24/10)*10=10,0,IFERROR(OFFSET(控制台!$B$1007,MATCH(_xlfn.CEILING.MATH(O24/10-1)*10,控制台!$D$1007:$D$1080,0)-1,0),0))</f>
        <v>2.5</v>
      </c>
      <c r="X24" s="1">
        <f ca="1">IFERROR(OFFSET(控制台!$B$1007,MATCH(_xlfn.CEILING.MATH(O24/10)*10,控制台!$D$1007:$D$1080,0)-1,0),1)</f>
        <v>3</v>
      </c>
      <c r="Y24" s="17">
        <f ca="1">Lerp_dyy(W24,X24,IF(MOD(O24,10)=0,1,MOD(O24,10)/10))</f>
        <v>2.95</v>
      </c>
    </row>
    <row r="25" s="15" customFormat="1" spans="2:25">
      <c r="B25" s="15">
        <v>20</v>
      </c>
      <c r="C25" s="15">
        <f>_xlfn.FLOOR.MATH(B25/10+0.9)*10</f>
        <v>20</v>
      </c>
      <c r="D25" s="15">
        <f ca="1">OFFSET(控制台!$C$1099,MATCH(C25,控制台!$B$1099:$B$1118,0)-2,0)*控制台!$E$1092</f>
        <v>600</v>
      </c>
      <c r="E25" s="15">
        <f ca="1">OFFSET(控制台!$C$1099,MATCH(C25,控制台!$B$1099:$B$1118,0)-1,0)*控制台!$E$1092</f>
        <v>6000</v>
      </c>
      <c r="F25" s="16">
        <f ca="1">_xlfn.FLOOR.MATH(Lerp_dyy(D25,E25,IF(MOD(B25,10)=0,1,MOD(B25,10)/10)),10)</f>
        <v>6000</v>
      </c>
      <c r="G25" s="17">
        <f ca="1" t="shared" si="0"/>
        <v>38900</v>
      </c>
      <c r="H25" s="16">
        <f ca="1">IF(AND(B25&lt;&gt;1,MOD(B25,10)=1),OFFSET(控制台!$E$1099,MATCH(C25,控制台!$B$1099:$B$1118,0)-1,0)*控制台!$E$1093,0)</f>
        <v>0</v>
      </c>
      <c r="I25" s="17">
        <f ca="1" t="shared" si="2"/>
        <v>40</v>
      </c>
      <c r="J25" s="15">
        <f ca="1">IF(_xlfn.CEILING.MATH(B25/10)*10=10,0,IFERROR(OFFSET(控制台!$B$865,MATCH(_xlfn.CEILING.MATH(B25/10-1)*10,控制台!$D$865:$D$936,0)-1,0),0))</f>
        <v>0.2</v>
      </c>
      <c r="K25" s="15">
        <f ca="1">IFERROR(OFFSET(控制台!$B$865,MATCH(_xlfn.CEILING.MATH(B25/10)*10,控制台!$D$865:$D$936,0)-1,0),1)</f>
        <v>1</v>
      </c>
      <c r="L25" s="17">
        <f ca="1">Lerp_dyy(J25,K25,IF(MOD(B25,10)=0,1,MOD(B25,10)/10))</f>
        <v>1</v>
      </c>
      <c r="O25" s="15">
        <v>20</v>
      </c>
      <c r="P25" s="1">
        <f>_xlfn.FLOOR.MATH(O25/10+0.9)*10</f>
        <v>20</v>
      </c>
      <c r="Q25" s="1">
        <f ca="1">OFFSET(控制台!$I$1099,MATCH(P25,控制台!$H$1099:$H$1118,0)-2,0)*控制台!$K$1092</f>
        <v>600</v>
      </c>
      <c r="R25" s="1">
        <f ca="1">OFFSET(控制台!$I$1099,MATCH(P25,控制台!$H$1099:$H$1118,0)-1,0)*控制台!$K$1092</f>
        <v>6000</v>
      </c>
      <c r="S25" s="16">
        <f ca="1">_xlfn.FLOOR.MATH(Lerp_dyy(Q25,R25,IF(MOD(O25,10)=0,1,MOD(O25,10)/10)),10)</f>
        <v>6000</v>
      </c>
      <c r="T25" s="17">
        <f ca="1" t="shared" si="1"/>
        <v>38900</v>
      </c>
      <c r="U25" s="4">
        <f ca="1">IF(AND(O25&lt;&gt;1,MOD(O25,10)=1),OFFSET(控制台!$K$1099,MATCH(P25,控制台!$H$1099:$H$1118,0)-1,0)*控制台!$K$1093,0)</f>
        <v>0</v>
      </c>
      <c r="V25" s="17">
        <f ca="1" t="shared" si="3"/>
        <v>40</v>
      </c>
      <c r="W25" s="1">
        <f ca="1">IF(_xlfn.CEILING.MATH(O25/10)*10=10,0,IFERROR(OFFSET(控制台!$B$1007,MATCH(_xlfn.CEILING.MATH(O25/10-1)*10,控制台!$D$1007:$D$1080,0)-1,0),0))</f>
        <v>2.5</v>
      </c>
      <c r="X25" s="1">
        <f ca="1">IFERROR(OFFSET(控制台!$B$1007,MATCH(_xlfn.CEILING.MATH(O25/10)*10,控制台!$D$1007:$D$1080,0)-1,0),1)</f>
        <v>3</v>
      </c>
      <c r="Y25" s="17">
        <f ca="1">Lerp_dyy(W25,X25,IF(MOD(O25,10)=0,1,MOD(O25,10)/10))</f>
        <v>3</v>
      </c>
    </row>
    <row r="26" spans="1:25">
      <c r="A26" s="1" t="s">
        <v>2854</v>
      </c>
      <c r="B26" s="1">
        <v>21</v>
      </c>
      <c r="C26" s="1">
        <f>_xlfn.FLOOR.MATH(B26/10+0.9)*10</f>
        <v>30</v>
      </c>
      <c r="D26" s="1">
        <f ca="1">OFFSET(控制台!$C$1099,MATCH(C26,控制台!$B$1099:$B$1118,0)-2,0)*控制台!$E$1092</f>
        <v>6000</v>
      </c>
      <c r="E26" s="1">
        <f ca="1">OFFSET(控制台!$C$1099,MATCH(C26,控制台!$B$1099:$B$1118,0)-1,0)*控制台!$E$1092</f>
        <v>60000</v>
      </c>
      <c r="F26" s="4">
        <f ca="1">_xlfn.FLOOR.MATH(Lerp_dyy(D26,E26,IF(MOD(B26,10)=0,1,MOD(B26,10)/10)),10)</f>
        <v>11400</v>
      </c>
      <c r="G26" s="5">
        <f ca="1" t="shared" si="0"/>
        <v>50300</v>
      </c>
      <c r="H26" s="4">
        <f ca="1">IF(AND(B26&lt;&gt;1,MOD(B26,10)=1),OFFSET(控制台!$E$1099,MATCH(C26,控制台!$B$1099:$B$1118,0)-1,0)*控制台!$E$1093,0)</f>
        <v>240</v>
      </c>
      <c r="I26" s="5">
        <f ca="1" t="shared" si="2"/>
        <v>280</v>
      </c>
      <c r="J26" s="1">
        <f ca="1">IF(_xlfn.CEILING.MATH(B26/10)*10=10,0,IFERROR(OFFSET(控制台!$B$865,MATCH(_xlfn.CEILING.MATH(B26/10-1)*10,控制台!$D$865:$D$936,0)-1,0),0))</f>
        <v>1</v>
      </c>
      <c r="K26" s="1">
        <f ca="1">IFERROR(OFFSET(控制台!$B$865,MATCH(_xlfn.CEILING.MATH(B26/10)*10,控制台!$D$865:$D$936,0)-1,0),1)</f>
        <v>2</v>
      </c>
      <c r="L26" s="5">
        <f ca="1">Lerp_dyy(J26,K26,IF(MOD(B26,10)=0,1,MOD(B26,10)/10))</f>
        <v>1.1</v>
      </c>
      <c r="N26" s="1" t="s">
        <v>2854</v>
      </c>
      <c r="O26" s="1">
        <v>21</v>
      </c>
      <c r="P26" s="1">
        <f>_xlfn.FLOOR.MATH(O26/10+0.9)*10</f>
        <v>30</v>
      </c>
      <c r="Q26" s="1">
        <f ca="1">OFFSET(控制台!$I$1099,MATCH(P26,控制台!$H$1099:$H$1118,0)-2,0)*控制台!$K$1092</f>
        <v>6000</v>
      </c>
      <c r="R26" s="1">
        <f ca="1">OFFSET(控制台!$I$1099,MATCH(P26,控制台!$H$1099:$H$1118,0)-1,0)*控制台!$K$1092</f>
        <v>60000</v>
      </c>
      <c r="S26" s="4">
        <f ca="1">_xlfn.FLOOR.MATH(Lerp_dyy(Q26,R26,IF(MOD(O26,10)=0,1,MOD(O26,10)/10)),10)</f>
        <v>11400</v>
      </c>
      <c r="T26" s="5">
        <f ca="1" t="shared" si="1"/>
        <v>50300</v>
      </c>
      <c r="U26" s="4">
        <f ca="1">IF(AND(O26&lt;&gt;1,MOD(O26,10)=1),OFFSET(控制台!$K$1099,MATCH(P26,控制台!$H$1099:$H$1118,0)-1,0)*控制台!$K$1093,0)</f>
        <v>240</v>
      </c>
      <c r="V26" s="5">
        <f ca="1" t="shared" si="3"/>
        <v>280</v>
      </c>
      <c r="W26" s="1">
        <f ca="1">IF(_xlfn.CEILING.MATH(O26/10)*10=10,0,IFERROR(OFFSET(控制台!$B$1007,MATCH(_xlfn.CEILING.MATH(O26/10-1)*10,控制台!$D$1007:$D$1080,0)-1,0),0))</f>
        <v>3</v>
      </c>
      <c r="X26" s="1">
        <f ca="1">IFERROR(OFFSET(控制台!$B$1007,MATCH(_xlfn.CEILING.MATH(O26/10)*10,控制台!$D$1007:$D$1080,0)-1,0),1)</f>
        <v>4</v>
      </c>
      <c r="Y26" s="5">
        <f ca="1">Lerp_dyy(W26,X26,IF(MOD(O26,10)=0,1,MOD(O26,10)/10))</f>
        <v>3.1</v>
      </c>
    </row>
    <row r="27" spans="2:25">
      <c r="B27" s="1">
        <v>22</v>
      </c>
      <c r="C27" s="1">
        <f>_xlfn.FLOOR.MATH(B27/10+0.9)*10</f>
        <v>30</v>
      </c>
      <c r="D27" s="1">
        <f ca="1">OFFSET(控制台!$C$1099,MATCH(C27,控制台!$B$1099:$B$1118,0)-2,0)*控制台!$E$1092</f>
        <v>6000</v>
      </c>
      <c r="E27" s="1">
        <f ca="1">OFFSET(控制台!$C$1099,MATCH(C27,控制台!$B$1099:$B$1118,0)-1,0)*控制台!$E$1092</f>
        <v>60000</v>
      </c>
      <c r="F27" s="4">
        <f ca="1">_xlfn.FLOOR.MATH(Lerp_dyy(D27,E27,IF(MOD(B27,10)=0,1,MOD(B27,10)/10)),10)</f>
        <v>16800</v>
      </c>
      <c r="G27" s="5">
        <f ca="1" t="shared" si="0"/>
        <v>67100</v>
      </c>
      <c r="H27" s="4">
        <f ca="1">IF(AND(B27&lt;&gt;1,MOD(B27,10)=1),OFFSET(控制台!$E$1099,MATCH(C27,控制台!$B$1099:$B$1118,0)-1,0)*控制台!$E$1093,0)</f>
        <v>0</v>
      </c>
      <c r="I27" s="5">
        <f ca="1" t="shared" si="2"/>
        <v>280</v>
      </c>
      <c r="J27" s="1">
        <f ca="1">IF(_xlfn.CEILING.MATH(B27/10)*10=10,0,IFERROR(OFFSET(控制台!$B$865,MATCH(_xlfn.CEILING.MATH(B27/10-1)*10,控制台!$D$865:$D$936,0)-1,0),0))</f>
        <v>1</v>
      </c>
      <c r="K27" s="1">
        <f ca="1">IFERROR(OFFSET(控制台!$B$865,MATCH(_xlfn.CEILING.MATH(B27/10)*10,控制台!$D$865:$D$936,0)-1,0),1)</f>
        <v>2</v>
      </c>
      <c r="L27" s="5">
        <f ca="1">Lerp_dyy(J27,K27,IF(MOD(B27,10)=0,1,MOD(B27,10)/10))</f>
        <v>1.2</v>
      </c>
      <c r="O27" s="1">
        <v>22</v>
      </c>
      <c r="P27" s="1">
        <f>_xlfn.FLOOR.MATH(O27/10+0.9)*10</f>
        <v>30</v>
      </c>
      <c r="Q27" s="1">
        <f ca="1">OFFSET(控制台!$I$1099,MATCH(P27,控制台!$H$1099:$H$1118,0)-2,0)*控制台!$K$1092</f>
        <v>6000</v>
      </c>
      <c r="R27" s="1">
        <f ca="1">OFFSET(控制台!$I$1099,MATCH(P27,控制台!$H$1099:$H$1118,0)-1,0)*控制台!$K$1092</f>
        <v>60000</v>
      </c>
      <c r="S27" s="4">
        <f ca="1">_xlfn.FLOOR.MATH(Lerp_dyy(Q27,R27,IF(MOD(O27,10)=0,1,MOD(O27,10)/10)),10)</f>
        <v>16800</v>
      </c>
      <c r="T27" s="5">
        <f ca="1" t="shared" si="1"/>
        <v>67100</v>
      </c>
      <c r="U27" s="4">
        <f ca="1">IF(AND(O27&lt;&gt;1,MOD(O27,10)=1),OFFSET(控制台!$K$1099,MATCH(P27,控制台!$H$1099:$H$1118,0)-1,0)*控制台!$K$1093,0)</f>
        <v>0</v>
      </c>
      <c r="V27" s="5">
        <f ca="1" t="shared" si="3"/>
        <v>280</v>
      </c>
      <c r="W27" s="1">
        <f ca="1">IF(_xlfn.CEILING.MATH(O27/10)*10=10,0,IFERROR(OFFSET(控制台!$B$1007,MATCH(_xlfn.CEILING.MATH(O27/10-1)*10,控制台!$D$1007:$D$1080,0)-1,0),0))</f>
        <v>3</v>
      </c>
      <c r="X27" s="1">
        <f ca="1">IFERROR(OFFSET(控制台!$B$1007,MATCH(_xlfn.CEILING.MATH(O27/10)*10,控制台!$D$1007:$D$1080,0)-1,0),1)</f>
        <v>4</v>
      </c>
      <c r="Y27" s="5">
        <f ca="1">Lerp_dyy(W27,X27,IF(MOD(O27,10)=0,1,MOD(O27,10)/10))</f>
        <v>3.2</v>
      </c>
    </row>
    <row r="28" spans="2:25">
      <c r="B28" s="1">
        <v>23</v>
      </c>
      <c r="C28" s="1">
        <f>_xlfn.FLOOR.MATH(B28/10+0.9)*10</f>
        <v>30</v>
      </c>
      <c r="D28" s="1">
        <f ca="1">OFFSET(控制台!$C$1099,MATCH(C28,控制台!$B$1099:$B$1118,0)-2,0)*控制台!$E$1092</f>
        <v>6000</v>
      </c>
      <c r="E28" s="1">
        <f ca="1">OFFSET(控制台!$C$1099,MATCH(C28,控制台!$B$1099:$B$1118,0)-1,0)*控制台!$E$1092</f>
        <v>60000</v>
      </c>
      <c r="F28" s="4">
        <f ca="1">_xlfn.FLOOR.MATH(Lerp_dyy(D28,E28,IF(MOD(B28,10)=0,1,MOD(B28,10)/10)),10)</f>
        <v>22200</v>
      </c>
      <c r="G28" s="5">
        <f ca="1" t="shared" si="0"/>
        <v>89300</v>
      </c>
      <c r="H28" s="4">
        <f ca="1">IF(AND(B28&lt;&gt;1,MOD(B28,10)=1),OFFSET(控制台!$E$1099,MATCH(C28,控制台!$B$1099:$B$1118,0)-1,0)*控制台!$E$1093,0)</f>
        <v>0</v>
      </c>
      <c r="I28" s="5">
        <f ca="1" t="shared" si="2"/>
        <v>280</v>
      </c>
      <c r="J28" s="1">
        <f ca="1">IF(_xlfn.CEILING.MATH(B28/10)*10=10,0,IFERROR(OFFSET(控制台!$B$865,MATCH(_xlfn.CEILING.MATH(B28/10-1)*10,控制台!$D$865:$D$936,0)-1,0),0))</f>
        <v>1</v>
      </c>
      <c r="K28" s="1">
        <f ca="1">IFERROR(OFFSET(控制台!$B$865,MATCH(_xlfn.CEILING.MATH(B28/10)*10,控制台!$D$865:$D$936,0)-1,0),1)</f>
        <v>2</v>
      </c>
      <c r="L28" s="5">
        <f ca="1">Lerp_dyy(J28,K28,IF(MOD(B28,10)=0,1,MOD(B28,10)/10))</f>
        <v>1.3</v>
      </c>
      <c r="O28" s="1">
        <v>23</v>
      </c>
      <c r="P28" s="1">
        <f>_xlfn.FLOOR.MATH(O28/10+0.9)*10</f>
        <v>30</v>
      </c>
      <c r="Q28" s="1">
        <f ca="1">OFFSET(控制台!$I$1099,MATCH(P28,控制台!$H$1099:$H$1118,0)-2,0)*控制台!$K$1092</f>
        <v>6000</v>
      </c>
      <c r="R28" s="1">
        <f ca="1">OFFSET(控制台!$I$1099,MATCH(P28,控制台!$H$1099:$H$1118,0)-1,0)*控制台!$K$1092</f>
        <v>60000</v>
      </c>
      <c r="S28" s="4">
        <f ca="1">_xlfn.FLOOR.MATH(Lerp_dyy(Q28,R28,IF(MOD(O28,10)=0,1,MOD(O28,10)/10)),10)</f>
        <v>22200</v>
      </c>
      <c r="T28" s="5">
        <f ca="1" t="shared" si="1"/>
        <v>89300</v>
      </c>
      <c r="U28" s="4">
        <f ca="1">IF(AND(O28&lt;&gt;1,MOD(O28,10)=1),OFFSET(控制台!$K$1099,MATCH(P28,控制台!$H$1099:$H$1118,0)-1,0)*控制台!$K$1093,0)</f>
        <v>0</v>
      </c>
      <c r="V28" s="5">
        <f ca="1" t="shared" si="3"/>
        <v>280</v>
      </c>
      <c r="W28" s="1">
        <f ca="1">IF(_xlfn.CEILING.MATH(O28/10)*10=10,0,IFERROR(OFFSET(控制台!$B$1007,MATCH(_xlfn.CEILING.MATH(O28/10-1)*10,控制台!$D$1007:$D$1080,0)-1,0),0))</f>
        <v>3</v>
      </c>
      <c r="X28" s="1">
        <f ca="1">IFERROR(OFFSET(控制台!$B$1007,MATCH(_xlfn.CEILING.MATH(O28/10)*10,控制台!$D$1007:$D$1080,0)-1,0),1)</f>
        <v>4</v>
      </c>
      <c r="Y28" s="5">
        <f ca="1">Lerp_dyy(W28,X28,IF(MOD(O28,10)=0,1,MOD(O28,10)/10))</f>
        <v>3.3</v>
      </c>
    </row>
    <row r="29" spans="2:25">
      <c r="B29" s="1">
        <v>24</v>
      </c>
      <c r="C29" s="1">
        <f>_xlfn.FLOOR.MATH(B29/10+0.9)*10</f>
        <v>30</v>
      </c>
      <c r="D29" s="1">
        <f ca="1">OFFSET(控制台!$C$1099,MATCH(C29,控制台!$B$1099:$B$1118,0)-2,0)*控制台!$E$1092</f>
        <v>6000</v>
      </c>
      <c r="E29" s="1">
        <f ca="1">OFFSET(控制台!$C$1099,MATCH(C29,控制台!$B$1099:$B$1118,0)-1,0)*控制台!$E$1092</f>
        <v>60000</v>
      </c>
      <c r="F29" s="4">
        <f ca="1">_xlfn.FLOOR.MATH(Lerp_dyy(D29,E29,IF(MOD(B29,10)=0,1,MOD(B29,10)/10)),10)</f>
        <v>27600</v>
      </c>
      <c r="G29" s="5">
        <f ca="1" t="shared" si="0"/>
        <v>116900</v>
      </c>
      <c r="H29" s="4">
        <f ca="1">IF(AND(B29&lt;&gt;1,MOD(B29,10)=1),OFFSET(控制台!$E$1099,MATCH(C29,控制台!$B$1099:$B$1118,0)-1,0)*控制台!$E$1093,0)</f>
        <v>0</v>
      </c>
      <c r="I29" s="5">
        <f ca="1" t="shared" si="2"/>
        <v>280</v>
      </c>
      <c r="J29" s="1">
        <f ca="1">IF(_xlfn.CEILING.MATH(B29/10)*10=10,0,IFERROR(OFFSET(控制台!$B$865,MATCH(_xlfn.CEILING.MATH(B29/10-1)*10,控制台!$D$865:$D$936,0)-1,0),0))</f>
        <v>1</v>
      </c>
      <c r="K29" s="1">
        <f ca="1">IFERROR(OFFSET(控制台!$B$865,MATCH(_xlfn.CEILING.MATH(B29/10)*10,控制台!$D$865:$D$936,0)-1,0),1)</f>
        <v>2</v>
      </c>
      <c r="L29" s="5">
        <f ca="1">Lerp_dyy(J29,K29,IF(MOD(B29,10)=0,1,MOD(B29,10)/10))</f>
        <v>1.4</v>
      </c>
      <c r="O29" s="1">
        <v>24</v>
      </c>
      <c r="P29" s="1">
        <f>_xlfn.FLOOR.MATH(O29/10+0.9)*10</f>
        <v>30</v>
      </c>
      <c r="Q29" s="1">
        <f ca="1">OFFSET(控制台!$I$1099,MATCH(P29,控制台!$H$1099:$H$1118,0)-2,0)*控制台!$K$1092</f>
        <v>6000</v>
      </c>
      <c r="R29" s="1">
        <f ca="1">OFFSET(控制台!$I$1099,MATCH(P29,控制台!$H$1099:$H$1118,0)-1,0)*控制台!$K$1092</f>
        <v>60000</v>
      </c>
      <c r="S29" s="4">
        <f ca="1">_xlfn.FLOOR.MATH(Lerp_dyy(Q29,R29,IF(MOD(O29,10)=0,1,MOD(O29,10)/10)),10)</f>
        <v>27600</v>
      </c>
      <c r="T29" s="5">
        <f ca="1" t="shared" si="1"/>
        <v>116900</v>
      </c>
      <c r="U29" s="4">
        <f ca="1">IF(AND(O29&lt;&gt;1,MOD(O29,10)=1),OFFSET(控制台!$K$1099,MATCH(P29,控制台!$H$1099:$H$1118,0)-1,0)*控制台!$K$1093,0)</f>
        <v>0</v>
      </c>
      <c r="V29" s="5">
        <f ca="1" t="shared" si="3"/>
        <v>280</v>
      </c>
      <c r="W29" s="1">
        <f ca="1">IF(_xlfn.CEILING.MATH(O29/10)*10=10,0,IFERROR(OFFSET(控制台!$B$1007,MATCH(_xlfn.CEILING.MATH(O29/10-1)*10,控制台!$D$1007:$D$1080,0)-1,0),0))</f>
        <v>3</v>
      </c>
      <c r="X29" s="1">
        <f ca="1">IFERROR(OFFSET(控制台!$B$1007,MATCH(_xlfn.CEILING.MATH(O29/10)*10,控制台!$D$1007:$D$1080,0)-1,0),1)</f>
        <v>4</v>
      </c>
      <c r="Y29" s="5">
        <f ca="1">Lerp_dyy(W29,X29,IF(MOD(O29,10)=0,1,MOD(O29,10)/10))</f>
        <v>3.4</v>
      </c>
    </row>
    <row r="30" spans="2:25">
      <c r="B30" s="1">
        <v>25</v>
      </c>
      <c r="C30" s="1">
        <f>_xlfn.FLOOR.MATH(B30/10+0.9)*10</f>
        <v>30</v>
      </c>
      <c r="D30" s="1">
        <f ca="1">OFFSET(控制台!$C$1099,MATCH(C30,控制台!$B$1099:$B$1118,0)-2,0)*控制台!$E$1092</f>
        <v>6000</v>
      </c>
      <c r="E30" s="1">
        <f ca="1">OFFSET(控制台!$C$1099,MATCH(C30,控制台!$B$1099:$B$1118,0)-1,0)*控制台!$E$1092</f>
        <v>60000</v>
      </c>
      <c r="F30" s="4">
        <f ca="1">_xlfn.FLOOR.MATH(Lerp_dyy(D30,E30,IF(MOD(B30,10)=0,1,MOD(B30,10)/10)),10)</f>
        <v>33000</v>
      </c>
      <c r="G30" s="5">
        <f ca="1" t="shared" si="0"/>
        <v>149900</v>
      </c>
      <c r="H30" s="4">
        <f ca="1">IF(AND(B30&lt;&gt;1,MOD(B30,10)=1),OFFSET(控制台!$E$1099,MATCH(C30,控制台!$B$1099:$B$1118,0)-1,0)*控制台!$E$1093,0)</f>
        <v>0</v>
      </c>
      <c r="I30" s="5">
        <f ca="1" t="shared" si="2"/>
        <v>280</v>
      </c>
      <c r="J30" s="1">
        <f ca="1">IF(_xlfn.CEILING.MATH(B30/10)*10=10,0,IFERROR(OFFSET(控制台!$B$865,MATCH(_xlfn.CEILING.MATH(B30/10-1)*10,控制台!$D$865:$D$936,0)-1,0),0))</f>
        <v>1</v>
      </c>
      <c r="K30" s="1">
        <f ca="1">IFERROR(OFFSET(控制台!$B$865,MATCH(_xlfn.CEILING.MATH(B30/10)*10,控制台!$D$865:$D$936,0)-1,0),1)</f>
        <v>2</v>
      </c>
      <c r="L30" s="5">
        <f ca="1">Lerp_dyy(J30,K30,IF(MOD(B30,10)=0,1,MOD(B30,10)/10))</f>
        <v>1.5</v>
      </c>
      <c r="O30" s="1">
        <v>25</v>
      </c>
      <c r="P30" s="1">
        <f>_xlfn.FLOOR.MATH(O30/10+0.9)*10</f>
        <v>30</v>
      </c>
      <c r="Q30" s="1">
        <f ca="1">OFFSET(控制台!$I$1099,MATCH(P30,控制台!$H$1099:$H$1118,0)-2,0)*控制台!$K$1092</f>
        <v>6000</v>
      </c>
      <c r="R30" s="1">
        <f ca="1">OFFSET(控制台!$I$1099,MATCH(P30,控制台!$H$1099:$H$1118,0)-1,0)*控制台!$K$1092</f>
        <v>60000</v>
      </c>
      <c r="S30" s="4">
        <f ca="1">_xlfn.FLOOR.MATH(Lerp_dyy(Q30,R30,IF(MOD(O30,10)=0,1,MOD(O30,10)/10)),10)</f>
        <v>33000</v>
      </c>
      <c r="T30" s="5">
        <f ca="1" t="shared" si="1"/>
        <v>149900</v>
      </c>
      <c r="U30" s="4">
        <f ca="1">IF(AND(O30&lt;&gt;1,MOD(O30,10)=1),OFFSET(控制台!$K$1099,MATCH(P30,控制台!$H$1099:$H$1118,0)-1,0)*控制台!$K$1093,0)</f>
        <v>0</v>
      </c>
      <c r="V30" s="5">
        <f ca="1" t="shared" si="3"/>
        <v>280</v>
      </c>
      <c r="W30" s="1">
        <f ca="1">IF(_xlfn.CEILING.MATH(O30/10)*10=10,0,IFERROR(OFFSET(控制台!$B$1007,MATCH(_xlfn.CEILING.MATH(O30/10-1)*10,控制台!$D$1007:$D$1080,0)-1,0),0))</f>
        <v>3</v>
      </c>
      <c r="X30" s="1">
        <f ca="1">IFERROR(OFFSET(控制台!$B$1007,MATCH(_xlfn.CEILING.MATH(O30/10)*10,控制台!$D$1007:$D$1080,0)-1,0),1)</f>
        <v>4</v>
      </c>
      <c r="Y30" s="5">
        <f ca="1">Lerp_dyy(W30,X30,IF(MOD(O30,10)=0,1,MOD(O30,10)/10))</f>
        <v>3.5</v>
      </c>
    </row>
    <row r="31" spans="2:25">
      <c r="B31" s="1">
        <v>26</v>
      </c>
      <c r="C31" s="1">
        <f>_xlfn.FLOOR.MATH(B31/10+0.9)*10</f>
        <v>30</v>
      </c>
      <c r="D31" s="1">
        <f ca="1">OFFSET(控制台!$C$1099,MATCH(C31,控制台!$B$1099:$B$1118,0)-2,0)*控制台!$E$1092</f>
        <v>6000</v>
      </c>
      <c r="E31" s="1">
        <f ca="1">OFFSET(控制台!$C$1099,MATCH(C31,控制台!$B$1099:$B$1118,0)-1,0)*控制台!$E$1092</f>
        <v>60000</v>
      </c>
      <c r="F31" s="4">
        <f ca="1">_xlfn.FLOOR.MATH(Lerp_dyy(D31,E31,IF(MOD(B31,10)=0,1,MOD(B31,10)/10)),10)</f>
        <v>38400</v>
      </c>
      <c r="G31" s="5">
        <f ca="1" t="shared" si="0"/>
        <v>188300</v>
      </c>
      <c r="H31" s="4">
        <f ca="1">IF(AND(B31&lt;&gt;1,MOD(B31,10)=1),OFFSET(控制台!$E$1099,MATCH(C31,控制台!$B$1099:$B$1118,0)-1,0)*控制台!$E$1093,0)</f>
        <v>0</v>
      </c>
      <c r="I31" s="5">
        <f ca="1" t="shared" si="2"/>
        <v>280</v>
      </c>
      <c r="J31" s="1">
        <f ca="1">IF(_xlfn.CEILING.MATH(B31/10)*10=10,0,IFERROR(OFFSET(控制台!$B$865,MATCH(_xlfn.CEILING.MATH(B31/10-1)*10,控制台!$D$865:$D$936,0)-1,0),0))</f>
        <v>1</v>
      </c>
      <c r="K31" s="1">
        <f ca="1">IFERROR(OFFSET(控制台!$B$865,MATCH(_xlfn.CEILING.MATH(B31/10)*10,控制台!$D$865:$D$936,0)-1,0),1)</f>
        <v>2</v>
      </c>
      <c r="L31" s="5">
        <f ca="1">Lerp_dyy(J31,K31,IF(MOD(B31,10)=0,1,MOD(B31,10)/10))</f>
        <v>1.6</v>
      </c>
      <c r="O31" s="1">
        <v>26</v>
      </c>
      <c r="P31" s="1">
        <f>_xlfn.FLOOR.MATH(O31/10+0.9)*10</f>
        <v>30</v>
      </c>
      <c r="Q31" s="1">
        <f ca="1">OFFSET(控制台!$I$1099,MATCH(P31,控制台!$H$1099:$H$1118,0)-2,0)*控制台!$K$1092</f>
        <v>6000</v>
      </c>
      <c r="R31" s="1">
        <f ca="1">OFFSET(控制台!$I$1099,MATCH(P31,控制台!$H$1099:$H$1118,0)-1,0)*控制台!$K$1092</f>
        <v>60000</v>
      </c>
      <c r="S31" s="4">
        <f ca="1">_xlfn.FLOOR.MATH(Lerp_dyy(Q31,R31,IF(MOD(O31,10)=0,1,MOD(O31,10)/10)),10)</f>
        <v>38400</v>
      </c>
      <c r="T31" s="5">
        <f ca="1" t="shared" si="1"/>
        <v>188300</v>
      </c>
      <c r="U31" s="4">
        <f ca="1">IF(AND(O31&lt;&gt;1,MOD(O31,10)=1),OFFSET(控制台!$K$1099,MATCH(P31,控制台!$H$1099:$H$1118,0)-1,0)*控制台!$K$1093,0)</f>
        <v>0</v>
      </c>
      <c r="V31" s="5">
        <f ca="1" t="shared" si="3"/>
        <v>280</v>
      </c>
      <c r="W31" s="1">
        <f ca="1">IF(_xlfn.CEILING.MATH(O31/10)*10=10,0,IFERROR(OFFSET(控制台!$B$1007,MATCH(_xlfn.CEILING.MATH(O31/10-1)*10,控制台!$D$1007:$D$1080,0)-1,0),0))</f>
        <v>3</v>
      </c>
      <c r="X31" s="1">
        <f ca="1">IFERROR(OFFSET(控制台!$B$1007,MATCH(_xlfn.CEILING.MATH(O31/10)*10,控制台!$D$1007:$D$1080,0)-1,0),1)</f>
        <v>4</v>
      </c>
      <c r="Y31" s="5">
        <f ca="1">Lerp_dyy(W31,X31,IF(MOD(O31,10)=0,1,MOD(O31,10)/10))</f>
        <v>3.6</v>
      </c>
    </row>
    <row r="32" spans="2:25">
      <c r="B32" s="1">
        <v>27</v>
      </c>
      <c r="C32" s="1">
        <f>_xlfn.FLOOR.MATH(B32/10+0.9)*10</f>
        <v>30</v>
      </c>
      <c r="D32" s="1">
        <f ca="1">OFFSET(控制台!$C$1099,MATCH(C32,控制台!$B$1099:$B$1118,0)-2,0)*控制台!$E$1092</f>
        <v>6000</v>
      </c>
      <c r="E32" s="1">
        <f ca="1">OFFSET(控制台!$C$1099,MATCH(C32,控制台!$B$1099:$B$1118,0)-1,0)*控制台!$E$1092</f>
        <v>60000</v>
      </c>
      <c r="F32" s="4">
        <f ca="1">_xlfn.FLOOR.MATH(Lerp_dyy(D32,E32,IF(MOD(B32,10)=0,1,MOD(B32,10)/10)),10)</f>
        <v>43800</v>
      </c>
      <c r="G32" s="5">
        <f ca="1" t="shared" si="0"/>
        <v>232100</v>
      </c>
      <c r="H32" s="4">
        <f ca="1">IF(AND(B32&lt;&gt;1,MOD(B32,10)=1),OFFSET(控制台!$E$1099,MATCH(C32,控制台!$B$1099:$B$1118,0)-1,0)*控制台!$E$1093,0)</f>
        <v>0</v>
      </c>
      <c r="I32" s="5">
        <f ca="1" t="shared" si="2"/>
        <v>280</v>
      </c>
      <c r="J32" s="1">
        <f ca="1">IF(_xlfn.CEILING.MATH(B32/10)*10=10,0,IFERROR(OFFSET(控制台!$B$865,MATCH(_xlfn.CEILING.MATH(B32/10-1)*10,控制台!$D$865:$D$936,0)-1,0),0))</f>
        <v>1</v>
      </c>
      <c r="K32" s="1">
        <f ca="1">IFERROR(OFFSET(控制台!$B$865,MATCH(_xlfn.CEILING.MATH(B32/10)*10,控制台!$D$865:$D$936,0)-1,0),1)</f>
        <v>2</v>
      </c>
      <c r="L32" s="5">
        <f ca="1">Lerp_dyy(J32,K32,IF(MOD(B32,10)=0,1,MOD(B32,10)/10))</f>
        <v>1.7</v>
      </c>
      <c r="O32" s="1">
        <v>27</v>
      </c>
      <c r="P32" s="1">
        <f>_xlfn.FLOOR.MATH(O32/10+0.9)*10</f>
        <v>30</v>
      </c>
      <c r="Q32" s="1">
        <f ca="1">OFFSET(控制台!$I$1099,MATCH(P32,控制台!$H$1099:$H$1118,0)-2,0)*控制台!$K$1092</f>
        <v>6000</v>
      </c>
      <c r="R32" s="1">
        <f ca="1">OFFSET(控制台!$I$1099,MATCH(P32,控制台!$H$1099:$H$1118,0)-1,0)*控制台!$K$1092</f>
        <v>60000</v>
      </c>
      <c r="S32" s="4">
        <f ca="1">_xlfn.FLOOR.MATH(Lerp_dyy(Q32,R32,IF(MOD(O32,10)=0,1,MOD(O32,10)/10)),10)</f>
        <v>43800</v>
      </c>
      <c r="T32" s="5">
        <f ca="1" t="shared" si="1"/>
        <v>232100</v>
      </c>
      <c r="U32" s="4">
        <f ca="1">IF(AND(O32&lt;&gt;1,MOD(O32,10)=1),OFFSET(控制台!$K$1099,MATCH(P32,控制台!$H$1099:$H$1118,0)-1,0)*控制台!$K$1093,0)</f>
        <v>0</v>
      </c>
      <c r="V32" s="5">
        <f ca="1" t="shared" si="3"/>
        <v>280</v>
      </c>
      <c r="W32" s="1">
        <f ca="1">IF(_xlfn.CEILING.MATH(O32/10)*10=10,0,IFERROR(OFFSET(控制台!$B$1007,MATCH(_xlfn.CEILING.MATH(O32/10-1)*10,控制台!$D$1007:$D$1080,0)-1,0),0))</f>
        <v>3</v>
      </c>
      <c r="X32" s="1">
        <f ca="1">IFERROR(OFFSET(控制台!$B$1007,MATCH(_xlfn.CEILING.MATH(O32/10)*10,控制台!$D$1007:$D$1080,0)-1,0),1)</f>
        <v>4</v>
      </c>
      <c r="Y32" s="5">
        <f ca="1">Lerp_dyy(W32,X32,IF(MOD(O32,10)=0,1,MOD(O32,10)/10))</f>
        <v>3.7</v>
      </c>
    </row>
    <row r="33" spans="2:25">
      <c r="B33" s="1">
        <v>28</v>
      </c>
      <c r="C33" s="1">
        <f>_xlfn.FLOOR.MATH(B33/10+0.9)*10</f>
        <v>30</v>
      </c>
      <c r="D33" s="1">
        <f ca="1">OFFSET(控制台!$C$1099,MATCH(C33,控制台!$B$1099:$B$1118,0)-2,0)*控制台!$E$1092</f>
        <v>6000</v>
      </c>
      <c r="E33" s="1">
        <f ca="1">OFFSET(控制台!$C$1099,MATCH(C33,控制台!$B$1099:$B$1118,0)-1,0)*控制台!$E$1092</f>
        <v>60000</v>
      </c>
      <c r="F33" s="4">
        <f ca="1">_xlfn.FLOOR.MATH(Lerp_dyy(D33,E33,IF(MOD(B33,10)=0,1,MOD(B33,10)/10)),10)</f>
        <v>49200</v>
      </c>
      <c r="G33" s="5">
        <f ca="1" t="shared" si="0"/>
        <v>281300</v>
      </c>
      <c r="H33" s="4">
        <f ca="1">IF(AND(B33&lt;&gt;1,MOD(B33,10)=1),OFFSET(控制台!$E$1099,MATCH(C33,控制台!$B$1099:$B$1118,0)-1,0)*控制台!$E$1093,0)</f>
        <v>0</v>
      </c>
      <c r="I33" s="5">
        <f ca="1" t="shared" si="2"/>
        <v>280</v>
      </c>
      <c r="J33" s="1">
        <f ca="1">IF(_xlfn.CEILING.MATH(B33/10)*10=10,0,IFERROR(OFFSET(控制台!$B$865,MATCH(_xlfn.CEILING.MATH(B33/10-1)*10,控制台!$D$865:$D$936,0)-1,0),0))</f>
        <v>1</v>
      </c>
      <c r="K33" s="1">
        <f ca="1">IFERROR(OFFSET(控制台!$B$865,MATCH(_xlfn.CEILING.MATH(B33/10)*10,控制台!$D$865:$D$936,0)-1,0),1)</f>
        <v>2</v>
      </c>
      <c r="L33" s="5">
        <f ca="1">Lerp_dyy(J33,K33,IF(MOD(B33,10)=0,1,MOD(B33,10)/10))</f>
        <v>1.8</v>
      </c>
      <c r="O33" s="1">
        <v>28</v>
      </c>
      <c r="P33" s="1">
        <f>_xlfn.FLOOR.MATH(O33/10+0.9)*10</f>
        <v>30</v>
      </c>
      <c r="Q33" s="1">
        <f ca="1">OFFSET(控制台!$I$1099,MATCH(P33,控制台!$H$1099:$H$1118,0)-2,0)*控制台!$K$1092</f>
        <v>6000</v>
      </c>
      <c r="R33" s="1">
        <f ca="1">OFFSET(控制台!$I$1099,MATCH(P33,控制台!$H$1099:$H$1118,0)-1,0)*控制台!$K$1092</f>
        <v>60000</v>
      </c>
      <c r="S33" s="4">
        <f ca="1">_xlfn.FLOOR.MATH(Lerp_dyy(Q33,R33,IF(MOD(O33,10)=0,1,MOD(O33,10)/10)),10)</f>
        <v>49200</v>
      </c>
      <c r="T33" s="5">
        <f ca="1" t="shared" si="1"/>
        <v>281300</v>
      </c>
      <c r="U33" s="4">
        <f ca="1">IF(AND(O33&lt;&gt;1,MOD(O33,10)=1),OFFSET(控制台!$K$1099,MATCH(P33,控制台!$H$1099:$H$1118,0)-1,0)*控制台!$K$1093,0)</f>
        <v>0</v>
      </c>
      <c r="V33" s="5">
        <f ca="1" t="shared" si="3"/>
        <v>280</v>
      </c>
      <c r="W33" s="1">
        <f ca="1">IF(_xlfn.CEILING.MATH(O33/10)*10=10,0,IFERROR(OFFSET(控制台!$B$1007,MATCH(_xlfn.CEILING.MATH(O33/10-1)*10,控制台!$D$1007:$D$1080,0)-1,0),0))</f>
        <v>3</v>
      </c>
      <c r="X33" s="1">
        <f ca="1">IFERROR(OFFSET(控制台!$B$1007,MATCH(_xlfn.CEILING.MATH(O33/10)*10,控制台!$D$1007:$D$1080,0)-1,0),1)</f>
        <v>4</v>
      </c>
      <c r="Y33" s="5">
        <f ca="1">Lerp_dyy(W33,X33,IF(MOD(O33,10)=0,1,MOD(O33,10)/10))</f>
        <v>3.8</v>
      </c>
    </row>
    <row r="34" spans="2:25">
      <c r="B34" s="1">
        <v>29</v>
      </c>
      <c r="C34" s="1">
        <f>_xlfn.FLOOR.MATH(B34/10+0.9)*10</f>
        <v>30</v>
      </c>
      <c r="D34" s="1">
        <f ca="1">OFFSET(控制台!$C$1099,MATCH(C34,控制台!$B$1099:$B$1118,0)-2,0)*控制台!$E$1092</f>
        <v>6000</v>
      </c>
      <c r="E34" s="1">
        <f ca="1">OFFSET(控制台!$C$1099,MATCH(C34,控制台!$B$1099:$B$1118,0)-1,0)*控制台!$E$1092</f>
        <v>60000</v>
      </c>
      <c r="F34" s="4">
        <f ca="1">_xlfn.FLOOR.MATH(Lerp_dyy(D34,E34,IF(MOD(B34,10)=0,1,MOD(B34,10)/10)),10)</f>
        <v>54600</v>
      </c>
      <c r="G34" s="5">
        <f ca="1" t="shared" si="0"/>
        <v>335900</v>
      </c>
      <c r="H34" s="4">
        <f ca="1">IF(AND(B34&lt;&gt;1,MOD(B34,10)=1),OFFSET(控制台!$E$1099,MATCH(C34,控制台!$B$1099:$B$1118,0)-1,0)*控制台!$E$1093,0)</f>
        <v>0</v>
      </c>
      <c r="I34" s="5">
        <f ca="1" t="shared" si="2"/>
        <v>280</v>
      </c>
      <c r="J34" s="1">
        <f ca="1">IF(_xlfn.CEILING.MATH(B34/10)*10=10,0,IFERROR(OFFSET(控制台!$B$865,MATCH(_xlfn.CEILING.MATH(B34/10-1)*10,控制台!$D$865:$D$936,0)-1,0),0))</f>
        <v>1</v>
      </c>
      <c r="K34" s="1">
        <f ca="1">IFERROR(OFFSET(控制台!$B$865,MATCH(_xlfn.CEILING.MATH(B34/10)*10,控制台!$D$865:$D$936,0)-1,0),1)</f>
        <v>2</v>
      </c>
      <c r="L34" s="5">
        <f ca="1">Lerp_dyy(J34,K34,IF(MOD(B34,10)=0,1,MOD(B34,10)/10))</f>
        <v>1.9</v>
      </c>
      <c r="O34" s="1">
        <v>29</v>
      </c>
      <c r="P34" s="1">
        <f>_xlfn.FLOOR.MATH(O34/10+0.9)*10</f>
        <v>30</v>
      </c>
      <c r="Q34" s="1">
        <f ca="1">OFFSET(控制台!$I$1099,MATCH(P34,控制台!$H$1099:$H$1118,0)-2,0)*控制台!$K$1092</f>
        <v>6000</v>
      </c>
      <c r="R34" s="1">
        <f ca="1">OFFSET(控制台!$I$1099,MATCH(P34,控制台!$H$1099:$H$1118,0)-1,0)*控制台!$K$1092</f>
        <v>60000</v>
      </c>
      <c r="S34" s="4">
        <f ca="1">_xlfn.FLOOR.MATH(Lerp_dyy(Q34,R34,IF(MOD(O34,10)=0,1,MOD(O34,10)/10)),10)</f>
        <v>54600</v>
      </c>
      <c r="T34" s="5">
        <f ca="1" t="shared" si="1"/>
        <v>335900</v>
      </c>
      <c r="U34" s="4">
        <f ca="1">IF(AND(O34&lt;&gt;1,MOD(O34,10)=1),OFFSET(控制台!$K$1099,MATCH(P34,控制台!$H$1099:$H$1118,0)-1,0)*控制台!$K$1093,0)</f>
        <v>0</v>
      </c>
      <c r="V34" s="5">
        <f ca="1" t="shared" si="3"/>
        <v>280</v>
      </c>
      <c r="W34" s="1">
        <f ca="1">IF(_xlfn.CEILING.MATH(O34/10)*10=10,0,IFERROR(OFFSET(控制台!$B$1007,MATCH(_xlfn.CEILING.MATH(O34/10-1)*10,控制台!$D$1007:$D$1080,0)-1,0),0))</f>
        <v>3</v>
      </c>
      <c r="X34" s="1">
        <f ca="1">IFERROR(OFFSET(控制台!$B$1007,MATCH(_xlfn.CEILING.MATH(O34/10)*10,控制台!$D$1007:$D$1080,0)-1,0),1)</f>
        <v>4</v>
      </c>
      <c r="Y34" s="5">
        <f ca="1">Lerp_dyy(W34,X34,IF(MOD(O34,10)=0,1,MOD(O34,10)/10))</f>
        <v>3.9</v>
      </c>
    </row>
    <row r="35" spans="2:25">
      <c r="B35" s="1">
        <v>30</v>
      </c>
      <c r="C35" s="1">
        <f>_xlfn.FLOOR.MATH(B35/10+0.9)*10</f>
        <v>30</v>
      </c>
      <c r="D35" s="1">
        <f ca="1">OFFSET(控制台!$C$1099,MATCH(C35,控制台!$B$1099:$B$1118,0)-2,0)*控制台!$E$1092</f>
        <v>6000</v>
      </c>
      <c r="E35" s="1">
        <f ca="1">OFFSET(控制台!$C$1099,MATCH(C35,控制台!$B$1099:$B$1118,0)-1,0)*控制台!$E$1092</f>
        <v>60000</v>
      </c>
      <c r="F35" s="4">
        <f ca="1">_xlfn.FLOOR.MATH(Lerp_dyy(D35,E35,IF(MOD(B35,10)=0,1,MOD(B35,10)/10)),10)</f>
        <v>60000</v>
      </c>
      <c r="G35" s="5">
        <f ca="1" t="shared" si="0"/>
        <v>395900</v>
      </c>
      <c r="H35" s="4">
        <f ca="1">IF(AND(B35&lt;&gt;1,MOD(B35,10)=1),OFFSET(控制台!$E$1099,MATCH(C35,控制台!$B$1099:$B$1118,0)-1,0)*控制台!$E$1093,0)</f>
        <v>0</v>
      </c>
      <c r="I35" s="5">
        <f ca="1" t="shared" si="2"/>
        <v>280</v>
      </c>
      <c r="J35" s="1">
        <f ca="1">IF(_xlfn.CEILING.MATH(B35/10)*10=10,0,IFERROR(OFFSET(控制台!$B$865,MATCH(_xlfn.CEILING.MATH(B35/10-1)*10,控制台!$D$865:$D$936,0)-1,0),0))</f>
        <v>1</v>
      </c>
      <c r="K35" s="1">
        <f ca="1">IFERROR(OFFSET(控制台!$B$865,MATCH(_xlfn.CEILING.MATH(B35/10)*10,控制台!$D$865:$D$936,0)-1,0),1)</f>
        <v>2</v>
      </c>
      <c r="L35" s="5">
        <f ca="1">Lerp_dyy(J35,K35,IF(MOD(B35,10)=0,1,MOD(B35,10)/10))</f>
        <v>2</v>
      </c>
      <c r="O35" s="1">
        <v>30</v>
      </c>
      <c r="P35" s="1">
        <f>_xlfn.FLOOR.MATH(O35/10+0.9)*10</f>
        <v>30</v>
      </c>
      <c r="Q35" s="1">
        <f ca="1">OFFSET(控制台!$I$1099,MATCH(P35,控制台!$H$1099:$H$1118,0)-2,0)*控制台!$K$1092</f>
        <v>6000</v>
      </c>
      <c r="R35" s="1">
        <f ca="1">OFFSET(控制台!$I$1099,MATCH(P35,控制台!$H$1099:$H$1118,0)-1,0)*控制台!$K$1092</f>
        <v>60000</v>
      </c>
      <c r="S35" s="4">
        <f ca="1">_xlfn.FLOOR.MATH(Lerp_dyy(Q35,R35,IF(MOD(O35,10)=0,1,MOD(O35,10)/10)),10)</f>
        <v>60000</v>
      </c>
      <c r="T35" s="5">
        <f ca="1" t="shared" si="1"/>
        <v>395900</v>
      </c>
      <c r="U35" s="4">
        <f ca="1">IF(AND(O35&lt;&gt;1,MOD(O35,10)=1),OFFSET(控制台!$K$1099,MATCH(P35,控制台!$H$1099:$H$1118,0)-1,0)*控制台!$K$1093,0)</f>
        <v>0</v>
      </c>
      <c r="V35" s="5">
        <f ca="1" t="shared" si="3"/>
        <v>280</v>
      </c>
      <c r="W35" s="1">
        <f ca="1">IF(_xlfn.CEILING.MATH(O35/10)*10=10,0,IFERROR(OFFSET(控制台!$B$1007,MATCH(_xlfn.CEILING.MATH(O35/10-1)*10,控制台!$D$1007:$D$1080,0)-1,0),0))</f>
        <v>3</v>
      </c>
      <c r="X35" s="1">
        <f ca="1">IFERROR(OFFSET(控制台!$B$1007,MATCH(_xlfn.CEILING.MATH(O35/10)*10,控制台!$D$1007:$D$1080,0)-1,0),1)</f>
        <v>4</v>
      </c>
      <c r="Y35" s="5">
        <f ca="1">Lerp_dyy(W35,X35,IF(MOD(O35,10)=0,1,MOD(O35,10)/10))</f>
        <v>4</v>
      </c>
    </row>
    <row r="36" s="15" customFormat="1" spans="2:25">
      <c r="B36" s="15">
        <v>31</v>
      </c>
      <c r="C36" s="15">
        <f>_xlfn.FLOOR.MATH(B36/10+0.9)*10</f>
        <v>40</v>
      </c>
      <c r="D36" s="15">
        <f ca="1">OFFSET(控制台!$C$1099,MATCH(C36,控制台!$B$1099:$B$1118,0)-2,0)*控制台!$E$1092</f>
        <v>60000</v>
      </c>
      <c r="E36" s="15">
        <f ca="1">OFFSET(控制台!$C$1099,MATCH(C36,控制台!$B$1099:$B$1118,0)-1,0)*控制台!$E$1092</f>
        <v>180000</v>
      </c>
      <c r="F36" s="16">
        <f ca="1">_xlfn.FLOOR.MATH(Lerp_dyy(D36,E36,IF(MOD(B36,10)=0,1,MOD(B36,10)/10)),10)</f>
        <v>72000</v>
      </c>
      <c r="G36" s="17">
        <f ca="1" t="shared" si="0"/>
        <v>467900</v>
      </c>
      <c r="H36" s="16">
        <f ca="1">IF(AND(B36&lt;&gt;1,MOD(B36,10)=1),OFFSET(控制台!$E$1099,MATCH(C36,控制台!$B$1099:$B$1118,0)-1,0)*控制台!$E$1093,0)</f>
        <v>800</v>
      </c>
      <c r="I36" s="17">
        <f ca="1" t="shared" si="2"/>
        <v>1080</v>
      </c>
      <c r="J36" s="15">
        <f ca="1">IF(_xlfn.CEILING.MATH(B36/10)*10=10,0,IFERROR(OFFSET(控制台!$B$865,MATCH(_xlfn.CEILING.MATH(B36/10-1)*10,控制台!$D$865:$D$936,0)-1,0),0))</f>
        <v>2</v>
      </c>
      <c r="K36" s="15">
        <f ca="1">IFERROR(OFFSET(控制台!$B$865,MATCH(_xlfn.CEILING.MATH(B36/10)*10,控制台!$D$865:$D$936,0)-1,0),1)</f>
        <v>3</v>
      </c>
      <c r="L36" s="17">
        <f ca="1">Lerp_dyy(J36,K36,IF(MOD(B36,10)=0,1,MOD(B36,10)/10))</f>
        <v>2.1</v>
      </c>
      <c r="O36" s="15">
        <v>31</v>
      </c>
      <c r="P36" s="1">
        <f>_xlfn.FLOOR.MATH(O36/10+0.9)*10</f>
        <v>40</v>
      </c>
      <c r="Q36" s="1">
        <f ca="1">OFFSET(控制台!$I$1099,MATCH(P36,控制台!$H$1099:$H$1118,0)-2,0)*控制台!$K$1092</f>
        <v>60000</v>
      </c>
      <c r="R36" s="1">
        <f ca="1">OFFSET(控制台!$I$1099,MATCH(P36,控制台!$H$1099:$H$1118,0)-1,0)*控制台!$K$1092</f>
        <v>180000</v>
      </c>
      <c r="S36" s="16">
        <f ca="1">_xlfn.FLOOR.MATH(Lerp_dyy(Q36,R36,IF(MOD(O36,10)=0,1,MOD(O36,10)/10)),10)</f>
        <v>72000</v>
      </c>
      <c r="T36" s="17">
        <f ca="1" t="shared" si="1"/>
        <v>467900</v>
      </c>
      <c r="U36" s="4">
        <f ca="1">IF(AND(O36&lt;&gt;1,MOD(O36,10)=1),OFFSET(控制台!$K$1099,MATCH(P36,控制台!$H$1099:$H$1118,0)-1,0)*控制台!$K$1093,0)</f>
        <v>800</v>
      </c>
      <c r="V36" s="17">
        <f ca="1" t="shared" si="3"/>
        <v>1080</v>
      </c>
      <c r="W36" s="1">
        <f ca="1">IF(_xlfn.CEILING.MATH(O36/10)*10=10,0,IFERROR(OFFSET(控制台!$B$1007,MATCH(_xlfn.CEILING.MATH(O36/10-1)*10,控制台!$D$1007:$D$1080,0)-1,0),0))</f>
        <v>4</v>
      </c>
      <c r="X36" s="1">
        <f ca="1">IFERROR(OFFSET(控制台!$B$1007,MATCH(_xlfn.CEILING.MATH(O36/10)*10,控制台!$D$1007:$D$1080,0)-1,0),1)</f>
        <v>7</v>
      </c>
      <c r="Y36" s="17">
        <f ca="1">Lerp_dyy(W36,X36,IF(MOD(O36,10)=0,1,MOD(O36,10)/10))</f>
        <v>4.3</v>
      </c>
    </row>
    <row r="37" s="15" customFormat="1" spans="2:25">
      <c r="B37" s="15">
        <v>32</v>
      </c>
      <c r="C37" s="15">
        <f>_xlfn.FLOOR.MATH(B37/10+0.9)*10</f>
        <v>40</v>
      </c>
      <c r="D37" s="15">
        <f ca="1">OFFSET(控制台!$C$1099,MATCH(C37,控制台!$B$1099:$B$1118,0)-2,0)*控制台!$E$1092</f>
        <v>60000</v>
      </c>
      <c r="E37" s="15">
        <f ca="1">OFFSET(控制台!$C$1099,MATCH(C37,控制台!$B$1099:$B$1118,0)-1,0)*控制台!$E$1092</f>
        <v>180000</v>
      </c>
      <c r="F37" s="16">
        <f ca="1">_xlfn.FLOOR.MATH(Lerp_dyy(D37,E37,IF(MOD(B37,10)=0,1,MOD(B37,10)/10)),10)</f>
        <v>84000</v>
      </c>
      <c r="G37" s="17">
        <f ca="1" t="shared" si="0"/>
        <v>551900</v>
      </c>
      <c r="H37" s="16">
        <f ca="1">IF(AND(B37&lt;&gt;1,MOD(B37,10)=1),OFFSET(控制台!$E$1099,MATCH(C37,控制台!$B$1099:$B$1118,0)-1,0)*控制台!$E$1093,0)</f>
        <v>0</v>
      </c>
      <c r="I37" s="17">
        <f ca="1" t="shared" si="2"/>
        <v>1080</v>
      </c>
      <c r="J37" s="15">
        <f ca="1">IF(_xlfn.CEILING.MATH(B37/10)*10=10,0,IFERROR(OFFSET(控制台!$B$865,MATCH(_xlfn.CEILING.MATH(B37/10-1)*10,控制台!$D$865:$D$936,0)-1,0),0))</f>
        <v>2</v>
      </c>
      <c r="K37" s="15">
        <f ca="1">IFERROR(OFFSET(控制台!$B$865,MATCH(_xlfn.CEILING.MATH(B37/10)*10,控制台!$D$865:$D$936,0)-1,0),1)</f>
        <v>3</v>
      </c>
      <c r="L37" s="17">
        <f ca="1">Lerp_dyy(J37,K37,IF(MOD(B37,10)=0,1,MOD(B37,10)/10))</f>
        <v>2.2</v>
      </c>
      <c r="O37" s="15">
        <v>32</v>
      </c>
      <c r="P37" s="1">
        <f>_xlfn.FLOOR.MATH(O37/10+0.9)*10</f>
        <v>40</v>
      </c>
      <c r="Q37" s="1">
        <f ca="1">OFFSET(控制台!$I$1099,MATCH(P37,控制台!$H$1099:$H$1118,0)-2,0)*控制台!$K$1092</f>
        <v>60000</v>
      </c>
      <c r="R37" s="1">
        <f ca="1">OFFSET(控制台!$I$1099,MATCH(P37,控制台!$H$1099:$H$1118,0)-1,0)*控制台!$K$1092</f>
        <v>180000</v>
      </c>
      <c r="S37" s="16">
        <f ca="1">_xlfn.FLOOR.MATH(Lerp_dyy(Q37,R37,IF(MOD(O37,10)=0,1,MOD(O37,10)/10)),10)</f>
        <v>84000</v>
      </c>
      <c r="T37" s="17">
        <f ca="1" t="shared" si="1"/>
        <v>551900</v>
      </c>
      <c r="U37" s="4">
        <f ca="1">IF(AND(O37&lt;&gt;1,MOD(O37,10)=1),OFFSET(控制台!$K$1099,MATCH(P37,控制台!$H$1099:$H$1118,0)-1,0)*控制台!$K$1093,0)</f>
        <v>0</v>
      </c>
      <c r="V37" s="17">
        <f ca="1" t="shared" si="3"/>
        <v>1080</v>
      </c>
      <c r="W37" s="1">
        <f ca="1">IF(_xlfn.CEILING.MATH(O37/10)*10=10,0,IFERROR(OFFSET(控制台!$B$1007,MATCH(_xlfn.CEILING.MATH(O37/10-1)*10,控制台!$D$1007:$D$1080,0)-1,0),0))</f>
        <v>4</v>
      </c>
      <c r="X37" s="1">
        <f ca="1">IFERROR(OFFSET(控制台!$B$1007,MATCH(_xlfn.CEILING.MATH(O37/10)*10,控制台!$D$1007:$D$1080,0)-1,0),1)</f>
        <v>7</v>
      </c>
      <c r="Y37" s="17">
        <f ca="1">Lerp_dyy(W37,X37,IF(MOD(O37,10)=0,1,MOD(O37,10)/10))</f>
        <v>4.6</v>
      </c>
    </row>
    <row r="38" s="15" customFormat="1" spans="2:25">
      <c r="B38" s="15">
        <v>33</v>
      </c>
      <c r="C38" s="15">
        <f>_xlfn.FLOOR.MATH(B38/10+0.9)*10</f>
        <v>40</v>
      </c>
      <c r="D38" s="15">
        <f ca="1">OFFSET(控制台!$C$1099,MATCH(C38,控制台!$B$1099:$B$1118,0)-2,0)*控制台!$E$1092</f>
        <v>60000</v>
      </c>
      <c r="E38" s="15">
        <f ca="1">OFFSET(控制台!$C$1099,MATCH(C38,控制台!$B$1099:$B$1118,0)-1,0)*控制台!$E$1092</f>
        <v>180000</v>
      </c>
      <c r="F38" s="16">
        <f ca="1">_xlfn.FLOOR.MATH(Lerp_dyy(D38,E38,IF(MOD(B38,10)=0,1,MOD(B38,10)/10)),10)</f>
        <v>96000</v>
      </c>
      <c r="G38" s="17">
        <f ca="1" t="shared" si="0"/>
        <v>647900</v>
      </c>
      <c r="H38" s="16">
        <f ca="1">IF(AND(B38&lt;&gt;1,MOD(B38,10)=1),OFFSET(控制台!$E$1099,MATCH(C38,控制台!$B$1099:$B$1118,0)-1,0)*控制台!$E$1093,0)</f>
        <v>0</v>
      </c>
      <c r="I38" s="17">
        <f ca="1" t="shared" si="2"/>
        <v>1080</v>
      </c>
      <c r="J38" s="15">
        <f ca="1">IF(_xlfn.CEILING.MATH(B38/10)*10=10,0,IFERROR(OFFSET(控制台!$B$865,MATCH(_xlfn.CEILING.MATH(B38/10-1)*10,控制台!$D$865:$D$936,0)-1,0),0))</f>
        <v>2</v>
      </c>
      <c r="K38" s="15">
        <f ca="1">IFERROR(OFFSET(控制台!$B$865,MATCH(_xlfn.CEILING.MATH(B38/10)*10,控制台!$D$865:$D$936,0)-1,0),1)</f>
        <v>3</v>
      </c>
      <c r="L38" s="17">
        <f ca="1">Lerp_dyy(J38,K38,IF(MOD(B38,10)=0,1,MOD(B38,10)/10))</f>
        <v>2.3</v>
      </c>
      <c r="O38" s="15">
        <v>33</v>
      </c>
      <c r="P38" s="1">
        <f>_xlfn.FLOOR.MATH(O38/10+0.9)*10</f>
        <v>40</v>
      </c>
      <c r="Q38" s="1">
        <f ca="1">OFFSET(控制台!$I$1099,MATCH(P38,控制台!$H$1099:$H$1118,0)-2,0)*控制台!$K$1092</f>
        <v>60000</v>
      </c>
      <c r="R38" s="1">
        <f ca="1">OFFSET(控制台!$I$1099,MATCH(P38,控制台!$H$1099:$H$1118,0)-1,0)*控制台!$K$1092</f>
        <v>180000</v>
      </c>
      <c r="S38" s="16">
        <f ca="1">_xlfn.FLOOR.MATH(Lerp_dyy(Q38,R38,IF(MOD(O38,10)=0,1,MOD(O38,10)/10)),10)</f>
        <v>96000</v>
      </c>
      <c r="T38" s="17">
        <f ca="1" t="shared" si="1"/>
        <v>647900</v>
      </c>
      <c r="U38" s="4">
        <f ca="1">IF(AND(O38&lt;&gt;1,MOD(O38,10)=1),OFFSET(控制台!$K$1099,MATCH(P38,控制台!$H$1099:$H$1118,0)-1,0)*控制台!$K$1093,0)</f>
        <v>0</v>
      </c>
      <c r="V38" s="17">
        <f ca="1" t="shared" si="3"/>
        <v>1080</v>
      </c>
      <c r="W38" s="1">
        <f ca="1">IF(_xlfn.CEILING.MATH(O38/10)*10=10,0,IFERROR(OFFSET(控制台!$B$1007,MATCH(_xlfn.CEILING.MATH(O38/10-1)*10,控制台!$D$1007:$D$1080,0)-1,0),0))</f>
        <v>4</v>
      </c>
      <c r="X38" s="1">
        <f ca="1">IFERROR(OFFSET(控制台!$B$1007,MATCH(_xlfn.CEILING.MATH(O38/10)*10,控制台!$D$1007:$D$1080,0)-1,0),1)</f>
        <v>7</v>
      </c>
      <c r="Y38" s="17">
        <f ca="1">Lerp_dyy(W38,X38,IF(MOD(O38,10)=0,1,MOD(O38,10)/10))</f>
        <v>4.9</v>
      </c>
    </row>
    <row r="39" s="15" customFormat="1" spans="2:25">
      <c r="B39" s="15">
        <v>34</v>
      </c>
      <c r="C39" s="15">
        <f>_xlfn.FLOOR.MATH(B39/10+0.9)*10</f>
        <v>40</v>
      </c>
      <c r="D39" s="15">
        <f ca="1">OFFSET(控制台!$C$1099,MATCH(C39,控制台!$B$1099:$B$1118,0)-2,0)*控制台!$E$1092</f>
        <v>60000</v>
      </c>
      <c r="E39" s="15">
        <f ca="1">OFFSET(控制台!$C$1099,MATCH(C39,控制台!$B$1099:$B$1118,0)-1,0)*控制台!$E$1092</f>
        <v>180000</v>
      </c>
      <c r="F39" s="16">
        <f ca="1">_xlfn.FLOOR.MATH(Lerp_dyy(D39,E39,IF(MOD(B39,10)=0,1,MOD(B39,10)/10)),10)</f>
        <v>108000</v>
      </c>
      <c r="G39" s="17">
        <f ca="1" t="shared" ref="G39:G70" si="4">G38+F39</f>
        <v>755900</v>
      </c>
      <c r="H39" s="16">
        <f ca="1">IF(AND(B39&lt;&gt;1,MOD(B39,10)=1),OFFSET(控制台!$E$1099,MATCH(C39,控制台!$B$1099:$B$1118,0)-1,0)*控制台!$E$1093,0)</f>
        <v>0</v>
      </c>
      <c r="I39" s="17">
        <f ca="1" t="shared" si="2"/>
        <v>1080</v>
      </c>
      <c r="J39" s="15">
        <f ca="1">IF(_xlfn.CEILING.MATH(B39/10)*10=10,0,IFERROR(OFFSET(控制台!$B$865,MATCH(_xlfn.CEILING.MATH(B39/10-1)*10,控制台!$D$865:$D$936,0)-1,0),0))</f>
        <v>2</v>
      </c>
      <c r="K39" s="15">
        <f ca="1">IFERROR(OFFSET(控制台!$B$865,MATCH(_xlfn.CEILING.MATH(B39/10)*10,控制台!$D$865:$D$936,0)-1,0),1)</f>
        <v>3</v>
      </c>
      <c r="L39" s="17">
        <f ca="1">Lerp_dyy(J39,K39,IF(MOD(B39,10)=0,1,MOD(B39,10)/10))</f>
        <v>2.4</v>
      </c>
      <c r="O39" s="15">
        <v>34</v>
      </c>
      <c r="P39" s="1">
        <f>_xlfn.FLOOR.MATH(O39/10+0.9)*10</f>
        <v>40</v>
      </c>
      <c r="Q39" s="1">
        <f ca="1">OFFSET(控制台!$I$1099,MATCH(P39,控制台!$H$1099:$H$1118,0)-2,0)*控制台!$K$1092</f>
        <v>60000</v>
      </c>
      <c r="R39" s="1">
        <f ca="1">OFFSET(控制台!$I$1099,MATCH(P39,控制台!$H$1099:$H$1118,0)-1,0)*控制台!$K$1092</f>
        <v>180000</v>
      </c>
      <c r="S39" s="16">
        <f ca="1">_xlfn.FLOOR.MATH(Lerp_dyy(Q39,R39,IF(MOD(O39,10)=0,1,MOD(O39,10)/10)),10)</f>
        <v>108000</v>
      </c>
      <c r="T39" s="17">
        <f ca="1" t="shared" si="1"/>
        <v>755900</v>
      </c>
      <c r="U39" s="4">
        <f ca="1">IF(AND(O39&lt;&gt;1,MOD(O39,10)=1),OFFSET(控制台!$K$1099,MATCH(P39,控制台!$H$1099:$H$1118,0)-1,0)*控制台!$K$1093,0)</f>
        <v>0</v>
      </c>
      <c r="V39" s="17">
        <f ca="1" t="shared" si="3"/>
        <v>1080</v>
      </c>
      <c r="W39" s="1">
        <f ca="1">IF(_xlfn.CEILING.MATH(O39/10)*10=10,0,IFERROR(OFFSET(控制台!$B$1007,MATCH(_xlfn.CEILING.MATH(O39/10-1)*10,控制台!$D$1007:$D$1080,0)-1,0),0))</f>
        <v>4</v>
      </c>
      <c r="X39" s="1">
        <f ca="1">IFERROR(OFFSET(控制台!$B$1007,MATCH(_xlfn.CEILING.MATH(O39/10)*10,控制台!$D$1007:$D$1080,0)-1,0),1)</f>
        <v>7</v>
      </c>
      <c r="Y39" s="17">
        <f ca="1">Lerp_dyy(W39,X39,IF(MOD(O39,10)=0,1,MOD(O39,10)/10))</f>
        <v>5.2</v>
      </c>
    </row>
    <row r="40" s="15" customFormat="1" spans="2:25">
      <c r="B40" s="15">
        <v>35</v>
      </c>
      <c r="C40" s="15">
        <f>_xlfn.FLOOR.MATH(B40/10+0.9)*10</f>
        <v>40</v>
      </c>
      <c r="D40" s="15">
        <f ca="1">OFFSET(控制台!$C$1099,MATCH(C40,控制台!$B$1099:$B$1118,0)-2,0)*控制台!$E$1092</f>
        <v>60000</v>
      </c>
      <c r="E40" s="15">
        <f ca="1">OFFSET(控制台!$C$1099,MATCH(C40,控制台!$B$1099:$B$1118,0)-1,0)*控制台!$E$1092</f>
        <v>180000</v>
      </c>
      <c r="F40" s="16">
        <f ca="1">_xlfn.FLOOR.MATH(Lerp_dyy(D40,E40,IF(MOD(B40,10)=0,1,MOD(B40,10)/10)),10)</f>
        <v>120000</v>
      </c>
      <c r="G40" s="17">
        <f ca="1" t="shared" si="4"/>
        <v>875900</v>
      </c>
      <c r="H40" s="16">
        <f ca="1">IF(AND(B40&lt;&gt;1,MOD(B40,10)=1),OFFSET(控制台!$E$1099,MATCH(C40,控制台!$B$1099:$B$1118,0)-1,0)*控制台!$E$1093,0)</f>
        <v>0</v>
      </c>
      <c r="I40" s="17">
        <f ca="1" t="shared" si="2"/>
        <v>1080</v>
      </c>
      <c r="J40" s="15">
        <f ca="1">IF(_xlfn.CEILING.MATH(B40/10)*10=10,0,IFERROR(OFFSET(控制台!$B$865,MATCH(_xlfn.CEILING.MATH(B40/10-1)*10,控制台!$D$865:$D$936,0)-1,0),0))</f>
        <v>2</v>
      </c>
      <c r="K40" s="15">
        <f ca="1">IFERROR(OFFSET(控制台!$B$865,MATCH(_xlfn.CEILING.MATH(B40/10)*10,控制台!$D$865:$D$936,0)-1,0),1)</f>
        <v>3</v>
      </c>
      <c r="L40" s="17">
        <f ca="1">Lerp_dyy(J40,K40,IF(MOD(B40,10)=0,1,MOD(B40,10)/10))</f>
        <v>2.5</v>
      </c>
      <c r="O40" s="15">
        <v>35</v>
      </c>
      <c r="P40" s="1">
        <f>_xlfn.FLOOR.MATH(O40/10+0.9)*10</f>
        <v>40</v>
      </c>
      <c r="Q40" s="1">
        <f ca="1">OFFSET(控制台!$I$1099,MATCH(P40,控制台!$H$1099:$H$1118,0)-2,0)*控制台!$K$1092</f>
        <v>60000</v>
      </c>
      <c r="R40" s="1">
        <f ca="1">OFFSET(控制台!$I$1099,MATCH(P40,控制台!$H$1099:$H$1118,0)-1,0)*控制台!$K$1092</f>
        <v>180000</v>
      </c>
      <c r="S40" s="16">
        <f ca="1">_xlfn.FLOOR.MATH(Lerp_dyy(Q40,R40,IF(MOD(O40,10)=0,1,MOD(O40,10)/10)),10)</f>
        <v>120000</v>
      </c>
      <c r="T40" s="17">
        <f ca="1" t="shared" si="1"/>
        <v>875900</v>
      </c>
      <c r="U40" s="4">
        <f ca="1">IF(AND(O40&lt;&gt;1,MOD(O40,10)=1),OFFSET(控制台!$K$1099,MATCH(P40,控制台!$H$1099:$H$1118,0)-1,0)*控制台!$K$1093,0)</f>
        <v>0</v>
      </c>
      <c r="V40" s="17">
        <f ca="1" t="shared" si="3"/>
        <v>1080</v>
      </c>
      <c r="W40" s="1">
        <f ca="1">IF(_xlfn.CEILING.MATH(O40/10)*10=10,0,IFERROR(OFFSET(控制台!$B$1007,MATCH(_xlfn.CEILING.MATH(O40/10-1)*10,控制台!$D$1007:$D$1080,0)-1,0),0))</f>
        <v>4</v>
      </c>
      <c r="X40" s="1">
        <f ca="1">IFERROR(OFFSET(控制台!$B$1007,MATCH(_xlfn.CEILING.MATH(O40/10)*10,控制台!$D$1007:$D$1080,0)-1,0),1)</f>
        <v>7</v>
      </c>
      <c r="Y40" s="17">
        <f ca="1">Lerp_dyy(W40,X40,IF(MOD(O40,10)=0,1,MOD(O40,10)/10))</f>
        <v>5.5</v>
      </c>
    </row>
    <row r="41" s="15" customFormat="1" spans="2:25">
      <c r="B41" s="15">
        <v>36</v>
      </c>
      <c r="C41" s="15">
        <f>_xlfn.FLOOR.MATH(B41/10+0.9)*10</f>
        <v>40</v>
      </c>
      <c r="D41" s="15">
        <f ca="1">OFFSET(控制台!$C$1099,MATCH(C41,控制台!$B$1099:$B$1118,0)-2,0)*控制台!$E$1092</f>
        <v>60000</v>
      </c>
      <c r="E41" s="15">
        <f ca="1">OFFSET(控制台!$C$1099,MATCH(C41,控制台!$B$1099:$B$1118,0)-1,0)*控制台!$E$1092</f>
        <v>180000</v>
      </c>
      <c r="F41" s="16">
        <f ca="1">_xlfn.FLOOR.MATH(Lerp_dyy(D41,E41,IF(MOD(B41,10)=0,1,MOD(B41,10)/10)),10)</f>
        <v>132000</v>
      </c>
      <c r="G41" s="17">
        <f ca="1" t="shared" si="4"/>
        <v>1007900</v>
      </c>
      <c r="H41" s="16">
        <f ca="1">IF(AND(B41&lt;&gt;1,MOD(B41,10)=1),OFFSET(控制台!$E$1099,MATCH(C41,控制台!$B$1099:$B$1118,0)-1,0)*控制台!$E$1093,0)</f>
        <v>0</v>
      </c>
      <c r="I41" s="17">
        <f ca="1" t="shared" si="2"/>
        <v>1080</v>
      </c>
      <c r="J41" s="15">
        <f ca="1">IF(_xlfn.CEILING.MATH(B41/10)*10=10,0,IFERROR(OFFSET(控制台!$B$865,MATCH(_xlfn.CEILING.MATH(B41/10-1)*10,控制台!$D$865:$D$936,0)-1,0),0))</f>
        <v>2</v>
      </c>
      <c r="K41" s="15">
        <f ca="1">IFERROR(OFFSET(控制台!$B$865,MATCH(_xlfn.CEILING.MATH(B41/10)*10,控制台!$D$865:$D$936,0)-1,0),1)</f>
        <v>3</v>
      </c>
      <c r="L41" s="17">
        <f ca="1">Lerp_dyy(J41,K41,IF(MOD(B41,10)=0,1,MOD(B41,10)/10))</f>
        <v>2.6</v>
      </c>
      <c r="O41" s="15">
        <v>36</v>
      </c>
      <c r="P41" s="1">
        <f>_xlfn.FLOOR.MATH(O41/10+0.9)*10</f>
        <v>40</v>
      </c>
      <c r="Q41" s="1">
        <f ca="1">OFFSET(控制台!$I$1099,MATCH(P41,控制台!$H$1099:$H$1118,0)-2,0)*控制台!$K$1092</f>
        <v>60000</v>
      </c>
      <c r="R41" s="1">
        <f ca="1">OFFSET(控制台!$I$1099,MATCH(P41,控制台!$H$1099:$H$1118,0)-1,0)*控制台!$K$1092</f>
        <v>180000</v>
      </c>
      <c r="S41" s="16">
        <f ca="1">_xlfn.FLOOR.MATH(Lerp_dyy(Q41,R41,IF(MOD(O41,10)=0,1,MOD(O41,10)/10)),10)</f>
        <v>132000</v>
      </c>
      <c r="T41" s="17">
        <f ca="1" t="shared" si="1"/>
        <v>1007900</v>
      </c>
      <c r="U41" s="4">
        <f ca="1">IF(AND(O41&lt;&gt;1,MOD(O41,10)=1),OFFSET(控制台!$K$1099,MATCH(P41,控制台!$H$1099:$H$1118,0)-1,0)*控制台!$K$1093,0)</f>
        <v>0</v>
      </c>
      <c r="V41" s="17">
        <f ca="1" t="shared" si="3"/>
        <v>1080</v>
      </c>
      <c r="W41" s="1">
        <f ca="1">IF(_xlfn.CEILING.MATH(O41/10)*10=10,0,IFERROR(OFFSET(控制台!$B$1007,MATCH(_xlfn.CEILING.MATH(O41/10-1)*10,控制台!$D$1007:$D$1080,0)-1,0),0))</f>
        <v>4</v>
      </c>
      <c r="X41" s="1">
        <f ca="1">IFERROR(OFFSET(控制台!$B$1007,MATCH(_xlfn.CEILING.MATH(O41/10)*10,控制台!$D$1007:$D$1080,0)-1,0),1)</f>
        <v>7</v>
      </c>
      <c r="Y41" s="17">
        <f ca="1">Lerp_dyy(W41,X41,IF(MOD(O41,10)=0,1,MOD(O41,10)/10))</f>
        <v>5.8</v>
      </c>
    </row>
    <row r="42" s="15" customFormat="1" spans="2:25">
      <c r="B42" s="15">
        <v>37</v>
      </c>
      <c r="C42" s="15">
        <f>_xlfn.FLOOR.MATH(B42/10+0.9)*10</f>
        <v>40</v>
      </c>
      <c r="D42" s="15">
        <f ca="1">OFFSET(控制台!$C$1099,MATCH(C42,控制台!$B$1099:$B$1118,0)-2,0)*控制台!$E$1092</f>
        <v>60000</v>
      </c>
      <c r="E42" s="15">
        <f ca="1">OFFSET(控制台!$C$1099,MATCH(C42,控制台!$B$1099:$B$1118,0)-1,0)*控制台!$E$1092</f>
        <v>180000</v>
      </c>
      <c r="F42" s="16">
        <f ca="1">_xlfn.FLOOR.MATH(Lerp_dyy(D42,E42,IF(MOD(B42,10)=0,1,MOD(B42,10)/10)),10)</f>
        <v>144000</v>
      </c>
      <c r="G42" s="17">
        <f ca="1" t="shared" si="4"/>
        <v>1151900</v>
      </c>
      <c r="H42" s="16">
        <f ca="1">IF(AND(B42&lt;&gt;1,MOD(B42,10)=1),OFFSET(控制台!$E$1099,MATCH(C42,控制台!$B$1099:$B$1118,0)-1,0)*控制台!$E$1093,0)</f>
        <v>0</v>
      </c>
      <c r="I42" s="17">
        <f ca="1" t="shared" si="2"/>
        <v>1080</v>
      </c>
      <c r="J42" s="15">
        <f ca="1">IF(_xlfn.CEILING.MATH(B42/10)*10=10,0,IFERROR(OFFSET(控制台!$B$865,MATCH(_xlfn.CEILING.MATH(B42/10-1)*10,控制台!$D$865:$D$936,0)-1,0),0))</f>
        <v>2</v>
      </c>
      <c r="K42" s="15">
        <f ca="1">IFERROR(OFFSET(控制台!$B$865,MATCH(_xlfn.CEILING.MATH(B42/10)*10,控制台!$D$865:$D$936,0)-1,0),1)</f>
        <v>3</v>
      </c>
      <c r="L42" s="17">
        <f ca="1">Lerp_dyy(J42,K42,IF(MOD(B42,10)=0,1,MOD(B42,10)/10))</f>
        <v>2.7</v>
      </c>
      <c r="O42" s="15">
        <v>37</v>
      </c>
      <c r="P42" s="1">
        <f>_xlfn.FLOOR.MATH(O42/10+0.9)*10</f>
        <v>40</v>
      </c>
      <c r="Q42" s="1">
        <f ca="1">OFFSET(控制台!$I$1099,MATCH(P42,控制台!$H$1099:$H$1118,0)-2,0)*控制台!$K$1092</f>
        <v>60000</v>
      </c>
      <c r="R42" s="1">
        <f ca="1">OFFSET(控制台!$I$1099,MATCH(P42,控制台!$H$1099:$H$1118,0)-1,0)*控制台!$K$1092</f>
        <v>180000</v>
      </c>
      <c r="S42" s="16">
        <f ca="1">_xlfn.FLOOR.MATH(Lerp_dyy(Q42,R42,IF(MOD(O42,10)=0,1,MOD(O42,10)/10)),10)</f>
        <v>144000</v>
      </c>
      <c r="T42" s="17">
        <f ca="1" t="shared" si="1"/>
        <v>1151900</v>
      </c>
      <c r="U42" s="4">
        <f ca="1">IF(AND(O42&lt;&gt;1,MOD(O42,10)=1),OFFSET(控制台!$K$1099,MATCH(P42,控制台!$H$1099:$H$1118,0)-1,0)*控制台!$K$1093,0)</f>
        <v>0</v>
      </c>
      <c r="V42" s="17">
        <f ca="1" t="shared" si="3"/>
        <v>1080</v>
      </c>
      <c r="W42" s="1">
        <f ca="1">IF(_xlfn.CEILING.MATH(O42/10)*10=10,0,IFERROR(OFFSET(控制台!$B$1007,MATCH(_xlfn.CEILING.MATH(O42/10-1)*10,控制台!$D$1007:$D$1080,0)-1,0),0))</f>
        <v>4</v>
      </c>
      <c r="X42" s="1">
        <f ca="1">IFERROR(OFFSET(控制台!$B$1007,MATCH(_xlfn.CEILING.MATH(O42/10)*10,控制台!$D$1007:$D$1080,0)-1,0),1)</f>
        <v>7</v>
      </c>
      <c r="Y42" s="17">
        <f ca="1">Lerp_dyy(W42,X42,IF(MOD(O42,10)=0,1,MOD(O42,10)/10))</f>
        <v>6.1</v>
      </c>
    </row>
    <row r="43" s="15" customFormat="1" spans="2:25">
      <c r="B43" s="15">
        <v>38</v>
      </c>
      <c r="C43" s="15">
        <f>_xlfn.FLOOR.MATH(B43/10+0.9)*10</f>
        <v>40</v>
      </c>
      <c r="D43" s="15">
        <f ca="1">OFFSET(控制台!$C$1099,MATCH(C43,控制台!$B$1099:$B$1118,0)-2,0)*控制台!$E$1092</f>
        <v>60000</v>
      </c>
      <c r="E43" s="15">
        <f ca="1">OFFSET(控制台!$C$1099,MATCH(C43,控制台!$B$1099:$B$1118,0)-1,0)*控制台!$E$1092</f>
        <v>180000</v>
      </c>
      <c r="F43" s="16">
        <f ca="1">_xlfn.FLOOR.MATH(Lerp_dyy(D43,E43,IF(MOD(B43,10)=0,1,MOD(B43,10)/10)),10)</f>
        <v>156000</v>
      </c>
      <c r="G43" s="17">
        <f ca="1" t="shared" si="4"/>
        <v>1307900</v>
      </c>
      <c r="H43" s="16">
        <f ca="1">IF(AND(B43&lt;&gt;1,MOD(B43,10)=1),OFFSET(控制台!$E$1099,MATCH(C43,控制台!$B$1099:$B$1118,0)-1,0)*控制台!$E$1093,0)</f>
        <v>0</v>
      </c>
      <c r="I43" s="17">
        <f ca="1" t="shared" si="2"/>
        <v>1080</v>
      </c>
      <c r="J43" s="15">
        <f ca="1">IF(_xlfn.CEILING.MATH(B43/10)*10=10,0,IFERROR(OFFSET(控制台!$B$865,MATCH(_xlfn.CEILING.MATH(B43/10-1)*10,控制台!$D$865:$D$936,0)-1,0),0))</f>
        <v>2</v>
      </c>
      <c r="K43" s="15">
        <f ca="1">IFERROR(OFFSET(控制台!$B$865,MATCH(_xlfn.CEILING.MATH(B43/10)*10,控制台!$D$865:$D$936,0)-1,0),1)</f>
        <v>3</v>
      </c>
      <c r="L43" s="17">
        <f ca="1">Lerp_dyy(J43,K43,IF(MOD(B43,10)=0,1,MOD(B43,10)/10))</f>
        <v>2.8</v>
      </c>
      <c r="O43" s="15">
        <v>38</v>
      </c>
      <c r="P43" s="1">
        <f>_xlfn.FLOOR.MATH(O43/10+0.9)*10</f>
        <v>40</v>
      </c>
      <c r="Q43" s="1">
        <f ca="1">OFFSET(控制台!$I$1099,MATCH(P43,控制台!$H$1099:$H$1118,0)-2,0)*控制台!$K$1092</f>
        <v>60000</v>
      </c>
      <c r="R43" s="1">
        <f ca="1">OFFSET(控制台!$I$1099,MATCH(P43,控制台!$H$1099:$H$1118,0)-1,0)*控制台!$K$1092</f>
        <v>180000</v>
      </c>
      <c r="S43" s="16">
        <f ca="1">_xlfn.FLOOR.MATH(Lerp_dyy(Q43,R43,IF(MOD(O43,10)=0,1,MOD(O43,10)/10)),10)</f>
        <v>156000</v>
      </c>
      <c r="T43" s="17">
        <f ca="1" t="shared" si="1"/>
        <v>1307900</v>
      </c>
      <c r="U43" s="4">
        <f ca="1">IF(AND(O43&lt;&gt;1,MOD(O43,10)=1),OFFSET(控制台!$K$1099,MATCH(P43,控制台!$H$1099:$H$1118,0)-1,0)*控制台!$K$1093,0)</f>
        <v>0</v>
      </c>
      <c r="V43" s="17">
        <f ca="1" t="shared" si="3"/>
        <v>1080</v>
      </c>
      <c r="W43" s="1">
        <f ca="1">IF(_xlfn.CEILING.MATH(O43/10)*10=10,0,IFERROR(OFFSET(控制台!$B$1007,MATCH(_xlfn.CEILING.MATH(O43/10-1)*10,控制台!$D$1007:$D$1080,0)-1,0),0))</f>
        <v>4</v>
      </c>
      <c r="X43" s="1">
        <f ca="1">IFERROR(OFFSET(控制台!$B$1007,MATCH(_xlfn.CEILING.MATH(O43/10)*10,控制台!$D$1007:$D$1080,0)-1,0),1)</f>
        <v>7</v>
      </c>
      <c r="Y43" s="17">
        <f ca="1">Lerp_dyy(W43,X43,IF(MOD(O43,10)=0,1,MOD(O43,10)/10))</f>
        <v>6.4</v>
      </c>
    </row>
    <row r="44" s="15" customFormat="1" spans="2:25">
      <c r="B44" s="15">
        <v>39</v>
      </c>
      <c r="C44" s="15">
        <f>_xlfn.FLOOR.MATH(B44/10+0.9)*10</f>
        <v>40</v>
      </c>
      <c r="D44" s="15">
        <f ca="1">OFFSET(控制台!$C$1099,MATCH(C44,控制台!$B$1099:$B$1118,0)-2,0)*控制台!$E$1092</f>
        <v>60000</v>
      </c>
      <c r="E44" s="15">
        <f ca="1">OFFSET(控制台!$C$1099,MATCH(C44,控制台!$B$1099:$B$1118,0)-1,0)*控制台!$E$1092</f>
        <v>180000</v>
      </c>
      <c r="F44" s="16">
        <f ca="1">_xlfn.FLOOR.MATH(Lerp_dyy(D44,E44,IF(MOD(B44,10)=0,1,MOD(B44,10)/10)),10)</f>
        <v>168000</v>
      </c>
      <c r="G44" s="17">
        <f ca="1" t="shared" si="4"/>
        <v>1475900</v>
      </c>
      <c r="H44" s="16">
        <f ca="1">IF(AND(B44&lt;&gt;1,MOD(B44,10)=1),OFFSET(控制台!$E$1099,MATCH(C44,控制台!$B$1099:$B$1118,0)-1,0)*控制台!$E$1093,0)</f>
        <v>0</v>
      </c>
      <c r="I44" s="17">
        <f ca="1" t="shared" si="2"/>
        <v>1080</v>
      </c>
      <c r="J44" s="15">
        <f ca="1">IF(_xlfn.CEILING.MATH(B44/10)*10=10,0,IFERROR(OFFSET(控制台!$B$865,MATCH(_xlfn.CEILING.MATH(B44/10-1)*10,控制台!$D$865:$D$936,0)-1,0),0))</f>
        <v>2</v>
      </c>
      <c r="K44" s="15">
        <f ca="1">IFERROR(OFFSET(控制台!$B$865,MATCH(_xlfn.CEILING.MATH(B44/10)*10,控制台!$D$865:$D$936,0)-1,0),1)</f>
        <v>3</v>
      </c>
      <c r="L44" s="17">
        <f ca="1">Lerp_dyy(J44,K44,IF(MOD(B44,10)=0,1,MOD(B44,10)/10))</f>
        <v>2.9</v>
      </c>
      <c r="O44" s="15">
        <v>39</v>
      </c>
      <c r="P44" s="1">
        <f>_xlfn.FLOOR.MATH(O44/10+0.9)*10</f>
        <v>40</v>
      </c>
      <c r="Q44" s="1">
        <f ca="1">OFFSET(控制台!$I$1099,MATCH(P44,控制台!$H$1099:$H$1118,0)-2,0)*控制台!$K$1092</f>
        <v>60000</v>
      </c>
      <c r="R44" s="1">
        <f ca="1">OFFSET(控制台!$I$1099,MATCH(P44,控制台!$H$1099:$H$1118,0)-1,0)*控制台!$K$1092</f>
        <v>180000</v>
      </c>
      <c r="S44" s="16">
        <f ca="1">_xlfn.FLOOR.MATH(Lerp_dyy(Q44,R44,IF(MOD(O44,10)=0,1,MOD(O44,10)/10)),10)</f>
        <v>168000</v>
      </c>
      <c r="T44" s="17">
        <f ca="1" t="shared" si="1"/>
        <v>1475900</v>
      </c>
      <c r="U44" s="4">
        <f ca="1">IF(AND(O44&lt;&gt;1,MOD(O44,10)=1),OFFSET(控制台!$K$1099,MATCH(P44,控制台!$H$1099:$H$1118,0)-1,0)*控制台!$K$1093,0)</f>
        <v>0</v>
      </c>
      <c r="V44" s="17">
        <f ca="1" t="shared" si="3"/>
        <v>1080</v>
      </c>
      <c r="W44" s="1">
        <f ca="1">IF(_xlfn.CEILING.MATH(O44/10)*10=10,0,IFERROR(OFFSET(控制台!$B$1007,MATCH(_xlfn.CEILING.MATH(O44/10-1)*10,控制台!$D$1007:$D$1080,0)-1,0),0))</f>
        <v>4</v>
      </c>
      <c r="X44" s="1">
        <f ca="1">IFERROR(OFFSET(控制台!$B$1007,MATCH(_xlfn.CEILING.MATH(O44/10)*10,控制台!$D$1007:$D$1080,0)-1,0),1)</f>
        <v>7</v>
      </c>
      <c r="Y44" s="17">
        <f ca="1">Lerp_dyy(W44,X44,IF(MOD(O44,10)=0,1,MOD(O44,10)/10))</f>
        <v>6.7</v>
      </c>
    </row>
    <row r="45" s="15" customFormat="1" spans="2:25">
      <c r="B45" s="15">
        <v>40</v>
      </c>
      <c r="C45" s="15">
        <f>_xlfn.FLOOR.MATH(B45/10+0.9)*10</f>
        <v>40</v>
      </c>
      <c r="D45" s="15">
        <f ca="1">OFFSET(控制台!$C$1099,MATCH(C45,控制台!$B$1099:$B$1118,0)-2,0)*控制台!$E$1092</f>
        <v>60000</v>
      </c>
      <c r="E45" s="15">
        <f ca="1">OFFSET(控制台!$C$1099,MATCH(C45,控制台!$B$1099:$B$1118,0)-1,0)*控制台!$E$1092</f>
        <v>180000</v>
      </c>
      <c r="F45" s="16">
        <f ca="1">_xlfn.FLOOR.MATH(Lerp_dyy(D45,E45,IF(MOD(B45,10)=0,1,MOD(B45,10)/10)),10)</f>
        <v>180000</v>
      </c>
      <c r="G45" s="17">
        <f ca="1" t="shared" si="4"/>
        <v>1655900</v>
      </c>
      <c r="H45" s="16">
        <f ca="1">IF(AND(B45&lt;&gt;1,MOD(B45,10)=1),OFFSET(控制台!$E$1099,MATCH(C45,控制台!$B$1099:$B$1118,0)-1,0)*控制台!$E$1093,0)</f>
        <v>0</v>
      </c>
      <c r="I45" s="17">
        <f ca="1" t="shared" si="2"/>
        <v>1080</v>
      </c>
      <c r="J45" s="15">
        <f ca="1">IF(_xlfn.CEILING.MATH(B45/10)*10=10,0,IFERROR(OFFSET(控制台!$B$865,MATCH(_xlfn.CEILING.MATH(B45/10-1)*10,控制台!$D$865:$D$936,0)-1,0),0))</f>
        <v>2</v>
      </c>
      <c r="K45" s="15">
        <f ca="1">IFERROR(OFFSET(控制台!$B$865,MATCH(_xlfn.CEILING.MATH(B45/10)*10,控制台!$D$865:$D$936,0)-1,0),1)</f>
        <v>3</v>
      </c>
      <c r="L45" s="17">
        <f ca="1">Lerp_dyy(J45,K45,IF(MOD(B45,10)=0,1,MOD(B45,10)/10))</f>
        <v>3</v>
      </c>
      <c r="O45" s="15">
        <v>40</v>
      </c>
      <c r="P45" s="1">
        <f>_xlfn.FLOOR.MATH(O45/10+0.9)*10</f>
        <v>40</v>
      </c>
      <c r="Q45" s="1">
        <f ca="1">OFFSET(控制台!$I$1099,MATCH(P45,控制台!$H$1099:$H$1118,0)-2,0)*控制台!$K$1092</f>
        <v>60000</v>
      </c>
      <c r="R45" s="1">
        <f ca="1">OFFSET(控制台!$I$1099,MATCH(P45,控制台!$H$1099:$H$1118,0)-1,0)*控制台!$K$1092</f>
        <v>180000</v>
      </c>
      <c r="S45" s="16">
        <f ca="1">_xlfn.FLOOR.MATH(Lerp_dyy(Q45,R45,IF(MOD(O45,10)=0,1,MOD(O45,10)/10)),10)</f>
        <v>180000</v>
      </c>
      <c r="T45" s="17">
        <f ca="1" t="shared" si="1"/>
        <v>1655900</v>
      </c>
      <c r="U45" s="4">
        <f ca="1">IF(AND(O45&lt;&gt;1,MOD(O45,10)=1),OFFSET(控制台!$K$1099,MATCH(P45,控制台!$H$1099:$H$1118,0)-1,0)*控制台!$K$1093,0)</f>
        <v>0</v>
      </c>
      <c r="V45" s="17">
        <f ca="1" t="shared" si="3"/>
        <v>1080</v>
      </c>
      <c r="W45" s="1">
        <f ca="1">IF(_xlfn.CEILING.MATH(O45/10)*10=10,0,IFERROR(OFFSET(控制台!$B$1007,MATCH(_xlfn.CEILING.MATH(O45/10-1)*10,控制台!$D$1007:$D$1080,0)-1,0),0))</f>
        <v>4</v>
      </c>
      <c r="X45" s="1">
        <f ca="1">IFERROR(OFFSET(控制台!$B$1007,MATCH(_xlfn.CEILING.MATH(O45/10)*10,控制台!$D$1007:$D$1080,0)-1,0),1)</f>
        <v>7</v>
      </c>
      <c r="Y45" s="17">
        <f ca="1">Lerp_dyy(W45,X45,IF(MOD(O45,10)=0,1,MOD(O45,10)/10))</f>
        <v>7</v>
      </c>
    </row>
    <row r="46" spans="1:25">
      <c r="A46" s="1" t="s">
        <v>2855</v>
      </c>
      <c r="B46" s="1">
        <v>41</v>
      </c>
      <c r="C46" s="1">
        <f>_xlfn.FLOOR.MATH(B46/10+0.9)*10</f>
        <v>50</v>
      </c>
      <c r="D46" s="1">
        <f ca="1">OFFSET(控制台!$C$1099,MATCH(C46,控制台!$B$1099:$B$1118,0)-2,0)*控制台!$E$1092</f>
        <v>180000</v>
      </c>
      <c r="E46" s="1">
        <f ca="1">OFFSET(控制台!$C$1099,MATCH(C46,控制台!$B$1099:$B$1118,0)-1,0)*控制台!$E$1092</f>
        <v>300000</v>
      </c>
      <c r="F46" s="4">
        <f ca="1">_xlfn.FLOOR.MATH(Lerp_dyy(D46,E46,IF(MOD(B46,10)=0,1,MOD(B46,10)/10)),10)</f>
        <v>192000</v>
      </c>
      <c r="G46" s="5">
        <f ca="1" t="shared" si="4"/>
        <v>1847900</v>
      </c>
      <c r="H46" s="4">
        <f ca="1">IF(AND(B46&lt;&gt;1,MOD(B46,10)=1),OFFSET(控制台!$E$1099,MATCH(C46,控制台!$B$1099:$B$1118,0)-1,0)*控制台!$E$1093,0)</f>
        <v>1600</v>
      </c>
      <c r="I46" s="5">
        <f ca="1" t="shared" si="2"/>
        <v>2680</v>
      </c>
      <c r="J46" s="1">
        <f ca="1">IF(_xlfn.CEILING.MATH(B46/10)*10=10,0,IFERROR(OFFSET(控制台!$B$865,MATCH(_xlfn.CEILING.MATH(B46/10-1)*10,控制台!$D$865:$D$936,0)-1,0),0))</f>
        <v>3</v>
      </c>
      <c r="K46" s="1">
        <f ca="1">IFERROR(OFFSET(控制台!$B$865,MATCH(_xlfn.CEILING.MATH(B46/10)*10,控制台!$D$865:$D$936,0)-1,0),1)</f>
        <v>7</v>
      </c>
      <c r="L46" s="5">
        <f ca="1">Lerp_dyy(J46,K46,IF(MOD(B46,10)=0,1,MOD(B46,10)/10))</f>
        <v>3.4</v>
      </c>
      <c r="N46" s="1" t="s">
        <v>2855</v>
      </c>
      <c r="O46" s="1">
        <v>41</v>
      </c>
      <c r="P46" s="1">
        <f>_xlfn.FLOOR.MATH(O46/10+0.9)*10</f>
        <v>50</v>
      </c>
      <c r="Q46" s="1">
        <f ca="1">OFFSET(控制台!$I$1099,MATCH(P46,控制台!$H$1099:$H$1118,0)-2,0)*控制台!$K$1092</f>
        <v>180000</v>
      </c>
      <c r="R46" s="1">
        <f ca="1">OFFSET(控制台!$I$1099,MATCH(P46,控制台!$H$1099:$H$1118,0)-1,0)*控制台!$K$1092</f>
        <v>300000</v>
      </c>
      <c r="S46" s="4">
        <f ca="1">_xlfn.FLOOR.MATH(Lerp_dyy(Q46,R46,IF(MOD(O46,10)=0,1,MOD(O46,10)/10)),10)</f>
        <v>192000</v>
      </c>
      <c r="T46" s="5">
        <f ca="1" t="shared" si="1"/>
        <v>1847900</v>
      </c>
      <c r="U46" s="4">
        <f ca="1">IF(AND(O46&lt;&gt;1,MOD(O46,10)=1),OFFSET(控制台!$K$1099,MATCH(P46,控制台!$H$1099:$H$1118,0)-1,0)*控制台!$K$1093,0)</f>
        <v>1600</v>
      </c>
      <c r="V46" s="5">
        <f ca="1" t="shared" si="3"/>
        <v>2680</v>
      </c>
      <c r="W46" s="1">
        <f ca="1">IF(_xlfn.CEILING.MATH(O46/10)*10=10,0,IFERROR(OFFSET(控制台!$B$1007,MATCH(_xlfn.CEILING.MATH(O46/10-1)*10,控制台!$D$1007:$D$1080,0)-1,0),0))</f>
        <v>7</v>
      </c>
      <c r="X46" s="1">
        <f ca="1">IFERROR(OFFSET(控制台!$B$1007,MATCH(_xlfn.CEILING.MATH(O46/10)*10,控制台!$D$1007:$D$1080,0)-1,0),1)</f>
        <v>13</v>
      </c>
      <c r="Y46" s="5">
        <f ca="1">Lerp_dyy(W46,X46,IF(MOD(O46,10)=0,1,MOD(O46,10)/10))</f>
        <v>7.6</v>
      </c>
    </row>
    <row r="47" spans="2:25">
      <c r="B47" s="1">
        <v>42</v>
      </c>
      <c r="C47" s="1">
        <f>_xlfn.FLOOR.MATH(B47/10+0.9)*10</f>
        <v>50</v>
      </c>
      <c r="D47" s="1">
        <f ca="1">OFFSET(控制台!$C$1099,MATCH(C47,控制台!$B$1099:$B$1118,0)-2,0)*控制台!$E$1092</f>
        <v>180000</v>
      </c>
      <c r="E47" s="1">
        <f ca="1">OFFSET(控制台!$C$1099,MATCH(C47,控制台!$B$1099:$B$1118,0)-1,0)*控制台!$E$1092</f>
        <v>300000</v>
      </c>
      <c r="F47" s="4">
        <f ca="1">_xlfn.FLOOR.MATH(Lerp_dyy(D47,E47,IF(MOD(B47,10)=0,1,MOD(B47,10)/10)),10)</f>
        <v>204000</v>
      </c>
      <c r="G47" s="5">
        <f ca="1" t="shared" si="4"/>
        <v>2051900</v>
      </c>
      <c r="H47" s="4">
        <f ca="1">IF(AND(B47&lt;&gt;1,MOD(B47,10)=1),OFFSET(控制台!$E$1099,MATCH(C47,控制台!$B$1099:$B$1118,0)-1,0)*控制台!$E$1093,0)</f>
        <v>0</v>
      </c>
      <c r="I47" s="5">
        <f ca="1" t="shared" si="2"/>
        <v>2680</v>
      </c>
      <c r="J47" s="1">
        <f ca="1">IF(_xlfn.CEILING.MATH(B47/10)*10=10,0,IFERROR(OFFSET(控制台!$B$865,MATCH(_xlfn.CEILING.MATH(B47/10-1)*10,控制台!$D$865:$D$936,0)-1,0),0))</f>
        <v>3</v>
      </c>
      <c r="K47" s="1">
        <f ca="1">IFERROR(OFFSET(控制台!$B$865,MATCH(_xlfn.CEILING.MATH(B47/10)*10,控制台!$D$865:$D$936,0)-1,0),1)</f>
        <v>7</v>
      </c>
      <c r="L47" s="5">
        <f ca="1">Lerp_dyy(J47,K47,IF(MOD(B47,10)=0,1,MOD(B47,10)/10))</f>
        <v>3.8</v>
      </c>
      <c r="O47" s="1">
        <v>42</v>
      </c>
      <c r="P47" s="1">
        <f>_xlfn.FLOOR.MATH(O47/10+0.9)*10</f>
        <v>50</v>
      </c>
      <c r="Q47" s="1">
        <f ca="1">OFFSET(控制台!$I$1099,MATCH(P47,控制台!$H$1099:$H$1118,0)-2,0)*控制台!$K$1092</f>
        <v>180000</v>
      </c>
      <c r="R47" s="1">
        <f ca="1">OFFSET(控制台!$I$1099,MATCH(P47,控制台!$H$1099:$H$1118,0)-1,0)*控制台!$K$1092</f>
        <v>300000</v>
      </c>
      <c r="S47" s="4">
        <f ca="1">_xlfn.FLOOR.MATH(Lerp_dyy(Q47,R47,IF(MOD(O47,10)=0,1,MOD(O47,10)/10)),10)</f>
        <v>204000</v>
      </c>
      <c r="T47" s="5">
        <f ca="1" t="shared" si="1"/>
        <v>2051900</v>
      </c>
      <c r="U47" s="4">
        <f ca="1">IF(AND(O47&lt;&gt;1,MOD(O47,10)=1),OFFSET(控制台!$K$1099,MATCH(P47,控制台!$H$1099:$H$1118,0)-1,0)*控制台!$K$1093,0)</f>
        <v>0</v>
      </c>
      <c r="V47" s="5">
        <f ca="1" t="shared" si="3"/>
        <v>2680</v>
      </c>
      <c r="W47" s="1">
        <f ca="1">IF(_xlfn.CEILING.MATH(O47/10)*10=10,0,IFERROR(OFFSET(控制台!$B$1007,MATCH(_xlfn.CEILING.MATH(O47/10-1)*10,控制台!$D$1007:$D$1080,0)-1,0),0))</f>
        <v>7</v>
      </c>
      <c r="X47" s="1">
        <f ca="1">IFERROR(OFFSET(控制台!$B$1007,MATCH(_xlfn.CEILING.MATH(O47/10)*10,控制台!$D$1007:$D$1080,0)-1,0),1)</f>
        <v>13</v>
      </c>
      <c r="Y47" s="5">
        <f ca="1">Lerp_dyy(W47,X47,IF(MOD(O47,10)=0,1,MOD(O47,10)/10))</f>
        <v>8.2</v>
      </c>
    </row>
    <row r="48" spans="2:25">
      <c r="B48" s="1">
        <v>43</v>
      </c>
      <c r="C48" s="1">
        <f>_xlfn.FLOOR.MATH(B48/10+0.9)*10</f>
        <v>50</v>
      </c>
      <c r="D48" s="1">
        <f ca="1">OFFSET(控制台!$C$1099,MATCH(C48,控制台!$B$1099:$B$1118,0)-2,0)*控制台!$E$1092</f>
        <v>180000</v>
      </c>
      <c r="E48" s="1">
        <f ca="1">OFFSET(控制台!$C$1099,MATCH(C48,控制台!$B$1099:$B$1118,0)-1,0)*控制台!$E$1092</f>
        <v>300000</v>
      </c>
      <c r="F48" s="4">
        <f ca="1">_xlfn.FLOOR.MATH(Lerp_dyy(D48,E48,IF(MOD(B48,10)=0,1,MOD(B48,10)/10)),10)</f>
        <v>216000</v>
      </c>
      <c r="G48" s="5">
        <f ca="1" t="shared" si="4"/>
        <v>2267900</v>
      </c>
      <c r="H48" s="4">
        <f ca="1">IF(AND(B48&lt;&gt;1,MOD(B48,10)=1),OFFSET(控制台!$E$1099,MATCH(C48,控制台!$B$1099:$B$1118,0)-1,0)*控制台!$E$1093,0)</f>
        <v>0</v>
      </c>
      <c r="I48" s="5">
        <f ca="1" t="shared" si="2"/>
        <v>2680</v>
      </c>
      <c r="J48" s="1">
        <f ca="1">IF(_xlfn.CEILING.MATH(B48/10)*10=10,0,IFERROR(OFFSET(控制台!$B$865,MATCH(_xlfn.CEILING.MATH(B48/10-1)*10,控制台!$D$865:$D$936,0)-1,0),0))</f>
        <v>3</v>
      </c>
      <c r="K48" s="1">
        <f ca="1">IFERROR(OFFSET(控制台!$B$865,MATCH(_xlfn.CEILING.MATH(B48/10)*10,控制台!$D$865:$D$936,0)-1,0),1)</f>
        <v>7</v>
      </c>
      <c r="L48" s="5">
        <f ca="1">Lerp_dyy(J48,K48,IF(MOD(B48,10)=0,1,MOD(B48,10)/10))</f>
        <v>4.2</v>
      </c>
      <c r="O48" s="1">
        <v>43</v>
      </c>
      <c r="P48" s="1">
        <f>_xlfn.FLOOR.MATH(O48/10+0.9)*10</f>
        <v>50</v>
      </c>
      <c r="Q48" s="1">
        <f ca="1">OFFSET(控制台!$I$1099,MATCH(P48,控制台!$H$1099:$H$1118,0)-2,0)*控制台!$K$1092</f>
        <v>180000</v>
      </c>
      <c r="R48" s="1">
        <f ca="1">OFFSET(控制台!$I$1099,MATCH(P48,控制台!$H$1099:$H$1118,0)-1,0)*控制台!$K$1092</f>
        <v>300000</v>
      </c>
      <c r="S48" s="4">
        <f ca="1">_xlfn.FLOOR.MATH(Lerp_dyy(Q48,R48,IF(MOD(O48,10)=0,1,MOD(O48,10)/10)),10)</f>
        <v>216000</v>
      </c>
      <c r="T48" s="5">
        <f ca="1" t="shared" si="1"/>
        <v>2267900</v>
      </c>
      <c r="U48" s="4">
        <f ca="1">IF(AND(O48&lt;&gt;1,MOD(O48,10)=1),OFFSET(控制台!$K$1099,MATCH(P48,控制台!$H$1099:$H$1118,0)-1,0)*控制台!$K$1093,0)</f>
        <v>0</v>
      </c>
      <c r="V48" s="5">
        <f ca="1" t="shared" si="3"/>
        <v>2680</v>
      </c>
      <c r="W48" s="1">
        <f ca="1">IF(_xlfn.CEILING.MATH(O48/10)*10=10,0,IFERROR(OFFSET(控制台!$B$1007,MATCH(_xlfn.CEILING.MATH(O48/10-1)*10,控制台!$D$1007:$D$1080,0)-1,0),0))</f>
        <v>7</v>
      </c>
      <c r="X48" s="1">
        <f ca="1">IFERROR(OFFSET(控制台!$B$1007,MATCH(_xlfn.CEILING.MATH(O48/10)*10,控制台!$D$1007:$D$1080,0)-1,0),1)</f>
        <v>13</v>
      </c>
      <c r="Y48" s="5">
        <f ca="1">Lerp_dyy(W48,X48,IF(MOD(O48,10)=0,1,MOD(O48,10)/10))</f>
        <v>8.8</v>
      </c>
    </row>
    <row r="49" spans="2:25">
      <c r="B49" s="1">
        <v>44</v>
      </c>
      <c r="C49" s="1">
        <f>_xlfn.FLOOR.MATH(B49/10+0.9)*10</f>
        <v>50</v>
      </c>
      <c r="D49" s="1">
        <f ca="1">OFFSET(控制台!$C$1099,MATCH(C49,控制台!$B$1099:$B$1118,0)-2,0)*控制台!$E$1092</f>
        <v>180000</v>
      </c>
      <c r="E49" s="1">
        <f ca="1">OFFSET(控制台!$C$1099,MATCH(C49,控制台!$B$1099:$B$1118,0)-1,0)*控制台!$E$1092</f>
        <v>300000</v>
      </c>
      <c r="F49" s="4">
        <f ca="1">_xlfn.FLOOR.MATH(Lerp_dyy(D49,E49,IF(MOD(B49,10)=0,1,MOD(B49,10)/10)),10)</f>
        <v>228000</v>
      </c>
      <c r="G49" s="5">
        <f ca="1" t="shared" si="4"/>
        <v>2495900</v>
      </c>
      <c r="H49" s="4">
        <f ca="1">IF(AND(B49&lt;&gt;1,MOD(B49,10)=1),OFFSET(控制台!$E$1099,MATCH(C49,控制台!$B$1099:$B$1118,0)-1,0)*控制台!$E$1093,0)</f>
        <v>0</v>
      </c>
      <c r="I49" s="5">
        <f ca="1" t="shared" si="2"/>
        <v>2680</v>
      </c>
      <c r="J49" s="1">
        <f ca="1">IF(_xlfn.CEILING.MATH(B49/10)*10=10,0,IFERROR(OFFSET(控制台!$B$865,MATCH(_xlfn.CEILING.MATH(B49/10-1)*10,控制台!$D$865:$D$936,0)-1,0),0))</f>
        <v>3</v>
      </c>
      <c r="K49" s="1">
        <f ca="1">IFERROR(OFFSET(控制台!$B$865,MATCH(_xlfn.CEILING.MATH(B49/10)*10,控制台!$D$865:$D$936,0)-1,0),1)</f>
        <v>7</v>
      </c>
      <c r="L49" s="5">
        <f ca="1">Lerp_dyy(J49,K49,IF(MOD(B49,10)=0,1,MOD(B49,10)/10))</f>
        <v>4.6</v>
      </c>
      <c r="O49" s="1">
        <v>44</v>
      </c>
      <c r="P49" s="1">
        <f>_xlfn.FLOOR.MATH(O49/10+0.9)*10</f>
        <v>50</v>
      </c>
      <c r="Q49" s="1">
        <f ca="1">OFFSET(控制台!$I$1099,MATCH(P49,控制台!$H$1099:$H$1118,0)-2,0)*控制台!$K$1092</f>
        <v>180000</v>
      </c>
      <c r="R49" s="1">
        <f ca="1">OFFSET(控制台!$I$1099,MATCH(P49,控制台!$H$1099:$H$1118,0)-1,0)*控制台!$K$1092</f>
        <v>300000</v>
      </c>
      <c r="S49" s="4">
        <f ca="1">_xlfn.FLOOR.MATH(Lerp_dyy(Q49,R49,IF(MOD(O49,10)=0,1,MOD(O49,10)/10)),10)</f>
        <v>228000</v>
      </c>
      <c r="T49" s="5">
        <f ca="1" t="shared" si="1"/>
        <v>2495900</v>
      </c>
      <c r="U49" s="4">
        <f ca="1">IF(AND(O49&lt;&gt;1,MOD(O49,10)=1),OFFSET(控制台!$K$1099,MATCH(P49,控制台!$H$1099:$H$1118,0)-1,0)*控制台!$K$1093,0)</f>
        <v>0</v>
      </c>
      <c r="V49" s="5">
        <f ca="1" t="shared" si="3"/>
        <v>2680</v>
      </c>
      <c r="W49" s="1">
        <f ca="1">IF(_xlfn.CEILING.MATH(O49/10)*10=10,0,IFERROR(OFFSET(控制台!$B$1007,MATCH(_xlfn.CEILING.MATH(O49/10-1)*10,控制台!$D$1007:$D$1080,0)-1,0),0))</f>
        <v>7</v>
      </c>
      <c r="X49" s="1">
        <f ca="1">IFERROR(OFFSET(控制台!$B$1007,MATCH(_xlfn.CEILING.MATH(O49/10)*10,控制台!$D$1007:$D$1080,0)-1,0),1)</f>
        <v>13</v>
      </c>
      <c r="Y49" s="5">
        <f ca="1">Lerp_dyy(W49,X49,IF(MOD(O49,10)=0,1,MOD(O49,10)/10))</f>
        <v>9.4</v>
      </c>
    </row>
    <row r="50" spans="2:25">
      <c r="B50" s="1">
        <v>45</v>
      </c>
      <c r="C50" s="1">
        <f>_xlfn.FLOOR.MATH(B50/10+0.9)*10</f>
        <v>50</v>
      </c>
      <c r="D50" s="1">
        <f ca="1">OFFSET(控制台!$C$1099,MATCH(C50,控制台!$B$1099:$B$1118,0)-2,0)*控制台!$E$1092</f>
        <v>180000</v>
      </c>
      <c r="E50" s="1">
        <f ca="1">OFFSET(控制台!$C$1099,MATCH(C50,控制台!$B$1099:$B$1118,0)-1,0)*控制台!$E$1092</f>
        <v>300000</v>
      </c>
      <c r="F50" s="4">
        <f ca="1">_xlfn.FLOOR.MATH(Lerp_dyy(D50,E50,IF(MOD(B50,10)=0,1,MOD(B50,10)/10)),10)</f>
        <v>240000</v>
      </c>
      <c r="G50" s="5">
        <f ca="1" t="shared" si="4"/>
        <v>2735900</v>
      </c>
      <c r="H50" s="4">
        <f ca="1">IF(AND(B50&lt;&gt;1,MOD(B50,10)=1),OFFSET(控制台!$E$1099,MATCH(C50,控制台!$B$1099:$B$1118,0)-1,0)*控制台!$E$1093,0)</f>
        <v>0</v>
      </c>
      <c r="I50" s="5">
        <f ca="1" t="shared" si="2"/>
        <v>2680</v>
      </c>
      <c r="J50" s="1">
        <f ca="1">IF(_xlfn.CEILING.MATH(B50/10)*10=10,0,IFERROR(OFFSET(控制台!$B$865,MATCH(_xlfn.CEILING.MATH(B50/10-1)*10,控制台!$D$865:$D$936,0)-1,0),0))</f>
        <v>3</v>
      </c>
      <c r="K50" s="1">
        <f ca="1">IFERROR(OFFSET(控制台!$B$865,MATCH(_xlfn.CEILING.MATH(B50/10)*10,控制台!$D$865:$D$936,0)-1,0),1)</f>
        <v>7</v>
      </c>
      <c r="L50" s="5">
        <f ca="1">Lerp_dyy(J50,K50,IF(MOD(B50,10)=0,1,MOD(B50,10)/10))</f>
        <v>5</v>
      </c>
      <c r="O50" s="1">
        <v>45</v>
      </c>
      <c r="P50" s="1">
        <f>_xlfn.FLOOR.MATH(O50/10+0.9)*10</f>
        <v>50</v>
      </c>
      <c r="Q50" s="1">
        <f ca="1">OFFSET(控制台!$I$1099,MATCH(P50,控制台!$H$1099:$H$1118,0)-2,0)*控制台!$K$1092</f>
        <v>180000</v>
      </c>
      <c r="R50" s="1">
        <f ca="1">OFFSET(控制台!$I$1099,MATCH(P50,控制台!$H$1099:$H$1118,0)-1,0)*控制台!$K$1092</f>
        <v>300000</v>
      </c>
      <c r="S50" s="4">
        <f ca="1">_xlfn.FLOOR.MATH(Lerp_dyy(Q50,R50,IF(MOD(O50,10)=0,1,MOD(O50,10)/10)),10)</f>
        <v>240000</v>
      </c>
      <c r="T50" s="5">
        <f ca="1" t="shared" si="1"/>
        <v>2735900</v>
      </c>
      <c r="U50" s="4">
        <f ca="1">IF(AND(O50&lt;&gt;1,MOD(O50,10)=1),OFFSET(控制台!$K$1099,MATCH(P50,控制台!$H$1099:$H$1118,0)-1,0)*控制台!$K$1093,0)</f>
        <v>0</v>
      </c>
      <c r="V50" s="5">
        <f ca="1" t="shared" si="3"/>
        <v>2680</v>
      </c>
      <c r="W50" s="1">
        <f ca="1">IF(_xlfn.CEILING.MATH(O50/10)*10=10,0,IFERROR(OFFSET(控制台!$B$1007,MATCH(_xlfn.CEILING.MATH(O50/10-1)*10,控制台!$D$1007:$D$1080,0)-1,0),0))</f>
        <v>7</v>
      </c>
      <c r="X50" s="1">
        <f ca="1">IFERROR(OFFSET(控制台!$B$1007,MATCH(_xlfn.CEILING.MATH(O50/10)*10,控制台!$D$1007:$D$1080,0)-1,0),1)</f>
        <v>13</v>
      </c>
      <c r="Y50" s="5">
        <f ca="1">Lerp_dyy(W50,X50,IF(MOD(O50,10)=0,1,MOD(O50,10)/10))</f>
        <v>10</v>
      </c>
    </row>
    <row r="51" spans="2:25">
      <c r="B51" s="1">
        <v>46</v>
      </c>
      <c r="C51" s="1">
        <f>_xlfn.FLOOR.MATH(B51/10+0.9)*10</f>
        <v>50</v>
      </c>
      <c r="D51" s="1">
        <f ca="1">OFFSET(控制台!$C$1099,MATCH(C51,控制台!$B$1099:$B$1118,0)-2,0)*控制台!$E$1092</f>
        <v>180000</v>
      </c>
      <c r="E51" s="1">
        <f ca="1">OFFSET(控制台!$C$1099,MATCH(C51,控制台!$B$1099:$B$1118,0)-1,0)*控制台!$E$1092</f>
        <v>300000</v>
      </c>
      <c r="F51" s="4">
        <f ca="1">_xlfn.FLOOR.MATH(Lerp_dyy(D51,E51,IF(MOD(B51,10)=0,1,MOD(B51,10)/10)),10)</f>
        <v>252000</v>
      </c>
      <c r="G51" s="5">
        <f ca="1" t="shared" si="4"/>
        <v>2987900</v>
      </c>
      <c r="H51" s="4">
        <f ca="1">IF(AND(B51&lt;&gt;1,MOD(B51,10)=1),OFFSET(控制台!$E$1099,MATCH(C51,控制台!$B$1099:$B$1118,0)-1,0)*控制台!$E$1093,0)</f>
        <v>0</v>
      </c>
      <c r="I51" s="5">
        <f ca="1" t="shared" si="2"/>
        <v>2680</v>
      </c>
      <c r="J51" s="1">
        <f ca="1">IF(_xlfn.CEILING.MATH(B51/10)*10=10,0,IFERROR(OFFSET(控制台!$B$865,MATCH(_xlfn.CEILING.MATH(B51/10-1)*10,控制台!$D$865:$D$936,0)-1,0),0))</f>
        <v>3</v>
      </c>
      <c r="K51" s="1">
        <f ca="1">IFERROR(OFFSET(控制台!$B$865,MATCH(_xlfn.CEILING.MATH(B51/10)*10,控制台!$D$865:$D$936,0)-1,0),1)</f>
        <v>7</v>
      </c>
      <c r="L51" s="5">
        <f ca="1">Lerp_dyy(J51,K51,IF(MOD(B51,10)=0,1,MOD(B51,10)/10))</f>
        <v>5.4</v>
      </c>
      <c r="O51" s="1">
        <v>46</v>
      </c>
      <c r="P51" s="1">
        <f>_xlfn.FLOOR.MATH(O51/10+0.9)*10</f>
        <v>50</v>
      </c>
      <c r="Q51" s="1">
        <f ca="1">OFFSET(控制台!$I$1099,MATCH(P51,控制台!$H$1099:$H$1118,0)-2,0)*控制台!$K$1092</f>
        <v>180000</v>
      </c>
      <c r="R51" s="1">
        <f ca="1">OFFSET(控制台!$I$1099,MATCH(P51,控制台!$H$1099:$H$1118,0)-1,0)*控制台!$K$1092</f>
        <v>300000</v>
      </c>
      <c r="S51" s="4">
        <f ca="1">_xlfn.FLOOR.MATH(Lerp_dyy(Q51,R51,IF(MOD(O51,10)=0,1,MOD(O51,10)/10)),10)</f>
        <v>252000</v>
      </c>
      <c r="T51" s="5">
        <f ca="1" t="shared" si="1"/>
        <v>2987900</v>
      </c>
      <c r="U51" s="4">
        <f ca="1">IF(AND(O51&lt;&gt;1,MOD(O51,10)=1),OFFSET(控制台!$K$1099,MATCH(P51,控制台!$H$1099:$H$1118,0)-1,0)*控制台!$K$1093,0)</f>
        <v>0</v>
      </c>
      <c r="V51" s="5">
        <f ca="1" t="shared" si="3"/>
        <v>2680</v>
      </c>
      <c r="W51" s="1">
        <f ca="1">IF(_xlfn.CEILING.MATH(O51/10)*10=10,0,IFERROR(OFFSET(控制台!$B$1007,MATCH(_xlfn.CEILING.MATH(O51/10-1)*10,控制台!$D$1007:$D$1080,0)-1,0),0))</f>
        <v>7</v>
      </c>
      <c r="X51" s="1">
        <f ca="1">IFERROR(OFFSET(控制台!$B$1007,MATCH(_xlfn.CEILING.MATH(O51/10)*10,控制台!$D$1007:$D$1080,0)-1,0),1)</f>
        <v>13</v>
      </c>
      <c r="Y51" s="5">
        <f ca="1">Lerp_dyy(W51,X51,IF(MOD(O51,10)=0,1,MOD(O51,10)/10))</f>
        <v>10.6</v>
      </c>
    </row>
    <row r="52" spans="2:25">
      <c r="B52" s="1">
        <v>47</v>
      </c>
      <c r="C52" s="1">
        <f>_xlfn.FLOOR.MATH(B52/10+0.9)*10</f>
        <v>50</v>
      </c>
      <c r="D52" s="1">
        <f ca="1">OFFSET(控制台!$C$1099,MATCH(C52,控制台!$B$1099:$B$1118,0)-2,0)*控制台!$E$1092</f>
        <v>180000</v>
      </c>
      <c r="E52" s="1">
        <f ca="1">OFFSET(控制台!$C$1099,MATCH(C52,控制台!$B$1099:$B$1118,0)-1,0)*控制台!$E$1092</f>
        <v>300000</v>
      </c>
      <c r="F52" s="4">
        <f ca="1">_xlfn.FLOOR.MATH(Lerp_dyy(D52,E52,IF(MOD(B52,10)=0,1,MOD(B52,10)/10)),10)</f>
        <v>264000</v>
      </c>
      <c r="G52" s="5">
        <f ca="1" t="shared" si="4"/>
        <v>3251900</v>
      </c>
      <c r="H52" s="4">
        <f ca="1">IF(AND(B52&lt;&gt;1,MOD(B52,10)=1),OFFSET(控制台!$E$1099,MATCH(C52,控制台!$B$1099:$B$1118,0)-1,0)*控制台!$E$1093,0)</f>
        <v>0</v>
      </c>
      <c r="I52" s="5">
        <f ca="1" t="shared" si="2"/>
        <v>2680</v>
      </c>
      <c r="J52" s="1">
        <f ca="1">IF(_xlfn.CEILING.MATH(B52/10)*10=10,0,IFERROR(OFFSET(控制台!$B$865,MATCH(_xlfn.CEILING.MATH(B52/10-1)*10,控制台!$D$865:$D$936,0)-1,0),0))</f>
        <v>3</v>
      </c>
      <c r="K52" s="1">
        <f ca="1">IFERROR(OFFSET(控制台!$B$865,MATCH(_xlfn.CEILING.MATH(B52/10)*10,控制台!$D$865:$D$936,0)-1,0),1)</f>
        <v>7</v>
      </c>
      <c r="L52" s="5">
        <f ca="1">Lerp_dyy(J52,K52,IF(MOD(B52,10)=0,1,MOD(B52,10)/10))</f>
        <v>5.8</v>
      </c>
      <c r="O52" s="1">
        <v>47</v>
      </c>
      <c r="P52" s="1">
        <f>_xlfn.FLOOR.MATH(O52/10+0.9)*10</f>
        <v>50</v>
      </c>
      <c r="Q52" s="1">
        <f ca="1">OFFSET(控制台!$I$1099,MATCH(P52,控制台!$H$1099:$H$1118,0)-2,0)*控制台!$K$1092</f>
        <v>180000</v>
      </c>
      <c r="R52" s="1">
        <f ca="1">OFFSET(控制台!$I$1099,MATCH(P52,控制台!$H$1099:$H$1118,0)-1,0)*控制台!$K$1092</f>
        <v>300000</v>
      </c>
      <c r="S52" s="4">
        <f ca="1">_xlfn.FLOOR.MATH(Lerp_dyy(Q52,R52,IF(MOD(O52,10)=0,1,MOD(O52,10)/10)),10)</f>
        <v>264000</v>
      </c>
      <c r="T52" s="5">
        <f ca="1" t="shared" si="1"/>
        <v>3251900</v>
      </c>
      <c r="U52" s="4">
        <f ca="1">IF(AND(O52&lt;&gt;1,MOD(O52,10)=1),OFFSET(控制台!$K$1099,MATCH(P52,控制台!$H$1099:$H$1118,0)-1,0)*控制台!$K$1093,0)</f>
        <v>0</v>
      </c>
      <c r="V52" s="5">
        <f ca="1" t="shared" si="3"/>
        <v>2680</v>
      </c>
      <c r="W52" s="1">
        <f ca="1">IF(_xlfn.CEILING.MATH(O52/10)*10=10,0,IFERROR(OFFSET(控制台!$B$1007,MATCH(_xlfn.CEILING.MATH(O52/10-1)*10,控制台!$D$1007:$D$1080,0)-1,0),0))</f>
        <v>7</v>
      </c>
      <c r="X52" s="1">
        <f ca="1">IFERROR(OFFSET(控制台!$B$1007,MATCH(_xlfn.CEILING.MATH(O52/10)*10,控制台!$D$1007:$D$1080,0)-1,0),1)</f>
        <v>13</v>
      </c>
      <c r="Y52" s="5">
        <f ca="1">Lerp_dyy(W52,X52,IF(MOD(O52,10)=0,1,MOD(O52,10)/10))</f>
        <v>11.2</v>
      </c>
    </row>
    <row r="53" spans="2:25">
      <c r="B53" s="1">
        <v>48</v>
      </c>
      <c r="C53" s="1">
        <f>_xlfn.FLOOR.MATH(B53/10+0.9)*10</f>
        <v>50</v>
      </c>
      <c r="D53" s="1">
        <f ca="1">OFFSET(控制台!$C$1099,MATCH(C53,控制台!$B$1099:$B$1118,0)-2,0)*控制台!$E$1092</f>
        <v>180000</v>
      </c>
      <c r="E53" s="1">
        <f ca="1">OFFSET(控制台!$C$1099,MATCH(C53,控制台!$B$1099:$B$1118,0)-1,0)*控制台!$E$1092</f>
        <v>300000</v>
      </c>
      <c r="F53" s="4">
        <f ca="1">_xlfn.FLOOR.MATH(Lerp_dyy(D53,E53,IF(MOD(B53,10)=0,1,MOD(B53,10)/10)),10)</f>
        <v>276000</v>
      </c>
      <c r="G53" s="5">
        <f ca="1" t="shared" si="4"/>
        <v>3527900</v>
      </c>
      <c r="H53" s="4">
        <f ca="1">IF(AND(B53&lt;&gt;1,MOD(B53,10)=1),OFFSET(控制台!$E$1099,MATCH(C53,控制台!$B$1099:$B$1118,0)-1,0)*控制台!$E$1093,0)</f>
        <v>0</v>
      </c>
      <c r="I53" s="5">
        <f ca="1" t="shared" si="2"/>
        <v>2680</v>
      </c>
      <c r="J53" s="1">
        <f ca="1">IF(_xlfn.CEILING.MATH(B53/10)*10=10,0,IFERROR(OFFSET(控制台!$B$865,MATCH(_xlfn.CEILING.MATH(B53/10-1)*10,控制台!$D$865:$D$936,0)-1,0),0))</f>
        <v>3</v>
      </c>
      <c r="K53" s="1">
        <f ca="1">IFERROR(OFFSET(控制台!$B$865,MATCH(_xlfn.CEILING.MATH(B53/10)*10,控制台!$D$865:$D$936,0)-1,0),1)</f>
        <v>7</v>
      </c>
      <c r="L53" s="5">
        <f ca="1">Lerp_dyy(J53,K53,IF(MOD(B53,10)=0,1,MOD(B53,10)/10))</f>
        <v>6.2</v>
      </c>
      <c r="O53" s="1">
        <v>48</v>
      </c>
      <c r="P53" s="1">
        <f>_xlfn.FLOOR.MATH(O53/10+0.9)*10</f>
        <v>50</v>
      </c>
      <c r="Q53" s="1">
        <f ca="1">OFFSET(控制台!$I$1099,MATCH(P53,控制台!$H$1099:$H$1118,0)-2,0)*控制台!$K$1092</f>
        <v>180000</v>
      </c>
      <c r="R53" s="1">
        <f ca="1">OFFSET(控制台!$I$1099,MATCH(P53,控制台!$H$1099:$H$1118,0)-1,0)*控制台!$K$1092</f>
        <v>300000</v>
      </c>
      <c r="S53" s="4">
        <f ca="1">_xlfn.FLOOR.MATH(Lerp_dyy(Q53,R53,IF(MOD(O53,10)=0,1,MOD(O53,10)/10)),10)</f>
        <v>276000</v>
      </c>
      <c r="T53" s="5">
        <f ca="1" t="shared" si="1"/>
        <v>3527900</v>
      </c>
      <c r="U53" s="4">
        <f ca="1">IF(AND(O53&lt;&gt;1,MOD(O53,10)=1),OFFSET(控制台!$K$1099,MATCH(P53,控制台!$H$1099:$H$1118,0)-1,0)*控制台!$K$1093,0)</f>
        <v>0</v>
      </c>
      <c r="V53" s="5">
        <f ca="1" t="shared" si="3"/>
        <v>2680</v>
      </c>
      <c r="W53" s="1">
        <f ca="1">IF(_xlfn.CEILING.MATH(O53/10)*10=10,0,IFERROR(OFFSET(控制台!$B$1007,MATCH(_xlfn.CEILING.MATH(O53/10-1)*10,控制台!$D$1007:$D$1080,0)-1,0),0))</f>
        <v>7</v>
      </c>
      <c r="X53" s="1">
        <f ca="1">IFERROR(OFFSET(控制台!$B$1007,MATCH(_xlfn.CEILING.MATH(O53/10)*10,控制台!$D$1007:$D$1080,0)-1,0),1)</f>
        <v>13</v>
      </c>
      <c r="Y53" s="5">
        <f ca="1">Lerp_dyy(W53,X53,IF(MOD(O53,10)=0,1,MOD(O53,10)/10))</f>
        <v>11.8</v>
      </c>
    </row>
    <row r="54" spans="2:25">
      <c r="B54" s="1">
        <v>49</v>
      </c>
      <c r="C54" s="1">
        <f>_xlfn.FLOOR.MATH(B54/10+0.9)*10</f>
        <v>50</v>
      </c>
      <c r="D54" s="1">
        <f ca="1">OFFSET(控制台!$C$1099,MATCH(C54,控制台!$B$1099:$B$1118,0)-2,0)*控制台!$E$1092</f>
        <v>180000</v>
      </c>
      <c r="E54" s="1">
        <f ca="1">OFFSET(控制台!$C$1099,MATCH(C54,控制台!$B$1099:$B$1118,0)-1,0)*控制台!$E$1092</f>
        <v>300000</v>
      </c>
      <c r="F54" s="4">
        <f ca="1">_xlfn.FLOOR.MATH(Lerp_dyy(D54,E54,IF(MOD(B54,10)=0,1,MOD(B54,10)/10)),10)</f>
        <v>288000</v>
      </c>
      <c r="G54" s="5">
        <f ca="1" t="shared" si="4"/>
        <v>3815900</v>
      </c>
      <c r="H54" s="4">
        <f ca="1">IF(AND(B54&lt;&gt;1,MOD(B54,10)=1),OFFSET(控制台!$E$1099,MATCH(C54,控制台!$B$1099:$B$1118,0)-1,0)*控制台!$E$1093,0)</f>
        <v>0</v>
      </c>
      <c r="I54" s="5">
        <f ca="1" t="shared" si="2"/>
        <v>2680</v>
      </c>
      <c r="J54" s="1">
        <f ca="1">IF(_xlfn.CEILING.MATH(B54/10)*10=10,0,IFERROR(OFFSET(控制台!$B$865,MATCH(_xlfn.CEILING.MATH(B54/10-1)*10,控制台!$D$865:$D$936,0)-1,0),0))</f>
        <v>3</v>
      </c>
      <c r="K54" s="1">
        <f ca="1">IFERROR(OFFSET(控制台!$B$865,MATCH(_xlfn.CEILING.MATH(B54/10)*10,控制台!$D$865:$D$936,0)-1,0),1)</f>
        <v>7</v>
      </c>
      <c r="L54" s="5">
        <f ca="1">Lerp_dyy(J54,K54,IF(MOD(B54,10)=0,1,MOD(B54,10)/10))</f>
        <v>6.6</v>
      </c>
      <c r="O54" s="1">
        <v>49</v>
      </c>
      <c r="P54" s="1">
        <f>_xlfn.FLOOR.MATH(O54/10+0.9)*10</f>
        <v>50</v>
      </c>
      <c r="Q54" s="1">
        <f ca="1">OFFSET(控制台!$I$1099,MATCH(P54,控制台!$H$1099:$H$1118,0)-2,0)*控制台!$K$1092</f>
        <v>180000</v>
      </c>
      <c r="R54" s="1">
        <f ca="1">OFFSET(控制台!$I$1099,MATCH(P54,控制台!$H$1099:$H$1118,0)-1,0)*控制台!$K$1092</f>
        <v>300000</v>
      </c>
      <c r="S54" s="4">
        <f ca="1">_xlfn.FLOOR.MATH(Lerp_dyy(Q54,R54,IF(MOD(O54,10)=0,1,MOD(O54,10)/10)),10)</f>
        <v>288000</v>
      </c>
      <c r="T54" s="5">
        <f ca="1" t="shared" si="1"/>
        <v>3815900</v>
      </c>
      <c r="U54" s="4">
        <f ca="1">IF(AND(O54&lt;&gt;1,MOD(O54,10)=1),OFFSET(控制台!$K$1099,MATCH(P54,控制台!$H$1099:$H$1118,0)-1,0)*控制台!$K$1093,0)</f>
        <v>0</v>
      </c>
      <c r="V54" s="5">
        <f ca="1" t="shared" si="3"/>
        <v>2680</v>
      </c>
      <c r="W54" s="1">
        <f ca="1">IF(_xlfn.CEILING.MATH(O54/10)*10=10,0,IFERROR(OFFSET(控制台!$B$1007,MATCH(_xlfn.CEILING.MATH(O54/10-1)*10,控制台!$D$1007:$D$1080,0)-1,0),0))</f>
        <v>7</v>
      </c>
      <c r="X54" s="1">
        <f ca="1">IFERROR(OFFSET(控制台!$B$1007,MATCH(_xlfn.CEILING.MATH(O54/10)*10,控制台!$D$1007:$D$1080,0)-1,0),1)</f>
        <v>13</v>
      </c>
      <c r="Y54" s="5">
        <f ca="1">Lerp_dyy(W54,X54,IF(MOD(O54,10)=0,1,MOD(O54,10)/10))</f>
        <v>12.4</v>
      </c>
    </row>
    <row r="55" spans="2:25">
      <c r="B55" s="1">
        <v>50</v>
      </c>
      <c r="C55" s="1">
        <f>_xlfn.FLOOR.MATH(B55/10+0.9)*10</f>
        <v>50</v>
      </c>
      <c r="D55" s="1">
        <f ca="1">OFFSET(控制台!$C$1099,MATCH(C55,控制台!$B$1099:$B$1118,0)-2,0)*控制台!$E$1092</f>
        <v>180000</v>
      </c>
      <c r="E55" s="1">
        <f ca="1">OFFSET(控制台!$C$1099,MATCH(C55,控制台!$B$1099:$B$1118,0)-1,0)*控制台!$E$1092</f>
        <v>300000</v>
      </c>
      <c r="F55" s="4">
        <f ca="1">_xlfn.FLOOR.MATH(Lerp_dyy(D55,E55,IF(MOD(B55,10)=0,1,MOD(B55,10)/10)),10)</f>
        <v>300000</v>
      </c>
      <c r="G55" s="5">
        <f ca="1" t="shared" si="4"/>
        <v>4115900</v>
      </c>
      <c r="H55" s="4">
        <f ca="1">IF(AND(B55&lt;&gt;1,MOD(B55,10)=1),OFFSET(控制台!$E$1099,MATCH(C55,控制台!$B$1099:$B$1118,0)-1,0)*控制台!$E$1093,0)</f>
        <v>0</v>
      </c>
      <c r="I55" s="5">
        <f ca="1" t="shared" si="2"/>
        <v>2680</v>
      </c>
      <c r="J55" s="1">
        <f ca="1">IF(_xlfn.CEILING.MATH(B55/10)*10=10,0,IFERROR(OFFSET(控制台!$B$865,MATCH(_xlfn.CEILING.MATH(B55/10-1)*10,控制台!$D$865:$D$936,0)-1,0),0))</f>
        <v>3</v>
      </c>
      <c r="K55" s="1">
        <f ca="1">IFERROR(OFFSET(控制台!$B$865,MATCH(_xlfn.CEILING.MATH(B55/10)*10,控制台!$D$865:$D$936,0)-1,0),1)</f>
        <v>7</v>
      </c>
      <c r="L55" s="5">
        <f ca="1">Lerp_dyy(J55,K55,IF(MOD(B55,10)=0,1,MOD(B55,10)/10))</f>
        <v>7</v>
      </c>
      <c r="O55" s="1">
        <v>50</v>
      </c>
      <c r="P55" s="1">
        <f>_xlfn.FLOOR.MATH(O55/10+0.9)*10</f>
        <v>50</v>
      </c>
      <c r="Q55" s="1">
        <f ca="1">OFFSET(控制台!$I$1099,MATCH(P55,控制台!$H$1099:$H$1118,0)-2,0)*控制台!$K$1092</f>
        <v>180000</v>
      </c>
      <c r="R55" s="1">
        <f ca="1">OFFSET(控制台!$I$1099,MATCH(P55,控制台!$H$1099:$H$1118,0)-1,0)*控制台!$K$1092</f>
        <v>300000</v>
      </c>
      <c r="S55" s="4">
        <f ca="1">_xlfn.FLOOR.MATH(Lerp_dyy(Q55,R55,IF(MOD(O55,10)=0,1,MOD(O55,10)/10)),10)</f>
        <v>300000</v>
      </c>
      <c r="T55" s="5">
        <f ca="1" t="shared" si="1"/>
        <v>4115900</v>
      </c>
      <c r="U55" s="4">
        <f ca="1">IF(AND(O55&lt;&gt;1,MOD(O55,10)=1),OFFSET(控制台!$K$1099,MATCH(P55,控制台!$H$1099:$H$1118,0)-1,0)*控制台!$K$1093,0)</f>
        <v>0</v>
      </c>
      <c r="V55" s="5">
        <f ca="1" t="shared" si="3"/>
        <v>2680</v>
      </c>
      <c r="W55" s="1">
        <f ca="1">IF(_xlfn.CEILING.MATH(O55/10)*10=10,0,IFERROR(OFFSET(控制台!$B$1007,MATCH(_xlfn.CEILING.MATH(O55/10-1)*10,控制台!$D$1007:$D$1080,0)-1,0),0))</f>
        <v>7</v>
      </c>
      <c r="X55" s="1">
        <f ca="1">IFERROR(OFFSET(控制台!$B$1007,MATCH(_xlfn.CEILING.MATH(O55/10)*10,控制台!$D$1007:$D$1080,0)-1,0),1)</f>
        <v>13</v>
      </c>
      <c r="Y55" s="5">
        <f ca="1">Lerp_dyy(W55,X55,IF(MOD(O55,10)=0,1,MOD(O55,10)/10))</f>
        <v>13</v>
      </c>
    </row>
    <row r="56" s="15" customFormat="1" spans="2:25">
      <c r="B56" s="15">
        <v>51</v>
      </c>
      <c r="C56" s="15">
        <f>_xlfn.FLOOR.MATH(B56/10+0.9)*10</f>
        <v>60</v>
      </c>
      <c r="D56" s="15">
        <f ca="1">OFFSET(控制台!$C$1099,MATCH(C56,控制台!$B$1099:$B$1118,0)-2,0)*控制台!$E$1092</f>
        <v>300000</v>
      </c>
      <c r="E56" s="15">
        <f ca="1">OFFSET(控制台!$C$1099,MATCH(C56,控制台!$B$1099:$B$1118,0)-1,0)*控制台!$E$1092</f>
        <v>480000</v>
      </c>
      <c r="F56" s="16">
        <f ca="1">_xlfn.FLOOR.MATH(Lerp_dyy(D56,E56,IF(MOD(B56,10)=0,1,MOD(B56,10)/10)),10)</f>
        <v>318000</v>
      </c>
      <c r="G56" s="17">
        <f ca="1" t="shared" si="4"/>
        <v>4433900</v>
      </c>
      <c r="H56" s="16">
        <f ca="1">IF(AND(B56&lt;&gt;1,MOD(B56,10)=1),OFFSET(控制台!$E$1099,MATCH(C56,控制台!$B$1099:$B$1118,0)-1,0)*控制台!$E$1093,0)</f>
        <v>3200</v>
      </c>
      <c r="I56" s="17">
        <f ca="1" t="shared" si="2"/>
        <v>5880</v>
      </c>
      <c r="J56" s="15">
        <f ca="1">IF(_xlfn.CEILING.MATH(B56/10)*10=10,0,IFERROR(OFFSET(控制台!$B$865,MATCH(_xlfn.CEILING.MATH(B56/10-1)*10,控制台!$D$865:$D$936,0)-1,0),0))</f>
        <v>7</v>
      </c>
      <c r="K56" s="15">
        <f ca="1">IFERROR(OFFSET(控制台!$B$865,MATCH(_xlfn.CEILING.MATH(B56/10)*10,控制台!$D$865:$D$936,0)-1,0),1)</f>
        <v>13</v>
      </c>
      <c r="L56" s="17">
        <f ca="1">Lerp_dyy(J56,K56,IF(MOD(B56,10)=0,1,MOD(B56,10)/10))</f>
        <v>7.6</v>
      </c>
      <c r="O56" s="15">
        <v>51</v>
      </c>
      <c r="P56" s="1">
        <f>_xlfn.FLOOR.MATH(O56/10+0.9)*10</f>
        <v>60</v>
      </c>
      <c r="Q56" s="1">
        <f ca="1">OFFSET(控制台!$I$1099,MATCH(P56,控制台!$H$1099:$H$1118,0)-2,0)*控制台!$K$1092</f>
        <v>300000</v>
      </c>
      <c r="R56" s="1">
        <f ca="1">OFFSET(控制台!$I$1099,MATCH(P56,控制台!$H$1099:$H$1118,0)-1,0)*控制台!$K$1092</f>
        <v>480000</v>
      </c>
      <c r="S56" s="16">
        <f ca="1">_xlfn.FLOOR.MATH(Lerp_dyy(Q56,R56,IF(MOD(O56,10)=0,1,MOD(O56,10)/10)),10)</f>
        <v>318000</v>
      </c>
      <c r="T56" s="17">
        <f ca="1" t="shared" si="1"/>
        <v>4433900</v>
      </c>
      <c r="U56" s="4">
        <f ca="1">IF(AND(O56&lt;&gt;1,MOD(O56,10)=1),OFFSET(控制台!$K$1099,MATCH(P56,控制台!$H$1099:$H$1118,0)-1,0)*控制台!$K$1093,0)</f>
        <v>3200</v>
      </c>
      <c r="V56" s="17">
        <f ca="1" t="shared" si="3"/>
        <v>5880</v>
      </c>
      <c r="W56" s="1">
        <f ca="1">IF(_xlfn.CEILING.MATH(O56/10)*10=10,0,IFERROR(OFFSET(控制台!$B$1007,MATCH(_xlfn.CEILING.MATH(O56/10-1)*10,控制台!$D$1007:$D$1080,0)-1,0),0))</f>
        <v>13</v>
      </c>
      <c r="X56" s="1">
        <f ca="1">IFERROR(OFFSET(控制台!$B$1007,MATCH(_xlfn.CEILING.MATH(O56/10)*10,控制台!$D$1007:$D$1080,0)-1,0),1)</f>
        <v>20</v>
      </c>
      <c r="Y56" s="17">
        <f ca="1">Lerp_dyy(W56,X56,IF(MOD(O56,10)=0,1,MOD(O56,10)/10))</f>
        <v>13.7</v>
      </c>
    </row>
    <row r="57" s="15" customFormat="1" spans="2:25">
      <c r="B57" s="15">
        <v>52</v>
      </c>
      <c r="C57" s="15">
        <f>_xlfn.FLOOR.MATH(B57/10+0.9)*10</f>
        <v>60</v>
      </c>
      <c r="D57" s="15">
        <f ca="1">OFFSET(控制台!$C$1099,MATCH(C57,控制台!$B$1099:$B$1118,0)-2,0)*控制台!$E$1092</f>
        <v>300000</v>
      </c>
      <c r="E57" s="15">
        <f ca="1">OFFSET(控制台!$C$1099,MATCH(C57,控制台!$B$1099:$B$1118,0)-1,0)*控制台!$E$1092</f>
        <v>480000</v>
      </c>
      <c r="F57" s="16">
        <f ca="1">_xlfn.FLOOR.MATH(Lerp_dyy(D57,E57,IF(MOD(B57,10)=0,1,MOD(B57,10)/10)),10)</f>
        <v>336000</v>
      </c>
      <c r="G57" s="17">
        <f ca="1" t="shared" si="4"/>
        <v>4769900</v>
      </c>
      <c r="H57" s="16">
        <f ca="1">IF(AND(B57&lt;&gt;1,MOD(B57,10)=1),OFFSET(控制台!$E$1099,MATCH(C57,控制台!$B$1099:$B$1118,0)-1,0)*控制台!$E$1093,0)</f>
        <v>0</v>
      </c>
      <c r="I57" s="17">
        <f ca="1" t="shared" si="2"/>
        <v>5880</v>
      </c>
      <c r="J57" s="15">
        <f ca="1">IF(_xlfn.CEILING.MATH(B57/10)*10=10,0,IFERROR(OFFSET(控制台!$B$865,MATCH(_xlfn.CEILING.MATH(B57/10-1)*10,控制台!$D$865:$D$936,0)-1,0),0))</f>
        <v>7</v>
      </c>
      <c r="K57" s="15">
        <f ca="1">IFERROR(OFFSET(控制台!$B$865,MATCH(_xlfn.CEILING.MATH(B57/10)*10,控制台!$D$865:$D$936,0)-1,0),1)</f>
        <v>13</v>
      </c>
      <c r="L57" s="17">
        <f ca="1">Lerp_dyy(J57,K57,IF(MOD(B57,10)=0,1,MOD(B57,10)/10))</f>
        <v>8.2</v>
      </c>
      <c r="O57" s="15">
        <v>52</v>
      </c>
      <c r="P57" s="1">
        <f>_xlfn.FLOOR.MATH(O57/10+0.9)*10</f>
        <v>60</v>
      </c>
      <c r="Q57" s="1">
        <f ca="1">OFFSET(控制台!$I$1099,MATCH(P57,控制台!$H$1099:$H$1118,0)-2,0)*控制台!$K$1092</f>
        <v>300000</v>
      </c>
      <c r="R57" s="1">
        <f ca="1">OFFSET(控制台!$I$1099,MATCH(P57,控制台!$H$1099:$H$1118,0)-1,0)*控制台!$K$1092</f>
        <v>480000</v>
      </c>
      <c r="S57" s="16">
        <f ca="1">_xlfn.FLOOR.MATH(Lerp_dyy(Q57,R57,IF(MOD(O57,10)=0,1,MOD(O57,10)/10)),10)</f>
        <v>336000</v>
      </c>
      <c r="T57" s="17">
        <f ca="1" t="shared" si="1"/>
        <v>4769900</v>
      </c>
      <c r="U57" s="4">
        <f ca="1">IF(AND(O57&lt;&gt;1,MOD(O57,10)=1),OFFSET(控制台!$K$1099,MATCH(P57,控制台!$H$1099:$H$1118,0)-1,0)*控制台!$K$1093,0)</f>
        <v>0</v>
      </c>
      <c r="V57" s="17">
        <f ca="1" t="shared" si="3"/>
        <v>5880</v>
      </c>
      <c r="W57" s="1">
        <f ca="1">IF(_xlfn.CEILING.MATH(O57/10)*10=10,0,IFERROR(OFFSET(控制台!$B$1007,MATCH(_xlfn.CEILING.MATH(O57/10-1)*10,控制台!$D$1007:$D$1080,0)-1,0),0))</f>
        <v>13</v>
      </c>
      <c r="X57" s="1">
        <f ca="1">IFERROR(OFFSET(控制台!$B$1007,MATCH(_xlfn.CEILING.MATH(O57/10)*10,控制台!$D$1007:$D$1080,0)-1,0),1)</f>
        <v>20</v>
      </c>
      <c r="Y57" s="17">
        <f ca="1">Lerp_dyy(W57,X57,IF(MOD(O57,10)=0,1,MOD(O57,10)/10))</f>
        <v>14.4</v>
      </c>
    </row>
    <row r="58" s="15" customFormat="1" spans="2:25">
      <c r="B58" s="15">
        <v>53</v>
      </c>
      <c r="C58" s="15">
        <f>_xlfn.FLOOR.MATH(B58/10+0.9)*10</f>
        <v>60</v>
      </c>
      <c r="D58" s="15">
        <f ca="1">OFFSET(控制台!$C$1099,MATCH(C58,控制台!$B$1099:$B$1118,0)-2,0)*控制台!$E$1092</f>
        <v>300000</v>
      </c>
      <c r="E58" s="15">
        <f ca="1">OFFSET(控制台!$C$1099,MATCH(C58,控制台!$B$1099:$B$1118,0)-1,0)*控制台!$E$1092</f>
        <v>480000</v>
      </c>
      <c r="F58" s="16">
        <f ca="1">_xlfn.FLOOR.MATH(Lerp_dyy(D58,E58,IF(MOD(B58,10)=0,1,MOD(B58,10)/10)),10)</f>
        <v>354000</v>
      </c>
      <c r="G58" s="17">
        <f ca="1" t="shared" si="4"/>
        <v>5123900</v>
      </c>
      <c r="H58" s="16">
        <f ca="1">IF(AND(B58&lt;&gt;1,MOD(B58,10)=1),OFFSET(控制台!$E$1099,MATCH(C58,控制台!$B$1099:$B$1118,0)-1,0)*控制台!$E$1093,0)</f>
        <v>0</v>
      </c>
      <c r="I58" s="17">
        <f ca="1" t="shared" si="2"/>
        <v>5880</v>
      </c>
      <c r="J58" s="15">
        <f ca="1">IF(_xlfn.CEILING.MATH(B58/10)*10=10,0,IFERROR(OFFSET(控制台!$B$865,MATCH(_xlfn.CEILING.MATH(B58/10-1)*10,控制台!$D$865:$D$936,0)-1,0),0))</f>
        <v>7</v>
      </c>
      <c r="K58" s="15">
        <f ca="1">IFERROR(OFFSET(控制台!$B$865,MATCH(_xlfn.CEILING.MATH(B58/10)*10,控制台!$D$865:$D$936,0)-1,0),1)</f>
        <v>13</v>
      </c>
      <c r="L58" s="17">
        <f ca="1">Lerp_dyy(J58,K58,IF(MOD(B58,10)=0,1,MOD(B58,10)/10))</f>
        <v>8.8</v>
      </c>
      <c r="O58" s="15">
        <v>53</v>
      </c>
      <c r="P58" s="1">
        <f>_xlfn.FLOOR.MATH(O58/10+0.9)*10</f>
        <v>60</v>
      </c>
      <c r="Q58" s="1">
        <f ca="1">OFFSET(控制台!$I$1099,MATCH(P58,控制台!$H$1099:$H$1118,0)-2,0)*控制台!$K$1092</f>
        <v>300000</v>
      </c>
      <c r="R58" s="1">
        <f ca="1">OFFSET(控制台!$I$1099,MATCH(P58,控制台!$H$1099:$H$1118,0)-1,0)*控制台!$K$1092</f>
        <v>480000</v>
      </c>
      <c r="S58" s="16">
        <f ca="1">_xlfn.FLOOR.MATH(Lerp_dyy(Q58,R58,IF(MOD(O58,10)=0,1,MOD(O58,10)/10)),10)</f>
        <v>354000</v>
      </c>
      <c r="T58" s="17">
        <f ca="1" t="shared" si="1"/>
        <v>5123900</v>
      </c>
      <c r="U58" s="4">
        <f ca="1">IF(AND(O58&lt;&gt;1,MOD(O58,10)=1),OFFSET(控制台!$K$1099,MATCH(P58,控制台!$H$1099:$H$1118,0)-1,0)*控制台!$K$1093,0)</f>
        <v>0</v>
      </c>
      <c r="V58" s="17">
        <f ca="1" t="shared" si="3"/>
        <v>5880</v>
      </c>
      <c r="W58" s="1">
        <f ca="1">IF(_xlfn.CEILING.MATH(O58/10)*10=10,0,IFERROR(OFFSET(控制台!$B$1007,MATCH(_xlfn.CEILING.MATH(O58/10-1)*10,控制台!$D$1007:$D$1080,0)-1,0),0))</f>
        <v>13</v>
      </c>
      <c r="X58" s="1">
        <f ca="1">IFERROR(OFFSET(控制台!$B$1007,MATCH(_xlfn.CEILING.MATH(O58/10)*10,控制台!$D$1007:$D$1080,0)-1,0),1)</f>
        <v>20</v>
      </c>
      <c r="Y58" s="17">
        <f ca="1">Lerp_dyy(W58,X58,IF(MOD(O58,10)=0,1,MOD(O58,10)/10))</f>
        <v>15.1</v>
      </c>
    </row>
    <row r="59" s="15" customFormat="1" spans="2:25">
      <c r="B59" s="15">
        <v>54</v>
      </c>
      <c r="C59" s="15">
        <f>_xlfn.FLOOR.MATH(B59/10+0.9)*10</f>
        <v>60</v>
      </c>
      <c r="D59" s="15">
        <f ca="1">OFFSET(控制台!$C$1099,MATCH(C59,控制台!$B$1099:$B$1118,0)-2,0)*控制台!$E$1092</f>
        <v>300000</v>
      </c>
      <c r="E59" s="15">
        <f ca="1">OFFSET(控制台!$C$1099,MATCH(C59,控制台!$B$1099:$B$1118,0)-1,0)*控制台!$E$1092</f>
        <v>480000</v>
      </c>
      <c r="F59" s="16">
        <f ca="1">_xlfn.FLOOR.MATH(Lerp_dyy(D59,E59,IF(MOD(B59,10)=0,1,MOD(B59,10)/10)),10)</f>
        <v>372000</v>
      </c>
      <c r="G59" s="17">
        <f ca="1" t="shared" si="4"/>
        <v>5495900</v>
      </c>
      <c r="H59" s="16">
        <f ca="1">IF(AND(B59&lt;&gt;1,MOD(B59,10)=1),OFFSET(控制台!$E$1099,MATCH(C59,控制台!$B$1099:$B$1118,0)-1,0)*控制台!$E$1093,0)</f>
        <v>0</v>
      </c>
      <c r="I59" s="17">
        <f ca="1" t="shared" si="2"/>
        <v>5880</v>
      </c>
      <c r="J59" s="15">
        <f ca="1">IF(_xlfn.CEILING.MATH(B59/10)*10=10,0,IFERROR(OFFSET(控制台!$B$865,MATCH(_xlfn.CEILING.MATH(B59/10-1)*10,控制台!$D$865:$D$936,0)-1,0),0))</f>
        <v>7</v>
      </c>
      <c r="K59" s="15">
        <f ca="1">IFERROR(OFFSET(控制台!$B$865,MATCH(_xlfn.CEILING.MATH(B59/10)*10,控制台!$D$865:$D$936,0)-1,0),1)</f>
        <v>13</v>
      </c>
      <c r="L59" s="17">
        <f ca="1">Lerp_dyy(J59,K59,IF(MOD(B59,10)=0,1,MOD(B59,10)/10))</f>
        <v>9.4</v>
      </c>
      <c r="O59" s="15">
        <v>54</v>
      </c>
      <c r="P59" s="1">
        <f>_xlfn.FLOOR.MATH(O59/10+0.9)*10</f>
        <v>60</v>
      </c>
      <c r="Q59" s="1">
        <f ca="1">OFFSET(控制台!$I$1099,MATCH(P59,控制台!$H$1099:$H$1118,0)-2,0)*控制台!$K$1092</f>
        <v>300000</v>
      </c>
      <c r="R59" s="1">
        <f ca="1">OFFSET(控制台!$I$1099,MATCH(P59,控制台!$H$1099:$H$1118,0)-1,0)*控制台!$K$1092</f>
        <v>480000</v>
      </c>
      <c r="S59" s="16">
        <f ca="1">_xlfn.FLOOR.MATH(Lerp_dyy(Q59,R59,IF(MOD(O59,10)=0,1,MOD(O59,10)/10)),10)</f>
        <v>372000</v>
      </c>
      <c r="T59" s="17">
        <f ca="1" t="shared" si="1"/>
        <v>5495900</v>
      </c>
      <c r="U59" s="4">
        <f ca="1">IF(AND(O59&lt;&gt;1,MOD(O59,10)=1),OFFSET(控制台!$K$1099,MATCH(P59,控制台!$H$1099:$H$1118,0)-1,0)*控制台!$K$1093,0)</f>
        <v>0</v>
      </c>
      <c r="V59" s="17">
        <f ca="1" t="shared" si="3"/>
        <v>5880</v>
      </c>
      <c r="W59" s="1">
        <f ca="1">IF(_xlfn.CEILING.MATH(O59/10)*10=10,0,IFERROR(OFFSET(控制台!$B$1007,MATCH(_xlfn.CEILING.MATH(O59/10-1)*10,控制台!$D$1007:$D$1080,0)-1,0),0))</f>
        <v>13</v>
      </c>
      <c r="X59" s="1">
        <f ca="1">IFERROR(OFFSET(控制台!$B$1007,MATCH(_xlfn.CEILING.MATH(O59/10)*10,控制台!$D$1007:$D$1080,0)-1,0),1)</f>
        <v>20</v>
      </c>
      <c r="Y59" s="17">
        <f ca="1">Lerp_dyy(W59,X59,IF(MOD(O59,10)=0,1,MOD(O59,10)/10))</f>
        <v>15.8</v>
      </c>
    </row>
    <row r="60" s="15" customFormat="1" spans="2:25">
      <c r="B60" s="15">
        <v>55</v>
      </c>
      <c r="C60" s="15">
        <f>_xlfn.FLOOR.MATH(B60/10+0.9)*10</f>
        <v>60</v>
      </c>
      <c r="D60" s="15">
        <f ca="1">OFFSET(控制台!$C$1099,MATCH(C60,控制台!$B$1099:$B$1118,0)-2,0)*控制台!$E$1092</f>
        <v>300000</v>
      </c>
      <c r="E60" s="15">
        <f ca="1">OFFSET(控制台!$C$1099,MATCH(C60,控制台!$B$1099:$B$1118,0)-1,0)*控制台!$E$1092</f>
        <v>480000</v>
      </c>
      <c r="F60" s="16">
        <f ca="1">_xlfn.FLOOR.MATH(Lerp_dyy(D60,E60,IF(MOD(B60,10)=0,1,MOD(B60,10)/10)),10)</f>
        <v>390000</v>
      </c>
      <c r="G60" s="17">
        <f ca="1" t="shared" si="4"/>
        <v>5885900</v>
      </c>
      <c r="H60" s="16">
        <f ca="1">IF(AND(B60&lt;&gt;1,MOD(B60,10)=1),OFFSET(控制台!$E$1099,MATCH(C60,控制台!$B$1099:$B$1118,0)-1,0)*控制台!$E$1093,0)</f>
        <v>0</v>
      </c>
      <c r="I60" s="17">
        <f ca="1" t="shared" si="2"/>
        <v>5880</v>
      </c>
      <c r="J60" s="15">
        <f ca="1">IF(_xlfn.CEILING.MATH(B60/10)*10=10,0,IFERROR(OFFSET(控制台!$B$865,MATCH(_xlfn.CEILING.MATH(B60/10-1)*10,控制台!$D$865:$D$936,0)-1,0),0))</f>
        <v>7</v>
      </c>
      <c r="K60" s="15">
        <f ca="1">IFERROR(OFFSET(控制台!$B$865,MATCH(_xlfn.CEILING.MATH(B60/10)*10,控制台!$D$865:$D$936,0)-1,0),1)</f>
        <v>13</v>
      </c>
      <c r="L60" s="17">
        <f ca="1">Lerp_dyy(J60,K60,IF(MOD(B60,10)=0,1,MOD(B60,10)/10))</f>
        <v>10</v>
      </c>
      <c r="O60" s="15">
        <v>55</v>
      </c>
      <c r="P60" s="1">
        <f>_xlfn.FLOOR.MATH(O60/10+0.9)*10</f>
        <v>60</v>
      </c>
      <c r="Q60" s="1">
        <f ca="1">OFFSET(控制台!$I$1099,MATCH(P60,控制台!$H$1099:$H$1118,0)-2,0)*控制台!$K$1092</f>
        <v>300000</v>
      </c>
      <c r="R60" s="1">
        <f ca="1">OFFSET(控制台!$I$1099,MATCH(P60,控制台!$H$1099:$H$1118,0)-1,0)*控制台!$K$1092</f>
        <v>480000</v>
      </c>
      <c r="S60" s="16">
        <f ca="1">_xlfn.FLOOR.MATH(Lerp_dyy(Q60,R60,IF(MOD(O60,10)=0,1,MOD(O60,10)/10)),10)</f>
        <v>390000</v>
      </c>
      <c r="T60" s="17">
        <f ca="1" t="shared" si="1"/>
        <v>5885900</v>
      </c>
      <c r="U60" s="4">
        <f ca="1">IF(AND(O60&lt;&gt;1,MOD(O60,10)=1),OFFSET(控制台!$K$1099,MATCH(P60,控制台!$H$1099:$H$1118,0)-1,0)*控制台!$K$1093,0)</f>
        <v>0</v>
      </c>
      <c r="V60" s="17">
        <f ca="1" t="shared" si="3"/>
        <v>5880</v>
      </c>
      <c r="W60" s="1">
        <f ca="1">IF(_xlfn.CEILING.MATH(O60/10)*10=10,0,IFERROR(OFFSET(控制台!$B$1007,MATCH(_xlfn.CEILING.MATH(O60/10-1)*10,控制台!$D$1007:$D$1080,0)-1,0),0))</f>
        <v>13</v>
      </c>
      <c r="X60" s="1">
        <f ca="1">IFERROR(OFFSET(控制台!$B$1007,MATCH(_xlfn.CEILING.MATH(O60/10)*10,控制台!$D$1007:$D$1080,0)-1,0),1)</f>
        <v>20</v>
      </c>
      <c r="Y60" s="17">
        <f ca="1">Lerp_dyy(W60,X60,IF(MOD(O60,10)=0,1,MOD(O60,10)/10))</f>
        <v>16.5</v>
      </c>
    </row>
    <row r="61" s="15" customFormat="1" spans="2:25">
      <c r="B61" s="15">
        <v>56</v>
      </c>
      <c r="C61" s="15">
        <f>_xlfn.FLOOR.MATH(B61/10+0.9)*10</f>
        <v>60</v>
      </c>
      <c r="D61" s="15">
        <f ca="1">OFFSET(控制台!$C$1099,MATCH(C61,控制台!$B$1099:$B$1118,0)-2,0)*控制台!$E$1092</f>
        <v>300000</v>
      </c>
      <c r="E61" s="15">
        <f ca="1">OFFSET(控制台!$C$1099,MATCH(C61,控制台!$B$1099:$B$1118,0)-1,0)*控制台!$E$1092</f>
        <v>480000</v>
      </c>
      <c r="F61" s="16">
        <f ca="1">_xlfn.FLOOR.MATH(Lerp_dyy(D61,E61,IF(MOD(B61,10)=0,1,MOD(B61,10)/10)),10)</f>
        <v>408000</v>
      </c>
      <c r="G61" s="17">
        <f ca="1" t="shared" si="4"/>
        <v>6293900</v>
      </c>
      <c r="H61" s="16">
        <f ca="1">IF(AND(B61&lt;&gt;1,MOD(B61,10)=1),OFFSET(控制台!$E$1099,MATCH(C61,控制台!$B$1099:$B$1118,0)-1,0)*控制台!$E$1093,0)</f>
        <v>0</v>
      </c>
      <c r="I61" s="17">
        <f ca="1" t="shared" si="2"/>
        <v>5880</v>
      </c>
      <c r="J61" s="15">
        <f ca="1">IF(_xlfn.CEILING.MATH(B61/10)*10=10,0,IFERROR(OFFSET(控制台!$B$865,MATCH(_xlfn.CEILING.MATH(B61/10-1)*10,控制台!$D$865:$D$936,0)-1,0),0))</f>
        <v>7</v>
      </c>
      <c r="K61" s="15">
        <f ca="1">IFERROR(OFFSET(控制台!$B$865,MATCH(_xlfn.CEILING.MATH(B61/10)*10,控制台!$D$865:$D$936,0)-1,0),1)</f>
        <v>13</v>
      </c>
      <c r="L61" s="17">
        <f ca="1">Lerp_dyy(J61,K61,IF(MOD(B61,10)=0,1,MOD(B61,10)/10))</f>
        <v>10.6</v>
      </c>
      <c r="O61" s="15">
        <v>56</v>
      </c>
      <c r="P61" s="1">
        <f>_xlfn.FLOOR.MATH(O61/10+0.9)*10</f>
        <v>60</v>
      </c>
      <c r="Q61" s="1">
        <f ca="1">OFFSET(控制台!$I$1099,MATCH(P61,控制台!$H$1099:$H$1118,0)-2,0)*控制台!$K$1092</f>
        <v>300000</v>
      </c>
      <c r="R61" s="1">
        <f ca="1">OFFSET(控制台!$I$1099,MATCH(P61,控制台!$H$1099:$H$1118,0)-1,0)*控制台!$K$1092</f>
        <v>480000</v>
      </c>
      <c r="S61" s="16">
        <f ca="1">_xlfn.FLOOR.MATH(Lerp_dyy(Q61,R61,IF(MOD(O61,10)=0,1,MOD(O61,10)/10)),10)</f>
        <v>408000</v>
      </c>
      <c r="T61" s="17">
        <f ca="1" t="shared" si="1"/>
        <v>6293900</v>
      </c>
      <c r="U61" s="4">
        <f ca="1">IF(AND(O61&lt;&gt;1,MOD(O61,10)=1),OFFSET(控制台!$K$1099,MATCH(P61,控制台!$H$1099:$H$1118,0)-1,0)*控制台!$K$1093,0)</f>
        <v>0</v>
      </c>
      <c r="V61" s="17">
        <f ca="1" t="shared" si="3"/>
        <v>5880</v>
      </c>
      <c r="W61" s="1">
        <f ca="1">IF(_xlfn.CEILING.MATH(O61/10)*10=10,0,IFERROR(OFFSET(控制台!$B$1007,MATCH(_xlfn.CEILING.MATH(O61/10-1)*10,控制台!$D$1007:$D$1080,0)-1,0),0))</f>
        <v>13</v>
      </c>
      <c r="X61" s="1">
        <f ca="1">IFERROR(OFFSET(控制台!$B$1007,MATCH(_xlfn.CEILING.MATH(O61/10)*10,控制台!$D$1007:$D$1080,0)-1,0),1)</f>
        <v>20</v>
      </c>
      <c r="Y61" s="17">
        <f ca="1">Lerp_dyy(W61,X61,IF(MOD(O61,10)=0,1,MOD(O61,10)/10))</f>
        <v>17.2</v>
      </c>
    </row>
    <row r="62" s="15" customFormat="1" spans="2:25">
      <c r="B62" s="15">
        <v>57</v>
      </c>
      <c r="C62" s="15">
        <f>_xlfn.FLOOR.MATH(B62/10+0.9)*10</f>
        <v>60</v>
      </c>
      <c r="D62" s="15">
        <f ca="1">OFFSET(控制台!$C$1099,MATCH(C62,控制台!$B$1099:$B$1118,0)-2,0)*控制台!$E$1092</f>
        <v>300000</v>
      </c>
      <c r="E62" s="15">
        <f ca="1">OFFSET(控制台!$C$1099,MATCH(C62,控制台!$B$1099:$B$1118,0)-1,0)*控制台!$E$1092</f>
        <v>480000</v>
      </c>
      <c r="F62" s="16">
        <f ca="1">_xlfn.FLOOR.MATH(Lerp_dyy(D62,E62,IF(MOD(B62,10)=0,1,MOD(B62,10)/10)),10)</f>
        <v>426000</v>
      </c>
      <c r="G62" s="17">
        <f ca="1" t="shared" si="4"/>
        <v>6719900</v>
      </c>
      <c r="H62" s="16">
        <f ca="1">IF(AND(B62&lt;&gt;1,MOD(B62,10)=1),OFFSET(控制台!$E$1099,MATCH(C62,控制台!$B$1099:$B$1118,0)-1,0)*控制台!$E$1093,0)</f>
        <v>0</v>
      </c>
      <c r="I62" s="17">
        <f ca="1" t="shared" si="2"/>
        <v>5880</v>
      </c>
      <c r="J62" s="15">
        <f ca="1">IF(_xlfn.CEILING.MATH(B62/10)*10=10,0,IFERROR(OFFSET(控制台!$B$865,MATCH(_xlfn.CEILING.MATH(B62/10-1)*10,控制台!$D$865:$D$936,0)-1,0),0))</f>
        <v>7</v>
      </c>
      <c r="K62" s="15">
        <f ca="1">IFERROR(OFFSET(控制台!$B$865,MATCH(_xlfn.CEILING.MATH(B62/10)*10,控制台!$D$865:$D$936,0)-1,0),1)</f>
        <v>13</v>
      </c>
      <c r="L62" s="17">
        <f ca="1">Lerp_dyy(J62,K62,IF(MOD(B62,10)=0,1,MOD(B62,10)/10))</f>
        <v>11.2</v>
      </c>
      <c r="O62" s="15">
        <v>57</v>
      </c>
      <c r="P62" s="1">
        <f>_xlfn.FLOOR.MATH(O62/10+0.9)*10</f>
        <v>60</v>
      </c>
      <c r="Q62" s="1">
        <f ca="1">OFFSET(控制台!$I$1099,MATCH(P62,控制台!$H$1099:$H$1118,0)-2,0)*控制台!$K$1092</f>
        <v>300000</v>
      </c>
      <c r="R62" s="1">
        <f ca="1">OFFSET(控制台!$I$1099,MATCH(P62,控制台!$H$1099:$H$1118,0)-1,0)*控制台!$K$1092</f>
        <v>480000</v>
      </c>
      <c r="S62" s="16">
        <f ca="1">_xlfn.FLOOR.MATH(Lerp_dyy(Q62,R62,IF(MOD(O62,10)=0,1,MOD(O62,10)/10)),10)</f>
        <v>426000</v>
      </c>
      <c r="T62" s="17">
        <f ca="1" t="shared" si="1"/>
        <v>6719900</v>
      </c>
      <c r="U62" s="4">
        <f ca="1">IF(AND(O62&lt;&gt;1,MOD(O62,10)=1),OFFSET(控制台!$K$1099,MATCH(P62,控制台!$H$1099:$H$1118,0)-1,0)*控制台!$K$1093,0)</f>
        <v>0</v>
      </c>
      <c r="V62" s="17">
        <f ca="1" t="shared" si="3"/>
        <v>5880</v>
      </c>
      <c r="W62" s="1">
        <f ca="1">IF(_xlfn.CEILING.MATH(O62/10)*10=10,0,IFERROR(OFFSET(控制台!$B$1007,MATCH(_xlfn.CEILING.MATH(O62/10-1)*10,控制台!$D$1007:$D$1080,0)-1,0),0))</f>
        <v>13</v>
      </c>
      <c r="X62" s="1">
        <f ca="1">IFERROR(OFFSET(控制台!$B$1007,MATCH(_xlfn.CEILING.MATH(O62/10)*10,控制台!$D$1007:$D$1080,0)-1,0),1)</f>
        <v>20</v>
      </c>
      <c r="Y62" s="17">
        <f ca="1">Lerp_dyy(W62,X62,IF(MOD(O62,10)=0,1,MOD(O62,10)/10))</f>
        <v>17.9</v>
      </c>
    </row>
    <row r="63" s="15" customFormat="1" spans="2:25">
      <c r="B63" s="15">
        <v>58</v>
      </c>
      <c r="C63" s="15">
        <f>_xlfn.FLOOR.MATH(B63/10+0.9)*10</f>
        <v>60</v>
      </c>
      <c r="D63" s="15">
        <f ca="1">OFFSET(控制台!$C$1099,MATCH(C63,控制台!$B$1099:$B$1118,0)-2,0)*控制台!$E$1092</f>
        <v>300000</v>
      </c>
      <c r="E63" s="15">
        <f ca="1">OFFSET(控制台!$C$1099,MATCH(C63,控制台!$B$1099:$B$1118,0)-1,0)*控制台!$E$1092</f>
        <v>480000</v>
      </c>
      <c r="F63" s="16">
        <f ca="1">_xlfn.FLOOR.MATH(Lerp_dyy(D63,E63,IF(MOD(B63,10)=0,1,MOD(B63,10)/10)),10)</f>
        <v>444000</v>
      </c>
      <c r="G63" s="17">
        <f ca="1" t="shared" si="4"/>
        <v>7163900</v>
      </c>
      <c r="H63" s="16">
        <f ca="1">IF(AND(B63&lt;&gt;1,MOD(B63,10)=1),OFFSET(控制台!$E$1099,MATCH(C63,控制台!$B$1099:$B$1118,0)-1,0)*控制台!$E$1093,0)</f>
        <v>0</v>
      </c>
      <c r="I63" s="17">
        <f ca="1" t="shared" si="2"/>
        <v>5880</v>
      </c>
      <c r="J63" s="15">
        <f ca="1">IF(_xlfn.CEILING.MATH(B63/10)*10=10,0,IFERROR(OFFSET(控制台!$B$865,MATCH(_xlfn.CEILING.MATH(B63/10-1)*10,控制台!$D$865:$D$936,0)-1,0),0))</f>
        <v>7</v>
      </c>
      <c r="K63" s="15">
        <f ca="1">IFERROR(OFFSET(控制台!$B$865,MATCH(_xlfn.CEILING.MATH(B63/10)*10,控制台!$D$865:$D$936,0)-1,0),1)</f>
        <v>13</v>
      </c>
      <c r="L63" s="17">
        <f ca="1">Lerp_dyy(J63,K63,IF(MOD(B63,10)=0,1,MOD(B63,10)/10))</f>
        <v>11.8</v>
      </c>
      <c r="O63" s="15">
        <v>58</v>
      </c>
      <c r="P63" s="1">
        <f>_xlfn.FLOOR.MATH(O63/10+0.9)*10</f>
        <v>60</v>
      </c>
      <c r="Q63" s="1">
        <f ca="1">OFFSET(控制台!$I$1099,MATCH(P63,控制台!$H$1099:$H$1118,0)-2,0)*控制台!$K$1092</f>
        <v>300000</v>
      </c>
      <c r="R63" s="1">
        <f ca="1">OFFSET(控制台!$I$1099,MATCH(P63,控制台!$H$1099:$H$1118,0)-1,0)*控制台!$K$1092</f>
        <v>480000</v>
      </c>
      <c r="S63" s="16">
        <f ca="1">_xlfn.FLOOR.MATH(Lerp_dyy(Q63,R63,IF(MOD(O63,10)=0,1,MOD(O63,10)/10)),10)</f>
        <v>444000</v>
      </c>
      <c r="T63" s="17">
        <f ca="1" t="shared" si="1"/>
        <v>7163900</v>
      </c>
      <c r="U63" s="4">
        <f ca="1">IF(AND(O63&lt;&gt;1,MOD(O63,10)=1),OFFSET(控制台!$K$1099,MATCH(P63,控制台!$H$1099:$H$1118,0)-1,0)*控制台!$K$1093,0)</f>
        <v>0</v>
      </c>
      <c r="V63" s="17">
        <f ca="1" t="shared" si="3"/>
        <v>5880</v>
      </c>
      <c r="W63" s="1">
        <f ca="1">IF(_xlfn.CEILING.MATH(O63/10)*10=10,0,IFERROR(OFFSET(控制台!$B$1007,MATCH(_xlfn.CEILING.MATH(O63/10-1)*10,控制台!$D$1007:$D$1080,0)-1,0),0))</f>
        <v>13</v>
      </c>
      <c r="X63" s="1">
        <f ca="1">IFERROR(OFFSET(控制台!$B$1007,MATCH(_xlfn.CEILING.MATH(O63/10)*10,控制台!$D$1007:$D$1080,0)-1,0),1)</f>
        <v>20</v>
      </c>
      <c r="Y63" s="17">
        <f ca="1">Lerp_dyy(W63,X63,IF(MOD(O63,10)=0,1,MOD(O63,10)/10))</f>
        <v>18.6</v>
      </c>
    </row>
    <row r="64" s="15" customFormat="1" spans="2:25">
      <c r="B64" s="15">
        <v>59</v>
      </c>
      <c r="C64" s="15">
        <f>_xlfn.FLOOR.MATH(B64/10+0.9)*10</f>
        <v>60</v>
      </c>
      <c r="D64" s="15">
        <f ca="1">OFFSET(控制台!$C$1099,MATCH(C64,控制台!$B$1099:$B$1118,0)-2,0)*控制台!$E$1092</f>
        <v>300000</v>
      </c>
      <c r="E64" s="15">
        <f ca="1">OFFSET(控制台!$C$1099,MATCH(C64,控制台!$B$1099:$B$1118,0)-1,0)*控制台!$E$1092</f>
        <v>480000</v>
      </c>
      <c r="F64" s="16">
        <f ca="1">_xlfn.FLOOR.MATH(Lerp_dyy(D64,E64,IF(MOD(B64,10)=0,1,MOD(B64,10)/10)),10)</f>
        <v>462000</v>
      </c>
      <c r="G64" s="17">
        <f ca="1" t="shared" si="4"/>
        <v>7625900</v>
      </c>
      <c r="H64" s="16">
        <f ca="1">IF(AND(B64&lt;&gt;1,MOD(B64,10)=1),OFFSET(控制台!$E$1099,MATCH(C64,控制台!$B$1099:$B$1118,0)-1,0)*控制台!$E$1093,0)</f>
        <v>0</v>
      </c>
      <c r="I64" s="17">
        <f ca="1" t="shared" si="2"/>
        <v>5880</v>
      </c>
      <c r="J64" s="15">
        <f ca="1">IF(_xlfn.CEILING.MATH(B64/10)*10=10,0,IFERROR(OFFSET(控制台!$B$865,MATCH(_xlfn.CEILING.MATH(B64/10-1)*10,控制台!$D$865:$D$936,0)-1,0),0))</f>
        <v>7</v>
      </c>
      <c r="K64" s="15">
        <f ca="1">IFERROR(OFFSET(控制台!$B$865,MATCH(_xlfn.CEILING.MATH(B64/10)*10,控制台!$D$865:$D$936,0)-1,0),1)</f>
        <v>13</v>
      </c>
      <c r="L64" s="17">
        <f ca="1">Lerp_dyy(J64,K64,IF(MOD(B64,10)=0,1,MOD(B64,10)/10))</f>
        <v>12.4</v>
      </c>
      <c r="O64" s="15">
        <v>59</v>
      </c>
      <c r="P64" s="1">
        <f>_xlfn.FLOOR.MATH(O64/10+0.9)*10</f>
        <v>60</v>
      </c>
      <c r="Q64" s="1">
        <f ca="1">OFFSET(控制台!$I$1099,MATCH(P64,控制台!$H$1099:$H$1118,0)-2,0)*控制台!$K$1092</f>
        <v>300000</v>
      </c>
      <c r="R64" s="1">
        <f ca="1">OFFSET(控制台!$I$1099,MATCH(P64,控制台!$H$1099:$H$1118,0)-1,0)*控制台!$K$1092</f>
        <v>480000</v>
      </c>
      <c r="S64" s="16">
        <f ca="1">_xlfn.FLOOR.MATH(Lerp_dyy(Q64,R64,IF(MOD(O64,10)=0,1,MOD(O64,10)/10)),10)</f>
        <v>462000</v>
      </c>
      <c r="T64" s="17">
        <f ca="1" t="shared" si="1"/>
        <v>7625900</v>
      </c>
      <c r="U64" s="4">
        <f ca="1">IF(AND(O64&lt;&gt;1,MOD(O64,10)=1),OFFSET(控制台!$K$1099,MATCH(P64,控制台!$H$1099:$H$1118,0)-1,0)*控制台!$K$1093,0)</f>
        <v>0</v>
      </c>
      <c r="V64" s="17">
        <f ca="1" t="shared" si="3"/>
        <v>5880</v>
      </c>
      <c r="W64" s="1">
        <f ca="1">IF(_xlfn.CEILING.MATH(O64/10)*10=10,0,IFERROR(OFFSET(控制台!$B$1007,MATCH(_xlfn.CEILING.MATH(O64/10-1)*10,控制台!$D$1007:$D$1080,0)-1,0),0))</f>
        <v>13</v>
      </c>
      <c r="X64" s="1">
        <f ca="1">IFERROR(OFFSET(控制台!$B$1007,MATCH(_xlfn.CEILING.MATH(O64/10)*10,控制台!$D$1007:$D$1080,0)-1,0),1)</f>
        <v>20</v>
      </c>
      <c r="Y64" s="17">
        <f ca="1">Lerp_dyy(W64,X64,IF(MOD(O64,10)=0,1,MOD(O64,10)/10))</f>
        <v>19.3</v>
      </c>
    </row>
    <row r="65" s="15" customFormat="1" spans="2:25">
      <c r="B65" s="15">
        <v>60</v>
      </c>
      <c r="C65" s="15">
        <f>_xlfn.FLOOR.MATH(B65/10+0.9)*10</f>
        <v>60</v>
      </c>
      <c r="D65" s="15">
        <f ca="1">OFFSET(控制台!$C$1099,MATCH(C65,控制台!$B$1099:$B$1118,0)-2,0)*控制台!$E$1092</f>
        <v>300000</v>
      </c>
      <c r="E65" s="15">
        <f ca="1">OFFSET(控制台!$C$1099,MATCH(C65,控制台!$B$1099:$B$1118,0)-1,0)*控制台!$E$1092</f>
        <v>480000</v>
      </c>
      <c r="F65" s="16">
        <f ca="1">_xlfn.FLOOR.MATH(Lerp_dyy(D65,E65,IF(MOD(B65,10)=0,1,MOD(B65,10)/10)),10)</f>
        <v>480000</v>
      </c>
      <c r="G65" s="17">
        <f ca="1" t="shared" si="4"/>
        <v>8105900</v>
      </c>
      <c r="H65" s="16">
        <f ca="1">IF(AND(B65&lt;&gt;1,MOD(B65,10)=1),OFFSET(控制台!$E$1099,MATCH(C65,控制台!$B$1099:$B$1118,0)-1,0)*控制台!$E$1093,0)</f>
        <v>0</v>
      </c>
      <c r="I65" s="17">
        <f ca="1" t="shared" si="2"/>
        <v>5880</v>
      </c>
      <c r="J65" s="15">
        <f ca="1">IF(_xlfn.CEILING.MATH(B65/10)*10=10,0,IFERROR(OFFSET(控制台!$B$865,MATCH(_xlfn.CEILING.MATH(B65/10-1)*10,控制台!$D$865:$D$936,0)-1,0),0))</f>
        <v>7</v>
      </c>
      <c r="K65" s="15">
        <f ca="1">IFERROR(OFFSET(控制台!$B$865,MATCH(_xlfn.CEILING.MATH(B65/10)*10,控制台!$D$865:$D$936,0)-1,0),1)</f>
        <v>13</v>
      </c>
      <c r="L65" s="17">
        <f ca="1">Lerp_dyy(J65,K65,IF(MOD(B65,10)=0,1,MOD(B65,10)/10))</f>
        <v>13</v>
      </c>
      <c r="O65" s="15">
        <v>60</v>
      </c>
      <c r="P65" s="1">
        <f>_xlfn.FLOOR.MATH(O65/10+0.9)*10</f>
        <v>60</v>
      </c>
      <c r="Q65" s="1">
        <f ca="1">OFFSET(控制台!$I$1099,MATCH(P65,控制台!$H$1099:$H$1118,0)-2,0)*控制台!$K$1092</f>
        <v>300000</v>
      </c>
      <c r="R65" s="1">
        <f ca="1">OFFSET(控制台!$I$1099,MATCH(P65,控制台!$H$1099:$H$1118,0)-1,0)*控制台!$K$1092</f>
        <v>480000</v>
      </c>
      <c r="S65" s="16">
        <f ca="1">_xlfn.FLOOR.MATH(Lerp_dyy(Q65,R65,IF(MOD(O65,10)=0,1,MOD(O65,10)/10)),10)</f>
        <v>480000</v>
      </c>
      <c r="T65" s="17">
        <f ca="1" t="shared" si="1"/>
        <v>8105900</v>
      </c>
      <c r="U65" s="4">
        <f ca="1">IF(AND(O65&lt;&gt;1,MOD(O65,10)=1),OFFSET(控制台!$K$1099,MATCH(P65,控制台!$H$1099:$H$1118,0)-1,0)*控制台!$K$1093,0)</f>
        <v>0</v>
      </c>
      <c r="V65" s="17">
        <f ca="1" t="shared" si="3"/>
        <v>5880</v>
      </c>
      <c r="W65" s="1">
        <f ca="1">IF(_xlfn.CEILING.MATH(O65/10)*10=10,0,IFERROR(OFFSET(控制台!$B$1007,MATCH(_xlfn.CEILING.MATH(O65/10-1)*10,控制台!$D$1007:$D$1080,0)-1,0),0))</f>
        <v>13</v>
      </c>
      <c r="X65" s="1">
        <f ca="1">IFERROR(OFFSET(控制台!$B$1007,MATCH(_xlfn.CEILING.MATH(O65/10)*10,控制台!$D$1007:$D$1080,0)-1,0),1)</f>
        <v>20</v>
      </c>
      <c r="Y65" s="17">
        <f ca="1">Lerp_dyy(W65,X65,IF(MOD(O65,10)=0,1,MOD(O65,10)/10))</f>
        <v>20</v>
      </c>
    </row>
    <row r="66" spans="1:25">
      <c r="A66" s="1" t="s">
        <v>2856</v>
      </c>
      <c r="B66" s="1">
        <v>61</v>
      </c>
      <c r="C66" s="1">
        <f>_xlfn.FLOOR.MATH(B66/10+0.9)*10</f>
        <v>70</v>
      </c>
      <c r="D66" s="1">
        <f ca="1">OFFSET(控制台!$C$1099,MATCH(C66,控制台!$B$1099:$B$1118,0)-2,0)*控制台!$E$1092</f>
        <v>480000</v>
      </c>
      <c r="E66" s="1">
        <f ca="1">OFFSET(控制台!$C$1099,MATCH(C66,控制台!$B$1099:$B$1118,0)-1,0)*控制台!$E$1092</f>
        <v>1440000</v>
      </c>
      <c r="F66" s="4">
        <f ca="1">_xlfn.FLOOR.MATH(Lerp_dyy(D66,E66,IF(MOD(B66,10)=0,1,MOD(B66,10)/10)),10)</f>
        <v>576000</v>
      </c>
      <c r="G66" s="5">
        <f ca="1" t="shared" si="4"/>
        <v>8681900</v>
      </c>
      <c r="H66" s="4">
        <f ca="1">IF(AND(B66&lt;&gt;1,MOD(B66,10)=1),OFFSET(控制台!$E$1099,MATCH(C66,控制台!$B$1099:$B$1118,0)-1,0)*控制台!$E$1093,0)</f>
        <v>9600</v>
      </c>
      <c r="I66" s="5">
        <f ca="1" t="shared" si="2"/>
        <v>15480</v>
      </c>
      <c r="J66" s="1">
        <f ca="1">IF(_xlfn.CEILING.MATH(B66/10)*10=10,0,IFERROR(OFFSET(控制台!$B$865,MATCH(_xlfn.CEILING.MATH(B66/10-1)*10,控制台!$D$865:$D$936,0)-1,0),0))</f>
        <v>13</v>
      </c>
      <c r="K66" s="1">
        <f ca="1">IFERROR(OFFSET(控制台!$B$865,MATCH(_xlfn.CEILING.MATH(B66/10)*10,控制台!$D$865:$D$936,0)-1,0),1)</f>
        <v>25</v>
      </c>
      <c r="L66" s="5">
        <f ca="1">Lerp_dyy(J66,K66,IF(MOD(B66,10)=0,1,MOD(B66,10)/10))</f>
        <v>14.2</v>
      </c>
      <c r="N66" s="1" t="s">
        <v>2856</v>
      </c>
      <c r="O66" s="1">
        <v>61</v>
      </c>
      <c r="P66" s="1">
        <f>_xlfn.FLOOR.MATH(O66/10+0.9)*10</f>
        <v>70</v>
      </c>
      <c r="Q66" s="1">
        <f ca="1">OFFSET(控制台!$I$1099,MATCH(P66,控制台!$H$1099:$H$1118,0)-2,0)*控制台!$K$1092</f>
        <v>480000</v>
      </c>
      <c r="R66" s="1">
        <f ca="1">OFFSET(控制台!$I$1099,MATCH(P66,控制台!$H$1099:$H$1118,0)-1,0)*控制台!$K$1092</f>
        <v>1440000</v>
      </c>
      <c r="S66" s="4">
        <f ca="1">_xlfn.FLOOR.MATH(Lerp_dyy(Q66,R66,IF(MOD(O66,10)=0,1,MOD(O66,10)/10)),10)</f>
        <v>576000</v>
      </c>
      <c r="T66" s="5">
        <f ca="1" t="shared" si="1"/>
        <v>8681900</v>
      </c>
      <c r="U66" s="4">
        <f ca="1">IF(AND(O66&lt;&gt;1,MOD(O66,10)=1),OFFSET(控制台!$K$1099,MATCH(P66,控制台!$H$1099:$H$1118,0)-1,0)*控制台!$K$1093,0)</f>
        <v>9600</v>
      </c>
      <c r="V66" s="5">
        <f ca="1" t="shared" si="3"/>
        <v>15480</v>
      </c>
      <c r="W66" s="1">
        <f ca="1">IF(_xlfn.CEILING.MATH(O66/10)*10=10,0,IFERROR(OFFSET(控制台!$B$1007,MATCH(_xlfn.CEILING.MATH(O66/10-1)*10,控制台!$D$1007:$D$1080,0)-1,0),0))</f>
        <v>20</v>
      </c>
      <c r="X66" s="1">
        <f ca="1">IFERROR(OFFSET(控制台!$B$1007,MATCH(_xlfn.CEILING.MATH(O66/10)*10,控制台!$D$1007:$D$1080,0)-1,0),1)</f>
        <v>30</v>
      </c>
      <c r="Y66" s="5">
        <f ca="1">Lerp_dyy(W66,X66,IF(MOD(O66,10)=0,1,MOD(O66,10)/10))</f>
        <v>21</v>
      </c>
    </row>
    <row r="67" spans="2:25">
      <c r="B67" s="1">
        <v>62</v>
      </c>
      <c r="C67" s="1">
        <f>_xlfn.FLOOR.MATH(B67/10+0.9)*10</f>
        <v>70</v>
      </c>
      <c r="D67" s="1">
        <f ca="1">OFFSET(控制台!$C$1099,MATCH(C67,控制台!$B$1099:$B$1118,0)-2,0)*控制台!$E$1092</f>
        <v>480000</v>
      </c>
      <c r="E67" s="1">
        <f ca="1">OFFSET(控制台!$C$1099,MATCH(C67,控制台!$B$1099:$B$1118,0)-1,0)*控制台!$E$1092</f>
        <v>1440000</v>
      </c>
      <c r="F67" s="4">
        <f ca="1">_xlfn.FLOOR.MATH(Lerp_dyy(D67,E67,IF(MOD(B67,10)=0,1,MOD(B67,10)/10)),10)</f>
        <v>672000</v>
      </c>
      <c r="G67" s="5">
        <f ca="1" t="shared" si="4"/>
        <v>9353900</v>
      </c>
      <c r="H67" s="4">
        <f ca="1">IF(AND(B67&lt;&gt;1,MOD(B67,10)=1),OFFSET(控制台!$E$1099,MATCH(C67,控制台!$B$1099:$B$1118,0)-1,0)*控制台!$E$1093,0)</f>
        <v>0</v>
      </c>
      <c r="I67" s="5">
        <f ca="1" t="shared" si="2"/>
        <v>15480</v>
      </c>
      <c r="J67" s="1">
        <f ca="1">IF(_xlfn.CEILING.MATH(B67/10)*10=10,0,IFERROR(OFFSET(控制台!$B$865,MATCH(_xlfn.CEILING.MATH(B67/10-1)*10,控制台!$D$865:$D$936,0)-1,0),0))</f>
        <v>13</v>
      </c>
      <c r="K67" s="1">
        <f ca="1">IFERROR(OFFSET(控制台!$B$865,MATCH(_xlfn.CEILING.MATH(B67/10)*10,控制台!$D$865:$D$936,0)-1,0),1)</f>
        <v>25</v>
      </c>
      <c r="L67" s="5">
        <f ca="1">Lerp_dyy(J67,K67,IF(MOD(B67,10)=0,1,MOD(B67,10)/10))</f>
        <v>15.4</v>
      </c>
      <c r="O67" s="1">
        <v>62</v>
      </c>
      <c r="P67" s="1">
        <f>_xlfn.FLOOR.MATH(O67/10+0.9)*10</f>
        <v>70</v>
      </c>
      <c r="Q67" s="1">
        <f ca="1">OFFSET(控制台!$I$1099,MATCH(P67,控制台!$H$1099:$H$1118,0)-2,0)*控制台!$K$1092</f>
        <v>480000</v>
      </c>
      <c r="R67" s="1">
        <f ca="1">OFFSET(控制台!$I$1099,MATCH(P67,控制台!$H$1099:$H$1118,0)-1,0)*控制台!$K$1092</f>
        <v>1440000</v>
      </c>
      <c r="S67" s="4">
        <f ca="1">_xlfn.FLOOR.MATH(Lerp_dyy(Q67,R67,IF(MOD(O67,10)=0,1,MOD(O67,10)/10)),10)</f>
        <v>672000</v>
      </c>
      <c r="T67" s="5">
        <f ca="1" t="shared" si="1"/>
        <v>9353900</v>
      </c>
      <c r="U67" s="4">
        <f ca="1">IF(AND(O67&lt;&gt;1,MOD(O67,10)=1),OFFSET(控制台!$K$1099,MATCH(P67,控制台!$H$1099:$H$1118,0)-1,0)*控制台!$K$1093,0)</f>
        <v>0</v>
      </c>
      <c r="V67" s="5">
        <f ca="1" t="shared" si="3"/>
        <v>15480</v>
      </c>
      <c r="W67" s="1">
        <f ca="1">IF(_xlfn.CEILING.MATH(O67/10)*10=10,0,IFERROR(OFFSET(控制台!$B$1007,MATCH(_xlfn.CEILING.MATH(O67/10-1)*10,控制台!$D$1007:$D$1080,0)-1,0),0))</f>
        <v>20</v>
      </c>
      <c r="X67" s="1">
        <f ca="1">IFERROR(OFFSET(控制台!$B$1007,MATCH(_xlfn.CEILING.MATH(O67/10)*10,控制台!$D$1007:$D$1080,0)-1,0),1)</f>
        <v>30</v>
      </c>
      <c r="Y67" s="5">
        <f ca="1">Lerp_dyy(W67,X67,IF(MOD(O67,10)=0,1,MOD(O67,10)/10))</f>
        <v>22</v>
      </c>
    </row>
    <row r="68" spans="2:25">
      <c r="B68" s="1">
        <v>63</v>
      </c>
      <c r="C68" s="1">
        <f>_xlfn.FLOOR.MATH(B68/10+0.9)*10</f>
        <v>70</v>
      </c>
      <c r="D68" s="1">
        <f ca="1">OFFSET(控制台!$C$1099,MATCH(C68,控制台!$B$1099:$B$1118,0)-2,0)*控制台!$E$1092</f>
        <v>480000</v>
      </c>
      <c r="E68" s="1">
        <f ca="1">OFFSET(控制台!$C$1099,MATCH(C68,控制台!$B$1099:$B$1118,0)-1,0)*控制台!$E$1092</f>
        <v>1440000</v>
      </c>
      <c r="F68" s="4">
        <f ca="1">_xlfn.FLOOR.MATH(Lerp_dyy(D68,E68,IF(MOD(B68,10)=0,1,MOD(B68,10)/10)),10)</f>
        <v>768000</v>
      </c>
      <c r="G68" s="5">
        <f ca="1" t="shared" si="4"/>
        <v>10121900</v>
      </c>
      <c r="H68" s="4">
        <f ca="1">IF(AND(B68&lt;&gt;1,MOD(B68,10)=1),OFFSET(控制台!$E$1099,MATCH(C68,控制台!$B$1099:$B$1118,0)-1,0)*控制台!$E$1093,0)</f>
        <v>0</v>
      </c>
      <c r="I68" s="5">
        <f ca="1" t="shared" si="2"/>
        <v>15480</v>
      </c>
      <c r="J68" s="1">
        <f ca="1">IF(_xlfn.CEILING.MATH(B68/10)*10=10,0,IFERROR(OFFSET(控制台!$B$865,MATCH(_xlfn.CEILING.MATH(B68/10-1)*10,控制台!$D$865:$D$936,0)-1,0),0))</f>
        <v>13</v>
      </c>
      <c r="K68" s="1">
        <f ca="1">IFERROR(OFFSET(控制台!$B$865,MATCH(_xlfn.CEILING.MATH(B68/10)*10,控制台!$D$865:$D$936,0)-1,0),1)</f>
        <v>25</v>
      </c>
      <c r="L68" s="5">
        <f ca="1">Lerp_dyy(J68,K68,IF(MOD(B68,10)=0,1,MOD(B68,10)/10))</f>
        <v>16.6</v>
      </c>
      <c r="O68" s="1">
        <v>63</v>
      </c>
      <c r="P68" s="1">
        <f>_xlfn.FLOOR.MATH(O68/10+0.9)*10</f>
        <v>70</v>
      </c>
      <c r="Q68" s="1">
        <f ca="1">OFFSET(控制台!$I$1099,MATCH(P68,控制台!$H$1099:$H$1118,0)-2,0)*控制台!$K$1092</f>
        <v>480000</v>
      </c>
      <c r="R68" s="1">
        <f ca="1">OFFSET(控制台!$I$1099,MATCH(P68,控制台!$H$1099:$H$1118,0)-1,0)*控制台!$K$1092</f>
        <v>1440000</v>
      </c>
      <c r="S68" s="4">
        <f ca="1">_xlfn.FLOOR.MATH(Lerp_dyy(Q68,R68,IF(MOD(O68,10)=0,1,MOD(O68,10)/10)),10)</f>
        <v>768000</v>
      </c>
      <c r="T68" s="5">
        <f ca="1" t="shared" si="1"/>
        <v>10121900</v>
      </c>
      <c r="U68" s="4">
        <f ca="1">IF(AND(O68&lt;&gt;1,MOD(O68,10)=1),OFFSET(控制台!$K$1099,MATCH(P68,控制台!$H$1099:$H$1118,0)-1,0)*控制台!$K$1093,0)</f>
        <v>0</v>
      </c>
      <c r="V68" s="5">
        <f ca="1" t="shared" si="3"/>
        <v>15480</v>
      </c>
      <c r="W68" s="1">
        <f ca="1">IF(_xlfn.CEILING.MATH(O68/10)*10=10,0,IFERROR(OFFSET(控制台!$B$1007,MATCH(_xlfn.CEILING.MATH(O68/10-1)*10,控制台!$D$1007:$D$1080,0)-1,0),0))</f>
        <v>20</v>
      </c>
      <c r="X68" s="1">
        <f ca="1">IFERROR(OFFSET(控制台!$B$1007,MATCH(_xlfn.CEILING.MATH(O68/10)*10,控制台!$D$1007:$D$1080,0)-1,0),1)</f>
        <v>30</v>
      </c>
      <c r="Y68" s="5">
        <f ca="1">Lerp_dyy(W68,X68,IF(MOD(O68,10)=0,1,MOD(O68,10)/10))</f>
        <v>23</v>
      </c>
    </row>
    <row r="69" spans="2:25">
      <c r="B69" s="1">
        <v>64</v>
      </c>
      <c r="C69" s="1">
        <f>_xlfn.FLOOR.MATH(B69/10+0.9)*10</f>
        <v>70</v>
      </c>
      <c r="D69" s="1">
        <f ca="1">OFFSET(控制台!$C$1099,MATCH(C69,控制台!$B$1099:$B$1118,0)-2,0)*控制台!$E$1092</f>
        <v>480000</v>
      </c>
      <c r="E69" s="1">
        <f ca="1">OFFSET(控制台!$C$1099,MATCH(C69,控制台!$B$1099:$B$1118,0)-1,0)*控制台!$E$1092</f>
        <v>1440000</v>
      </c>
      <c r="F69" s="4">
        <f ca="1">_xlfn.FLOOR.MATH(Lerp_dyy(D69,E69,IF(MOD(B69,10)=0,1,MOD(B69,10)/10)),10)</f>
        <v>864000</v>
      </c>
      <c r="G69" s="5">
        <f ca="1" t="shared" si="4"/>
        <v>10985900</v>
      </c>
      <c r="H69" s="4">
        <f ca="1">IF(AND(B69&lt;&gt;1,MOD(B69,10)=1),OFFSET(控制台!$E$1099,MATCH(C69,控制台!$B$1099:$B$1118,0)-1,0)*控制台!$E$1093,0)</f>
        <v>0</v>
      </c>
      <c r="I69" s="5">
        <f ca="1" t="shared" si="2"/>
        <v>15480</v>
      </c>
      <c r="J69" s="1">
        <f ca="1">IF(_xlfn.CEILING.MATH(B69/10)*10=10,0,IFERROR(OFFSET(控制台!$B$865,MATCH(_xlfn.CEILING.MATH(B69/10-1)*10,控制台!$D$865:$D$936,0)-1,0),0))</f>
        <v>13</v>
      </c>
      <c r="K69" s="1">
        <f ca="1">IFERROR(OFFSET(控制台!$B$865,MATCH(_xlfn.CEILING.MATH(B69/10)*10,控制台!$D$865:$D$936,0)-1,0),1)</f>
        <v>25</v>
      </c>
      <c r="L69" s="5">
        <f ca="1">Lerp_dyy(J69,K69,IF(MOD(B69,10)=0,1,MOD(B69,10)/10))</f>
        <v>17.8</v>
      </c>
      <c r="O69" s="1">
        <v>64</v>
      </c>
      <c r="P69" s="1">
        <f>_xlfn.FLOOR.MATH(O69/10+0.9)*10</f>
        <v>70</v>
      </c>
      <c r="Q69" s="1">
        <f ca="1">OFFSET(控制台!$I$1099,MATCH(P69,控制台!$H$1099:$H$1118,0)-2,0)*控制台!$K$1092</f>
        <v>480000</v>
      </c>
      <c r="R69" s="1">
        <f ca="1">OFFSET(控制台!$I$1099,MATCH(P69,控制台!$H$1099:$H$1118,0)-1,0)*控制台!$K$1092</f>
        <v>1440000</v>
      </c>
      <c r="S69" s="4">
        <f ca="1">_xlfn.FLOOR.MATH(Lerp_dyy(Q69,R69,IF(MOD(O69,10)=0,1,MOD(O69,10)/10)),10)</f>
        <v>864000</v>
      </c>
      <c r="T69" s="5">
        <f ca="1" t="shared" si="1"/>
        <v>10985900</v>
      </c>
      <c r="U69" s="4">
        <f ca="1">IF(AND(O69&lt;&gt;1,MOD(O69,10)=1),OFFSET(控制台!$K$1099,MATCH(P69,控制台!$H$1099:$H$1118,0)-1,0)*控制台!$K$1093,0)</f>
        <v>0</v>
      </c>
      <c r="V69" s="5">
        <f ca="1" t="shared" si="3"/>
        <v>15480</v>
      </c>
      <c r="W69" s="1">
        <f ca="1">IF(_xlfn.CEILING.MATH(O69/10)*10=10,0,IFERROR(OFFSET(控制台!$B$1007,MATCH(_xlfn.CEILING.MATH(O69/10-1)*10,控制台!$D$1007:$D$1080,0)-1,0),0))</f>
        <v>20</v>
      </c>
      <c r="X69" s="1">
        <f ca="1">IFERROR(OFFSET(控制台!$B$1007,MATCH(_xlfn.CEILING.MATH(O69/10)*10,控制台!$D$1007:$D$1080,0)-1,0),1)</f>
        <v>30</v>
      </c>
      <c r="Y69" s="5">
        <f ca="1">Lerp_dyy(W69,X69,IF(MOD(O69,10)=0,1,MOD(O69,10)/10))</f>
        <v>24</v>
      </c>
    </row>
    <row r="70" spans="2:25">
      <c r="B70" s="1">
        <v>65</v>
      </c>
      <c r="C70" s="1">
        <f>_xlfn.FLOOR.MATH(B70/10+0.9)*10</f>
        <v>70</v>
      </c>
      <c r="D70" s="1">
        <f ca="1">OFFSET(控制台!$C$1099,MATCH(C70,控制台!$B$1099:$B$1118,0)-2,0)*控制台!$E$1092</f>
        <v>480000</v>
      </c>
      <c r="E70" s="1">
        <f ca="1">OFFSET(控制台!$C$1099,MATCH(C70,控制台!$B$1099:$B$1118,0)-1,0)*控制台!$E$1092</f>
        <v>1440000</v>
      </c>
      <c r="F70" s="4">
        <f ca="1">_xlfn.FLOOR.MATH(Lerp_dyy(D70,E70,IF(MOD(B70,10)=0,1,MOD(B70,10)/10)),10)</f>
        <v>960000</v>
      </c>
      <c r="G70" s="5">
        <f ca="1" t="shared" si="4"/>
        <v>11945900</v>
      </c>
      <c r="H70" s="4">
        <f ca="1">IF(AND(B70&lt;&gt;1,MOD(B70,10)=1),OFFSET(控制台!$E$1099,MATCH(C70,控制台!$B$1099:$B$1118,0)-1,0)*控制台!$E$1093,0)</f>
        <v>0</v>
      </c>
      <c r="I70" s="5">
        <f ca="1" t="shared" si="2"/>
        <v>15480</v>
      </c>
      <c r="J70" s="1">
        <f ca="1">IF(_xlfn.CEILING.MATH(B70/10)*10=10,0,IFERROR(OFFSET(控制台!$B$865,MATCH(_xlfn.CEILING.MATH(B70/10-1)*10,控制台!$D$865:$D$936,0)-1,0),0))</f>
        <v>13</v>
      </c>
      <c r="K70" s="1">
        <f ca="1">IFERROR(OFFSET(控制台!$B$865,MATCH(_xlfn.CEILING.MATH(B70/10)*10,控制台!$D$865:$D$936,0)-1,0),1)</f>
        <v>25</v>
      </c>
      <c r="L70" s="5">
        <f ca="1">Lerp_dyy(J70,K70,IF(MOD(B70,10)=0,1,MOD(B70,10)/10))</f>
        <v>19</v>
      </c>
      <c r="O70" s="1">
        <v>65</v>
      </c>
      <c r="P70" s="1">
        <f>_xlfn.FLOOR.MATH(O70/10+0.9)*10</f>
        <v>70</v>
      </c>
      <c r="Q70" s="1">
        <f ca="1">OFFSET(控制台!$I$1099,MATCH(P70,控制台!$H$1099:$H$1118,0)-2,0)*控制台!$K$1092</f>
        <v>480000</v>
      </c>
      <c r="R70" s="1">
        <f ca="1">OFFSET(控制台!$I$1099,MATCH(P70,控制台!$H$1099:$H$1118,0)-1,0)*控制台!$K$1092</f>
        <v>1440000</v>
      </c>
      <c r="S70" s="4">
        <f ca="1">_xlfn.FLOOR.MATH(Lerp_dyy(Q70,R70,IF(MOD(O70,10)=0,1,MOD(O70,10)/10)),10)</f>
        <v>960000</v>
      </c>
      <c r="T70" s="5">
        <f ca="1" t="shared" si="1"/>
        <v>11945900</v>
      </c>
      <c r="U70" s="4">
        <f ca="1">IF(AND(O70&lt;&gt;1,MOD(O70,10)=1),OFFSET(控制台!$K$1099,MATCH(P70,控制台!$H$1099:$H$1118,0)-1,0)*控制台!$K$1093,0)</f>
        <v>0</v>
      </c>
      <c r="V70" s="5">
        <f ca="1" t="shared" si="3"/>
        <v>15480</v>
      </c>
      <c r="W70" s="1">
        <f ca="1">IF(_xlfn.CEILING.MATH(O70/10)*10=10,0,IFERROR(OFFSET(控制台!$B$1007,MATCH(_xlfn.CEILING.MATH(O70/10-1)*10,控制台!$D$1007:$D$1080,0)-1,0),0))</f>
        <v>20</v>
      </c>
      <c r="X70" s="1">
        <f ca="1">IFERROR(OFFSET(控制台!$B$1007,MATCH(_xlfn.CEILING.MATH(O70/10)*10,控制台!$D$1007:$D$1080,0)-1,0),1)</f>
        <v>30</v>
      </c>
      <c r="Y70" s="5">
        <f ca="1">Lerp_dyy(W70,X70,IF(MOD(O70,10)=0,1,MOD(O70,10)/10))</f>
        <v>25</v>
      </c>
    </row>
    <row r="71" spans="2:25">
      <c r="B71" s="1">
        <v>66</v>
      </c>
      <c r="C71" s="1">
        <f>_xlfn.FLOOR.MATH(B71/10+0.9)*10</f>
        <v>70</v>
      </c>
      <c r="D71" s="1">
        <f ca="1">OFFSET(控制台!$C$1099,MATCH(C71,控制台!$B$1099:$B$1118,0)-2,0)*控制台!$E$1092</f>
        <v>480000</v>
      </c>
      <c r="E71" s="1">
        <f ca="1">OFFSET(控制台!$C$1099,MATCH(C71,控制台!$B$1099:$B$1118,0)-1,0)*控制台!$E$1092</f>
        <v>1440000</v>
      </c>
      <c r="F71" s="4">
        <f ca="1">_xlfn.FLOOR.MATH(Lerp_dyy(D71,E71,IF(MOD(B71,10)=0,1,MOD(B71,10)/10)),10)</f>
        <v>1056000</v>
      </c>
      <c r="G71" s="5">
        <f ca="1" t="shared" ref="G71:G102" si="5">G70+F71</f>
        <v>13001900</v>
      </c>
      <c r="H71" s="4">
        <f ca="1">IF(AND(B71&lt;&gt;1,MOD(B71,10)=1),OFFSET(控制台!$E$1099,MATCH(C71,控制台!$B$1099:$B$1118,0)-1,0)*控制台!$E$1093,0)</f>
        <v>0</v>
      </c>
      <c r="I71" s="5">
        <f ca="1" t="shared" si="2"/>
        <v>15480</v>
      </c>
      <c r="J71" s="1">
        <f ca="1">IF(_xlfn.CEILING.MATH(B71/10)*10=10,0,IFERROR(OFFSET(控制台!$B$865,MATCH(_xlfn.CEILING.MATH(B71/10-1)*10,控制台!$D$865:$D$936,0)-1,0),0))</f>
        <v>13</v>
      </c>
      <c r="K71" s="1">
        <f ca="1">IFERROR(OFFSET(控制台!$B$865,MATCH(_xlfn.CEILING.MATH(B71/10)*10,控制台!$D$865:$D$936,0)-1,0),1)</f>
        <v>25</v>
      </c>
      <c r="L71" s="5">
        <f ca="1">Lerp_dyy(J71,K71,IF(MOD(B71,10)=0,1,MOD(B71,10)/10))</f>
        <v>20.2</v>
      </c>
      <c r="O71" s="1">
        <v>66</v>
      </c>
      <c r="P71" s="1">
        <f>_xlfn.FLOOR.MATH(O71/10+0.9)*10</f>
        <v>70</v>
      </c>
      <c r="Q71" s="1">
        <f ca="1">OFFSET(控制台!$I$1099,MATCH(P71,控制台!$H$1099:$H$1118,0)-2,0)*控制台!$K$1092</f>
        <v>480000</v>
      </c>
      <c r="R71" s="1">
        <f ca="1">OFFSET(控制台!$I$1099,MATCH(P71,控制台!$H$1099:$H$1118,0)-1,0)*控制台!$K$1092</f>
        <v>1440000</v>
      </c>
      <c r="S71" s="4">
        <f ca="1">_xlfn.FLOOR.MATH(Lerp_dyy(Q71,R71,IF(MOD(O71,10)=0,1,MOD(O71,10)/10)),10)</f>
        <v>1056000</v>
      </c>
      <c r="T71" s="5">
        <f ca="1" t="shared" ref="T71:T134" si="6">T70+S71</f>
        <v>13001900</v>
      </c>
      <c r="U71" s="4">
        <f ca="1">IF(AND(O71&lt;&gt;1,MOD(O71,10)=1),OFFSET(控制台!$K$1099,MATCH(P71,控制台!$H$1099:$H$1118,0)-1,0)*控制台!$K$1093,0)</f>
        <v>0</v>
      </c>
      <c r="V71" s="5">
        <f ca="1" t="shared" si="3"/>
        <v>15480</v>
      </c>
      <c r="W71" s="1">
        <f ca="1">IF(_xlfn.CEILING.MATH(O71/10)*10=10,0,IFERROR(OFFSET(控制台!$B$1007,MATCH(_xlfn.CEILING.MATH(O71/10-1)*10,控制台!$D$1007:$D$1080,0)-1,0),0))</f>
        <v>20</v>
      </c>
      <c r="X71" s="1">
        <f ca="1">IFERROR(OFFSET(控制台!$B$1007,MATCH(_xlfn.CEILING.MATH(O71/10)*10,控制台!$D$1007:$D$1080,0)-1,0),1)</f>
        <v>30</v>
      </c>
      <c r="Y71" s="5">
        <f ca="1">Lerp_dyy(W71,X71,IF(MOD(O71,10)=0,1,MOD(O71,10)/10))</f>
        <v>26</v>
      </c>
    </row>
    <row r="72" spans="1:25">
      <c r="A72" s="23"/>
      <c r="B72" s="1">
        <v>67</v>
      </c>
      <c r="C72" s="1">
        <f>_xlfn.FLOOR.MATH(B72/10+0.9)*10</f>
        <v>70</v>
      </c>
      <c r="D72" s="1">
        <f ca="1">OFFSET(控制台!$C$1099,MATCH(C72,控制台!$B$1099:$B$1118,0)-2,0)*控制台!$E$1092</f>
        <v>480000</v>
      </c>
      <c r="E72" s="1">
        <f ca="1">OFFSET(控制台!$C$1099,MATCH(C72,控制台!$B$1099:$B$1118,0)-1,0)*控制台!$E$1092</f>
        <v>1440000</v>
      </c>
      <c r="F72" s="4">
        <f ca="1">_xlfn.FLOOR.MATH(Lerp_dyy(D72,E72,IF(MOD(B72,10)=0,1,MOD(B72,10)/10)),10)</f>
        <v>1152000</v>
      </c>
      <c r="G72" s="5">
        <f ca="1" t="shared" si="5"/>
        <v>14153900</v>
      </c>
      <c r="H72" s="4">
        <f ca="1">IF(AND(B72&lt;&gt;1,MOD(B72,10)=1),OFFSET(控制台!$E$1099,MATCH(C72,控制台!$B$1099:$B$1118,0)-1,0)*控制台!$E$1093,0)</f>
        <v>0</v>
      </c>
      <c r="I72" s="5">
        <f ca="1" t="shared" ref="I72:I135" si="7">I71+H72</f>
        <v>15480</v>
      </c>
      <c r="J72" s="1">
        <f ca="1">IF(_xlfn.CEILING.MATH(B72/10)*10=10,0,IFERROR(OFFSET(控制台!$B$865,MATCH(_xlfn.CEILING.MATH(B72/10-1)*10,控制台!$D$865:$D$936,0)-1,0),0))</f>
        <v>13</v>
      </c>
      <c r="K72" s="1">
        <f ca="1">IFERROR(OFFSET(控制台!$B$865,MATCH(_xlfn.CEILING.MATH(B72/10)*10,控制台!$D$865:$D$936,0)-1,0),1)</f>
        <v>25</v>
      </c>
      <c r="L72" s="5">
        <f ca="1">Lerp_dyy(J72,K72,IF(MOD(B72,10)=0,1,MOD(B72,10)/10))</f>
        <v>21.4</v>
      </c>
      <c r="N72" s="23"/>
      <c r="O72" s="1">
        <v>67</v>
      </c>
      <c r="P72" s="1">
        <f>_xlfn.FLOOR.MATH(O72/10+0.9)*10</f>
        <v>70</v>
      </c>
      <c r="Q72" s="1">
        <f ca="1">OFFSET(控制台!$I$1099,MATCH(P72,控制台!$H$1099:$H$1118,0)-2,0)*控制台!$K$1092</f>
        <v>480000</v>
      </c>
      <c r="R72" s="1">
        <f ca="1">OFFSET(控制台!$I$1099,MATCH(P72,控制台!$H$1099:$H$1118,0)-1,0)*控制台!$K$1092</f>
        <v>1440000</v>
      </c>
      <c r="S72" s="4">
        <f ca="1">_xlfn.FLOOR.MATH(Lerp_dyy(Q72,R72,IF(MOD(O72,10)=0,1,MOD(O72,10)/10)),10)</f>
        <v>1152000</v>
      </c>
      <c r="T72" s="5">
        <f ca="1" t="shared" si="6"/>
        <v>14153900</v>
      </c>
      <c r="U72" s="4">
        <f ca="1">IF(AND(O72&lt;&gt;1,MOD(O72,10)=1),OFFSET(控制台!$K$1099,MATCH(P72,控制台!$H$1099:$H$1118,0)-1,0)*控制台!$K$1093,0)</f>
        <v>0</v>
      </c>
      <c r="V72" s="5">
        <f ca="1" t="shared" ref="V72:V135" si="8">V71+U72</f>
        <v>15480</v>
      </c>
      <c r="W72" s="1">
        <f ca="1">IF(_xlfn.CEILING.MATH(O72/10)*10=10,0,IFERROR(OFFSET(控制台!$B$1007,MATCH(_xlfn.CEILING.MATH(O72/10-1)*10,控制台!$D$1007:$D$1080,0)-1,0),0))</f>
        <v>20</v>
      </c>
      <c r="X72" s="1">
        <f ca="1">IFERROR(OFFSET(控制台!$B$1007,MATCH(_xlfn.CEILING.MATH(O72/10)*10,控制台!$D$1007:$D$1080,0)-1,0),1)</f>
        <v>30</v>
      </c>
      <c r="Y72" s="5">
        <f ca="1">Lerp_dyy(W72,X72,IF(MOD(O72,10)=0,1,MOD(O72,10)/10))</f>
        <v>27</v>
      </c>
    </row>
    <row r="73" spans="2:25">
      <c r="B73" s="1">
        <v>68</v>
      </c>
      <c r="C73" s="1">
        <f>_xlfn.FLOOR.MATH(B73/10+0.9)*10</f>
        <v>70</v>
      </c>
      <c r="D73" s="1">
        <f ca="1">OFFSET(控制台!$C$1099,MATCH(C73,控制台!$B$1099:$B$1118,0)-2,0)*控制台!$E$1092</f>
        <v>480000</v>
      </c>
      <c r="E73" s="1">
        <f ca="1">OFFSET(控制台!$C$1099,MATCH(C73,控制台!$B$1099:$B$1118,0)-1,0)*控制台!$E$1092</f>
        <v>1440000</v>
      </c>
      <c r="F73" s="4">
        <f ca="1">_xlfn.FLOOR.MATH(Lerp_dyy(D73,E73,IF(MOD(B73,10)=0,1,MOD(B73,10)/10)),10)</f>
        <v>1248000</v>
      </c>
      <c r="G73" s="5">
        <f ca="1" t="shared" si="5"/>
        <v>15401900</v>
      </c>
      <c r="H73" s="4">
        <f ca="1">IF(AND(B73&lt;&gt;1,MOD(B73,10)=1),OFFSET(控制台!$E$1099,MATCH(C73,控制台!$B$1099:$B$1118,0)-1,0)*控制台!$E$1093,0)</f>
        <v>0</v>
      </c>
      <c r="I73" s="5">
        <f ca="1" t="shared" si="7"/>
        <v>15480</v>
      </c>
      <c r="J73" s="1">
        <f ca="1">IF(_xlfn.CEILING.MATH(B73/10)*10=10,0,IFERROR(OFFSET(控制台!$B$865,MATCH(_xlfn.CEILING.MATH(B73/10-1)*10,控制台!$D$865:$D$936,0)-1,0),0))</f>
        <v>13</v>
      </c>
      <c r="K73" s="1">
        <f ca="1">IFERROR(OFFSET(控制台!$B$865,MATCH(_xlfn.CEILING.MATH(B73/10)*10,控制台!$D$865:$D$936,0)-1,0),1)</f>
        <v>25</v>
      </c>
      <c r="L73" s="5">
        <f ca="1">Lerp_dyy(J73,K73,IF(MOD(B73,10)=0,1,MOD(B73,10)/10))</f>
        <v>22.6</v>
      </c>
      <c r="O73" s="1">
        <v>68</v>
      </c>
      <c r="P73" s="1">
        <f>_xlfn.FLOOR.MATH(O73/10+0.9)*10</f>
        <v>70</v>
      </c>
      <c r="Q73" s="1">
        <f ca="1">OFFSET(控制台!$I$1099,MATCH(P73,控制台!$H$1099:$H$1118,0)-2,0)*控制台!$K$1092</f>
        <v>480000</v>
      </c>
      <c r="R73" s="1">
        <f ca="1">OFFSET(控制台!$I$1099,MATCH(P73,控制台!$H$1099:$H$1118,0)-1,0)*控制台!$K$1092</f>
        <v>1440000</v>
      </c>
      <c r="S73" s="4">
        <f ca="1">_xlfn.FLOOR.MATH(Lerp_dyy(Q73,R73,IF(MOD(O73,10)=0,1,MOD(O73,10)/10)),10)</f>
        <v>1248000</v>
      </c>
      <c r="T73" s="5">
        <f ca="1" t="shared" si="6"/>
        <v>15401900</v>
      </c>
      <c r="U73" s="4">
        <f ca="1">IF(AND(O73&lt;&gt;1,MOD(O73,10)=1),OFFSET(控制台!$K$1099,MATCH(P73,控制台!$H$1099:$H$1118,0)-1,0)*控制台!$K$1093,0)</f>
        <v>0</v>
      </c>
      <c r="V73" s="5">
        <f ca="1" t="shared" si="8"/>
        <v>15480</v>
      </c>
      <c r="W73" s="1">
        <f ca="1">IF(_xlfn.CEILING.MATH(O73/10)*10=10,0,IFERROR(OFFSET(控制台!$B$1007,MATCH(_xlfn.CEILING.MATH(O73/10-1)*10,控制台!$D$1007:$D$1080,0)-1,0),0))</f>
        <v>20</v>
      </c>
      <c r="X73" s="1">
        <f ca="1">IFERROR(OFFSET(控制台!$B$1007,MATCH(_xlfn.CEILING.MATH(O73/10)*10,控制台!$D$1007:$D$1080,0)-1,0),1)</f>
        <v>30</v>
      </c>
      <c r="Y73" s="5">
        <f ca="1">Lerp_dyy(W73,X73,IF(MOD(O73,10)=0,1,MOD(O73,10)/10))</f>
        <v>28</v>
      </c>
    </row>
    <row r="74" spans="2:25">
      <c r="B74" s="1">
        <v>69</v>
      </c>
      <c r="C74" s="1">
        <f>_xlfn.FLOOR.MATH(B74/10+0.9)*10</f>
        <v>70</v>
      </c>
      <c r="D74" s="1">
        <f ca="1">OFFSET(控制台!$C$1099,MATCH(C74,控制台!$B$1099:$B$1118,0)-2,0)*控制台!$E$1092</f>
        <v>480000</v>
      </c>
      <c r="E74" s="1">
        <f ca="1">OFFSET(控制台!$C$1099,MATCH(C74,控制台!$B$1099:$B$1118,0)-1,0)*控制台!$E$1092</f>
        <v>1440000</v>
      </c>
      <c r="F74" s="4">
        <f ca="1">_xlfn.FLOOR.MATH(Lerp_dyy(D74,E74,IF(MOD(B74,10)=0,1,MOD(B74,10)/10)),10)</f>
        <v>1344000</v>
      </c>
      <c r="G74" s="5">
        <f ca="1" t="shared" si="5"/>
        <v>16745900</v>
      </c>
      <c r="H74" s="4">
        <f ca="1">IF(AND(B74&lt;&gt;1,MOD(B74,10)=1),OFFSET(控制台!$E$1099,MATCH(C74,控制台!$B$1099:$B$1118,0)-1,0)*控制台!$E$1093,0)</f>
        <v>0</v>
      </c>
      <c r="I74" s="5">
        <f ca="1" t="shared" si="7"/>
        <v>15480</v>
      </c>
      <c r="J74" s="1">
        <f ca="1">IF(_xlfn.CEILING.MATH(B74/10)*10=10,0,IFERROR(OFFSET(控制台!$B$865,MATCH(_xlfn.CEILING.MATH(B74/10-1)*10,控制台!$D$865:$D$936,0)-1,0),0))</f>
        <v>13</v>
      </c>
      <c r="K74" s="1">
        <f ca="1">IFERROR(OFFSET(控制台!$B$865,MATCH(_xlfn.CEILING.MATH(B74/10)*10,控制台!$D$865:$D$936,0)-1,0),1)</f>
        <v>25</v>
      </c>
      <c r="L74" s="5">
        <f ca="1">Lerp_dyy(J74,K74,IF(MOD(B74,10)=0,1,MOD(B74,10)/10))</f>
        <v>23.8</v>
      </c>
      <c r="O74" s="1">
        <v>69</v>
      </c>
      <c r="P74" s="1">
        <f>_xlfn.FLOOR.MATH(O74/10+0.9)*10</f>
        <v>70</v>
      </c>
      <c r="Q74" s="1">
        <f ca="1">OFFSET(控制台!$I$1099,MATCH(P74,控制台!$H$1099:$H$1118,0)-2,0)*控制台!$K$1092</f>
        <v>480000</v>
      </c>
      <c r="R74" s="1">
        <f ca="1">OFFSET(控制台!$I$1099,MATCH(P74,控制台!$H$1099:$H$1118,0)-1,0)*控制台!$K$1092</f>
        <v>1440000</v>
      </c>
      <c r="S74" s="4">
        <f ca="1">_xlfn.FLOOR.MATH(Lerp_dyy(Q74,R74,IF(MOD(O74,10)=0,1,MOD(O74,10)/10)),10)</f>
        <v>1344000</v>
      </c>
      <c r="T74" s="5">
        <f ca="1" t="shared" si="6"/>
        <v>16745900</v>
      </c>
      <c r="U74" s="4">
        <f ca="1">IF(AND(O74&lt;&gt;1,MOD(O74,10)=1),OFFSET(控制台!$K$1099,MATCH(P74,控制台!$H$1099:$H$1118,0)-1,0)*控制台!$K$1093,0)</f>
        <v>0</v>
      </c>
      <c r="V74" s="5">
        <f ca="1" t="shared" si="8"/>
        <v>15480</v>
      </c>
      <c r="W74" s="1">
        <f ca="1">IF(_xlfn.CEILING.MATH(O74/10)*10=10,0,IFERROR(OFFSET(控制台!$B$1007,MATCH(_xlfn.CEILING.MATH(O74/10-1)*10,控制台!$D$1007:$D$1080,0)-1,0),0))</f>
        <v>20</v>
      </c>
      <c r="X74" s="1">
        <f ca="1">IFERROR(OFFSET(控制台!$B$1007,MATCH(_xlfn.CEILING.MATH(O74/10)*10,控制台!$D$1007:$D$1080,0)-1,0),1)</f>
        <v>30</v>
      </c>
      <c r="Y74" s="5">
        <f ca="1">Lerp_dyy(W74,X74,IF(MOD(O74,10)=0,1,MOD(O74,10)/10))</f>
        <v>29</v>
      </c>
    </row>
    <row r="75" spans="2:25">
      <c r="B75" s="1">
        <v>70</v>
      </c>
      <c r="C75" s="1">
        <f>_xlfn.FLOOR.MATH(B75/10+0.9)*10</f>
        <v>70</v>
      </c>
      <c r="D75" s="1">
        <f ca="1">OFFSET(控制台!$C$1099,MATCH(C75,控制台!$B$1099:$B$1118,0)-2,0)*控制台!$E$1092</f>
        <v>480000</v>
      </c>
      <c r="E75" s="1">
        <f ca="1">OFFSET(控制台!$C$1099,MATCH(C75,控制台!$B$1099:$B$1118,0)-1,0)*控制台!$E$1092</f>
        <v>1440000</v>
      </c>
      <c r="F75" s="4">
        <f ca="1">_xlfn.FLOOR.MATH(Lerp_dyy(D75,E75,IF(MOD(B75,10)=0,1,MOD(B75,10)/10)),10)</f>
        <v>1440000</v>
      </c>
      <c r="G75" s="5">
        <f ca="1" t="shared" si="5"/>
        <v>18185900</v>
      </c>
      <c r="H75" s="4">
        <f ca="1">IF(AND(B75&lt;&gt;1,MOD(B75,10)=1),OFFSET(控制台!$E$1099,MATCH(C75,控制台!$B$1099:$B$1118,0)-1,0)*控制台!$E$1093,0)</f>
        <v>0</v>
      </c>
      <c r="I75" s="5">
        <f ca="1" t="shared" si="7"/>
        <v>15480</v>
      </c>
      <c r="J75" s="1">
        <f ca="1">IF(_xlfn.CEILING.MATH(B75/10)*10=10,0,IFERROR(OFFSET(控制台!$B$865,MATCH(_xlfn.CEILING.MATH(B75/10-1)*10,控制台!$D$865:$D$936,0)-1,0),0))</f>
        <v>13</v>
      </c>
      <c r="K75" s="1">
        <f ca="1">IFERROR(OFFSET(控制台!$B$865,MATCH(_xlfn.CEILING.MATH(B75/10)*10,控制台!$D$865:$D$936,0)-1,0),1)</f>
        <v>25</v>
      </c>
      <c r="L75" s="5">
        <f ca="1">Lerp_dyy(J75,K75,IF(MOD(B75,10)=0,1,MOD(B75,10)/10))</f>
        <v>25</v>
      </c>
      <c r="O75" s="1">
        <v>70</v>
      </c>
      <c r="P75" s="1">
        <f>_xlfn.FLOOR.MATH(O75/10+0.9)*10</f>
        <v>70</v>
      </c>
      <c r="Q75" s="1">
        <f ca="1">OFFSET(控制台!$I$1099,MATCH(P75,控制台!$H$1099:$H$1118,0)-2,0)*控制台!$K$1092</f>
        <v>480000</v>
      </c>
      <c r="R75" s="1">
        <f ca="1">OFFSET(控制台!$I$1099,MATCH(P75,控制台!$H$1099:$H$1118,0)-1,0)*控制台!$K$1092</f>
        <v>1440000</v>
      </c>
      <c r="S75" s="4">
        <f ca="1">_xlfn.FLOOR.MATH(Lerp_dyy(Q75,R75,IF(MOD(O75,10)=0,1,MOD(O75,10)/10)),10)</f>
        <v>1440000</v>
      </c>
      <c r="T75" s="5">
        <f ca="1" t="shared" si="6"/>
        <v>18185900</v>
      </c>
      <c r="U75" s="4">
        <f ca="1">IF(AND(O75&lt;&gt;1,MOD(O75,10)=1),OFFSET(控制台!$K$1099,MATCH(P75,控制台!$H$1099:$H$1118,0)-1,0)*控制台!$K$1093,0)</f>
        <v>0</v>
      </c>
      <c r="V75" s="5">
        <f ca="1" t="shared" si="8"/>
        <v>15480</v>
      </c>
      <c r="W75" s="1">
        <f ca="1">IF(_xlfn.CEILING.MATH(O75/10)*10=10,0,IFERROR(OFFSET(控制台!$B$1007,MATCH(_xlfn.CEILING.MATH(O75/10-1)*10,控制台!$D$1007:$D$1080,0)-1,0),0))</f>
        <v>20</v>
      </c>
      <c r="X75" s="1">
        <f ca="1">IFERROR(OFFSET(控制台!$B$1007,MATCH(_xlfn.CEILING.MATH(O75/10)*10,控制台!$D$1007:$D$1080,0)-1,0),1)</f>
        <v>30</v>
      </c>
      <c r="Y75" s="5">
        <f ca="1">Lerp_dyy(W75,X75,IF(MOD(O75,10)=0,1,MOD(O75,10)/10))</f>
        <v>30</v>
      </c>
    </row>
    <row r="76" s="15" customFormat="1" spans="2:25">
      <c r="B76" s="15">
        <v>71</v>
      </c>
      <c r="C76" s="15">
        <f>_xlfn.FLOOR.MATH(B76/10+0.9)*10</f>
        <v>80</v>
      </c>
      <c r="D76" s="15">
        <f ca="1">OFFSET(控制台!$C$1099,MATCH(C76,控制台!$B$1099:$B$1118,0)-2,0)*控制台!$E$1092</f>
        <v>1440000</v>
      </c>
      <c r="E76" s="15">
        <f ca="1">OFFSET(控制台!$C$1099,MATCH(C76,控制台!$B$1099:$B$1118,0)-1,0)*控制台!$E$1092</f>
        <v>2160000</v>
      </c>
      <c r="F76" s="16">
        <f ca="1">_xlfn.FLOOR.MATH(Lerp_dyy(D76,E76,IF(MOD(B76,10)=0,1,MOD(B76,10)/10)),10)</f>
        <v>1512000</v>
      </c>
      <c r="G76" s="17">
        <f ca="1" t="shared" si="5"/>
        <v>19697900</v>
      </c>
      <c r="H76" s="16">
        <f ca="1">IF(AND(B76&lt;&gt;1,MOD(B76,10)=1),OFFSET(控制台!$E$1099,MATCH(C76,控制台!$B$1099:$B$1118,0)-1,0)*控制台!$E$1093,0)</f>
        <v>14400</v>
      </c>
      <c r="I76" s="17">
        <f ca="1" t="shared" si="7"/>
        <v>29880</v>
      </c>
      <c r="J76" s="15">
        <f ca="1">IF(_xlfn.CEILING.MATH(B76/10)*10=10,0,IFERROR(OFFSET(控制台!$B$865,MATCH(_xlfn.CEILING.MATH(B76/10-1)*10,控制台!$D$865:$D$936,0)-1,0),0))</f>
        <v>25</v>
      </c>
      <c r="K76" s="15">
        <f ca="1">IFERROR(OFFSET(控制台!$B$865,MATCH(_xlfn.CEILING.MATH(B76/10)*10,控制台!$D$865:$D$936,0)-1,0),1)</f>
        <v>40</v>
      </c>
      <c r="L76" s="17">
        <f ca="1">Lerp_dyy(J76,K76,IF(MOD(B76,10)=0,1,MOD(B76,10)/10))</f>
        <v>26.5</v>
      </c>
      <c r="O76" s="15">
        <v>71</v>
      </c>
      <c r="P76" s="1">
        <f>_xlfn.FLOOR.MATH(O76/10+0.9)*10</f>
        <v>80</v>
      </c>
      <c r="Q76" s="1">
        <f ca="1">OFFSET(控制台!$I$1099,MATCH(P76,控制台!$H$1099:$H$1118,0)-2,0)*控制台!$K$1092</f>
        <v>1440000</v>
      </c>
      <c r="R76" s="1">
        <f ca="1">OFFSET(控制台!$I$1099,MATCH(P76,控制台!$H$1099:$H$1118,0)-1,0)*控制台!$K$1092</f>
        <v>2160000</v>
      </c>
      <c r="S76" s="16">
        <f ca="1">_xlfn.FLOOR.MATH(Lerp_dyy(Q76,R76,IF(MOD(O76,10)=0,1,MOD(O76,10)/10)),10)</f>
        <v>1512000</v>
      </c>
      <c r="T76" s="17">
        <f ca="1" t="shared" si="6"/>
        <v>19697900</v>
      </c>
      <c r="U76" s="4">
        <f ca="1">IF(AND(O76&lt;&gt;1,MOD(O76,10)=1),OFFSET(控制台!$K$1099,MATCH(P76,控制台!$H$1099:$H$1118,0)-1,0)*控制台!$K$1093,0)</f>
        <v>14400</v>
      </c>
      <c r="V76" s="17">
        <f ca="1" t="shared" si="8"/>
        <v>29880</v>
      </c>
      <c r="W76" s="1">
        <f ca="1">IF(_xlfn.CEILING.MATH(O76/10)*10=10,0,IFERROR(OFFSET(控制台!$B$1007,MATCH(_xlfn.CEILING.MATH(O76/10-1)*10,控制台!$D$1007:$D$1080,0)-1,0),0))</f>
        <v>30</v>
      </c>
      <c r="X76" s="1">
        <f ca="1">IFERROR(OFFSET(控制台!$B$1007,MATCH(_xlfn.CEILING.MATH(O76/10)*10,控制台!$D$1007:$D$1080,0)-1,0),1)</f>
        <v>45</v>
      </c>
      <c r="Y76" s="17">
        <f ca="1">Lerp_dyy(W76,X76,IF(MOD(O76,10)=0,1,MOD(O76,10)/10))</f>
        <v>31.5</v>
      </c>
    </row>
    <row r="77" s="15" customFormat="1" spans="2:25">
      <c r="B77" s="15">
        <v>72</v>
      </c>
      <c r="C77" s="15">
        <f>_xlfn.FLOOR.MATH(B77/10+0.9)*10</f>
        <v>80</v>
      </c>
      <c r="D77" s="15">
        <f ca="1">OFFSET(控制台!$C$1099,MATCH(C77,控制台!$B$1099:$B$1118,0)-2,0)*控制台!$E$1092</f>
        <v>1440000</v>
      </c>
      <c r="E77" s="15">
        <f ca="1">OFFSET(控制台!$C$1099,MATCH(C77,控制台!$B$1099:$B$1118,0)-1,0)*控制台!$E$1092</f>
        <v>2160000</v>
      </c>
      <c r="F77" s="16">
        <f ca="1">_xlfn.FLOOR.MATH(Lerp_dyy(D77,E77,IF(MOD(B77,10)=0,1,MOD(B77,10)/10)),10)</f>
        <v>1584000</v>
      </c>
      <c r="G77" s="17">
        <f ca="1" t="shared" si="5"/>
        <v>21281900</v>
      </c>
      <c r="H77" s="16">
        <f ca="1">IF(AND(B77&lt;&gt;1,MOD(B77,10)=1),OFFSET(控制台!$E$1099,MATCH(C77,控制台!$B$1099:$B$1118,0)-1,0)*控制台!$E$1093,0)</f>
        <v>0</v>
      </c>
      <c r="I77" s="17">
        <f ca="1" t="shared" si="7"/>
        <v>29880</v>
      </c>
      <c r="J77" s="15">
        <f ca="1">IF(_xlfn.CEILING.MATH(B77/10)*10=10,0,IFERROR(OFFSET(控制台!$B$865,MATCH(_xlfn.CEILING.MATH(B77/10-1)*10,控制台!$D$865:$D$936,0)-1,0),0))</f>
        <v>25</v>
      </c>
      <c r="K77" s="15">
        <f ca="1">IFERROR(OFFSET(控制台!$B$865,MATCH(_xlfn.CEILING.MATH(B77/10)*10,控制台!$D$865:$D$936,0)-1,0),1)</f>
        <v>40</v>
      </c>
      <c r="L77" s="17">
        <f ca="1">Lerp_dyy(J77,K77,IF(MOD(B77,10)=0,1,MOD(B77,10)/10))</f>
        <v>28</v>
      </c>
      <c r="O77" s="15">
        <v>72</v>
      </c>
      <c r="P77" s="1">
        <f>_xlfn.FLOOR.MATH(O77/10+0.9)*10</f>
        <v>80</v>
      </c>
      <c r="Q77" s="1">
        <f ca="1">OFFSET(控制台!$I$1099,MATCH(P77,控制台!$H$1099:$H$1118,0)-2,0)*控制台!$K$1092</f>
        <v>1440000</v>
      </c>
      <c r="R77" s="1">
        <f ca="1">OFFSET(控制台!$I$1099,MATCH(P77,控制台!$H$1099:$H$1118,0)-1,0)*控制台!$K$1092</f>
        <v>2160000</v>
      </c>
      <c r="S77" s="16">
        <f ca="1">_xlfn.FLOOR.MATH(Lerp_dyy(Q77,R77,IF(MOD(O77,10)=0,1,MOD(O77,10)/10)),10)</f>
        <v>1584000</v>
      </c>
      <c r="T77" s="17">
        <f ca="1" t="shared" si="6"/>
        <v>21281900</v>
      </c>
      <c r="U77" s="4">
        <f ca="1">IF(AND(O77&lt;&gt;1,MOD(O77,10)=1),OFFSET(控制台!$K$1099,MATCH(P77,控制台!$H$1099:$H$1118,0)-1,0)*控制台!$K$1093,0)</f>
        <v>0</v>
      </c>
      <c r="V77" s="17">
        <f ca="1" t="shared" si="8"/>
        <v>29880</v>
      </c>
      <c r="W77" s="1">
        <f ca="1">IF(_xlfn.CEILING.MATH(O77/10)*10=10,0,IFERROR(OFFSET(控制台!$B$1007,MATCH(_xlfn.CEILING.MATH(O77/10-1)*10,控制台!$D$1007:$D$1080,0)-1,0),0))</f>
        <v>30</v>
      </c>
      <c r="X77" s="1">
        <f ca="1">IFERROR(OFFSET(控制台!$B$1007,MATCH(_xlfn.CEILING.MATH(O77/10)*10,控制台!$D$1007:$D$1080,0)-1,0),1)</f>
        <v>45</v>
      </c>
      <c r="Y77" s="17">
        <f ca="1">Lerp_dyy(W77,X77,IF(MOD(O77,10)=0,1,MOD(O77,10)/10))</f>
        <v>33</v>
      </c>
    </row>
    <row r="78" s="15" customFormat="1" spans="2:25">
      <c r="B78" s="15">
        <v>73</v>
      </c>
      <c r="C78" s="15">
        <f>_xlfn.FLOOR.MATH(B78/10+0.9)*10</f>
        <v>80</v>
      </c>
      <c r="D78" s="15">
        <f ca="1">OFFSET(控制台!$C$1099,MATCH(C78,控制台!$B$1099:$B$1118,0)-2,0)*控制台!$E$1092</f>
        <v>1440000</v>
      </c>
      <c r="E78" s="15">
        <f ca="1">OFFSET(控制台!$C$1099,MATCH(C78,控制台!$B$1099:$B$1118,0)-1,0)*控制台!$E$1092</f>
        <v>2160000</v>
      </c>
      <c r="F78" s="16">
        <f ca="1">_xlfn.FLOOR.MATH(Lerp_dyy(D78,E78,IF(MOD(B78,10)=0,1,MOD(B78,10)/10)),10)</f>
        <v>1656000</v>
      </c>
      <c r="G78" s="17">
        <f ca="1" t="shared" si="5"/>
        <v>22937900</v>
      </c>
      <c r="H78" s="16">
        <f ca="1">IF(AND(B78&lt;&gt;1,MOD(B78,10)=1),OFFSET(控制台!$E$1099,MATCH(C78,控制台!$B$1099:$B$1118,0)-1,0)*控制台!$E$1093,0)</f>
        <v>0</v>
      </c>
      <c r="I78" s="17">
        <f ca="1" t="shared" si="7"/>
        <v>29880</v>
      </c>
      <c r="J78" s="15">
        <f ca="1">IF(_xlfn.CEILING.MATH(B78/10)*10=10,0,IFERROR(OFFSET(控制台!$B$865,MATCH(_xlfn.CEILING.MATH(B78/10-1)*10,控制台!$D$865:$D$936,0)-1,0),0))</f>
        <v>25</v>
      </c>
      <c r="K78" s="15">
        <f ca="1">IFERROR(OFFSET(控制台!$B$865,MATCH(_xlfn.CEILING.MATH(B78/10)*10,控制台!$D$865:$D$936,0)-1,0),1)</f>
        <v>40</v>
      </c>
      <c r="L78" s="17">
        <f ca="1">Lerp_dyy(J78,K78,IF(MOD(B78,10)=0,1,MOD(B78,10)/10))</f>
        <v>29.5</v>
      </c>
      <c r="O78" s="15">
        <v>73</v>
      </c>
      <c r="P78" s="1">
        <f>_xlfn.FLOOR.MATH(O78/10+0.9)*10</f>
        <v>80</v>
      </c>
      <c r="Q78" s="1">
        <f ca="1">OFFSET(控制台!$I$1099,MATCH(P78,控制台!$H$1099:$H$1118,0)-2,0)*控制台!$K$1092</f>
        <v>1440000</v>
      </c>
      <c r="R78" s="1">
        <f ca="1">OFFSET(控制台!$I$1099,MATCH(P78,控制台!$H$1099:$H$1118,0)-1,0)*控制台!$K$1092</f>
        <v>2160000</v>
      </c>
      <c r="S78" s="16">
        <f ca="1">_xlfn.FLOOR.MATH(Lerp_dyy(Q78,R78,IF(MOD(O78,10)=0,1,MOD(O78,10)/10)),10)</f>
        <v>1656000</v>
      </c>
      <c r="T78" s="17">
        <f ca="1" t="shared" si="6"/>
        <v>22937900</v>
      </c>
      <c r="U78" s="4">
        <f ca="1">IF(AND(O78&lt;&gt;1,MOD(O78,10)=1),OFFSET(控制台!$K$1099,MATCH(P78,控制台!$H$1099:$H$1118,0)-1,0)*控制台!$K$1093,0)</f>
        <v>0</v>
      </c>
      <c r="V78" s="17">
        <f ca="1" t="shared" si="8"/>
        <v>29880</v>
      </c>
      <c r="W78" s="1">
        <f ca="1">IF(_xlfn.CEILING.MATH(O78/10)*10=10,0,IFERROR(OFFSET(控制台!$B$1007,MATCH(_xlfn.CEILING.MATH(O78/10-1)*10,控制台!$D$1007:$D$1080,0)-1,0),0))</f>
        <v>30</v>
      </c>
      <c r="X78" s="1">
        <f ca="1">IFERROR(OFFSET(控制台!$B$1007,MATCH(_xlfn.CEILING.MATH(O78/10)*10,控制台!$D$1007:$D$1080,0)-1,0),1)</f>
        <v>45</v>
      </c>
      <c r="Y78" s="17">
        <f ca="1">Lerp_dyy(W78,X78,IF(MOD(O78,10)=0,1,MOD(O78,10)/10))</f>
        <v>34.5</v>
      </c>
    </row>
    <row r="79" s="15" customFormat="1" spans="2:25">
      <c r="B79" s="15">
        <v>74</v>
      </c>
      <c r="C79" s="15">
        <f>_xlfn.FLOOR.MATH(B79/10+0.9)*10</f>
        <v>80</v>
      </c>
      <c r="D79" s="15">
        <f ca="1">OFFSET(控制台!$C$1099,MATCH(C79,控制台!$B$1099:$B$1118,0)-2,0)*控制台!$E$1092</f>
        <v>1440000</v>
      </c>
      <c r="E79" s="15">
        <f ca="1">OFFSET(控制台!$C$1099,MATCH(C79,控制台!$B$1099:$B$1118,0)-1,0)*控制台!$E$1092</f>
        <v>2160000</v>
      </c>
      <c r="F79" s="16">
        <f ca="1">_xlfn.FLOOR.MATH(Lerp_dyy(D79,E79,IF(MOD(B79,10)=0,1,MOD(B79,10)/10)),10)</f>
        <v>1728000</v>
      </c>
      <c r="G79" s="17">
        <f ca="1" t="shared" si="5"/>
        <v>24665900</v>
      </c>
      <c r="H79" s="16">
        <f ca="1">IF(AND(B79&lt;&gt;1,MOD(B79,10)=1),OFFSET(控制台!$E$1099,MATCH(C79,控制台!$B$1099:$B$1118,0)-1,0)*控制台!$E$1093,0)</f>
        <v>0</v>
      </c>
      <c r="I79" s="17">
        <f ca="1" t="shared" si="7"/>
        <v>29880</v>
      </c>
      <c r="J79" s="15">
        <f ca="1">IF(_xlfn.CEILING.MATH(B79/10)*10=10,0,IFERROR(OFFSET(控制台!$B$865,MATCH(_xlfn.CEILING.MATH(B79/10-1)*10,控制台!$D$865:$D$936,0)-1,0),0))</f>
        <v>25</v>
      </c>
      <c r="K79" s="15">
        <f ca="1">IFERROR(OFFSET(控制台!$B$865,MATCH(_xlfn.CEILING.MATH(B79/10)*10,控制台!$D$865:$D$936,0)-1,0),1)</f>
        <v>40</v>
      </c>
      <c r="L79" s="17">
        <f ca="1">Lerp_dyy(J79,K79,IF(MOD(B79,10)=0,1,MOD(B79,10)/10))</f>
        <v>31</v>
      </c>
      <c r="O79" s="15">
        <v>74</v>
      </c>
      <c r="P79" s="1">
        <f>_xlfn.FLOOR.MATH(O79/10+0.9)*10</f>
        <v>80</v>
      </c>
      <c r="Q79" s="1">
        <f ca="1">OFFSET(控制台!$I$1099,MATCH(P79,控制台!$H$1099:$H$1118,0)-2,0)*控制台!$K$1092</f>
        <v>1440000</v>
      </c>
      <c r="R79" s="1">
        <f ca="1">OFFSET(控制台!$I$1099,MATCH(P79,控制台!$H$1099:$H$1118,0)-1,0)*控制台!$K$1092</f>
        <v>2160000</v>
      </c>
      <c r="S79" s="16">
        <f ca="1">_xlfn.FLOOR.MATH(Lerp_dyy(Q79,R79,IF(MOD(O79,10)=0,1,MOD(O79,10)/10)),10)</f>
        <v>1728000</v>
      </c>
      <c r="T79" s="17">
        <f ca="1" t="shared" si="6"/>
        <v>24665900</v>
      </c>
      <c r="U79" s="4">
        <f ca="1">IF(AND(O79&lt;&gt;1,MOD(O79,10)=1),OFFSET(控制台!$K$1099,MATCH(P79,控制台!$H$1099:$H$1118,0)-1,0)*控制台!$K$1093,0)</f>
        <v>0</v>
      </c>
      <c r="V79" s="17">
        <f ca="1" t="shared" si="8"/>
        <v>29880</v>
      </c>
      <c r="W79" s="1">
        <f ca="1">IF(_xlfn.CEILING.MATH(O79/10)*10=10,0,IFERROR(OFFSET(控制台!$B$1007,MATCH(_xlfn.CEILING.MATH(O79/10-1)*10,控制台!$D$1007:$D$1080,0)-1,0),0))</f>
        <v>30</v>
      </c>
      <c r="X79" s="1">
        <f ca="1">IFERROR(OFFSET(控制台!$B$1007,MATCH(_xlfn.CEILING.MATH(O79/10)*10,控制台!$D$1007:$D$1080,0)-1,0),1)</f>
        <v>45</v>
      </c>
      <c r="Y79" s="17">
        <f ca="1">Lerp_dyy(W79,X79,IF(MOD(O79,10)=0,1,MOD(O79,10)/10))</f>
        <v>36</v>
      </c>
    </row>
    <row r="80" s="15" customFormat="1" spans="2:25">
      <c r="B80" s="15">
        <v>75</v>
      </c>
      <c r="C80" s="15">
        <f>_xlfn.FLOOR.MATH(B80/10+0.9)*10</f>
        <v>80</v>
      </c>
      <c r="D80" s="15">
        <f ca="1">OFFSET(控制台!$C$1099,MATCH(C80,控制台!$B$1099:$B$1118,0)-2,0)*控制台!$E$1092</f>
        <v>1440000</v>
      </c>
      <c r="E80" s="15">
        <f ca="1">OFFSET(控制台!$C$1099,MATCH(C80,控制台!$B$1099:$B$1118,0)-1,0)*控制台!$E$1092</f>
        <v>2160000</v>
      </c>
      <c r="F80" s="16">
        <f ca="1">_xlfn.FLOOR.MATH(Lerp_dyy(D80,E80,IF(MOD(B80,10)=0,1,MOD(B80,10)/10)),10)</f>
        <v>1800000</v>
      </c>
      <c r="G80" s="17">
        <f ca="1" t="shared" si="5"/>
        <v>26465900</v>
      </c>
      <c r="H80" s="16">
        <f ca="1">IF(AND(B80&lt;&gt;1,MOD(B80,10)=1),OFFSET(控制台!$E$1099,MATCH(C80,控制台!$B$1099:$B$1118,0)-1,0)*控制台!$E$1093,0)</f>
        <v>0</v>
      </c>
      <c r="I80" s="17">
        <f ca="1" t="shared" si="7"/>
        <v>29880</v>
      </c>
      <c r="J80" s="15">
        <f ca="1">IF(_xlfn.CEILING.MATH(B80/10)*10=10,0,IFERROR(OFFSET(控制台!$B$865,MATCH(_xlfn.CEILING.MATH(B80/10-1)*10,控制台!$D$865:$D$936,0)-1,0),0))</f>
        <v>25</v>
      </c>
      <c r="K80" s="15">
        <f ca="1">IFERROR(OFFSET(控制台!$B$865,MATCH(_xlfn.CEILING.MATH(B80/10)*10,控制台!$D$865:$D$936,0)-1,0),1)</f>
        <v>40</v>
      </c>
      <c r="L80" s="17">
        <f ca="1">Lerp_dyy(J80,K80,IF(MOD(B80,10)=0,1,MOD(B80,10)/10))</f>
        <v>32.5</v>
      </c>
      <c r="O80" s="15">
        <v>75</v>
      </c>
      <c r="P80" s="1">
        <f>_xlfn.FLOOR.MATH(O80/10+0.9)*10</f>
        <v>80</v>
      </c>
      <c r="Q80" s="1">
        <f ca="1">OFFSET(控制台!$I$1099,MATCH(P80,控制台!$H$1099:$H$1118,0)-2,0)*控制台!$K$1092</f>
        <v>1440000</v>
      </c>
      <c r="R80" s="1">
        <f ca="1">OFFSET(控制台!$I$1099,MATCH(P80,控制台!$H$1099:$H$1118,0)-1,0)*控制台!$K$1092</f>
        <v>2160000</v>
      </c>
      <c r="S80" s="16">
        <f ca="1">_xlfn.FLOOR.MATH(Lerp_dyy(Q80,R80,IF(MOD(O80,10)=0,1,MOD(O80,10)/10)),10)</f>
        <v>1800000</v>
      </c>
      <c r="T80" s="17">
        <f ca="1" t="shared" si="6"/>
        <v>26465900</v>
      </c>
      <c r="U80" s="4">
        <f ca="1">IF(AND(O80&lt;&gt;1,MOD(O80,10)=1),OFFSET(控制台!$K$1099,MATCH(P80,控制台!$H$1099:$H$1118,0)-1,0)*控制台!$K$1093,0)</f>
        <v>0</v>
      </c>
      <c r="V80" s="17">
        <f ca="1" t="shared" si="8"/>
        <v>29880</v>
      </c>
      <c r="W80" s="1">
        <f ca="1">IF(_xlfn.CEILING.MATH(O80/10)*10=10,0,IFERROR(OFFSET(控制台!$B$1007,MATCH(_xlfn.CEILING.MATH(O80/10-1)*10,控制台!$D$1007:$D$1080,0)-1,0),0))</f>
        <v>30</v>
      </c>
      <c r="X80" s="1">
        <f ca="1">IFERROR(OFFSET(控制台!$B$1007,MATCH(_xlfn.CEILING.MATH(O80/10)*10,控制台!$D$1007:$D$1080,0)-1,0),1)</f>
        <v>45</v>
      </c>
      <c r="Y80" s="17">
        <f ca="1">Lerp_dyy(W80,X80,IF(MOD(O80,10)=0,1,MOD(O80,10)/10))</f>
        <v>37.5</v>
      </c>
    </row>
    <row r="81" s="15" customFormat="1" spans="2:25">
      <c r="B81" s="15">
        <v>76</v>
      </c>
      <c r="C81" s="15">
        <f>_xlfn.FLOOR.MATH(B81/10+0.9)*10</f>
        <v>80</v>
      </c>
      <c r="D81" s="15">
        <f ca="1">OFFSET(控制台!$C$1099,MATCH(C81,控制台!$B$1099:$B$1118,0)-2,0)*控制台!$E$1092</f>
        <v>1440000</v>
      </c>
      <c r="E81" s="15">
        <f ca="1">OFFSET(控制台!$C$1099,MATCH(C81,控制台!$B$1099:$B$1118,0)-1,0)*控制台!$E$1092</f>
        <v>2160000</v>
      </c>
      <c r="F81" s="16">
        <f ca="1">_xlfn.FLOOR.MATH(Lerp_dyy(D81,E81,IF(MOD(B81,10)=0,1,MOD(B81,10)/10)),10)</f>
        <v>1872000</v>
      </c>
      <c r="G81" s="17">
        <f ca="1" t="shared" si="5"/>
        <v>28337900</v>
      </c>
      <c r="H81" s="16">
        <f ca="1">IF(AND(B81&lt;&gt;1,MOD(B81,10)=1),OFFSET(控制台!$E$1099,MATCH(C81,控制台!$B$1099:$B$1118,0)-1,0)*控制台!$E$1093,0)</f>
        <v>0</v>
      </c>
      <c r="I81" s="17">
        <f ca="1" t="shared" si="7"/>
        <v>29880</v>
      </c>
      <c r="J81" s="15">
        <f ca="1">IF(_xlfn.CEILING.MATH(B81/10)*10=10,0,IFERROR(OFFSET(控制台!$B$865,MATCH(_xlfn.CEILING.MATH(B81/10-1)*10,控制台!$D$865:$D$936,0)-1,0),0))</f>
        <v>25</v>
      </c>
      <c r="K81" s="15">
        <f ca="1">IFERROR(OFFSET(控制台!$B$865,MATCH(_xlfn.CEILING.MATH(B81/10)*10,控制台!$D$865:$D$936,0)-1,0),1)</f>
        <v>40</v>
      </c>
      <c r="L81" s="17">
        <f ca="1">Lerp_dyy(J81,K81,IF(MOD(B81,10)=0,1,MOD(B81,10)/10))</f>
        <v>34</v>
      </c>
      <c r="O81" s="15">
        <v>76</v>
      </c>
      <c r="P81" s="1">
        <f>_xlfn.FLOOR.MATH(O81/10+0.9)*10</f>
        <v>80</v>
      </c>
      <c r="Q81" s="1">
        <f ca="1">OFFSET(控制台!$I$1099,MATCH(P81,控制台!$H$1099:$H$1118,0)-2,0)*控制台!$K$1092</f>
        <v>1440000</v>
      </c>
      <c r="R81" s="1">
        <f ca="1">OFFSET(控制台!$I$1099,MATCH(P81,控制台!$H$1099:$H$1118,0)-1,0)*控制台!$K$1092</f>
        <v>2160000</v>
      </c>
      <c r="S81" s="16">
        <f ca="1">_xlfn.FLOOR.MATH(Lerp_dyy(Q81,R81,IF(MOD(O81,10)=0,1,MOD(O81,10)/10)),10)</f>
        <v>1872000</v>
      </c>
      <c r="T81" s="17">
        <f ca="1" t="shared" si="6"/>
        <v>28337900</v>
      </c>
      <c r="U81" s="4">
        <f ca="1">IF(AND(O81&lt;&gt;1,MOD(O81,10)=1),OFFSET(控制台!$K$1099,MATCH(P81,控制台!$H$1099:$H$1118,0)-1,0)*控制台!$K$1093,0)</f>
        <v>0</v>
      </c>
      <c r="V81" s="17">
        <f ca="1" t="shared" si="8"/>
        <v>29880</v>
      </c>
      <c r="W81" s="1">
        <f ca="1">IF(_xlfn.CEILING.MATH(O81/10)*10=10,0,IFERROR(OFFSET(控制台!$B$1007,MATCH(_xlfn.CEILING.MATH(O81/10-1)*10,控制台!$D$1007:$D$1080,0)-1,0),0))</f>
        <v>30</v>
      </c>
      <c r="X81" s="1">
        <f ca="1">IFERROR(OFFSET(控制台!$B$1007,MATCH(_xlfn.CEILING.MATH(O81/10)*10,控制台!$D$1007:$D$1080,0)-1,0),1)</f>
        <v>45</v>
      </c>
      <c r="Y81" s="17">
        <f ca="1">Lerp_dyy(W81,X81,IF(MOD(O81,10)=0,1,MOD(O81,10)/10))</f>
        <v>39</v>
      </c>
    </row>
    <row r="82" s="15" customFormat="1" spans="2:25">
      <c r="B82" s="15">
        <v>77</v>
      </c>
      <c r="C82" s="15">
        <f>_xlfn.FLOOR.MATH(B82/10+0.9)*10</f>
        <v>80</v>
      </c>
      <c r="D82" s="15">
        <f ca="1">OFFSET(控制台!$C$1099,MATCH(C82,控制台!$B$1099:$B$1118,0)-2,0)*控制台!$E$1092</f>
        <v>1440000</v>
      </c>
      <c r="E82" s="15">
        <f ca="1">OFFSET(控制台!$C$1099,MATCH(C82,控制台!$B$1099:$B$1118,0)-1,0)*控制台!$E$1092</f>
        <v>2160000</v>
      </c>
      <c r="F82" s="16">
        <f ca="1">_xlfn.FLOOR.MATH(Lerp_dyy(D82,E82,IF(MOD(B82,10)=0,1,MOD(B82,10)/10)),10)</f>
        <v>1944000</v>
      </c>
      <c r="G82" s="17">
        <f ca="1" t="shared" si="5"/>
        <v>30281900</v>
      </c>
      <c r="H82" s="16">
        <f ca="1">IF(AND(B82&lt;&gt;1,MOD(B82,10)=1),OFFSET(控制台!$E$1099,MATCH(C82,控制台!$B$1099:$B$1118,0)-1,0)*控制台!$E$1093,0)</f>
        <v>0</v>
      </c>
      <c r="I82" s="17">
        <f ca="1" t="shared" si="7"/>
        <v>29880</v>
      </c>
      <c r="J82" s="15">
        <f ca="1">IF(_xlfn.CEILING.MATH(B82/10)*10=10,0,IFERROR(OFFSET(控制台!$B$865,MATCH(_xlfn.CEILING.MATH(B82/10-1)*10,控制台!$D$865:$D$936,0)-1,0),0))</f>
        <v>25</v>
      </c>
      <c r="K82" s="15">
        <f ca="1">IFERROR(OFFSET(控制台!$B$865,MATCH(_xlfn.CEILING.MATH(B82/10)*10,控制台!$D$865:$D$936,0)-1,0),1)</f>
        <v>40</v>
      </c>
      <c r="L82" s="17">
        <f ca="1">Lerp_dyy(J82,K82,IF(MOD(B82,10)=0,1,MOD(B82,10)/10))</f>
        <v>35.5</v>
      </c>
      <c r="O82" s="15">
        <v>77</v>
      </c>
      <c r="P82" s="1">
        <f>_xlfn.FLOOR.MATH(O82/10+0.9)*10</f>
        <v>80</v>
      </c>
      <c r="Q82" s="1">
        <f ca="1">OFFSET(控制台!$I$1099,MATCH(P82,控制台!$H$1099:$H$1118,0)-2,0)*控制台!$K$1092</f>
        <v>1440000</v>
      </c>
      <c r="R82" s="1">
        <f ca="1">OFFSET(控制台!$I$1099,MATCH(P82,控制台!$H$1099:$H$1118,0)-1,0)*控制台!$K$1092</f>
        <v>2160000</v>
      </c>
      <c r="S82" s="16">
        <f ca="1">_xlfn.FLOOR.MATH(Lerp_dyy(Q82,R82,IF(MOD(O82,10)=0,1,MOD(O82,10)/10)),10)</f>
        <v>1944000</v>
      </c>
      <c r="T82" s="17">
        <f ca="1" t="shared" si="6"/>
        <v>30281900</v>
      </c>
      <c r="U82" s="4">
        <f ca="1">IF(AND(O82&lt;&gt;1,MOD(O82,10)=1),OFFSET(控制台!$K$1099,MATCH(P82,控制台!$H$1099:$H$1118,0)-1,0)*控制台!$K$1093,0)</f>
        <v>0</v>
      </c>
      <c r="V82" s="17">
        <f ca="1" t="shared" si="8"/>
        <v>29880</v>
      </c>
      <c r="W82" s="1">
        <f ca="1">IF(_xlfn.CEILING.MATH(O82/10)*10=10,0,IFERROR(OFFSET(控制台!$B$1007,MATCH(_xlfn.CEILING.MATH(O82/10-1)*10,控制台!$D$1007:$D$1080,0)-1,0),0))</f>
        <v>30</v>
      </c>
      <c r="X82" s="1">
        <f ca="1">IFERROR(OFFSET(控制台!$B$1007,MATCH(_xlfn.CEILING.MATH(O82/10)*10,控制台!$D$1007:$D$1080,0)-1,0),1)</f>
        <v>45</v>
      </c>
      <c r="Y82" s="17">
        <f ca="1">Lerp_dyy(W82,X82,IF(MOD(O82,10)=0,1,MOD(O82,10)/10))</f>
        <v>40.5</v>
      </c>
    </row>
    <row r="83" s="15" customFormat="1" spans="2:25">
      <c r="B83" s="15">
        <v>78</v>
      </c>
      <c r="C83" s="15">
        <f>_xlfn.FLOOR.MATH(B83/10+0.9)*10</f>
        <v>80</v>
      </c>
      <c r="D83" s="15">
        <f ca="1">OFFSET(控制台!$C$1099,MATCH(C83,控制台!$B$1099:$B$1118,0)-2,0)*控制台!$E$1092</f>
        <v>1440000</v>
      </c>
      <c r="E83" s="15">
        <f ca="1">OFFSET(控制台!$C$1099,MATCH(C83,控制台!$B$1099:$B$1118,0)-1,0)*控制台!$E$1092</f>
        <v>2160000</v>
      </c>
      <c r="F83" s="16">
        <f ca="1">_xlfn.FLOOR.MATH(Lerp_dyy(D83,E83,IF(MOD(B83,10)=0,1,MOD(B83,10)/10)),10)</f>
        <v>2016000</v>
      </c>
      <c r="G83" s="17">
        <f ca="1" t="shared" si="5"/>
        <v>32297900</v>
      </c>
      <c r="H83" s="16">
        <f ca="1">IF(AND(B83&lt;&gt;1,MOD(B83,10)=1),OFFSET(控制台!$E$1099,MATCH(C83,控制台!$B$1099:$B$1118,0)-1,0)*控制台!$E$1093,0)</f>
        <v>0</v>
      </c>
      <c r="I83" s="17">
        <f ca="1" t="shared" si="7"/>
        <v>29880</v>
      </c>
      <c r="J83" s="15">
        <f ca="1">IF(_xlfn.CEILING.MATH(B83/10)*10=10,0,IFERROR(OFFSET(控制台!$B$865,MATCH(_xlfn.CEILING.MATH(B83/10-1)*10,控制台!$D$865:$D$936,0)-1,0),0))</f>
        <v>25</v>
      </c>
      <c r="K83" s="15">
        <f ca="1">IFERROR(OFFSET(控制台!$B$865,MATCH(_xlfn.CEILING.MATH(B83/10)*10,控制台!$D$865:$D$936,0)-1,0),1)</f>
        <v>40</v>
      </c>
      <c r="L83" s="17">
        <f ca="1">Lerp_dyy(J83,K83,IF(MOD(B83,10)=0,1,MOD(B83,10)/10))</f>
        <v>37</v>
      </c>
      <c r="O83" s="15">
        <v>78</v>
      </c>
      <c r="P83" s="1">
        <f>_xlfn.FLOOR.MATH(O83/10+0.9)*10</f>
        <v>80</v>
      </c>
      <c r="Q83" s="1">
        <f ca="1">OFFSET(控制台!$I$1099,MATCH(P83,控制台!$H$1099:$H$1118,0)-2,0)*控制台!$K$1092</f>
        <v>1440000</v>
      </c>
      <c r="R83" s="1">
        <f ca="1">OFFSET(控制台!$I$1099,MATCH(P83,控制台!$H$1099:$H$1118,0)-1,0)*控制台!$K$1092</f>
        <v>2160000</v>
      </c>
      <c r="S83" s="16">
        <f ca="1">_xlfn.FLOOR.MATH(Lerp_dyy(Q83,R83,IF(MOD(O83,10)=0,1,MOD(O83,10)/10)),10)</f>
        <v>2016000</v>
      </c>
      <c r="T83" s="17">
        <f ca="1" t="shared" si="6"/>
        <v>32297900</v>
      </c>
      <c r="U83" s="4">
        <f ca="1">IF(AND(O83&lt;&gt;1,MOD(O83,10)=1),OFFSET(控制台!$K$1099,MATCH(P83,控制台!$H$1099:$H$1118,0)-1,0)*控制台!$K$1093,0)</f>
        <v>0</v>
      </c>
      <c r="V83" s="17">
        <f ca="1" t="shared" si="8"/>
        <v>29880</v>
      </c>
      <c r="W83" s="1">
        <f ca="1">IF(_xlfn.CEILING.MATH(O83/10)*10=10,0,IFERROR(OFFSET(控制台!$B$1007,MATCH(_xlfn.CEILING.MATH(O83/10-1)*10,控制台!$D$1007:$D$1080,0)-1,0),0))</f>
        <v>30</v>
      </c>
      <c r="X83" s="1">
        <f ca="1">IFERROR(OFFSET(控制台!$B$1007,MATCH(_xlfn.CEILING.MATH(O83/10)*10,控制台!$D$1007:$D$1080,0)-1,0),1)</f>
        <v>45</v>
      </c>
      <c r="Y83" s="17">
        <f ca="1">Lerp_dyy(W83,X83,IF(MOD(O83,10)=0,1,MOD(O83,10)/10))</f>
        <v>42</v>
      </c>
    </row>
    <row r="84" s="15" customFormat="1" spans="2:25">
      <c r="B84" s="15">
        <v>79</v>
      </c>
      <c r="C84" s="15">
        <f>_xlfn.FLOOR.MATH(B84/10+0.9)*10</f>
        <v>80</v>
      </c>
      <c r="D84" s="15">
        <f ca="1">OFFSET(控制台!$C$1099,MATCH(C84,控制台!$B$1099:$B$1118,0)-2,0)*控制台!$E$1092</f>
        <v>1440000</v>
      </c>
      <c r="E84" s="15">
        <f ca="1">OFFSET(控制台!$C$1099,MATCH(C84,控制台!$B$1099:$B$1118,0)-1,0)*控制台!$E$1092</f>
        <v>2160000</v>
      </c>
      <c r="F84" s="16">
        <f ca="1">_xlfn.FLOOR.MATH(Lerp_dyy(D84,E84,IF(MOD(B84,10)=0,1,MOD(B84,10)/10)),10)</f>
        <v>2088000</v>
      </c>
      <c r="G84" s="17">
        <f ca="1" t="shared" si="5"/>
        <v>34385900</v>
      </c>
      <c r="H84" s="16">
        <f ca="1">IF(AND(B84&lt;&gt;1,MOD(B84,10)=1),OFFSET(控制台!$E$1099,MATCH(C84,控制台!$B$1099:$B$1118,0)-1,0)*控制台!$E$1093,0)</f>
        <v>0</v>
      </c>
      <c r="I84" s="17">
        <f ca="1" t="shared" si="7"/>
        <v>29880</v>
      </c>
      <c r="J84" s="15">
        <f ca="1">IF(_xlfn.CEILING.MATH(B84/10)*10=10,0,IFERROR(OFFSET(控制台!$B$865,MATCH(_xlfn.CEILING.MATH(B84/10-1)*10,控制台!$D$865:$D$936,0)-1,0),0))</f>
        <v>25</v>
      </c>
      <c r="K84" s="15">
        <f ca="1">IFERROR(OFFSET(控制台!$B$865,MATCH(_xlfn.CEILING.MATH(B84/10)*10,控制台!$D$865:$D$936,0)-1,0),1)</f>
        <v>40</v>
      </c>
      <c r="L84" s="17">
        <f ca="1">Lerp_dyy(J84,K84,IF(MOD(B84,10)=0,1,MOD(B84,10)/10))</f>
        <v>38.5</v>
      </c>
      <c r="O84" s="15">
        <v>79</v>
      </c>
      <c r="P84" s="1">
        <f>_xlfn.FLOOR.MATH(O84/10+0.9)*10</f>
        <v>80</v>
      </c>
      <c r="Q84" s="1">
        <f ca="1">OFFSET(控制台!$I$1099,MATCH(P84,控制台!$H$1099:$H$1118,0)-2,0)*控制台!$K$1092</f>
        <v>1440000</v>
      </c>
      <c r="R84" s="1">
        <f ca="1">OFFSET(控制台!$I$1099,MATCH(P84,控制台!$H$1099:$H$1118,0)-1,0)*控制台!$K$1092</f>
        <v>2160000</v>
      </c>
      <c r="S84" s="16">
        <f ca="1">_xlfn.FLOOR.MATH(Lerp_dyy(Q84,R84,IF(MOD(O84,10)=0,1,MOD(O84,10)/10)),10)</f>
        <v>2088000</v>
      </c>
      <c r="T84" s="17">
        <f ca="1" t="shared" si="6"/>
        <v>34385900</v>
      </c>
      <c r="U84" s="4">
        <f ca="1">IF(AND(O84&lt;&gt;1,MOD(O84,10)=1),OFFSET(控制台!$K$1099,MATCH(P84,控制台!$H$1099:$H$1118,0)-1,0)*控制台!$K$1093,0)</f>
        <v>0</v>
      </c>
      <c r="V84" s="17">
        <f ca="1" t="shared" si="8"/>
        <v>29880</v>
      </c>
      <c r="W84" s="1">
        <f ca="1">IF(_xlfn.CEILING.MATH(O84/10)*10=10,0,IFERROR(OFFSET(控制台!$B$1007,MATCH(_xlfn.CEILING.MATH(O84/10-1)*10,控制台!$D$1007:$D$1080,0)-1,0),0))</f>
        <v>30</v>
      </c>
      <c r="X84" s="1">
        <f ca="1">IFERROR(OFFSET(控制台!$B$1007,MATCH(_xlfn.CEILING.MATH(O84/10)*10,控制台!$D$1007:$D$1080,0)-1,0),1)</f>
        <v>45</v>
      </c>
      <c r="Y84" s="17">
        <f ca="1">Lerp_dyy(W84,X84,IF(MOD(O84,10)=0,1,MOD(O84,10)/10))</f>
        <v>43.5</v>
      </c>
    </row>
    <row r="85" s="15" customFormat="1" spans="2:25">
      <c r="B85" s="15">
        <v>80</v>
      </c>
      <c r="C85" s="15">
        <f>_xlfn.FLOOR.MATH(B85/10+0.9)*10</f>
        <v>80</v>
      </c>
      <c r="D85" s="15">
        <f ca="1">OFFSET(控制台!$C$1099,MATCH(C85,控制台!$B$1099:$B$1118,0)-2,0)*控制台!$E$1092</f>
        <v>1440000</v>
      </c>
      <c r="E85" s="15">
        <f ca="1">OFFSET(控制台!$C$1099,MATCH(C85,控制台!$B$1099:$B$1118,0)-1,0)*控制台!$E$1092</f>
        <v>2160000</v>
      </c>
      <c r="F85" s="16">
        <f ca="1">_xlfn.FLOOR.MATH(Lerp_dyy(D85,E85,IF(MOD(B85,10)=0,1,MOD(B85,10)/10)),10)</f>
        <v>2160000</v>
      </c>
      <c r="G85" s="17">
        <f ca="1" t="shared" si="5"/>
        <v>36545900</v>
      </c>
      <c r="H85" s="16">
        <f ca="1">IF(AND(B85&lt;&gt;1,MOD(B85,10)=1),OFFSET(控制台!$E$1099,MATCH(C85,控制台!$B$1099:$B$1118,0)-1,0)*控制台!$E$1093,0)</f>
        <v>0</v>
      </c>
      <c r="I85" s="17">
        <f ca="1" t="shared" si="7"/>
        <v>29880</v>
      </c>
      <c r="J85" s="15">
        <f ca="1">IF(_xlfn.CEILING.MATH(B85/10)*10=10,0,IFERROR(OFFSET(控制台!$B$865,MATCH(_xlfn.CEILING.MATH(B85/10-1)*10,控制台!$D$865:$D$936,0)-1,0),0))</f>
        <v>25</v>
      </c>
      <c r="K85" s="15">
        <f ca="1">IFERROR(OFFSET(控制台!$B$865,MATCH(_xlfn.CEILING.MATH(B85/10)*10,控制台!$D$865:$D$936,0)-1,0),1)</f>
        <v>40</v>
      </c>
      <c r="L85" s="17">
        <f ca="1">Lerp_dyy(J85,K85,IF(MOD(B85,10)=0,1,MOD(B85,10)/10))</f>
        <v>40</v>
      </c>
      <c r="O85" s="15">
        <v>80</v>
      </c>
      <c r="P85" s="1">
        <f>_xlfn.FLOOR.MATH(O85/10+0.9)*10</f>
        <v>80</v>
      </c>
      <c r="Q85" s="1">
        <f ca="1">OFFSET(控制台!$I$1099,MATCH(P85,控制台!$H$1099:$H$1118,0)-2,0)*控制台!$K$1092</f>
        <v>1440000</v>
      </c>
      <c r="R85" s="1">
        <f ca="1">OFFSET(控制台!$I$1099,MATCH(P85,控制台!$H$1099:$H$1118,0)-1,0)*控制台!$K$1092</f>
        <v>2160000</v>
      </c>
      <c r="S85" s="16">
        <f ca="1">_xlfn.FLOOR.MATH(Lerp_dyy(Q85,R85,IF(MOD(O85,10)=0,1,MOD(O85,10)/10)),10)</f>
        <v>2160000</v>
      </c>
      <c r="T85" s="17">
        <f ca="1" t="shared" si="6"/>
        <v>36545900</v>
      </c>
      <c r="U85" s="4">
        <f ca="1">IF(AND(O85&lt;&gt;1,MOD(O85,10)=1),OFFSET(控制台!$K$1099,MATCH(P85,控制台!$H$1099:$H$1118,0)-1,0)*控制台!$K$1093,0)</f>
        <v>0</v>
      </c>
      <c r="V85" s="17">
        <f ca="1" t="shared" si="8"/>
        <v>29880</v>
      </c>
      <c r="W85" s="1">
        <f ca="1">IF(_xlfn.CEILING.MATH(O85/10)*10=10,0,IFERROR(OFFSET(控制台!$B$1007,MATCH(_xlfn.CEILING.MATH(O85/10-1)*10,控制台!$D$1007:$D$1080,0)-1,0),0))</f>
        <v>30</v>
      </c>
      <c r="X85" s="1">
        <f ca="1">IFERROR(OFFSET(控制台!$B$1007,MATCH(_xlfn.CEILING.MATH(O85/10)*10,控制台!$D$1007:$D$1080,0)-1,0),1)</f>
        <v>45</v>
      </c>
      <c r="Y85" s="17">
        <f ca="1">Lerp_dyy(W85,X85,IF(MOD(O85,10)=0,1,MOD(O85,10)/10))</f>
        <v>45</v>
      </c>
    </row>
    <row r="86" spans="1:25">
      <c r="A86" s="1" t="s">
        <v>2857</v>
      </c>
      <c r="B86" s="1">
        <v>81</v>
      </c>
      <c r="C86" s="1">
        <f>_xlfn.FLOOR.MATH(B86/10+0.9)*10</f>
        <v>90</v>
      </c>
      <c r="D86" s="1">
        <f ca="1">OFFSET(控制台!$C$1099,MATCH(C86,控制台!$B$1099:$B$1118,0)-2,0)*控制台!$E$1092</f>
        <v>2160000</v>
      </c>
      <c r="E86" s="1">
        <f ca="1">OFFSET(控制台!$C$1099,MATCH(C86,控制台!$B$1099:$B$1118,0)-1,0)*控制台!$E$1092</f>
        <v>2400000</v>
      </c>
      <c r="F86" s="4">
        <f ca="1">_xlfn.FLOOR.MATH(Lerp_dyy(D86,E86,IF(MOD(B86,10)=0,1,MOD(B86,10)/10)),10)</f>
        <v>2184000</v>
      </c>
      <c r="G86" s="5">
        <f ca="1" t="shared" si="5"/>
        <v>38729900</v>
      </c>
      <c r="H86" s="4">
        <f ca="1">IF(AND(B86&lt;&gt;1,MOD(B86,10)=1),OFFSET(控制台!$E$1099,MATCH(C86,控制台!$B$1099:$B$1118,0)-1,0)*控制台!$E$1093,0)</f>
        <v>16000</v>
      </c>
      <c r="I86" s="5">
        <f ca="1" t="shared" si="7"/>
        <v>45880</v>
      </c>
      <c r="J86" s="1">
        <f ca="1">IF(_xlfn.CEILING.MATH(B86/10)*10=10,0,IFERROR(OFFSET(控制台!$B$865,MATCH(_xlfn.CEILING.MATH(B86/10-1)*10,控制台!$D$865:$D$936,0)-1,0),0))</f>
        <v>40</v>
      </c>
      <c r="K86" s="1">
        <f ca="1">IFERROR(OFFSET(控制台!$B$865,MATCH(_xlfn.CEILING.MATH(B86/10)*10,控制台!$D$865:$D$936,0)-1,0),1)</f>
        <v>55</v>
      </c>
      <c r="L86" s="5">
        <f ca="1">Lerp_dyy(J86,K86,IF(MOD(B86,10)=0,1,MOD(B86,10)/10))</f>
        <v>41.5</v>
      </c>
      <c r="N86" s="1" t="s">
        <v>2857</v>
      </c>
      <c r="O86" s="1">
        <v>81</v>
      </c>
      <c r="P86" s="1">
        <f>_xlfn.FLOOR.MATH(O86/10+0.9)*10</f>
        <v>90</v>
      </c>
      <c r="Q86" s="1">
        <f ca="1">OFFSET(控制台!$I$1099,MATCH(P86,控制台!$H$1099:$H$1118,0)-2,0)*控制台!$K$1092</f>
        <v>2160000</v>
      </c>
      <c r="R86" s="1">
        <f ca="1">OFFSET(控制台!$I$1099,MATCH(P86,控制台!$H$1099:$H$1118,0)-1,0)*控制台!$K$1092</f>
        <v>2400000</v>
      </c>
      <c r="S86" s="4">
        <f ca="1">_xlfn.FLOOR.MATH(Lerp_dyy(Q86,R86,IF(MOD(O86,10)=0,1,MOD(O86,10)/10)),10)</f>
        <v>2184000</v>
      </c>
      <c r="T86" s="5">
        <f ca="1" t="shared" si="6"/>
        <v>38729900</v>
      </c>
      <c r="U86" s="4">
        <f ca="1">IF(AND(O86&lt;&gt;1,MOD(O86,10)=1),OFFSET(控制台!$K$1099,MATCH(P86,控制台!$H$1099:$H$1118,0)-1,0)*控制台!$K$1093,0)</f>
        <v>16000</v>
      </c>
      <c r="V86" s="5">
        <f ca="1" t="shared" si="8"/>
        <v>45880</v>
      </c>
      <c r="W86" s="1">
        <f ca="1">IF(_xlfn.CEILING.MATH(O86/10)*10=10,0,IFERROR(OFFSET(控制台!$B$1007,MATCH(_xlfn.CEILING.MATH(O86/10-1)*10,控制台!$D$1007:$D$1080,0)-1,0),0))</f>
        <v>45</v>
      </c>
      <c r="X86" s="1">
        <f ca="1">IFERROR(OFFSET(控制台!$B$1007,MATCH(_xlfn.CEILING.MATH(O86/10)*10,控制台!$D$1007:$D$1080,0)-1,0),1)</f>
        <v>60</v>
      </c>
      <c r="Y86" s="5">
        <f ca="1">Lerp_dyy(W86,X86,IF(MOD(O86,10)=0,1,MOD(O86,10)/10))</f>
        <v>46.5</v>
      </c>
    </row>
    <row r="87" spans="2:25">
      <c r="B87" s="1">
        <v>82</v>
      </c>
      <c r="C87" s="1">
        <f>_xlfn.FLOOR.MATH(B87/10+0.9)*10</f>
        <v>90</v>
      </c>
      <c r="D87" s="1">
        <f ca="1">OFFSET(控制台!$C$1099,MATCH(C87,控制台!$B$1099:$B$1118,0)-2,0)*控制台!$E$1092</f>
        <v>2160000</v>
      </c>
      <c r="E87" s="1">
        <f ca="1">OFFSET(控制台!$C$1099,MATCH(C87,控制台!$B$1099:$B$1118,0)-1,0)*控制台!$E$1092</f>
        <v>2400000</v>
      </c>
      <c r="F87" s="4">
        <f ca="1">_xlfn.FLOOR.MATH(Lerp_dyy(D87,E87,IF(MOD(B87,10)=0,1,MOD(B87,10)/10)),10)</f>
        <v>2208000</v>
      </c>
      <c r="G87" s="5">
        <f ca="1" t="shared" si="5"/>
        <v>40937900</v>
      </c>
      <c r="H87" s="4">
        <f ca="1">IF(AND(B87&lt;&gt;1,MOD(B87,10)=1),OFFSET(控制台!$E$1099,MATCH(C87,控制台!$B$1099:$B$1118,0)-1,0)*控制台!$E$1093,0)</f>
        <v>0</v>
      </c>
      <c r="I87" s="5">
        <f ca="1" t="shared" si="7"/>
        <v>45880</v>
      </c>
      <c r="J87" s="1">
        <f ca="1">IF(_xlfn.CEILING.MATH(B87/10)*10=10,0,IFERROR(OFFSET(控制台!$B$865,MATCH(_xlfn.CEILING.MATH(B87/10-1)*10,控制台!$D$865:$D$936,0)-1,0),0))</f>
        <v>40</v>
      </c>
      <c r="K87" s="1">
        <f ca="1">IFERROR(OFFSET(控制台!$B$865,MATCH(_xlfn.CEILING.MATH(B87/10)*10,控制台!$D$865:$D$936,0)-1,0),1)</f>
        <v>55</v>
      </c>
      <c r="L87" s="5">
        <f ca="1">Lerp_dyy(J87,K87,IF(MOD(B87,10)=0,1,MOD(B87,10)/10))</f>
        <v>43</v>
      </c>
      <c r="O87" s="1">
        <v>82</v>
      </c>
      <c r="P87" s="1">
        <f>_xlfn.FLOOR.MATH(O87/10+0.9)*10</f>
        <v>90</v>
      </c>
      <c r="Q87" s="1">
        <f ca="1">OFFSET(控制台!$I$1099,MATCH(P87,控制台!$H$1099:$H$1118,0)-2,0)*控制台!$K$1092</f>
        <v>2160000</v>
      </c>
      <c r="R87" s="1">
        <f ca="1">OFFSET(控制台!$I$1099,MATCH(P87,控制台!$H$1099:$H$1118,0)-1,0)*控制台!$K$1092</f>
        <v>2400000</v>
      </c>
      <c r="S87" s="4">
        <f ca="1">_xlfn.FLOOR.MATH(Lerp_dyy(Q87,R87,IF(MOD(O87,10)=0,1,MOD(O87,10)/10)),10)</f>
        <v>2208000</v>
      </c>
      <c r="T87" s="5">
        <f ca="1" t="shared" si="6"/>
        <v>40937900</v>
      </c>
      <c r="U87" s="4">
        <f ca="1">IF(AND(O87&lt;&gt;1,MOD(O87,10)=1),OFFSET(控制台!$K$1099,MATCH(P87,控制台!$H$1099:$H$1118,0)-1,0)*控制台!$K$1093,0)</f>
        <v>0</v>
      </c>
      <c r="V87" s="5">
        <f ca="1" t="shared" si="8"/>
        <v>45880</v>
      </c>
      <c r="W87" s="1">
        <f ca="1">IF(_xlfn.CEILING.MATH(O87/10)*10=10,0,IFERROR(OFFSET(控制台!$B$1007,MATCH(_xlfn.CEILING.MATH(O87/10-1)*10,控制台!$D$1007:$D$1080,0)-1,0),0))</f>
        <v>45</v>
      </c>
      <c r="X87" s="1">
        <f ca="1">IFERROR(OFFSET(控制台!$B$1007,MATCH(_xlfn.CEILING.MATH(O87/10)*10,控制台!$D$1007:$D$1080,0)-1,0),1)</f>
        <v>60</v>
      </c>
      <c r="Y87" s="5">
        <f ca="1">Lerp_dyy(W87,X87,IF(MOD(O87,10)=0,1,MOD(O87,10)/10))</f>
        <v>48</v>
      </c>
    </row>
    <row r="88" spans="2:25">
      <c r="B88" s="1">
        <v>83</v>
      </c>
      <c r="C88" s="1">
        <f>_xlfn.FLOOR.MATH(B88/10+0.9)*10</f>
        <v>90</v>
      </c>
      <c r="D88" s="1">
        <f ca="1">OFFSET(控制台!$C$1099,MATCH(C88,控制台!$B$1099:$B$1118,0)-2,0)*控制台!$E$1092</f>
        <v>2160000</v>
      </c>
      <c r="E88" s="1">
        <f ca="1">OFFSET(控制台!$C$1099,MATCH(C88,控制台!$B$1099:$B$1118,0)-1,0)*控制台!$E$1092</f>
        <v>2400000</v>
      </c>
      <c r="F88" s="4">
        <f ca="1">_xlfn.FLOOR.MATH(Lerp_dyy(D88,E88,IF(MOD(B88,10)=0,1,MOD(B88,10)/10)),10)</f>
        <v>2232000</v>
      </c>
      <c r="G88" s="5">
        <f ca="1" t="shared" si="5"/>
        <v>43169900</v>
      </c>
      <c r="H88" s="4">
        <f ca="1">IF(AND(B88&lt;&gt;1,MOD(B88,10)=1),OFFSET(控制台!$E$1099,MATCH(C88,控制台!$B$1099:$B$1118,0)-1,0)*控制台!$E$1093,0)</f>
        <v>0</v>
      </c>
      <c r="I88" s="5">
        <f ca="1" t="shared" si="7"/>
        <v>45880</v>
      </c>
      <c r="J88" s="1">
        <f ca="1">IF(_xlfn.CEILING.MATH(B88/10)*10=10,0,IFERROR(OFFSET(控制台!$B$865,MATCH(_xlfn.CEILING.MATH(B88/10-1)*10,控制台!$D$865:$D$936,0)-1,0),0))</f>
        <v>40</v>
      </c>
      <c r="K88" s="1">
        <f ca="1">IFERROR(OFFSET(控制台!$B$865,MATCH(_xlfn.CEILING.MATH(B88/10)*10,控制台!$D$865:$D$936,0)-1,0),1)</f>
        <v>55</v>
      </c>
      <c r="L88" s="5">
        <f ca="1">Lerp_dyy(J88,K88,IF(MOD(B88,10)=0,1,MOD(B88,10)/10))</f>
        <v>44.5</v>
      </c>
      <c r="O88" s="1">
        <v>83</v>
      </c>
      <c r="P88" s="1">
        <f>_xlfn.FLOOR.MATH(O88/10+0.9)*10</f>
        <v>90</v>
      </c>
      <c r="Q88" s="1">
        <f ca="1">OFFSET(控制台!$I$1099,MATCH(P88,控制台!$H$1099:$H$1118,0)-2,0)*控制台!$K$1092</f>
        <v>2160000</v>
      </c>
      <c r="R88" s="1">
        <f ca="1">OFFSET(控制台!$I$1099,MATCH(P88,控制台!$H$1099:$H$1118,0)-1,0)*控制台!$K$1092</f>
        <v>2400000</v>
      </c>
      <c r="S88" s="4">
        <f ca="1">_xlfn.FLOOR.MATH(Lerp_dyy(Q88,R88,IF(MOD(O88,10)=0,1,MOD(O88,10)/10)),10)</f>
        <v>2232000</v>
      </c>
      <c r="T88" s="5">
        <f ca="1" t="shared" si="6"/>
        <v>43169900</v>
      </c>
      <c r="U88" s="4">
        <f ca="1">IF(AND(O88&lt;&gt;1,MOD(O88,10)=1),OFFSET(控制台!$K$1099,MATCH(P88,控制台!$H$1099:$H$1118,0)-1,0)*控制台!$K$1093,0)</f>
        <v>0</v>
      </c>
      <c r="V88" s="5">
        <f ca="1" t="shared" si="8"/>
        <v>45880</v>
      </c>
      <c r="W88" s="1">
        <f ca="1">IF(_xlfn.CEILING.MATH(O88/10)*10=10,0,IFERROR(OFFSET(控制台!$B$1007,MATCH(_xlfn.CEILING.MATH(O88/10-1)*10,控制台!$D$1007:$D$1080,0)-1,0),0))</f>
        <v>45</v>
      </c>
      <c r="X88" s="1">
        <f ca="1">IFERROR(OFFSET(控制台!$B$1007,MATCH(_xlfn.CEILING.MATH(O88/10)*10,控制台!$D$1007:$D$1080,0)-1,0),1)</f>
        <v>60</v>
      </c>
      <c r="Y88" s="5">
        <f ca="1">Lerp_dyy(W88,X88,IF(MOD(O88,10)=0,1,MOD(O88,10)/10))</f>
        <v>49.5</v>
      </c>
    </row>
    <row r="89" spans="2:25">
      <c r="B89" s="1">
        <v>84</v>
      </c>
      <c r="C89" s="1">
        <f>_xlfn.FLOOR.MATH(B89/10+0.9)*10</f>
        <v>90</v>
      </c>
      <c r="D89" s="1">
        <f ca="1">OFFSET(控制台!$C$1099,MATCH(C89,控制台!$B$1099:$B$1118,0)-2,0)*控制台!$E$1092</f>
        <v>2160000</v>
      </c>
      <c r="E89" s="1">
        <f ca="1">OFFSET(控制台!$C$1099,MATCH(C89,控制台!$B$1099:$B$1118,0)-1,0)*控制台!$E$1092</f>
        <v>2400000</v>
      </c>
      <c r="F89" s="4">
        <f ca="1">_xlfn.FLOOR.MATH(Lerp_dyy(D89,E89,IF(MOD(B89,10)=0,1,MOD(B89,10)/10)),10)</f>
        <v>2256000</v>
      </c>
      <c r="G89" s="5">
        <f ca="1" t="shared" si="5"/>
        <v>45425900</v>
      </c>
      <c r="H89" s="4">
        <f ca="1">IF(AND(B89&lt;&gt;1,MOD(B89,10)=1),OFFSET(控制台!$E$1099,MATCH(C89,控制台!$B$1099:$B$1118,0)-1,0)*控制台!$E$1093,0)</f>
        <v>0</v>
      </c>
      <c r="I89" s="5">
        <f ca="1" t="shared" si="7"/>
        <v>45880</v>
      </c>
      <c r="J89" s="1">
        <f ca="1">IF(_xlfn.CEILING.MATH(B89/10)*10=10,0,IFERROR(OFFSET(控制台!$B$865,MATCH(_xlfn.CEILING.MATH(B89/10-1)*10,控制台!$D$865:$D$936,0)-1,0),0))</f>
        <v>40</v>
      </c>
      <c r="K89" s="1">
        <f ca="1">IFERROR(OFFSET(控制台!$B$865,MATCH(_xlfn.CEILING.MATH(B89/10)*10,控制台!$D$865:$D$936,0)-1,0),1)</f>
        <v>55</v>
      </c>
      <c r="L89" s="5">
        <f ca="1">Lerp_dyy(J89,K89,IF(MOD(B89,10)=0,1,MOD(B89,10)/10))</f>
        <v>46</v>
      </c>
      <c r="O89" s="1">
        <v>84</v>
      </c>
      <c r="P89" s="1">
        <f>_xlfn.FLOOR.MATH(O89/10+0.9)*10</f>
        <v>90</v>
      </c>
      <c r="Q89" s="1">
        <f ca="1">OFFSET(控制台!$I$1099,MATCH(P89,控制台!$H$1099:$H$1118,0)-2,0)*控制台!$K$1092</f>
        <v>2160000</v>
      </c>
      <c r="R89" s="1">
        <f ca="1">OFFSET(控制台!$I$1099,MATCH(P89,控制台!$H$1099:$H$1118,0)-1,0)*控制台!$K$1092</f>
        <v>2400000</v>
      </c>
      <c r="S89" s="4">
        <f ca="1">_xlfn.FLOOR.MATH(Lerp_dyy(Q89,R89,IF(MOD(O89,10)=0,1,MOD(O89,10)/10)),10)</f>
        <v>2256000</v>
      </c>
      <c r="T89" s="5">
        <f ca="1" t="shared" si="6"/>
        <v>45425900</v>
      </c>
      <c r="U89" s="4">
        <f ca="1">IF(AND(O89&lt;&gt;1,MOD(O89,10)=1),OFFSET(控制台!$K$1099,MATCH(P89,控制台!$H$1099:$H$1118,0)-1,0)*控制台!$K$1093,0)</f>
        <v>0</v>
      </c>
      <c r="V89" s="5">
        <f ca="1" t="shared" si="8"/>
        <v>45880</v>
      </c>
      <c r="W89" s="1">
        <f ca="1">IF(_xlfn.CEILING.MATH(O89/10)*10=10,0,IFERROR(OFFSET(控制台!$B$1007,MATCH(_xlfn.CEILING.MATH(O89/10-1)*10,控制台!$D$1007:$D$1080,0)-1,0),0))</f>
        <v>45</v>
      </c>
      <c r="X89" s="1">
        <f ca="1">IFERROR(OFFSET(控制台!$B$1007,MATCH(_xlfn.CEILING.MATH(O89/10)*10,控制台!$D$1007:$D$1080,0)-1,0),1)</f>
        <v>60</v>
      </c>
      <c r="Y89" s="5">
        <f ca="1">Lerp_dyy(W89,X89,IF(MOD(O89,10)=0,1,MOD(O89,10)/10))</f>
        <v>51</v>
      </c>
    </row>
    <row r="90" spans="2:25">
      <c r="B90" s="1">
        <v>85</v>
      </c>
      <c r="C90" s="1">
        <f>_xlfn.FLOOR.MATH(B90/10+0.9)*10</f>
        <v>90</v>
      </c>
      <c r="D90" s="1">
        <f ca="1">OFFSET(控制台!$C$1099,MATCH(C90,控制台!$B$1099:$B$1118,0)-2,0)*控制台!$E$1092</f>
        <v>2160000</v>
      </c>
      <c r="E90" s="1">
        <f ca="1">OFFSET(控制台!$C$1099,MATCH(C90,控制台!$B$1099:$B$1118,0)-1,0)*控制台!$E$1092</f>
        <v>2400000</v>
      </c>
      <c r="F90" s="4">
        <f ca="1">_xlfn.FLOOR.MATH(Lerp_dyy(D90,E90,IF(MOD(B90,10)=0,1,MOD(B90,10)/10)),10)</f>
        <v>2280000</v>
      </c>
      <c r="G90" s="5">
        <f ca="1" t="shared" si="5"/>
        <v>47705900</v>
      </c>
      <c r="H90" s="4">
        <f ca="1">IF(AND(B90&lt;&gt;1,MOD(B90,10)=1),OFFSET(控制台!$E$1099,MATCH(C90,控制台!$B$1099:$B$1118,0)-1,0)*控制台!$E$1093,0)</f>
        <v>0</v>
      </c>
      <c r="I90" s="5">
        <f ca="1" t="shared" si="7"/>
        <v>45880</v>
      </c>
      <c r="J90" s="1">
        <f ca="1">IF(_xlfn.CEILING.MATH(B90/10)*10=10,0,IFERROR(OFFSET(控制台!$B$865,MATCH(_xlfn.CEILING.MATH(B90/10-1)*10,控制台!$D$865:$D$936,0)-1,0),0))</f>
        <v>40</v>
      </c>
      <c r="K90" s="1">
        <f ca="1">IFERROR(OFFSET(控制台!$B$865,MATCH(_xlfn.CEILING.MATH(B90/10)*10,控制台!$D$865:$D$936,0)-1,0),1)</f>
        <v>55</v>
      </c>
      <c r="L90" s="5">
        <f ca="1">Lerp_dyy(J90,K90,IF(MOD(B90,10)=0,1,MOD(B90,10)/10))</f>
        <v>47.5</v>
      </c>
      <c r="O90" s="1">
        <v>85</v>
      </c>
      <c r="P90" s="1">
        <f>_xlfn.FLOOR.MATH(O90/10+0.9)*10</f>
        <v>90</v>
      </c>
      <c r="Q90" s="1">
        <f ca="1">OFFSET(控制台!$I$1099,MATCH(P90,控制台!$H$1099:$H$1118,0)-2,0)*控制台!$K$1092</f>
        <v>2160000</v>
      </c>
      <c r="R90" s="1">
        <f ca="1">OFFSET(控制台!$I$1099,MATCH(P90,控制台!$H$1099:$H$1118,0)-1,0)*控制台!$K$1092</f>
        <v>2400000</v>
      </c>
      <c r="S90" s="4">
        <f ca="1">_xlfn.FLOOR.MATH(Lerp_dyy(Q90,R90,IF(MOD(O90,10)=0,1,MOD(O90,10)/10)),10)</f>
        <v>2280000</v>
      </c>
      <c r="T90" s="5">
        <f ca="1" t="shared" si="6"/>
        <v>47705900</v>
      </c>
      <c r="U90" s="4">
        <f ca="1">IF(AND(O90&lt;&gt;1,MOD(O90,10)=1),OFFSET(控制台!$K$1099,MATCH(P90,控制台!$H$1099:$H$1118,0)-1,0)*控制台!$K$1093,0)</f>
        <v>0</v>
      </c>
      <c r="V90" s="5">
        <f ca="1" t="shared" si="8"/>
        <v>45880</v>
      </c>
      <c r="W90" s="1">
        <f ca="1">IF(_xlfn.CEILING.MATH(O90/10)*10=10,0,IFERROR(OFFSET(控制台!$B$1007,MATCH(_xlfn.CEILING.MATH(O90/10-1)*10,控制台!$D$1007:$D$1080,0)-1,0),0))</f>
        <v>45</v>
      </c>
      <c r="X90" s="1">
        <f ca="1">IFERROR(OFFSET(控制台!$B$1007,MATCH(_xlfn.CEILING.MATH(O90/10)*10,控制台!$D$1007:$D$1080,0)-1,0),1)</f>
        <v>60</v>
      </c>
      <c r="Y90" s="5">
        <f ca="1">Lerp_dyy(W90,X90,IF(MOD(O90,10)=0,1,MOD(O90,10)/10))</f>
        <v>52.5</v>
      </c>
    </row>
    <row r="91" spans="2:25">
      <c r="B91" s="1">
        <v>86</v>
      </c>
      <c r="C91" s="1">
        <f>_xlfn.FLOOR.MATH(B91/10+0.9)*10</f>
        <v>90</v>
      </c>
      <c r="D91" s="1">
        <f ca="1">OFFSET(控制台!$C$1099,MATCH(C91,控制台!$B$1099:$B$1118,0)-2,0)*控制台!$E$1092</f>
        <v>2160000</v>
      </c>
      <c r="E91" s="1">
        <f ca="1">OFFSET(控制台!$C$1099,MATCH(C91,控制台!$B$1099:$B$1118,0)-1,0)*控制台!$E$1092</f>
        <v>2400000</v>
      </c>
      <c r="F91" s="4">
        <f ca="1">_xlfn.FLOOR.MATH(Lerp_dyy(D91,E91,IF(MOD(B91,10)=0,1,MOD(B91,10)/10)),10)</f>
        <v>2304000</v>
      </c>
      <c r="G91" s="5">
        <f ca="1" t="shared" si="5"/>
        <v>50009900</v>
      </c>
      <c r="H91" s="4">
        <f ca="1">IF(AND(B91&lt;&gt;1,MOD(B91,10)=1),OFFSET(控制台!$E$1099,MATCH(C91,控制台!$B$1099:$B$1118,0)-1,0)*控制台!$E$1093,0)</f>
        <v>0</v>
      </c>
      <c r="I91" s="5">
        <f ca="1" t="shared" si="7"/>
        <v>45880</v>
      </c>
      <c r="J91" s="1">
        <f ca="1">IF(_xlfn.CEILING.MATH(B91/10)*10=10,0,IFERROR(OFFSET(控制台!$B$865,MATCH(_xlfn.CEILING.MATH(B91/10-1)*10,控制台!$D$865:$D$936,0)-1,0),0))</f>
        <v>40</v>
      </c>
      <c r="K91" s="1">
        <f ca="1">IFERROR(OFFSET(控制台!$B$865,MATCH(_xlfn.CEILING.MATH(B91/10)*10,控制台!$D$865:$D$936,0)-1,0),1)</f>
        <v>55</v>
      </c>
      <c r="L91" s="5">
        <f ca="1">Lerp_dyy(J91,K91,IF(MOD(B91,10)=0,1,MOD(B91,10)/10))</f>
        <v>49</v>
      </c>
      <c r="O91" s="1">
        <v>86</v>
      </c>
      <c r="P91" s="1">
        <f>_xlfn.FLOOR.MATH(O91/10+0.9)*10</f>
        <v>90</v>
      </c>
      <c r="Q91" s="1">
        <f ca="1">OFFSET(控制台!$I$1099,MATCH(P91,控制台!$H$1099:$H$1118,0)-2,0)*控制台!$K$1092</f>
        <v>2160000</v>
      </c>
      <c r="R91" s="1">
        <f ca="1">OFFSET(控制台!$I$1099,MATCH(P91,控制台!$H$1099:$H$1118,0)-1,0)*控制台!$K$1092</f>
        <v>2400000</v>
      </c>
      <c r="S91" s="4">
        <f ca="1">_xlfn.FLOOR.MATH(Lerp_dyy(Q91,R91,IF(MOD(O91,10)=0,1,MOD(O91,10)/10)),10)</f>
        <v>2304000</v>
      </c>
      <c r="T91" s="5">
        <f ca="1" t="shared" si="6"/>
        <v>50009900</v>
      </c>
      <c r="U91" s="4">
        <f ca="1">IF(AND(O91&lt;&gt;1,MOD(O91,10)=1),OFFSET(控制台!$K$1099,MATCH(P91,控制台!$H$1099:$H$1118,0)-1,0)*控制台!$K$1093,0)</f>
        <v>0</v>
      </c>
      <c r="V91" s="5">
        <f ca="1" t="shared" si="8"/>
        <v>45880</v>
      </c>
      <c r="W91" s="1">
        <f ca="1">IF(_xlfn.CEILING.MATH(O91/10)*10=10,0,IFERROR(OFFSET(控制台!$B$1007,MATCH(_xlfn.CEILING.MATH(O91/10-1)*10,控制台!$D$1007:$D$1080,0)-1,0),0))</f>
        <v>45</v>
      </c>
      <c r="X91" s="1">
        <f ca="1">IFERROR(OFFSET(控制台!$B$1007,MATCH(_xlfn.CEILING.MATH(O91/10)*10,控制台!$D$1007:$D$1080,0)-1,0),1)</f>
        <v>60</v>
      </c>
      <c r="Y91" s="5">
        <f ca="1">Lerp_dyy(W91,X91,IF(MOD(O91,10)=0,1,MOD(O91,10)/10))</f>
        <v>54</v>
      </c>
    </row>
    <row r="92" spans="2:25">
      <c r="B92" s="1">
        <v>87</v>
      </c>
      <c r="C92" s="1">
        <f>_xlfn.FLOOR.MATH(B92/10+0.9)*10</f>
        <v>90</v>
      </c>
      <c r="D92" s="1">
        <f ca="1">OFFSET(控制台!$C$1099,MATCH(C92,控制台!$B$1099:$B$1118,0)-2,0)*控制台!$E$1092</f>
        <v>2160000</v>
      </c>
      <c r="E92" s="1">
        <f ca="1">OFFSET(控制台!$C$1099,MATCH(C92,控制台!$B$1099:$B$1118,0)-1,0)*控制台!$E$1092</f>
        <v>2400000</v>
      </c>
      <c r="F92" s="4">
        <f ca="1">_xlfn.FLOOR.MATH(Lerp_dyy(D92,E92,IF(MOD(B92,10)=0,1,MOD(B92,10)/10)),10)</f>
        <v>2328000</v>
      </c>
      <c r="G92" s="5">
        <f ca="1" t="shared" si="5"/>
        <v>52337900</v>
      </c>
      <c r="H92" s="4">
        <f ca="1">IF(AND(B92&lt;&gt;1,MOD(B92,10)=1),OFFSET(控制台!$E$1099,MATCH(C92,控制台!$B$1099:$B$1118,0)-1,0)*控制台!$E$1093,0)</f>
        <v>0</v>
      </c>
      <c r="I92" s="5">
        <f ca="1" t="shared" si="7"/>
        <v>45880</v>
      </c>
      <c r="J92" s="1">
        <f ca="1">IF(_xlfn.CEILING.MATH(B92/10)*10=10,0,IFERROR(OFFSET(控制台!$B$865,MATCH(_xlfn.CEILING.MATH(B92/10-1)*10,控制台!$D$865:$D$936,0)-1,0),0))</f>
        <v>40</v>
      </c>
      <c r="K92" s="1">
        <f ca="1">IFERROR(OFFSET(控制台!$B$865,MATCH(_xlfn.CEILING.MATH(B92/10)*10,控制台!$D$865:$D$936,0)-1,0),1)</f>
        <v>55</v>
      </c>
      <c r="L92" s="5">
        <f ca="1">Lerp_dyy(J92,K92,IF(MOD(B92,10)=0,1,MOD(B92,10)/10))</f>
        <v>50.5</v>
      </c>
      <c r="O92" s="1">
        <v>87</v>
      </c>
      <c r="P92" s="1">
        <f>_xlfn.FLOOR.MATH(O92/10+0.9)*10</f>
        <v>90</v>
      </c>
      <c r="Q92" s="1">
        <f ca="1">OFFSET(控制台!$I$1099,MATCH(P92,控制台!$H$1099:$H$1118,0)-2,0)*控制台!$K$1092</f>
        <v>2160000</v>
      </c>
      <c r="R92" s="1">
        <f ca="1">OFFSET(控制台!$I$1099,MATCH(P92,控制台!$H$1099:$H$1118,0)-1,0)*控制台!$K$1092</f>
        <v>2400000</v>
      </c>
      <c r="S92" s="4">
        <f ca="1">_xlfn.FLOOR.MATH(Lerp_dyy(Q92,R92,IF(MOD(O92,10)=0,1,MOD(O92,10)/10)),10)</f>
        <v>2328000</v>
      </c>
      <c r="T92" s="5">
        <f ca="1" t="shared" si="6"/>
        <v>52337900</v>
      </c>
      <c r="U92" s="4">
        <f ca="1">IF(AND(O92&lt;&gt;1,MOD(O92,10)=1),OFFSET(控制台!$K$1099,MATCH(P92,控制台!$H$1099:$H$1118,0)-1,0)*控制台!$K$1093,0)</f>
        <v>0</v>
      </c>
      <c r="V92" s="5">
        <f ca="1" t="shared" si="8"/>
        <v>45880</v>
      </c>
      <c r="W92" s="1">
        <f ca="1">IF(_xlfn.CEILING.MATH(O92/10)*10=10,0,IFERROR(OFFSET(控制台!$B$1007,MATCH(_xlfn.CEILING.MATH(O92/10-1)*10,控制台!$D$1007:$D$1080,0)-1,0),0))</f>
        <v>45</v>
      </c>
      <c r="X92" s="1">
        <f ca="1">IFERROR(OFFSET(控制台!$B$1007,MATCH(_xlfn.CEILING.MATH(O92/10)*10,控制台!$D$1007:$D$1080,0)-1,0),1)</f>
        <v>60</v>
      </c>
      <c r="Y92" s="5">
        <f ca="1">Lerp_dyy(W92,X92,IF(MOD(O92,10)=0,1,MOD(O92,10)/10))</f>
        <v>55.5</v>
      </c>
    </row>
    <row r="93" spans="2:25">
      <c r="B93" s="1">
        <v>88</v>
      </c>
      <c r="C93" s="1">
        <f>_xlfn.FLOOR.MATH(B93/10+0.9)*10</f>
        <v>90</v>
      </c>
      <c r="D93" s="1">
        <f ca="1">OFFSET(控制台!$C$1099,MATCH(C93,控制台!$B$1099:$B$1118,0)-2,0)*控制台!$E$1092</f>
        <v>2160000</v>
      </c>
      <c r="E93" s="1">
        <f ca="1">OFFSET(控制台!$C$1099,MATCH(C93,控制台!$B$1099:$B$1118,0)-1,0)*控制台!$E$1092</f>
        <v>2400000</v>
      </c>
      <c r="F93" s="4">
        <f ca="1">_xlfn.FLOOR.MATH(Lerp_dyy(D93,E93,IF(MOD(B93,10)=0,1,MOD(B93,10)/10)),10)</f>
        <v>2352000</v>
      </c>
      <c r="G93" s="5">
        <f ca="1" t="shared" si="5"/>
        <v>54689900</v>
      </c>
      <c r="H93" s="4">
        <f ca="1">IF(AND(B93&lt;&gt;1,MOD(B93,10)=1),OFFSET(控制台!$E$1099,MATCH(C93,控制台!$B$1099:$B$1118,0)-1,0)*控制台!$E$1093,0)</f>
        <v>0</v>
      </c>
      <c r="I93" s="5">
        <f ca="1" t="shared" si="7"/>
        <v>45880</v>
      </c>
      <c r="J93" s="1">
        <f ca="1">IF(_xlfn.CEILING.MATH(B93/10)*10=10,0,IFERROR(OFFSET(控制台!$B$865,MATCH(_xlfn.CEILING.MATH(B93/10-1)*10,控制台!$D$865:$D$936,0)-1,0),0))</f>
        <v>40</v>
      </c>
      <c r="K93" s="1">
        <f ca="1">IFERROR(OFFSET(控制台!$B$865,MATCH(_xlfn.CEILING.MATH(B93/10)*10,控制台!$D$865:$D$936,0)-1,0),1)</f>
        <v>55</v>
      </c>
      <c r="L93" s="5">
        <f ca="1">Lerp_dyy(J93,K93,IF(MOD(B93,10)=0,1,MOD(B93,10)/10))</f>
        <v>52</v>
      </c>
      <c r="O93" s="1">
        <v>88</v>
      </c>
      <c r="P93" s="1">
        <f>_xlfn.FLOOR.MATH(O93/10+0.9)*10</f>
        <v>90</v>
      </c>
      <c r="Q93" s="1">
        <f ca="1">OFFSET(控制台!$I$1099,MATCH(P93,控制台!$H$1099:$H$1118,0)-2,0)*控制台!$K$1092</f>
        <v>2160000</v>
      </c>
      <c r="R93" s="1">
        <f ca="1">OFFSET(控制台!$I$1099,MATCH(P93,控制台!$H$1099:$H$1118,0)-1,0)*控制台!$K$1092</f>
        <v>2400000</v>
      </c>
      <c r="S93" s="4">
        <f ca="1">_xlfn.FLOOR.MATH(Lerp_dyy(Q93,R93,IF(MOD(O93,10)=0,1,MOD(O93,10)/10)),10)</f>
        <v>2352000</v>
      </c>
      <c r="T93" s="5">
        <f ca="1" t="shared" si="6"/>
        <v>54689900</v>
      </c>
      <c r="U93" s="4">
        <f ca="1">IF(AND(O93&lt;&gt;1,MOD(O93,10)=1),OFFSET(控制台!$K$1099,MATCH(P93,控制台!$H$1099:$H$1118,0)-1,0)*控制台!$K$1093,0)</f>
        <v>0</v>
      </c>
      <c r="V93" s="5">
        <f ca="1" t="shared" si="8"/>
        <v>45880</v>
      </c>
      <c r="W93" s="1">
        <f ca="1">IF(_xlfn.CEILING.MATH(O93/10)*10=10,0,IFERROR(OFFSET(控制台!$B$1007,MATCH(_xlfn.CEILING.MATH(O93/10-1)*10,控制台!$D$1007:$D$1080,0)-1,0),0))</f>
        <v>45</v>
      </c>
      <c r="X93" s="1">
        <f ca="1">IFERROR(OFFSET(控制台!$B$1007,MATCH(_xlfn.CEILING.MATH(O93/10)*10,控制台!$D$1007:$D$1080,0)-1,0),1)</f>
        <v>60</v>
      </c>
      <c r="Y93" s="5">
        <f ca="1">Lerp_dyy(W93,X93,IF(MOD(O93,10)=0,1,MOD(O93,10)/10))</f>
        <v>57</v>
      </c>
    </row>
    <row r="94" spans="2:25">
      <c r="B94" s="1">
        <v>89</v>
      </c>
      <c r="C94" s="1">
        <f>_xlfn.FLOOR.MATH(B94/10+0.9)*10</f>
        <v>90</v>
      </c>
      <c r="D94" s="1">
        <f ca="1">OFFSET(控制台!$C$1099,MATCH(C94,控制台!$B$1099:$B$1118,0)-2,0)*控制台!$E$1092</f>
        <v>2160000</v>
      </c>
      <c r="E94" s="1">
        <f ca="1">OFFSET(控制台!$C$1099,MATCH(C94,控制台!$B$1099:$B$1118,0)-1,0)*控制台!$E$1092</f>
        <v>2400000</v>
      </c>
      <c r="F94" s="4">
        <f ca="1">_xlfn.FLOOR.MATH(Lerp_dyy(D94,E94,IF(MOD(B94,10)=0,1,MOD(B94,10)/10)),10)</f>
        <v>2376000</v>
      </c>
      <c r="G94" s="5">
        <f ca="1" t="shared" si="5"/>
        <v>57065900</v>
      </c>
      <c r="H94" s="4">
        <f ca="1">IF(AND(B94&lt;&gt;1,MOD(B94,10)=1),OFFSET(控制台!$E$1099,MATCH(C94,控制台!$B$1099:$B$1118,0)-1,0)*控制台!$E$1093,0)</f>
        <v>0</v>
      </c>
      <c r="I94" s="5">
        <f ca="1" t="shared" si="7"/>
        <v>45880</v>
      </c>
      <c r="J94" s="1">
        <f ca="1">IF(_xlfn.CEILING.MATH(B94/10)*10=10,0,IFERROR(OFFSET(控制台!$B$865,MATCH(_xlfn.CEILING.MATH(B94/10-1)*10,控制台!$D$865:$D$936,0)-1,0),0))</f>
        <v>40</v>
      </c>
      <c r="K94" s="1">
        <f ca="1">IFERROR(OFFSET(控制台!$B$865,MATCH(_xlfn.CEILING.MATH(B94/10)*10,控制台!$D$865:$D$936,0)-1,0),1)</f>
        <v>55</v>
      </c>
      <c r="L94" s="5">
        <f ca="1">Lerp_dyy(J94,K94,IF(MOD(B94,10)=0,1,MOD(B94,10)/10))</f>
        <v>53.5</v>
      </c>
      <c r="O94" s="1">
        <v>89</v>
      </c>
      <c r="P94" s="1">
        <f>_xlfn.FLOOR.MATH(O94/10+0.9)*10</f>
        <v>90</v>
      </c>
      <c r="Q94" s="1">
        <f ca="1">OFFSET(控制台!$I$1099,MATCH(P94,控制台!$H$1099:$H$1118,0)-2,0)*控制台!$K$1092</f>
        <v>2160000</v>
      </c>
      <c r="R94" s="1">
        <f ca="1">OFFSET(控制台!$I$1099,MATCH(P94,控制台!$H$1099:$H$1118,0)-1,0)*控制台!$K$1092</f>
        <v>2400000</v>
      </c>
      <c r="S94" s="4">
        <f ca="1">_xlfn.FLOOR.MATH(Lerp_dyy(Q94,R94,IF(MOD(O94,10)=0,1,MOD(O94,10)/10)),10)</f>
        <v>2376000</v>
      </c>
      <c r="T94" s="5">
        <f ca="1" t="shared" si="6"/>
        <v>57065900</v>
      </c>
      <c r="U94" s="4">
        <f ca="1">IF(AND(O94&lt;&gt;1,MOD(O94,10)=1),OFFSET(控制台!$K$1099,MATCH(P94,控制台!$H$1099:$H$1118,0)-1,0)*控制台!$K$1093,0)</f>
        <v>0</v>
      </c>
      <c r="V94" s="5">
        <f ca="1" t="shared" si="8"/>
        <v>45880</v>
      </c>
      <c r="W94" s="1">
        <f ca="1">IF(_xlfn.CEILING.MATH(O94/10)*10=10,0,IFERROR(OFFSET(控制台!$B$1007,MATCH(_xlfn.CEILING.MATH(O94/10-1)*10,控制台!$D$1007:$D$1080,0)-1,0),0))</f>
        <v>45</v>
      </c>
      <c r="X94" s="1">
        <f ca="1">IFERROR(OFFSET(控制台!$B$1007,MATCH(_xlfn.CEILING.MATH(O94/10)*10,控制台!$D$1007:$D$1080,0)-1,0),1)</f>
        <v>60</v>
      </c>
      <c r="Y94" s="5">
        <f ca="1">Lerp_dyy(W94,X94,IF(MOD(O94,10)=0,1,MOD(O94,10)/10))</f>
        <v>58.5</v>
      </c>
    </row>
    <row r="95" spans="2:25">
      <c r="B95" s="1">
        <v>90</v>
      </c>
      <c r="C95" s="1">
        <f>_xlfn.FLOOR.MATH(B95/10+0.9)*10</f>
        <v>90</v>
      </c>
      <c r="D95" s="1">
        <f ca="1">OFFSET(控制台!$C$1099,MATCH(C95,控制台!$B$1099:$B$1118,0)-2,0)*控制台!$E$1092</f>
        <v>2160000</v>
      </c>
      <c r="E95" s="1">
        <f ca="1">OFFSET(控制台!$C$1099,MATCH(C95,控制台!$B$1099:$B$1118,0)-1,0)*控制台!$E$1092</f>
        <v>2400000</v>
      </c>
      <c r="F95" s="4">
        <f ca="1">_xlfn.FLOOR.MATH(Lerp_dyy(D95,E95,IF(MOD(B95,10)=0,1,MOD(B95,10)/10)),10)</f>
        <v>2400000</v>
      </c>
      <c r="G95" s="5">
        <f ca="1" t="shared" si="5"/>
        <v>59465900</v>
      </c>
      <c r="H95" s="4">
        <f ca="1">IF(AND(B95&lt;&gt;1,MOD(B95,10)=1),OFFSET(控制台!$E$1099,MATCH(C95,控制台!$B$1099:$B$1118,0)-1,0)*控制台!$E$1093,0)</f>
        <v>0</v>
      </c>
      <c r="I95" s="5">
        <f ca="1" t="shared" si="7"/>
        <v>45880</v>
      </c>
      <c r="J95" s="1">
        <f ca="1">IF(_xlfn.CEILING.MATH(B95/10)*10=10,0,IFERROR(OFFSET(控制台!$B$865,MATCH(_xlfn.CEILING.MATH(B95/10-1)*10,控制台!$D$865:$D$936,0)-1,0),0))</f>
        <v>40</v>
      </c>
      <c r="K95" s="1">
        <f ca="1">IFERROR(OFFSET(控制台!$B$865,MATCH(_xlfn.CEILING.MATH(B95/10)*10,控制台!$D$865:$D$936,0)-1,0),1)</f>
        <v>55</v>
      </c>
      <c r="L95" s="5">
        <f ca="1">Lerp_dyy(J95,K95,IF(MOD(B95,10)=0,1,MOD(B95,10)/10))</f>
        <v>55</v>
      </c>
      <c r="O95" s="1">
        <v>90</v>
      </c>
      <c r="P95" s="1">
        <f>_xlfn.FLOOR.MATH(O95/10+0.9)*10</f>
        <v>90</v>
      </c>
      <c r="Q95" s="1">
        <f ca="1">OFFSET(控制台!$I$1099,MATCH(P95,控制台!$H$1099:$H$1118,0)-2,0)*控制台!$K$1092</f>
        <v>2160000</v>
      </c>
      <c r="R95" s="1">
        <f ca="1">OFFSET(控制台!$I$1099,MATCH(P95,控制台!$H$1099:$H$1118,0)-1,0)*控制台!$K$1092</f>
        <v>2400000</v>
      </c>
      <c r="S95" s="4">
        <f ca="1">_xlfn.FLOOR.MATH(Lerp_dyy(Q95,R95,IF(MOD(O95,10)=0,1,MOD(O95,10)/10)),10)</f>
        <v>2400000</v>
      </c>
      <c r="T95" s="5">
        <f ca="1" t="shared" si="6"/>
        <v>59465900</v>
      </c>
      <c r="U95" s="4">
        <f ca="1">IF(AND(O95&lt;&gt;1,MOD(O95,10)=1),OFFSET(控制台!$K$1099,MATCH(P95,控制台!$H$1099:$H$1118,0)-1,0)*控制台!$K$1093,0)</f>
        <v>0</v>
      </c>
      <c r="V95" s="5">
        <f ca="1" t="shared" si="8"/>
        <v>45880</v>
      </c>
      <c r="W95" s="1">
        <f ca="1">IF(_xlfn.CEILING.MATH(O95/10)*10=10,0,IFERROR(OFFSET(控制台!$B$1007,MATCH(_xlfn.CEILING.MATH(O95/10-1)*10,控制台!$D$1007:$D$1080,0)-1,0),0))</f>
        <v>45</v>
      </c>
      <c r="X95" s="1">
        <f ca="1">IFERROR(OFFSET(控制台!$B$1007,MATCH(_xlfn.CEILING.MATH(O95/10)*10,控制台!$D$1007:$D$1080,0)-1,0),1)</f>
        <v>60</v>
      </c>
      <c r="Y95" s="5">
        <f ca="1">Lerp_dyy(W95,X95,IF(MOD(O95,10)=0,1,MOD(O95,10)/10))</f>
        <v>60</v>
      </c>
    </row>
    <row r="96" s="15" customFormat="1" spans="2:25">
      <c r="B96" s="15">
        <v>91</v>
      </c>
      <c r="C96" s="15">
        <f>_xlfn.FLOOR.MATH(B96/10+0.9)*10</f>
        <v>100</v>
      </c>
      <c r="D96" s="15">
        <f ca="1">OFFSET(控制台!$C$1099,MATCH(C96,控制台!$B$1099:$B$1118,0)-2,0)*控制台!$E$1092</f>
        <v>2400000</v>
      </c>
      <c r="E96" s="15">
        <f ca="1">OFFSET(控制台!$C$1099,MATCH(C96,控制台!$B$1099:$B$1118,0)-1,0)*控制台!$E$1092</f>
        <v>2640000</v>
      </c>
      <c r="F96" s="16">
        <f ca="1">_xlfn.FLOOR.MATH(Lerp_dyy(D96,E96,IF(MOD(B96,10)=0,1,MOD(B96,10)/10)),10)</f>
        <v>2424000</v>
      </c>
      <c r="G96" s="17">
        <f ca="1" t="shared" si="5"/>
        <v>61889900</v>
      </c>
      <c r="H96" s="16">
        <f ca="1">IF(AND(B96&lt;&gt;1,MOD(B96,10)=1),OFFSET(控制台!$E$1099,MATCH(C96,控制台!$B$1099:$B$1118,0)-1,0)*控制台!$E$1093,0)</f>
        <v>17600</v>
      </c>
      <c r="I96" s="17">
        <f ca="1" t="shared" si="7"/>
        <v>63480</v>
      </c>
      <c r="J96" s="15">
        <f ca="1">IF(_xlfn.CEILING.MATH(B96/10)*10=10,0,IFERROR(OFFSET(控制台!$B$865,MATCH(_xlfn.CEILING.MATH(B96/10-1)*10,控制台!$D$865:$D$936,0)-1,0),0))</f>
        <v>55</v>
      </c>
      <c r="K96" s="15">
        <f ca="1">IFERROR(OFFSET(控制台!$B$865,MATCH(_xlfn.CEILING.MATH(B96/10)*10,控制台!$D$865:$D$936,0)-1,0),1)</f>
        <v>70</v>
      </c>
      <c r="L96" s="17">
        <f ca="1">Lerp_dyy(J96,K96,IF(MOD(B96,10)=0,1,MOD(B96,10)/10))</f>
        <v>56.5</v>
      </c>
      <c r="O96" s="15">
        <v>91</v>
      </c>
      <c r="P96" s="1">
        <f>_xlfn.FLOOR.MATH(O96/10+0.9)*10</f>
        <v>100</v>
      </c>
      <c r="Q96" s="1">
        <f ca="1">OFFSET(控制台!$I$1099,MATCH(P96,控制台!$H$1099:$H$1118,0)-2,0)*控制台!$K$1092</f>
        <v>2400000</v>
      </c>
      <c r="R96" s="1">
        <f ca="1">OFFSET(控制台!$I$1099,MATCH(P96,控制台!$H$1099:$H$1118,0)-1,0)*控制台!$K$1092</f>
        <v>2640000</v>
      </c>
      <c r="S96" s="16">
        <f ca="1">_xlfn.FLOOR.MATH(Lerp_dyy(Q96,R96,IF(MOD(O96,10)=0,1,MOD(O96,10)/10)),10)</f>
        <v>2424000</v>
      </c>
      <c r="T96" s="17">
        <f ca="1" t="shared" si="6"/>
        <v>61889900</v>
      </c>
      <c r="U96" s="4">
        <f ca="1">IF(AND(O96&lt;&gt;1,MOD(O96,10)=1),OFFSET(控制台!$K$1099,MATCH(P96,控制台!$H$1099:$H$1118,0)-1,0)*控制台!$K$1093,0)</f>
        <v>17600</v>
      </c>
      <c r="V96" s="17">
        <f ca="1" t="shared" si="8"/>
        <v>63480</v>
      </c>
      <c r="W96" s="1">
        <f ca="1">IF(_xlfn.CEILING.MATH(O96/10)*10=10,0,IFERROR(OFFSET(控制台!$B$1007,MATCH(_xlfn.CEILING.MATH(O96/10-1)*10,控制台!$D$1007:$D$1080,0)-1,0),0))</f>
        <v>60</v>
      </c>
      <c r="X96" s="1">
        <f ca="1">IFERROR(OFFSET(控制台!$B$1007,MATCH(_xlfn.CEILING.MATH(O96/10)*10,控制台!$D$1007:$D$1080,0)-1,0),1)</f>
        <v>90</v>
      </c>
      <c r="Y96" s="17">
        <f ca="1">Lerp_dyy(W96,X96,IF(MOD(O96,10)=0,1,MOD(O96,10)/10))</f>
        <v>63</v>
      </c>
    </row>
    <row r="97" s="15" customFormat="1" spans="2:25">
      <c r="B97" s="15">
        <v>92</v>
      </c>
      <c r="C97" s="15">
        <f>_xlfn.FLOOR.MATH(B97/10+0.9)*10</f>
        <v>100</v>
      </c>
      <c r="D97" s="15">
        <f ca="1">OFFSET(控制台!$C$1099,MATCH(C97,控制台!$B$1099:$B$1118,0)-2,0)*控制台!$E$1092</f>
        <v>2400000</v>
      </c>
      <c r="E97" s="15">
        <f ca="1">OFFSET(控制台!$C$1099,MATCH(C97,控制台!$B$1099:$B$1118,0)-1,0)*控制台!$E$1092</f>
        <v>2640000</v>
      </c>
      <c r="F97" s="16">
        <f ca="1">_xlfn.FLOOR.MATH(Lerp_dyy(D97,E97,IF(MOD(B97,10)=0,1,MOD(B97,10)/10)),10)</f>
        <v>2448000</v>
      </c>
      <c r="G97" s="17">
        <f ca="1" t="shared" si="5"/>
        <v>64337900</v>
      </c>
      <c r="H97" s="16">
        <f ca="1">IF(AND(B97&lt;&gt;1,MOD(B97,10)=1),OFFSET(控制台!$E$1099,MATCH(C97,控制台!$B$1099:$B$1118,0)-1,0)*控制台!$E$1093,0)</f>
        <v>0</v>
      </c>
      <c r="I97" s="17">
        <f ca="1" t="shared" si="7"/>
        <v>63480</v>
      </c>
      <c r="J97" s="15">
        <f ca="1">IF(_xlfn.CEILING.MATH(B97/10)*10=10,0,IFERROR(OFFSET(控制台!$B$865,MATCH(_xlfn.CEILING.MATH(B97/10-1)*10,控制台!$D$865:$D$936,0)-1,0),0))</f>
        <v>55</v>
      </c>
      <c r="K97" s="15">
        <f ca="1">IFERROR(OFFSET(控制台!$B$865,MATCH(_xlfn.CEILING.MATH(B97/10)*10,控制台!$D$865:$D$936,0)-1,0),1)</f>
        <v>70</v>
      </c>
      <c r="L97" s="17">
        <f ca="1">Lerp_dyy(J97,K97,IF(MOD(B97,10)=0,1,MOD(B97,10)/10))</f>
        <v>58</v>
      </c>
      <c r="O97" s="15">
        <v>92</v>
      </c>
      <c r="P97" s="1">
        <f>_xlfn.FLOOR.MATH(O97/10+0.9)*10</f>
        <v>100</v>
      </c>
      <c r="Q97" s="1">
        <f ca="1">OFFSET(控制台!$I$1099,MATCH(P97,控制台!$H$1099:$H$1118,0)-2,0)*控制台!$K$1092</f>
        <v>2400000</v>
      </c>
      <c r="R97" s="1">
        <f ca="1">OFFSET(控制台!$I$1099,MATCH(P97,控制台!$H$1099:$H$1118,0)-1,0)*控制台!$K$1092</f>
        <v>2640000</v>
      </c>
      <c r="S97" s="16">
        <f ca="1">_xlfn.FLOOR.MATH(Lerp_dyy(Q97,R97,IF(MOD(O97,10)=0,1,MOD(O97,10)/10)),10)</f>
        <v>2448000</v>
      </c>
      <c r="T97" s="17">
        <f ca="1" t="shared" si="6"/>
        <v>64337900</v>
      </c>
      <c r="U97" s="4">
        <f ca="1">IF(AND(O97&lt;&gt;1,MOD(O97,10)=1),OFFSET(控制台!$K$1099,MATCH(P97,控制台!$H$1099:$H$1118,0)-1,0)*控制台!$K$1093,0)</f>
        <v>0</v>
      </c>
      <c r="V97" s="17">
        <f ca="1" t="shared" si="8"/>
        <v>63480</v>
      </c>
      <c r="W97" s="1">
        <f ca="1">IF(_xlfn.CEILING.MATH(O97/10)*10=10,0,IFERROR(OFFSET(控制台!$B$1007,MATCH(_xlfn.CEILING.MATH(O97/10-1)*10,控制台!$D$1007:$D$1080,0)-1,0),0))</f>
        <v>60</v>
      </c>
      <c r="X97" s="1">
        <f ca="1">IFERROR(OFFSET(控制台!$B$1007,MATCH(_xlfn.CEILING.MATH(O97/10)*10,控制台!$D$1007:$D$1080,0)-1,0),1)</f>
        <v>90</v>
      </c>
      <c r="Y97" s="17">
        <f ca="1">Lerp_dyy(W97,X97,IF(MOD(O97,10)=0,1,MOD(O97,10)/10))</f>
        <v>66</v>
      </c>
    </row>
    <row r="98" s="15" customFormat="1" spans="2:25">
      <c r="B98" s="15">
        <v>93</v>
      </c>
      <c r="C98" s="15">
        <f>_xlfn.FLOOR.MATH(B98/10+0.9)*10</f>
        <v>100</v>
      </c>
      <c r="D98" s="15">
        <f ca="1">OFFSET(控制台!$C$1099,MATCH(C98,控制台!$B$1099:$B$1118,0)-2,0)*控制台!$E$1092</f>
        <v>2400000</v>
      </c>
      <c r="E98" s="15">
        <f ca="1">OFFSET(控制台!$C$1099,MATCH(C98,控制台!$B$1099:$B$1118,0)-1,0)*控制台!$E$1092</f>
        <v>2640000</v>
      </c>
      <c r="F98" s="16">
        <f ca="1">_xlfn.FLOOR.MATH(Lerp_dyy(D98,E98,IF(MOD(B98,10)=0,1,MOD(B98,10)/10)),10)</f>
        <v>2472000</v>
      </c>
      <c r="G98" s="17">
        <f ca="1" t="shared" si="5"/>
        <v>66809900</v>
      </c>
      <c r="H98" s="16">
        <f ca="1">IF(AND(B98&lt;&gt;1,MOD(B98,10)=1),OFFSET(控制台!$E$1099,MATCH(C98,控制台!$B$1099:$B$1118,0)-1,0)*控制台!$E$1093,0)</f>
        <v>0</v>
      </c>
      <c r="I98" s="17">
        <f ca="1" t="shared" si="7"/>
        <v>63480</v>
      </c>
      <c r="J98" s="15">
        <f ca="1">IF(_xlfn.CEILING.MATH(B98/10)*10=10,0,IFERROR(OFFSET(控制台!$B$865,MATCH(_xlfn.CEILING.MATH(B98/10-1)*10,控制台!$D$865:$D$936,0)-1,0),0))</f>
        <v>55</v>
      </c>
      <c r="K98" s="15">
        <f ca="1">IFERROR(OFFSET(控制台!$B$865,MATCH(_xlfn.CEILING.MATH(B98/10)*10,控制台!$D$865:$D$936,0)-1,0),1)</f>
        <v>70</v>
      </c>
      <c r="L98" s="17">
        <f ca="1">Lerp_dyy(J98,K98,IF(MOD(B98,10)=0,1,MOD(B98,10)/10))</f>
        <v>59.5</v>
      </c>
      <c r="O98" s="15">
        <v>93</v>
      </c>
      <c r="P98" s="1">
        <f>_xlfn.FLOOR.MATH(O98/10+0.9)*10</f>
        <v>100</v>
      </c>
      <c r="Q98" s="1">
        <f ca="1">OFFSET(控制台!$I$1099,MATCH(P98,控制台!$H$1099:$H$1118,0)-2,0)*控制台!$K$1092</f>
        <v>2400000</v>
      </c>
      <c r="R98" s="1">
        <f ca="1">OFFSET(控制台!$I$1099,MATCH(P98,控制台!$H$1099:$H$1118,0)-1,0)*控制台!$K$1092</f>
        <v>2640000</v>
      </c>
      <c r="S98" s="16">
        <f ca="1">_xlfn.FLOOR.MATH(Lerp_dyy(Q98,R98,IF(MOD(O98,10)=0,1,MOD(O98,10)/10)),10)</f>
        <v>2472000</v>
      </c>
      <c r="T98" s="17">
        <f ca="1" t="shared" si="6"/>
        <v>66809900</v>
      </c>
      <c r="U98" s="4">
        <f ca="1">IF(AND(O98&lt;&gt;1,MOD(O98,10)=1),OFFSET(控制台!$K$1099,MATCH(P98,控制台!$H$1099:$H$1118,0)-1,0)*控制台!$K$1093,0)</f>
        <v>0</v>
      </c>
      <c r="V98" s="17">
        <f ca="1" t="shared" si="8"/>
        <v>63480</v>
      </c>
      <c r="W98" s="1">
        <f ca="1">IF(_xlfn.CEILING.MATH(O98/10)*10=10,0,IFERROR(OFFSET(控制台!$B$1007,MATCH(_xlfn.CEILING.MATH(O98/10-1)*10,控制台!$D$1007:$D$1080,0)-1,0),0))</f>
        <v>60</v>
      </c>
      <c r="X98" s="1">
        <f ca="1">IFERROR(OFFSET(控制台!$B$1007,MATCH(_xlfn.CEILING.MATH(O98/10)*10,控制台!$D$1007:$D$1080,0)-1,0),1)</f>
        <v>90</v>
      </c>
      <c r="Y98" s="17">
        <f ca="1">Lerp_dyy(W98,X98,IF(MOD(O98,10)=0,1,MOD(O98,10)/10))</f>
        <v>69</v>
      </c>
    </row>
    <row r="99" s="15" customFormat="1" spans="2:25">
      <c r="B99" s="15">
        <v>94</v>
      </c>
      <c r="C99" s="15">
        <f>_xlfn.FLOOR.MATH(B99/10+0.9)*10</f>
        <v>100</v>
      </c>
      <c r="D99" s="15">
        <f ca="1">OFFSET(控制台!$C$1099,MATCH(C99,控制台!$B$1099:$B$1118,0)-2,0)*控制台!$E$1092</f>
        <v>2400000</v>
      </c>
      <c r="E99" s="15">
        <f ca="1">OFFSET(控制台!$C$1099,MATCH(C99,控制台!$B$1099:$B$1118,0)-1,0)*控制台!$E$1092</f>
        <v>2640000</v>
      </c>
      <c r="F99" s="16">
        <f ca="1">_xlfn.FLOOR.MATH(Lerp_dyy(D99,E99,IF(MOD(B99,10)=0,1,MOD(B99,10)/10)),10)</f>
        <v>2496000</v>
      </c>
      <c r="G99" s="17">
        <f ca="1" t="shared" si="5"/>
        <v>69305900</v>
      </c>
      <c r="H99" s="16">
        <f ca="1">IF(AND(B99&lt;&gt;1,MOD(B99,10)=1),OFFSET(控制台!$E$1099,MATCH(C99,控制台!$B$1099:$B$1118,0)-1,0)*控制台!$E$1093,0)</f>
        <v>0</v>
      </c>
      <c r="I99" s="17">
        <f ca="1" t="shared" si="7"/>
        <v>63480</v>
      </c>
      <c r="J99" s="15">
        <f ca="1">IF(_xlfn.CEILING.MATH(B99/10)*10=10,0,IFERROR(OFFSET(控制台!$B$865,MATCH(_xlfn.CEILING.MATH(B99/10-1)*10,控制台!$D$865:$D$936,0)-1,0),0))</f>
        <v>55</v>
      </c>
      <c r="K99" s="15">
        <f ca="1">IFERROR(OFFSET(控制台!$B$865,MATCH(_xlfn.CEILING.MATH(B99/10)*10,控制台!$D$865:$D$936,0)-1,0),1)</f>
        <v>70</v>
      </c>
      <c r="L99" s="17">
        <f ca="1">Lerp_dyy(J99,K99,IF(MOD(B99,10)=0,1,MOD(B99,10)/10))</f>
        <v>61</v>
      </c>
      <c r="O99" s="15">
        <v>94</v>
      </c>
      <c r="P99" s="1">
        <f>_xlfn.FLOOR.MATH(O99/10+0.9)*10</f>
        <v>100</v>
      </c>
      <c r="Q99" s="1">
        <f ca="1">OFFSET(控制台!$I$1099,MATCH(P99,控制台!$H$1099:$H$1118,0)-2,0)*控制台!$K$1092</f>
        <v>2400000</v>
      </c>
      <c r="R99" s="1">
        <f ca="1">OFFSET(控制台!$I$1099,MATCH(P99,控制台!$H$1099:$H$1118,0)-1,0)*控制台!$K$1092</f>
        <v>2640000</v>
      </c>
      <c r="S99" s="16">
        <f ca="1">_xlfn.FLOOR.MATH(Lerp_dyy(Q99,R99,IF(MOD(O99,10)=0,1,MOD(O99,10)/10)),10)</f>
        <v>2496000</v>
      </c>
      <c r="T99" s="17">
        <f ca="1" t="shared" si="6"/>
        <v>69305900</v>
      </c>
      <c r="U99" s="4">
        <f ca="1">IF(AND(O99&lt;&gt;1,MOD(O99,10)=1),OFFSET(控制台!$K$1099,MATCH(P99,控制台!$H$1099:$H$1118,0)-1,0)*控制台!$K$1093,0)</f>
        <v>0</v>
      </c>
      <c r="V99" s="17">
        <f ca="1" t="shared" si="8"/>
        <v>63480</v>
      </c>
      <c r="W99" s="1">
        <f ca="1">IF(_xlfn.CEILING.MATH(O99/10)*10=10,0,IFERROR(OFFSET(控制台!$B$1007,MATCH(_xlfn.CEILING.MATH(O99/10-1)*10,控制台!$D$1007:$D$1080,0)-1,0),0))</f>
        <v>60</v>
      </c>
      <c r="X99" s="1">
        <f ca="1">IFERROR(OFFSET(控制台!$B$1007,MATCH(_xlfn.CEILING.MATH(O99/10)*10,控制台!$D$1007:$D$1080,0)-1,0),1)</f>
        <v>90</v>
      </c>
      <c r="Y99" s="17">
        <f ca="1">Lerp_dyy(W99,X99,IF(MOD(O99,10)=0,1,MOD(O99,10)/10))</f>
        <v>72</v>
      </c>
    </row>
    <row r="100" s="15" customFormat="1" spans="2:25">
      <c r="B100" s="15">
        <v>95</v>
      </c>
      <c r="C100" s="15">
        <f>_xlfn.FLOOR.MATH(B100/10+0.9)*10</f>
        <v>100</v>
      </c>
      <c r="D100" s="15">
        <f ca="1">OFFSET(控制台!$C$1099,MATCH(C100,控制台!$B$1099:$B$1118,0)-2,0)*控制台!$E$1092</f>
        <v>2400000</v>
      </c>
      <c r="E100" s="15">
        <f ca="1">OFFSET(控制台!$C$1099,MATCH(C100,控制台!$B$1099:$B$1118,0)-1,0)*控制台!$E$1092</f>
        <v>2640000</v>
      </c>
      <c r="F100" s="16">
        <f ca="1">_xlfn.FLOOR.MATH(Lerp_dyy(D100,E100,IF(MOD(B100,10)=0,1,MOD(B100,10)/10)),10)</f>
        <v>2520000</v>
      </c>
      <c r="G100" s="17">
        <f ca="1" t="shared" si="5"/>
        <v>71825900</v>
      </c>
      <c r="H100" s="16">
        <f ca="1">IF(AND(B100&lt;&gt;1,MOD(B100,10)=1),OFFSET(控制台!$E$1099,MATCH(C100,控制台!$B$1099:$B$1118,0)-1,0)*控制台!$E$1093,0)</f>
        <v>0</v>
      </c>
      <c r="I100" s="17">
        <f ca="1" t="shared" si="7"/>
        <v>63480</v>
      </c>
      <c r="J100" s="15">
        <f ca="1">IF(_xlfn.CEILING.MATH(B100/10)*10=10,0,IFERROR(OFFSET(控制台!$B$865,MATCH(_xlfn.CEILING.MATH(B100/10-1)*10,控制台!$D$865:$D$936,0)-1,0),0))</f>
        <v>55</v>
      </c>
      <c r="K100" s="15">
        <f ca="1">IFERROR(OFFSET(控制台!$B$865,MATCH(_xlfn.CEILING.MATH(B100/10)*10,控制台!$D$865:$D$936,0)-1,0),1)</f>
        <v>70</v>
      </c>
      <c r="L100" s="17">
        <f ca="1">Lerp_dyy(J100,K100,IF(MOD(B100,10)=0,1,MOD(B100,10)/10))</f>
        <v>62.5</v>
      </c>
      <c r="O100" s="15">
        <v>95</v>
      </c>
      <c r="P100" s="1">
        <f>_xlfn.FLOOR.MATH(O100/10+0.9)*10</f>
        <v>100</v>
      </c>
      <c r="Q100" s="1">
        <f ca="1">OFFSET(控制台!$I$1099,MATCH(P100,控制台!$H$1099:$H$1118,0)-2,0)*控制台!$K$1092</f>
        <v>2400000</v>
      </c>
      <c r="R100" s="1">
        <f ca="1">OFFSET(控制台!$I$1099,MATCH(P100,控制台!$H$1099:$H$1118,0)-1,0)*控制台!$K$1092</f>
        <v>2640000</v>
      </c>
      <c r="S100" s="16">
        <f ca="1">_xlfn.FLOOR.MATH(Lerp_dyy(Q100,R100,IF(MOD(O100,10)=0,1,MOD(O100,10)/10)),10)</f>
        <v>2520000</v>
      </c>
      <c r="T100" s="17">
        <f ca="1" t="shared" si="6"/>
        <v>71825900</v>
      </c>
      <c r="U100" s="4">
        <f ca="1">IF(AND(O100&lt;&gt;1,MOD(O100,10)=1),OFFSET(控制台!$K$1099,MATCH(P100,控制台!$H$1099:$H$1118,0)-1,0)*控制台!$K$1093,0)</f>
        <v>0</v>
      </c>
      <c r="V100" s="17">
        <f ca="1" t="shared" si="8"/>
        <v>63480</v>
      </c>
      <c r="W100" s="1">
        <f ca="1">IF(_xlfn.CEILING.MATH(O100/10)*10=10,0,IFERROR(OFFSET(控制台!$B$1007,MATCH(_xlfn.CEILING.MATH(O100/10-1)*10,控制台!$D$1007:$D$1080,0)-1,0),0))</f>
        <v>60</v>
      </c>
      <c r="X100" s="1">
        <f ca="1">IFERROR(OFFSET(控制台!$B$1007,MATCH(_xlfn.CEILING.MATH(O100/10)*10,控制台!$D$1007:$D$1080,0)-1,0),1)</f>
        <v>90</v>
      </c>
      <c r="Y100" s="17">
        <f ca="1">Lerp_dyy(W100,X100,IF(MOD(O100,10)=0,1,MOD(O100,10)/10))</f>
        <v>75</v>
      </c>
    </row>
    <row r="101" s="15" customFormat="1" spans="2:25">
      <c r="B101" s="15">
        <v>96</v>
      </c>
      <c r="C101" s="15">
        <f>_xlfn.FLOOR.MATH(B101/10+0.9)*10</f>
        <v>100</v>
      </c>
      <c r="D101" s="15">
        <f ca="1">OFFSET(控制台!$C$1099,MATCH(C101,控制台!$B$1099:$B$1118,0)-2,0)*控制台!$E$1092</f>
        <v>2400000</v>
      </c>
      <c r="E101" s="15">
        <f ca="1">OFFSET(控制台!$C$1099,MATCH(C101,控制台!$B$1099:$B$1118,0)-1,0)*控制台!$E$1092</f>
        <v>2640000</v>
      </c>
      <c r="F101" s="16">
        <f ca="1">_xlfn.FLOOR.MATH(Lerp_dyy(D101,E101,IF(MOD(B101,10)=0,1,MOD(B101,10)/10)),10)</f>
        <v>2544000</v>
      </c>
      <c r="G101" s="17">
        <f ca="1" t="shared" si="5"/>
        <v>74369900</v>
      </c>
      <c r="H101" s="16">
        <f ca="1">IF(AND(B101&lt;&gt;1,MOD(B101,10)=1),OFFSET(控制台!$E$1099,MATCH(C101,控制台!$B$1099:$B$1118,0)-1,0)*控制台!$E$1093,0)</f>
        <v>0</v>
      </c>
      <c r="I101" s="17">
        <f ca="1" t="shared" si="7"/>
        <v>63480</v>
      </c>
      <c r="J101" s="15">
        <f ca="1">IF(_xlfn.CEILING.MATH(B101/10)*10=10,0,IFERROR(OFFSET(控制台!$B$865,MATCH(_xlfn.CEILING.MATH(B101/10-1)*10,控制台!$D$865:$D$936,0)-1,0),0))</f>
        <v>55</v>
      </c>
      <c r="K101" s="15">
        <f ca="1">IFERROR(OFFSET(控制台!$B$865,MATCH(_xlfn.CEILING.MATH(B101/10)*10,控制台!$D$865:$D$936,0)-1,0),1)</f>
        <v>70</v>
      </c>
      <c r="L101" s="17">
        <f ca="1">Lerp_dyy(J101,K101,IF(MOD(B101,10)=0,1,MOD(B101,10)/10))</f>
        <v>64</v>
      </c>
      <c r="O101" s="15">
        <v>96</v>
      </c>
      <c r="P101" s="1">
        <f>_xlfn.FLOOR.MATH(O101/10+0.9)*10</f>
        <v>100</v>
      </c>
      <c r="Q101" s="1">
        <f ca="1">OFFSET(控制台!$I$1099,MATCH(P101,控制台!$H$1099:$H$1118,0)-2,0)*控制台!$K$1092</f>
        <v>2400000</v>
      </c>
      <c r="R101" s="1">
        <f ca="1">OFFSET(控制台!$I$1099,MATCH(P101,控制台!$H$1099:$H$1118,0)-1,0)*控制台!$K$1092</f>
        <v>2640000</v>
      </c>
      <c r="S101" s="16">
        <f ca="1">_xlfn.FLOOR.MATH(Lerp_dyy(Q101,R101,IF(MOD(O101,10)=0,1,MOD(O101,10)/10)),10)</f>
        <v>2544000</v>
      </c>
      <c r="T101" s="17">
        <f ca="1" t="shared" si="6"/>
        <v>74369900</v>
      </c>
      <c r="U101" s="4">
        <f ca="1">IF(AND(O101&lt;&gt;1,MOD(O101,10)=1),OFFSET(控制台!$K$1099,MATCH(P101,控制台!$H$1099:$H$1118,0)-1,0)*控制台!$K$1093,0)</f>
        <v>0</v>
      </c>
      <c r="V101" s="17">
        <f ca="1" t="shared" si="8"/>
        <v>63480</v>
      </c>
      <c r="W101" s="1">
        <f ca="1">IF(_xlfn.CEILING.MATH(O101/10)*10=10,0,IFERROR(OFFSET(控制台!$B$1007,MATCH(_xlfn.CEILING.MATH(O101/10-1)*10,控制台!$D$1007:$D$1080,0)-1,0),0))</f>
        <v>60</v>
      </c>
      <c r="X101" s="1">
        <f ca="1">IFERROR(OFFSET(控制台!$B$1007,MATCH(_xlfn.CEILING.MATH(O101/10)*10,控制台!$D$1007:$D$1080,0)-1,0),1)</f>
        <v>90</v>
      </c>
      <c r="Y101" s="17">
        <f ca="1">Lerp_dyy(W101,X101,IF(MOD(O101,10)=0,1,MOD(O101,10)/10))</f>
        <v>78</v>
      </c>
    </row>
    <row r="102" s="15" customFormat="1" spans="2:25">
      <c r="B102" s="15">
        <v>97</v>
      </c>
      <c r="C102" s="15">
        <f>_xlfn.FLOOR.MATH(B102/10+0.9)*10</f>
        <v>100</v>
      </c>
      <c r="D102" s="15">
        <f ca="1">OFFSET(控制台!$C$1099,MATCH(C102,控制台!$B$1099:$B$1118,0)-2,0)*控制台!$E$1092</f>
        <v>2400000</v>
      </c>
      <c r="E102" s="15">
        <f ca="1">OFFSET(控制台!$C$1099,MATCH(C102,控制台!$B$1099:$B$1118,0)-1,0)*控制台!$E$1092</f>
        <v>2640000</v>
      </c>
      <c r="F102" s="16">
        <f ca="1">_xlfn.FLOOR.MATH(Lerp_dyy(D102,E102,IF(MOD(B102,10)=0,1,MOD(B102,10)/10)),10)</f>
        <v>2568000</v>
      </c>
      <c r="G102" s="17">
        <f ca="1" t="shared" si="5"/>
        <v>76937900</v>
      </c>
      <c r="H102" s="16">
        <f ca="1">IF(AND(B102&lt;&gt;1,MOD(B102,10)=1),OFFSET(控制台!$E$1099,MATCH(C102,控制台!$B$1099:$B$1118,0)-1,0)*控制台!$E$1093,0)</f>
        <v>0</v>
      </c>
      <c r="I102" s="17">
        <f ca="1" t="shared" si="7"/>
        <v>63480</v>
      </c>
      <c r="J102" s="15">
        <f ca="1">IF(_xlfn.CEILING.MATH(B102/10)*10=10,0,IFERROR(OFFSET(控制台!$B$865,MATCH(_xlfn.CEILING.MATH(B102/10-1)*10,控制台!$D$865:$D$936,0)-1,0),0))</f>
        <v>55</v>
      </c>
      <c r="K102" s="15">
        <f ca="1">IFERROR(OFFSET(控制台!$B$865,MATCH(_xlfn.CEILING.MATH(B102/10)*10,控制台!$D$865:$D$936,0)-1,0),1)</f>
        <v>70</v>
      </c>
      <c r="L102" s="17">
        <f ca="1">Lerp_dyy(J102,K102,IF(MOD(B102,10)=0,1,MOD(B102,10)/10))</f>
        <v>65.5</v>
      </c>
      <c r="O102" s="15">
        <v>97</v>
      </c>
      <c r="P102" s="1">
        <f>_xlfn.FLOOR.MATH(O102/10+0.9)*10</f>
        <v>100</v>
      </c>
      <c r="Q102" s="1">
        <f ca="1">OFFSET(控制台!$I$1099,MATCH(P102,控制台!$H$1099:$H$1118,0)-2,0)*控制台!$K$1092</f>
        <v>2400000</v>
      </c>
      <c r="R102" s="1">
        <f ca="1">OFFSET(控制台!$I$1099,MATCH(P102,控制台!$H$1099:$H$1118,0)-1,0)*控制台!$K$1092</f>
        <v>2640000</v>
      </c>
      <c r="S102" s="16">
        <f ca="1">_xlfn.FLOOR.MATH(Lerp_dyy(Q102,R102,IF(MOD(O102,10)=0,1,MOD(O102,10)/10)),10)</f>
        <v>2568000</v>
      </c>
      <c r="T102" s="17">
        <f ca="1" t="shared" si="6"/>
        <v>76937900</v>
      </c>
      <c r="U102" s="4">
        <f ca="1">IF(AND(O102&lt;&gt;1,MOD(O102,10)=1),OFFSET(控制台!$K$1099,MATCH(P102,控制台!$H$1099:$H$1118,0)-1,0)*控制台!$K$1093,0)</f>
        <v>0</v>
      </c>
      <c r="V102" s="17">
        <f ca="1" t="shared" si="8"/>
        <v>63480</v>
      </c>
      <c r="W102" s="1">
        <f ca="1">IF(_xlfn.CEILING.MATH(O102/10)*10=10,0,IFERROR(OFFSET(控制台!$B$1007,MATCH(_xlfn.CEILING.MATH(O102/10-1)*10,控制台!$D$1007:$D$1080,0)-1,0),0))</f>
        <v>60</v>
      </c>
      <c r="X102" s="1">
        <f ca="1">IFERROR(OFFSET(控制台!$B$1007,MATCH(_xlfn.CEILING.MATH(O102/10)*10,控制台!$D$1007:$D$1080,0)-1,0),1)</f>
        <v>90</v>
      </c>
      <c r="Y102" s="17">
        <f ca="1">Lerp_dyy(W102,X102,IF(MOD(O102,10)=0,1,MOD(O102,10)/10))</f>
        <v>81</v>
      </c>
    </row>
    <row r="103" s="15" customFormat="1" spans="2:25">
      <c r="B103" s="15">
        <v>98</v>
      </c>
      <c r="C103" s="15">
        <f>_xlfn.FLOOR.MATH(B103/10+0.9)*10</f>
        <v>100</v>
      </c>
      <c r="D103" s="15">
        <f ca="1">OFFSET(控制台!$C$1099,MATCH(C103,控制台!$B$1099:$B$1118,0)-2,0)*控制台!$E$1092</f>
        <v>2400000</v>
      </c>
      <c r="E103" s="15">
        <f ca="1">OFFSET(控制台!$C$1099,MATCH(C103,控制台!$B$1099:$B$1118,0)-1,0)*控制台!$E$1092</f>
        <v>2640000</v>
      </c>
      <c r="F103" s="16">
        <f ca="1">_xlfn.FLOOR.MATH(Lerp_dyy(D103,E103,IF(MOD(B103,10)=0,1,MOD(B103,10)/10)),10)</f>
        <v>2592000</v>
      </c>
      <c r="G103" s="17">
        <f ca="1" t="shared" ref="G103:G134" si="9">G102+F103</f>
        <v>79529900</v>
      </c>
      <c r="H103" s="16">
        <f ca="1">IF(AND(B103&lt;&gt;1,MOD(B103,10)=1),OFFSET(控制台!$E$1099,MATCH(C103,控制台!$B$1099:$B$1118,0)-1,0)*控制台!$E$1093,0)</f>
        <v>0</v>
      </c>
      <c r="I103" s="17">
        <f ca="1" t="shared" si="7"/>
        <v>63480</v>
      </c>
      <c r="J103" s="15">
        <f ca="1">IF(_xlfn.CEILING.MATH(B103/10)*10=10,0,IFERROR(OFFSET(控制台!$B$865,MATCH(_xlfn.CEILING.MATH(B103/10-1)*10,控制台!$D$865:$D$936,0)-1,0),0))</f>
        <v>55</v>
      </c>
      <c r="K103" s="15">
        <f ca="1">IFERROR(OFFSET(控制台!$B$865,MATCH(_xlfn.CEILING.MATH(B103/10)*10,控制台!$D$865:$D$936,0)-1,0),1)</f>
        <v>70</v>
      </c>
      <c r="L103" s="17">
        <f ca="1">Lerp_dyy(J103,K103,IF(MOD(B103,10)=0,1,MOD(B103,10)/10))</f>
        <v>67</v>
      </c>
      <c r="O103" s="15">
        <v>98</v>
      </c>
      <c r="P103" s="1">
        <f>_xlfn.FLOOR.MATH(O103/10+0.9)*10</f>
        <v>100</v>
      </c>
      <c r="Q103" s="1">
        <f ca="1">OFFSET(控制台!$I$1099,MATCH(P103,控制台!$H$1099:$H$1118,0)-2,0)*控制台!$K$1092</f>
        <v>2400000</v>
      </c>
      <c r="R103" s="1">
        <f ca="1">OFFSET(控制台!$I$1099,MATCH(P103,控制台!$H$1099:$H$1118,0)-1,0)*控制台!$K$1092</f>
        <v>2640000</v>
      </c>
      <c r="S103" s="16">
        <f ca="1">_xlfn.FLOOR.MATH(Lerp_dyy(Q103,R103,IF(MOD(O103,10)=0,1,MOD(O103,10)/10)),10)</f>
        <v>2592000</v>
      </c>
      <c r="T103" s="17">
        <f ca="1" t="shared" si="6"/>
        <v>79529900</v>
      </c>
      <c r="U103" s="4">
        <f ca="1">IF(AND(O103&lt;&gt;1,MOD(O103,10)=1),OFFSET(控制台!$K$1099,MATCH(P103,控制台!$H$1099:$H$1118,0)-1,0)*控制台!$K$1093,0)</f>
        <v>0</v>
      </c>
      <c r="V103" s="17">
        <f ca="1" t="shared" si="8"/>
        <v>63480</v>
      </c>
      <c r="W103" s="1">
        <f ca="1">IF(_xlfn.CEILING.MATH(O103/10)*10=10,0,IFERROR(OFFSET(控制台!$B$1007,MATCH(_xlfn.CEILING.MATH(O103/10-1)*10,控制台!$D$1007:$D$1080,0)-1,0),0))</f>
        <v>60</v>
      </c>
      <c r="X103" s="1">
        <f ca="1">IFERROR(OFFSET(控制台!$B$1007,MATCH(_xlfn.CEILING.MATH(O103/10)*10,控制台!$D$1007:$D$1080,0)-1,0),1)</f>
        <v>90</v>
      </c>
      <c r="Y103" s="17">
        <f ca="1">Lerp_dyy(W103,X103,IF(MOD(O103,10)=0,1,MOD(O103,10)/10))</f>
        <v>84</v>
      </c>
    </row>
    <row r="104" s="15" customFormat="1" spans="2:25">
      <c r="B104" s="15">
        <v>99</v>
      </c>
      <c r="C104" s="15">
        <f>_xlfn.FLOOR.MATH(B104/10+0.9)*10</f>
        <v>100</v>
      </c>
      <c r="D104" s="15">
        <f ca="1">OFFSET(控制台!$C$1099,MATCH(C104,控制台!$B$1099:$B$1118,0)-2,0)*控制台!$E$1092</f>
        <v>2400000</v>
      </c>
      <c r="E104" s="15">
        <f ca="1">OFFSET(控制台!$C$1099,MATCH(C104,控制台!$B$1099:$B$1118,0)-1,0)*控制台!$E$1092</f>
        <v>2640000</v>
      </c>
      <c r="F104" s="16">
        <f ca="1">_xlfn.FLOOR.MATH(Lerp_dyy(D104,E104,IF(MOD(B104,10)=0,1,MOD(B104,10)/10)),10)</f>
        <v>2616000</v>
      </c>
      <c r="G104" s="17">
        <f ca="1" t="shared" si="9"/>
        <v>82145900</v>
      </c>
      <c r="H104" s="16">
        <f ca="1">IF(AND(B104&lt;&gt;1,MOD(B104,10)=1),OFFSET(控制台!$E$1099,MATCH(C104,控制台!$B$1099:$B$1118,0)-1,0)*控制台!$E$1093,0)</f>
        <v>0</v>
      </c>
      <c r="I104" s="17">
        <f ca="1" t="shared" si="7"/>
        <v>63480</v>
      </c>
      <c r="J104" s="15">
        <f ca="1">IF(_xlfn.CEILING.MATH(B104/10)*10=10,0,IFERROR(OFFSET(控制台!$B$865,MATCH(_xlfn.CEILING.MATH(B104/10-1)*10,控制台!$D$865:$D$936,0)-1,0),0))</f>
        <v>55</v>
      </c>
      <c r="K104" s="15">
        <f ca="1">IFERROR(OFFSET(控制台!$B$865,MATCH(_xlfn.CEILING.MATH(B104/10)*10,控制台!$D$865:$D$936,0)-1,0),1)</f>
        <v>70</v>
      </c>
      <c r="L104" s="17">
        <f ca="1">Lerp_dyy(J104,K104,IF(MOD(B104,10)=0,1,MOD(B104,10)/10))</f>
        <v>68.5</v>
      </c>
      <c r="O104" s="15">
        <v>99</v>
      </c>
      <c r="P104" s="1">
        <f>_xlfn.FLOOR.MATH(O104/10+0.9)*10</f>
        <v>100</v>
      </c>
      <c r="Q104" s="1">
        <f ca="1">OFFSET(控制台!$I$1099,MATCH(P104,控制台!$H$1099:$H$1118,0)-2,0)*控制台!$K$1092</f>
        <v>2400000</v>
      </c>
      <c r="R104" s="1">
        <f ca="1">OFFSET(控制台!$I$1099,MATCH(P104,控制台!$H$1099:$H$1118,0)-1,0)*控制台!$K$1092</f>
        <v>2640000</v>
      </c>
      <c r="S104" s="16">
        <f ca="1">_xlfn.FLOOR.MATH(Lerp_dyy(Q104,R104,IF(MOD(O104,10)=0,1,MOD(O104,10)/10)),10)</f>
        <v>2616000</v>
      </c>
      <c r="T104" s="17">
        <f ca="1" t="shared" si="6"/>
        <v>82145900</v>
      </c>
      <c r="U104" s="4">
        <f ca="1">IF(AND(O104&lt;&gt;1,MOD(O104,10)=1),OFFSET(控制台!$K$1099,MATCH(P104,控制台!$H$1099:$H$1118,0)-1,0)*控制台!$K$1093,0)</f>
        <v>0</v>
      </c>
      <c r="V104" s="17">
        <f ca="1" t="shared" si="8"/>
        <v>63480</v>
      </c>
      <c r="W104" s="1">
        <f ca="1">IF(_xlfn.CEILING.MATH(O104/10)*10=10,0,IFERROR(OFFSET(控制台!$B$1007,MATCH(_xlfn.CEILING.MATH(O104/10-1)*10,控制台!$D$1007:$D$1080,0)-1,0),0))</f>
        <v>60</v>
      </c>
      <c r="X104" s="1">
        <f ca="1">IFERROR(OFFSET(控制台!$B$1007,MATCH(_xlfn.CEILING.MATH(O104/10)*10,控制台!$D$1007:$D$1080,0)-1,0),1)</f>
        <v>90</v>
      </c>
      <c r="Y104" s="17">
        <f ca="1">Lerp_dyy(W104,X104,IF(MOD(O104,10)=0,1,MOD(O104,10)/10))</f>
        <v>87</v>
      </c>
    </row>
    <row r="105" s="15" customFormat="1" spans="2:25">
      <c r="B105" s="15">
        <v>100</v>
      </c>
      <c r="C105" s="15">
        <f>_xlfn.FLOOR.MATH(B105/10+0.9)*10</f>
        <v>100</v>
      </c>
      <c r="D105" s="15">
        <f ca="1">OFFSET(控制台!$C$1099,MATCH(C105,控制台!$B$1099:$B$1118,0)-2,0)*控制台!$E$1092</f>
        <v>2400000</v>
      </c>
      <c r="E105" s="15">
        <f ca="1">OFFSET(控制台!$C$1099,MATCH(C105,控制台!$B$1099:$B$1118,0)-1,0)*控制台!$E$1092</f>
        <v>2640000</v>
      </c>
      <c r="F105" s="16">
        <f ca="1">_xlfn.FLOOR.MATH(Lerp_dyy(D105,E105,IF(MOD(B105,10)=0,1,MOD(B105,10)/10)),10)</f>
        <v>2640000</v>
      </c>
      <c r="G105" s="17">
        <f ca="1" t="shared" si="9"/>
        <v>84785900</v>
      </c>
      <c r="H105" s="16">
        <f ca="1">IF(AND(B105&lt;&gt;1,MOD(B105,10)=1),OFFSET(控制台!$E$1099,MATCH(C105,控制台!$B$1099:$B$1118,0)-1,0)*控制台!$E$1093,0)</f>
        <v>0</v>
      </c>
      <c r="I105" s="17">
        <f ca="1" t="shared" si="7"/>
        <v>63480</v>
      </c>
      <c r="J105" s="15">
        <f ca="1">IF(_xlfn.CEILING.MATH(B105/10)*10=10,0,IFERROR(OFFSET(控制台!$B$865,MATCH(_xlfn.CEILING.MATH(B105/10-1)*10,控制台!$D$865:$D$936,0)-1,0),0))</f>
        <v>55</v>
      </c>
      <c r="K105" s="15">
        <f ca="1">IFERROR(OFFSET(控制台!$B$865,MATCH(_xlfn.CEILING.MATH(B105/10)*10,控制台!$D$865:$D$936,0)-1,0),1)</f>
        <v>70</v>
      </c>
      <c r="L105" s="17">
        <f ca="1">Lerp_dyy(J105,K105,IF(MOD(B105,10)=0,1,MOD(B105,10)/10))</f>
        <v>70</v>
      </c>
      <c r="O105" s="15">
        <v>100</v>
      </c>
      <c r="P105" s="1">
        <f>_xlfn.FLOOR.MATH(O105/10+0.9)*10</f>
        <v>100</v>
      </c>
      <c r="Q105" s="1">
        <f ca="1">OFFSET(控制台!$I$1099,MATCH(P105,控制台!$H$1099:$H$1118,0)-2,0)*控制台!$K$1092</f>
        <v>2400000</v>
      </c>
      <c r="R105" s="1">
        <f ca="1">OFFSET(控制台!$I$1099,MATCH(P105,控制台!$H$1099:$H$1118,0)-1,0)*控制台!$K$1092</f>
        <v>2640000</v>
      </c>
      <c r="S105" s="16">
        <f ca="1">_xlfn.FLOOR.MATH(Lerp_dyy(Q105,R105,IF(MOD(O105,10)=0,1,MOD(O105,10)/10)),10)</f>
        <v>2640000</v>
      </c>
      <c r="T105" s="17">
        <f ca="1" t="shared" si="6"/>
        <v>84785900</v>
      </c>
      <c r="U105" s="4">
        <f ca="1">IF(AND(O105&lt;&gt;1,MOD(O105,10)=1),OFFSET(控制台!$K$1099,MATCH(P105,控制台!$H$1099:$H$1118,0)-1,0)*控制台!$K$1093,0)</f>
        <v>0</v>
      </c>
      <c r="V105" s="17">
        <f ca="1" t="shared" si="8"/>
        <v>63480</v>
      </c>
      <c r="W105" s="1">
        <f ca="1">IF(_xlfn.CEILING.MATH(O105/10)*10=10,0,IFERROR(OFFSET(控制台!$B$1007,MATCH(_xlfn.CEILING.MATH(O105/10-1)*10,控制台!$D$1007:$D$1080,0)-1,0),0))</f>
        <v>60</v>
      </c>
      <c r="X105" s="1">
        <f ca="1">IFERROR(OFFSET(控制台!$B$1007,MATCH(_xlfn.CEILING.MATH(O105/10)*10,控制台!$D$1007:$D$1080,0)-1,0),1)</f>
        <v>90</v>
      </c>
      <c r="Y105" s="17">
        <f ca="1">Lerp_dyy(W105,X105,IF(MOD(O105,10)=0,1,MOD(O105,10)/10))</f>
        <v>90</v>
      </c>
    </row>
    <row r="106" spans="2:25">
      <c r="B106" s="1">
        <v>101</v>
      </c>
      <c r="C106" s="1">
        <f>_xlfn.FLOOR.MATH(B106/10+0.9)*10</f>
        <v>110</v>
      </c>
      <c r="D106" s="1">
        <f ca="1">OFFSET(控制台!$C$1099,MATCH(C106,控制台!$B$1099:$B$1118,0)-2,0)*控制台!$E$1092</f>
        <v>2640000</v>
      </c>
      <c r="E106" s="1">
        <f ca="1">OFFSET(控制台!$C$1099,MATCH(C106,控制台!$B$1099:$B$1118,0)-1,0)*控制台!$E$1092</f>
        <v>4200000</v>
      </c>
      <c r="F106" s="4">
        <f ca="1">_xlfn.FLOOR.MATH(Lerp_dyy(D106,E106,IF(MOD(B106,10)=0,1,MOD(B106,10)/10)),10)</f>
        <v>2796000</v>
      </c>
      <c r="G106" s="5">
        <f ca="1" t="shared" si="9"/>
        <v>87581900</v>
      </c>
      <c r="H106" s="4">
        <f ca="1">IF(AND(B106&lt;&gt;1,MOD(B106,10)=1),OFFSET(控制台!$E$1099,MATCH(C106,控制台!$B$1099:$B$1118,0)-1,0)*控制台!$E$1093,0)</f>
        <v>28000</v>
      </c>
      <c r="I106" s="5">
        <f ca="1" t="shared" si="7"/>
        <v>91480</v>
      </c>
      <c r="J106" s="1">
        <f ca="1">IF(_xlfn.CEILING.MATH(B106/10)*10=10,0,IFERROR(OFFSET(控制台!$B$865,MATCH(_xlfn.CEILING.MATH(B106/10-1)*10,控制台!$D$865:$D$936,0)-1,0),0))</f>
        <v>70</v>
      </c>
      <c r="K106" s="1">
        <f ca="1">IFERROR(OFFSET(控制台!$B$865,MATCH(_xlfn.CEILING.MATH(B106/10)*10,控制台!$D$865:$D$936,0)-1,0),1)</f>
        <v>90</v>
      </c>
      <c r="L106" s="5">
        <f ca="1">Lerp_dyy(J106,K106,IF(MOD(B106,10)=0,1,MOD(B106,10)/10))</f>
        <v>72</v>
      </c>
      <c r="O106" s="1">
        <v>101</v>
      </c>
      <c r="P106" s="1">
        <f>_xlfn.FLOOR.MATH(O106/10+0.9)*10</f>
        <v>110</v>
      </c>
      <c r="Q106" s="1">
        <f ca="1">OFFSET(控制台!$I$1099,MATCH(P106,控制台!$H$1099:$H$1118,0)-2,0)*控制台!$K$1092</f>
        <v>2640000</v>
      </c>
      <c r="R106" s="1">
        <f ca="1">OFFSET(控制台!$I$1099,MATCH(P106,控制台!$H$1099:$H$1118,0)-1,0)*控制台!$K$1092</f>
        <v>4200000</v>
      </c>
      <c r="S106" s="4">
        <f ca="1">_xlfn.FLOOR.MATH(Lerp_dyy(Q106,R106,IF(MOD(O106,10)=0,1,MOD(O106,10)/10)),10)</f>
        <v>2796000</v>
      </c>
      <c r="T106" s="5">
        <f ca="1" t="shared" si="6"/>
        <v>87581900</v>
      </c>
      <c r="U106" s="4">
        <f ca="1">IF(AND(O106&lt;&gt;1,MOD(O106,10)=1),OFFSET(控制台!$K$1099,MATCH(P106,控制台!$H$1099:$H$1118,0)-1,0)*控制台!$K$1093,0)</f>
        <v>28000</v>
      </c>
      <c r="V106" s="5">
        <f ca="1" t="shared" si="8"/>
        <v>91480</v>
      </c>
      <c r="W106" s="1">
        <f ca="1">IF(_xlfn.CEILING.MATH(O106/10)*10=10,0,IFERROR(OFFSET(控制台!$B$1007,MATCH(_xlfn.CEILING.MATH(O106/10-1)*10,控制台!$D$1007:$D$1080,0)-1,0),0))</f>
        <v>90</v>
      </c>
      <c r="X106" s="1">
        <f ca="1">IFERROR(OFFSET(控制台!$B$1007,MATCH(_xlfn.CEILING.MATH(O106/10)*10,控制台!$D$1007:$D$1080,0)-1,0),1)</f>
        <v>120</v>
      </c>
      <c r="Y106" s="5">
        <f ca="1">Lerp_dyy(W106,X106,IF(MOD(O106,10)=0,1,MOD(O106,10)/10))</f>
        <v>93</v>
      </c>
    </row>
    <row r="107" spans="2:25">
      <c r="B107" s="1">
        <v>102</v>
      </c>
      <c r="C107" s="1">
        <f>_xlfn.FLOOR.MATH(B107/10+0.9)*10</f>
        <v>110</v>
      </c>
      <c r="D107" s="1">
        <f ca="1">OFFSET(控制台!$C$1099,MATCH(C107,控制台!$B$1099:$B$1118,0)-2,0)*控制台!$E$1092</f>
        <v>2640000</v>
      </c>
      <c r="E107" s="1">
        <f ca="1">OFFSET(控制台!$C$1099,MATCH(C107,控制台!$B$1099:$B$1118,0)-1,0)*控制台!$E$1092</f>
        <v>4200000</v>
      </c>
      <c r="F107" s="4">
        <f ca="1">_xlfn.FLOOR.MATH(Lerp_dyy(D107,E107,IF(MOD(B107,10)=0,1,MOD(B107,10)/10)),10)</f>
        <v>2952000</v>
      </c>
      <c r="G107" s="5">
        <f ca="1" t="shared" si="9"/>
        <v>90533900</v>
      </c>
      <c r="H107" s="4">
        <f ca="1">IF(AND(B107&lt;&gt;1,MOD(B107,10)=1),OFFSET(控制台!$E$1099,MATCH(C107,控制台!$B$1099:$B$1118,0)-1,0)*控制台!$E$1093,0)</f>
        <v>0</v>
      </c>
      <c r="I107" s="5">
        <f ca="1" t="shared" si="7"/>
        <v>91480</v>
      </c>
      <c r="J107" s="1">
        <f ca="1">IF(_xlfn.CEILING.MATH(B107/10)*10=10,0,IFERROR(OFFSET(控制台!$B$865,MATCH(_xlfn.CEILING.MATH(B107/10-1)*10,控制台!$D$865:$D$936,0)-1,0),0))</f>
        <v>70</v>
      </c>
      <c r="K107" s="1">
        <f ca="1">IFERROR(OFFSET(控制台!$B$865,MATCH(_xlfn.CEILING.MATH(B107/10)*10,控制台!$D$865:$D$936,0)-1,0),1)</f>
        <v>90</v>
      </c>
      <c r="L107" s="5">
        <f ca="1">Lerp_dyy(J107,K107,IF(MOD(B107,10)=0,1,MOD(B107,10)/10))</f>
        <v>74</v>
      </c>
      <c r="O107" s="1">
        <v>102</v>
      </c>
      <c r="P107" s="1">
        <f>_xlfn.FLOOR.MATH(O107/10+0.9)*10</f>
        <v>110</v>
      </c>
      <c r="Q107" s="1">
        <f ca="1">OFFSET(控制台!$I$1099,MATCH(P107,控制台!$H$1099:$H$1118,0)-2,0)*控制台!$K$1092</f>
        <v>2640000</v>
      </c>
      <c r="R107" s="1">
        <f ca="1">OFFSET(控制台!$I$1099,MATCH(P107,控制台!$H$1099:$H$1118,0)-1,0)*控制台!$K$1092</f>
        <v>4200000</v>
      </c>
      <c r="S107" s="4">
        <f ca="1">_xlfn.FLOOR.MATH(Lerp_dyy(Q107,R107,IF(MOD(O107,10)=0,1,MOD(O107,10)/10)),10)</f>
        <v>2952000</v>
      </c>
      <c r="T107" s="5">
        <f ca="1" t="shared" si="6"/>
        <v>90533900</v>
      </c>
      <c r="U107" s="4">
        <f ca="1">IF(AND(O107&lt;&gt;1,MOD(O107,10)=1),OFFSET(控制台!$K$1099,MATCH(P107,控制台!$H$1099:$H$1118,0)-1,0)*控制台!$K$1093,0)</f>
        <v>0</v>
      </c>
      <c r="V107" s="5">
        <f ca="1" t="shared" si="8"/>
        <v>91480</v>
      </c>
      <c r="W107" s="1">
        <f ca="1">IF(_xlfn.CEILING.MATH(O107/10)*10=10,0,IFERROR(OFFSET(控制台!$B$1007,MATCH(_xlfn.CEILING.MATH(O107/10-1)*10,控制台!$D$1007:$D$1080,0)-1,0),0))</f>
        <v>90</v>
      </c>
      <c r="X107" s="1">
        <f ca="1">IFERROR(OFFSET(控制台!$B$1007,MATCH(_xlfn.CEILING.MATH(O107/10)*10,控制台!$D$1007:$D$1080,0)-1,0),1)</f>
        <v>120</v>
      </c>
      <c r="Y107" s="5">
        <f ca="1">Lerp_dyy(W107,X107,IF(MOD(O107,10)=0,1,MOD(O107,10)/10))</f>
        <v>96</v>
      </c>
    </row>
    <row r="108" spans="2:25">
      <c r="B108" s="1">
        <v>103</v>
      </c>
      <c r="C108" s="1">
        <f>_xlfn.FLOOR.MATH(B108/10+0.9)*10</f>
        <v>110</v>
      </c>
      <c r="D108" s="1">
        <f ca="1">OFFSET(控制台!$C$1099,MATCH(C108,控制台!$B$1099:$B$1118,0)-2,0)*控制台!$E$1092</f>
        <v>2640000</v>
      </c>
      <c r="E108" s="1">
        <f ca="1">OFFSET(控制台!$C$1099,MATCH(C108,控制台!$B$1099:$B$1118,0)-1,0)*控制台!$E$1092</f>
        <v>4200000</v>
      </c>
      <c r="F108" s="4">
        <f ca="1">_xlfn.FLOOR.MATH(Lerp_dyy(D108,E108,IF(MOD(B108,10)=0,1,MOD(B108,10)/10)),10)</f>
        <v>3108000</v>
      </c>
      <c r="G108" s="5">
        <f ca="1" t="shared" si="9"/>
        <v>93641900</v>
      </c>
      <c r="H108" s="4">
        <f ca="1">IF(AND(B108&lt;&gt;1,MOD(B108,10)=1),OFFSET(控制台!$E$1099,MATCH(C108,控制台!$B$1099:$B$1118,0)-1,0)*控制台!$E$1093,0)</f>
        <v>0</v>
      </c>
      <c r="I108" s="5">
        <f ca="1" t="shared" si="7"/>
        <v>91480</v>
      </c>
      <c r="J108" s="1">
        <f ca="1">IF(_xlfn.CEILING.MATH(B108/10)*10=10,0,IFERROR(OFFSET(控制台!$B$865,MATCH(_xlfn.CEILING.MATH(B108/10-1)*10,控制台!$D$865:$D$936,0)-1,0),0))</f>
        <v>70</v>
      </c>
      <c r="K108" s="1">
        <f ca="1">IFERROR(OFFSET(控制台!$B$865,MATCH(_xlfn.CEILING.MATH(B108/10)*10,控制台!$D$865:$D$936,0)-1,0),1)</f>
        <v>90</v>
      </c>
      <c r="L108" s="5">
        <f ca="1">Lerp_dyy(J108,K108,IF(MOD(B108,10)=0,1,MOD(B108,10)/10))</f>
        <v>76</v>
      </c>
      <c r="O108" s="1">
        <v>103</v>
      </c>
      <c r="P108" s="1">
        <f>_xlfn.FLOOR.MATH(O108/10+0.9)*10</f>
        <v>110</v>
      </c>
      <c r="Q108" s="1">
        <f ca="1">OFFSET(控制台!$I$1099,MATCH(P108,控制台!$H$1099:$H$1118,0)-2,0)*控制台!$K$1092</f>
        <v>2640000</v>
      </c>
      <c r="R108" s="1">
        <f ca="1">OFFSET(控制台!$I$1099,MATCH(P108,控制台!$H$1099:$H$1118,0)-1,0)*控制台!$K$1092</f>
        <v>4200000</v>
      </c>
      <c r="S108" s="4">
        <f ca="1">_xlfn.FLOOR.MATH(Lerp_dyy(Q108,R108,IF(MOD(O108,10)=0,1,MOD(O108,10)/10)),10)</f>
        <v>3108000</v>
      </c>
      <c r="T108" s="5">
        <f ca="1" t="shared" si="6"/>
        <v>93641900</v>
      </c>
      <c r="U108" s="4">
        <f ca="1">IF(AND(O108&lt;&gt;1,MOD(O108,10)=1),OFFSET(控制台!$K$1099,MATCH(P108,控制台!$H$1099:$H$1118,0)-1,0)*控制台!$K$1093,0)</f>
        <v>0</v>
      </c>
      <c r="V108" s="5">
        <f ca="1" t="shared" si="8"/>
        <v>91480</v>
      </c>
      <c r="W108" s="1">
        <f ca="1">IF(_xlfn.CEILING.MATH(O108/10)*10=10,0,IFERROR(OFFSET(控制台!$B$1007,MATCH(_xlfn.CEILING.MATH(O108/10-1)*10,控制台!$D$1007:$D$1080,0)-1,0),0))</f>
        <v>90</v>
      </c>
      <c r="X108" s="1">
        <f ca="1">IFERROR(OFFSET(控制台!$B$1007,MATCH(_xlfn.CEILING.MATH(O108/10)*10,控制台!$D$1007:$D$1080,0)-1,0),1)</f>
        <v>120</v>
      </c>
      <c r="Y108" s="5">
        <f ca="1">Lerp_dyy(W108,X108,IF(MOD(O108,10)=0,1,MOD(O108,10)/10))</f>
        <v>99</v>
      </c>
    </row>
    <row r="109" spans="2:25">
      <c r="B109" s="1">
        <v>104</v>
      </c>
      <c r="C109" s="1">
        <f>_xlfn.FLOOR.MATH(B109/10+0.9)*10</f>
        <v>110</v>
      </c>
      <c r="D109" s="1">
        <f ca="1">OFFSET(控制台!$C$1099,MATCH(C109,控制台!$B$1099:$B$1118,0)-2,0)*控制台!$E$1092</f>
        <v>2640000</v>
      </c>
      <c r="E109" s="1">
        <f ca="1">OFFSET(控制台!$C$1099,MATCH(C109,控制台!$B$1099:$B$1118,0)-1,0)*控制台!$E$1092</f>
        <v>4200000</v>
      </c>
      <c r="F109" s="4">
        <f ca="1">_xlfn.FLOOR.MATH(Lerp_dyy(D109,E109,IF(MOD(B109,10)=0,1,MOD(B109,10)/10)),10)</f>
        <v>3264000</v>
      </c>
      <c r="G109" s="5">
        <f ca="1" t="shared" si="9"/>
        <v>96905900</v>
      </c>
      <c r="H109" s="4">
        <f ca="1">IF(AND(B109&lt;&gt;1,MOD(B109,10)=1),OFFSET(控制台!$E$1099,MATCH(C109,控制台!$B$1099:$B$1118,0)-1,0)*控制台!$E$1093,0)</f>
        <v>0</v>
      </c>
      <c r="I109" s="5">
        <f ca="1" t="shared" si="7"/>
        <v>91480</v>
      </c>
      <c r="J109" s="1">
        <f ca="1">IF(_xlfn.CEILING.MATH(B109/10)*10=10,0,IFERROR(OFFSET(控制台!$B$865,MATCH(_xlfn.CEILING.MATH(B109/10-1)*10,控制台!$D$865:$D$936,0)-1,0),0))</f>
        <v>70</v>
      </c>
      <c r="K109" s="1">
        <f ca="1">IFERROR(OFFSET(控制台!$B$865,MATCH(_xlfn.CEILING.MATH(B109/10)*10,控制台!$D$865:$D$936,0)-1,0),1)</f>
        <v>90</v>
      </c>
      <c r="L109" s="5">
        <f ca="1">Lerp_dyy(J109,K109,IF(MOD(B109,10)=0,1,MOD(B109,10)/10))</f>
        <v>78</v>
      </c>
      <c r="O109" s="1">
        <v>104</v>
      </c>
      <c r="P109" s="1">
        <f>_xlfn.FLOOR.MATH(O109/10+0.9)*10</f>
        <v>110</v>
      </c>
      <c r="Q109" s="1">
        <f ca="1">OFFSET(控制台!$I$1099,MATCH(P109,控制台!$H$1099:$H$1118,0)-2,0)*控制台!$K$1092</f>
        <v>2640000</v>
      </c>
      <c r="R109" s="1">
        <f ca="1">OFFSET(控制台!$I$1099,MATCH(P109,控制台!$H$1099:$H$1118,0)-1,0)*控制台!$K$1092</f>
        <v>4200000</v>
      </c>
      <c r="S109" s="4">
        <f ca="1">_xlfn.FLOOR.MATH(Lerp_dyy(Q109,R109,IF(MOD(O109,10)=0,1,MOD(O109,10)/10)),10)</f>
        <v>3264000</v>
      </c>
      <c r="T109" s="5">
        <f ca="1" t="shared" si="6"/>
        <v>96905900</v>
      </c>
      <c r="U109" s="4">
        <f ca="1">IF(AND(O109&lt;&gt;1,MOD(O109,10)=1),OFFSET(控制台!$K$1099,MATCH(P109,控制台!$H$1099:$H$1118,0)-1,0)*控制台!$K$1093,0)</f>
        <v>0</v>
      </c>
      <c r="V109" s="5">
        <f ca="1" t="shared" si="8"/>
        <v>91480</v>
      </c>
      <c r="W109" s="1">
        <f ca="1">IF(_xlfn.CEILING.MATH(O109/10)*10=10,0,IFERROR(OFFSET(控制台!$B$1007,MATCH(_xlfn.CEILING.MATH(O109/10-1)*10,控制台!$D$1007:$D$1080,0)-1,0),0))</f>
        <v>90</v>
      </c>
      <c r="X109" s="1">
        <f ca="1">IFERROR(OFFSET(控制台!$B$1007,MATCH(_xlfn.CEILING.MATH(O109/10)*10,控制台!$D$1007:$D$1080,0)-1,0),1)</f>
        <v>120</v>
      </c>
      <c r="Y109" s="5">
        <f ca="1">Lerp_dyy(W109,X109,IF(MOD(O109,10)=0,1,MOD(O109,10)/10))</f>
        <v>102</v>
      </c>
    </row>
    <row r="110" spans="2:25">
      <c r="B110" s="1">
        <v>105</v>
      </c>
      <c r="C110" s="1">
        <f>_xlfn.FLOOR.MATH(B110/10+0.9)*10</f>
        <v>110</v>
      </c>
      <c r="D110" s="1">
        <f ca="1">OFFSET(控制台!$C$1099,MATCH(C110,控制台!$B$1099:$B$1118,0)-2,0)*控制台!$E$1092</f>
        <v>2640000</v>
      </c>
      <c r="E110" s="1">
        <f ca="1">OFFSET(控制台!$C$1099,MATCH(C110,控制台!$B$1099:$B$1118,0)-1,0)*控制台!$E$1092</f>
        <v>4200000</v>
      </c>
      <c r="F110" s="4">
        <f ca="1">_xlfn.FLOOR.MATH(Lerp_dyy(D110,E110,IF(MOD(B110,10)=0,1,MOD(B110,10)/10)),10)</f>
        <v>3420000</v>
      </c>
      <c r="G110" s="5">
        <f ca="1" t="shared" si="9"/>
        <v>100325900</v>
      </c>
      <c r="H110" s="4">
        <f ca="1">IF(AND(B110&lt;&gt;1,MOD(B110,10)=1),OFFSET(控制台!$E$1099,MATCH(C110,控制台!$B$1099:$B$1118,0)-1,0)*控制台!$E$1093,0)</f>
        <v>0</v>
      </c>
      <c r="I110" s="5">
        <f ca="1" t="shared" si="7"/>
        <v>91480</v>
      </c>
      <c r="J110" s="1">
        <f ca="1">IF(_xlfn.CEILING.MATH(B110/10)*10=10,0,IFERROR(OFFSET(控制台!$B$865,MATCH(_xlfn.CEILING.MATH(B110/10-1)*10,控制台!$D$865:$D$936,0)-1,0),0))</f>
        <v>70</v>
      </c>
      <c r="K110" s="1">
        <f ca="1">IFERROR(OFFSET(控制台!$B$865,MATCH(_xlfn.CEILING.MATH(B110/10)*10,控制台!$D$865:$D$936,0)-1,0),1)</f>
        <v>90</v>
      </c>
      <c r="L110" s="5">
        <f ca="1">Lerp_dyy(J110,K110,IF(MOD(B110,10)=0,1,MOD(B110,10)/10))</f>
        <v>80</v>
      </c>
      <c r="O110" s="1">
        <v>105</v>
      </c>
      <c r="P110" s="1">
        <f>_xlfn.FLOOR.MATH(O110/10+0.9)*10</f>
        <v>110</v>
      </c>
      <c r="Q110" s="1">
        <f ca="1">OFFSET(控制台!$I$1099,MATCH(P110,控制台!$H$1099:$H$1118,0)-2,0)*控制台!$K$1092</f>
        <v>2640000</v>
      </c>
      <c r="R110" s="1">
        <f ca="1">OFFSET(控制台!$I$1099,MATCH(P110,控制台!$H$1099:$H$1118,0)-1,0)*控制台!$K$1092</f>
        <v>4200000</v>
      </c>
      <c r="S110" s="4">
        <f ca="1">_xlfn.FLOOR.MATH(Lerp_dyy(Q110,R110,IF(MOD(O110,10)=0,1,MOD(O110,10)/10)),10)</f>
        <v>3420000</v>
      </c>
      <c r="T110" s="5">
        <f ca="1" t="shared" si="6"/>
        <v>100325900</v>
      </c>
      <c r="U110" s="4">
        <f ca="1">IF(AND(O110&lt;&gt;1,MOD(O110,10)=1),OFFSET(控制台!$K$1099,MATCH(P110,控制台!$H$1099:$H$1118,0)-1,0)*控制台!$K$1093,0)</f>
        <v>0</v>
      </c>
      <c r="V110" s="5">
        <f ca="1" t="shared" si="8"/>
        <v>91480</v>
      </c>
      <c r="W110" s="1">
        <f ca="1">IF(_xlfn.CEILING.MATH(O110/10)*10=10,0,IFERROR(OFFSET(控制台!$B$1007,MATCH(_xlfn.CEILING.MATH(O110/10-1)*10,控制台!$D$1007:$D$1080,0)-1,0),0))</f>
        <v>90</v>
      </c>
      <c r="X110" s="1">
        <f ca="1">IFERROR(OFFSET(控制台!$B$1007,MATCH(_xlfn.CEILING.MATH(O110/10)*10,控制台!$D$1007:$D$1080,0)-1,0),1)</f>
        <v>120</v>
      </c>
      <c r="Y110" s="5">
        <f ca="1">Lerp_dyy(W110,X110,IF(MOD(O110,10)=0,1,MOD(O110,10)/10))</f>
        <v>105</v>
      </c>
    </row>
    <row r="111" spans="2:25">
      <c r="B111" s="1">
        <v>106</v>
      </c>
      <c r="C111" s="1">
        <f>_xlfn.FLOOR.MATH(B111/10+0.9)*10</f>
        <v>110</v>
      </c>
      <c r="D111" s="1">
        <f ca="1">OFFSET(控制台!$C$1099,MATCH(C111,控制台!$B$1099:$B$1118,0)-2,0)*控制台!$E$1092</f>
        <v>2640000</v>
      </c>
      <c r="E111" s="1">
        <f ca="1">OFFSET(控制台!$C$1099,MATCH(C111,控制台!$B$1099:$B$1118,0)-1,0)*控制台!$E$1092</f>
        <v>4200000</v>
      </c>
      <c r="F111" s="4">
        <f ca="1">_xlfn.FLOOR.MATH(Lerp_dyy(D111,E111,IF(MOD(B111,10)=0,1,MOD(B111,10)/10)),10)</f>
        <v>3576000</v>
      </c>
      <c r="G111" s="5">
        <f ca="1" t="shared" si="9"/>
        <v>103901900</v>
      </c>
      <c r="H111" s="4">
        <f ca="1">IF(AND(B111&lt;&gt;1,MOD(B111,10)=1),OFFSET(控制台!$E$1099,MATCH(C111,控制台!$B$1099:$B$1118,0)-1,0)*控制台!$E$1093,0)</f>
        <v>0</v>
      </c>
      <c r="I111" s="5">
        <f ca="1" t="shared" si="7"/>
        <v>91480</v>
      </c>
      <c r="J111" s="1">
        <f ca="1">IF(_xlfn.CEILING.MATH(B111/10)*10=10,0,IFERROR(OFFSET(控制台!$B$865,MATCH(_xlfn.CEILING.MATH(B111/10-1)*10,控制台!$D$865:$D$936,0)-1,0),0))</f>
        <v>70</v>
      </c>
      <c r="K111" s="1">
        <f ca="1">IFERROR(OFFSET(控制台!$B$865,MATCH(_xlfn.CEILING.MATH(B111/10)*10,控制台!$D$865:$D$936,0)-1,0),1)</f>
        <v>90</v>
      </c>
      <c r="L111" s="5">
        <f ca="1">Lerp_dyy(J111,K111,IF(MOD(B111,10)=0,1,MOD(B111,10)/10))</f>
        <v>82</v>
      </c>
      <c r="O111" s="1">
        <v>106</v>
      </c>
      <c r="P111" s="1">
        <f>_xlfn.FLOOR.MATH(O111/10+0.9)*10</f>
        <v>110</v>
      </c>
      <c r="Q111" s="1">
        <f ca="1">OFFSET(控制台!$I$1099,MATCH(P111,控制台!$H$1099:$H$1118,0)-2,0)*控制台!$K$1092</f>
        <v>2640000</v>
      </c>
      <c r="R111" s="1">
        <f ca="1">OFFSET(控制台!$I$1099,MATCH(P111,控制台!$H$1099:$H$1118,0)-1,0)*控制台!$K$1092</f>
        <v>4200000</v>
      </c>
      <c r="S111" s="4">
        <f ca="1">_xlfn.FLOOR.MATH(Lerp_dyy(Q111,R111,IF(MOD(O111,10)=0,1,MOD(O111,10)/10)),10)</f>
        <v>3576000</v>
      </c>
      <c r="T111" s="5">
        <f ca="1" t="shared" si="6"/>
        <v>103901900</v>
      </c>
      <c r="U111" s="4">
        <f ca="1">IF(AND(O111&lt;&gt;1,MOD(O111,10)=1),OFFSET(控制台!$K$1099,MATCH(P111,控制台!$H$1099:$H$1118,0)-1,0)*控制台!$K$1093,0)</f>
        <v>0</v>
      </c>
      <c r="V111" s="5">
        <f ca="1" t="shared" si="8"/>
        <v>91480</v>
      </c>
      <c r="W111" s="1">
        <f ca="1">IF(_xlfn.CEILING.MATH(O111/10)*10=10,0,IFERROR(OFFSET(控制台!$B$1007,MATCH(_xlfn.CEILING.MATH(O111/10-1)*10,控制台!$D$1007:$D$1080,0)-1,0),0))</f>
        <v>90</v>
      </c>
      <c r="X111" s="1">
        <f ca="1">IFERROR(OFFSET(控制台!$B$1007,MATCH(_xlfn.CEILING.MATH(O111/10)*10,控制台!$D$1007:$D$1080,0)-1,0),1)</f>
        <v>120</v>
      </c>
      <c r="Y111" s="5">
        <f ca="1">Lerp_dyy(W111,X111,IF(MOD(O111,10)=0,1,MOD(O111,10)/10))</f>
        <v>108</v>
      </c>
    </row>
    <row r="112" spans="2:25">
      <c r="B112" s="1">
        <v>107</v>
      </c>
      <c r="C112" s="1">
        <f>_xlfn.FLOOR.MATH(B112/10+0.9)*10</f>
        <v>110</v>
      </c>
      <c r="D112" s="1">
        <f ca="1">OFFSET(控制台!$C$1099,MATCH(C112,控制台!$B$1099:$B$1118,0)-2,0)*控制台!$E$1092</f>
        <v>2640000</v>
      </c>
      <c r="E112" s="1">
        <f ca="1">OFFSET(控制台!$C$1099,MATCH(C112,控制台!$B$1099:$B$1118,0)-1,0)*控制台!$E$1092</f>
        <v>4200000</v>
      </c>
      <c r="F112" s="4">
        <f ca="1">_xlfn.FLOOR.MATH(Lerp_dyy(D112,E112,IF(MOD(B112,10)=0,1,MOD(B112,10)/10)),10)</f>
        <v>3732000</v>
      </c>
      <c r="G112" s="5">
        <f ca="1" t="shared" si="9"/>
        <v>107633900</v>
      </c>
      <c r="H112" s="4">
        <f ca="1">IF(AND(B112&lt;&gt;1,MOD(B112,10)=1),OFFSET(控制台!$E$1099,MATCH(C112,控制台!$B$1099:$B$1118,0)-1,0)*控制台!$E$1093,0)</f>
        <v>0</v>
      </c>
      <c r="I112" s="5">
        <f ca="1" t="shared" si="7"/>
        <v>91480</v>
      </c>
      <c r="J112" s="1">
        <f ca="1">IF(_xlfn.CEILING.MATH(B112/10)*10=10,0,IFERROR(OFFSET(控制台!$B$865,MATCH(_xlfn.CEILING.MATH(B112/10-1)*10,控制台!$D$865:$D$936,0)-1,0),0))</f>
        <v>70</v>
      </c>
      <c r="K112" s="1">
        <f ca="1">IFERROR(OFFSET(控制台!$B$865,MATCH(_xlfn.CEILING.MATH(B112/10)*10,控制台!$D$865:$D$936,0)-1,0),1)</f>
        <v>90</v>
      </c>
      <c r="L112" s="5">
        <f ca="1">Lerp_dyy(J112,K112,IF(MOD(B112,10)=0,1,MOD(B112,10)/10))</f>
        <v>84</v>
      </c>
      <c r="O112" s="1">
        <v>107</v>
      </c>
      <c r="P112" s="1">
        <f>_xlfn.FLOOR.MATH(O112/10+0.9)*10</f>
        <v>110</v>
      </c>
      <c r="Q112" s="1">
        <f ca="1">OFFSET(控制台!$I$1099,MATCH(P112,控制台!$H$1099:$H$1118,0)-2,0)*控制台!$K$1092</f>
        <v>2640000</v>
      </c>
      <c r="R112" s="1">
        <f ca="1">OFFSET(控制台!$I$1099,MATCH(P112,控制台!$H$1099:$H$1118,0)-1,0)*控制台!$K$1092</f>
        <v>4200000</v>
      </c>
      <c r="S112" s="4">
        <f ca="1">_xlfn.FLOOR.MATH(Lerp_dyy(Q112,R112,IF(MOD(O112,10)=0,1,MOD(O112,10)/10)),10)</f>
        <v>3732000</v>
      </c>
      <c r="T112" s="5">
        <f ca="1" t="shared" si="6"/>
        <v>107633900</v>
      </c>
      <c r="U112" s="4">
        <f ca="1">IF(AND(O112&lt;&gt;1,MOD(O112,10)=1),OFFSET(控制台!$K$1099,MATCH(P112,控制台!$H$1099:$H$1118,0)-1,0)*控制台!$K$1093,0)</f>
        <v>0</v>
      </c>
      <c r="V112" s="5">
        <f ca="1" t="shared" si="8"/>
        <v>91480</v>
      </c>
      <c r="W112" s="1">
        <f ca="1">IF(_xlfn.CEILING.MATH(O112/10)*10=10,0,IFERROR(OFFSET(控制台!$B$1007,MATCH(_xlfn.CEILING.MATH(O112/10-1)*10,控制台!$D$1007:$D$1080,0)-1,0),0))</f>
        <v>90</v>
      </c>
      <c r="X112" s="1">
        <f ca="1">IFERROR(OFFSET(控制台!$B$1007,MATCH(_xlfn.CEILING.MATH(O112/10)*10,控制台!$D$1007:$D$1080,0)-1,0),1)</f>
        <v>120</v>
      </c>
      <c r="Y112" s="5">
        <f ca="1">Lerp_dyy(W112,X112,IF(MOD(O112,10)=0,1,MOD(O112,10)/10))</f>
        <v>111</v>
      </c>
    </row>
    <row r="113" spans="2:25">
      <c r="B113" s="1">
        <v>108</v>
      </c>
      <c r="C113" s="1">
        <f>_xlfn.FLOOR.MATH(B113/10+0.9)*10</f>
        <v>110</v>
      </c>
      <c r="D113" s="1">
        <f ca="1">OFFSET(控制台!$C$1099,MATCH(C113,控制台!$B$1099:$B$1118,0)-2,0)*控制台!$E$1092</f>
        <v>2640000</v>
      </c>
      <c r="E113" s="1">
        <f ca="1">OFFSET(控制台!$C$1099,MATCH(C113,控制台!$B$1099:$B$1118,0)-1,0)*控制台!$E$1092</f>
        <v>4200000</v>
      </c>
      <c r="F113" s="4">
        <f ca="1">_xlfn.FLOOR.MATH(Lerp_dyy(D113,E113,IF(MOD(B113,10)=0,1,MOD(B113,10)/10)),10)</f>
        <v>3888000</v>
      </c>
      <c r="G113" s="5">
        <f ca="1" t="shared" si="9"/>
        <v>111521900</v>
      </c>
      <c r="H113" s="4">
        <f ca="1">IF(AND(B113&lt;&gt;1,MOD(B113,10)=1),OFFSET(控制台!$E$1099,MATCH(C113,控制台!$B$1099:$B$1118,0)-1,0)*控制台!$E$1093,0)</f>
        <v>0</v>
      </c>
      <c r="I113" s="5">
        <f ca="1" t="shared" si="7"/>
        <v>91480</v>
      </c>
      <c r="J113" s="1">
        <f ca="1">IF(_xlfn.CEILING.MATH(B113/10)*10=10,0,IFERROR(OFFSET(控制台!$B$865,MATCH(_xlfn.CEILING.MATH(B113/10-1)*10,控制台!$D$865:$D$936,0)-1,0),0))</f>
        <v>70</v>
      </c>
      <c r="K113" s="1">
        <f ca="1">IFERROR(OFFSET(控制台!$B$865,MATCH(_xlfn.CEILING.MATH(B113/10)*10,控制台!$D$865:$D$936,0)-1,0),1)</f>
        <v>90</v>
      </c>
      <c r="L113" s="5">
        <f ca="1">Lerp_dyy(J113,K113,IF(MOD(B113,10)=0,1,MOD(B113,10)/10))</f>
        <v>86</v>
      </c>
      <c r="O113" s="1">
        <v>108</v>
      </c>
      <c r="P113" s="1">
        <f>_xlfn.FLOOR.MATH(O113/10+0.9)*10</f>
        <v>110</v>
      </c>
      <c r="Q113" s="1">
        <f ca="1">OFFSET(控制台!$I$1099,MATCH(P113,控制台!$H$1099:$H$1118,0)-2,0)*控制台!$K$1092</f>
        <v>2640000</v>
      </c>
      <c r="R113" s="1">
        <f ca="1">OFFSET(控制台!$I$1099,MATCH(P113,控制台!$H$1099:$H$1118,0)-1,0)*控制台!$K$1092</f>
        <v>4200000</v>
      </c>
      <c r="S113" s="4">
        <f ca="1">_xlfn.FLOOR.MATH(Lerp_dyy(Q113,R113,IF(MOD(O113,10)=0,1,MOD(O113,10)/10)),10)</f>
        <v>3888000</v>
      </c>
      <c r="T113" s="5">
        <f ca="1" t="shared" si="6"/>
        <v>111521900</v>
      </c>
      <c r="U113" s="4">
        <f ca="1">IF(AND(O113&lt;&gt;1,MOD(O113,10)=1),OFFSET(控制台!$K$1099,MATCH(P113,控制台!$H$1099:$H$1118,0)-1,0)*控制台!$K$1093,0)</f>
        <v>0</v>
      </c>
      <c r="V113" s="5">
        <f ca="1" t="shared" si="8"/>
        <v>91480</v>
      </c>
      <c r="W113" s="1">
        <f ca="1">IF(_xlfn.CEILING.MATH(O113/10)*10=10,0,IFERROR(OFFSET(控制台!$B$1007,MATCH(_xlfn.CEILING.MATH(O113/10-1)*10,控制台!$D$1007:$D$1080,0)-1,0),0))</f>
        <v>90</v>
      </c>
      <c r="X113" s="1">
        <f ca="1">IFERROR(OFFSET(控制台!$B$1007,MATCH(_xlfn.CEILING.MATH(O113/10)*10,控制台!$D$1007:$D$1080,0)-1,0),1)</f>
        <v>120</v>
      </c>
      <c r="Y113" s="5">
        <f ca="1">Lerp_dyy(W113,X113,IF(MOD(O113,10)=0,1,MOD(O113,10)/10))</f>
        <v>114</v>
      </c>
    </row>
    <row r="114" spans="2:25">
      <c r="B114" s="1">
        <v>109</v>
      </c>
      <c r="C114" s="1">
        <f>_xlfn.FLOOR.MATH(B114/10+0.9)*10</f>
        <v>110</v>
      </c>
      <c r="D114" s="1">
        <f ca="1">OFFSET(控制台!$C$1099,MATCH(C114,控制台!$B$1099:$B$1118,0)-2,0)*控制台!$E$1092</f>
        <v>2640000</v>
      </c>
      <c r="E114" s="1">
        <f ca="1">OFFSET(控制台!$C$1099,MATCH(C114,控制台!$B$1099:$B$1118,0)-1,0)*控制台!$E$1092</f>
        <v>4200000</v>
      </c>
      <c r="F114" s="4">
        <f ca="1">_xlfn.FLOOR.MATH(Lerp_dyy(D114,E114,IF(MOD(B114,10)=0,1,MOD(B114,10)/10)),10)</f>
        <v>4044000</v>
      </c>
      <c r="G114" s="5">
        <f ca="1" t="shared" si="9"/>
        <v>115565900</v>
      </c>
      <c r="H114" s="4">
        <f ca="1">IF(AND(B114&lt;&gt;1,MOD(B114,10)=1),OFFSET(控制台!$E$1099,MATCH(C114,控制台!$B$1099:$B$1118,0)-1,0)*控制台!$E$1093,0)</f>
        <v>0</v>
      </c>
      <c r="I114" s="5">
        <f ca="1" t="shared" si="7"/>
        <v>91480</v>
      </c>
      <c r="J114" s="1">
        <f ca="1">IF(_xlfn.CEILING.MATH(B114/10)*10=10,0,IFERROR(OFFSET(控制台!$B$865,MATCH(_xlfn.CEILING.MATH(B114/10-1)*10,控制台!$D$865:$D$936,0)-1,0),0))</f>
        <v>70</v>
      </c>
      <c r="K114" s="1">
        <f ca="1">IFERROR(OFFSET(控制台!$B$865,MATCH(_xlfn.CEILING.MATH(B114/10)*10,控制台!$D$865:$D$936,0)-1,0),1)</f>
        <v>90</v>
      </c>
      <c r="L114" s="5">
        <f ca="1">Lerp_dyy(J114,K114,IF(MOD(B114,10)=0,1,MOD(B114,10)/10))</f>
        <v>88</v>
      </c>
      <c r="O114" s="1">
        <v>109</v>
      </c>
      <c r="P114" s="1">
        <f>_xlfn.FLOOR.MATH(O114/10+0.9)*10</f>
        <v>110</v>
      </c>
      <c r="Q114" s="1">
        <f ca="1">OFFSET(控制台!$I$1099,MATCH(P114,控制台!$H$1099:$H$1118,0)-2,0)*控制台!$K$1092</f>
        <v>2640000</v>
      </c>
      <c r="R114" s="1">
        <f ca="1">OFFSET(控制台!$I$1099,MATCH(P114,控制台!$H$1099:$H$1118,0)-1,0)*控制台!$K$1092</f>
        <v>4200000</v>
      </c>
      <c r="S114" s="4">
        <f ca="1">_xlfn.FLOOR.MATH(Lerp_dyy(Q114,R114,IF(MOD(O114,10)=0,1,MOD(O114,10)/10)),10)</f>
        <v>4044000</v>
      </c>
      <c r="T114" s="5">
        <f ca="1" t="shared" si="6"/>
        <v>115565900</v>
      </c>
      <c r="U114" s="4">
        <f ca="1">IF(AND(O114&lt;&gt;1,MOD(O114,10)=1),OFFSET(控制台!$K$1099,MATCH(P114,控制台!$H$1099:$H$1118,0)-1,0)*控制台!$K$1093,0)</f>
        <v>0</v>
      </c>
      <c r="V114" s="5">
        <f ca="1" t="shared" si="8"/>
        <v>91480</v>
      </c>
      <c r="W114" s="1">
        <f ca="1">IF(_xlfn.CEILING.MATH(O114/10)*10=10,0,IFERROR(OFFSET(控制台!$B$1007,MATCH(_xlfn.CEILING.MATH(O114/10-1)*10,控制台!$D$1007:$D$1080,0)-1,0),0))</f>
        <v>90</v>
      </c>
      <c r="X114" s="1">
        <f ca="1">IFERROR(OFFSET(控制台!$B$1007,MATCH(_xlfn.CEILING.MATH(O114/10)*10,控制台!$D$1007:$D$1080,0)-1,0),1)</f>
        <v>120</v>
      </c>
      <c r="Y114" s="5">
        <f ca="1">Lerp_dyy(W114,X114,IF(MOD(O114,10)=0,1,MOD(O114,10)/10))</f>
        <v>117</v>
      </c>
    </row>
    <row r="115" spans="2:25">
      <c r="B115" s="1">
        <v>110</v>
      </c>
      <c r="C115" s="1">
        <f>_xlfn.FLOOR.MATH(B115/10+0.9)*10</f>
        <v>110</v>
      </c>
      <c r="D115" s="1">
        <f ca="1">OFFSET(控制台!$C$1099,MATCH(C115,控制台!$B$1099:$B$1118,0)-2,0)*控制台!$E$1092</f>
        <v>2640000</v>
      </c>
      <c r="E115" s="1">
        <f ca="1">OFFSET(控制台!$C$1099,MATCH(C115,控制台!$B$1099:$B$1118,0)-1,0)*控制台!$E$1092</f>
        <v>4200000</v>
      </c>
      <c r="F115" s="4">
        <f ca="1">_xlfn.FLOOR.MATH(Lerp_dyy(D115,E115,IF(MOD(B115,10)=0,1,MOD(B115,10)/10)),10)</f>
        <v>4200000</v>
      </c>
      <c r="G115" s="5">
        <f ca="1" t="shared" si="9"/>
        <v>119765900</v>
      </c>
      <c r="H115" s="4">
        <f ca="1">IF(AND(B115&lt;&gt;1,MOD(B115,10)=1),OFFSET(控制台!$E$1099,MATCH(C115,控制台!$B$1099:$B$1118,0)-1,0)*控制台!$E$1093,0)</f>
        <v>0</v>
      </c>
      <c r="I115" s="5">
        <f ca="1" t="shared" si="7"/>
        <v>91480</v>
      </c>
      <c r="J115" s="1">
        <f ca="1">IF(_xlfn.CEILING.MATH(B115/10)*10=10,0,IFERROR(OFFSET(控制台!$B$865,MATCH(_xlfn.CEILING.MATH(B115/10-1)*10,控制台!$D$865:$D$936,0)-1,0),0))</f>
        <v>70</v>
      </c>
      <c r="K115" s="1">
        <f ca="1">IFERROR(OFFSET(控制台!$B$865,MATCH(_xlfn.CEILING.MATH(B115/10)*10,控制台!$D$865:$D$936,0)-1,0),1)</f>
        <v>90</v>
      </c>
      <c r="L115" s="5">
        <f ca="1">Lerp_dyy(J115,K115,IF(MOD(B115,10)=0,1,MOD(B115,10)/10))</f>
        <v>90</v>
      </c>
      <c r="O115" s="1">
        <v>110</v>
      </c>
      <c r="P115" s="1">
        <f>_xlfn.FLOOR.MATH(O115/10+0.9)*10</f>
        <v>110</v>
      </c>
      <c r="Q115" s="1">
        <f ca="1">OFFSET(控制台!$I$1099,MATCH(P115,控制台!$H$1099:$H$1118,0)-2,0)*控制台!$K$1092</f>
        <v>2640000</v>
      </c>
      <c r="R115" s="1">
        <f ca="1">OFFSET(控制台!$I$1099,MATCH(P115,控制台!$H$1099:$H$1118,0)-1,0)*控制台!$K$1092</f>
        <v>4200000</v>
      </c>
      <c r="S115" s="4">
        <f ca="1">_xlfn.FLOOR.MATH(Lerp_dyy(Q115,R115,IF(MOD(O115,10)=0,1,MOD(O115,10)/10)),10)</f>
        <v>4200000</v>
      </c>
      <c r="T115" s="5">
        <f ca="1" t="shared" si="6"/>
        <v>119765900</v>
      </c>
      <c r="U115" s="4">
        <f ca="1">IF(AND(O115&lt;&gt;1,MOD(O115,10)=1),OFFSET(控制台!$K$1099,MATCH(P115,控制台!$H$1099:$H$1118,0)-1,0)*控制台!$K$1093,0)</f>
        <v>0</v>
      </c>
      <c r="V115" s="5">
        <f ca="1" t="shared" si="8"/>
        <v>91480</v>
      </c>
      <c r="W115" s="1">
        <f ca="1">IF(_xlfn.CEILING.MATH(O115/10)*10=10,0,IFERROR(OFFSET(控制台!$B$1007,MATCH(_xlfn.CEILING.MATH(O115/10-1)*10,控制台!$D$1007:$D$1080,0)-1,0),0))</f>
        <v>90</v>
      </c>
      <c r="X115" s="1">
        <f ca="1">IFERROR(OFFSET(控制台!$B$1007,MATCH(_xlfn.CEILING.MATH(O115/10)*10,控制台!$D$1007:$D$1080,0)-1,0),1)</f>
        <v>120</v>
      </c>
      <c r="Y115" s="5">
        <f ca="1">Lerp_dyy(W115,X115,IF(MOD(O115,10)=0,1,MOD(O115,10)/10))</f>
        <v>120</v>
      </c>
    </row>
    <row r="116" s="15" customFormat="1" spans="2:25">
      <c r="B116" s="15">
        <v>111</v>
      </c>
      <c r="C116" s="15">
        <f>_xlfn.FLOOR.MATH(B116/10+0.9)*10</f>
        <v>120</v>
      </c>
      <c r="D116" s="15">
        <f ca="1">OFFSET(控制台!$C$1099,MATCH(C116,控制台!$B$1099:$B$1118,0)-2,0)*控制台!$E$1092</f>
        <v>4200000</v>
      </c>
      <c r="E116" s="15">
        <f ca="1">OFFSET(控制台!$C$1099,MATCH(C116,控制台!$B$1099:$B$1118,0)-1,0)*控制台!$E$1092</f>
        <v>4800000</v>
      </c>
      <c r="F116" s="16">
        <f ca="1">_xlfn.FLOOR.MATH(Lerp_dyy(D116,E116,IF(MOD(B116,10)=0,1,MOD(B116,10)/10)),10)</f>
        <v>4260000</v>
      </c>
      <c r="G116" s="17">
        <f ca="1" t="shared" si="9"/>
        <v>124025900</v>
      </c>
      <c r="H116" s="16">
        <f ca="1">IF(AND(B116&lt;&gt;1,MOD(B116,10)=1),OFFSET(控制台!$E$1099,MATCH(C116,控制台!$B$1099:$B$1118,0)-1,0)*控制台!$E$1093,0)</f>
        <v>32000</v>
      </c>
      <c r="I116" s="17">
        <f ca="1" t="shared" si="7"/>
        <v>123480</v>
      </c>
      <c r="J116" s="15">
        <f ca="1">IF(_xlfn.CEILING.MATH(B116/10)*10=10,0,IFERROR(OFFSET(控制台!$B$865,MATCH(_xlfn.CEILING.MATH(B116/10-1)*10,控制台!$D$865:$D$936,0)-1,0),0))</f>
        <v>90</v>
      </c>
      <c r="K116" s="15">
        <f ca="1">IFERROR(OFFSET(控制台!$B$865,MATCH(_xlfn.CEILING.MATH(B116/10)*10,控制台!$D$865:$D$936,0)-1,0),1)</f>
        <v>120</v>
      </c>
      <c r="L116" s="17">
        <f ca="1">Lerp_dyy(J116,K116,IF(MOD(B116,10)=0,1,MOD(B116,10)/10))</f>
        <v>93</v>
      </c>
      <c r="O116" s="15">
        <v>111</v>
      </c>
      <c r="P116" s="1">
        <f>_xlfn.FLOOR.MATH(O116/10+0.9)*10</f>
        <v>120</v>
      </c>
      <c r="Q116" s="1">
        <f ca="1">OFFSET(控制台!$I$1099,MATCH(P116,控制台!$H$1099:$H$1118,0)-2,0)*控制台!$K$1092</f>
        <v>4200000</v>
      </c>
      <c r="R116" s="1">
        <f ca="1">OFFSET(控制台!$I$1099,MATCH(P116,控制台!$H$1099:$H$1118,0)-1,0)*控制台!$K$1092</f>
        <v>4800000</v>
      </c>
      <c r="S116" s="16">
        <f ca="1">_xlfn.FLOOR.MATH(Lerp_dyy(Q116,R116,IF(MOD(O116,10)=0,1,MOD(O116,10)/10)),10)</f>
        <v>4260000</v>
      </c>
      <c r="T116" s="17">
        <f ca="1" t="shared" si="6"/>
        <v>124025900</v>
      </c>
      <c r="U116" s="4">
        <f ca="1">IF(AND(O116&lt;&gt;1,MOD(O116,10)=1),OFFSET(控制台!$K$1099,MATCH(P116,控制台!$H$1099:$H$1118,0)-1,0)*控制台!$K$1093,0)</f>
        <v>32000</v>
      </c>
      <c r="V116" s="17">
        <f ca="1" t="shared" si="8"/>
        <v>123480</v>
      </c>
      <c r="W116" s="1">
        <f ca="1">IF(_xlfn.CEILING.MATH(O116/10)*10=10,0,IFERROR(OFFSET(控制台!$B$1007,MATCH(_xlfn.CEILING.MATH(O116/10-1)*10,控制台!$D$1007:$D$1080,0)-1,0),0))</f>
        <v>120</v>
      </c>
      <c r="X116" s="1">
        <f ca="1">IFERROR(OFFSET(控制台!$B$1007,MATCH(_xlfn.CEILING.MATH(O116/10)*10,控制台!$D$1007:$D$1080,0)-1,0),1)</f>
        <v>150</v>
      </c>
      <c r="Y116" s="17">
        <f ca="1">Lerp_dyy(W116,X116,IF(MOD(O116,10)=0,1,MOD(O116,10)/10))</f>
        <v>123</v>
      </c>
    </row>
    <row r="117" s="15" customFormat="1" spans="2:25">
      <c r="B117" s="15">
        <v>112</v>
      </c>
      <c r="C117" s="15">
        <f>_xlfn.FLOOR.MATH(B117/10+0.9)*10</f>
        <v>120</v>
      </c>
      <c r="D117" s="15">
        <f ca="1">OFFSET(控制台!$C$1099,MATCH(C117,控制台!$B$1099:$B$1118,0)-2,0)*控制台!$E$1092</f>
        <v>4200000</v>
      </c>
      <c r="E117" s="15">
        <f ca="1">OFFSET(控制台!$C$1099,MATCH(C117,控制台!$B$1099:$B$1118,0)-1,0)*控制台!$E$1092</f>
        <v>4800000</v>
      </c>
      <c r="F117" s="16">
        <f ca="1">_xlfn.FLOOR.MATH(Lerp_dyy(D117,E117,IF(MOD(B117,10)=0,1,MOD(B117,10)/10)),10)</f>
        <v>4320000</v>
      </c>
      <c r="G117" s="17">
        <f ca="1" t="shared" si="9"/>
        <v>128345900</v>
      </c>
      <c r="H117" s="16">
        <f ca="1">IF(AND(B117&lt;&gt;1,MOD(B117,10)=1),OFFSET(控制台!$E$1099,MATCH(C117,控制台!$B$1099:$B$1118,0)-1,0)*控制台!$E$1093,0)</f>
        <v>0</v>
      </c>
      <c r="I117" s="17">
        <f ca="1" t="shared" si="7"/>
        <v>123480</v>
      </c>
      <c r="J117" s="15">
        <f ca="1">IF(_xlfn.CEILING.MATH(B117/10)*10=10,0,IFERROR(OFFSET(控制台!$B$865,MATCH(_xlfn.CEILING.MATH(B117/10-1)*10,控制台!$D$865:$D$936,0)-1,0),0))</f>
        <v>90</v>
      </c>
      <c r="K117" s="15">
        <f ca="1">IFERROR(OFFSET(控制台!$B$865,MATCH(_xlfn.CEILING.MATH(B117/10)*10,控制台!$D$865:$D$936,0)-1,0),1)</f>
        <v>120</v>
      </c>
      <c r="L117" s="17">
        <f ca="1">Lerp_dyy(J117,K117,IF(MOD(B117,10)=0,1,MOD(B117,10)/10))</f>
        <v>96</v>
      </c>
      <c r="O117" s="15">
        <v>112</v>
      </c>
      <c r="P117" s="1">
        <f>_xlfn.FLOOR.MATH(O117/10+0.9)*10</f>
        <v>120</v>
      </c>
      <c r="Q117" s="1">
        <f ca="1">OFFSET(控制台!$I$1099,MATCH(P117,控制台!$H$1099:$H$1118,0)-2,0)*控制台!$K$1092</f>
        <v>4200000</v>
      </c>
      <c r="R117" s="1">
        <f ca="1">OFFSET(控制台!$I$1099,MATCH(P117,控制台!$H$1099:$H$1118,0)-1,0)*控制台!$K$1092</f>
        <v>4800000</v>
      </c>
      <c r="S117" s="16">
        <f ca="1">_xlfn.FLOOR.MATH(Lerp_dyy(Q117,R117,IF(MOD(O117,10)=0,1,MOD(O117,10)/10)),10)</f>
        <v>4320000</v>
      </c>
      <c r="T117" s="17">
        <f ca="1" t="shared" si="6"/>
        <v>128345900</v>
      </c>
      <c r="U117" s="4">
        <f ca="1">IF(AND(O117&lt;&gt;1,MOD(O117,10)=1),OFFSET(控制台!$K$1099,MATCH(P117,控制台!$H$1099:$H$1118,0)-1,0)*控制台!$K$1093,0)</f>
        <v>0</v>
      </c>
      <c r="V117" s="17">
        <f ca="1" t="shared" si="8"/>
        <v>123480</v>
      </c>
      <c r="W117" s="1">
        <f ca="1">IF(_xlfn.CEILING.MATH(O117/10)*10=10,0,IFERROR(OFFSET(控制台!$B$1007,MATCH(_xlfn.CEILING.MATH(O117/10-1)*10,控制台!$D$1007:$D$1080,0)-1,0),0))</f>
        <v>120</v>
      </c>
      <c r="X117" s="1">
        <f ca="1">IFERROR(OFFSET(控制台!$B$1007,MATCH(_xlfn.CEILING.MATH(O117/10)*10,控制台!$D$1007:$D$1080,0)-1,0),1)</f>
        <v>150</v>
      </c>
      <c r="Y117" s="17">
        <f ca="1">Lerp_dyy(W117,X117,IF(MOD(O117,10)=0,1,MOD(O117,10)/10))</f>
        <v>126</v>
      </c>
    </row>
    <row r="118" s="15" customFormat="1" spans="2:25">
      <c r="B118" s="15">
        <v>113</v>
      </c>
      <c r="C118" s="15">
        <f>_xlfn.FLOOR.MATH(B118/10+0.9)*10</f>
        <v>120</v>
      </c>
      <c r="D118" s="15">
        <f ca="1">OFFSET(控制台!$C$1099,MATCH(C118,控制台!$B$1099:$B$1118,0)-2,0)*控制台!$E$1092</f>
        <v>4200000</v>
      </c>
      <c r="E118" s="15">
        <f ca="1">OFFSET(控制台!$C$1099,MATCH(C118,控制台!$B$1099:$B$1118,0)-1,0)*控制台!$E$1092</f>
        <v>4800000</v>
      </c>
      <c r="F118" s="16">
        <f ca="1">_xlfn.FLOOR.MATH(Lerp_dyy(D118,E118,IF(MOD(B118,10)=0,1,MOD(B118,10)/10)),10)</f>
        <v>4380000</v>
      </c>
      <c r="G118" s="17">
        <f ca="1" t="shared" si="9"/>
        <v>132725900</v>
      </c>
      <c r="H118" s="16">
        <f ca="1">IF(AND(B118&lt;&gt;1,MOD(B118,10)=1),OFFSET(控制台!$E$1099,MATCH(C118,控制台!$B$1099:$B$1118,0)-1,0)*控制台!$E$1093,0)</f>
        <v>0</v>
      </c>
      <c r="I118" s="17">
        <f ca="1" t="shared" si="7"/>
        <v>123480</v>
      </c>
      <c r="J118" s="15">
        <f ca="1">IF(_xlfn.CEILING.MATH(B118/10)*10=10,0,IFERROR(OFFSET(控制台!$B$865,MATCH(_xlfn.CEILING.MATH(B118/10-1)*10,控制台!$D$865:$D$936,0)-1,0),0))</f>
        <v>90</v>
      </c>
      <c r="K118" s="15">
        <f ca="1">IFERROR(OFFSET(控制台!$B$865,MATCH(_xlfn.CEILING.MATH(B118/10)*10,控制台!$D$865:$D$936,0)-1,0),1)</f>
        <v>120</v>
      </c>
      <c r="L118" s="17">
        <f ca="1">Lerp_dyy(J118,K118,IF(MOD(B118,10)=0,1,MOD(B118,10)/10))</f>
        <v>99</v>
      </c>
      <c r="O118" s="15">
        <v>113</v>
      </c>
      <c r="P118" s="1">
        <f>_xlfn.FLOOR.MATH(O118/10+0.9)*10</f>
        <v>120</v>
      </c>
      <c r="Q118" s="1">
        <f ca="1">OFFSET(控制台!$I$1099,MATCH(P118,控制台!$H$1099:$H$1118,0)-2,0)*控制台!$K$1092</f>
        <v>4200000</v>
      </c>
      <c r="R118" s="1">
        <f ca="1">OFFSET(控制台!$I$1099,MATCH(P118,控制台!$H$1099:$H$1118,0)-1,0)*控制台!$K$1092</f>
        <v>4800000</v>
      </c>
      <c r="S118" s="16">
        <f ca="1">_xlfn.FLOOR.MATH(Lerp_dyy(Q118,R118,IF(MOD(O118,10)=0,1,MOD(O118,10)/10)),10)</f>
        <v>4380000</v>
      </c>
      <c r="T118" s="17">
        <f ca="1" t="shared" si="6"/>
        <v>132725900</v>
      </c>
      <c r="U118" s="4">
        <f ca="1">IF(AND(O118&lt;&gt;1,MOD(O118,10)=1),OFFSET(控制台!$K$1099,MATCH(P118,控制台!$H$1099:$H$1118,0)-1,0)*控制台!$K$1093,0)</f>
        <v>0</v>
      </c>
      <c r="V118" s="17">
        <f ca="1" t="shared" si="8"/>
        <v>123480</v>
      </c>
      <c r="W118" s="1">
        <f ca="1">IF(_xlfn.CEILING.MATH(O118/10)*10=10,0,IFERROR(OFFSET(控制台!$B$1007,MATCH(_xlfn.CEILING.MATH(O118/10-1)*10,控制台!$D$1007:$D$1080,0)-1,0),0))</f>
        <v>120</v>
      </c>
      <c r="X118" s="1">
        <f ca="1">IFERROR(OFFSET(控制台!$B$1007,MATCH(_xlfn.CEILING.MATH(O118/10)*10,控制台!$D$1007:$D$1080,0)-1,0),1)</f>
        <v>150</v>
      </c>
      <c r="Y118" s="17">
        <f ca="1">Lerp_dyy(W118,X118,IF(MOD(O118,10)=0,1,MOD(O118,10)/10))</f>
        <v>129</v>
      </c>
    </row>
    <row r="119" s="15" customFormat="1" spans="2:25">
      <c r="B119" s="15">
        <v>114</v>
      </c>
      <c r="C119" s="15">
        <f>_xlfn.FLOOR.MATH(B119/10+0.9)*10</f>
        <v>120</v>
      </c>
      <c r="D119" s="15">
        <f ca="1">OFFSET(控制台!$C$1099,MATCH(C119,控制台!$B$1099:$B$1118,0)-2,0)*控制台!$E$1092</f>
        <v>4200000</v>
      </c>
      <c r="E119" s="15">
        <f ca="1">OFFSET(控制台!$C$1099,MATCH(C119,控制台!$B$1099:$B$1118,0)-1,0)*控制台!$E$1092</f>
        <v>4800000</v>
      </c>
      <c r="F119" s="16">
        <f ca="1">_xlfn.FLOOR.MATH(Lerp_dyy(D119,E119,IF(MOD(B119,10)=0,1,MOD(B119,10)/10)),10)</f>
        <v>4440000</v>
      </c>
      <c r="G119" s="17">
        <f ca="1" t="shared" si="9"/>
        <v>137165900</v>
      </c>
      <c r="H119" s="16">
        <f ca="1">IF(AND(B119&lt;&gt;1,MOD(B119,10)=1),OFFSET(控制台!$E$1099,MATCH(C119,控制台!$B$1099:$B$1118,0)-1,0)*控制台!$E$1093,0)</f>
        <v>0</v>
      </c>
      <c r="I119" s="17">
        <f ca="1" t="shared" si="7"/>
        <v>123480</v>
      </c>
      <c r="J119" s="15">
        <f ca="1">IF(_xlfn.CEILING.MATH(B119/10)*10=10,0,IFERROR(OFFSET(控制台!$B$865,MATCH(_xlfn.CEILING.MATH(B119/10-1)*10,控制台!$D$865:$D$936,0)-1,0),0))</f>
        <v>90</v>
      </c>
      <c r="K119" s="15">
        <f ca="1">IFERROR(OFFSET(控制台!$B$865,MATCH(_xlfn.CEILING.MATH(B119/10)*10,控制台!$D$865:$D$936,0)-1,0),1)</f>
        <v>120</v>
      </c>
      <c r="L119" s="17">
        <f ca="1">Lerp_dyy(J119,K119,IF(MOD(B119,10)=0,1,MOD(B119,10)/10))</f>
        <v>102</v>
      </c>
      <c r="O119" s="15">
        <v>114</v>
      </c>
      <c r="P119" s="1">
        <f>_xlfn.FLOOR.MATH(O119/10+0.9)*10</f>
        <v>120</v>
      </c>
      <c r="Q119" s="1">
        <f ca="1">OFFSET(控制台!$I$1099,MATCH(P119,控制台!$H$1099:$H$1118,0)-2,0)*控制台!$K$1092</f>
        <v>4200000</v>
      </c>
      <c r="R119" s="1">
        <f ca="1">OFFSET(控制台!$I$1099,MATCH(P119,控制台!$H$1099:$H$1118,0)-1,0)*控制台!$K$1092</f>
        <v>4800000</v>
      </c>
      <c r="S119" s="16">
        <f ca="1">_xlfn.FLOOR.MATH(Lerp_dyy(Q119,R119,IF(MOD(O119,10)=0,1,MOD(O119,10)/10)),10)</f>
        <v>4440000</v>
      </c>
      <c r="T119" s="17">
        <f ca="1" t="shared" si="6"/>
        <v>137165900</v>
      </c>
      <c r="U119" s="4">
        <f ca="1">IF(AND(O119&lt;&gt;1,MOD(O119,10)=1),OFFSET(控制台!$K$1099,MATCH(P119,控制台!$H$1099:$H$1118,0)-1,0)*控制台!$K$1093,0)</f>
        <v>0</v>
      </c>
      <c r="V119" s="17">
        <f ca="1" t="shared" si="8"/>
        <v>123480</v>
      </c>
      <c r="W119" s="1">
        <f ca="1">IF(_xlfn.CEILING.MATH(O119/10)*10=10,0,IFERROR(OFFSET(控制台!$B$1007,MATCH(_xlfn.CEILING.MATH(O119/10-1)*10,控制台!$D$1007:$D$1080,0)-1,0),0))</f>
        <v>120</v>
      </c>
      <c r="X119" s="1">
        <f ca="1">IFERROR(OFFSET(控制台!$B$1007,MATCH(_xlfn.CEILING.MATH(O119/10)*10,控制台!$D$1007:$D$1080,0)-1,0),1)</f>
        <v>150</v>
      </c>
      <c r="Y119" s="17">
        <f ca="1">Lerp_dyy(W119,X119,IF(MOD(O119,10)=0,1,MOD(O119,10)/10))</f>
        <v>132</v>
      </c>
    </row>
    <row r="120" s="15" customFormat="1" spans="2:25">
      <c r="B120" s="15">
        <v>115</v>
      </c>
      <c r="C120" s="15">
        <f>_xlfn.FLOOR.MATH(B120/10+0.9)*10</f>
        <v>120</v>
      </c>
      <c r="D120" s="15">
        <f ca="1">OFFSET(控制台!$C$1099,MATCH(C120,控制台!$B$1099:$B$1118,0)-2,0)*控制台!$E$1092</f>
        <v>4200000</v>
      </c>
      <c r="E120" s="15">
        <f ca="1">OFFSET(控制台!$C$1099,MATCH(C120,控制台!$B$1099:$B$1118,0)-1,0)*控制台!$E$1092</f>
        <v>4800000</v>
      </c>
      <c r="F120" s="16">
        <f ca="1">_xlfn.FLOOR.MATH(Lerp_dyy(D120,E120,IF(MOD(B120,10)=0,1,MOD(B120,10)/10)),10)</f>
        <v>4500000</v>
      </c>
      <c r="G120" s="17">
        <f ca="1" t="shared" si="9"/>
        <v>141665900</v>
      </c>
      <c r="H120" s="16">
        <f ca="1">IF(AND(B120&lt;&gt;1,MOD(B120,10)=1),OFFSET(控制台!$E$1099,MATCH(C120,控制台!$B$1099:$B$1118,0)-1,0)*控制台!$E$1093,0)</f>
        <v>0</v>
      </c>
      <c r="I120" s="17">
        <f ca="1" t="shared" si="7"/>
        <v>123480</v>
      </c>
      <c r="J120" s="15">
        <f ca="1">IF(_xlfn.CEILING.MATH(B120/10)*10=10,0,IFERROR(OFFSET(控制台!$B$865,MATCH(_xlfn.CEILING.MATH(B120/10-1)*10,控制台!$D$865:$D$936,0)-1,0),0))</f>
        <v>90</v>
      </c>
      <c r="K120" s="15">
        <f ca="1">IFERROR(OFFSET(控制台!$B$865,MATCH(_xlfn.CEILING.MATH(B120/10)*10,控制台!$D$865:$D$936,0)-1,0),1)</f>
        <v>120</v>
      </c>
      <c r="L120" s="17">
        <f ca="1">Lerp_dyy(J120,K120,IF(MOD(B120,10)=0,1,MOD(B120,10)/10))</f>
        <v>105</v>
      </c>
      <c r="O120" s="15">
        <v>115</v>
      </c>
      <c r="P120" s="1">
        <f>_xlfn.FLOOR.MATH(O120/10+0.9)*10</f>
        <v>120</v>
      </c>
      <c r="Q120" s="1">
        <f ca="1">OFFSET(控制台!$I$1099,MATCH(P120,控制台!$H$1099:$H$1118,0)-2,0)*控制台!$K$1092</f>
        <v>4200000</v>
      </c>
      <c r="R120" s="1">
        <f ca="1">OFFSET(控制台!$I$1099,MATCH(P120,控制台!$H$1099:$H$1118,0)-1,0)*控制台!$K$1092</f>
        <v>4800000</v>
      </c>
      <c r="S120" s="16">
        <f ca="1">_xlfn.FLOOR.MATH(Lerp_dyy(Q120,R120,IF(MOD(O120,10)=0,1,MOD(O120,10)/10)),10)</f>
        <v>4500000</v>
      </c>
      <c r="T120" s="17">
        <f ca="1" t="shared" si="6"/>
        <v>141665900</v>
      </c>
      <c r="U120" s="4">
        <f ca="1">IF(AND(O120&lt;&gt;1,MOD(O120,10)=1),OFFSET(控制台!$K$1099,MATCH(P120,控制台!$H$1099:$H$1118,0)-1,0)*控制台!$K$1093,0)</f>
        <v>0</v>
      </c>
      <c r="V120" s="17">
        <f ca="1" t="shared" si="8"/>
        <v>123480</v>
      </c>
      <c r="W120" s="1">
        <f ca="1">IF(_xlfn.CEILING.MATH(O120/10)*10=10,0,IFERROR(OFFSET(控制台!$B$1007,MATCH(_xlfn.CEILING.MATH(O120/10-1)*10,控制台!$D$1007:$D$1080,0)-1,0),0))</f>
        <v>120</v>
      </c>
      <c r="X120" s="1">
        <f ca="1">IFERROR(OFFSET(控制台!$B$1007,MATCH(_xlfn.CEILING.MATH(O120/10)*10,控制台!$D$1007:$D$1080,0)-1,0),1)</f>
        <v>150</v>
      </c>
      <c r="Y120" s="17">
        <f ca="1">Lerp_dyy(W120,X120,IF(MOD(O120,10)=0,1,MOD(O120,10)/10))</f>
        <v>135</v>
      </c>
    </row>
    <row r="121" s="15" customFormat="1" spans="2:25">
      <c r="B121" s="15">
        <v>116</v>
      </c>
      <c r="C121" s="15">
        <f>_xlfn.FLOOR.MATH(B121/10+0.9)*10</f>
        <v>120</v>
      </c>
      <c r="D121" s="15">
        <f ca="1">OFFSET(控制台!$C$1099,MATCH(C121,控制台!$B$1099:$B$1118,0)-2,0)*控制台!$E$1092</f>
        <v>4200000</v>
      </c>
      <c r="E121" s="15">
        <f ca="1">OFFSET(控制台!$C$1099,MATCH(C121,控制台!$B$1099:$B$1118,0)-1,0)*控制台!$E$1092</f>
        <v>4800000</v>
      </c>
      <c r="F121" s="16">
        <f ca="1">_xlfn.FLOOR.MATH(Lerp_dyy(D121,E121,IF(MOD(B121,10)=0,1,MOD(B121,10)/10)),10)</f>
        <v>4560000</v>
      </c>
      <c r="G121" s="17">
        <f ca="1" t="shared" si="9"/>
        <v>146225900</v>
      </c>
      <c r="H121" s="16">
        <f ca="1">IF(AND(B121&lt;&gt;1,MOD(B121,10)=1),OFFSET(控制台!$E$1099,MATCH(C121,控制台!$B$1099:$B$1118,0)-1,0)*控制台!$E$1093,0)</f>
        <v>0</v>
      </c>
      <c r="I121" s="17">
        <f ca="1" t="shared" si="7"/>
        <v>123480</v>
      </c>
      <c r="J121" s="15">
        <f ca="1">IF(_xlfn.CEILING.MATH(B121/10)*10=10,0,IFERROR(OFFSET(控制台!$B$865,MATCH(_xlfn.CEILING.MATH(B121/10-1)*10,控制台!$D$865:$D$936,0)-1,0),0))</f>
        <v>90</v>
      </c>
      <c r="K121" s="15">
        <f ca="1">IFERROR(OFFSET(控制台!$B$865,MATCH(_xlfn.CEILING.MATH(B121/10)*10,控制台!$D$865:$D$936,0)-1,0),1)</f>
        <v>120</v>
      </c>
      <c r="L121" s="17">
        <f ca="1">Lerp_dyy(J121,K121,IF(MOD(B121,10)=0,1,MOD(B121,10)/10))</f>
        <v>108</v>
      </c>
      <c r="O121" s="15">
        <v>116</v>
      </c>
      <c r="P121" s="1">
        <f>_xlfn.FLOOR.MATH(O121/10+0.9)*10</f>
        <v>120</v>
      </c>
      <c r="Q121" s="1">
        <f ca="1">OFFSET(控制台!$I$1099,MATCH(P121,控制台!$H$1099:$H$1118,0)-2,0)*控制台!$K$1092</f>
        <v>4200000</v>
      </c>
      <c r="R121" s="1">
        <f ca="1">OFFSET(控制台!$I$1099,MATCH(P121,控制台!$H$1099:$H$1118,0)-1,0)*控制台!$K$1092</f>
        <v>4800000</v>
      </c>
      <c r="S121" s="16">
        <f ca="1">_xlfn.FLOOR.MATH(Lerp_dyy(Q121,R121,IF(MOD(O121,10)=0,1,MOD(O121,10)/10)),10)</f>
        <v>4560000</v>
      </c>
      <c r="T121" s="17">
        <f ca="1" t="shared" si="6"/>
        <v>146225900</v>
      </c>
      <c r="U121" s="4">
        <f ca="1">IF(AND(O121&lt;&gt;1,MOD(O121,10)=1),OFFSET(控制台!$K$1099,MATCH(P121,控制台!$H$1099:$H$1118,0)-1,0)*控制台!$K$1093,0)</f>
        <v>0</v>
      </c>
      <c r="V121" s="17">
        <f ca="1" t="shared" si="8"/>
        <v>123480</v>
      </c>
      <c r="W121" s="1">
        <f ca="1">IF(_xlfn.CEILING.MATH(O121/10)*10=10,0,IFERROR(OFFSET(控制台!$B$1007,MATCH(_xlfn.CEILING.MATH(O121/10-1)*10,控制台!$D$1007:$D$1080,0)-1,0),0))</f>
        <v>120</v>
      </c>
      <c r="X121" s="1">
        <f ca="1">IFERROR(OFFSET(控制台!$B$1007,MATCH(_xlfn.CEILING.MATH(O121/10)*10,控制台!$D$1007:$D$1080,0)-1,0),1)</f>
        <v>150</v>
      </c>
      <c r="Y121" s="17">
        <f ca="1">Lerp_dyy(W121,X121,IF(MOD(O121,10)=0,1,MOD(O121,10)/10))</f>
        <v>138</v>
      </c>
    </row>
    <row r="122" s="15" customFormat="1" spans="2:25">
      <c r="B122" s="15">
        <v>117</v>
      </c>
      <c r="C122" s="15">
        <f>_xlfn.FLOOR.MATH(B122/10+0.9)*10</f>
        <v>120</v>
      </c>
      <c r="D122" s="15">
        <f ca="1">OFFSET(控制台!$C$1099,MATCH(C122,控制台!$B$1099:$B$1118,0)-2,0)*控制台!$E$1092</f>
        <v>4200000</v>
      </c>
      <c r="E122" s="15">
        <f ca="1">OFFSET(控制台!$C$1099,MATCH(C122,控制台!$B$1099:$B$1118,0)-1,0)*控制台!$E$1092</f>
        <v>4800000</v>
      </c>
      <c r="F122" s="16">
        <f ca="1">_xlfn.FLOOR.MATH(Lerp_dyy(D122,E122,IF(MOD(B122,10)=0,1,MOD(B122,10)/10)),10)</f>
        <v>4620000</v>
      </c>
      <c r="G122" s="17">
        <f ca="1" t="shared" si="9"/>
        <v>150845900</v>
      </c>
      <c r="H122" s="16">
        <f ca="1">IF(AND(B122&lt;&gt;1,MOD(B122,10)=1),OFFSET(控制台!$E$1099,MATCH(C122,控制台!$B$1099:$B$1118,0)-1,0)*控制台!$E$1093,0)</f>
        <v>0</v>
      </c>
      <c r="I122" s="17">
        <f ca="1" t="shared" si="7"/>
        <v>123480</v>
      </c>
      <c r="J122" s="15">
        <f ca="1">IF(_xlfn.CEILING.MATH(B122/10)*10=10,0,IFERROR(OFFSET(控制台!$B$865,MATCH(_xlfn.CEILING.MATH(B122/10-1)*10,控制台!$D$865:$D$936,0)-1,0),0))</f>
        <v>90</v>
      </c>
      <c r="K122" s="15">
        <f ca="1">IFERROR(OFFSET(控制台!$B$865,MATCH(_xlfn.CEILING.MATH(B122/10)*10,控制台!$D$865:$D$936,0)-1,0),1)</f>
        <v>120</v>
      </c>
      <c r="L122" s="17">
        <f ca="1">Lerp_dyy(J122,K122,IF(MOD(B122,10)=0,1,MOD(B122,10)/10))</f>
        <v>111</v>
      </c>
      <c r="O122" s="15">
        <v>117</v>
      </c>
      <c r="P122" s="1">
        <f>_xlfn.FLOOR.MATH(O122/10+0.9)*10</f>
        <v>120</v>
      </c>
      <c r="Q122" s="1">
        <f ca="1">OFFSET(控制台!$I$1099,MATCH(P122,控制台!$H$1099:$H$1118,0)-2,0)*控制台!$K$1092</f>
        <v>4200000</v>
      </c>
      <c r="R122" s="1">
        <f ca="1">OFFSET(控制台!$I$1099,MATCH(P122,控制台!$H$1099:$H$1118,0)-1,0)*控制台!$K$1092</f>
        <v>4800000</v>
      </c>
      <c r="S122" s="16">
        <f ca="1">_xlfn.FLOOR.MATH(Lerp_dyy(Q122,R122,IF(MOD(O122,10)=0,1,MOD(O122,10)/10)),10)</f>
        <v>4620000</v>
      </c>
      <c r="T122" s="17">
        <f ca="1" t="shared" si="6"/>
        <v>150845900</v>
      </c>
      <c r="U122" s="4">
        <f ca="1">IF(AND(O122&lt;&gt;1,MOD(O122,10)=1),OFFSET(控制台!$K$1099,MATCH(P122,控制台!$H$1099:$H$1118,0)-1,0)*控制台!$K$1093,0)</f>
        <v>0</v>
      </c>
      <c r="V122" s="17">
        <f ca="1" t="shared" si="8"/>
        <v>123480</v>
      </c>
      <c r="W122" s="1">
        <f ca="1">IF(_xlfn.CEILING.MATH(O122/10)*10=10,0,IFERROR(OFFSET(控制台!$B$1007,MATCH(_xlfn.CEILING.MATH(O122/10-1)*10,控制台!$D$1007:$D$1080,0)-1,0),0))</f>
        <v>120</v>
      </c>
      <c r="X122" s="1">
        <f ca="1">IFERROR(OFFSET(控制台!$B$1007,MATCH(_xlfn.CEILING.MATH(O122/10)*10,控制台!$D$1007:$D$1080,0)-1,0),1)</f>
        <v>150</v>
      </c>
      <c r="Y122" s="17">
        <f ca="1">Lerp_dyy(W122,X122,IF(MOD(O122,10)=0,1,MOD(O122,10)/10))</f>
        <v>141</v>
      </c>
    </row>
    <row r="123" s="15" customFormat="1" spans="2:25">
      <c r="B123" s="15">
        <v>118</v>
      </c>
      <c r="C123" s="15">
        <f>_xlfn.FLOOR.MATH(B123/10+0.9)*10</f>
        <v>120</v>
      </c>
      <c r="D123" s="15">
        <f ca="1">OFFSET(控制台!$C$1099,MATCH(C123,控制台!$B$1099:$B$1118,0)-2,0)*控制台!$E$1092</f>
        <v>4200000</v>
      </c>
      <c r="E123" s="15">
        <f ca="1">OFFSET(控制台!$C$1099,MATCH(C123,控制台!$B$1099:$B$1118,0)-1,0)*控制台!$E$1092</f>
        <v>4800000</v>
      </c>
      <c r="F123" s="16">
        <f ca="1">_xlfn.FLOOR.MATH(Lerp_dyy(D123,E123,IF(MOD(B123,10)=0,1,MOD(B123,10)/10)),10)</f>
        <v>4680000</v>
      </c>
      <c r="G123" s="17">
        <f ca="1" t="shared" si="9"/>
        <v>155525900</v>
      </c>
      <c r="H123" s="16">
        <f ca="1">IF(AND(B123&lt;&gt;1,MOD(B123,10)=1),OFFSET(控制台!$E$1099,MATCH(C123,控制台!$B$1099:$B$1118,0)-1,0)*控制台!$E$1093,0)</f>
        <v>0</v>
      </c>
      <c r="I123" s="17">
        <f ca="1" t="shared" si="7"/>
        <v>123480</v>
      </c>
      <c r="J123" s="15">
        <f ca="1">IF(_xlfn.CEILING.MATH(B123/10)*10=10,0,IFERROR(OFFSET(控制台!$B$865,MATCH(_xlfn.CEILING.MATH(B123/10-1)*10,控制台!$D$865:$D$936,0)-1,0),0))</f>
        <v>90</v>
      </c>
      <c r="K123" s="15">
        <f ca="1">IFERROR(OFFSET(控制台!$B$865,MATCH(_xlfn.CEILING.MATH(B123/10)*10,控制台!$D$865:$D$936,0)-1,0),1)</f>
        <v>120</v>
      </c>
      <c r="L123" s="17">
        <f ca="1">Lerp_dyy(J123,K123,IF(MOD(B123,10)=0,1,MOD(B123,10)/10))</f>
        <v>114</v>
      </c>
      <c r="O123" s="15">
        <v>118</v>
      </c>
      <c r="P123" s="1">
        <f>_xlfn.FLOOR.MATH(O123/10+0.9)*10</f>
        <v>120</v>
      </c>
      <c r="Q123" s="1">
        <f ca="1">OFFSET(控制台!$I$1099,MATCH(P123,控制台!$H$1099:$H$1118,0)-2,0)*控制台!$K$1092</f>
        <v>4200000</v>
      </c>
      <c r="R123" s="1">
        <f ca="1">OFFSET(控制台!$I$1099,MATCH(P123,控制台!$H$1099:$H$1118,0)-1,0)*控制台!$K$1092</f>
        <v>4800000</v>
      </c>
      <c r="S123" s="16">
        <f ca="1">_xlfn.FLOOR.MATH(Lerp_dyy(Q123,R123,IF(MOD(O123,10)=0,1,MOD(O123,10)/10)),10)</f>
        <v>4680000</v>
      </c>
      <c r="T123" s="17">
        <f ca="1" t="shared" si="6"/>
        <v>155525900</v>
      </c>
      <c r="U123" s="4">
        <f ca="1">IF(AND(O123&lt;&gt;1,MOD(O123,10)=1),OFFSET(控制台!$K$1099,MATCH(P123,控制台!$H$1099:$H$1118,0)-1,0)*控制台!$K$1093,0)</f>
        <v>0</v>
      </c>
      <c r="V123" s="17">
        <f ca="1" t="shared" si="8"/>
        <v>123480</v>
      </c>
      <c r="W123" s="1">
        <f ca="1">IF(_xlfn.CEILING.MATH(O123/10)*10=10,0,IFERROR(OFFSET(控制台!$B$1007,MATCH(_xlfn.CEILING.MATH(O123/10-1)*10,控制台!$D$1007:$D$1080,0)-1,0),0))</f>
        <v>120</v>
      </c>
      <c r="X123" s="1">
        <f ca="1">IFERROR(OFFSET(控制台!$B$1007,MATCH(_xlfn.CEILING.MATH(O123/10)*10,控制台!$D$1007:$D$1080,0)-1,0),1)</f>
        <v>150</v>
      </c>
      <c r="Y123" s="17">
        <f ca="1">Lerp_dyy(W123,X123,IF(MOD(O123,10)=0,1,MOD(O123,10)/10))</f>
        <v>144</v>
      </c>
    </row>
    <row r="124" s="15" customFormat="1" spans="2:25">
      <c r="B124" s="15">
        <v>119</v>
      </c>
      <c r="C124" s="15">
        <f>_xlfn.FLOOR.MATH(B124/10+0.9)*10</f>
        <v>120</v>
      </c>
      <c r="D124" s="15">
        <f ca="1">OFFSET(控制台!$C$1099,MATCH(C124,控制台!$B$1099:$B$1118,0)-2,0)*控制台!$E$1092</f>
        <v>4200000</v>
      </c>
      <c r="E124" s="15">
        <f ca="1">OFFSET(控制台!$C$1099,MATCH(C124,控制台!$B$1099:$B$1118,0)-1,0)*控制台!$E$1092</f>
        <v>4800000</v>
      </c>
      <c r="F124" s="16">
        <f ca="1">_xlfn.FLOOR.MATH(Lerp_dyy(D124,E124,IF(MOD(B124,10)=0,1,MOD(B124,10)/10)),10)</f>
        <v>4740000</v>
      </c>
      <c r="G124" s="17">
        <f ca="1" t="shared" si="9"/>
        <v>160265900</v>
      </c>
      <c r="H124" s="16">
        <f ca="1">IF(AND(B124&lt;&gt;1,MOD(B124,10)=1),OFFSET(控制台!$E$1099,MATCH(C124,控制台!$B$1099:$B$1118,0)-1,0)*控制台!$E$1093,0)</f>
        <v>0</v>
      </c>
      <c r="I124" s="17">
        <f ca="1" t="shared" si="7"/>
        <v>123480</v>
      </c>
      <c r="J124" s="15">
        <f ca="1">IF(_xlfn.CEILING.MATH(B124/10)*10=10,0,IFERROR(OFFSET(控制台!$B$865,MATCH(_xlfn.CEILING.MATH(B124/10-1)*10,控制台!$D$865:$D$936,0)-1,0),0))</f>
        <v>90</v>
      </c>
      <c r="K124" s="15">
        <f ca="1">IFERROR(OFFSET(控制台!$B$865,MATCH(_xlfn.CEILING.MATH(B124/10)*10,控制台!$D$865:$D$936,0)-1,0),1)</f>
        <v>120</v>
      </c>
      <c r="L124" s="17">
        <f ca="1">Lerp_dyy(J124,K124,IF(MOD(B124,10)=0,1,MOD(B124,10)/10))</f>
        <v>117</v>
      </c>
      <c r="O124" s="15">
        <v>119</v>
      </c>
      <c r="P124" s="1">
        <f>_xlfn.FLOOR.MATH(O124/10+0.9)*10</f>
        <v>120</v>
      </c>
      <c r="Q124" s="1">
        <f ca="1">OFFSET(控制台!$I$1099,MATCH(P124,控制台!$H$1099:$H$1118,0)-2,0)*控制台!$K$1092</f>
        <v>4200000</v>
      </c>
      <c r="R124" s="1">
        <f ca="1">OFFSET(控制台!$I$1099,MATCH(P124,控制台!$H$1099:$H$1118,0)-1,0)*控制台!$K$1092</f>
        <v>4800000</v>
      </c>
      <c r="S124" s="16">
        <f ca="1">_xlfn.FLOOR.MATH(Lerp_dyy(Q124,R124,IF(MOD(O124,10)=0,1,MOD(O124,10)/10)),10)</f>
        <v>4740000</v>
      </c>
      <c r="T124" s="17">
        <f ca="1" t="shared" si="6"/>
        <v>160265900</v>
      </c>
      <c r="U124" s="4">
        <f ca="1">IF(AND(O124&lt;&gt;1,MOD(O124,10)=1),OFFSET(控制台!$K$1099,MATCH(P124,控制台!$H$1099:$H$1118,0)-1,0)*控制台!$K$1093,0)</f>
        <v>0</v>
      </c>
      <c r="V124" s="17">
        <f ca="1" t="shared" si="8"/>
        <v>123480</v>
      </c>
      <c r="W124" s="1">
        <f ca="1">IF(_xlfn.CEILING.MATH(O124/10)*10=10,0,IFERROR(OFFSET(控制台!$B$1007,MATCH(_xlfn.CEILING.MATH(O124/10-1)*10,控制台!$D$1007:$D$1080,0)-1,0),0))</f>
        <v>120</v>
      </c>
      <c r="X124" s="1">
        <f ca="1">IFERROR(OFFSET(控制台!$B$1007,MATCH(_xlfn.CEILING.MATH(O124/10)*10,控制台!$D$1007:$D$1080,0)-1,0),1)</f>
        <v>150</v>
      </c>
      <c r="Y124" s="17">
        <f ca="1">Lerp_dyy(W124,X124,IF(MOD(O124,10)=0,1,MOD(O124,10)/10))</f>
        <v>147</v>
      </c>
    </row>
    <row r="125" s="15" customFormat="1" spans="2:25">
      <c r="B125" s="15">
        <v>120</v>
      </c>
      <c r="C125" s="15">
        <f>_xlfn.FLOOR.MATH(B125/10+0.9)*10</f>
        <v>120</v>
      </c>
      <c r="D125" s="15">
        <f ca="1">OFFSET(控制台!$C$1099,MATCH(C125,控制台!$B$1099:$B$1118,0)-2,0)*控制台!$E$1092</f>
        <v>4200000</v>
      </c>
      <c r="E125" s="15">
        <f ca="1">OFFSET(控制台!$C$1099,MATCH(C125,控制台!$B$1099:$B$1118,0)-1,0)*控制台!$E$1092</f>
        <v>4800000</v>
      </c>
      <c r="F125" s="16">
        <f ca="1">_xlfn.FLOOR.MATH(Lerp_dyy(D125,E125,IF(MOD(B125,10)=0,1,MOD(B125,10)/10)),10)</f>
        <v>4800000</v>
      </c>
      <c r="G125" s="17">
        <f ca="1" t="shared" si="9"/>
        <v>165065900</v>
      </c>
      <c r="H125" s="16">
        <f ca="1">IF(AND(B125&lt;&gt;1,MOD(B125,10)=1),OFFSET(控制台!$E$1099,MATCH(C125,控制台!$B$1099:$B$1118,0)-1,0)*控制台!$E$1093,0)</f>
        <v>0</v>
      </c>
      <c r="I125" s="17">
        <f ca="1" t="shared" si="7"/>
        <v>123480</v>
      </c>
      <c r="J125" s="15">
        <f ca="1">IF(_xlfn.CEILING.MATH(B125/10)*10=10,0,IFERROR(OFFSET(控制台!$B$865,MATCH(_xlfn.CEILING.MATH(B125/10-1)*10,控制台!$D$865:$D$936,0)-1,0),0))</f>
        <v>90</v>
      </c>
      <c r="K125" s="15">
        <f ca="1">IFERROR(OFFSET(控制台!$B$865,MATCH(_xlfn.CEILING.MATH(B125/10)*10,控制台!$D$865:$D$936,0)-1,0),1)</f>
        <v>120</v>
      </c>
      <c r="L125" s="17">
        <f ca="1">Lerp_dyy(J125,K125,IF(MOD(B125,10)=0,1,MOD(B125,10)/10))</f>
        <v>120</v>
      </c>
      <c r="O125" s="15">
        <v>120</v>
      </c>
      <c r="P125" s="1">
        <f>_xlfn.FLOOR.MATH(O125/10+0.9)*10</f>
        <v>120</v>
      </c>
      <c r="Q125" s="1">
        <f ca="1">OFFSET(控制台!$I$1099,MATCH(P125,控制台!$H$1099:$H$1118,0)-2,0)*控制台!$K$1092</f>
        <v>4200000</v>
      </c>
      <c r="R125" s="1">
        <f ca="1">OFFSET(控制台!$I$1099,MATCH(P125,控制台!$H$1099:$H$1118,0)-1,0)*控制台!$K$1092</f>
        <v>4800000</v>
      </c>
      <c r="S125" s="16">
        <f ca="1">_xlfn.FLOOR.MATH(Lerp_dyy(Q125,R125,IF(MOD(O125,10)=0,1,MOD(O125,10)/10)),10)</f>
        <v>4800000</v>
      </c>
      <c r="T125" s="17">
        <f ca="1" t="shared" si="6"/>
        <v>165065900</v>
      </c>
      <c r="U125" s="4">
        <f ca="1">IF(AND(O125&lt;&gt;1,MOD(O125,10)=1),OFFSET(控制台!$K$1099,MATCH(P125,控制台!$H$1099:$H$1118,0)-1,0)*控制台!$K$1093,0)</f>
        <v>0</v>
      </c>
      <c r="V125" s="17">
        <f ca="1" t="shared" si="8"/>
        <v>123480</v>
      </c>
      <c r="W125" s="1">
        <f ca="1">IF(_xlfn.CEILING.MATH(O125/10)*10=10,0,IFERROR(OFFSET(控制台!$B$1007,MATCH(_xlfn.CEILING.MATH(O125/10-1)*10,控制台!$D$1007:$D$1080,0)-1,0),0))</f>
        <v>120</v>
      </c>
      <c r="X125" s="1">
        <f ca="1">IFERROR(OFFSET(控制台!$B$1007,MATCH(_xlfn.CEILING.MATH(O125/10)*10,控制台!$D$1007:$D$1080,0)-1,0),1)</f>
        <v>150</v>
      </c>
      <c r="Y125" s="17">
        <f ca="1">Lerp_dyy(W125,X125,IF(MOD(O125,10)=0,1,MOD(O125,10)/10))</f>
        <v>150</v>
      </c>
    </row>
    <row r="126" spans="1:25">
      <c r="A126" s="1" t="s">
        <v>2858</v>
      </c>
      <c r="B126" s="1">
        <v>121</v>
      </c>
      <c r="C126" s="1">
        <f>_xlfn.FLOOR.MATH(B126/10+0.9)*10</f>
        <v>130</v>
      </c>
      <c r="D126" s="1">
        <f ca="1">OFFSET(控制台!$C$1099,MATCH(C126,控制台!$B$1099:$B$1118,0)-2,0)*控制台!$E$1092</f>
        <v>4800000</v>
      </c>
      <c r="E126" s="1">
        <f ca="1">OFFSET(控制台!$C$1099,MATCH(C126,控制台!$B$1099:$B$1118,0)-1,0)*控制台!$E$1092</f>
        <v>5040000</v>
      </c>
      <c r="F126" s="4">
        <f ca="1">_xlfn.FLOOR.MATH(Lerp_dyy(D126,E126,IF(MOD(B126,10)=0,1,MOD(B126,10)/10)),10)</f>
        <v>4824000</v>
      </c>
      <c r="G126" s="5">
        <f ca="1" t="shared" si="9"/>
        <v>169889900</v>
      </c>
      <c r="H126" s="4">
        <f ca="1">IF(AND(B126&lt;&gt;1,MOD(B126,10)=1),OFFSET(控制台!$E$1099,MATCH(C126,控制台!$B$1099:$B$1118,0)-1,0)*控制台!$E$1093,0)</f>
        <v>33600</v>
      </c>
      <c r="I126" s="5">
        <f ca="1" t="shared" si="7"/>
        <v>157080</v>
      </c>
      <c r="J126" s="1">
        <f ca="1">IF(_xlfn.CEILING.MATH(B126/10)*10=10,0,IFERROR(OFFSET(控制台!$B$865,MATCH(_xlfn.CEILING.MATH(B126/10-1)*10,控制台!$D$865:$D$936,0)-1,0),0))</f>
        <v>120</v>
      </c>
      <c r="K126" s="1">
        <f ca="1">IFERROR(OFFSET(控制台!$B$865,MATCH(_xlfn.CEILING.MATH(B126/10)*10,控制台!$D$865:$D$936,0)-1,0),1)</f>
        <v>150</v>
      </c>
      <c r="L126" s="5">
        <f ca="1">Lerp_dyy(J126,K126,IF(MOD(B126,10)=0,1,MOD(B126,10)/10))</f>
        <v>123</v>
      </c>
      <c r="N126" s="1" t="s">
        <v>2858</v>
      </c>
      <c r="O126" s="1">
        <v>121</v>
      </c>
      <c r="P126" s="1">
        <f>_xlfn.FLOOR.MATH(O126/10+0.9)*10</f>
        <v>130</v>
      </c>
      <c r="Q126" s="1">
        <f ca="1">OFFSET(控制台!$I$1099,MATCH(P126,控制台!$H$1099:$H$1118,0)-2,0)*控制台!$K$1092</f>
        <v>4800000</v>
      </c>
      <c r="R126" s="1">
        <f ca="1">OFFSET(控制台!$I$1099,MATCH(P126,控制台!$H$1099:$H$1118,0)-1,0)*控制台!$K$1092</f>
        <v>5040000</v>
      </c>
      <c r="S126" s="4">
        <f ca="1">_xlfn.FLOOR.MATH(Lerp_dyy(Q126,R126,IF(MOD(O126,10)=0,1,MOD(O126,10)/10)),10)</f>
        <v>4824000</v>
      </c>
      <c r="T126" s="5">
        <f ca="1" t="shared" si="6"/>
        <v>169889900</v>
      </c>
      <c r="U126" s="4">
        <f ca="1">IF(AND(O126&lt;&gt;1,MOD(O126,10)=1),OFFSET(控制台!$K$1099,MATCH(P126,控制台!$H$1099:$H$1118,0)-1,0)*控制台!$K$1093,0)</f>
        <v>33600</v>
      </c>
      <c r="V126" s="5">
        <f ca="1" t="shared" si="8"/>
        <v>157080</v>
      </c>
      <c r="W126" s="1">
        <f ca="1">IF(_xlfn.CEILING.MATH(O126/10)*10=10,0,IFERROR(OFFSET(控制台!$B$1007,MATCH(_xlfn.CEILING.MATH(O126/10-1)*10,控制台!$D$1007:$D$1080,0)-1,0),0))</f>
        <v>150</v>
      </c>
      <c r="X126" s="1">
        <f ca="1">IFERROR(OFFSET(控制台!$B$1007,MATCH(_xlfn.CEILING.MATH(O126/10)*10,控制台!$D$1007:$D$1080,0)-1,0),1)</f>
        <v>180</v>
      </c>
      <c r="Y126" s="5">
        <f ca="1">Lerp_dyy(W126,X126,IF(MOD(O126,10)=0,1,MOD(O126,10)/10))</f>
        <v>153</v>
      </c>
    </row>
    <row r="127" spans="2:25">
      <c r="B127" s="1">
        <v>122</v>
      </c>
      <c r="C127" s="1">
        <f>_xlfn.FLOOR.MATH(B127/10+0.9)*10</f>
        <v>130</v>
      </c>
      <c r="D127" s="1">
        <f ca="1">OFFSET(控制台!$C$1099,MATCH(C127,控制台!$B$1099:$B$1118,0)-2,0)*控制台!$E$1092</f>
        <v>4800000</v>
      </c>
      <c r="E127" s="1">
        <f ca="1">OFFSET(控制台!$C$1099,MATCH(C127,控制台!$B$1099:$B$1118,0)-1,0)*控制台!$E$1092</f>
        <v>5040000</v>
      </c>
      <c r="F127" s="4">
        <f ca="1">_xlfn.FLOOR.MATH(Lerp_dyy(D127,E127,IF(MOD(B127,10)=0,1,MOD(B127,10)/10)),10)</f>
        <v>4848000</v>
      </c>
      <c r="G127" s="5">
        <f ca="1" t="shared" si="9"/>
        <v>174737900</v>
      </c>
      <c r="H127" s="4">
        <f ca="1">IF(AND(B127&lt;&gt;1,MOD(B127,10)=1),OFFSET(控制台!$E$1099,MATCH(C127,控制台!$B$1099:$B$1118,0)-1,0)*控制台!$E$1093,0)</f>
        <v>0</v>
      </c>
      <c r="I127" s="5">
        <f ca="1" t="shared" si="7"/>
        <v>157080</v>
      </c>
      <c r="J127" s="1">
        <f ca="1">IF(_xlfn.CEILING.MATH(B127/10)*10=10,0,IFERROR(OFFSET(控制台!$B$865,MATCH(_xlfn.CEILING.MATH(B127/10-1)*10,控制台!$D$865:$D$936,0)-1,0),0))</f>
        <v>120</v>
      </c>
      <c r="K127" s="1">
        <f ca="1">IFERROR(OFFSET(控制台!$B$865,MATCH(_xlfn.CEILING.MATH(B127/10)*10,控制台!$D$865:$D$936,0)-1,0),1)</f>
        <v>150</v>
      </c>
      <c r="L127" s="5">
        <f ca="1">Lerp_dyy(J127,K127,IF(MOD(B127,10)=0,1,MOD(B127,10)/10))</f>
        <v>126</v>
      </c>
      <c r="O127" s="1">
        <v>122</v>
      </c>
      <c r="P127" s="1">
        <f>_xlfn.FLOOR.MATH(O127/10+0.9)*10</f>
        <v>130</v>
      </c>
      <c r="Q127" s="1">
        <f ca="1">OFFSET(控制台!$I$1099,MATCH(P127,控制台!$H$1099:$H$1118,0)-2,0)*控制台!$K$1092</f>
        <v>4800000</v>
      </c>
      <c r="R127" s="1">
        <f ca="1">OFFSET(控制台!$I$1099,MATCH(P127,控制台!$H$1099:$H$1118,0)-1,0)*控制台!$K$1092</f>
        <v>5040000</v>
      </c>
      <c r="S127" s="4">
        <f ca="1">_xlfn.FLOOR.MATH(Lerp_dyy(Q127,R127,IF(MOD(O127,10)=0,1,MOD(O127,10)/10)),10)</f>
        <v>4848000</v>
      </c>
      <c r="T127" s="5">
        <f ca="1" t="shared" si="6"/>
        <v>174737900</v>
      </c>
      <c r="U127" s="4">
        <f ca="1">IF(AND(O127&lt;&gt;1,MOD(O127,10)=1),OFFSET(控制台!$K$1099,MATCH(P127,控制台!$H$1099:$H$1118,0)-1,0)*控制台!$K$1093,0)</f>
        <v>0</v>
      </c>
      <c r="V127" s="5">
        <f ca="1" t="shared" si="8"/>
        <v>157080</v>
      </c>
      <c r="W127" s="1">
        <f ca="1">IF(_xlfn.CEILING.MATH(O127/10)*10=10,0,IFERROR(OFFSET(控制台!$B$1007,MATCH(_xlfn.CEILING.MATH(O127/10-1)*10,控制台!$D$1007:$D$1080,0)-1,0),0))</f>
        <v>150</v>
      </c>
      <c r="X127" s="1">
        <f ca="1">IFERROR(OFFSET(控制台!$B$1007,MATCH(_xlfn.CEILING.MATH(O127/10)*10,控制台!$D$1007:$D$1080,0)-1,0),1)</f>
        <v>180</v>
      </c>
      <c r="Y127" s="5">
        <f ca="1">Lerp_dyy(W127,X127,IF(MOD(O127,10)=0,1,MOD(O127,10)/10))</f>
        <v>156</v>
      </c>
    </row>
    <row r="128" spans="2:25">
      <c r="B128" s="1">
        <v>123</v>
      </c>
      <c r="C128" s="1">
        <f>_xlfn.FLOOR.MATH(B128/10+0.9)*10</f>
        <v>130</v>
      </c>
      <c r="D128" s="1">
        <f ca="1">OFFSET(控制台!$C$1099,MATCH(C128,控制台!$B$1099:$B$1118,0)-2,0)*控制台!$E$1092</f>
        <v>4800000</v>
      </c>
      <c r="E128" s="1">
        <f ca="1">OFFSET(控制台!$C$1099,MATCH(C128,控制台!$B$1099:$B$1118,0)-1,0)*控制台!$E$1092</f>
        <v>5040000</v>
      </c>
      <c r="F128" s="4">
        <f ca="1">_xlfn.FLOOR.MATH(Lerp_dyy(D128,E128,IF(MOD(B128,10)=0,1,MOD(B128,10)/10)),10)</f>
        <v>4872000</v>
      </c>
      <c r="G128" s="5">
        <f ca="1" t="shared" si="9"/>
        <v>179609900</v>
      </c>
      <c r="H128" s="4">
        <f ca="1">IF(AND(B128&lt;&gt;1,MOD(B128,10)=1),OFFSET(控制台!$E$1099,MATCH(C128,控制台!$B$1099:$B$1118,0)-1,0)*控制台!$E$1093,0)</f>
        <v>0</v>
      </c>
      <c r="I128" s="5">
        <f ca="1" t="shared" si="7"/>
        <v>157080</v>
      </c>
      <c r="J128" s="1">
        <f ca="1">IF(_xlfn.CEILING.MATH(B128/10)*10=10,0,IFERROR(OFFSET(控制台!$B$865,MATCH(_xlfn.CEILING.MATH(B128/10-1)*10,控制台!$D$865:$D$936,0)-1,0),0))</f>
        <v>120</v>
      </c>
      <c r="K128" s="1">
        <f ca="1">IFERROR(OFFSET(控制台!$B$865,MATCH(_xlfn.CEILING.MATH(B128/10)*10,控制台!$D$865:$D$936,0)-1,0),1)</f>
        <v>150</v>
      </c>
      <c r="L128" s="5">
        <f ca="1">Lerp_dyy(J128,K128,IF(MOD(B128,10)=0,1,MOD(B128,10)/10))</f>
        <v>129</v>
      </c>
      <c r="O128" s="1">
        <v>123</v>
      </c>
      <c r="P128" s="1">
        <f>_xlfn.FLOOR.MATH(O128/10+0.9)*10</f>
        <v>130</v>
      </c>
      <c r="Q128" s="1">
        <f ca="1">OFFSET(控制台!$I$1099,MATCH(P128,控制台!$H$1099:$H$1118,0)-2,0)*控制台!$K$1092</f>
        <v>4800000</v>
      </c>
      <c r="R128" s="1">
        <f ca="1">OFFSET(控制台!$I$1099,MATCH(P128,控制台!$H$1099:$H$1118,0)-1,0)*控制台!$K$1092</f>
        <v>5040000</v>
      </c>
      <c r="S128" s="4">
        <f ca="1">_xlfn.FLOOR.MATH(Lerp_dyy(Q128,R128,IF(MOD(O128,10)=0,1,MOD(O128,10)/10)),10)</f>
        <v>4872000</v>
      </c>
      <c r="T128" s="5">
        <f ca="1" t="shared" si="6"/>
        <v>179609900</v>
      </c>
      <c r="U128" s="4">
        <f ca="1">IF(AND(O128&lt;&gt;1,MOD(O128,10)=1),OFFSET(控制台!$K$1099,MATCH(P128,控制台!$H$1099:$H$1118,0)-1,0)*控制台!$K$1093,0)</f>
        <v>0</v>
      </c>
      <c r="V128" s="5">
        <f ca="1" t="shared" si="8"/>
        <v>157080</v>
      </c>
      <c r="W128" s="1">
        <f ca="1">IF(_xlfn.CEILING.MATH(O128/10)*10=10,0,IFERROR(OFFSET(控制台!$B$1007,MATCH(_xlfn.CEILING.MATH(O128/10-1)*10,控制台!$D$1007:$D$1080,0)-1,0),0))</f>
        <v>150</v>
      </c>
      <c r="X128" s="1">
        <f ca="1">IFERROR(OFFSET(控制台!$B$1007,MATCH(_xlfn.CEILING.MATH(O128/10)*10,控制台!$D$1007:$D$1080,0)-1,0),1)</f>
        <v>180</v>
      </c>
      <c r="Y128" s="5">
        <f ca="1">Lerp_dyy(W128,X128,IF(MOD(O128,10)=0,1,MOD(O128,10)/10))</f>
        <v>159</v>
      </c>
    </row>
    <row r="129" spans="2:25">
      <c r="B129" s="1">
        <v>124</v>
      </c>
      <c r="C129" s="1">
        <f>_xlfn.FLOOR.MATH(B129/10+0.9)*10</f>
        <v>130</v>
      </c>
      <c r="D129" s="1">
        <f ca="1">OFFSET(控制台!$C$1099,MATCH(C129,控制台!$B$1099:$B$1118,0)-2,0)*控制台!$E$1092</f>
        <v>4800000</v>
      </c>
      <c r="E129" s="1">
        <f ca="1">OFFSET(控制台!$C$1099,MATCH(C129,控制台!$B$1099:$B$1118,0)-1,0)*控制台!$E$1092</f>
        <v>5040000</v>
      </c>
      <c r="F129" s="4">
        <f ca="1">_xlfn.FLOOR.MATH(Lerp_dyy(D129,E129,IF(MOD(B129,10)=0,1,MOD(B129,10)/10)),10)</f>
        <v>4896000</v>
      </c>
      <c r="G129" s="5">
        <f ca="1" t="shared" si="9"/>
        <v>184505900</v>
      </c>
      <c r="H129" s="4">
        <f ca="1">IF(AND(B129&lt;&gt;1,MOD(B129,10)=1),OFFSET(控制台!$E$1099,MATCH(C129,控制台!$B$1099:$B$1118,0)-1,0)*控制台!$E$1093,0)</f>
        <v>0</v>
      </c>
      <c r="I129" s="5">
        <f ca="1" t="shared" si="7"/>
        <v>157080</v>
      </c>
      <c r="J129" s="1">
        <f ca="1">IF(_xlfn.CEILING.MATH(B129/10)*10=10,0,IFERROR(OFFSET(控制台!$B$865,MATCH(_xlfn.CEILING.MATH(B129/10-1)*10,控制台!$D$865:$D$936,0)-1,0),0))</f>
        <v>120</v>
      </c>
      <c r="K129" s="1">
        <f ca="1">IFERROR(OFFSET(控制台!$B$865,MATCH(_xlfn.CEILING.MATH(B129/10)*10,控制台!$D$865:$D$936,0)-1,0),1)</f>
        <v>150</v>
      </c>
      <c r="L129" s="5">
        <f ca="1">Lerp_dyy(J129,K129,IF(MOD(B129,10)=0,1,MOD(B129,10)/10))</f>
        <v>132</v>
      </c>
      <c r="O129" s="1">
        <v>124</v>
      </c>
      <c r="P129" s="1">
        <f>_xlfn.FLOOR.MATH(O129/10+0.9)*10</f>
        <v>130</v>
      </c>
      <c r="Q129" s="1">
        <f ca="1">OFFSET(控制台!$I$1099,MATCH(P129,控制台!$H$1099:$H$1118,0)-2,0)*控制台!$K$1092</f>
        <v>4800000</v>
      </c>
      <c r="R129" s="1">
        <f ca="1">OFFSET(控制台!$I$1099,MATCH(P129,控制台!$H$1099:$H$1118,0)-1,0)*控制台!$K$1092</f>
        <v>5040000</v>
      </c>
      <c r="S129" s="4">
        <f ca="1">_xlfn.FLOOR.MATH(Lerp_dyy(Q129,R129,IF(MOD(O129,10)=0,1,MOD(O129,10)/10)),10)</f>
        <v>4896000</v>
      </c>
      <c r="T129" s="5">
        <f ca="1" t="shared" si="6"/>
        <v>184505900</v>
      </c>
      <c r="U129" s="4">
        <f ca="1">IF(AND(O129&lt;&gt;1,MOD(O129,10)=1),OFFSET(控制台!$K$1099,MATCH(P129,控制台!$H$1099:$H$1118,0)-1,0)*控制台!$K$1093,0)</f>
        <v>0</v>
      </c>
      <c r="V129" s="5">
        <f ca="1" t="shared" si="8"/>
        <v>157080</v>
      </c>
      <c r="W129" s="1">
        <f ca="1">IF(_xlfn.CEILING.MATH(O129/10)*10=10,0,IFERROR(OFFSET(控制台!$B$1007,MATCH(_xlfn.CEILING.MATH(O129/10-1)*10,控制台!$D$1007:$D$1080,0)-1,0),0))</f>
        <v>150</v>
      </c>
      <c r="X129" s="1">
        <f ca="1">IFERROR(OFFSET(控制台!$B$1007,MATCH(_xlfn.CEILING.MATH(O129/10)*10,控制台!$D$1007:$D$1080,0)-1,0),1)</f>
        <v>180</v>
      </c>
      <c r="Y129" s="5">
        <f ca="1">Lerp_dyy(W129,X129,IF(MOD(O129,10)=0,1,MOD(O129,10)/10))</f>
        <v>162</v>
      </c>
    </row>
    <row r="130" spans="2:25">
      <c r="B130" s="1">
        <v>125</v>
      </c>
      <c r="C130" s="1">
        <f>_xlfn.FLOOR.MATH(B130/10+0.9)*10</f>
        <v>130</v>
      </c>
      <c r="D130" s="1">
        <f ca="1">OFFSET(控制台!$C$1099,MATCH(C130,控制台!$B$1099:$B$1118,0)-2,0)*控制台!$E$1092</f>
        <v>4800000</v>
      </c>
      <c r="E130" s="1">
        <f ca="1">OFFSET(控制台!$C$1099,MATCH(C130,控制台!$B$1099:$B$1118,0)-1,0)*控制台!$E$1092</f>
        <v>5040000</v>
      </c>
      <c r="F130" s="4">
        <f ca="1">_xlfn.FLOOR.MATH(Lerp_dyy(D130,E130,IF(MOD(B130,10)=0,1,MOD(B130,10)/10)),10)</f>
        <v>4920000</v>
      </c>
      <c r="G130" s="5">
        <f ca="1" t="shared" si="9"/>
        <v>189425900</v>
      </c>
      <c r="H130" s="4">
        <f ca="1">IF(AND(B130&lt;&gt;1,MOD(B130,10)=1),OFFSET(控制台!$E$1099,MATCH(C130,控制台!$B$1099:$B$1118,0)-1,0)*控制台!$E$1093,0)</f>
        <v>0</v>
      </c>
      <c r="I130" s="5">
        <f ca="1" t="shared" si="7"/>
        <v>157080</v>
      </c>
      <c r="J130" s="1">
        <f ca="1">IF(_xlfn.CEILING.MATH(B130/10)*10=10,0,IFERROR(OFFSET(控制台!$B$865,MATCH(_xlfn.CEILING.MATH(B130/10-1)*10,控制台!$D$865:$D$936,0)-1,0),0))</f>
        <v>120</v>
      </c>
      <c r="K130" s="1">
        <f ca="1">IFERROR(OFFSET(控制台!$B$865,MATCH(_xlfn.CEILING.MATH(B130/10)*10,控制台!$D$865:$D$936,0)-1,0),1)</f>
        <v>150</v>
      </c>
      <c r="L130" s="5">
        <f ca="1">Lerp_dyy(J130,K130,IF(MOD(B130,10)=0,1,MOD(B130,10)/10))</f>
        <v>135</v>
      </c>
      <c r="O130" s="1">
        <v>125</v>
      </c>
      <c r="P130" s="1">
        <f>_xlfn.FLOOR.MATH(O130/10+0.9)*10</f>
        <v>130</v>
      </c>
      <c r="Q130" s="1">
        <f ca="1">OFFSET(控制台!$I$1099,MATCH(P130,控制台!$H$1099:$H$1118,0)-2,0)*控制台!$K$1092</f>
        <v>4800000</v>
      </c>
      <c r="R130" s="1">
        <f ca="1">OFFSET(控制台!$I$1099,MATCH(P130,控制台!$H$1099:$H$1118,0)-1,0)*控制台!$K$1092</f>
        <v>5040000</v>
      </c>
      <c r="S130" s="4">
        <f ca="1">_xlfn.FLOOR.MATH(Lerp_dyy(Q130,R130,IF(MOD(O130,10)=0,1,MOD(O130,10)/10)),10)</f>
        <v>4920000</v>
      </c>
      <c r="T130" s="5">
        <f ca="1" t="shared" si="6"/>
        <v>189425900</v>
      </c>
      <c r="U130" s="4">
        <f ca="1">IF(AND(O130&lt;&gt;1,MOD(O130,10)=1),OFFSET(控制台!$K$1099,MATCH(P130,控制台!$H$1099:$H$1118,0)-1,0)*控制台!$K$1093,0)</f>
        <v>0</v>
      </c>
      <c r="V130" s="5">
        <f ca="1" t="shared" si="8"/>
        <v>157080</v>
      </c>
      <c r="W130" s="1">
        <f ca="1">IF(_xlfn.CEILING.MATH(O130/10)*10=10,0,IFERROR(OFFSET(控制台!$B$1007,MATCH(_xlfn.CEILING.MATH(O130/10-1)*10,控制台!$D$1007:$D$1080,0)-1,0),0))</f>
        <v>150</v>
      </c>
      <c r="X130" s="1">
        <f ca="1">IFERROR(OFFSET(控制台!$B$1007,MATCH(_xlfn.CEILING.MATH(O130/10)*10,控制台!$D$1007:$D$1080,0)-1,0),1)</f>
        <v>180</v>
      </c>
      <c r="Y130" s="5">
        <f ca="1">Lerp_dyy(W130,X130,IF(MOD(O130,10)=0,1,MOD(O130,10)/10))</f>
        <v>165</v>
      </c>
    </row>
    <row r="131" spans="2:25">
      <c r="B131" s="1">
        <v>126</v>
      </c>
      <c r="C131" s="1">
        <f>_xlfn.FLOOR.MATH(B131/10+0.9)*10</f>
        <v>130</v>
      </c>
      <c r="D131" s="1">
        <f ca="1">OFFSET(控制台!$C$1099,MATCH(C131,控制台!$B$1099:$B$1118,0)-2,0)*控制台!$E$1092</f>
        <v>4800000</v>
      </c>
      <c r="E131" s="1">
        <f ca="1">OFFSET(控制台!$C$1099,MATCH(C131,控制台!$B$1099:$B$1118,0)-1,0)*控制台!$E$1092</f>
        <v>5040000</v>
      </c>
      <c r="F131" s="4">
        <f ca="1">_xlfn.FLOOR.MATH(Lerp_dyy(D131,E131,IF(MOD(B131,10)=0,1,MOD(B131,10)/10)),10)</f>
        <v>4944000</v>
      </c>
      <c r="G131" s="5">
        <f ca="1" t="shared" si="9"/>
        <v>194369900</v>
      </c>
      <c r="H131" s="4">
        <f ca="1">IF(AND(B131&lt;&gt;1,MOD(B131,10)=1),OFFSET(控制台!$E$1099,MATCH(C131,控制台!$B$1099:$B$1118,0)-1,0)*控制台!$E$1093,0)</f>
        <v>0</v>
      </c>
      <c r="I131" s="5">
        <f ca="1" t="shared" si="7"/>
        <v>157080</v>
      </c>
      <c r="J131" s="1">
        <f ca="1">IF(_xlfn.CEILING.MATH(B131/10)*10=10,0,IFERROR(OFFSET(控制台!$B$865,MATCH(_xlfn.CEILING.MATH(B131/10-1)*10,控制台!$D$865:$D$936,0)-1,0),0))</f>
        <v>120</v>
      </c>
      <c r="K131" s="1">
        <f ca="1">IFERROR(OFFSET(控制台!$B$865,MATCH(_xlfn.CEILING.MATH(B131/10)*10,控制台!$D$865:$D$936,0)-1,0),1)</f>
        <v>150</v>
      </c>
      <c r="L131" s="5">
        <f ca="1">Lerp_dyy(J131,K131,IF(MOD(B131,10)=0,1,MOD(B131,10)/10))</f>
        <v>138</v>
      </c>
      <c r="O131" s="1">
        <v>126</v>
      </c>
      <c r="P131" s="1">
        <f>_xlfn.FLOOR.MATH(O131/10+0.9)*10</f>
        <v>130</v>
      </c>
      <c r="Q131" s="1">
        <f ca="1">OFFSET(控制台!$I$1099,MATCH(P131,控制台!$H$1099:$H$1118,0)-2,0)*控制台!$K$1092</f>
        <v>4800000</v>
      </c>
      <c r="R131" s="1">
        <f ca="1">OFFSET(控制台!$I$1099,MATCH(P131,控制台!$H$1099:$H$1118,0)-1,0)*控制台!$K$1092</f>
        <v>5040000</v>
      </c>
      <c r="S131" s="4">
        <f ca="1">_xlfn.FLOOR.MATH(Lerp_dyy(Q131,R131,IF(MOD(O131,10)=0,1,MOD(O131,10)/10)),10)</f>
        <v>4944000</v>
      </c>
      <c r="T131" s="5">
        <f ca="1" t="shared" si="6"/>
        <v>194369900</v>
      </c>
      <c r="U131" s="4">
        <f ca="1">IF(AND(O131&lt;&gt;1,MOD(O131,10)=1),OFFSET(控制台!$K$1099,MATCH(P131,控制台!$H$1099:$H$1118,0)-1,0)*控制台!$K$1093,0)</f>
        <v>0</v>
      </c>
      <c r="V131" s="5">
        <f ca="1" t="shared" si="8"/>
        <v>157080</v>
      </c>
      <c r="W131" s="1">
        <f ca="1">IF(_xlfn.CEILING.MATH(O131/10)*10=10,0,IFERROR(OFFSET(控制台!$B$1007,MATCH(_xlfn.CEILING.MATH(O131/10-1)*10,控制台!$D$1007:$D$1080,0)-1,0),0))</f>
        <v>150</v>
      </c>
      <c r="X131" s="1">
        <f ca="1">IFERROR(OFFSET(控制台!$B$1007,MATCH(_xlfn.CEILING.MATH(O131/10)*10,控制台!$D$1007:$D$1080,0)-1,0),1)</f>
        <v>180</v>
      </c>
      <c r="Y131" s="5">
        <f ca="1">Lerp_dyy(W131,X131,IF(MOD(O131,10)=0,1,MOD(O131,10)/10))</f>
        <v>168</v>
      </c>
    </row>
    <row r="132" spans="2:25">
      <c r="B132" s="1">
        <v>127</v>
      </c>
      <c r="C132" s="1">
        <f>_xlfn.FLOOR.MATH(B132/10+0.9)*10</f>
        <v>130</v>
      </c>
      <c r="D132" s="1">
        <f ca="1">OFFSET(控制台!$C$1099,MATCH(C132,控制台!$B$1099:$B$1118,0)-2,0)*控制台!$E$1092</f>
        <v>4800000</v>
      </c>
      <c r="E132" s="1">
        <f ca="1">OFFSET(控制台!$C$1099,MATCH(C132,控制台!$B$1099:$B$1118,0)-1,0)*控制台!$E$1092</f>
        <v>5040000</v>
      </c>
      <c r="F132" s="4">
        <f ca="1">_xlfn.FLOOR.MATH(Lerp_dyy(D132,E132,IF(MOD(B132,10)=0,1,MOD(B132,10)/10)),10)</f>
        <v>4968000</v>
      </c>
      <c r="G132" s="5">
        <f ca="1" t="shared" si="9"/>
        <v>199337900</v>
      </c>
      <c r="H132" s="4">
        <f ca="1">IF(AND(B132&lt;&gt;1,MOD(B132,10)=1),OFFSET(控制台!$E$1099,MATCH(C132,控制台!$B$1099:$B$1118,0)-1,0)*控制台!$E$1093,0)</f>
        <v>0</v>
      </c>
      <c r="I132" s="5">
        <f ca="1" t="shared" si="7"/>
        <v>157080</v>
      </c>
      <c r="J132" s="1">
        <f ca="1">IF(_xlfn.CEILING.MATH(B132/10)*10=10,0,IFERROR(OFFSET(控制台!$B$865,MATCH(_xlfn.CEILING.MATH(B132/10-1)*10,控制台!$D$865:$D$936,0)-1,0),0))</f>
        <v>120</v>
      </c>
      <c r="K132" s="1">
        <f ca="1">IFERROR(OFFSET(控制台!$B$865,MATCH(_xlfn.CEILING.MATH(B132/10)*10,控制台!$D$865:$D$936,0)-1,0),1)</f>
        <v>150</v>
      </c>
      <c r="L132" s="5">
        <f ca="1">Lerp_dyy(J132,K132,IF(MOD(B132,10)=0,1,MOD(B132,10)/10))</f>
        <v>141</v>
      </c>
      <c r="O132" s="1">
        <v>127</v>
      </c>
      <c r="P132" s="1">
        <f>_xlfn.FLOOR.MATH(O132/10+0.9)*10</f>
        <v>130</v>
      </c>
      <c r="Q132" s="1">
        <f ca="1">OFFSET(控制台!$I$1099,MATCH(P132,控制台!$H$1099:$H$1118,0)-2,0)*控制台!$K$1092</f>
        <v>4800000</v>
      </c>
      <c r="R132" s="1">
        <f ca="1">OFFSET(控制台!$I$1099,MATCH(P132,控制台!$H$1099:$H$1118,0)-1,0)*控制台!$K$1092</f>
        <v>5040000</v>
      </c>
      <c r="S132" s="4">
        <f ca="1">_xlfn.FLOOR.MATH(Lerp_dyy(Q132,R132,IF(MOD(O132,10)=0,1,MOD(O132,10)/10)),10)</f>
        <v>4968000</v>
      </c>
      <c r="T132" s="5">
        <f ca="1" t="shared" si="6"/>
        <v>199337900</v>
      </c>
      <c r="U132" s="4">
        <f ca="1">IF(AND(O132&lt;&gt;1,MOD(O132,10)=1),OFFSET(控制台!$K$1099,MATCH(P132,控制台!$H$1099:$H$1118,0)-1,0)*控制台!$K$1093,0)</f>
        <v>0</v>
      </c>
      <c r="V132" s="5">
        <f ca="1" t="shared" si="8"/>
        <v>157080</v>
      </c>
      <c r="W132" s="1">
        <f ca="1">IF(_xlfn.CEILING.MATH(O132/10)*10=10,0,IFERROR(OFFSET(控制台!$B$1007,MATCH(_xlfn.CEILING.MATH(O132/10-1)*10,控制台!$D$1007:$D$1080,0)-1,0),0))</f>
        <v>150</v>
      </c>
      <c r="X132" s="1">
        <f ca="1">IFERROR(OFFSET(控制台!$B$1007,MATCH(_xlfn.CEILING.MATH(O132/10)*10,控制台!$D$1007:$D$1080,0)-1,0),1)</f>
        <v>180</v>
      </c>
      <c r="Y132" s="5">
        <f ca="1">Lerp_dyy(W132,X132,IF(MOD(O132,10)=0,1,MOD(O132,10)/10))</f>
        <v>171</v>
      </c>
    </row>
    <row r="133" spans="2:25">
      <c r="B133" s="1">
        <v>128</v>
      </c>
      <c r="C133" s="1">
        <f>_xlfn.FLOOR.MATH(B133/10+0.9)*10</f>
        <v>130</v>
      </c>
      <c r="D133" s="1">
        <f ca="1">OFFSET(控制台!$C$1099,MATCH(C133,控制台!$B$1099:$B$1118,0)-2,0)*控制台!$E$1092</f>
        <v>4800000</v>
      </c>
      <c r="E133" s="1">
        <f ca="1">OFFSET(控制台!$C$1099,MATCH(C133,控制台!$B$1099:$B$1118,0)-1,0)*控制台!$E$1092</f>
        <v>5040000</v>
      </c>
      <c r="F133" s="4">
        <f ca="1">_xlfn.FLOOR.MATH(Lerp_dyy(D133,E133,IF(MOD(B133,10)=0,1,MOD(B133,10)/10)),10)</f>
        <v>4992000</v>
      </c>
      <c r="G133" s="5">
        <f ca="1" t="shared" si="9"/>
        <v>204329900</v>
      </c>
      <c r="H133" s="4">
        <f ca="1">IF(AND(B133&lt;&gt;1,MOD(B133,10)=1),OFFSET(控制台!$E$1099,MATCH(C133,控制台!$B$1099:$B$1118,0)-1,0)*控制台!$E$1093,0)</f>
        <v>0</v>
      </c>
      <c r="I133" s="5">
        <f ca="1" t="shared" si="7"/>
        <v>157080</v>
      </c>
      <c r="J133" s="1">
        <f ca="1">IF(_xlfn.CEILING.MATH(B133/10)*10=10,0,IFERROR(OFFSET(控制台!$B$865,MATCH(_xlfn.CEILING.MATH(B133/10-1)*10,控制台!$D$865:$D$936,0)-1,0),0))</f>
        <v>120</v>
      </c>
      <c r="K133" s="1">
        <f ca="1">IFERROR(OFFSET(控制台!$B$865,MATCH(_xlfn.CEILING.MATH(B133/10)*10,控制台!$D$865:$D$936,0)-1,0),1)</f>
        <v>150</v>
      </c>
      <c r="L133" s="5">
        <f ca="1">Lerp_dyy(J133,K133,IF(MOD(B133,10)=0,1,MOD(B133,10)/10))</f>
        <v>144</v>
      </c>
      <c r="O133" s="1">
        <v>128</v>
      </c>
      <c r="P133" s="1">
        <f>_xlfn.FLOOR.MATH(O133/10+0.9)*10</f>
        <v>130</v>
      </c>
      <c r="Q133" s="1">
        <f ca="1">OFFSET(控制台!$I$1099,MATCH(P133,控制台!$H$1099:$H$1118,0)-2,0)*控制台!$K$1092</f>
        <v>4800000</v>
      </c>
      <c r="R133" s="1">
        <f ca="1">OFFSET(控制台!$I$1099,MATCH(P133,控制台!$H$1099:$H$1118,0)-1,0)*控制台!$K$1092</f>
        <v>5040000</v>
      </c>
      <c r="S133" s="4">
        <f ca="1">_xlfn.FLOOR.MATH(Lerp_dyy(Q133,R133,IF(MOD(O133,10)=0,1,MOD(O133,10)/10)),10)</f>
        <v>4992000</v>
      </c>
      <c r="T133" s="5">
        <f ca="1" t="shared" si="6"/>
        <v>204329900</v>
      </c>
      <c r="U133" s="4">
        <f ca="1">IF(AND(O133&lt;&gt;1,MOD(O133,10)=1),OFFSET(控制台!$K$1099,MATCH(P133,控制台!$H$1099:$H$1118,0)-1,0)*控制台!$K$1093,0)</f>
        <v>0</v>
      </c>
      <c r="V133" s="5">
        <f ca="1" t="shared" si="8"/>
        <v>157080</v>
      </c>
      <c r="W133" s="1">
        <f ca="1">IF(_xlfn.CEILING.MATH(O133/10)*10=10,0,IFERROR(OFFSET(控制台!$B$1007,MATCH(_xlfn.CEILING.MATH(O133/10-1)*10,控制台!$D$1007:$D$1080,0)-1,0),0))</f>
        <v>150</v>
      </c>
      <c r="X133" s="1">
        <f ca="1">IFERROR(OFFSET(控制台!$B$1007,MATCH(_xlfn.CEILING.MATH(O133/10)*10,控制台!$D$1007:$D$1080,0)-1,0),1)</f>
        <v>180</v>
      </c>
      <c r="Y133" s="5">
        <f ca="1">Lerp_dyy(W133,X133,IF(MOD(O133,10)=0,1,MOD(O133,10)/10))</f>
        <v>174</v>
      </c>
    </row>
    <row r="134" spans="2:25">
      <c r="B134" s="1">
        <v>129</v>
      </c>
      <c r="C134" s="1">
        <f>_xlfn.FLOOR.MATH(B134/10+0.9)*10</f>
        <v>130</v>
      </c>
      <c r="D134" s="1">
        <f ca="1">OFFSET(控制台!$C$1099,MATCH(C134,控制台!$B$1099:$B$1118,0)-2,0)*控制台!$E$1092</f>
        <v>4800000</v>
      </c>
      <c r="E134" s="1">
        <f ca="1">OFFSET(控制台!$C$1099,MATCH(C134,控制台!$B$1099:$B$1118,0)-1,0)*控制台!$E$1092</f>
        <v>5040000</v>
      </c>
      <c r="F134" s="4">
        <f ca="1">_xlfn.FLOOR.MATH(Lerp_dyy(D134,E134,IF(MOD(B134,10)=0,1,MOD(B134,10)/10)),10)</f>
        <v>5016000</v>
      </c>
      <c r="G134" s="5">
        <f ca="1" t="shared" si="9"/>
        <v>209345900</v>
      </c>
      <c r="H134" s="4">
        <f ca="1">IF(AND(B134&lt;&gt;1,MOD(B134,10)=1),OFFSET(控制台!$E$1099,MATCH(C134,控制台!$B$1099:$B$1118,0)-1,0)*控制台!$E$1093,0)</f>
        <v>0</v>
      </c>
      <c r="I134" s="5">
        <f ca="1" t="shared" si="7"/>
        <v>157080</v>
      </c>
      <c r="J134" s="1">
        <f ca="1">IF(_xlfn.CEILING.MATH(B134/10)*10=10,0,IFERROR(OFFSET(控制台!$B$865,MATCH(_xlfn.CEILING.MATH(B134/10-1)*10,控制台!$D$865:$D$936,0)-1,0),0))</f>
        <v>120</v>
      </c>
      <c r="K134" s="1">
        <f ca="1">IFERROR(OFFSET(控制台!$B$865,MATCH(_xlfn.CEILING.MATH(B134/10)*10,控制台!$D$865:$D$936,0)-1,0),1)</f>
        <v>150</v>
      </c>
      <c r="L134" s="5">
        <f ca="1">Lerp_dyy(J134,K134,IF(MOD(B134,10)=0,1,MOD(B134,10)/10))</f>
        <v>147</v>
      </c>
      <c r="O134" s="1">
        <v>129</v>
      </c>
      <c r="P134" s="1">
        <f>_xlfn.FLOOR.MATH(O134/10+0.9)*10</f>
        <v>130</v>
      </c>
      <c r="Q134" s="1">
        <f ca="1">OFFSET(控制台!$I$1099,MATCH(P134,控制台!$H$1099:$H$1118,0)-2,0)*控制台!$K$1092</f>
        <v>4800000</v>
      </c>
      <c r="R134" s="1">
        <f ca="1">OFFSET(控制台!$I$1099,MATCH(P134,控制台!$H$1099:$H$1118,0)-1,0)*控制台!$K$1092</f>
        <v>5040000</v>
      </c>
      <c r="S134" s="4">
        <f ca="1">_xlfn.FLOOR.MATH(Lerp_dyy(Q134,R134,IF(MOD(O134,10)=0,1,MOD(O134,10)/10)),10)</f>
        <v>5016000</v>
      </c>
      <c r="T134" s="5">
        <f ca="1" t="shared" si="6"/>
        <v>209345900</v>
      </c>
      <c r="U134" s="4">
        <f ca="1">IF(AND(O134&lt;&gt;1,MOD(O134,10)=1),OFFSET(控制台!$K$1099,MATCH(P134,控制台!$H$1099:$H$1118,0)-1,0)*控制台!$K$1093,0)</f>
        <v>0</v>
      </c>
      <c r="V134" s="5">
        <f ca="1" t="shared" si="8"/>
        <v>157080</v>
      </c>
      <c r="W134" s="1">
        <f ca="1">IF(_xlfn.CEILING.MATH(O134/10)*10=10,0,IFERROR(OFFSET(控制台!$B$1007,MATCH(_xlfn.CEILING.MATH(O134/10-1)*10,控制台!$D$1007:$D$1080,0)-1,0),0))</f>
        <v>150</v>
      </c>
      <c r="X134" s="1">
        <f ca="1">IFERROR(OFFSET(控制台!$B$1007,MATCH(_xlfn.CEILING.MATH(O134/10)*10,控制台!$D$1007:$D$1080,0)-1,0),1)</f>
        <v>180</v>
      </c>
      <c r="Y134" s="5">
        <f ca="1">Lerp_dyy(W134,X134,IF(MOD(O134,10)=0,1,MOD(O134,10)/10))</f>
        <v>177</v>
      </c>
    </row>
    <row r="135" spans="2:25">
      <c r="B135" s="1">
        <v>130</v>
      </c>
      <c r="C135" s="1">
        <f>_xlfn.FLOOR.MATH(B135/10+0.9)*10</f>
        <v>130</v>
      </c>
      <c r="D135" s="1">
        <f ca="1">OFFSET(控制台!$C$1099,MATCH(C135,控制台!$B$1099:$B$1118,0)-2,0)*控制台!$E$1092</f>
        <v>4800000</v>
      </c>
      <c r="E135" s="1">
        <f ca="1">OFFSET(控制台!$C$1099,MATCH(C135,控制台!$B$1099:$B$1118,0)-1,0)*控制台!$E$1092</f>
        <v>5040000</v>
      </c>
      <c r="F135" s="4">
        <f ca="1">_xlfn.FLOOR.MATH(Lerp_dyy(D135,E135,IF(MOD(B135,10)=0,1,MOD(B135,10)/10)),10)</f>
        <v>5040000</v>
      </c>
      <c r="G135" s="5">
        <f ca="1" t="shared" ref="G135:G166" si="10">G134+F135</f>
        <v>214385900</v>
      </c>
      <c r="H135" s="4">
        <f ca="1">IF(AND(B135&lt;&gt;1,MOD(B135,10)=1),OFFSET(控制台!$E$1099,MATCH(C135,控制台!$B$1099:$B$1118,0)-1,0)*控制台!$E$1093,0)</f>
        <v>0</v>
      </c>
      <c r="I135" s="5">
        <f ca="1" t="shared" si="7"/>
        <v>157080</v>
      </c>
      <c r="J135" s="1">
        <f ca="1">IF(_xlfn.CEILING.MATH(B135/10)*10=10,0,IFERROR(OFFSET(控制台!$B$865,MATCH(_xlfn.CEILING.MATH(B135/10-1)*10,控制台!$D$865:$D$936,0)-1,0),0))</f>
        <v>120</v>
      </c>
      <c r="K135" s="1">
        <f ca="1">IFERROR(OFFSET(控制台!$B$865,MATCH(_xlfn.CEILING.MATH(B135/10)*10,控制台!$D$865:$D$936,0)-1,0),1)</f>
        <v>150</v>
      </c>
      <c r="L135" s="5">
        <f ca="1">Lerp_dyy(J135,K135,IF(MOD(B135,10)=0,1,MOD(B135,10)/10))</f>
        <v>150</v>
      </c>
      <c r="O135" s="1">
        <v>130</v>
      </c>
      <c r="P135" s="1">
        <f>_xlfn.FLOOR.MATH(O135/10+0.9)*10</f>
        <v>130</v>
      </c>
      <c r="Q135" s="1">
        <f ca="1">OFFSET(控制台!$I$1099,MATCH(P135,控制台!$H$1099:$H$1118,0)-2,0)*控制台!$K$1092</f>
        <v>4800000</v>
      </c>
      <c r="R135" s="1">
        <f ca="1">OFFSET(控制台!$I$1099,MATCH(P135,控制台!$H$1099:$H$1118,0)-1,0)*控制台!$K$1092</f>
        <v>5040000</v>
      </c>
      <c r="S135" s="4">
        <f ca="1">_xlfn.FLOOR.MATH(Lerp_dyy(Q135,R135,IF(MOD(O135,10)=0,1,MOD(O135,10)/10)),10)</f>
        <v>5040000</v>
      </c>
      <c r="T135" s="5">
        <f ca="1" t="shared" ref="T135:T198" si="11">T134+S135</f>
        <v>214385900</v>
      </c>
      <c r="U135" s="4">
        <f ca="1">IF(AND(O135&lt;&gt;1,MOD(O135,10)=1),OFFSET(控制台!$K$1099,MATCH(P135,控制台!$H$1099:$H$1118,0)-1,0)*控制台!$K$1093,0)</f>
        <v>0</v>
      </c>
      <c r="V135" s="5">
        <f ca="1" t="shared" si="8"/>
        <v>157080</v>
      </c>
      <c r="W135" s="1">
        <f ca="1">IF(_xlfn.CEILING.MATH(O135/10)*10=10,0,IFERROR(OFFSET(控制台!$B$1007,MATCH(_xlfn.CEILING.MATH(O135/10-1)*10,控制台!$D$1007:$D$1080,0)-1,0),0))</f>
        <v>150</v>
      </c>
      <c r="X135" s="1">
        <f ca="1">IFERROR(OFFSET(控制台!$B$1007,MATCH(_xlfn.CEILING.MATH(O135/10)*10,控制台!$D$1007:$D$1080,0)-1,0),1)</f>
        <v>180</v>
      </c>
      <c r="Y135" s="5">
        <f ca="1">Lerp_dyy(W135,X135,IF(MOD(O135,10)=0,1,MOD(O135,10)/10))</f>
        <v>180</v>
      </c>
    </row>
    <row r="136" s="15" customFormat="1" spans="2:25">
      <c r="B136" s="15">
        <v>131</v>
      </c>
      <c r="C136" s="15">
        <f>_xlfn.FLOOR.MATH(B136/10+0.9)*10</f>
        <v>140</v>
      </c>
      <c r="D136" s="15">
        <f ca="1">OFFSET(控制台!$C$1099,MATCH(C136,控制台!$B$1099:$B$1118,0)-2,0)*控制台!$E$1092</f>
        <v>5040000</v>
      </c>
      <c r="E136" s="15">
        <f ca="1">OFFSET(控制台!$C$1099,MATCH(C136,控制台!$B$1099:$B$1118,0)-1,0)*控制台!$E$1092</f>
        <v>5220000</v>
      </c>
      <c r="F136" s="16">
        <f ca="1">_xlfn.FLOOR.MATH(Lerp_dyy(D136,E136,IF(MOD(B136,10)=0,1,MOD(B136,10)/10)),10)</f>
        <v>5058000</v>
      </c>
      <c r="G136" s="17">
        <f ca="1" t="shared" si="10"/>
        <v>219443900</v>
      </c>
      <c r="H136" s="16">
        <f ca="1">IF(AND(B136&lt;&gt;1,MOD(B136,10)=1),OFFSET(控制台!$E$1099,MATCH(C136,控制台!$B$1099:$B$1118,0)-1,0)*控制台!$E$1093,0)</f>
        <v>34800</v>
      </c>
      <c r="I136" s="17">
        <f ca="1" t="shared" ref="I136:I199" si="12">I135+H136</f>
        <v>191880</v>
      </c>
      <c r="J136" s="15">
        <f ca="1">IF(_xlfn.CEILING.MATH(B136/10)*10=10,0,IFERROR(OFFSET(控制台!$B$865,MATCH(_xlfn.CEILING.MATH(B136/10-1)*10,控制台!$D$865:$D$936,0)-1,0),0))</f>
        <v>150</v>
      </c>
      <c r="K136" s="15">
        <f ca="1">IFERROR(OFFSET(控制台!$B$865,MATCH(_xlfn.CEILING.MATH(B136/10)*10,控制台!$D$865:$D$936,0)-1,0),1)</f>
        <v>180</v>
      </c>
      <c r="L136" s="17">
        <f ca="1">Lerp_dyy(J136,K136,IF(MOD(B136,10)=0,1,MOD(B136,10)/10))</f>
        <v>153</v>
      </c>
      <c r="O136" s="15">
        <v>131</v>
      </c>
      <c r="P136" s="1">
        <f>_xlfn.FLOOR.MATH(O136/10+0.9)*10</f>
        <v>140</v>
      </c>
      <c r="Q136" s="1">
        <f ca="1">OFFSET(控制台!$I$1099,MATCH(P136,控制台!$H$1099:$H$1118,0)-2,0)*控制台!$K$1092</f>
        <v>5040000</v>
      </c>
      <c r="R136" s="1">
        <f ca="1">OFFSET(控制台!$I$1099,MATCH(P136,控制台!$H$1099:$H$1118,0)-1,0)*控制台!$K$1092</f>
        <v>5220000</v>
      </c>
      <c r="S136" s="16">
        <f ca="1">_xlfn.FLOOR.MATH(Lerp_dyy(Q136,R136,IF(MOD(O136,10)=0,1,MOD(O136,10)/10)),10)</f>
        <v>5058000</v>
      </c>
      <c r="T136" s="17">
        <f ca="1" t="shared" si="11"/>
        <v>219443900</v>
      </c>
      <c r="U136" s="4">
        <f ca="1">IF(AND(O136&lt;&gt;1,MOD(O136,10)=1),OFFSET(控制台!$K$1099,MATCH(P136,控制台!$H$1099:$H$1118,0)-1,0)*控制台!$K$1093,0)</f>
        <v>34800</v>
      </c>
      <c r="V136" s="17">
        <f ca="1" t="shared" ref="V136:V199" si="13">V135+U136</f>
        <v>191880</v>
      </c>
      <c r="W136" s="1">
        <f ca="1">IF(_xlfn.CEILING.MATH(O136/10)*10=10,0,IFERROR(OFFSET(控制台!$B$1007,MATCH(_xlfn.CEILING.MATH(O136/10-1)*10,控制台!$D$1007:$D$1080,0)-1,0),0))</f>
        <v>180</v>
      </c>
      <c r="X136" s="1">
        <f ca="1">IFERROR(OFFSET(控制台!$B$1007,MATCH(_xlfn.CEILING.MATH(O136/10)*10,控制台!$D$1007:$D$1080,0)-1,0),1)</f>
        <v>210</v>
      </c>
      <c r="Y136" s="17">
        <f ca="1">Lerp_dyy(W136,X136,IF(MOD(O136,10)=0,1,MOD(O136,10)/10))</f>
        <v>183</v>
      </c>
    </row>
    <row r="137" s="15" customFormat="1" spans="2:25">
      <c r="B137" s="15">
        <v>132</v>
      </c>
      <c r="C137" s="15">
        <f>_xlfn.FLOOR.MATH(B137/10+0.9)*10</f>
        <v>140</v>
      </c>
      <c r="D137" s="15">
        <f ca="1">OFFSET(控制台!$C$1099,MATCH(C137,控制台!$B$1099:$B$1118,0)-2,0)*控制台!$E$1092</f>
        <v>5040000</v>
      </c>
      <c r="E137" s="15">
        <f ca="1">OFFSET(控制台!$C$1099,MATCH(C137,控制台!$B$1099:$B$1118,0)-1,0)*控制台!$E$1092</f>
        <v>5220000</v>
      </c>
      <c r="F137" s="16">
        <f ca="1">_xlfn.FLOOR.MATH(Lerp_dyy(D137,E137,IF(MOD(B137,10)=0,1,MOD(B137,10)/10)),10)</f>
        <v>5076000</v>
      </c>
      <c r="G137" s="17">
        <f ca="1" t="shared" si="10"/>
        <v>224519900</v>
      </c>
      <c r="H137" s="16">
        <f ca="1">IF(AND(B137&lt;&gt;1,MOD(B137,10)=1),OFFSET(控制台!$E$1099,MATCH(C137,控制台!$B$1099:$B$1118,0)-1,0)*控制台!$E$1093,0)</f>
        <v>0</v>
      </c>
      <c r="I137" s="17">
        <f ca="1" t="shared" si="12"/>
        <v>191880</v>
      </c>
      <c r="J137" s="15">
        <f ca="1">IF(_xlfn.CEILING.MATH(B137/10)*10=10,0,IFERROR(OFFSET(控制台!$B$865,MATCH(_xlfn.CEILING.MATH(B137/10-1)*10,控制台!$D$865:$D$936,0)-1,0),0))</f>
        <v>150</v>
      </c>
      <c r="K137" s="15">
        <f ca="1">IFERROR(OFFSET(控制台!$B$865,MATCH(_xlfn.CEILING.MATH(B137/10)*10,控制台!$D$865:$D$936,0)-1,0),1)</f>
        <v>180</v>
      </c>
      <c r="L137" s="17">
        <f ca="1">Lerp_dyy(J137,K137,IF(MOD(B137,10)=0,1,MOD(B137,10)/10))</f>
        <v>156</v>
      </c>
      <c r="O137" s="15">
        <v>132</v>
      </c>
      <c r="P137" s="1">
        <f>_xlfn.FLOOR.MATH(O137/10+0.9)*10</f>
        <v>140</v>
      </c>
      <c r="Q137" s="1">
        <f ca="1">OFFSET(控制台!$I$1099,MATCH(P137,控制台!$H$1099:$H$1118,0)-2,0)*控制台!$K$1092</f>
        <v>5040000</v>
      </c>
      <c r="R137" s="1">
        <f ca="1">OFFSET(控制台!$I$1099,MATCH(P137,控制台!$H$1099:$H$1118,0)-1,0)*控制台!$K$1092</f>
        <v>5220000</v>
      </c>
      <c r="S137" s="16">
        <f ca="1">_xlfn.FLOOR.MATH(Lerp_dyy(Q137,R137,IF(MOD(O137,10)=0,1,MOD(O137,10)/10)),10)</f>
        <v>5076000</v>
      </c>
      <c r="T137" s="17">
        <f ca="1" t="shared" si="11"/>
        <v>224519900</v>
      </c>
      <c r="U137" s="4">
        <f ca="1">IF(AND(O137&lt;&gt;1,MOD(O137,10)=1),OFFSET(控制台!$K$1099,MATCH(P137,控制台!$H$1099:$H$1118,0)-1,0)*控制台!$K$1093,0)</f>
        <v>0</v>
      </c>
      <c r="V137" s="17">
        <f ca="1" t="shared" si="13"/>
        <v>191880</v>
      </c>
      <c r="W137" s="1">
        <f ca="1">IF(_xlfn.CEILING.MATH(O137/10)*10=10,0,IFERROR(OFFSET(控制台!$B$1007,MATCH(_xlfn.CEILING.MATH(O137/10-1)*10,控制台!$D$1007:$D$1080,0)-1,0),0))</f>
        <v>180</v>
      </c>
      <c r="X137" s="1">
        <f ca="1">IFERROR(OFFSET(控制台!$B$1007,MATCH(_xlfn.CEILING.MATH(O137/10)*10,控制台!$D$1007:$D$1080,0)-1,0),1)</f>
        <v>210</v>
      </c>
      <c r="Y137" s="17">
        <f ca="1">Lerp_dyy(W137,X137,IF(MOD(O137,10)=0,1,MOD(O137,10)/10))</f>
        <v>186</v>
      </c>
    </row>
    <row r="138" s="15" customFormat="1" spans="2:25">
      <c r="B138" s="15">
        <v>133</v>
      </c>
      <c r="C138" s="15">
        <f>_xlfn.FLOOR.MATH(B138/10+0.9)*10</f>
        <v>140</v>
      </c>
      <c r="D138" s="15">
        <f ca="1">OFFSET(控制台!$C$1099,MATCH(C138,控制台!$B$1099:$B$1118,0)-2,0)*控制台!$E$1092</f>
        <v>5040000</v>
      </c>
      <c r="E138" s="15">
        <f ca="1">OFFSET(控制台!$C$1099,MATCH(C138,控制台!$B$1099:$B$1118,0)-1,0)*控制台!$E$1092</f>
        <v>5220000</v>
      </c>
      <c r="F138" s="16">
        <f ca="1">_xlfn.FLOOR.MATH(Lerp_dyy(D138,E138,IF(MOD(B138,10)=0,1,MOD(B138,10)/10)),10)</f>
        <v>5094000</v>
      </c>
      <c r="G138" s="17">
        <f ca="1" t="shared" si="10"/>
        <v>229613900</v>
      </c>
      <c r="H138" s="16">
        <f ca="1">IF(AND(B138&lt;&gt;1,MOD(B138,10)=1),OFFSET(控制台!$E$1099,MATCH(C138,控制台!$B$1099:$B$1118,0)-1,0)*控制台!$E$1093,0)</f>
        <v>0</v>
      </c>
      <c r="I138" s="17">
        <f ca="1" t="shared" si="12"/>
        <v>191880</v>
      </c>
      <c r="J138" s="15">
        <f ca="1">IF(_xlfn.CEILING.MATH(B138/10)*10=10,0,IFERROR(OFFSET(控制台!$B$865,MATCH(_xlfn.CEILING.MATH(B138/10-1)*10,控制台!$D$865:$D$936,0)-1,0),0))</f>
        <v>150</v>
      </c>
      <c r="K138" s="15">
        <f ca="1">IFERROR(OFFSET(控制台!$B$865,MATCH(_xlfn.CEILING.MATH(B138/10)*10,控制台!$D$865:$D$936,0)-1,0),1)</f>
        <v>180</v>
      </c>
      <c r="L138" s="17">
        <f ca="1">Lerp_dyy(J138,K138,IF(MOD(B138,10)=0,1,MOD(B138,10)/10))</f>
        <v>159</v>
      </c>
      <c r="O138" s="15">
        <v>133</v>
      </c>
      <c r="P138" s="1">
        <f>_xlfn.FLOOR.MATH(O138/10+0.9)*10</f>
        <v>140</v>
      </c>
      <c r="Q138" s="1">
        <f ca="1">OFFSET(控制台!$I$1099,MATCH(P138,控制台!$H$1099:$H$1118,0)-2,0)*控制台!$K$1092</f>
        <v>5040000</v>
      </c>
      <c r="R138" s="1">
        <f ca="1">OFFSET(控制台!$I$1099,MATCH(P138,控制台!$H$1099:$H$1118,0)-1,0)*控制台!$K$1092</f>
        <v>5220000</v>
      </c>
      <c r="S138" s="16">
        <f ca="1">_xlfn.FLOOR.MATH(Lerp_dyy(Q138,R138,IF(MOD(O138,10)=0,1,MOD(O138,10)/10)),10)</f>
        <v>5094000</v>
      </c>
      <c r="T138" s="17">
        <f ca="1" t="shared" si="11"/>
        <v>229613900</v>
      </c>
      <c r="U138" s="4">
        <f ca="1">IF(AND(O138&lt;&gt;1,MOD(O138,10)=1),OFFSET(控制台!$K$1099,MATCH(P138,控制台!$H$1099:$H$1118,0)-1,0)*控制台!$K$1093,0)</f>
        <v>0</v>
      </c>
      <c r="V138" s="17">
        <f ca="1" t="shared" si="13"/>
        <v>191880</v>
      </c>
      <c r="W138" s="1">
        <f ca="1">IF(_xlfn.CEILING.MATH(O138/10)*10=10,0,IFERROR(OFFSET(控制台!$B$1007,MATCH(_xlfn.CEILING.MATH(O138/10-1)*10,控制台!$D$1007:$D$1080,0)-1,0),0))</f>
        <v>180</v>
      </c>
      <c r="X138" s="1">
        <f ca="1">IFERROR(OFFSET(控制台!$B$1007,MATCH(_xlfn.CEILING.MATH(O138/10)*10,控制台!$D$1007:$D$1080,0)-1,0),1)</f>
        <v>210</v>
      </c>
      <c r="Y138" s="17">
        <f ca="1">Lerp_dyy(W138,X138,IF(MOD(O138,10)=0,1,MOD(O138,10)/10))</f>
        <v>189</v>
      </c>
    </row>
    <row r="139" s="15" customFormat="1" spans="2:25">
      <c r="B139" s="15">
        <v>134</v>
      </c>
      <c r="C139" s="15">
        <f>_xlfn.FLOOR.MATH(B139/10+0.9)*10</f>
        <v>140</v>
      </c>
      <c r="D139" s="15">
        <f ca="1">OFFSET(控制台!$C$1099,MATCH(C139,控制台!$B$1099:$B$1118,0)-2,0)*控制台!$E$1092</f>
        <v>5040000</v>
      </c>
      <c r="E139" s="15">
        <f ca="1">OFFSET(控制台!$C$1099,MATCH(C139,控制台!$B$1099:$B$1118,0)-1,0)*控制台!$E$1092</f>
        <v>5220000</v>
      </c>
      <c r="F139" s="16">
        <f ca="1">_xlfn.FLOOR.MATH(Lerp_dyy(D139,E139,IF(MOD(B139,10)=0,1,MOD(B139,10)/10)),10)</f>
        <v>5112000</v>
      </c>
      <c r="G139" s="17">
        <f ca="1" t="shared" si="10"/>
        <v>234725900</v>
      </c>
      <c r="H139" s="16">
        <f ca="1">IF(AND(B139&lt;&gt;1,MOD(B139,10)=1),OFFSET(控制台!$E$1099,MATCH(C139,控制台!$B$1099:$B$1118,0)-1,0)*控制台!$E$1093,0)</f>
        <v>0</v>
      </c>
      <c r="I139" s="17">
        <f ca="1" t="shared" si="12"/>
        <v>191880</v>
      </c>
      <c r="J139" s="15">
        <f ca="1">IF(_xlfn.CEILING.MATH(B139/10)*10=10,0,IFERROR(OFFSET(控制台!$B$865,MATCH(_xlfn.CEILING.MATH(B139/10-1)*10,控制台!$D$865:$D$936,0)-1,0),0))</f>
        <v>150</v>
      </c>
      <c r="K139" s="15">
        <f ca="1">IFERROR(OFFSET(控制台!$B$865,MATCH(_xlfn.CEILING.MATH(B139/10)*10,控制台!$D$865:$D$936,0)-1,0),1)</f>
        <v>180</v>
      </c>
      <c r="L139" s="17">
        <f ca="1">Lerp_dyy(J139,K139,IF(MOD(B139,10)=0,1,MOD(B139,10)/10))</f>
        <v>162</v>
      </c>
      <c r="O139" s="15">
        <v>134</v>
      </c>
      <c r="P139" s="1">
        <f>_xlfn.FLOOR.MATH(O139/10+0.9)*10</f>
        <v>140</v>
      </c>
      <c r="Q139" s="1">
        <f ca="1">OFFSET(控制台!$I$1099,MATCH(P139,控制台!$H$1099:$H$1118,0)-2,0)*控制台!$K$1092</f>
        <v>5040000</v>
      </c>
      <c r="R139" s="1">
        <f ca="1">OFFSET(控制台!$I$1099,MATCH(P139,控制台!$H$1099:$H$1118,0)-1,0)*控制台!$K$1092</f>
        <v>5220000</v>
      </c>
      <c r="S139" s="16">
        <f ca="1">_xlfn.FLOOR.MATH(Lerp_dyy(Q139,R139,IF(MOD(O139,10)=0,1,MOD(O139,10)/10)),10)</f>
        <v>5112000</v>
      </c>
      <c r="T139" s="17">
        <f ca="1" t="shared" si="11"/>
        <v>234725900</v>
      </c>
      <c r="U139" s="4">
        <f ca="1">IF(AND(O139&lt;&gt;1,MOD(O139,10)=1),OFFSET(控制台!$K$1099,MATCH(P139,控制台!$H$1099:$H$1118,0)-1,0)*控制台!$K$1093,0)</f>
        <v>0</v>
      </c>
      <c r="V139" s="17">
        <f ca="1" t="shared" si="13"/>
        <v>191880</v>
      </c>
      <c r="W139" s="1">
        <f ca="1">IF(_xlfn.CEILING.MATH(O139/10)*10=10,0,IFERROR(OFFSET(控制台!$B$1007,MATCH(_xlfn.CEILING.MATH(O139/10-1)*10,控制台!$D$1007:$D$1080,0)-1,0),0))</f>
        <v>180</v>
      </c>
      <c r="X139" s="1">
        <f ca="1">IFERROR(OFFSET(控制台!$B$1007,MATCH(_xlfn.CEILING.MATH(O139/10)*10,控制台!$D$1007:$D$1080,0)-1,0),1)</f>
        <v>210</v>
      </c>
      <c r="Y139" s="17">
        <f ca="1">Lerp_dyy(W139,X139,IF(MOD(O139,10)=0,1,MOD(O139,10)/10))</f>
        <v>192</v>
      </c>
    </row>
    <row r="140" s="15" customFormat="1" spans="2:25">
      <c r="B140" s="15">
        <v>135</v>
      </c>
      <c r="C140" s="15">
        <f>_xlfn.FLOOR.MATH(B140/10+0.9)*10</f>
        <v>140</v>
      </c>
      <c r="D140" s="15">
        <f ca="1">OFFSET(控制台!$C$1099,MATCH(C140,控制台!$B$1099:$B$1118,0)-2,0)*控制台!$E$1092</f>
        <v>5040000</v>
      </c>
      <c r="E140" s="15">
        <f ca="1">OFFSET(控制台!$C$1099,MATCH(C140,控制台!$B$1099:$B$1118,0)-1,0)*控制台!$E$1092</f>
        <v>5220000</v>
      </c>
      <c r="F140" s="16">
        <f ca="1">_xlfn.FLOOR.MATH(Lerp_dyy(D140,E140,IF(MOD(B140,10)=0,1,MOD(B140,10)/10)),10)</f>
        <v>5130000</v>
      </c>
      <c r="G140" s="17">
        <f ca="1" t="shared" si="10"/>
        <v>239855900</v>
      </c>
      <c r="H140" s="16">
        <f ca="1">IF(AND(B140&lt;&gt;1,MOD(B140,10)=1),OFFSET(控制台!$E$1099,MATCH(C140,控制台!$B$1099:$B$1118,0)-1,0)*控制台!$E$1093,0)</f>
        <v>0</v>
      </c>
      <c r="I140" s="17">
        <f ca="1" t="shared" si="12"/>
        <v>191880</v>
      </c>
      <c r="J140" s="15">
        <f ca="1">IF(_xlfn.CEILING.MATH(B140/10)*10=10,0,IFERROR(OFFSET(控制台!$B$865,MATCH(_xlfn.CEILING.MATH(B140/10-1)*10,控制台!$D$865:$D$936,0)-1,0),0))</f>
        <v>150</v>
      </c>
      <c r="K140" s="15">
        <f ca="1">IFERROR(OFFSET(控制台!$B$865,MATCH(_xlfn.CEILING.MATH(B140/10)*10,控制台!$D$865:$D$936,0)-1,0),1)</f>
        <v>180</v>
      </c>
      <c r="L140" s="17">
        <f ca="1">Lerp_dyy(J140,K140,IF(MOD(B140,10)=0,1,MOD(B140,10)/10))</f>
        <v>165</v>
      </c>
      <c r="O140" s="15">
        <v>135</v>
      </c>
      <c r="P140" s="1">
        <f>_xlfn.FLOOR.MATH(O140/10+0.9)*10</f>
        <v>140</v>
      </c>
      <c r="Q140" s="1">
        <f ca="1">OFFSET(控制台!$I$1099,MATCH(P140,控制台!$H$1099:$H$1118,0)-2,0)*控制台!$K$1092</f>
        <v>5040000</v>
      </c>
      <c r="R140" s="1">
        <f ca="1">OFFSET(控制台!$I$1099,MATCH(P140,控制台!$H$1099:$H$1118,0)-1,0)*控制台!$K$1092</f>
        <v>5220000</v>
      </c>
      <c r="S140" s="16">
        <f ca="1">_xlfn.FLOOR.MATH(Lerp_dyy(Q140,R140,IF(MOD(O140,10)=0,1,MOD(O140,10)/10)),10)</f>
        <v>5130000</v>
      </c>
      <c r="T140" s="17">
        <f ca="1" t="shared" si="11"/>
        <v>239855900</v>
      </c>
      <c r="U140" s="4">
        <f ca="1">IF(AND(O140&lt;&gt;1,MOD(O140,10)=1),OFFSET(控制台!$K$1099,MATCH(P140,控制台!$H$1099:$H$1118,0)-1,0)*控制台!$K$1093,0)</f>
        <v>0</v>
      </c>
      <c r="V140" s="17">
        <f ca="1" t="shared" si="13"/>
        <v>191880</v>
      </c>
      <c r="W140" s="1">
        <f ca="1">IF(_xlfn.CEILING.MATH(O140/10)*10=10,0,IFERROR(OFFSET(控制台!$B$1007,MATCH(_xlfn.CEILING.MATH(O140/10-1)*10,控制台!$D$1007:$D$1080,0)-1,0),0))</f>
        <v>180</v>
      </c>
      <c r="X140" s="1">
        <f ca="1">IFERROR(OFFSET(控制台!$B$1007,MATCH(_xlfn.CEILING.MATH(O140/10)*10,控制台!$D$1007:$D$1080,0)-1,0),1)</f>
        <v>210</v>
      </c>
      <c r="Y140" s="17">
        <f ca="1">Lerp_dyy(W140,X140,IF(MOD(O140,10)=0,1,MOD(O140,10)/10))</f>
        <v>195</v>
      </c>
    </row>
    <row r="141" s="15" customFormat="1" spans="2:25">
      <c r="B141" s="15">
        <v>136</v>
      </c>
      <c r="C141" s="15">
        <f>_xlfn.FLOOR.MATH(B141/10+0.9)*10</f>
        <v>140</v>
      </c>
      <c r="D141" s="15">
        <f ca="1">OFFSET(控制台!$C$1099,MATCH(C141,控制台!$B$1099:$B$1118,0)-2,0)*控制台!$E$1092</f>
        <v>5040000</v>
      </c>
      <c r="E141" s="15">
        <f ca="1">OFFSET(控制台!$C$1099,MATCH(C141,控制台!$B$1099:$B$1118,0)-1,0)*控制台!$E$1092</f>
        <v>5220000</v>
      </c>
      <c r="F141" s="16">
        <f ca="1">_xlfn.FLOOR.MATH(Lerp_dyy(D141,E141,IF(MOD(B141,10)=0,1,MOD(B141,10)/10)),10)</f>
        <v>5148000</v>
      </c>
      <c r="G141" s="17">
        <f ca="1" t="shared" si="10"/>
        <v>245003900</v>
      </c>
      <c r="H141" s="16">
        <f ca="1">IF(AND(B141&lt;&gt;1,MOD(B141,10)=1),OFFSET(控制台!$E$1099,MATCH(C141,控制台!$B$1099:$B$1118,0)-1,0)*控制台!$E$1093,0)</f>
        <v>0</v>
      </c>
      <c r="I141" s="17">
        <f ca="1" t="shared" si="12"/>
        <v>191880</v>
      </c>
      <c r="J141" s="15">
        <f ca="1">IF(_xlfn.CEILING.MATH(B141/10)*10=10,0,IFERROR(OFFSET(控制台!$B$865,MATCH(_xlfn.CEILING.MATH(B141/10-1)*10,控制台!$D$865:$D$936,0)-1,0),0))</f>
        <v>150</v>
      </c>
      <c r="K141" s="15">
        <f ca="1">IFERROR(OFFSET(控制台!$B$865,MATCH(_xlfn.CEILING.MATH(B141/10)*10,控制台!$D$865:$D$936,0)-1,0),1)</f>
        <v>180</v>
      </c>
      <c r="L141" s="17">
        <f ca="1">Lerp_dyy(J141,K141,IF(MOD(B141,10)=0,1,MOD(B141,10)/10))</f>
        <v>168</v>
      </c>
      <c r="O141" s="15">
        <v>136</v>
      </c>
      <c r="P141" s="1">
        <f>_xlfn.FLOOR.MATH(O141/10+0.9)*10</f>
        <v>140</v>
      </c>
      <c r="Q141" s="1">
        <f ca="1">OFFSET(控制台!$I$1099,MATCH(P141,控制台!$H$1099:$H$1118,0)-2,0)*控制台!$K$1092</f>
        <v>5040000</v>
      </c>
      <c r="R141" s="1">
        <f ca="1">OFFSET(控制台!$I$1099,MATCH(P141,控制台!$H$1099:$H$1118,0)-1,0)*控制台!$K$1092</f>
        <v>5220000</v>
      </c>
      <c r="S141" s="16">
        <f ca="1">_xlfn.FLOOR.MATH(Lerp_dyy(Q141,R141,IF(MOD(O141,10)=0,1,MOD(O141,10)/10)),10)</f>
        <v>5148000</v>
      </c>
      <c r="T141" s="17">
        <f ca="1" t="shared" si="11"/>
        <v>245003900</v>
      </c>
      <c r="U141" s="4">
        <f ca="1">IF(AND(O141&lt;&gt;1,MOD(O141,10)=1),OFFSET(控制台!$K$1099,MATCH(P141,控制台!$H$1099:$H$1118,0)-1,0)*控制台!$K$1093,0)</f>
        <v>0</v>
      </c>
      <c r="V141" s="17">
        <f ca="1" t="shared" si="13"/>
        <v>191880</v>
      </c>
      <c r="W141" s="1">
        <f ca="1">IF(_xlfn.CEILING.MATH(O141/10)*10=10,0,IFERROR(OFFSET(控制台!$B$1007,MATCH(_xlfn.CEILING.MATH(O141/10-1)*10,控制台!$D$1007:$D$1080,0)-1,0),0))</f>
        <v>180</v>
      </c>
      <c r="X141" s="1">
        <f ca="1">IFERROR(OFFSET(控制台!$B$1007,MATCH(_xlfn.CEILING.MATH(O141/10)*10,控制台!$D$1007:$D$1080,0)-1,0),1)</f>
        <v>210</v>
      </c>
      <c r="Y141" s="17">
        <f ca="1">Lerp_dyy(W141,X141,IF(MOD(O141,10)=0,1,MOD(O141,10)/10))</f>
        <v>198</v>
      </c>
    </row>
    <row r="142" s="15" customFormat="1" spans="2:25">
      <c r="B142" s="15">
        <v>137</v>
      </c>
      <c r="C142" s="15">
        <f>_xlfn.FLOOR.MATH(B142/10+0.9)*10</f>
        <v>140</v>
      </c>
      <c r="D142" s="15">
        <f ca="1">OFFSET(控制台!$C$1099,MATCH(C142,控制台!$B$1099:$B$1118,0)-2,0)*控制台!$E$1092</f>
        <v>5040000</v>
      </c>
      <c r="E142" s="15">
        <f ca="1">OFFSET(控制台!$C$1099,MATCH(C142,控制台!$B$1099:$B$1118,0)-1,0)*控制台!$E$1092</f>
        <v>5220000</v>
      </c>
      <c r="F142" s="16">
        <f ca="1">_xlfn.FLOOR.MATH(Lerp_dyy(D142,E142,IF(MOD(B142,10)=0,1,MOD(B142,10)/10)),10)</f>
        <v>5166000</v>
      </c>
      <c r="G142" s="17">
        <f ca="1" t="shared" si="10"/>
        <v>250169900</v>
      </c>
      <c r="H142" s="16">
        <f ca="1">IF(AND(B142&lt;&gt;1,MOD(B142,10)=1),OFFSET(控制台!$E$1099,MATCH(C142,控制台!$B$1099:$B$1118,0)-1,0)*控制台!$E$1093,0)</f>
        <v>0</v>
      </c>
      <c r="I142" s="17">
        <f ca="1" t="shared" si="12"/>
        <v>191880</v>
      </c>
      <c r="J142" s="15">
        <f ca="1">IF(_xlfn.CEILING.MATH(B142/10)*10=10,0,IFERROR(OFFSET(控制台!$B$865,MATCH(_xlfn.CEILING.MATH(B142/10-1)*10,控制台!$D$865:$D$936,0)-1,0),0))</f>
        <v>150</v>
      </c>
      <c r="K142" s="15">
        <f ca="1">IFERROR(OFFSET(控制台!$B$865,MATCH(_xlfn.CEILING.MATH(B142/10)*10,控制台!$D$865:$D$936,0)-1,0),1)</f>
        <v>180</v>
      </c>
      <c r="L142" s="17">
        <f ca="1">Lerp_dyy(J142,K142,IF(MOD(B142,10)=0,1,MOD(B142,10)/10))</f>
        <v>171</v>
      </c>
      <c r="O142" s="15">
        <v>137</v>
      </c>
      <c r="P142" s="1">
        <f>_xlfn.FLOOR.MATH(O142/10+0.9)*10</f>
        <v>140</v>
      </c>
      <c r="Q142" s="1">
        <f ca="1">OFFSET(控制台!$I$1099,MATCH(P142,控制台!$H$1099:$H$1118,0)-2,0)*控制台!$K$1092</f>
        <v>5040000</v>
      </c>
      <c r="R142" s="1">
        <f ca="1">OFFSET(控制台!$I$1099,MATCH(P142,控制台!$H$1099:$H$1118,0)-1,0)*控制台!$K$1092</f>
        <v>5220000</v>
      </c>
      <c r="S142" s="16">
        <f ca="1">_xlfn.FLOOR.MATH(Lerp_dyy(Q142,R142,IF(MOD(O142,10)=0,1,MOD(O142,10)/10)),10)</f>
        <v>5166000</v>
      </c>
      <c r="T142" s="17">
        <f ca="1" t="shared" si="11"/>
        <v>250169900</v>
      </c>
      <c r="U142" s="4">
        <f ca="1">IF(AND(O142&lt;&gt;1,MOD(O142,10)=1),OFFSET(控制台!$K$1099,MATCH(P142,控制台!$H$1099:$H$1118,0)-1,0)*控制台!$K$1093,0)</f>
        <v>0</v>
      </c>
      <c r="V142" s="17">
        <f ca="1" t="shared" si="13"/>
        <v>191880</v>
      </c>
      <c r="W142" s="1">
        <f ca="1">IF(_xlfn.CEILING.MATH(O142/10)*10=10,0,IFERROR(OFFSET(控制台!$B$1007,MATCH(_xlfn.CEILING.MATH(O142/10-1)*10,控制台!$D$1007:$D$1080,0)-1,0),0))</f>
        <v>180</v>
      </c>
      <c r="X142" s="1">
        <f ca="1">IFERROR(OFFSET(控制台!$B$1007,MATCH(_xlfn.CEILING.MATH(O142/10)*10,控制台!$D$1007:$D$1080,0)-1,0),1)</f>
        <v>210</v>
      </c>
      <c r="Y142" s="17">
        <f ca="1">Lerp_dyy(W142,X142,IF(MOD(O142,10)=0,1,MOD(O142,10)/10))</f>
        <v>201</v>
      </c>
    </row>
    <row r="143" s="15" customFormat="1" spans="2:25">
      <c r="B143" s="15">
        <v>138</v>
      </c>
      <c r="C143" s="15">
        <f>_xlfn.FLOOR.MATH(B143/10+0.9)*10</f>
        <v>140</v>
      </c>
      <c r="D143" s="15">
        <f ca="1">OFFSET(控制台!$C$1099,MATCH(C143,控制台!$B$1099:$B$1118,0)-2,0)*控制台!$E$1092</f>
        <v>5040000</v>
      </c>
      <c r="E143" s="15">
        <f ca="1">OFFSET(控制台!$C$1099,MATCH(C143,控制台!$B$1099:$B$1118,0)-1,0)*控制台!$E$1092</f>
        <v>5220000</v>
      </c>
      <c r="F143" s="16">
        <f ca="1">_xlfn.FLOOR.MATH(Lerp_dyy(D143,E143,IF(MOD(B143,10)=0,1,MOD(B143,10)/10)),10)</f>
        <v>5184000</v>
      </c>
      <c r="G143" s="17">
        <f ca="1" t="shared" si="10"/>
        <v>255353900</v>
      </c>
      <c r="H143" s="16">
        <f ca="1">IF(AND(B143&lt;&gt;1,MOD(B143,10)=1),OFFSET(控制台!$E$1099,MATCH(C143,控制台!$B$1099:$B$1118,0)-1,0)*控制台!$E$1093,0)</f>
        <v>0</v>
      </c>
      <c r="I143" s="17">
        <f ca="1" t="shared" si="12"/>
        <v>191880</v>
      </c>
      <c r="J143" s="15">
        <f ca="1">IF(_xlfn.CEILING.MATH(B143/10)*10=10,0,IFERROR(OFFSET(控制台!$B$865,MATCH(_xlfn.CEILING.MATH(B143/10-1)*10,控制台!$D$865:$D$936,0)-1,0),0))</f>
        <v>150</v>
      </c>
      <c r="K143" s="15">
        <f ca="1">IFERROR(OFFSET(控制台!$B$865,MATCH(_xlfn.CEILING.MATH(B143/10)*10,控制台!$D$865:$D$936,0)-1,0),1)</f>
        <v>180</v>
      </c>
      <c r="L143" s="17">
        <f ca="1">Lerp_dyy(J143,K143,IF(MOD(B143,10)=0,1,MOD(B143,10)/10))</f>
        <v>174</v>
      </c>
      <c r="O143" s="15">
        <v>138</v>
      </c>
      <c r="P143" s="1">
        <f>_xlfn.FLOOR.MATH(O143/10+0.9)*10</f>
        <v>140</v>
      </c>
      <c r="Q143" s="1">
        <f ca="1">OFFSET(控制台!$I$1099,MATCH(P143,控制台!$H$1099:$H$1118,0)-2,0)*控制台!$K$1092</f>
        <v>5040000</v>
      </c>
      <c r="R143" s="1">
        <f ca="1">OFFSET(控制台!$I$1099,MATCH(P143,控制台!$H$1099:$H$1118,0)-1,0)*控制台!$K$1092</f>
        <v>5220000</v>
      </c>
      <c r="S143" s="16">
        <f ca="1">_xlfn.FLOOR.MATH(Lerp_dyy(Q143,R143,IF(MOD(O143,10)=0,1,MOD(O143,10)/10)),10)</f>
        <v>5184000</v>
      </c>
      <c r="T143" s="17">
        <f ca="1" t="shared" si="11"/>
        <v>255353900</v>
      </c>
      <c r="U143" s="4">
        <f ca="1">IF(AND(O143&lt;&gt;1,MOD(O143,10)=1),OFFSET(控制台!$K$1099,MATCH(P143,控制台!$H$1099:$H$1118,0)-1,0)*控制台!$K$1093,0)</f>
        <v>0</v>
      </c>
      <c r="V143" s="17">
        <f ca="1" t="shared" si="13"/>
        <v>191880</v>
      </c>
      <c r="W143" s="1">
        <f ca="1">IF(_xlfn.CEILING.MATH(O143/10)*10=10,0,IFERROR(OFFSET(控制台!$B$1007,MATCH(_xlfn.CEILING.MATH(O143/10-1)*10,控制台!$D$1007:$D$1080,0)-1,0),0))</f>
        <v>180</v>
      </c>
      <c r="X143" s="1">
        <f ca="1">IFERROR(OFFSET(控制台!$B$1007,MATCH(_xlfn.CEILING.MATH(O143/10)*10,控制台!$D$1007:$D$1080,0)-1,0),1)</f>
        <v>210</v>
      </c>
      <c r="Y143" s="17">
        <f ca="1">Lerp_dyy(W143,X143,IF(MOD(O143,10)=0,1,MOD(O143,10)/10))</f>
        <v>204</v>
      </c>
    </row>
    <row r="144" s="15" customFormat="1" spans="2:25">
      <c r="B144" s="15">
        <v>139</v>
      </c>
      <c r="C144" s="15">
        <f>_xlfn.FLOOR.MATH(B144/10+0.9)*10</f>
        <v>140</v>
      </c>
      <c r="D144" s="15">
        <f ca="1">OFFSET(控制台!$C$1099,MATCH(C144,控制台!$B$1099:$B$1118,0)-2,0)*控制台!$E$1092</f>
        <v>5040000</v>
      </c>
      <c r="E144" s="15">
        <f ca="1">OFFSET(控制台!$C$1099,MATCH(C144,控制台!$B$1099:$B$1118,0)-1,0)*控制台!$E$1092</f>
        <v>5220000</v>
      </c>
      <c r="F144" s="16">
        <f ca="1">_xlfn.FLOOR.MATH(Lerp_dyy(D144,E144,IF(MOD(B144,10)=0,1,MOD(B144,10)/10)),10)</f>
        <v>5202000</v>
      </c>
      <c r="G144" s="17">
        <f ca="1" t="shared" si="10"/>
        <v>260555900</v>
      </c>
      <c r="H144" s="16">
        <f ca="1">IF(AND(B144&lt;&gt;1,MOD(B144,10)=1),OFFSET(控制台!$E$1099,MATCH(C144,控制台!$B$1099:$B$1118,0)-1,0)*控制台!$E$1093,0)</f>
        <v>0</v>
      </c>
      <c r="I144" s="17">
        <f ca="1" t="shared" si="12"/>
        <v>191880</v>
      </c>
      <c r="J144" s="15">
        <f ca="1">IF(_xlfn.CEILING.MATH(B144/10)*10=10,0,IFERROR(OFFSET(控制台!$B$865,MATCH(_xlfn.CEILING.MATH(B144/10-1)*10,控制台!$D$865:$D$936,0)-1,0),0))</f>
        <v>150</v>
      </c>
      <c r="K144" s="15">
        <f ca="1">IFERROR(OFFSET(控制台!$B$865,MATCH(_xlfn.CEILING.MATH(B144/10)*10,控制台!$D$865:$D$936,0)-1,0),1)</f>
        <v>180</v>
      </c>
      <c r="L144" s="17">
        <f ca="1">Lerp_dyy(J144,K144,IF(MOD(B144,10)=0,1,MOD(B144,10)/10))</f>
        <v>177</v>
      </c>
      <c r="O144" s="15">
        <v>139</v>
      </c>
      <c r="P144" s="1">
        <f>_xlfn.FLOOR.MATH(O144/10+0.9)*10</f>
        <v>140</v>
      </c>
      <c r="Q144" s="1">
        <f ca="1">OFFSET(控制台!$I$1099,MATCH(P144,控制台!$H$1099:$H$1118,0)-2,0)*控制台!$K$1092</f>
        <v>5040000</v>
      </c>
      <c r="R144" s="1">
        <f ca="1">OFFSET(控制台!$I$1099,MATCH(P144,控制台!$H$1099:$H$1118,0)-1,0)*控制台!$K$1092</f>
        <v>5220000</v>
      </c>
      <c r="S144" s="16">
        <f ca="1">_xlfn.FLOOR.MATH(Lerp_dyy(Q144,R144,IF(MOD(O144,10)=0,1,MOD(O144,10)/10)),10)</f>
        <v>5202000</v>
      </c>
      <c r="T144" s="17">
        <f ca="1" t="shared" si="11"/>
        <v>260555900</v>
      </c>
      <c r="U144" s="4">
        <f ca="1">IF(AND(O144&lt;&gt;1,MOD(O144,10)=1),OFFSET(控制台!$K$1099,MATCH(P144,控制台!$H$1099:$H$1118,0)-1,0)*控制台!$K$1093,0)</f>
        <v>0</v>
      </c>
      <c r="V144" s="17">
        <f ca="1" t="shared" si="13"/>
        <v>191880</v>
      </c>
      <c r="W144" s="1">
        <f ca="1">IF(_xlfn.CEILING.MATH(O144/10)*10=10,0,IFERROR(OFFSET(控制台!$B$1007,MATCH(_xlfn.CEILING.MATH(O144/10-1)*10,控制台!$D$1007:$D$1080,0)-1,0),0))</f>
        <v>180</v>
      </c>
      <c r="X144" s="1">
        <f ca="1">IFERROR(OFFSET(控制台!$B$1007,MATCH(_xlfn.CEILING.MATH(O144/10)*10,控制台!$D$1007:$D$1080,0)-1,0),1)</f>
        <v>210</v>
      </c>
      <c r="Y144" s="17">
        <f ca="1">Lerp_dyy(W144,X144,IF(MOD(O144,10)=0,1,MOD(O144,10)/10))</f>
        <v>207</v>
      </c>
    </row>
    <row r="145" s="15" customFormat="1" spans="2:25">
      <c r="B145" s="15">
        <v>140</v>
      </c>
      <c r="C145" s="15">
        <f>_xlfn.FLOOR.MATH(B145/10+0.9)*10</f>
        <v>140</v>
      </c>
      <c r="D145" s="15">
        <f ca="1">OFFSET(控制台!$C$1099,MATCH(C145,控制台!$B$1099:$B$1118,0)-2,0)*控制台!$E$1092</f>
        <v>5040000</v>
      </c>
      <c r="E145" s="15">
        <f ca="1">OFFSET(控制台!$C$1099,MATCH(C145,控制台!$B$1099:$B$1118,0)-1,0)*控制台!$E$1092</f>
        <v>5220000</v>
      </c>
      <c r="F145" s="16">
        <f ca="1">_xlfn.FLOOR.MATH(Lerp_dyy(D145,E145,IF(MOD(B145,10)=0,1,MOD(B145,10)/10)),10)</f>
        <v>5220000</v>
      </c>
      <c r="G145" s="17">
        <f ca="1" t="shared" si="10"/>
        <v>265775900</v>
      </c>
      <c r="H145" s="16">
        <f ca="1">IF(AND(B145&lt;&gt;1,MOD(B145,10)=1),OFFSET(控制台!$E$1099,MATCH(C145,控制台!$B$1099:$B$1118,0)-1,0)*控制台!$E$1093,0)</f>
        <v>0</v>
      </c>
      <c r="I145" s="17">
        <f ca="1" t="shared" si="12"/>
        <v>191880</v>
      </c>
      <c r="J145" s="15">
        <f ca="1">IF(_xlfn.CEILING.MATH(B145/10)*10=10,0,IFERROR(OFFSET(控制台!$B$865,MATCH(_xlfn.CEILING.MATH(B145/10-1)*10,控制台!$D$865:$D$936,0)-1,0),0))</f>
        <v>150</v>
      </c>
      <c r="K145" s="15">
        <f ca="1">IFERROR(OFFSET(控制台!$B$865,MATCH(_xlfn.CEILING.MATH(B145/10)*10,控制台!$D$865:$D$936,0)-1,0),1)</f>
        <v>180</v>
      </c>
      <c r="L145" s="17">
        <f ca="1">Lerp_dyy(J145,K145,IF(MOD(B145,10)=0,1,MOD(B145,10)/10))</f>
        <v>180</v>
      </c>
      <c r="O145" s="15">
        <v>140</v>
      </c>
      <c r="P145" s="1">
        <f>_xlfn.FLOOR.MATH(O145/10+0.9)*10</f>
        <v>140</v>
      </c>
      <c r="Q145" s="1">
        <f ca="1">OFFSET(控制台!$I$1099,MATCH(P145,控制台!$H$1099:$H$1118,0)-2,0)*控制台!$K$1092</f>
        <v>5040000</v>
      </c>
      <c r="R145" s="1">
        <f ca="1">OFFSET(控制台!$I$1099,MATCH(P145,控制台!$H$1099:$H$1118,0)-1,0)*控制台!$K$1092</f>
        <v>5220000</v>
      </c>
      <c r="S145" s="16">
        <f ca="1">_xlfn.FLOOR.MATH(Lerp_dyy(Q145,R145,IF(MOD(O145,10)=0,1,MOD(O145,10)/10)),10)</f>
        <v>5220000</v>
      </c>
      <c r="T145" s="17">
        <f ca="1" t="shared" si="11"/>
        <v>265775900</v>
      </c>
      <c r="U145" s="4">
        <f ca="1">IF(AND(O145&lt;&gt;1,MOD(O145,10)=1),OFFSET(控制台!$K$1099,MATCH(P145,控制台!$H$1099:$H$1118,0)-1,0)*控制台!$K$1093,0)</f>
        <v>0</v>
      </c>
      <c r="V145" s="17">
        <f ca="1" t="shared" si="13"/>
        <v>191880</v>
      </c>
      <c r="W145" s="1">
        <f ca="1">IF(_xlfn.CEILING.MATH(O145/10)*10=10,0,IFERROR(OFFSET(控制台!$B$1007,MATCH(_xlfn.CEILING.MATH(O145/10-1)*10,控制台!$D$1007:$D$1080,0)-1,0),0))</f>
        <v>180</v>
      </c>
      <c r="X145" s="1">
        <f ca="1">IFERROR(OFFSET(控制台!$B$1007,MATCH(_xlfn.CEILING.MATH(O145/10)*10,控制台!$D$1007:$D$1080,0)-1,0),1)</f>
        <v>210</v>
      </c>
      <c r="Y145" s="17">
        <f ca="1">Lerp_dyy(W145,X145,IF(MOD(O145,10)=0,1,MOD(O145,10)/10))</f>
        <v>210</v>
      </c>
    </row>
    <row r="146" spans="2:25">
      <c r="B146" s="1">
        <v>141</v>
      </c>
      <c r="C146" s="1">
        <f>_xlfn.FLOOR.MATH(B146/10+0.9)*10</f>
        <v>150</v>
      </c>
      <c r="D146" s="1">
        <f ca="1">OFFSET(控制台!$C$1099,MATCH(C146,控制台!$B$1099:$B$1118,0)-2,0)*控制台!$E$1092</f>
        <v>5220000</v>
      </c>
      <c r="E146" s="1">
        <f ca="1">OFFSET(控制台!$C$1099,MATCH(C146,控制台!$B$1099:$B$1118,0)-1,0)*控制台!$E$1092</f>
        <v>5400000</v>
      </c>
      <c r="F146" s="4">
        <f ca="1">_xlfn.FLOOR.MATH(Lerp_dyy(D146,E146,IF(MOD(B146,10)=0,1,MOD(B146,10)/10)),10)</f>
        <v>5238000</v>
      </c>
      <c r="G146" s="5">
        <f ca="1" t="shared" si="10"/>
        <v>271013900</v>
      </c>
      <c r="H146" s="4">
        <f ca="1">IF(AND(B146&lt;&gt;1,MOD(B146,10)=1),OFFSET(控制台!$E$1099,MATCH(C146,控制台!$B$1099:$B$1118,0)-1,0)*控制台!$E$1093,0)</f>
        <v>36000</v>
      </c>
      <c r="I146" s="5">
        <f ca="1" t="shared" si="12"/>
        <v>227880</v>
      </c>
      <c r="J146" s="1">
        <f ca="1">IF(_xlfn.CEILING.MATH(B146/10)*10=10,0,IFERROR(OFFSET(控制台!$B$865,MATCH(_xlfn.CEILING.MATH(B146/10-1)*10,控制台!$D$865:$D$936,0)-1,0),0))</f>
        <v>180</v>
      </c>
      <c r="K146" s="1">
        <f ca="1">IFERROR(OFFSET(控制台!$B$865,MATCH(_xlfn.CEILING.MATH(B146/10)*10,控制台!$D$865:$D$936,0)-1,0),1)</f>
        <v>210</v>
      </c>
      <c r="L146" s="5">
        <f ca="1">Lerp_dyy(J146,K146,IF(MOD(B146,10)=0,1,MOD(B146,10)/10))</f>
        <v>183</v>
      </c>
      <c r="O146" s="1">
        <v>141</v>
      </c>
      <c r="P146" s="1">
        <f>_xlfn.FLOOR.MATH(O146/10+0.9)*10</f>
        <v>150</v>
      </c>
      <c r="Q146" s="1">
        <f ca="1">OFFSET(控制台!$I$1099,MATCH(P146,控制台!$H$1099:$H$1118,0)-2,0)*控制台!$K$1092</f>
        <v>5220000</v>
      </c>
      <c r="R146" s="1">
        <f ca="1">OFFSET(控制台!$I$1099,MATCH(P146,控制台!$H$1099:$H$1118,0)-1,0)*控制台!$K$1092</f>
        <v>5400000</v>
      </c>
      <c r="S146" s="4">
        <f ca="1">_xlfn.FLOOR.MATH(Lerp_dyy(Q146,R146,IF(MOD(O146,10)=0,1,MOD(O146,10)/10)),10)</f>
        <v>5238000</v>
      </c>
      <c r="T146" s="5">
        <f ca="1" t="shared" si="11"/>
        <v>271013900</v>
      </c>
      <c r="U146" s="4">
        <f ca="1">IF(AND(O146&lt;&gt;1,MOD(O146,10)=1),OFFSET(控制台!$K$1099,MATCH(P146,控制台!$H$1099:$H$1118,0)-1,0)*控制台!$K$1093,0)</f>
        <v>36000</v>
      </c>
      <c r="V146" s="5">
        <f ca="1" t="shared" si="13"/>
        <v>227880</v>
      </c>
      <c r="W146" s="1">
        <f ca="1">IF(_xlfn.CEILING.MATH(O146/10)*10=10,0,IFERROR(OFFSET(控制台!$B$1007,MATCH(_xlfn.CEILING.MATH(O146/10-1)*10,控制台!$D$1007:$D$1080,0)-1,0),0))</f>
        <v>210</v>
      </c>
      <c r="X146" s="1">
        <f ca="1">IFERROR(OFFSET(控制台!$B$1007,MATCH(_xlfn.CEILING.MATH(O146/10)*10,控制台!$D$1007:$D$1080,0)-1,0),1)</f>
        <v>240</v>
      </c>
      <c r="Y146" s="5">
        <f ca="1">Lerp_dyy(W146,X146,IF(MOD(O146,10)=0,1,MOD(O146,10)/10))</f>
        <v>213</v>
      </c>
    </row>
    <row r="147" spans="2:25">
      <c r="B147" s="1">
        <v>142</v>
      </c>
      <c r="C147" s="1">
        <f>_xlfn.FLOOR.MATH(B147/10+0.9)*10</f>
        <v>150</v>
      </c>
      <c r="D147" s="1">
        <f ca="1">OFFSET(控制台!$C$1099,MATCH(C147,控制台!$B$1099:$B$1118,0)-2,0)*控制台!$E$1092</f>
        <v>5220000</v>
      </c>
      <c r="E147" s="1">
        <f ca="1">OFFSET(控制台!$C$1099,MATCH(C147,控制台!$B$1099:$B$1118,0)-1,0)*控制台!$E$1092</f>
        <v>5400000</v>
      </c>
      <c r="F147" s="4">
        <f ca="1">_xlfn.FLOOR.MATH(Lerp_dyy(D147,E147,IF(MOD(B147,10)=0,1,MOD(B147,10)/10)),10)</f>
        <v>5256000</v>
      </c>
      <c r="G147" s="5">
        <f ca="1" t="shared" si="10"/>
        <v>276269900</v>
      </c>
      <c r="H147" s="4">
        <f ca="1">IF(AND(B147&lt;&gt;1,MOD(B147,10)=1),OFFSET(控制台!$E$1099,MATCH(C147,控制台!$B$1099:$B$1118,0)-1,0)*控制台!$E$1093,0)</f>
        <v>0</v>
      </c>
      <c r="I147" s="5">
        <f ca="1" t="shared" si="12"/>
        <v>227880</v>
      </c>
      <c r="J147" s="1">
        <f ca="1">IF(_xlfn.CEILING.MATH(B147/10)*10=10,0,IFERROR(OFFSET(控制台!$B$865,MATCH(_xlfn.CEILING.MATH(B147/10-1)*10,控制台!$D$865:$D$936,0)-1,0),0))</f>
        <v>180</v>
      </c>
      <c r="K147" s="1">
        <f ca="1">IFERROR(OFFSET(控制台!$B$865,MATCH(_xlfn.CEILING.MATH(B147/10)*10,控制台!$D$865:$D$936,0)-1,0),1)</f>
        <v>210</v>
      </c>
      <c r="L147" s="5">
        <f ca="1">Lerp_dyy(J147,K147,IF(MOD(B147,10)=0,1,MOD(B147,10)/10))</f>
        <v>186</v>
      </c>
      <c r="O147" s="1">
        <v>142</v>
      </c>
      <c r="P147" s="1">
        <f>_xlfn.FLOOR.MATH(O147/10+0.9)*10</f>
        <v>150</v>
      </c>
      <c r="Q147" s="1">
        <f ca="1">OFFSET(控制台!$I$1099,MATCH(P147,控制台!$H$1099:$H$1118,0)-2,0)*控制台!$K$1092</f>
        <v>5220000</v>
      </c>
      <c r="R147" s="1">
        <f ca="1">OFFSET(控制台!$I$1099,MATCH(P147,控制台!$H$1099:$H$1118,0)-1,0)*控制台!$K$1092</f>
        <v>5400000</v>
      </c>
      <c r="S147" s="4">
        <f ca="1">_xlfn.FLOOR.MATH(Lerp_dyy(Q147,R147,IF(MOD(O147,10)=0,1,MOD(O147,10)/10)),10)</f>
        <v>5256000</v>
      </c>
      <c r="T147" s="5">
        <f ca="1" t="shared" si="11"/>
        <v>276269900</v>
      </c>
      <c r="U147" s="4">
        <f ca="1">IF(AND(O147&lt;&gt;1,MOD(O147,10)=1),OFFSET(控制台!$K$1099,MATCH(P147,控制台!$H$1099:$H$1118,0)-1,0)*控制台!$K$1093,0)</f>
        <v>0</v>
      </c>
      <c r="V147" s="5">
        <f ca="1" t="shared" si="13"/>
        <v>227880</v>
      </c>
      <c r="W147" s="1">
        <f ca="1">IF(_xlfn.CEILING.MATH(O147/10)*10=10,0,IFERROR(OFFSET(控制台!$B$1007,MATCH(_xlfn.CEILING.MATH(O147/10-1)*10,控制台!$D$1007:$D$1080,0)-1,0),0))</f>
        <v>210</v>
      </c>
      <c r="X147" s="1">
        <f ca="1">IFERROR(OFFSET(控制台!$B$1007,MATCH(_xlfn.CEILING.MATH(O147/10)*10,控制台!$D$1007:$D$1080,0)-1,0),1)</f>
        <v>240</v>
      </c>
      <c r="Y147" s="5">
        <f ca="1">Lerp_dyy(W147,X147,IF(MOD(O147,10)=0,1,MOD(O147,10)/10))</f>
        <v>216</v>
      </c>
    </row>
    <row r="148" spans="2:25">
      <c r="B148" s="1">
        <v>143</v>
      </c>
      <c r="C148" s="1">
        <f>_xlfn.FLOOR.MATH(B148/10+0.9)*10</f>
        <v>150</v>
      </c>
      <c r="D148" s="1">
        <f ca="1">OFFSET(控制台!$C$1099,MATCH(C148,控制台!$B$1099:$B$1118,0)-2,0)*控制台!$E$1092</f>
        <v>5220000</v>
      </c>
      <c r="E148" s="1">
        <f ca="1">OFFSET(控制台!$C$1099,MATCH(C148,控制台!$B$1099:$B$1118,0)-1,0)*控制台!$E$1092</f>
        <v>5400000</v>
      </c>
      <c r="F148" s="4">
        <f ca="1">_xlfn.FLOOR.MATH(Lerp_dyy(D148,E148,IF(MOD(B148,10)=0,1,MOD(B148,10)/10)),10)</f>
        <v>5274000</v>
      </c>
      <c r="G148" s="5">
        <f ca="1" t="shared" si="10"/>
        <v>281543900</v>
      </c>
      <c r="H148" s="4">
        <f ca="1">IF(AND(B148&lt;&gt;1,MOD(B148,10)=1),OFFSET(控制台!$E$1099,MATCH(C148,控制台!$B$1099:$B$1118,0)-1,0)*控制台!$E$1093,0)</f>
        <v>0</v>
      </c>
      <c r="I148" s="5">
        <f ca="1" t="shared" si="12"/>
        <v>227880</v>
      </c>
      <c r="J148" s="1">
        <f ca="1">IF(_xlfn.CEILING.MATH(B148/10)*10=10,0,IFERROR(OFFSET(控制台!$B$865,MATCH(_xlfn.CEILING.MATH(B148/10-1)*10,控制台!$D$865:$D$936,0)-1,0),0))</f>
        <v>180</v>
      </c>
      <c r="K148" s="1">
        <f ca="1">IFERROR(OFFSET(控制台!$B$865,MATCH(_xlfn.CEILING.MATH(B148/10)*10,控制台!$D$865:$D$936,0)-1,0),1)</f>
        <v>210</v>
      </c>
      <c r="L148" s="5">
        <f ca="1">Lerp_dyy(J148,K148,IF(MOD(B148,10)=0,1,MOD(B148,10)/10))</f>
        <v>189</v>
      </c>
      <c r="O148" s="1">
        <v>143</v>
      </c>
      <c r="P148" s="1">
        <f>_xlfn.FLOOR.MATH(O148/10+0.9)*10</f>
        <v>150</v>
      </c>
      <c r="Q148" s="1">
        <f ca="1">OFFSET(控制台!$I$1099,MATCH(P148,控制台!$H$1099:$H$1118,0)-2,0)*控制台!$K$1092</f>
        <v>5220000</v>
      </c>
      <c r="R148" s="1">
        <f ca="1">OFFSET(控制台!$I$1099,MATCH(P148,控制台!$H$1099:$H$1118,0)-1,0)*控制台!$K$1092</f>
        <v>5400000</v>
      </c>
      <c r="S148" s="4">
        <f ca="1">_xlfn.FLOOR.MATH(Lerp_dyy(Q148,R148,IF(MOD(O148,10)=0,1,MOD(O148,10)/10)),10)</f>
        <v>5274000</v>
      </c>
      <c r="T148" s="5">
        <f ca="1" t="shared" si="11"/>
        <v>281543900</v>
      </c>
      <c r="U148" s="4">
        <f ca="1">IF(AND(O148&lt;&gt;1,MOD(O148,10)=1),OFFSET(控制台!$K$1099,MATCH(P148,控制台!$H$1099:$H$1118,0)-1,0)*控制台!$K$1093,0)</f>
        <v>0</v>
      </c>
      <c r="V148" s="5">
        <f ca="1" t="shared" si="13"/>
        <v>227880</v>
      </c>
      <c r="W148" s="1">
        <f ca="1">IF(_xlfn.CEILING.MATH(O148/10)*10=10,0,IFERROR(OFFSET(控制台!$B$1007,MATCH(_xlfn.CEILING.MATH(O148/10-1)*10,控制台!$D$1007:$D$1080,0)-1,0),0))</f>
        <v>210</v>
      </c>
      <c r="X148" s="1">
        <f ca="1">IFERROR(OFFSET(控制台!$B$1007,MATCH(_xlfn.CEILING.MATH(O148/10)*10,控制台!$D$1007:$D$1080,0)-1,0),1)</f>
        <v>240</v>
      </c>
      <c r="Y148" s="5">
        <f ca="1">Lerp_dyy(W148,X148,IF(MOD(O148,10)=0,1,MOD(O148,10)/10))</f>
        <v>219</v>
      </c>
    </row>
    <row r="149" spans="2:25">
      <c r="B149" s="1">
        <v>144</v>
      </c>
      <c r="C149" s="1">
        <f>_xlfn.FLOOR.MATH(B149/10+0.9)*10</f>
        <v>150</v>
      </c>
      <c r="D149" s="1">
        <f ca="1">OFFSET(控制台!$C$1099,MATCH(C149,控制台!$B$1099:$B$1118,0)-2,0)*控制台!$E$1092</f>
        <v>5220000</v>
      </c>
      <c r="E149" s="1">
        <f ca="1">OFFSET(控制台!$C$1099,MATCH(C149,控制台!$B$1099:$B$1118,0)-1,0)*控制台!$E$1092</f>
        <v>5400000</v>
      </c>
      <c r="F149" s="4">
        <f ca="1">_xlfn.FLOOR.MATH(Lerp_dyy(D149,E149,IF(MOD(B149,10)=0,1,MOD(B149,10)/10)),10)</f>
        <v>5292000</v>
      </c>
      <c r="G149" s="5">
        <f ca="1" t="shared" si="10"/>
        <v>286835900</v>
      </c>
      <c r="H149" s="4">
        <f ca="1">IF(AND(B149&lt;&gt;1,MOD(B149,10)=1),OFFSET(控制台!$E$1099,MATCH(C149,控制台!$B$1099:$B$1118,0)-1,0)*控制台!$E$1093,0)</f>
        <v>0</v>
      </c>
      <c r="I149" s="5">
        <f ca="1" t="shared" si="12"/>
        <v>227880</v>
      </c>
      <c r="J149" s="1">
        <f ca="1">IF(_xlfn.CEILING.MATH(B149/10)*10=10,0,IFERROR(OFFSET(控制台!$B$865,MATCH(_xlfn.CEILING.MATH(B149/10-1)*10,控制台!$D$865:$D$936,0)-1,0),0))</f>
        <v>180</v>
      </c>
      <c r="K149" s="1">
        <f ca="1">IFERROR(OFFSET(控制台!$B$865,MATCH(_xlfn.CEILING.MATH(B149/10)*10,控制台!$D$865:$D$936,0)-1,0),1)</f>
        <v>210</v>
      </c>
      <c r="L149" s="5">
        <f ca="1">Lerp_dyy(J149,K149,IF(MOD(B149,10)=0,1,MOD(B149,10)/10))</f>
        <v>192</v>
      </c>
      <c r="O149" s="1">
        <v>144</v>
      </c>
      <c r="P149" s="1">
        <f>_xlfn.FLOOR.MATH(O149/10+0.9)*10</f>
        <v>150</v>
      </c>
      <c r="Q149" s="1">
        <f ca="1">OFFSET(控制台!$I$1099,MATCH(P149,控制台!$H$1099:$H$1118,0)-2,0)*控制台!$K$1092</f>
        <v>5220000</v>
      </c>
      <c r="R149" s="1">
        <f ca="1">OFFSET(控制台!$I$1099,MATCH(P149,控制台!$H$1099:$H$1118,0)-1,0)*控制台!$K$1092</f>
        <v>5400000</v>
      </c>
      <c r="S149" s="4">
        <f ca="1">_xlfn.FLOOR.MATH(Lerp_dyy(Q149,R149,IF(MOD(O149,10)=0,1,MOD(O149,10)/10)),10)</f>
        <v>5292000</v>
      </c>
      <c r="T149" s="5">
        <f ca="1" t="shared" si="11"/>
        <v>286835900</v>
      </c>
      <c r="U149" s="4">
        <f ca="1">IF(AND(O149&lt;&gt;1,MOD(O149,10)=1),OFFSET(控制台!$K$1099,MATCH(P149,控制台!$H$1099:$H$1118,0)-1,0)*控制台!$K$1093,0)</f>
        <v>0</v>
      </c>
      <c r="V149" s="5">
        <f ca="1" t="shared" si="13"/>
        <v>227880</v>
      </c>
      <c r="W149" s="1">
        <f ca="1">IF(_xlfn.CEILING.MATH(O149/10)*10=10,0,IFERROR(OFFSET(控制台!$B$1007,MATCH(_xlfn.CEILING.MATH(O149/10-1)*10,控制台!$D$1007:$D$1080,0)-1,0),0))</f>
        <v>210</v>
      </c>
      <c r="X149" s="1">
        <f ca="1">IFERROR(OFFSET(控制台!$B$1007,MATCH(_xlfn.CEILING.MATH(O149/10)*10,控制台!$D$1007:$D$1080,0)-1,0),1)</f>
        <v>240</v>
      </c>
      <c r="Y149" s="5">
        <f ca="1">Lerp_dyy(W149,X149,IF(MOD(O149,10)=0,1,MOD(O149,10)/10))</f>
        <v>222</v>
      </c>
    </row>
    <row r="150" spans="2:25">
      <c r="B150" s="1">
        <v>145</v>
      </c>
      <c r="C150" s="1">
        <f>_xlfn.FLOOR.MATH(B150/10+0.9)*10</f>
        <v>150</v>
      </c>
      <c r="D150" s="1">
        <f ca="1">OFFSET(控制台!$C$1099,MATCH(C150,控制台!$B$1099:$B$1118,0)-2,0)*控制台!$E$1092</f>
        <v>5220000</v>
      </c>
      <c r="E150" s="1">
        <f ca="1">OFFSET(控制台!$C$1099,MATCH(C150,控制台!$B$1099:$B$1118,0)-1,0)*控制台!$E$1092</f>
        <v>5400000</v>
      </c>
      <c r="F150" s="4">
        <f ca="1">_xlfn.FLOOR.MATH(Lerp_dyy(D150,E150,IF(MOD(B150,10)=0,1,MOD(B150,10)/10)),10)</f>
        <v>5310000</v>
      </c>
      <c r="G150" s="5">
        <f ca="1" t="shared" si="10"/>
        <v>292145900</v>
      </c>
      <c r="H150" s="4">
        <f ca="1">IF(AND(B150&lt;&gt;1,MOD(B150,10)=1),OFFSET(控制台!$E$1099,MATCH(C150,控制台!$B$1099:$B$1118,0)-1,0)*控制台!$E$1093,0)</f>
        <v>0</v>
      </c>
      <c r="I150" s="5">
        <f ca="1" t="shared" si="12"/>
        <v>227880</v>
      </c>
      <c r="J150" s="1">
        <f ca="1">IF(_xlfn.CEILING.MATH(B150/10)*10=10,0,IFERROR(OFFSET(控制台!$B$865,MATCH(_xlfn.CEILING.MATH(B150/10-1)*10,控制台!$D$865:$D$936,0)-1,0),0))</f>
        <v>180</v>
      </c>
      <c r="K150" s="1">
        <f ca="1">IFERROR(OFFSET(控制台!$B$865,MATCH(_xlfn.CEILING.MATH(B150/10)*10,控制台!$D$865:$D$936,0)-1,0),1)</f>
        <v>210</v>
      </c>
      <c r="L150" s="5">
        <f ca="1">Lerp_dyy(J150,K150,IF(MOD(B150,10)=0,1,MOD(B150,10)/10))</f>
        <v>195</v>
      </c>
      <c r="O150" s="1">
        <v>145</v>
      </c>
      <c r="P150" s="1">
        <f>_xlfn.FLOOR.MATH(O150/10+0.9)*10</f>
        <v>150</v>
      </c>
      <c r="Q150" s="1">
        <f ca="1">OFFSET(控制台!$I$1099,MATCH(P150,控制台!$H$1099:$H$1118,0)-2,0)*控制台!$K$1092</f>
        <v>5220000</v>
      </c>
      <c r="R150" s="1">
        <f ca="1">OFFSET(控制台!$I$1099,MATCH(P150,控制台!$H$1099:$H$1118,0)-1,0)*控制台!$K$1092</f>
        <v>5400000</v>
      </c>
      <c r="S150" s="4">
        <f ca="1">_xlfn.FLOOR.MATH(Lerp_dyy(Q150,R150,IF(MOD(O150,10)=0,1,MOD(O150,10)/10)),10)</f>
        <v>5310000</v>
      </c>
      <c r="T150" s="5">
        <f ca="1" t="shared" si="11"/>
        <v>292145900</v>
      </c>
      <c r="U150" s="4">
        <f ca="1">IF(AND(O150&lt;&gt;1,MOD(O150,10)=1),OFFSET(控制台!$K$1099,MATCH(P150,控制台!$H$1099:$H$1118,0)-1,0)*控制台!$K$1093,0)</f>
        <v>0</v>
      </c>
      <c r="V150" s="5">
        <f ca="1" t="shared" si="13"/>
        <v>227880</v>
      </c>
      <c r="W150" s="1">
        <f ca="1">IF(_xlfn.CEILING.MATH(O150/10)*10=10,0,IFERROR(OFFSET(控制台!$B$1007,MATCH(_xlfn.CEILING.MATH(O150/10-1)*10,控制台!$D$1007:$D$1080,0)-1,0),0))</f>
        <v>210</v>
      </c>
      <c r="X150" s="1">
        <f ca="1">IFERROR(OFFSET(控制台!$B$1007,MATCH(_xlfn.CEILING.MATH(O150/10)*10,控制台!$D$1007:$D$1080,0)-1,0),1)</f>
        <v>240</v>
      </c>
      <c r="Y150" s="5">
        <f ca="1">Lerp_dyy(W150,X150,IF(MOD(O150,10)=0,1,MOD(O150,10)/10))</f>
        <v>225</v>
      </c>
    </row>
    <row r="151" spans="2:25">
      <c r="B151" s="1">
        <v>146</v>
      </c>
      <c r="C151" s="1">
        <f>_xlfn.FLOOR.MATH(B151/10+0.9)*10</f>
        <v>150</v>
      </c>
      <c r="D151" s="1">
        <f ca="1">OFFSET(控制台!$C$1099,MATCH(C151,控制台!$B$1099:$B$1118,0)-2,0)*控制台!$E$1092</f>
        <v>5220000</v>
      </c>
      <c r="E151" s="1">
        <f ca="1">OFFSET(控制台!$C$1099,MATCH(C151,控制台!$B$1099:$B$1118,0)-1,0)*控制台!$E$1092</f>
        <v>5400000</v>
      </c>
      <c r="F151" s="4">
        <f ca="1">_xlfn.FLOOR.MATH(Lerp_dyy(D151,E151,IF(MOD(B151,10)=0,1,MOD(B151,10)/10)),10)</f>
        <v>5328000</v>
      </c>
      <c r="G151" s="5">
        <f ca="1" t="shared" si="10"/>
        <v>297473900</v>
      </c>
      <c r="H151" s="4">
        <f ca="1">IF(AND(B151&lt;&gt;1,MOD(B151,10)=1),OFFSET(控制台!$E$1099,MATCH(C151,控制台!$B$1099:$B$1118,0)-1,0)*控制台!$E$1093,0)</f>
        <v>0</v>
      </c>
      <c r="I151" s="5">
        <f ca="1" t="shared" si="12"/>
        <v>227880</v>
      </c>
      <c r="J151" s="1">
        <f ca="1">IF(_xlfn.CEILING.MATH(B151/10)*10=10,0,IFERROR(OFFSET(控制台!$B$865,MATCH(_xlfn.CEILING.MATH(B151/10-1)*10,控制台!$D$865:$D$936,0)-1,0),0))</f>
        <v>180</v>
      </c>
      <c r="K151" s="1">
        <f ca="1">IFERROR(OFFSET(控制台!$B$865,MATCH(_xlfn.CEILING.MATH(B151/10)*10,控制台!$D$865:$D$936,0)-1,0),1)</f>
        <v>210</v>
      </c>
      <c r="L151" s="5">
        <f ca="1">Lerp_dyy(J151,K151,IF(MOD(B151,10)=0,1,MOD(B151,10)/10))</f>
        <v>198</v>
      </c>
      <c r="O151" s="1">
        <v>146</v>
      </c>
      <c r="P151" s="1">
        <f>_xlfn.FLOOR.MATH(O151/10+0.9)*10</f>
        <v>150</v>
      </c>
      <c r="Q151" s="1">
        <f ca="1">OFFSET(控制台!$I$1099,MATCH(P151,控制台!$H$1099:$H$1118,0)-2,0)*控制台!$K$1092</f>
        <v>5220000</v>
      </c>
      <c r="R151" s="1">
        <f ca="1">OFFSET(控制台!$I$1099,MATCH(P151,控制台!$H$1099:$H$1118,0)-1,0)*控制台!$K$1092</f>
        <v>5400000</v>
      </c>
      <c r="S151" s="4">
        <f ca="1">_xlfn.FLOOR.MATH(Lerp_dyy(Q151,R151,IF(MOD(O151,10)=0,1,MOD(O151,10)/10)),10)</f>
        <v>5328000</v>
      </c>
      <c r="T151" s="5">
        <f ca="1" t="shared" si="11"/>
        <v>297473900</v>
      </c>
      <c r="U151" s="4">
        <f ca="1">IF(AND(O151&lt;&gt;1,MOD(O151,10)=1),OFFSET(控制台!$K$1099,MATCH(P151,控制台!$H$1099:$H$1118,0)-1,0)*控制台!$K$1093,0)</f>
        <v>0</v>
      </c>
      <c r="V151" s="5">
        <f ca="1" t="shared" si="13"/>
        <v>227880</v>
      </c>
      <c r="W151" s="1">
        <f ca="1">IF(_xlfn.CEILING.MATH(O151/10)*10=10,0,IFERROR(OFFSET(控制台!$B$1007,MATCH(_xlfn.CEILING.MATH(O151/10-1)*10,控制台!$D$1007:$D$1080,0)-1,0),0))</f>
        <v>210</v>
      </c>
      <c r="X151" s="1">
        <f ca="1">IFERROR(OFFSET(控制台!$B$1007,MATCH(_xlfn.CEILING.MATH(O151/10)*10,控制台!$D$1007:$D$1080,0)-1,0),1)</f>
        <v>240</v>
      </c>
      <c r="Y151" s="5">
        <f ca="1">Lerp_dyy(W151,X151,IF(MOD(O151,10)=0,1,MOD(O151,10)/10))</f>
        <v>228</v>
      </c>
    </row>
    <row r="152" spans="2:25">
      <c r="B152" s="1">
        <v>147</v>
      </c>
      <c r="C152" s="1">
        <f>_xlfn.FLOOR.MATH(B152/10+0.9)*10</f>
        <v>150</v>
      </c>
      <c r="D152" s="1">
        <f ca="1">OFFSET(控制台!$C$1099,MATCH(C152,控制台!$B$1099:$B$1118,0)-2,0)*控制台!$E$1092</f>
        <v>5220000</v>
      </c>
      <c r="E152" s="1">
        <f ca="1">OFFSET(控制台!$C$1099,MATCH(C152,控制台!$B$1099:$B$1118,0)-1,0)*控制台!$E$1092</f>
        <v>5400000</v>
      </c>
      <c r="F152" s="4">
        <f ca="1">_xlfn.FLOOR.MATH(Lerp_dyy(D152,E152,IF(MOD(B152,10)=0,1,MOD(B152,10)/10)),10)</f>
        <v>5346000</v>
      </c>
      <c r="G152" s="5">
        <f ca="1" t="shared" si="10"/>
        <v>302819900</v>
      </c>
      <c r="H152" s="4">
        <f ca="1">IF(AND(B152&lt;&gt;1,MOD(B152,10)=1),OFFSET(控制台!$E$1099,MATCH(C152,控制台!$B$1099:$B$1118,0)-1,0)*控制台!$E$1093,0)</f>
        <v>0</v>
      </c>
      <c r="I152" s="5">
        <f ca="1" t="shared" si="12"/>
        <v>227880</v>
      </c>
      <c r="J152" s="1">
        <f ca="1">IF(_xlfn.CEILING.MATH(B152/10)*10=10,0,IFERROR(OFFSET(控制台!$B$865,MATCH(_xlfn.CEILING.MATH(B152/10-1)*10,控制台!$D$865:$D$936,0)-1,0),0))</f>
        <v>180</v>
      </c>
      <c r="K152" s="1">
        <f ca="1">IFERROR(OFFSET(控制台!$B$865,MATCH(_xlfn.CEILING.MATH(B152/10)*10,控制台!$D$865:$D$936,0)-1,0),1)</f>
        <v>210</v>
      </c>
      <c r="L152" s="5">
        <f ca="1">Lerp_dyy(J152,K152,IF(MOD(B152,10)=0,1,MOD(B152,10)/10))</f>
        <v>201</v>
      </c>
      <c r="O152" s="1">
        <v>147</v>
      </c>
      <c r="P152" s="1">
        <f>_xlfn.FLOOR.MATH(O152/10+0.9)*10</f>
        <v>150</v>
      </c>
      <c r="Q152" s="1">
        <f ca="1">OFFSET(控制台!$I$1099,MATCH(P152,控制台!$H$1099:$H$1118,0)-2,0)*控制台!$K$1092</f>
        <v>5220000</v>
      </c>
      <c r="R152" s="1">
        <f ca="1">OFFSET(控制台!$I$1099,MATCH(P152,控制台!$H$1099:$H$1118,0)-1,0)*控制台!$K$1092</f>
        <v>5400000</v>
      </c>
      <c r="S152" s="4">
        <f ca="1">_xlfn.FLOOR.MATH(Lerp_dyy(Q152,R152,IF(MOD(O152,10)=0,1,MOD(O152,10)/10)),10)</f>
        <v>5346000</v>
      </c>
      <c r="T152" s="5">
        <f ca="1" t="shared" si="11"/>
        <v>302819900</v>
      </c>
      <c r="U152" s="4">
        <f ca="1">IF(AND(O152&lt;&gt;1,MOD(O152,10)=1),OFFSET(控制台!$K$1099,MATCH(P152,控制台!$H$1099:$H$1118,0)-1,0)*控制台!$K$1093,0)</f>
        <v>0</v>
      </c>
      <c r="V152" s="5">
        <f ca="1" t="shared" si="13"/>
        <v>227880</v>
      </c>
      <c r="W152" s="1">
        <f ca="1">IF(_xlfn.CEILING.MATH(O152/10)*10=10,0,IFERROR(OFFSET(控制台!$B$1007,MATCH(_xlfn.CEILING.MATH(O152/10-1)*10,控制台!$D$1007:$D$1080,0)-1,0),0))</f>
        <v>210</v>
      </c>
      <c r="X152" s="1">
        <f ca="1">IFERROR(OFFSET(控制台!$B$1007,MATCH(_xlfn.CEILING.MATH(O152/10)*10,控制台!$D$1007:$D$1080,0)-1,0),1)</f>
        <v>240</v>
      </c>
      <c r="Y152" s="5">
        <f ca="1">Lerp_dyy(W152,X152,IF(MOD(O152,10)=0,1,MOD(O152,10)/10))</f>
        <v>231</v>
      </c>
    </row>
    <row r="153" spans="2:25">
      <c r="B153" s="1">
        <v>148</v>
      </c>
      <c r="C153" s="1">
        <f>_xlfn.FLOOR.MATH(B153/10+0.9)*10</f>
        <v>150</v>
      </c>
      <c r="D153" s="1">
        <f ca="1">OFFSET(控制台!$C$1099,MATCH(C153,控制台!$B$1099:$B$1118,0)-2,0)*控制台!$E$1092</f>
        <v>5220000</v>
      </c>
      <c r="E153" s="1">
        <f ca="1">OFFSET(控制台!$C$1099,MATCH(C153,控制台!$B$1099:$B$1118,0)-1,0)*控制台!$E$1092</f>
        <v>5400000</v>
      </c>
      <c r="F153" s="4">
        <f ca="1">_xlfn.FLOOR.MATH(Lerp_dyy(D153,E153,IF(MOD(B153,10)=0,1,MOD(B153,10)/10)),10)</f>
        <v>5364000</v>
      </c>
      <c r="G153" s="5">
        <f ca="1" t="shared" si="10"/>
        <v>308183900</v>
      </c>
      <c r="H153" s="4">
        <f ca="1">IF(AND(B153&lt;&gt;1,MOD(B153,10)=1),OFFSET(控制台!$E$1099,MATCH(C153,控制台!$B$1099:$B$1118,0)-1,0)*控制台!$E$1093,0)</f>
        <v>0</v>
      </c>
      <c r="I153" s="5">
        <f ca="1" t="shared" si="12"/>
        <v>227880</v>
      </c>
      <c r="J153" s="1">
        <f ca="1">IF(_xlfn.CEILING.MATH(B153/10)*10=10,0,IFERROR(OFFSET(控制台!$B$865,MATCH(_xlfn.CEILING.MATH(B153/10-1)*10,控制台!$D$865:$D$936,0)-1,0),0))</f>
        <v>180</v>
      </c>
      <c r="K153" s="1">
        <f ca="1">IFERROR(OFFSET(控制台!$B$865,MATCH(_xlfn.CEILING.MATH(B153/10)*10,控制台!$D$865:$D$936,0)-1,0),1)</f>
        <v>210</v>
      </c>
      <c r="L153" s="5">
        <f ca="1">Lerp_dyy(J153,K153,IF(MOD(B153,10)=0,1,MOD(B153,10)/10))</f>
        <v>204</v>
      </c>
      <c r="O153" s="1">
        <v>148</v>
      </c>
      <c r="P153" s="1">
        <f>_xlfn.FLOOR.MATH(O153/10+0.9)*10</f>
        <v>150</v>
      </c>
      <c r="Q153" s="1">
        <f ca="1">OFFSET(控制台!$I$1099,MATCH(P153,控制台!$H$1099:$H$1118,0)-2,0)*控制台!$K$1092</f>
        <v>5220000</v>
      </c>
      <c r="R153" s="1">
        <f ca="1">OFFSET(控制台!$I$1099,MATCH(P153,控制台!$H$1099:$H$1118,0)-1,0)*控制台!$K$1092</f>
        <v>5400000</v>
      </c>
      <c r="S153" s="4">
        <f ca="1">_xlfn.FLOOR.MATH(Lerp_dyy(Q153,R153,IF(MOD(O153,10)=0,1,MOD(O153,10)/10)),10)</f>
        <v>5364000</v>
      </c>
      <c r="T153" s="5">
        <f ca="1" t="shared" si="11"/>
        <v>308183900</v>
      </c>
      <c r="U153" s="4">
        <f ca="1">IF(AND(O153&lt;&gt;1,MOD(O153,10)=1),OFFSET(控制台!$K$1099,MATCH(P153,控制台!$H$1099:$H$1118,0)-1,0)*控制台!$K$1093,0)</f>
        <v>0</v>
      </c>
      <c r="V153" s="5">
        <f ca="1" t="shared" si="13"/>
        <v>227880</v>
      </c>
      <c r="W153" s="1">
        <f ca="1">IF(_xlfn.CEILING.MATH(O153/10)*10=10,0,IFERROR(OFFSET(控制台!$B$1007,MATCH(_xlfn.CEILING.MATH(O153/10-1)*10,控制台!$D$1007:$D$1080,0)-1,0),0))</f>
        <v>210</v>
      </c>
      <c r="X153" s="1">
        <f ca="1">IFERROR(OFFSET(控制台!$B$1007,MATCH(_xlfn.CEILING.MATH(O153/10)*10,控制台!$D$1007:$D$1080,0)-1,0),1)</f>
        <v>240</v>
      </c>
      <c r="Y153" s="5">
        <f ca="1">Lerp_dyy(W153,X153,IF(MOD(O153,10)=0,1,MOD(O153,10)/10))</f>
        <v>234</v>
      </c>
    </row>
    <row r="154" spans="2:25">
      <c r="B154" s="1">
        <v>149</v>
      </c>
      <c r="C154" s="1">
        <f>_xlfn.FLOOR.MATH(B154/10+0.9)*10</f>
        <v>150</v>
      </c>
      <c r="D154" s="1">
        <f ca="1">OFFSET(控制台!$C$1099,MATCH(C154,控制台!$B$1099:$B$1118,0)-2,0)*控制台!$E$1092</f>
        <v>5220000</v>
      </c>
      <c r="E154" s="1">
        <f ca="1">OFFSET(控制台!$C$1099,MATCH(C154,控制台!$B$1099:$B$1118,0)-1,0)*控制台!$E$1092</f>
        <v>5400000</v>
      </c>
      <c r="F154" s="4">
        <f ca="1">_xlfn.FLOOR.MATH(Lerp_dyy(D154,E154,IF(MOD(B154,10)=0,1,MOD(B154,10)/10)),10)</f>
        <v>5382000</v>
      </c>
      <c r="G154" s="5">
        <f ca="1" t="shared" si="10"/>
        <v>313565900</v>
      </c>
      <c r="H154" s="4">
        <f ca="1">IF(AND(B154&lt;&gt;1,MOD(B154,10)=1),OFFSET(控制台!$E$1099,MATCH(C154,控制台!$B$1099:$B$1118,0)-1,0)*控制台!$E$1093,0)</f>
        <v>0</v>
      </c>
      <c r="I154" s="5">
        <f ca="1" t="shared" si="12"/>
        <v>227880</v>
      </c>
      <c r="J154" s="1">
        <f ca="1">IF(_xlfn.CEILING.MATH(B154/10)*10=10,0,IFERROR(OFFSET(控制台!$B$865,MATCH(_xlfn.CEILING.MATH(B154/10-1)*10,控制台!$D$865:$D$936,0)-1,0),0))</f>
        <v>180</v>
      </c>
      <c r="K154" s="1">
        <f ca="1">IFERROR(OFFSET(控制台!$B$865,MATCH(_xlfn.CEILING.MATH(B154/10)*10,控制台!$D$865:$D$936,0)-1,0),1)</f>
        <v>210</v>
      </c>
      <c r="L154" s="5">
        <f ca="1">Lerp_dyy(J154,K154,IF(MOD(B154,10)=0,1,MOD(B154,10)/10))</f>
        <v>207</v>
      </c>
      <c r="O154" s="1">
        <v>149</v>
      </c>
      <c r="P154" s="1">
        <f>_xlfn.FLOOR.MATH(O154/10+0.9)*10</f>
        <v>150</v>
      </c>
      <c r="Q154" s="1">
        <f ca="1">OFFSET(控制台!$I$1099,MATCH(P154,控制台!$H$1099:$H$1118,0)-2,0)*控制台!$K$1092</f>
        <v>5220000</v>
      </c>
      <c r="R154" s="1">
        <f ca="1">OFFSET(控制台!$I$1099,MATCH(P154,控制台!$H$1099:$H$1118,0)-1,0)*控制台!$K$1092</f>
        <v>5400000</v>
      </c>
      <c r="S154" s="4">
        <f ca="1">_xlfn.FLOOR.MATH(Lerp_dyy(Q154,R154,IF(MOD(O154,10)=0,1,MOD(O154,10)/10)),10)</f>
        <v>5382000</v>
      </c>
      <c r="T154" s="5">
        <f ca="1" t="shared" si="11"/>
        <v>313565900</v>
      </c>
      <c r="U154" s="4">
        <f ca="1">IF(AND(O154&lt;&gt;1,MOD(O154,10)=1),OFFSET(控制台!$K$1099,MATCH(P154,控制台!$H$1099:$H$1118,0)-1,0)*控制台!$K$1093,0)</f>
        <v>0</v>
      </c>
      <c r="V154" s="5">
        <f ca="1" t="shared" si="13"/>
        <v>227880</v>
      </c>
      <c r="W154" s="1">
        <f ca="1">IF(_xlfn.CEILING.MATH(O154/10)*10=10,0,IFERROR(OFFSET(控制台!$B$1007,MATCH(_xlfn.CEILING.MATH(O154/10-1)*10,控制台!$D$1007:$D$1080,0)-1,0),0))</f>
        <v>210</v>
      </c>
      <c r="X154" s="1">
        <f ca="1">IFERROR(OFFSET(控制台!$B$1007,MATCH(_xlfn.CEILING.MATH(O154/10)*10,控制台!$D$1007:$D$1080,0)-1,0),1)</f>
        <v>240</v>
      </c>
      <c r="Y154" s="5">
        <f ca="1">Lerp_dyy(W154,X154,IF(MOD(O154,10)=0,1,MOD(O154,10)/10))</f>
        <v>237</v>
      </c>
    </row>
    <row r="155" spans="2:25">
      <c r="B155" s="1">
        <v>150</v>
      </c>
      <c r="C155" s="1">
        <f>_xlfn.FLOOR.MATH(B155/10+0.9)*10</f>
        <v>150</v>
      </c>
      <c r="D155" s="1">
        <f ca="1">OFFSET(控制台!$C$1099,MATCH(C155,控制台!$B$1099:$B$1118,0)-2,0)*控制台!$E$1092</f>
        <v>5220000</v>
      </c>
      <c r="E155" s="1">
        <f ca="1">OFFSET(控制台!$C$1099,MATCH(C155,控制台!$B$1099:$B$1118,0)-1,0)*控制台!$E$1092</f>
        <v>5400000</v>
      </c>
      <c r="F155" s="4">
        <f ca="1">_xlfn.FLOOR.MATH(Lerp_dyy(D155,E155,IF(MOD(B155,10)=0,1,MOD(B155,10)/10)),10)</f>
        <v>5400000</v>
      </c>
      <c r="G155" s="5">
        <f ca="1" t="shared" si="10"/>
        <v>318965900</v>
      </c>
      <c r="H155" s="4">
        <f ca="1">IF(AND(B155&lt;&gt;1,MOD(B155,10)=1),OFFSET(控制台!$E$1099,MATCH(C155,控制台!$B$1099:$B$1118,0)-1,0)*控制台!$E$1093,0)</f>
        <v>0</v>
      </c>
      <c r="I155" s="5">
        <f ca="1" t="shared" si="12"/>
        <v>227880</v>
      </c>
      <c r="J155" s="1">
        <f ca="1">IF(_xlfn.CEILING.MATH(B155/10)*10=10,0,IFERROR(OFFSET(控制台!$B$865,MATCH(_xlfn.CEILING.MATH(B155/10-1)*10,控制台!$D$865:$D$936,0)-1,0),0))</f>
        <v>180</v>
      </c>
      <c r="K155" s="1">
        <f ca="1">IFERROR(OFFSET(控制台!$B$865,MATCH(_xlfn.CEILING.MATH(B155/10)*10,控制台!$D$865:$D$936,0)-1,0),1)</f>
        <v>210</v>
      </c>
      <c r="L155" s="5">
        <f ca="1">Lerp_dyy(J155,K155,IF(MOD(B155,10)=0,1,MOD(B155,10)/10))</f>
        <v>210</v>
      </c>
      <c r="O155" s="1">
        <v>150</v>
      </c>
      <c r="P155" s="1">
        <f>_xlfn.FLOOR.MATH(O155/10+0.9)*10</f>
        <v>150</v>
      </c>
      <c r="Q155" s="1">
        <f ca="1">OFFSET(控制台!$I$1099,MATCH(P155,控制台!$H$1099:$H$1118,0)-2,0)*控制台!$K$1092</f>
        <v>5220000</v>
      </c>
      <c r="R155" s="1">
        <f ca="1">OFFSET(控制台!$I$1099,MATCH(P155,控制台!$H$1099:$H$1118,0)-1,0)*控制台!$K$1092</f>
        <v>5400000</v>
      </c>
      <c r="S155" s="4">
        <f ca="1">_xlfn.FLOOR.MATH(Lerp_dyy(Q155,R155,IF(MOD(O155,10)=0,1,MOD(O155,10)/10)),10)</f>
        <v>5400000</v>
      </c>
      <c r="T155" s="5">
        <f ca="1" t="shared" si="11"/>
        <v>318965900</v>
      </c>
      <c r="U155" s="4">
        <f ca="1">IF(AND(O155&lt;&gt;1,MOD(O155,10)=1),OFFSET(控制台!$K$1099,MATCH(P155,控制台!$H$1099:$H$1118,0)-1,0)*控制台!$K$1093,0)</f>
        <v>0</v>
      </c>
      <c r="V155" s="5">
        <f ca="1" t="shared" si="13"/>
        <v>227880</v>
      </c>
      <c r="W155" s="1">
        <f ca="1">IF(_xlfn.CEILING.MATH(O155/10)*10=10,0,IFERROR(OFFSET(控制台!$B$1007,MATCH(_xlfn.CEILING.MATH(O155/10-1)*10,控制台!$D$1007:$D$1080,0)-1,0),0))</f>
        <v>210</v>
      </c>
      <c r="X155" s="1">
        <f ca="1">IFERROR(OFFSET(控制台!$B$1007,MATCH(_xlfn.CEILING.MATH(O155/10)*10,控制台!$D$1007:$D$1080,0)-1,0),1)</f>
        <v>240</v>
      </c>
      <c r="Y155" s="5">
        <f ca="1">Lerp_dyy(W155,X155,IF(MOD(O155,10)=0,1,MOD(O155,10)/10))</f>
        <v>240</v>
      </c>
    </row>
    <row r="156" s="15" customFormat="1" spans="2:25">
      <c r="B156" s="15">
        <v>151</v>
      </c>
      <c r="C156" s="15">
        <f>_xlfn.FLOOR.MATH(B156/10+0.9)*10</f>
        <v>160</v>
      </c>
      <c r="D156" s="15">
        <f ca="1">OFFSET(控制台!$C$1099,MATCH(C156,控制台!$B$1099:$B$1118,0)-2,0)*控制台!$E$1092</f>
        <v>5400000</v>
      </c>
      <c r="E156" s="15">
        <f ca="1">OFFSET(控制台!$C$1099,MATCH(C156,控制台!$B$1099:$B$1118,0)-1,0)*控制台!$E$1092</f>
        <v>5520000</v>
      </c>
      <c r="F156" s="16">
        <f ca="1">_xlfn.FLOOR.MATH(Lerp_dyy(D156,E156,IF(MOD(B156,10)=0,1,MOD(B156,10)/10)),10)</f>
        <v>5412000</v>
      </c>
      <c r="G156" s="17">
        <f ca="1" t="shared" si="10"/>
        <v>324377900</v>
      </c>
      <c r="H156" s="16">
        <f ca="1">IF(AND(B156&lt;&gt;1,MOD(B156,10)=1),OFFSET(控制台!$E$1099,MATCH(C156,控制台!$B$1099:$B$1118,0)-1,0)*控制台!$E$1093,0)</f>
        <v>36800</v>
      </c>
      <c r="I156" s="17">
        <f ca="1" t="shared" si="12"/>
        <v>264680</v>
      </c>
      <c r="J156" s="15">
        <f ca="1">IF(_xlfn.CEILING.MATH(B156/10)*10=10,0,IFERROR(OFFSET(控制台!$B$865,MATCH(_xlfn.CEILING.MATH(B156/10-1)*10,控制台!$D$865:$D$936,0)-1,0),0))</f>
        <v>210</v>
      </c>
      <c r="K156" s="15">
        <f ca="1">IFERROR(OFFSET(控制台!$B$865,MATCH(_xlfn.CEILING.MATH(B156/10)*10,控制台!$D$865:$D$936,0)-1,0),1)</f>
        <v>240</v>
      </c>
      <c r="L156" s="17">
        <f ca="1">Lerp_dyy(J156,K156,IF(MOD(B156,10)=0,1,MOD(B156,10)/10))</f>
        <v>213</v>
      </c>
      <c r="O156" s="15">
        <v>151</v>
      </c>
      <c r="P156" s="1">
        <f>_xlfn.FLOOR.MATH(O156/10+0.9)*10</f>
        <v>160</v>
      </c>
      <c r="Q156" s="1">
        <f ca="1">OFFSET(控制台!$I$1099,MATCH(P156,控制台!$H$1099:$H$1118,0)-2,0)*控制台!$K$1092</f>
        <v>5400000</v>
      </c>
      <c r="R156" s="1">
        <f ca="1">OFFSET(控制台!$I$1099,MATCH(P156,控制台!$H$1099:$H$1118,0)-1,0)*控制台!$K$1092</f>
        <v>5520000</v>
      </c>
      <c r="S156" s="16">
        <f ca="1">_xlfn.FLOOR.MATH(Lerp_dyy(Q156,R156,IF(MOD(O156,10)=0,1,MOD(O156,10)/10)),10)</f>
        <v>5412000</v>
      </c>
      <c r="T156" s="17">
        <f ca="1" t="shared" si="11"/>
        <v>324377900</v>
      </c>
      <c r="U156" s="4">
        <f ca="1">IF(AND(O156&lt;&gt;1,MOD(O156,10)=1),OFFSET(控制台!$K$1099,MATCH(P156,控制台!$H$1099:$H$1118,0)-1,0)*控制台!$K$1093,0)</f>
        <v>36800</v>
      </c>
      <c r="V156" s="17">
        <f ca="1" t="shared" si="13"/>
        <v>264680</v>
      </c>
      <c r="W156" s="1">
        <f ca="1">IF(_xlfn.CEILING.MATH(O156/10)*10=10,0,IFERROR(OFFSET(控制台!$B$1007,MATCH(_xlfn.CEILING.MATH(O156/10-1)*10,控制台!$D$1007:$D$1080,0)-1,0),0))</f>
        <v>240</v>
      </c>
      <c r="X156" s="1">
        <f ca="1">IFERROR(OFFSET(控制台!$B$1007,MATCH(_xlfn.CEILING.MATH(O156/10)*10,控制台!$D$1007:$D$1080,0)-1,0),1)</f>
        <v>270</v>
      </c>
      <c r="Y156" s="17">
        <f ca="1">Lerp_dyy(W156,X156,IF(MOD(O156,10)=0,1,MOD(O156,10)/10))</f>
        <v>243</v>
      </c>
    </row>
    <row r="157" s="15" customFormat="1" spans="2:25">
      <c r="B157" s="15">
        <v>152</v>
      </c>
      <c r="C157" s="15">
        <f>_xlfn.FLOOR.MATH(B157/10+0.9)*10</f>
        <v>160</v>
      </c>
      <c r="D157" s="15">
        <f ca="1">OFFSET(控制台!$C$1099,MATCH(C157,控制台!$B$1099:$B$1118,0)-2,0)*控制台!$E$1092</f>
        <v>5400000</v>
      </c>
      <c r="E157" s="15">
        <f ca="1">OFFSET(控制台!$C$1099,MATCH(C157,控制台!$B$1099:$B$1118,0)-1,0)*控制台!$E$1092</f>
        <v>5520000</v>
      </c>
      <c r="F157" s="16">
        <f ca="1">_xlfn.FLOOR.MATH(Lerp_dyy(D157,E157,IF(MOD(B157,10)=0,1,MOD(B157,10)/10)),10)</f>
        <v>5424000</v>
      </c>
      <c r="G157" s="17">
        <f ca="1" t="shared" si="10"/>
        <v>329801900</v>
      </c>
      <c r="H157" s="16">
        <f ca="1">IF(AND(B157&lt;&gt;1,MOD(B157,10)=1),OFFSET(控制台!$E$1099,MATCH(C157,控制台!$B$1099:$B$1118,0)-1,0)*控制台!$E$1093,0)</f>
        <v>0</v>
      </c>
      <c r="I157" s="17">
        <f ca="1" t="shared" si="12"/>
        <v>264680</v>
      </c>
      <c r="J157" s="15">
        <f ca="1">IF(_xlfn.CEILING.MATH(B157/10)*10=10,0,IFERROR(OFFSET(控制台!$B$865,MATCH(_xlfn.CEILING.MATH(B157/10-1)*10,控制台!$D$865:$D$936,0)-1,0),0))</f>
        <v>210</v>
      </c>
      <c r="K157" s="15">
        <f ca="1">IFERROR(OFFSET(控制台!$B$865,MATCH(_xlfn.CEILING.MATH(B157/10)*10,控制台!$D$865:$D$936,0)-1,0),1)</f>
        <v>240</v>
      </c>
      <c r="L157" s="17">
        <f ca="1">Lerp_dyy(J157,K157,IF(MOD(B157,10)=0,1,MOD(B157,10)/10))</f>
        <v>216</v>
      </c>
      <c r="O157" s="15">
        <v>152</v>
      </c>
      <c r="P157" s="1">
        <f>_xlfn.FLOOR.MATH(O157/10+0.9)*10</f>
        <v>160</v>
      </c>
      <c r="Q157" s="1">
        <f ca="1">OFFSET(控制台!$I$1099,MATCH(P157,控制台!$H$1099:$H$1118,0)-2,0)*控制台!$K$1092</f>
        <v>5400000</v>
      </c>
      <c r="R157" s="1">
        <f ca="1">OFFSET(控制台!$I$1099,MATCH(P157,控制台!$H$1099:$H$1118,0)-1,0)*控制台!$K$1092</f>
        <v>5520000</v>
      </c>
      <c r="S157" s="16">
        <f ca="1">_xlfn.FLOOR.MATH(Lerp_dyy(Q157,R157,IF(MOD(O157,10)=0,1,MOD(O157,10)/10)),10)</f>
        <v>5424000</v>
      </c>
      <c r="T157" s="17">
        <f ca="1" t="shared" si="11"/>
        <v>329801900</v>
      </c>
      <c r="U157" s="4">
        <f ca="1">IF(AND(O157&lt;&gt;1,MOD(O157,10)=1),OFFSET(控制台!$K$1099,MATCH(P157,控制台!$H$1099:$H$1118,0)-1,0)*控制台!$K$1093,0)</f>
        <v>0</v>
      </c>
      <c r="V157" s="17">
        <f ca="1" t="shared" si="13"/>
        <v>264680</v>
      </c>
      <c r="W157" s="1">
        <f ca="1">IF(_xlfn.CEILING.MATH(O157/10)*10=10,0,IFERROR(OFFSET(控制台!$B$1007,MATCH(_xlfn.CEILING.MATH(O157/10-1)*10,控制台!$D$1007:$D$1080,0)-1,0),0))</f>
        <v>240</v>
      </c>
      <c r="X157" s="1">
        <f ca="1">IFERROR(OFFSET(控制台!$B$1007,MATCH(_xlfn.CEILING.MATH(O157/10)*10,控制台!$D$1007:$D$1080,0)-1,0),1)</f>
        <v>270</v>
      </c>
      <c r="Y157" s="17">
        <f ca="1">Lerp_dyy(W157,X157,IF(MOD(O157,10)=0,1,MOD(O157,10)/10))</f>
        <v>246</v>
      </c>
    </row>
    <row r="158" s="15" customFormat="1" spans="2:25">
      <c r="B158" s="15">
        <v>153</v>
      </c>
      <c r="C158" s="15">
        <f>_xlfn.FLOOR.MATH(B158/10+0.9)*10</f>
        <v>160</v>
      </c>
      <c r="D158" s="15">
        <f ca="1">OFFSET(控制台!$C$1099,MATCH(C158,控制台!$B$1099:$B$1118,0)-2,0)*控制台!$E$1092</f>
        <v>5400000</v>
      </c>
      <c r="E158" s="15">
        <f ca="1">OFFSET(控制台!$C$1099,MATCH(C158,控制台!$B$1099:$B$1118,0)-1,0)*控制台!$E$1092</f>
        <v>5520000</v>
      </c>
      <c r="F158" s="16">
        <f ca="1">_xlfn.FLOOR.MATH(Lerp_dyy(D158,E158,IF(MOD(B158,10)=0,1,MOD(B158,10)/10)),10)</f>
        <v>5436000</v>
      </c>
      <c r="G158" s="17">
        <f ca="1" t="shared" si="10"/>
        <v>335237900</v>
      </c>
      <c r="H158" s="16">
        <f ca="1">IF(AND(B158&lt;&gt;1,MOD(B158,10)=1),OFFSET(控制台!$E$1099,MATCH(C158,控制台!$B$1099:$B$1118,0)-1,0)*控制台!$E$1093,0)</f>
        <v>0</v>
      </c>
      <c r="I158" s="17">
        <f ca="1" t="shared" si="12"/>
        <v>264680</v>
      </c>
      <c r="J158" s="15">
        <f ca="1">IF(_xlfn.CEILING.MATH(B158/10)*10=10,0,IFERROR(OFFSET(控制台!$B$865,MATCH(_xlfn.CEILING.MATH(B158/10-1)*10,控制台!$D$865:$D$936,0)-1,0),0))</f>
        <v>210</v>
      </c>
      <c r="K158" s="15">
        <f ca="1">IFERROR(OFFSET(控制台!$B$865,MATCH(_xlfn.CEILING.MATH(B158/10)*10,控制台!$D$865:$D$936,0)-1,0),1)</f>
        <v>240</v>
      </c>
      <c r="L158" s="17">
        <f ca="1">Lerp_dyy(J158,K158,IF(MOD(B158,10)=0,1,MOD(B158,10)/10))</f>
        <v>219</v>
      </c>
      <c r="O158" s="15">
        <v>153</v>
      </c>
      <c r="P158" s="1">
        <f>_xlfn.FLOOR.MATH(O158/10+0.9)*10</f>
        <v>160</v>
      </c>
      <c r="Q158" s="1">
        <f ca="1">OFFSET(控制台!$I$1099,MATCH(P158,控制台!$H$1099:$H$1118,0)-2,0)*控制台!$K$1092</f>
        <v>5400000</v>
      </c>
      <c r="R158" s="1">
        <f ca="1">OFFSET(控制台!$I$1099,MATCH(P158,控制台!$H$1099:$H$1118,0)-1,0)*控制台!$K$1092</f>
        <v>5520000</v>
      </c>
      <c r="S158" s="16">
        <f ca="1">_xlfn.FLOOR.MATH(Lerp_dyy(Q158,R158,IF(MOD(O158,10)=0,1,MOD(O158,10)/10)),10)</f>
        <v>5436000</v>
      </c>
      <c r="T158" s="17">
        <f ca="1" t="shared" si="11"/>
        <v>335237900</v>
      </c>
      <c r="U158" s="4">
        <f ca="1">IF(AND(O158&lt;&gt;1,MOD(O158,10)=1),OFFSET(控制台!$K$1099,MATCH(P158,控制台!$H$1099:$H$1118,0)-1,0)*控制台!$K$1093,0)</f>
        <v>0</v>
      </c>
      <c r="V158" s="17">
        <f ca="1" t="shared" si="13"/>
        <v>264680</v>
      </c>
      <c r="W158" s="1">
        <f ca="1">IF(_xlfn.CEILING.MATH(O158/10)*10=10,0,IFERROR(OFFSET(控制台!$B$1007,MATCH(_xlfn.CEILING.MATH(O158/10-1)*10,控制台!$D$1007:$D$1080,0)-1,0),0))</f>
        <v>240</v>
      </c>
      <c r="X158" s="1">
        <f ca="1">IFERROR(OFFSET(控制台!$B$1007,MATCH(_xlfn.CEILING.MATH(O158/10)*10,控制台!$D$1007:$D$1080,0)-1,0),1)</f>
        <v>270</v>
      </c>
      <c r="Y158" s="17">
        <f ca="1">Lerp_dyy(W158,X158,IF(MOD(O158,10)=0,1,MOD(O158,10)/10))</f>
        <v>249</v>
      </c>
    </row>
    <row r="159" s="15" customFormat="1" spans="2:25">
      <c r="B159" s="15">
        <v>154</v>
      </c>
      <c r="C159" s="15">
        <f>_xlfn.FLOOR.MATH(B159/10+0.9)*10</f>
        <v>160</v>
      </c>
      <c r="D159" s="15">
        <f ca="1">OFFSET(控制台!$C$1099,MATCH(C159,控制台!$B$1099:$B$1118,0)-2,0)*控制台!$E$1092</f>
        <v>5400000</v>
      </c>
      <c r="E159" s="15">
        <f ca="1">OFFSET(控制台!$C$1099,MATCH(C159,控制台!$B$1099:$B$1118,0)-1,0)*控制台!$E$1092</f>
        <v>5520000</v>
      </c>
      <c r="F159" s="16">
        <f ca="1">_xlfn.FLOOR.MATH(Lerp_dyy(D159,E159,IF(MOD(B159,10)=0,1,MOD(B159,10)/10)),10)</f>
        <v>5448000</v>
      </c>
      <c r="G159" s="17">
        <f ca="1" t="shared" si="10"/>
        <v>340685900</v>
      </c>
      <c r="H159" s="16">
        <f ca="1">IF(AND(B159&lt;&gt;1,MOD(B159,10)=1),OFFSET(控制台!$E$1099,MATCH(C159,控制台!$B$1099:$B$1118,0)-1,0)*控制台!$E$1093,0)</f>
        <v>0</v>
      </c>
      <c r="I159" s="17">
        <f ca="1" t="shared" si="12"/>
        <v>264680</v>
      </c>
      <c r="J159" s="15">
        <f ca="1">IF(_xlfn.CEILING.MATH(B159/10)*10=10,0,IFERROR(OFFSET(控制台!$B$865,MATCH(_xlfn.CEILING.MATH(B159/10-1)*10,控制台!$D$865:$D$936,0)-1,0),0))</f>
        <v>210</v>
      </c>
      <c r="K159" s="15">
        <f ca="1">IFERROR(OFFSET(控制台!$B$865,MATCH(_xlfn.CEILING.MATH(B159/10)*10,控制台!$D$865:$D$936,0)-1,0),1)</f>
        <v>240</v>
      </c>
      <c r="L159" s="17">
        <f ca="1">Lerp_dyy(J159,K159,IF(MOD(B159,10)=0,1,MOD(B159,10)/10))</f>
        <v>222</v>
      </c>
      <c r="O159" s="15">
        <v>154</v>
      </c>
      <c r="P159" s="1">
        <f>_xlfn.FLOOR.MATH(O159/10+0.9)*10</f>
        <v>160</v>
      </c>
      <c r="Q159" s="1">
        <f ca="1">OFFSET(控制台!$I$1099,MATCH(P159,控制台!$H$1099:$H$1118,0)-2,0)*控制台!$K$1092</f>
        <v>5400000</v>
      </c>
      <c r="R159" s="1">
        <f ca="1">OFFSET(控制台!$I$1099,MATCH(P159,控制台!$H$1099:$H$1118,0)-1,0)*控制台!$K$1092</f>
        <v>5520000</v>
      </c>
      <c r="S159" s="16">
        <f ca="1">_xlfn.FLOOR.MATH(Lerp_dyy(Q159,R159,IF(MOD(O159,10)=0,1,MOD(O159,10)/10)),10)</f>
        <v>5448000</v>
      </c>
      <c r="T159" s="17">
        <f ca="1" t="shared" si="11"/>
        <v>340685900</v>
      </c>
      <c r="U159" s="4">
        <f ca="1">IF(AND(O159&lt;&gt;1,MOD(O159,10)=1),OFFSET(控制台!$K$1099,MATCH(P159,控制台!$H$1099:$H$1118,0)-1,0)*控制台!$K$1093,0)</f>
        <v>0</v>
      </c>
      <c r="V159" s="17">
        <f ca="1" t="shared" si="13"/>
        <v>264680</v>
      </c>
      <c r="W159" s="1">
        <f ca="1">IF(_xlfn.CEILING.MATH(O159/10)*10=10,0,IFERROR(OFFSET(控制台!$B$1007,MATCH(_xlfn.CEILING.MATH(O159/10-1)*10,控制台!$D$1007:$D$1080,0)-1,0),0))</f>
        <v>240</v>
      </c>
      <c r="X159" s="1">
        <f ca="1">IFERROR(OFFSET(控制台!$B$1007,MATCH(_xlfn.CEILING.MATH(O159/10)*10,控制台!$D$1007:$D$1080,0)-1,0),1)</f>
        <v>270</v>
      </c>
      <c r="Y159" s="17">
        <f ca="1">Lerp_dyy(W159,X159,IF(MOD(O159,10)=0,1,MOD(O159,10)/10))</f>
        <v>252</v>
      </c>
    </row>
    <row r="160" s="15" customFormat="1" spans="2:25">
      <c r="B160" s="15">
        <v>155</v>
      </c>
      <c r="C160" s="15">
        <f>_xlfn.FLOOR.MATH(B160/10+0.9)*10</f>
        <v>160</v>
      </c>
      <c r="D160" s="15">
        <f ca="1">OFFSET(控制台!$C$1099,MATCH(C160,控制台!$B$1099:$B$1118,0)-2,0)*控制台!$E$1092</f>
        <v>5400000</v>
      </c>
      <c r="E160" s="15">
        <f ca="1">OFFSET(控制台!$C$1099,MATCH(C160,控制台!$B$1099:$B$1118,0)-1,0)*控制台!$E$1092</f>
        <v>5520000</v>
      </c>
      <c r="F160" s="16">
        <f ca="1">_xlfn.FLOOR.MATH(Lerp_dyy(D160,E160,IF(MOD(B160,10)=0,1,MOD(B160,10)/10)),10)</f>
        <v>5460000</v>
      </c>
      <c r="G160" s="17">
        <f ca="1" t="shared" si="10"/>
        <v>346145900</v>
      </c>
      <c r="H160" s="16">
        <f ca="1">IF(AND(B160&lt;&gt;1,MOD(B160,10)=1),OFFSET(控制台!$E$1099,MATCH(C160,控制台!$B$1099:$B$1118,0)-1,0)*控制台!$E$1093,0)</f>
        <v>0</v>
      </c>
      <c r="I160" s="17">
        <f ca="1" t="shared" si="12"/>
        <v>264680</v>
      </c>
      <c r="J160" s="15">
        <f ca="1">IF(_xlfn.CEILING.MATH(B160/10)*10=10,0,IFERROR(OFFSET(控制台!$B$865,MATCH(_xlfn.CEILING.MATH(B160/10-1)*10,控制台!$D$865:$D$936,0)-1,0),0))</f>
        <v>210</v>
      </c>
      <c r="K160" s="15">
        <f ca="1">IFERROR(OFFSET(控制台!$B$865,MATCH(_xlfn.CEILING.MATH(B160/10)*10,控制台!$D$865:$D$936,0)-1,0),1)</f>
        <v>240</v>
      </c>
      <c r="L160" s="17">
        <f ca="1">Lerp_dyy(J160,K160,IF(MOD(B160,10)=0,1,MOD(B160,10)/10))</f>
        <v>225</v>
      </c>
      <c r="O160" s="15">
        <v>155</v>
      </c>
      <c r="P160" s="1">
        <f>_xlfn.FLOOR.MATH(O160/10+0.9)*10</f>
        <v>160</v>
      </c>
      <c r="Q160" s="1">
        <f ca="1">OFFSET(控制台!$I$1099,MATCH(P160,控制台!$H$1099:$H$1118,0)-2,0)*控制台!$K$1092</f>
        <v>5400000</v>
      </c>
      <c r="R160" s="1">
        <f ca="1">OFFSET(控制台!$I$1099,MATCH(P160,控制台!$H$1099:$H$1118,0)-1,0)*控制台!$K$1092</f>
        <v>5520000</v>
      </c>
      <c r="S160" s="16">
        <f ca="1">_xlfn.FLOOR.MATH(Lerp_dyy(Q160,R160,IF(MOD(O160,10)=0,1,MOD(O160,10)/10)),10)</f>
        <v>5460000</v>
      </c>
      <c r="T160" s="17">
        <f ca="1" t="shared" si="11"/>
        <v>346145900</v>
      </c>
      <c r="U160" s="4">
        <f ca="1">IF(AND(O160&lt;&gt;1,MOD(O160,10)=1),OFFSET(控制台!$K$1099,MATCH(P160,控制台!$H$1099:$H$1118,0)-1,0)*控制台!$K$1093,0)</f>
        <v>0</v>
      </c>
      <c r="V160" s="17">
        <f ca="1" t="shared" si="13"/>
        <v>264680</v>
      </c>
      <c r="W160" s="1">
        <f ca="1">IF(_xlfn.CEILING.MATH(O160/10)*10=10,0,IFERROR(OFFSET(控制台!$B$1007,MATCH(_xlfn.CEILING.MATH(O160/10-1)*10,控制台!$D$1007:$D$1080,0)-1,0),0))</f>
        <v>240</v>
      </c>
      <c r="X160" s="1">
        <f ca="1">IFERROR(OFFSET(控制台!$B$1007,MATCH(_xlfn.CEILING.MATH(O160/10)*10,控制台!$D$1007:$D$1080,0)-1,0),1)</f>
        <v>270</v>
      </c>
      <c r="Y160" s="17">
        <f ca="1">Lerp_dyy(W160,X160,IF(MOD(O160,10)=0,1,MOD(O160,10)/10))</f>
        <v>255</v>
      </c>
    </row>
    <row r="161" s="15" customFormat="1" spans="2:25">
      <c r="B161" s="15">
        <v>156</v>
      </c>
      <c r="C161" s="15">
        <f>_xlfn.FLOOR.MATH(B161/10+0.9)*10</f>
        <v>160</v>
      </c>
      <c r="D161" s="15">
        <f ca="1">OFFSET(控制台!$C$1099,MATCH(C161,控制台!$B$1099:$B$1118,0)-2,0)*控制台!$E$1092</f>
        <v>5400000</v>
      </c>
      <c r="E161" s="15">
        <f ca="1">OFFSET(控制台!$C$1099,MATCH(C161,控制台!$B$1099:$B$1118,0)-1,0)*控制台!$E$1092</f>
        <v>5520000</v>
      </c>
      <c r="F161" s="16">
        <f ca="1">_xlfn.FLOOR.MATH(Lerp_dyy(D161,E161,IF(MOD(B161,10)=0,1,MOD(B161,10)/10)),10)</f>
        <v>5472000</v>
      </c>
      <c r="G161" s="17">
        <f ca="1" t="shared" si="10"/>
        <v>351617900</v>
      </c>
      <c r="H161" s="16">
        <f ca="1">IF(AND(B161&lt;&gt;1,MOD(B161,10)=1),OFFSET(控制台!$E$1099,MATCH(C161,控制台!$B$1099:$B$1118,0)-1,0)*控制台!$E$1093,0)</f>
        <v>0</v>
      </c>
      <c r="I161" s="17">
        <f ca="1" t="shared" si="12"/>
        <v>264680</v>
      </c>
      <c r="J161" s="15">
        <f ca="1">IF(_xlfn.CEILING.MATH(B161/10)*10=10,0,IFERROR(OFFSET(控制台!$B$865,MATCH(_xlfn.CEILING.MATH(B161/10-1)*10,控制台!$D$865:$D$936,0)-1,0),0))</f>
        <v>210</v>
      </c>
      <c r="K161" s="15">
        <f ca="1">IFERROR(OFFSET(控制台!$B$865,MATCH(_xlfn.CEILING.MATH(B161/10)*10,控制台!$D$865:$D$936,0)-1,0),1)</f>
        <v>240</v>
      </c>
      <c r="L161" s="17">
        <f ca="1">Lerp_dyy(J161,K161,IF(MOD(B161,10)=0,1,MOD(B161,10)/10))</f>
        <v>228</v>
      </c>
      <c r="O161" s="15">
        <v>156</v>
      </c>
      <c r="P161" s="1">
        <f>_xlfn.FLOOR.MATH(O161/10+0.9)*10</f>
        <v>160</v>
      </c>
      <c r="Q161" s="1">
        <f ca="1">OFFSET(控制台!$I$1099,MATCH(P161,控制台!$H$1099:$H$1118,0)-2,0)*控制台!$K$1092</f>
        <v>5400000</v>
      </c>
      <c r="R161" s="1">
        <f ca="1">OFFSET(控制台!$I$1099,MATCH(P161,控制台!$H$1099:$H$1118,0)-1,0)*控制台!$K$1092</f>
        <v>5520000</v>
      </c>
      <c r="S161" s="16">
        <f ca="1">_xlfn.FLOOR.MATH(Lerp_dyy(Q161,R161,IF(MOD(O161,10)=0,1,MOD(O161,10)/10)),10)</f>
        <v>5472000</v>
      </c>
      <c r="T161" s="17">
        <f ca="1" t="shared" si="11"/>
        <v>351617900</v>
      </c>
      <c r="U161" s="4">
        <f ca="1">IF(AND(O161&lt;&gt;1,MOD(O161,10)=1),OFFSET(控制台!$K$1099,MATCH(P161,控制台!$H$1099:$H$1118,0)-1,0)*控制台!$K$1093,0)</f>
        <v>0</v>
      </c>
      <c r="V161" s="17">
        <f ca="1" t="shared" si="13"/>
        <v>264680</v>
      </c>
      <c r="W161" s="1">
        <f ca="1">IF(_xlfn.CEILING.MATH(O161/10)*10=10,0,IFERROR(OFFSET(控制台!$B$1007,MATCH(_xlfn.CEILING.MATH(O161/10-1)*10,控制台!$D$1007:$D$1080,0)-1,0),0))</f>
        <v>240</v>
      </c>
      <c r="X161" s="1">
        <f ca="1">IFERROR(OFFSET(控制台!$B$1007,MATCH(_xlfn.CEILING.MATH(O161/10)*10,控制台!$D$1007:$D$1080,0)-1,0),1)</f>
        <v>270</v>
      </c>
      <c r="Y161" s="17">
        <f ca="1">Lerp_dyy(W161,X161,IF(MOD(O161,10)=0,1,MOD(O161,10)/10))</f>
        <v>258</v>
      </c>
    </row>
    <row r="162" s="15" customFormat="1" spans="2:25">
      <c r="B162" s="15">
        <v>157</v>
      </c>
      <c r="C162" s="15">
        <f>_xlfn.FLOOR.MATH(B162/10+0.9)*10</f>
        <v>160</v>
      </c>
      <c r="D162" s="15">
        <f ca="1">OFFSET(控制台!$C$1099,MATCH(C162,控制台!$B$1099:$B$1118,0)-2,0)*控制台!$E$1092</f>
        <v>5400000</v>
      </c>
      <c r="E162" s="15">
        <f ca="1">OFFSET(控制台!$C$1099,MATCH(C162,控制台!$B$1099:$B$1118,0)-1,0)*控制台!$E$1092</f>
        <v>5520000</v>
      </c>
      <c r="F162" s="16">
        <f ca="1">_xlfn.FLOOR.MATH(Lerp_dyy(D162,E162,IF(MOD(B162,10)=0,1,MOD(B162,10)/10)),10)</f>
        <v>5484000</v>
      </c>
      <c r="G162" s="17">
        <f ca="1" t="shared" si="10"/>
        <v>357101900</v>
      </c>
      <c r="H162" s="16">
        <f ca="1">IF(AND(B162&lt;&gt;1,MOD(B162,10)=1),OFFSET(控制台!$E$1099,MATCH(C162,控制台!$B$1099:$B$1118,0)-1,0)*控制台!$E$1093,0)</f>
        <v>0</v>
      </c>
      <c r="I162" s="17">
        <f ca="1" t="shared" si="12"/>
        <v>264680</v>
      </c>
      <c r="J162" s="15">
        <f ca="1">IF(_xlfn.CEILING.MATH(B162/10)*10=10,0,IFERROR(OFFSET(控制台!$B$865,MATCH(_xlfn.CEILING.MATH(B162/10-1)*10,控制台!$D$865:$D$936,0)-1,0),0))</f>
        <v>210</v>
      </c>
      <c r="K162" s="15">
        <f ca="1">IFERROR(OFFSET(控制台!$B$865,MATCH(_xlfn.CEILING.MATH(B162/10)*10,控制台!$D$865:$D$936,0)-1,0),1)</f>
        <v>240</v>
      </c>
      <c r="L162" s="17">
        <f ca="1">Lerp_dyy(J162,K162,IF(MOD(B162,10)=0,1,MOD(B162,10)/10))</f>
        <v>231</v>
      </c>
      <c r="O162" s="15">
        <v>157</v>
      </c>
      <c r="P162" s="1">
        <f>_xlfn.FLOOR.MATH(O162/10+0.9)*10</f>
        <v>160</v>
      </c>
      <c r="Q162" s="1">
        <f ca="1">OFFSET(控制台!$I$1099,MATCH(P162,控制台!$H$1099:$H$1118,0)-2,0)*控制台!$K$1092</f>
        <v>5400000</v>
      </c>
      <c r="R162" s="1">
        <f ca="1">OFFSET(控制台!$I$1099,MATCH(P162,控制台!$H$1099:$H$1118,0)-1,0)*控制台!$K$1092</f>
        <v>5520000</v>
      </c>
      <c r="S162" s="16">
        <f ca="1">_xlfn.FLOOR.MATH(Lerp_dyy(Q162,R162,IF(MOD(O162,10)=0,1,MOD(O162,10)/10)),10)</f>
        <v>5484000</v>
      </c>
      <c r="T162" s="17">
        <f ca="1" t="shared" si="11"/>
        <v>357101900</v>
      </c>
      <c r="U162" s="4">
        <f ca="1">IF(AND(O162&lt;&gt;1,MOD(O162,10)=1),OFFSET(控制台!$K$1099,MATCH(P162,控制台!$H$1099:$H$1118,0)-1,0)*控制台!$K$1093,0)</f>
        <v>0</v>
      </c>
      <c r="V162" s="17">
        <f ca="1" t="shared" si="13"/>
        <v>264680</v>
      </c>
      <c r="W162" s="1">
        <f ca="1">IF(_xlfn.CEILING.MATH(O162/10)*10=10,0,IFERROR(OFFSET(控制台!$B$1007,MATCH(_xlfn.CEILING.MATH(O162/10-1)*10,控制台!$D$1007:$D$1080,0)-1,0),0))</f>
        <v>240</v>
      </c>
      <c r="X162" s="1">
        <f ca="1">IFERROR(OFFSET(控制台!$B$1007,MATCH(_xlfn.CEILING.MATH(O162/10)*10,控制台!$D$1007:$D$1080,0)-1,0),1)</f>
        <v>270</v>
      </c>
      <c r="Y162" s="17">
        <f ca="1">Lerp_dyy(W162,X162,IF(MOD(O162,10)=0,1,MOD(O162,10)/10))</f>
        <v>261</v>
      </c>
    </row>
    <row r="163" s="15" customFormat="1" spans="2:25">
      <c r="B163" s="15">
        <v>158</v>
      </c>
      <c r="C163" s="15">
        <f>_xlfn.FLOOR.MATH(B163/10+0.9)*10</f>
        <v>160</v>
      </c>
      <c r="D163" s="15">
        <f ca="1">OFFSET(控制台!$C$1099,MATCH(C163,控制台!$B$1099:$B$1118,0)-2,0)*控制台!$E$1092</f>
        <v>5400000</v>
      </c>
      <c r="E163" s="15">
        <f ca="1">OFFSET(控制台!$C$1099,MATCH(C163,控制台!$B$1099:$B$1118,0)-1,0)*控制台!$E$1092</f>
        <v>5520000</v>
      </c>
      <c r="F163" s="16">
        <f ca="1">_xlfn.FLOOR.MATH(Lerp_dyy(D163,E163,IF(MOD(B163,10)=0,1,MOD(B163,10)/10)),10)</f>
        <v>5496000</v>
      </c>
      <c r="G163" s="17">
        <f ca="1" t="shared" si="10"/>
        <v>362597900</v>
      </c>
      <c r="H163" s="16">
        <f ca="1">IF(AND(B163&lt;&gt;1,MOD(B163,10)=1),OFFSET(控制台!$E$1099,MATCH(C163,控制台!$B$1099:$B$1118,0)-1,0)*控制台!$E$1093,0)</f>
        <v>0</v>
      </c>
      <c r="I163" s="17">
        <f ca="1" t="shared" si="12"/>
        <v>264680</v>
      </c>
      <c r="J163" s="15">
        <f ca="1">IF(_xlfn.CEILING.MATH(B163/10)*10=10,0,IFERROR(OFFSET(控制台!$B$865,MATCH(_xlfn.CEILING.MATH(B163/10-1)*10,控制台!$D$865:$D$936,0)-1,0),0))</f>
        <v>210</v>
      </c>
      <c r="K163" s="15">
        <f ca="1">IFERROR(OFFSET(控制台!$B$865,MATCH(_xlfn.CEILING.MATH(B163/10)*10,控制台!$D$865:$D$936,0)-1,0),1)</f>
        <v>240</v>
      </c>
      <c r="L163" s="17">
        <f ca="1">Lerp_dyy(J163,K163,IF(MOD(B163,10)=0,1,MOD(B163,10)/10))</f>
        <v>234</v>
      </c>
      <c r="O163" s="15">
        <v>158</v>
      </c>
      <c r="P163" s="1">
        <f>_xlfn.FLOOR.MATH(O163/10+0.9)*10</f>
        <v>160</v>
      </c>
      <c r="Q163" s="1">
        <f ca="1">OFFSET(控制台!$I$1099,MATCH(P163,控制台!$H$1099:$H$1118,0)-2,0)*控制台!$K$1092</f>
        <v>5400000</v>
      </c>
      <c r="R163" s="1">
        <f ca="1">OFFSET(控制台!$I$1099,MATCH(P163,控制台!$H$1099:$H$1118,0)-1,0)*控制台!$K$1092</f>
        <v>5520000</v>
      </c>
      <c r="S163" s="16">
        <f ca="1">_xlfn.FLOOR.MATH(Lerp_dyy(Q163,R163,IF(MOD(O163,10)=0,1,MOD(O163,10)/10)),10)</f>
        <v>5496000</v>
      </c>
      <c r="T163" s="17">
        <f ca="1" t="shared" si="11"/>
        <v>362597900</v>
      </c>
      <c r="U163" s="4">
        <f ca="1">IF(AND(O163&lt;&gt;1,MOD(O163,10)=1),OFFSET(控制台!$K$1099,MATCH(P163,控制台!$H$1099:$H$1118,0)-1,0)*控制台!$K$1093,0)</f>
        <v>0</v>
      </c>
      <c r="V163" s="17">
        <f ca="1" t="shared" si="13"/>
        <v>264680</v>
      </c>
      <c r="W163" s="1">
        <f ca="1">IF(_xlfn.CEILING.MATH(O163/10)*10=10,0,IFERROR(OFFSET(控制台!$B$1007,MATCH(_xlfn.CEILING.MATH(O163/10-1)*10,控制台!$D$1007:$D$1080,0)-1,0),0))</f>
        <v>240</v>
      </c>
      <c r="X163" s="1">
        <f ca="1">IFERROR(OFFSET(控制台!$B$1007,MATCH(_xlfn.CEILING.MATH(O163/10)*10,控制台!$D$1007:$D$1080,0)-1,0),1)</f>
        <v>270</v>
      </c>
      <c r="Y163" s="17">
        <f ca="1">Lerp_dyy(W163,X163,IF(MOD(O163,10)=0,1,MOD(O163,10)/10))</f>
        <v>264</v>
      </c>
    </row>
    <row r="164" s="15" customFormat="1" spans="2:25">
      <c r="B164" s="15">
        <v>159</v>
      </c>
      <c r="C164" s="15">
        <f>_xlfn.FLOOR.MATH(B164/10+0.9)*10</f>
        <v>160</v>
      </c>
      <c r="D164" s="15">
        <f ca="1">OFFSET(控制台!$C$1099,MATCH(C164,控制台!$B$1099:$B$1118,0)-2,0)*控制台!$E$1092</f>
        <v>5400000</v>
      </c>
      <c r="E164" s="15">
        <f ca="1">OFFSET(控制台!$C$1099,MATCH(C164,控制台!$B$1099:$B$1118,0)-1,0)*控制台!$E$1092</f>
        <v>5520000</v>
      </c>
      <c r="F164" s="16">
        <f ca="1">_xlfn.FLOOR.MATH(Lerp_dyy(D164,E164,IF(MOD(B164,10)=0,1,MOD(B164,10)/10)),10)</f>
        <v>5508000</v>
      </c>
      <c r="G164" s="17">
        <f ca="1" t="shared" si="10"/>
        <v>368105900</v>
      </c>
      <c r="H164" s="16">
        <f ca="1">IF(AND(B164&lt;&gt;1,MOD(B164,10)=1),OFFSET(控制台!$E$1099,MATCH(C164,控制台!$B$1099:$B$1118,0)-1,0)*控制台!$E$1093,0)</f>
        <v>0</v>
      </c>
      <c r="I164" s="17">
        <f ca="1" t="shared" si="12"/>
        <v>264680</v>
      </c>
      <c r="J164" s="15">
        <f ca="1">IF(_xlfn.CEILING.MATH(B164/10)*10=10,0,IFERROR(OFFSET(控制台!$B$865,MATCH(_xlfn.CEILING.MATH(B164/10-1)*10,控制台!$D$865:$D$936,0)-1,0),0))</f>
        <v>210</v>
      </c>
      <c r="K164" s="15">
        <f ca="1">IFERROR(OFFSET(控制台!$B$865,MATCH(_xlfn.CEILING.MATH(B164/10)*10,控制台!$D$865:$D$936,0)-1,0),1)</f>
        <v>240</v>
      </c>
      <c r="L164" s="17">
        <f ca="1">Lerp_dyy(J164,K164,IF(MOD(B164,10)=0,1,MOD(B164,10)/10))</f>
        <v>237</v>
      </c>
      <c r="O164" s="15">
        <v>159</v>
      </c>
      <c r="P164" s="1">
        <f>_xlfn.FLOOR.MATH(O164/10+0.9)*10</f>
        <v>160</v>
      </c>
      <c r="Q164" s="1">
        <f ca="1">OFFSET(控制台!$I$1099,MATCH(P164,控制台!$H$1099:$H$1118,0)-2,0)*控制台!$K$1092</f>
        <v>5400000</v>
      </c>
      <c r="R164" s="1">
        <f ca="1">OFFSET(控制台!$I$1099,MATCH(P164,控制台!$H$1099:$H$1118,0)-1,0)*控制台!$K$1092</f>
        <v>5520000</v>
      </c>
      <c r="S164" s="16">
        <f ca="1">_xlfn.FLOOR.MATH(Lerp_dyy(Q164,R164,IF(MOD(O164,10)=0,1,MOD(O164,10)/10)),10)</f>
        <v>5508000</v>
      </c>
      <c r="T164" s="17">
        <f ca="1" t="shared" si="11"/>
        <v>368105900</v>
      </c>
      <c r="U164" s="4">
        <f ca="1">IF(AND(O164&lt;&gt;1,MOD(O164,10)=1),OFFSET(控制台!$K$1099,MATCH(P164,控制台!$H$1099:$H$1118,0)-1,0)*控制台!$K$1093,0)</f>
        <v>0</v>
      </c>
      <c r="V164" s="17">
        <f ca="1" t="shared" si="13"/>
        <v>264680</v>
      </c>
      <c r="W164" s="1">
        <f ca="1">IF(_xlfn.CEILING.MATH(O164/10)*10=10,0,IFERROR(OFFSET(控制台!$B$1007,MATCH(_xlfn.CEILING.MATH(O164/10-1)*10,控制台!$D$1007:$D$1080,0)-1,0),0))</f>
        <v>240</v>
      </c>
      <c r="X164" s="1">
        <f ca="1">IFERROR(OFFSET(控制台!$B$1007,MATCH(_xlfn.CEILING.MATH(O164/10)*10,控制台!$D$1007:$D$1080,0)-1,0),1)</f>
        <v>270</v>
      </c>
      <c r="Y164" s="17">
        <f ca="1">Lerp_dyy(W164,X164,IF(MOD(O164,10)=0,1,MOD(O164,10)/10))</f>
        <v>267</v>
      </c>
    </row>
    <row r="165" s="15" customFormat="1" spans="2:25">
      <c r="B165" s="15">
        <v>160</v>
      </c>
      <c r="C165" s="15">
        <f>_xlfn.FLOOR.MATH(B165/10+0.9)*10</f>
        <v>160</v>
      </c>
      <c r="D165" s="15">
        <f ca="1">OFFSET(控制台!$C$1099,MATCH(C165,控制台!$B$1099:$B$1118,0)-2,0)*控制台!$E$1092</f>
        <v>5400000</v>
      </c>
      <c r="E165" s="15">
        <f ca="1">OFFSET(控制台!$C$1099,MATCH(C165,控制台!$B$1099:$B$1118,0)-1,0)*控制台!$E$1092</f>
        <v>5520000</v>
      </c>
      <c r="F165" s="16">
        <f ca="1">_xlfn.FLOOR.MATH(Lerp_dyy(D165,E165,IF(MOD(B165,10)=0,1,MOD(B165,10)/10)),10)</f>
        <v>5520000</v>
      </c>
      <c r="G165" s="17">
        <f ca="1" t="shared" si="10"/>
        <v>373625900</v>
      </c>
      <c r="H165" s="16">
        <f ca="1">IF(AND(B165&lt;&gt;1,MOD(B165,10)=1),OFFSET(控制台!$E$1099,MATCH(C165,控制台!$B$1099:$B$1118,0)-1,0)*控制台!$E$1093,0)</f>
        <v>0</v>
      </c>
      <c r="I165" s="17">
        <f ca="1" t="shared" si="12"/>
        <v>264680</v>
      </c>
      <c r="J165" s="15">
        <f ca="1">IF(_xlfn.CEILING.MATH(B165/10)*10=10,0,IFERROR(OFFSET(控制台!$B$865,MATCH(_xlfn.CEILING.MATH(B165/10-1)*10,控制台!$D$865:$D$936,0)-1,0),0))</f>
        <v>210</v>
      </c>
      <c r="K165" s="15">
        <f ca="1">IFERROR(OFFSET(控制台!$B$865,MATCH(_xlfn.CEILING.MATH(B165/10)*10,控制台!$D$865:$D$936,0)-1,0),1)</f>
        <v>240</v>
      </c>
      <c r="L165" s="17">
        <f ca="1">Lerp_dyy(J165,K165,IF(MOD(B165,10)=0,1,MOD(B165,10)/10))</f>
        <v>240</v>
      </c>
      <c r="O165" s="15">
        <v>160</v>
      </c>
      <c r="P165" s="1">
        <f>_xlfn.FLOOR.MATH(O165/10+0.9)*10</f>
        <v>160</v>
      </c>
      <c r="Q165" s="1">
        <f ca="1">OFFSET(控制台!$I$1099,MATCH(P165,控制台!$H$1099:$H$1118,0)-2,0)*控制台!$K$1092</f>
        <v>5400000</v>
      </c>
      <c r="R165" s="1">
        <f ca="1">OFFSET(控制台!$I$1099,MATCH(P165,控制台!$H$1099:$H$1118,0)-1,0)*控制台!$K$1092</f>
        <v>5520000</v>
      </c>
      <c r="S165" s="16">
        <f ca="1">_xlfn.FLOOR.MATH(Lerp_dyy(Q165,R165,IF(MOD(O165,10)=0,1,MOD(O165,10)/10)),10)</f>
        <v>5520000</v>
      </c>
      <c r="T165" s="17">
        <f ca="1" t="shared" si="11"/>
        <v>373625900</v>
      </c>
      <c r="U165" s="4">
        <f ca="1">IF(AND(O165&lt;&gt;1,MOD(O165,10)=1),OFFSET(控制台!$K$1099,MATCH(P165,控制台!$H$1099:$H$1118,0)-1,0)*控制台!$K$1093,0)</f>
        <v>0</v>
      </c>
      <c r="V165" s="17">
        <f ca="1" t="shared" si="13"/>
        <v>264680</v>
      </c>
      <c r="W165" s="1">
        <f ca="1">IF(_xlfn.CEILING.MATH(O165/10)*10=10,0,IFERROR(OFFSET(控制台!$B$1007,MATCH(_xlfn.CEILING.MATH(O165/10-1)*10,控制台!$D$1007:$D$1080,0)-1,0),0))</f>
        <v>240</v>
      </c>
      <c r="X165" s="1">
        <f ca="1">IFERROR(OFFSET(控制台!$B$1007,MATCH(_xlfn.CEILING.MATH(O165/10)*10,控制台!$D$1007:$D$1080,0)-1,0),1)</f>
        <v>270</v>
      </c>
      <c r="Y165" s="17">
        <f ca="1">Lerp_dyy(W165,X165,IF(MOD(O165,10)=0,1,MOD(O165,10)/10))</f>
        <v>270</v>
      </c>
    </row>
    <row r="166" spans="2:25">
      <c r="B166" s="1">
        <v>161</v>
      </c>
      <c r="C166" s="1">
        <f>_xlfn.FLOOR.MATH(B166/10+0.9)*10</f>
        <v>170</v>
      </c>
      <c r="D166" s="1">
        <f ca="1">OFFSET(控制台!$C$1099,MATCH(C166,控制台!$B$1099:$B$1118,0)-2,0)*控制台!$E$1092</f>
        <v>5520000</v>
      </c>
      <c r="E166" s="1">
        <f ca="1">OFFSET(控制台!$C$1099,MATCH(C166,控制台!$B$1099:$B$1118,0)-1,0)*控制台!$E$1092</f>
        <v>5640000</v>
      </c>
      <c r="F166" s="4">
        <f ca="1">_xlfn.FLOOR.MATH(Lerp_dyy(D166,E166,IF(MOD(B166,10)=0,1,MOD(B166,10)/10)),10)</f>
        <v>5532000</v>
      </c>
      <c r="G166" s="5">
        <f ca="1" t="shared" si="10"/>
        <v>379157900</v>
      </c>
      <c r="H166" s="4">
        <f ca="1">IF(AND(B166&lt;&gt;1,MOD(B166,10)=1),OFFSET(控制台!$E$1099,MATCH(C166,控制台!$B$1099:$B$1118,0)-1,0)*控制台!$E$1093,0)</f>
        <v>37600</v>
      </c>
      <c r="I166" s="5">
        <f ca="1" t="shared" si="12"/>
        <v>302280</v>
      </c>
      <c r="J166" s="1">
        <f ca="1">IF(_xlfn.CEILING.MATH(B166/10)*10=10,0,IFERROR(OFFSET(控制台!$B$865,MATCH(_xlfn.CEILING.MATH(B166/10-1)*10,控制台!$D$865:$D$936,0)-1,0),0))</f>
        <v>240</v>
      </c>
      <c r="K166" s="1">
        <f ca="1">IFERROR(OFFSET(控制台!$B$865,MATCH(_xlfn.CEILING.MATH(B166/10)*10,控制台!$D$865:$D$936,0)-1,0),1)</f>
        <v>270</v>
      </c>
      <c r="L166" s="5">
        <f ca="1">Lerp_dyy(J166,K166,IF(MOD(B166,10)=0,1,MOD(B166,10)/10))</f>
        <v>243</v>
      </c>
      <c r="O166" s="1">
        <v>161</v>
      </c>
      <c r="P166" s="1">
        <f>_xlfn.FLOOR.MATH(O166/10+0.9)*10</f>
        <v>170</v>
      </c>
      <c r="Q166" s="1">
        <f ca="1">OFFSET(控制台!$I$1099,MATCH(P166,控制台!$H$1099:$H$1118,0)-2,0)*控制台!$K$1092</f>
        <v>5520000</v>
      </c>
      <c r="R166" s="1">
        <f ca="1">OFFSET(控制台!$I$1099,MATCH(P166,控制台!$H$1099:$H$1118,0)-1,0)*控制台!$K$1092</f>
        <v>5640000</v>
      </c>
      <c r="S166" s="4">
        <f ca="1">_xlfn.FLOOR.MATH(Lerp_dyy(Q166,R166,IF(MOD(O166,10)=0,1,MOD(O166,10)/10)),10)</f>
        <v>5532000</v>
      </c>
      <c r="T166" s="5">
        <f ca="1" t="shared" si="11"/>
        <v>379157900</v>
      </c>
      <c r="U166" s="4">
        <f ca="1">IF(AND(O166&lt;&gt;1,MOD(O166,10)=1),OFFSET(控制台!$K$1099,MATCH(P166,控制台!$H$1099:$H$1118,0)-1,0)*控制台!$K$1093,0)</f>
        <v>37600</v>
      </c>
      <c r="V166" s="5">
        <f ca="1" t="shared" si="13"/>
        <v>302280</v>
      </c>
      <c r="W166" s="1">
        <f ca="1">IF(_xlfn.CEILING.MATH(O166/10)*10=10,0,IFERROR(OFFSET(控制台!$B$1007,MATCH(_xlfn.CEILING.MATH(O166/10-1)*10,控制台!$D$1007:$D$1080,0)-1,0),0))</f>
        <v>270</v>
      </c>
      <c r="X166" s="1">
        <f ca="1">IFERROR(OFFSET(控制台!$B$1007,MATCH(_xlfn.CEILING.MATH(O166/10)*10,控制台!$D$1007:$D$1080,0)-1,0),1)</f>
        <v>300</v>
      </c>
      <c r="Y166" s="5">
        <f ca="1">Lerp_dyy(W166,X166,IF(MOD(O166,10)=0,1,MOD(O166,10)/10))</f>
        <v>273</v>
      </c>
    </row>
    <row r="167" spans="2:25">
      <c r="B167" s="1">
        <v>162</v>
      </c>
      <c r="C167" s="1">
        <f>_xlfn.FLOOR.MATH(B167/10+0.9)*10</f>
        <v>170</v>
      </c>
      <c r="D167" s="1">
        <f ca="1">OFFSET(控制台!$C$1099,MATCH(C167,控制台!$B$1099:$B$1118,0)-2,0)*控制台!$E$1092</f>
        <v>5520000</v>
      </c>
      <c r="E167" s="1">
        <f ca="1">OFFSET(控制台!$C$1099,MATCH(C167,控制台!$B$1099:$B$1118,0)-1,0)*控制台!$E$1092</f>
        <v>5640000</v>
      </c>
      <c r="F167" s="4">
        <f ca="1">_xlfn.FLOOR.MATH(Lerp_dyy(D167,E167,IF(MOD(B167,10)=0,1,MOD(B167,10)/10)),10)</f>
        <v>5544000</v>
      </c>
      <c r="G167" s="5">
        <f ca="1" t="shared" ref="G167:G198" si="14">G166+F167</f>
        <v>384701900</v>
      </c>
      <c r="H167" s="4">
        <f ca="1">IF(AND(B167&lt;&gt;1,MOD(B167,10)=1),OFFSET(控制台!$E$1099,MATCH(C167,控制台!$B$1099:$B$1118,0)-1,0)*控制台!$E$1093,0)</f>
        <v>0</v>
      </c>
      <c r="I167" s="5">
        <f ca="1" t="shared" si="12"/>
        <v>302280</v>
      </c>
      <c r="J167" s="1">
        <f ca="1">IF(_xlfn.CEILING.MATH(B167/10)*10=10,0,IFERROR(OFFSET(控制台!$B$865,MATCH(_xlfn.CEILING.MATH(B167/10-1)*10,控制台!$D$865:$D$936,0)-1,0),0))</f>
        <v>240</v>
      </c>
      <c r="K167" s="1">
        <f ca="1">IFERROR(OFFSET(控制台!$B$865,MATCH(_xlfn.CEILING.MATH(B167/10)*10,控制台!$D$865:$D$936,0)-1,0),1)</f>
        <v>270</v>
      </c>
      <c r="L167" s="5">
        <f ca="1">Lerp_dyy(J167,K167,IF(MOD(B167,10)=0,1,MOD(B167,10)/10))</f>
        <v>246</v>
      </c>
      <c r="O167" s="1">
        <v>162</v>
      </c>
      <c r="P167" s="1">
        <f>_xlfn.FLOOR.MATH(O167/10+0.9)*10</f>
        <v>170</v>
      </c>
      <c r="Q167" s="1">
        <f ca="1">OFFSET(控制台!$I$1099,MATCH(P167,控制台!$H$1099:$H$1118,0)-2,0)*控制台!$K$1092</f>
        <v>5520000</v>
      </c>
      <c r="R167" s="1">
        <f ca="1">OFFSET(控制台!$I$1099,MATCH(P167,控制台!$H$1099:$H$1118,0)-1,0)*控制台!$K$1092</f>
        <v>5640000</v>
      </c>
      <c r="S167" s="4">
        <f ca="1">_xlfn.FLOOR.MATH(Lerp_dyy(Q167,R167,IF(MOD(O167,10)=0,1,MOD(O167,10)/10)),10)</f>
        <v>5544000</v>
      </c>
      <c r="T167" s="5">
        <f ca="1" t="shared" si="11"/>
        <v>384701900</v>
      </c>
      <c r="U167" s="4">
        <f ca="1">IF(AND(O167&lt;&gt;1,MOD(O167,10)=1),OFFSET(控制台!$K$1099,MATCH(P167,控制台!$H$1099:$H$1118,0)-1,0)*控制台!$K$1093,0)</f>
        <v>0</v>
      </c>
      <c r="V167" s="5">
        <f ca="1" t="shared" si="13"/>
        <v>302280</v>
      </c>
      <c r="W167" s="1">
        <f ca="1">IF(_xlfn.CEILING.MATH(O167/10)*10=10,0,IFERROR(OFFSET(控制台!$B$1007,MATCH(_xlfn.CEILING.MATH(O167/10-1)*10,控制台!$D$1007:$D$1080,0)-1,0),0))</f>
        <v>270</v>
      </c>
      <c r="X167" s="1">
        <f ca="1">IFERROR(OFFSET(控制台!$B$1007,MATCH(_xlfn.CEILING.MATH(O167/10)*10,控制台!$D$1007:$D$1080,0)-1,0),1)</f>
        <v>300</v>
      </c>
      <c r="Y167" s="5">
        <f ca="1">Lerp_dyy(W167,X167,IF(MOD(O167,10)=0,1,MOD(O167,10)/10))</f>
        <v>276</v>
      </c>
    </row>
    <row r="168" spans="2:25">
      <c r="B168" s="1">
        <v>163</v>
      </c>
      <c r="C168" s="1">
        <f>_xlfn.FLOOR.MATH(B168/10+0.9)*10</f>
        <v>170</v>
      </c>
      <c r="D168" s="1">
        <f ca="1">OFFSET(控制台!$C$1099,MATCH(C168,控制台!$B$1099:$B$1118,0)-2,0)*控制台!$E$1092</f>
        <v>5520000</v>
      </c>
      <c r="E168" s="1">
        <f ca="1">OFFSET(控制台!$C$1099,MATCH(C168,控制台!$B$1099:$B$1118,0)-1,0)*控制台!$E$1092</f>
        <v>5640000</v>
      </c>
      <c r="F168" s="4">
        <f ca="1">_xlfn.FLOOR.MATH(Lerp_dyy(D168,E168,IF(MOD(B168,10)=0,1,MOD(B168,10)/10)),10)</f>
        <v>5556000</v>
      </c>
      <c r="G168" s="5">
        <f ca="1" t="shared" si="14"/>
        <v>390257900</v>
      </c>
      <c r="H168" s="4">
        <f ca="1">IF(AND(B168&lt;&gt;1,MOD(B168,10)=1),OFFSET(控制台!$E$1099,MATCH(C168,控制台!$B$1099:$B$1118,0)-1,0)*控制台!$E$1093,0)</f>
        <v>0</v>
      </c>
      <c r="I168" s="5">
        <f ca="1" t="shared" si="12"/>
        <v>302280</v>
      </c>
      <c r="J168" s="1">
        <f ca="1">IF(_xlfn.CEILING.MATH(B168/10)*10=10,0,IFERROR(OFFSET(控制台!$B$865,MATCH(_xlfn.CEILING.MATH(B168/10-1)*10,控制台!$D$865:$D$936,0)-1,0),0))</f>
        <v>240</v>
      </c>
      <c r="K168" s="1">
        <f ca="1">IFERROR(OFFSET(控制台!$B$865,MATCH(_xlfn.CEILING.MATH(B168/10)*10,控制台!$D$865:$D$936,0)-1,0),1)</f>
        <v>270</v>
      </c>
      <c r="L168" s="5">
        <f ca="1">Lerp_dyy(J168,K168,IF(MOD(B168,10)=0,1,MOD(B168,10)/10))</f>
        <v>249</v>
      </c>
      <c r="O168" s="1">
        <v>163</v>
      </c>
      <c r="P168" s="1">
        <f>_xlfn.FLOOR.MATH(O168/10+0.9)*10</f>
        <v>170</v>
      </c>
      <c r="Q168" s="1">
        <f ca="1">OFFSET(控制台!$I$1099,MATCH(P168,控制台!$H$1099:$H$1118,0)-2,0)*控制台!$K$1092</f>
        <v>5520000</v>
      </c>
      <c r="R168" s="1">
        <f ca="1">OFFSET(控制台!$I$1099,MATCH(P168,控制台!$H$1099:$H$1118,0)-1,0)*控制台!$K$1092</f>
        <v>5640000</v>
      </c>
      <c r="S168" s="4">
        <f ca="1">_xlfn.FLOOR.MATH(Lerp_dyy(Q168,R168,IF(MOD(O168,10)=0,1,MOD(O168,10)/10)),10)</f>
        <v>5556000</v>
      </c>
      <c r="T168" s="5">
        <f ca="1" t="shared" si="11"/>
        <v>390257900</v>
      </c>
      <c r="U168" s="4">
        <f ca="1">IF(AND(O168&lt;&gt;1,MOD(O168,10)=1),OFFSET(控制台!$K$1099,MATCH(P168,控制台!$H$1099:$H$1118,0)-1,0)*控制台!$K$1093,0)</f>
        <v>0</v>
      </c>
      <c r="V168" s="5">
        <f ca="1" t="shared" si="13"/>
        <v>302280</v>
      </c>
      <c r="W168" s="1">
        <f ca="1">IF(_xlfn.CEILING.MATH(O168/10)*10=10,0,IFERROR(OFFSET(控制台!$B$1007,MATCH(_xlfn.CEILING.MATH(O168/10-1)*10,控制台!$D$1007:$D$1080,0)-1,0),0))</f>
        <v>270</v>
      </c>
      <c r="X168" s="1">
        <f ca="1">IFERROR(OFFSET(控制台!$B$1007,MATCH(_xlfn.CEILING.MATH(O168/10)*10,控制台!$D$1007:$D$1080,0)-1,0),1)</f>
        <v>300</v>
      </c>
      <c r="Y168" s="5">
        <f ca="1">Lerp_dyy(W168,X168,IF(MOD(O168,10)=0,1,MOD(O168,10)/10))</f>
        <v>279</v>
      </c>
    </row>
    <row r="169" spans="2:25">
      <c r="B169" s="1">
        <v>164</v>
      </c>
      <c r="C169" s="1">
        <f>_xlfn.FLOOR.MATH(B169/10+0.9)*10</f>
        <v>170</v>
      </c>
      <c r="D169" s="1">
        <f ca="1">OFFSET(控制台!$C$1099,MATCH(C169,控制台!$B$1099:$B$1118,0)-2,0)*控制台!$E$1092</f>
        <v>5520000</v>
      </c>
      <c r="E169" s="1">
        <f ca="1">OFFSET(控制台!$C$1099,MATCH(C169,控制台!$B$1099:$B$1118,0)-1,0)*控制台!$E$1092</f>
        <v>5640000</v>
      </c>
      <c r="F169" s="4">
        <f ca="1">_xlfn.FLOOR.MATH(Lerp_dyy(D169,E169,IF(MOD(B169,10)=0,1,MOD(B169,10)/10)),10)</f>
        <v>5568000</v>
      </c>
      <c r="G169" s="5">
        <f ca="1" t="shared" si="14"/>
        <v>395825900</v>
      </c>
      <c r="H169" s="4">
        <f ca="1">IF(AND(B169&lt;&gt;1,MOD(B169,10)=1),OFFSET(控制台!$E$1099,MATCH(C169,控制台!$B$1099:$B$1118,0)-1,0)*控制台!$E$1093,0)</f>
        <v>0</v>
      </c>
      <c r="I169" s="5">
        <f ca="1" t="shared" si="12"/>
        <v>302280</v>
      </c>
      <c r="J169" s="1">
        <f ca="1">IF(_xlfn.CEILING.MATH(B169/10)*10=10,0,IFERROR(OFFSET(控制台!$B$865,MATCH(_xlfn.CEILING.MATH(B169/10-1)*10,控制台!$D$865:$D$936,0)-1,0),0))</f>
        <v>240</v>
      </c>
      <c r="K169" s="1">
        <f ca="1">IFERROR(OFFSET(控制台!$B$865,MATCH(_xlfn.CEILING.MATH(B169/10)*10,控制台!$D$865:$D$936,0)-1,0),1)</f>
        <v>270</v>
      </c>
      <c r="L169" s="5">
        <f ca="1">Lerp_dyy(J169,K169,IF(MOD(B169,10)=0,1,MOD(B169,10)/10))</f>
        <v>252</v>
      </c>
      <c r="O169" s="1">
        <v>164</v>
      </c>
      <c r="P169" s="1">
        <f>_xlfn.FLOOR.MATH(O169/10+0.9)*10</f>
        <v>170</v>
      </c>
      <c r="Q169" s="1">
        <f ca="1">OFFSET(控制台!$I$1099,MATCH(P169,控制台!$H$1099:$H$1118,0)-2,0)*控制台!$K$1092</f>
        <v>5520000</v>
      </c>
      <c r="R169" s="1">
        <f ca="1">OFFSET(控制台!$I$1099,MATCH(P169,控制台!$H$1099:$H$1118,0)-1,0)*控制台!$K$1092</f>
        <v>5640000</v>
      </c>
      <c r="S169" s="4">
        <f ca="1">_xlfn.FLOOR.MATH(Lerp_dyy(Q169,R169,IF(MOD(O169,10)=0,1,MOD(O169,10)/10)),10)</f>
        <v>5568000</v>
      </c>
      <c r="T169" s="5">
        <f ca="1" t="shared" si="11"/>
        <v>395825900</v>
      </c>
      <c r="U169" s="4">
        <f ca="1">IF(AND(O169&lt;&gt;1,MOD(O169,10)=1),OFFSET(控制台!$K$1099,MATCH(P169,控制台!$H$1099:$H$1118,0)-1,0)*控制台!$K$1093,0)</f>
        <v>0</v>
      </c>
      <c r="V169" s="5">
        <f ca="1" t="shared" si="13"/>
        <v>302280</v>
      </c>
      <c r="W169" s="1">
        <f ca="1">IF(_xlfn.CEILING.MATH(O169/10)*10=10,0,IFERROR(OFFSET(控制台!$B$1007,MATCH(_xlfn.CEILING.MATH(O169/10-1)*10,控制台!$D$1007:$D$1080,0)-1,0),0))</f>
        <v>270</v>
      </c>
      <c r="X169" s="1">
        <f ca="1">IFERROR(OFFSET(控制台!$B$1007,MATCH(_xlfn.CEILING.MATH(O169/10)*10,控制台!$D$1007:$D$1080,0)-1,0),1)</f>
        <v>300</v>
      </c>
      <c r="Y169" s="5">
        <f ca="1">Lerp_dyy(W169,X169,IF(MOD(O169,10)=0,1,MOD(O169,10)/10))</f>
        <v>282</v>
      </c>
    </row>
    <row r="170" spans="2:25">
      <c r="B170" s="1">
        <v>165</v>
      </c>
      <c r="C170" s="1">
        <f>_xlfn.FLOOR.MATH(B170/10+0.9)*10</f>
        <v>170</v>
      </c>
      <c r="D170" s="1">
        <f ca="1">OFFSET(控制台!$C$1099,MATCH(C170,控制台!$B$1099:$B$1118,0)-2,0)*控制台!$E$1092</f>
        <v>5520000</v>
      </c>
      <c r="E170" s="1">
        <f ca="1">OFFSET(控制台!$C$1099,MATCH(C170,控制台!$B$1099:$B$1118,0)-1,0)*控制台!$E$1092</f>
        <v>5640000</v>
      </c>
      <c r="F170" s="4">
        <f ca="1">_xlfn.FLOOR.MATH(Lerp_dyy(D170,E170,IF(MOD(B170,10)=0,1,MOD(B170,10)/10)),10)</f>
        <v>5580000</v>
      </c>
      <c r="G170" s="5">
        <f ca="1" t="shared" si="14"/>
        <v>401405900</v>
      </c>
      <c r="H170" s="4">
        <f ca="1">IF(AND(B170&lt;&gt;1,MOD(B170,10)=1),OFFSET(控制台!$E$1099,MATCH(C170,控制台!$B$1099:$B$1118,0)-1,0)*控制台!$E$1093,0)</f>
        <v>0</v>
      </c>
      <c r="I170" s="5">
        <f ca="1" t="shared" si="12"/>
        <v>302280</v>
      </c>
      <c r="J170" s="1">
        <f ca="1">IF(_xlfn.CEILING.MATH(B170/10)*10=10,0,IFERROR(OFFSET(控制台!$B$865,MATCH(_xlfn.CEILING.MATH(B170/10-1)*10,控制台!$D$865:$D$936,0)-1,0),0))</f>
        <v>240</v>
      </c>
      <c r="K170" s="1">
        <f ca="1">IFERROR(OFFSET(控制台!$B$865,MATCH(_xlfn.CEILING.MATH(B170/10)*10,控制台!$D$865:$D$936,0)-1,0),1)</f>
        <v>270</v>
      </c>
      <c r="L170" s="5">
        <f ca="1">Lerp_dyy(J170,K170,IF(MOD(B170,10)=0,1,MOD(B170,10)/10))</f>
        <v>255</v>
      </c>
      <c r="O170" s="1">
        <v>165</v>
      </c>
      <c r="P170" s="1">
        <f>_xlfn.FLOOR.MATH(O170/10+0.9)*10</f>
        <v>170</v>
      </c>
      <c r="Q170" s="1">
        <f ca="1">OFFSET(控制台!$I$1099,MATCH(P170,控制台!$H$1099:$H$1118,0)-2,0)*控制台!$K$1092</f>
        <v>5520000</v>
      </c>
      <c r="R170" s="1">
        <f ca="1">OFFSET(控制台!$I$1099,MATCH(P170,控制台!$H$1099:$H$1118,0)-1,0)*控制台!$K$1092</f>
        <v>5640000</v>
      </c>
      <c r="S170" s="4">
        <f ca="1">_xlfn.FLOOR.MATH(Lerp_dyy(Q170,R170,IF(MOD(O170,10)=0,1,MOD(O170,10)/10)),10)</f>
        <v>5580000</v>
      </c>
      <c r="T170" s="5">
        <f ca="1" t="shared" si="11"/>
        <v>401405900</v>
      </c>
      <c r="U170" s="4">
        <f ca="1">IF(AND(O170&lt;&gt;1,MOD(O170,10)=1),OFFSET(控制台!$K$1099,MATCH(P170,控制台!$H$1099:$H$1118,0)-1,0)*控制台!$K$1093,0)</f>
        <v>0</v>
      </c>
      <c r="V170" s="5">
        <f ca="1" t="shared" si="13"/>
        <v>302280</v>
      </c>
      <c r="W170" s="1">
        <f ca="1">IF(_xlfn.CEILING.MATH(O170/10)*10=10,0,IFERROR(OFFSET(控制台!$B$1007,MATCH(_xlfn.CEILING.MATH(O170/10-1)*10,控制台!$D$1007:$D$1080,0)-1,0),0))</f>
        <v>270</v>
      </c>
      <c r="X170" s="1">
        <f ca="1">IFERROR(OFFSET(控制台!$B$1007,MATCH(_xlfn.CEILING.MATH(O170/10)*10,控制台!$D$1007:$D$1080,0)-1,0),1)</f>
        <v>300</v>
      </c>
      <c r="Y170" s="5">
        <f ca="1">Lerp_dyy(W170,X170,IF(MOD(O170,10)=0,1,MOD(O170,10)/10))</f>
        <v>285</v>
      </c>
    </row>
    <row r="171" spans="2:25">
      <c r="B171" s="1">
        <v>166</v>
      </c>
      <c r="C171" s="1">
        <f>_xlfn.FLOOR.MATH(B171/10+0.9)*10</f>
        <v>170</v>
      </c>
      <c r="D171" s="1">
        <f ca="1">OFFSET(控制台!$C$1099,MATCH(C171,控制台!$B$1099:$B$1118,0)-2,0)*控制台!$E$1092</f>
        <v>5520000</v>
      </c>
      <c r="E171" s="1">
        <f ca="1">OFFSET(控制台!$C$1099,MATCH(C171,控制台!$B$1099:$B$1118,0)-1,0)*控制台!$E$1092</f>
        <v>5640000</v>
      </c>
      <c r="F171" s="4">
        <f ca="1">_xlfn.FLOOR.MATH(Lerp_dyy(D171,E171,IF(MOD(B171,10)=0,1,MOD(B171,10)/10)),10)</f>
        <v>5592000</v>
      </c>
      <c r="G171" s="5">
        <f ca="1" t="shared" si="14"/>
        <v>406997900</v>
      </c>
      <c r="H171" s="4">
        <f ca="1">IF(AND(B171&lt;&gt;1,MOD(B171,10)=1),OFFSET(控制台!$E$1099,MATCH(C171,控制台!$B$1099:$B$1118,0)-1,0)*控制台!$E$1093,0)</f>
        <v>0</v>
      </c>
      <c r="I171" s="5">
        <f ca="1" t="shared" si="12"/>
        <v>302280</v>
      </c>
      <c r="J171" s="1">
        <f ca="1">IF(_xlfn.CEILING.MATH(B171/10)*10=10,0,IFERROR(OFFSET(控制台!$B$865,MATCH(_xlfn.CEILING.MATH(B171/10-1)*10,控制台!$D$865:$D$936,0)-1,0),0))</f>
        <v>240</v>
      </c>
      <c r="K171" s="1">
        <f ca="1">IFERROR(OFFSET(控制台!$B$865,MATCH(_xlfn.CEILING.MATH(B171/10)*10,控制台!$D$865:$D$936,0)-1,0),1)</f>
        <v>270</v>
      </c>
      <c r="L171" s="5">
        <f ca="1">Lerp_dyy(J171,K171,IF(MOD(B171,10)=0,1,MOD(B171,10)/10))</f>
        <v>258</v>
      </c>
      <c r="O171" s="1">
        <v>166</v>
      </c>
      <c r="P171" s="1">
        <f>_xlfn.FLOOR.MATH(O171/10+0.9)*10</f>
        <v>170</v>
      </c>
      <c r="Q171" s="1">
        <f ca="1">OFFSET(控制台!$I$1099,MATCH(P171,控制台!$H$1099:$H$1118,0)-2,0)*控制台!$K$1092</f>
        <v>5520000</v>
      </c>
      <c r="R171" s="1">
        <f ca="1">OFFSET(控制台!$I$1099,MATCH(P171,控制台!$H$1099:$H$1118,0)-1,0)*控制台!$K$1092</f>
        <v>5640000</v>
      </c>
      <c r="S171" s="4">
        <f ca="1">_xlfn.FLOOR.MATH(Lerp_dyy(Q171,R171,IF(MOD(O171,10)=0,1,MOD(O171,10)/10)),10)</f>
        <v>5592000</v>
      </c>
      <c r="T171" s="5">
        <f ca="1" t="shared" si="11"/>
        <v>406997900</v>
      </c>
      <c r="U171" s="4">
        <f ca="1">IF(AND(O171&lt;&gt;1,MOD(O171,10)=1),OFFSET(控制台!$K$1099,MATCH(P171,控制台!$H$1099:$H$1118,0)-1,0)*控制台!$K$1093,0)</f>
        <v>0</v>
      </c>
      <c r="V171" s="5">
        <f ca="1" t="shared" si="13"/>
        <v>302280</v>
      </c>
      <c r="W171" s="1">
        <f ca="1">IF(_xlfn.CEILING.MATH(O171/10)*10=10,0,IFERROR(OFFSET(控制台!$B$1007,MATCH(_xlfn.CEILING.MATH(O171/10-1)*10,控制台!$D$1007:$D$1080,0)-1,0),0))</f>
        <v>270</v>
      </c>
      <c r="X171" s="1">
        <f ca="1">IFERROR(OFFSET(控制台!$B$1007,MATCH(_xlfn.CEILING.MATH(O171/10)*10,控制台!$D$1007:$D$1080,0)-1,0),1)</f>
        <v>300</v>
      </c>
      <c r="Y171" s="5">
        <f ca="1">Lerp_dyy(W171,X171,IF(MOD(O171,10)=0,1,MOD(O171,10)/10))</f>
        <v>288</v>
      </c>
    </row>
    <row r="172" spans="2:25">
      <c r="B172" s="1">
        <v>167</v>
      </c>
      <c r="C172" s="1">
        <f>_xlfn.FLOOR.MATH(B172/10+0.9)*10</f>
        <v>170</v>
      </c>
      <c r="D172" s="1">
        <f ca="1">OFFSET(控制台!$C$1099,MATCH(C172,控制台!$B$1099:$B$1118,0)-2,0)*控制台!$E$1092</f>
        <v>5520000</v>
      </c>
      <c r="E172" s="1">
        <f ca="1">OFFSET(控制台!$C$1099,MATCH(C172,控制台!$B$1099:$B$1118,0)-1,0)*控制台!$E$1092</f>
        <v>5640000</v>
      </c>
      <c r="F172" s="4">
        <f ca="1">_xlfn.FLOOR.MATH(Lerp_dyy(D172,E172,IF(MOD(B172,10)=0,1,MOD(B172,10)/10)),10)</f>
        <v>5604000</v>
      </c>
      <c r="G172" s="5">
        <f ca="1" t="shared" si="14"/>
        <v>412601900</v>
      </c>
      <c r="H172" s="4">
        <f ca="1">IF(AND(B172&lt;&gt;1,MOD(B172,10)=1),OFFSET(控制台!$E$1099,MATCH(C172,控制台!$B$1099:$B$1118,0)-1,0)*控制台!$E$1093,0)</f>
        <v>0</v>
      </c>
      <c r="I172" s="5">
        <f ca="1" t="shared" si="12"/>
        <v>302280</v>
      </c>
      <c r="J172" s="1">
        <f ca="1">IF(_xlfn.CEILING.MATH(B172/10)*10=10,0,IFERROR(OFFSET(控制台!$B$865,MATCH(_xlfn.CEILING.MATH(B172/10-1)*10,控制台!$D$865:$D$936,0)-1,0),0))</f>
        <v>240</v>
      </c>
      <c r="K172" s="1">
        <f ca="1">IFERROR(OFFSET(控制台!$B$865,MATCH(_xlfn.CEILING.MATH(B172/10)*10,控制台!$D$865:$D$936,0)-1,0),1)</f>
        <v>270</v>
      </c>
      <c r="L172" s="5">
        <f ca="1">Lerp_dyy(J172,K172,IF(MOD(B172,10)=0,1,MOD(B172,10)/10))</f>
        <v>261</v>
      </c>
      <c r="O172" s="1">
        <v>167</v>
      </c>
      <c r="P172" s="1">
        <f>_xlfn.FLOOR.MATH(O172/10+0.9)*10</f>
        <v>170</v>
      </c>
      <c r="Q172" s="1">
        <f ca="1">OFFSET(控制台!$I$1099,MATCH(P172,控制台!$H$1099:$H$1118,0)-2,0)*控制台!$K$1092</f>
        <v>5520000</v>
      </c>
      <c r="R172" s="1">
        <f ca="1">OFFSET(控制台!$I$1099,MATCH(P172,控制台!$H$1099:$H$1118,0)-1,0)*控制台!$K$1092</f>
        <v>5640000</v>
      </c>
      <c r="S172" s="4">
        <f ca="1">_xlfn.FLOOR.MATH(Lerp_dyy(Q172,R172,IF(MOD(O172,10)=0,1,MOD(O172,10)/10)),10)</f>
        <v>5604000</v>
      </c>
      <c r="T172" s="5">
        <f ca="1" t="shared" si="11"/>
        <v>412601900</v>
      </c>
      <c r="U172" s="4">
        <f ca="1">IF(AND(O172&lt;&gt;1,MOD(O172,10)=1),OFFSET(控制台!$K$1099,MATCH(P172,控制台!$H$1099:$H$1118,0)-1,0)*控制台!$K$1093,0)</f>
        <v>0</v>
      </c>
      <c r="V172" s="5">
        <f ca="1" t="shared" si="13"/>
        <v>302280</v>
      </c>
      <c r="W172" s="1">
        <f ca="1">IF(_xlfn.CEILING.MATH(O172/10)*10=10,0,IFERROR(OFFSET(控制台!$B$1007,MATCH(_xlfn.CEILING.MATH(O172/10-1)*10,控制台!$D$1007:$D$1080,0)-1,0),0))</f>
        <v>270</v>
      </c>
      <c r="X172" s="1">
        <f ca="1">IFERROR(OFFSET(控制台!$B$1007,MATCH(_xlfn.CEILING.MATH(O172/10)*10,控制台!$D$1007:$D$1080,0)-1,0),1)</f>
        <v>300</v>
      </c>
      <c r="Y172" s="5">
        <f ca="1">Lerp_dyy(W172,X172,IF(MOD(O172,10)=0,1,MOD(O172,10)/10))</f>
        <v>291</v>
      </c>
    </row>
    <row r="173" spans="2:25">
      <c r="B173" s="1">
        <v>168</v>
      </c>
      <c r="C173" s="1">
        <f>_xlfn.FLOOR.MATH(B173/10+0.9)*10</f>
        <v>170</v>
      </c>
      <c r="D173" s="1">
        <f ca="1">OFFSET(控制台!$C$1099,MATCH(C173,控制台!$B$1099:$B$1118,0)-2,0)*控制台!$E$1092</f>
        <v>5520000</v>
      </c>
      <c r="E173" s="1">
        <f ca="1">OFFSET(控制台!$C$1099,MATCH(C173,控制台!$B$1099:$B$1118,0)-1,0)*控制台!$E$1092</f>
        <v>5640000</v>
      </c>
      <c r="F173" s="4">
        <f ca="1">_xlfn.FLOOR.MATH(Lerp_dyy(D173,E173,IF(MOD(B173,10)=0,1,MOD(B173,10)/10)),10)</f>
        <v>5616000</v>
      </c>
      <c r="G173" s="5">
        <f ca="1" t="shared" si="14"/>
        <v>418217900</v>
      </c>
      <c r="H173" s="4">
        <f ca="1">IF(AND(B173&lt;&gt;1,MOD(B173,10)=1),OFFSET(控制台!$E$1099,MATCH(C173,控制台!$B$1099:$B$1118,0)-1,0)*控制台!$E$1093,0)</f>
        <v>0</v>
      </c>
      <c r="I173" s="5">
        <f ca="1" t="shared" si="12"/>
        <v>302280</v>
      </c>
      <c r="J173" s="1">
        <f ca="1">IF(_xlfn.CEILING.MATH(B173/10)*10=10,0,IFERROR(OFFSET(控制台!$B$865,MATCH(_xlfn.CEILING.MATH(B173/10-1)*10,控制台!$D$865:$D$936,0)-1,0),0))</f>
        <v>240</v>
      </c>
      <c r="K173" s="1">
        <f ca="1">IFERROR(OFFSET(控制台!$B$865,MATCH(_xlfn.CEILING.MATH(B173/10)*10,控制台!$D$865:$D$936,0)-1,0),1)</f>
        <v>270</v>
      </c>
      <c r="L173" s="5">
        <f ca="1">Lerp_dyy(J173,K173,IF(MOD(B173,10)=0,1,MOD(B173,10)/10))</f>
        <v>264</v>
      </c>
      <c r="O173" s="1">
        <v>168</v>
      </c>
      <c r="P173" s="1">
        <f>_xlfn.FLOOR.MATH(O173/10+0.9)*10</f>
        <v>170</v>
      </c>
      <c r="Q173" s="1">
        <f ca="1">OFFSET(控制台!$I$1099,MATCH(P173,控制台!$H$1099:$H$1118,0)-2,0)*控制台!$K$1092</f>
        <v>5520000</v>
      </c>
      <c r="R173" s="1">
        <f ca="1">OFFSET(控制台!$I$1099,MATCH(P173,控制台!$H$1099:$H$1118,0)-1,0)*控制台!$K$1092</f>
        <v>5640000</v>
      </c>
      <c r="S173" s="4">
        <f ca="1">_xlfn.FLOOR.MATH(Lerp_dyy(Q173,R173,IF(MOD(O173,10)=0,1,MOD(O173,10)/10)),10)</f>
        <v>5616000</v>
      </c>
      <c r="T173" s="5">
        <f ca="1" t="shared" si="11"/>
        <v>418217900</v>
      </c>
      <c r="U173" s="4">
        <f ca="1">IF(AND(O173&lt;&gt;1,MOD(O173,10)=1),OFFSET(控制台!$K$1099,MATCH(P173,控制台!$H$1099:$H$1118,0)-1,0)*控制台!$K$1093,0)</f>
        <v>0</v>
      </c>
      <c r="V173" s="5">
        <f ca="1" t="shared" si="13"/>
        <v>302280</v>
      </c>
      <c r="W173" s="1">
        <f ca="1">IF(_xlfn.CEILING.MATH(O173/10)*10=10,0,IFERROR(OFFSET(控制台!$B$1007,MATCH(_xlfn.CEILING.MATH(O173/10-1)*10,控制台!$D$1007:$D$1080,0)-1,0),0))</f>
        <v>270</v>
      </c>
      <c r="X173" s="1">
        <f ca="1">IFERROR(OFFSET(控制台!$B$1007,MATCH(_xlfn.CEILING.MATH(O173/10)*10,控制台!$D$1007:$D$1080,0)-1,0),1)</f>
        <v>300</v>
      </c>
      <c r="Y173" s="5">
        <f ca="1">Lerp_dyy(W173,X173,IF(MOD(O173,10)=0,1,MOD(O173,10)/10))</f>
        <v>294</v>
      </c>
    </row>
    <row r="174" spans="2:25">
      <c r="B174" s="1">
        <v>169</v>
      </c>
      <c r="C174" s="1">
        <f>_xlfn.FLOOR.MATH(B174/10+0.9)*10</f>
        <v>170</v>
      </c>
      <c r="D174" s="1">
        <f ca="1">OFFSET(控制台!$C$1099,MATCH(C174,控制台!$B$1099:$B$1118,0)-2,0)*控制台!$E$1092</f>
        <v>5520000</v>
      </c>
      <c r="E174" s="1">
        <f ca="1">OFFSET(控制台!$C$1099,MATCH(C174,控制台!$B$1099:$B$1118,0)-1,0)*控制台!$E$1092</f>
        <v>5640000</v>
      </c>
      <c r="F174" s="4">
        <f ca="1">_xlfn.FLOOR.MATH(Lerp_dyy(D174,E174,IF(MOD(B174,10)=0,1,MOD(B174,10)/10)),10)</f>
        <v>5628000</v>
      </c>
      <c r="G174" s="5">
        <f ca="1" t="shared" si="14"/>
        <v>423845900</v>
      </c>
      <c r="H174" s="4">
        <f ca="1">IF(AND(B174&lt;&gt;1,MOD(B174,10)=1),OFFSET(控制台!$E$1099,MATCH(C174,控制台!$B$1099:$B$1118,0)-1,0)*控制台!$E$1093,0)</f>
        <v>0</v>
      </c>
      <c r="I174" s="5">
        <f ca="1" t="shared" si="12"/>
        <v>302280</v>
      </c>
      <c r="J174" s="1">
        <f ca="1">IF(_xlfn.CEILING.MATH(B174/10)*10=10,0,IFERROR(OFFSET(控制台!$B$865,MATCH(_xlfn.CEILING.MATH(B174/10-1)*10,控制台!$D$865:$D$936,0)-1,0),0))</f>
        <v>240</v>
      </c>
      <c r="K174" s="1">
        <f ca="1">IFERROR(OFFSET(控制台!$B$865,MATCH(_xlfn.CEILING.MATH(B174/10)*10,控制台!$D$865:$D$936,0)-1,0),1)</f>
        <v>270</v>
      </c>
      <c r="L174" s="5">
        <f ca="1">Lerp_dyy(J174,K174,IF(MOD(B174,10)=0,1,MOD(B174,10)/10))</f>
        <v>267</v>
      </c>
      <c r="O174" s="1">
        <v>169</v>
      </c>
      <c r="P174" s="1">
        <f>_xlfn.FLOOR.MATH(O174/10+0.9)*10</f>
        <v>170</v>
      </c>
      <c r="Q174" s="1">
        <f ca="1">OFFSET(控制台!$I$1099,MATCH(P174,控制台!$H$1099:$H$1118,0)-2,0)*控制台!$K$1092</f>
        <v>5520000</v>
      </c>
      <c r="R174" s="1">
        <f ca="1">OFFSET(控制台!$I$1099,MATCH(P174,控制台!$H$1099:$H$1118,0)-1,0)*控制台!$K$1092</f>
        <v>5640000</v>
      </c>
      <c r="S174" s="4">
        <f ca="1">_xlfn.FLOOR.MATH(Lerp_dyy(Q174,R174,IF(MOD(O174,10)=0,1,MOD(O174,10)/10)),10)</f>
        <v>5628000</v>
      </c>
      <c r="T174" s="5">
        <f ca="1" t="shared" si="11"/>
        <v>423845900</v>
      </c>
      <c r="U174" s="4">
        <f ca="1">IF(AND(O174&lt;&gt;1,MOD(O174,10)=1),OFFSET(控制台!$K$1099,MATCH(P174,控制台!$H$1099:$H$1118,0)-1,0)*控制台!$K$1093,0)</f>
        <v>0</v>
      </c>
      <c r="V174" s="5">
        <f ca="1" t="shared" si="13"/>
        <v>302280</v>
      </c>
      <c r="W174" s="1">
        <f ca="1">IF(_xlfn.CEILING.MATH(O174/10)*10=10,0,IFERROR(OFFSET(控制台!$B$1007,MATCH(_xlfn.CEILING.MATH(O174/10-1)*10,控制台!$D$1007:$D$1080,0)-1,0),0))</f>
        <v>270</v>
      </c>
      <c r="X174" s="1">
        <f ca="1">IFERROR(OFFSET(控制台!$B$1007,MATCH(_xlfn.CEILING.MATH(O174/10)*10,控制台!$D$1007:$D$1080,0)-1,0),1)</f>
        <v>300</v>
      </c>
      <c r="Y174" s="5">
        <f ca="1">Lerp_dyy(W174,X174,IF(MOD(O174,10)=0,1,MOD(O174,10)/10))</f>
        <v>297</v>
      </c>
    </row>
    <row r="175" spans="2:25">
      <c r="B175" s="1">
        <v>170</v>
      </c>
      <c r="C175" s="1">
        <f>_xlfn.FLOOR.MATH(B175/10+0.9)*10</f>
        <v>170</v>
      </c>
      <c r="D175" s="1">
        <f ca="1">OFFSET(控制台!$C$1099,MATCH(C175,控制台!$B$1099:$B$1118,0)-2,0)*控制台!$E$1092</f>
        <v>5520000</v>
      </c>
      <c r="E175" s="1">
        <f ca="1">OFFSET(控制台!$C$1099,MATCH(C175,控制台!$B$1099:$B$1118,0)-1,0)*控制台!$E$1092</f>
        <v>5640000</v>
      </c>
      <c r="F175" s="4">
        <f ca="1">_xlfn.FLOOR.MATH(Lerp_dyy(D175,E175,IF(MOD(B175,10)=0,1,MOD(B175,10)/10)),10)</f>
        <v>5640000</v>
      </c>
      <c r="G175" s="5">
        <f ca="1" t="shared" si="14"/>
        <v>429485900</v>
      </c>
      <c r="H175" s="4">
        <f ca="1">IF(AND(B175&lt;&gt;1,MOD(B175,10)=1),OFFSET(控制台!$E$1099,MATCH(C175,控制台!$B$1099:$B$1118,0)-1,0)*控制台!$E$1093,0)</f>
        <v>0</v>
      </c>
      <c r="I175" s="5">
        <f ca="1" t="shared" si="12"/>
        <v>302280</v>
      </c>
      <c r="J175" s="1">
        <f ca="1">IF(_xlfn.CEILING.MATH(B175/10)*10=10,0,IFERROR(OFFSET(控制台!$B$865,MATCH(_xlfn.CEILING.MATH(B175/10-1)*10,控制台!$D$865:$D$936,0)-1,0),0))</f>
        <v>240</v>
      </c>
      <c r="K175" s="1">
        <f ca="1">IFERROR(OFFSET(控制台!$B$865,MATCH(_xlfn.CEILING.MATH(B175/10)*10,控制台!$D$865:$D$936,0)-1,0),1)</f>
        <v>270</v>
      </c>
      <c r="L175" s="5">
        <f ca="1">Lerp_dyy(J175,K175,IF(MOD(B175,10)=0,1,MOD(B175,10)/10))</f>
        <v>270</v>
      </c>
      <c r="O175" s="1">
        <v>170</v>
      </c>
      <c r="P175" s="1">
        <f>_xlfn.FLOOR.MATH(O175/10+0.9)*10</f>
        <v>170</v>
      </c>
      <c r="Q175" s="1">
        <f ca="1">OFFSET(控制台!$I$1099,MATCH(P175,控制台!$H$1099:$H$1118,0)-2,0)*控制台!$K$1092</f>
        <v>5520000</v>
      </c>
      <c r="R175" s="1">
        <f ca="1">OFFSET(控制台!$I$1099,MATCH(P175,控制台!$H$1099:$H$1118,0)-1,0)*控制台!$K$1092</f>
        <v>5640000</v>
      </c>
      <c r="S175" s="4">
        <f ca="1">_xlfn.FLOOR.MATH(Lerp_dyy(Q175,R175,IF(MOD(O175,10)=0,1,MOD(O175,10)/10)),10)</f>
        <v>5640000</v>
      </c>
      <c r="T175" s="5">
        <f ca="1" t="shared" si="11"/>
        <v>429485900</v>
      </c>
      <c r="U175" s="4">
        <f ca="1">IF(AND(O175&lt;&gt;1,MOD(O175,10)=1),OFFSET(控制台!$K$1099,MATCH(P175,控制台!$H$1099:$H$1118,0)-1,0)*控制台!$K$1093,0)</f>
        <v>0</v>
      </c>
      <c r="V175" s="5">
        <f ca="1" t="shared" si="13"/>
        <v>302280</v>
      </c>
      <c r="W175" s="1">
        <f ca="1">IF(_xlfn.CEILING.MATH(O175/10)*10=10,0,IFERROR(OFFSET(控制台!$B$1007,MATCH(_xlfn.CEILING.MATH(O175/10-1)*10,控制台!$D$1007:$D$1080,0)-1,0),0))</f>
        <v>270</v>
      </c>
      <c r="X175" s="1">
        <f ca="1">IFERROR(OFFSET(控制台!$B$1007,MATCH(_xlfn.CEILING.MATH(O175/10)*10,控制台!$D$1007:$D$1080,0)-1,0),1)</f>
        <v>300</v>
      </c>
      <c r="Y175" s="5">
        <f ca="1">Lerp_dyy(W175,X175,IF(MOD(O175,10)=0,1,MOD(O175,10)/10))</f>
        <v>300</v>
      </c>
    </row>
    <row r="176" s="15" customFormat="1" spans="2:25">
      <c r="B176" s="15">
        <v>171</v>
      </c>
      <c r="C176" s="15">
        <f>_xlfn.FLOOR.MATH(B176/10+0.9)*10</f>
        <v>180</v>
      </c>
      <c r="D176" s="15">
        <f ca="1">OFFSET(控制台!$C$1099,MATCH(C176,控制台!$B$1099:$B$1118,0)-2,0)*控制台!$E$1092</f>
        <v>5640000</v>
      </c>
      <c r="E176" s="15">
        <f ca="1">OFFSET(控制台!$C$1099,MATCH(C176,控制台!$B$1099:$B$1118,0)-1,0)*控制台!$E$1092</f>
        <v>5760000</v>
      </c>
      <c r="F176" s="16">
        <f ca="1">_xlfn.FLOOR.MATH(Lerp_dyy(D176,E176,IF(MOD(B176,10)=0,1,MOD(B176,10)/10)),10)</f>
        <v>5652000</v>
      </c>
      <c r="G176" s="17">
        <f ca="1" t="shared" si="14"/>
        <v>435137900</v>
      </c>
      <c r="H176" s="16">
        <f ca="1">IF(AND(B176&lt;&gt;1,MOD(B176,10)=1),OFFSET(控制台!$E$1099,MATCH(C176,控制台!$B$1099:$B$1118,0)-1,0)*控制台!$E$1093,0)</f>
        <v>38400</v>
      </c>
      <c r="I176" s="17">
        <f ca="1" t="shared" si="12"/>
        <v>340680</v>
      </c>
      <c r="J176" s="15">
        <f ca="1">IF(_xlfn.CEILING.MATH(B176/10)*10=10,0,IFERROR(OFFSET(控制台!$B$865,MATCH(_xlfn.CEILING.MATH(B176/10-1)*10,控制台!$D$865:$D$936,0)-1,0),0))</f>
        <v>270</v>
      </c>
      <c r="K176" s="15">
        <f ca="1">IFERROR(OFFSET(控制台!$B$865,MATCH(_xlfn.CEILING.MATH(B176/10)*10,控制台!$D$865:$D$936,0)-1,0),1)</f>
        <v>300</v>
      </c>
      <c r="L176" s="17">
        <f ca="1">Lerp_dyy(J176,K176,IF(MOD(B176,10)=0,1,MOD(B176,10)/10))</f>
        <v>273</v>
      </c>
      <c r="O176" s="15">
        <v>171</v>
      </c>
      <c r="P176" s="1">
        <f>_xlfn.FLOOR.MATH(O176/10+0.9)*10</f>
        <v>180</v>
      </c>
      <c r="Q176" s="1">
        <f ca="1">OFFSET(控制台!$I$1099,MATCH(P176,控制台!$H$1099:$H$1118,0)-2,0)*控制台!$K$1092</f>
        <v>5640000</v>
      </c>
      <c r="R176" s="1">
        <f ca="1">OFFSET(控制台!$I$1099,MATCH(P176,控制台!$H$1099:$H$1118,0)-1,0)*控制台!$K$1092</f>
        <v>5760000</v>
      </c>
      <c r="S176" s="16">
        <f ca="1">_xlfn.FLOOR.MATH(Lerp_dyy(Q176,R176,IF(MOD(O176,10)=0,1,MOD(O176,10)/10)),10)</f>
        <v>5652000</v>
      </c>
      <c r="T176" s="17">
        <f ca="1" t="shared" si="11"/>
        <v>435137900</v>
      </c>
      <c r="U176" s="4">
        <f ca="1">IF(AND(O176&lt;&gt;1,MOD(O176,10)=1),OFFSET(控制台!$K$1099,MATCH(P176,控制台!$H$1099:$H$1118,0)-1,0)*控制台!$K$1093,0)</f>
        <v>38400</v>
      </c>
      <c r="V176" s="17">
        <f ca="1" t="shared" si="13"/>
        <v>340680</v>
      </c>
      <c r="W176" s="1">
        <f ca="1">IF(_xlfn.CEILING.MATH(O176/10)*10=10,0,IFERROR(OFFSET(控制台!$B$1007,MATCH(_xlfn.CEILING.MATH(O176/10-1)*10,控制台!$D$1007:$D$1080,0)-1,0),0))</f>
        <v>300</v>
      </c>
      <c r="X176" s="1">
        <f ca="1">IFERROR(OFFSET(控制台!$B$1007,MATCH(_xlfn.CEILING.MATH(O176/10)*10,控制台!$D$1007:$D$1080,0)-1,0),1)</f>
        <v>330</v>
      </c>
      <c r="Y176" s="17">
        <f ca="1">Lerp_dyy(W176,X176,IF(MOD(O176,10)=0,1,MOD(O176,10)/10))</f>
        <v>303</v>
      </c>
    </row>
    <row r="177" s="15" customFormat="1" spans="2:25">
      <c r="B177" s="15">
        <v>172</v>
      </c>
      <c r="C177" s="15">
        <f>_xlfn.FLOOR.MATH(B177/10+0.9)*10</f>
        <v>180</v>
      </c>
      <c r="D177" s="15">
        <f ca="1">OFFSET(控制台!$C$1099,MATCH(C177,控制台!$B$1099:$B$1118,0)-2,0)*控制台!$E$1092</f>
        <v>5640000</v>
      </c>
      <c r="E177" s="15">
        <f ca="1">OFFSET(控制台!$C$1099,MATCH(C177,控制台!$B$1099:$B$1118,0)-1,0)*控制台!$E$1092</f>
        <v>5760000</v>
      </c>
      <c r="F177" s="16">
        <f ca="1">_xlfn.FLOOR.MATH(Lerp_dyy(D177,E177,IF(MOD(B177,10)=0,1,MOD(B177,10)/10)),10)</f>
        <v>5664000</v>
      </c>
      <c r="G177" s="17">
        <f ca="1" t="shared" si="14"/>
        <v>440801900</v>
      </c>
      <c r="H177" s="16">
        <f ca="1">IF(AND(B177&lt;&gt;1,MOD(B177,10)=1),OFFSET(控制台!$E$1099,MATCH(C177,控制台!$B$1099:$B$1118,0)-1,0)*控制台!$E$1093,0)</f>
        <v>0</v>
      </c>
      <c r="I177" s="17">
        <f ca="1" t="shared" si="12"/>
        <v>340680</v>
      </c>
      <c r="J177" s="15">
        <f ca="1">IF(_xlfn.CEILING.MATH(B177/10)*10=10,0,IFERROR(OFFSET(控制台!$B$865,MATCH(_xlfn.CEILING.MATH(B177/10-1)*10,控制台!$D$865:$D$936,0)-1,0),0))</f>
        <v>270</v>
      </c>
      <c r="K177" s="15">
        <f ca="1">IFERROR(OFFSET(控制台!$B$865,MATCH(_xlfn.CEILING.MATH(B177/10)*10,控制台!$D$865:$D$936,0)-1,0),1)</f>
        <v>300</v>
      </c>
      <c r="L177" s="17">
        <f ca="1">Lerp_dyy(J177,K177,IF(MOD(B177,10)=0,1,MOD(B177,10)/10))</f>
        <v>276</v>
      </c>
      <c r="O177" s="15">
        <v>172</v>
      </c>
      <c r="P177" s="1">
        <f>_xlfn.FLOOR.MATH(O177/10+0.9)*10</f>
        <v>180</v>
      </c>
      <c r="Q177" s="1">
        <f ca="1">OFFSET(控制台!$I$1099,MATCH(P177,控制台!$H$1099:$H$1118,0)-2,0)*控制台!$K$1092</f>
        <v>5640000</v>
      </c>
      <c r="R177" s="1">
        <f ca="1">OFFSET(控制台!$I$1099,MATCH(P177,控制台!$H$1099:$H$1118,0)-1,0)*控制台!$K$1092</f>
        <v>5760000</v>
      </c>
      <c r="S177" s="16">
        <f ca="1">_xlfn.FLOOR.MATH(Lerp_dyy(Q177,R177,IF(MOD(O177,10)=0,1,MOD(O177,10)/10)),10)</f>
        <v>5664000</v>
      </c>
      <c r="T177" s="17">
        <f ca="1" t="shared" si="11"/>
        <v>440801900</v>
      </c>
      <c r="U177" s="4">
        <f ca="1">IF(AND(O177&lt;&gt;1,MOD(O177,10)=1),OFFSET(控制台!$K$1099,MATCH(P177,控制台!$H$1099:$H$1118,0)-1,0)*控制台!$K$1093,0)</f>
        <v>0</v>
      </c>
      <c r="V177" s="17">
        <f ca="1" t="shared" si="13"/>
        <v>340680</v>
      </c>
      <c r="W177" s="1">
        <f ca="1">IF(_xlfn.CEILING.MATH(O177/10)*10=10,0,IFERROR(OFFSET(控制台!$B$1007,MATCH(_xlfn.CEILING.MATH(O177/10-1)*10,控制台!$D$1007:$D$1080,0)-1,0),0))</f>
        <v>300</v>
      </c>
      <c r="X177" s="1">
        <f ca="1">IFERROR(OFFSET(控制台!$B$1007,MATCH(_xlfn.CEILING.MATH(O177/10)*10,控制台!$D$1007:$D$1080,0)-1,0),1)</f>
        <v>330</v>
      </c>
      <c r="Y177" s="17">
        <f ca="1">Lerp_dyy(W177,X177,IF(MOD(O177,10)=0,1,MOD(O177,10)/10))</f>
        <v>306</v>
      </c>
    </row>
    <row r="178" s="15" customFormat="1" spans="2:25">
      <c r="B178" s="15">
        <v>173</v>
      </c>
      <c r="C178" s="15">
        <f>_xlfn.FLOOR.MATH(B178/10+0.9)*10</f>
        <v>180</v>
      </c>
      <c r="D178" s="15">
        <f ca="1">OFFSET(控制台!$C$1099,MATCH(C178,控制台!$B$1099:$B$1118,0)-2,0)*控制台!$E$1092</f>
        <v>5640000</v>
      </c>
      <c r="E178" s="15">
        <f ca="1">OFFSET(控制台!$C$1099,MATCH(C178,控制台!$B$1099:$B$1118,0)-1,0)*控制台!$E$1092</f>
        <v>5760000</v>
      </c>
      <c r="F178" s="16">
        <f ca="1">_xlfn.FLOOR.MATH(Lerp_dyy(D178,E178,IF(MOD(B178,10)=0,1,MOD(B178,10)/10)),10)</f>
        <v>5676000</v>
      </c>
      <c r="G178" s="17">
        <f ca="1" t="shared" si="14"/>
        <v>446477900</v>
      </c>
      <c r="H178" s="16">
        <f ca="1">IF(AND(B178&lt;&gt;1,MOD(B178,10)=1),OFFSET(控制台!$E$1099,MATCH(C178,控制台!$B$1099:$B$1118,0)-1,0)*控制台!$E$1093,0)</f>
        <v>0</v>
      </c>
      <c r="I178" s="17">
        <f ca="1" t="shared" si="12"/>
        <v>340680</v>
      </c>
      <c r="J178" s="15">
        <f ca="1">IF(_xlfn.CEILING.MATH(B178/10)*10=10,0,IFERROR(OFFSET(控制台!$B$865,MATCH(_xlfn.CEILING.MATH(B178/10-1)*10,控制台!$D$865:$D$936,0)-1,0),0))</f>
        <v>270</v>
      </c>
      <c r="K178" s="15">
        <f ca="1">IFERROR(OFFSET(控制台!$B$865,MATCH(_xlfn.CEILING.MATH(B178/10)*10,控制台!$D$865:$D$936,0)-1,0),1)</f>
        <v>300</v>
      </c>
      <c r="L178" s="17">
        <f ca="1">Lerp_dyy(J178,K178,IF(MOD(B178,10)=0,1,MOD(B178,10)/10))</f>
        <v>279</v>
      </c>
      <c r="O178" s="15">
        <v>173</v>
      </c>
      <c r="P178" s="1">
        <f>_xlfn.FLOOR.MATH(O178/10+0.9)*10</f>
        <v>180</v>
      </c>
      <c r="Q178" s="1">
        <f ca="1">OFFSET(控制台!$I$1099,MATCH(P178,控制台!$H$1099:$H$1118,0)-2,0)*控制台!$K$1092</f>
        <v>5640000</v>
      </c>
      <c r="R178" s="1">
        <f ca="1">OFFSET(控制台!$I$1099,MATCH(P178,控制台!$H$1099:$H$1118,0)-1,0)*控制台!$K$1092</f>
        <v>5760000</v>
      </c>
      <c r="S178" s="16">
        <f ca="1">_xlfn.FLOOR.MATH(Lerp_dyy(Q178,R178,IF(MOD(O178,10)=0,1,MOD(O178,10)/10)),10)</f>
        <v>5676000</v>
      </c>
      <c r="T178" s="17">
        <f ca="1" t="shared" si="11"/>
        <v>446477900</v>
      </c>
      <c r="U178" s="4">
        <f ca="1">IF(AND(O178&lt;&gt;1,MOD(O178,10)=1),OFFSET(控制台!$K$1099,MATCH(P178,控制台!$H$1099:$H$1118,0)-1,0)*控制台!$K$1093,0)</f>
        <v>0</v>
      </c>
      <c r="V178" s="17">
        <f ca="1" t="shared" si="13"/>
        <v>340680</v>
      </c>
      <c r="W178" s="1">
        <f ca="1">IF(_xlfn.CEILING.MATH(O178/10)*10=10,0,IFERROR(OFFSET(控制台!$B$1007,MATCH(_xlfn.CEILING.MATH(O178/10-1)*10,控制台!$D$1007:$D$1080,0)-1,0),0))</f>
        <v>300</v>
      </c>
      <c r="X178" s="1">
        <f ca="1">IFERROR(OFFSET(控制台!$B$1007,MATCH(_xlfn.CEILING.MATH(O178/10)*10,控制台!$D$1007:$D$1080,0)-1,0),1)</f>
        <v>330</v>
      </c>
      <c r="Y178" s="17">
        <f ca="1">Lerp_dyy(W178,X178,IF(MOD(O178,10)=0,1,MOD(O178,10)/10))</f>
        <v>309</v>
      </c>
    </row>
    <row r="179" s="15" customFormat="1" spans="2:25">
      <c r="B179" s="15">
        <v>174</v>
      </c>
      <c r="C179" s="15">
        <f>_xlfn.FLOOR.MATH(B179/10+0.9)*10</f>
        <v>180</v>
      </c>
      <c r="D179" s="15">
        <f ca="1">OFFSET(控制台!$C$1099,MATCH(C179,控制台!$B$1099:$B$1118,0)-2,0)*控制台!$E$1092</f>
        <v>5640000</v>
      </c>
      <c r="E179" s="15">
        <f ca="1">OFFSET(控制台!$C$1099,MATCH(C179,控制台!$B$1099:$B$1118,0)-1,0)*控制台!$E$1092</f>
        <v>5760000</v>
      </c>
      <c r="F179" s="16">
        <f ca="1">_xlfn.FLOOR.MATH(Lerp_dyy(D179,E179,IF(MOD(B179,10)=0,1,MOD(B179,10)/10)),10)</f>
        <v>5688000</v>
      </c>
      <c r="G179" s="17">
        <f ca="1" t="shared" si="14"/>
        <v>452165900</v>
      </c>
      <c r="H179" s="16">
        <f ca="1">IF(AND(B179&lt;&gt;1,MOD(B179,10)=1),OFFSET(控制台!$E$1099,MATCH(C179,控制台!$B$1099:$B$1118,0)-1,0)*控制台!$E$1093,0)</f>
        <v>0</v>
      </c>
      <c r="I179" s="17">
        <f ca="1" t="shared" si="12"/>
        <v>340680</v>
      </c>
      <c r="J179" s="15">
        <f ca="1">IF(_xlfn.CEILING.MATH(B179/10)*10=10,0,IFERROR(OFFSET(控制台!$B$865,MATCH(_xlfn.CEILING.MATH(B179/10-1)*10,控制台!$D$865:$D$936,0)-1,0),0))</f>
        <v>270</v>
      </c>
      <c r="K179" s="15">
        <f ca="1">IFERROR(OFFSET(控制台!$B$865,MATCH(_xlfn.CEILING.MATH(B179/10)*10,控制台!$D$865:$D$936,0)-1,0),1)</f>
        <v>300</v>
      </c>
      <c r="L179" s="17">
        <f ca="1">Lerp_dyy(J179,K179,IF(MOD(B179,10)=0,1,MOD(B179,10)/10))</f>
        <v>282</v>
      </c>
      <c r="O179" s="15">
        <v>174</v>
      </c>
      <c r="P179" s="1">
        <f>_xlfn.FLOOR.MATH(O179/10+0.9)*10</f>
        <v>180</v>
      </c>
      <c r="Q179" s="1">
        <f ca="1">OFFSET(控制台!$I$1099,MATCH(P179,控制台!$H$1099:$H$1118,0)-2,0)*控制台!$K$1092</f>
        <v>5640000</v>
      </c>
      <c r="R179" s="1">
        <f ca="1">OFFSET(控制台!$I$1099,MATCH(P179,控制台!$H$1099:$H$1118,0)-1,0)*控制台!$K$1092</f>
        <v>5760000</v>
      </c>
      <c r="S179" s="16">
        <f ca="1">_xlfn.FLOOR.MATH(Lerp_dyy(Q179,R179,IF(MOD(O179,10)=0,1,MOD(O179,10)/10)),10)</f>
        <v>5688000</v>
      </c>
      <c r="T179" s="17">
        <f ca="1" t="shared" si="11"/>
        <v>452165900</v>
      </c>
      <c r="U179" s="4">
        <f ca="1">IF(AND(O179&lt;&gt;1,MOD(O179,10)=1),OFFSET(控制台!$K$1099,MATCH(P179,控制台!$H$1099:$H$1118,0)-1,0)*控制台!$K$1093,0)</f>
        <v>0</v>
      </c>
      <c r="V179" s="17">
        <f ca="1" t="shared" si="13"/>
        <v>340680</v>
      </c>
      <c r="W179" s="1">
        <f ca="1">IF(_xlfn.CEILING.MATH(O179/10)*10=10,0,IFERROR(OFFSET(控制台!$B$1007,MATCH(_xlfn.CEILING.MATH(O179/10-1)*10,控制台!$D$1007:$D$1080,0)-1,0),0))</f>
        <v>300</v>
      </c>
      <c r="X179" s="1">
        <f ca="1">IFERROR(OFFSET(控制台!$B$1007,MATCH(_xlfn.CEILING.MATH(O179/10)*10,控制台!$D$1007:$D$1080,0)-1,0),1)</f>
        <v>330</v>
      </c>
      <c r="Y179" s="17">
        <f ca="1">Lerp_dyy(W179,X179,IF(MOD(O179,10)=0,1,MOD(O179,10)/10))</f>
        <v>312</v>
      </c>
    </row>
    <row r="180" s="15" customFormat="1" spans="2:25">
      <c r="B180" s="15">
        <v>175</v>
      </c>
      <c r="C180" s="15">
        <f>_xlfn.FLOOR.MATH(B180/10+0.9)*10</f>
        <v>180</v>
      </c>
      <c r="D180" s="15">
        <f ca="1">OFFSET(控制台!$C$1099,MATCH(C180,控制台!$B$1099:$B$1118,0)-2,0)*控制台!$E$1092</f>
        <v>5640000</v>
      </c>
      <c r="E180" s="15">
        <f ca="1">OFFSET(控制台!$C$1099,MATCH(C180,控制台!$B$1099:$B$1118,0)-1,0)*控制台!$E$1092</f>
        <v>5760000</v>
      </c>
      <c r="F180" s="16">
        <f ca="1">_xlfn.FLOOR.MATH(Lerp_dyy(D180,E180,IF(MOD(B180,10)=0,1,MOD(B180,10)/10)),10)</f>
        <v>5700000</v>
      </c>
      <c r="G180" s="17">
        <f ca="1" t="shared" si="14"/>
        <v>457865900</v>
      </c>
      <c r="H180" s="16">
        <f ca="1">IF(AND(B180&lt;&gt;1,MOD(B180,10)=1),OFFSET(控制台!$E$1099,MATCH(C180,控制台!$B$1099:$B$1118,0)-1,0)*控制台!$E$1093,0)</f>
        <v>0</v>
      </c>
      <c r="I180" s="17">
        <f ca="1" t="shared" si="12"/>
        <v>340680</v>
      </c>
      <c r="J180" s="15">
        <f ca="1">IF(_xlfn.CEILING.MATH(B180/10)*10=10,0,IFERROR(OFFSET(控制台!$B$865,MATCH(_xlfn.CEILING.MATH(B180/10-1)*10,控制台!$D$865:$D$936,0)-1,0),0))</f>
        <v>270</v>
      </c>
      <c r="K180" s="15">
        <f ca="1">IFERROR(OFFSET(控制台!$B$865,MATCH(_xlfn.CEILING.MATH(B180/10)*10,控制台!$D$865:$D$936,0)-1,0),1)</f>
        <v>300</v>
      </c>
      <c r="L180" s="17">
        <f ca="1">Lerp_dyy(J180,K180,IF(MOD(B180,10)=0,1,MOD(B180,10)/10))</f>
        <v>285</v>
      </c>
      <c r="O180" s="15">
        <v>175</v>
      </c>
      <c r="P180" s="1">
        <f>_xlfn.FLOOR.MATH(O180/10+0.9)*10</f>
        <v>180</v>
      </c>
      <c r="Q180" s="1">
        <f ca="1">OFFSET(控制台!$I$1099,MATCH(P180,控制台!$H$1099:$H$1118,0)-2,0)*控制台!$K$1092</f>
        <v>5640000</v>
      </c>
      <c r="R180" s="1">
        <f ca="1">OFFSET(控制台!$I$1099,MATCH(P180,控制台!$H$1099:$H$1118,0)-1,0)*控制台!$K$1092</f>
        <v>5760000</v>
      </c>
      <c r="S180" s="16">
        <f ca="1">_xlfn.FLOOR.MATH(Lerp_dyy(Q180,R180,IF(MOD(O180,10)=0,1,MOD(O180,10)/10)),10)</f>
        <v>5700000</v>
      </c>
      <c r="T180" s="17">
        <f ca="1" t="shared" si="11"/>
        <v>457865900</v>
      </c>
      <c r="U180" s="4">
        <f ca="1">IF(AND(O180&lt;&gt;1,MOD(O180,10)=1),OFFSET(控制台!$K$1099,MATCH(P180,控制台!$H$1099:$H$1118,0)-1,0)*控制台!$K$1093,0)</f>
        <v>0</v>
      </c>
      <c r="V180" s="17">
        <f ca="1" t="shared" si="13"/>
        <v>340680</v>
      </c>
      <c r="W180" s="1">
        <f ca="1">IF(_xlfn.CEILING.MATH(O180/10)*10=10,0,IFERROR(OFFSET(控制台!$B$1007,MATCH(_xlfn.CEILING.MATH(O180/10-1)*10,控制台!$D$1007:$D$1080,0)-1,0),0))</f>
        <v>300</v>
      </c>
      <c r="X180" s="1">
        <f ca="1">IFERROR(OFFSET(控制台!$B$1007,MATCH(_xlfn.CEILING.MATH(O180/10)*10,控制台!$D$1007:$D$1080,0)-1,0),1)</f>
        <v>330</v>
      </c>
      <c r="Y180" s="17">
        <f ca="1">Lerp_dyy(W180,X180,IF(MOD(O180,10)=0,1,MOD(O180,10)/10))</f>
        <v>315</v>
      </c>
    </row>
    <row r="181" s="15" customFormat="1" spans="2:25">
      <c r="B181" s="15">
        <v>176</v>
      </c>
      <c r="C181" s="15">
        <f>_xlfn.FLOOR.MATH(B181/10+0.9)*10</f>
        <v>180</v>
      </c>
      <c r="D181" s="15">
        <f ca="1">OFFSET(控制台!$C$1099,MATCH(C181,控制台!$B$1099:$B$1118,0)-2,0)*控制台!$E$1092</f>
        <v>5640000</v>
      </c>
      <c r="E181" s="15">
        <f ca="1">OFFSET(控制台!$C$1099,MATCH(C181,控制台!$B$1099:$B$1118,0)-1,0)*控制台!$E$1092</f>
        <v>5760000</v>
      </c>
      <c r="F181" s="16">
        <f ca="1">_xlfn.FLOOR.MATH(Lerp_dyy(D181,E181,IF(MOD(B181,10)=0,1,MOD(B181,10)/10)),10)</f>
        <v>5712000</v>
      </c>
      <c r="G181" s="17">
        <f ca="1" t="shared" si="14"/>
        <v>463577900</v>
      </c>
      <c r="H181" s="16">
        <f ca="1">IF(AND(B181&lt;&gt;1,MOD(B181,10)=1),OFFSET(控制台!$E$1099,MATCH(C181,控制台!$B$1099:$B$1118,0)-1,0)*控制台!$E$1093,0)</f>
        <v>0</v>
      </c>
      <c r="I181" s="17">
        <f ca="1" t="shared" si="12"/>
        <v>340680</v>
      </c>
      <c r="J181" s="15">
        <f ca="1">IF(_xlfn.CEILING.MATH(B181/10)*10=10,0,IFERROR(OFFSET(控制台!$B$865,MATCH(_xlfn.CEILING.MATH(B181/10-1)*10,控制台!$D$865:$D$936,0)-1,0),0))</f>
        <v>270</v>
      </c>
      <c r="K181" s="15">
        <f ca="1">IFERROR(OFFSET(控制台!$B$865,MATCH(_xlfn.CEILING.MATH(B181/10)*10,控制台!$D$865:$D$936,0)-1,0),1)</f>
        <v>300</v>
      </c>
      <c r="L181" s="17">
        <f ca="1">Lerp_dyy(J181,K181,IF(MOD(B181,10)=0,1,MOD(B181,10)/10))</f>
        <v>288</v>
      </c>
      <c r="O181" s="15">
        <v>176</v>
      </c>
      <c r="P181" s="1">
        <f>_xlfn.FLOOR.MATH(O181/10+0.9)*10</f>
        <v>180</v>
      </c>
      <c r="Q181" s="1">
        <f ca="1">OFFSET(控制台!$I$1099,MATCH(P181,控制台!$H$1099:$H$1118,0)-2,0)*控制台!$K$1092</f>
        <v>5640000</v>
      </c>
      <c r="R181" s="1">
        <f ca="1">OFFSET(控制台!$I$1099,MATCH(P181,控制台!$H$1099:$H$1118,0)-1,0)*控制台!$K$1092</f>
        <v>5760000</v>
      </c>
      <c r="S181" s="16">
        <f ca="1">_xlfn.FLOOR.MATH(Lerp_dyy(Q181,R181,IF(MOD(O181,10)=0,1,MOD(O181,10)/10)),10)</f>
        <v>5712000</v>
      </c>
      <c r="T181" s="17">
        <f ca="1" t="shared" si="11"/>
        <v>463577900</v>
      </c>
      <c r="U181" s="4">
        <f ca="1">IF(AND(O181&lt;&gt;1,MOD(O181,10)=1),OFFSET(控制台!$K$1099,MATCH(P181,控制台!$H$1099:$H$1118,0)-1,0)*控制台!$K$1093,0)</f>
        <v>0</v>
      </c>
      <c r="V181" s="17">
        <f ca="1" t="shared" si="13"/>
        <v>340680</v>
      </c>
      <c r="W181" s="1">
        <f ca="1">IF(_xlfn.CEILING.MATH(O181/10)*10=10,0,IFERROR(OFFSET(控制台!$B$1007,MATCH(_xlfn.CEILING.MATH(O181/10-1)*10,控制台!$D$1007:$D$1080,0)-1,0),0))</f>
        <v>300</v>
      </c>
      <c r="X181" s="1">
        <f ca="1">IFERROR(OFFSET(控制台!$B$1007,MATCH(_xlfn.CEILING.MATH(O181/10)*10,控制台!$D$1007:$D$1080,0)-1,0),1)</f>
        <v>330</v>
      </c>
      <c r="Y181" s="17">
        <f ca="1">Lerp_dyy(W181,X181,IF(MOD(O181,10)=0,1,MOD(O181,10)/10))</f>
        <v>318</v>
      </c>
    </row>
    <row r="182" s="15" customFormat="1" spans="2:25">
      <c r="B182" s="15">
        <v>177</v>
      </c>
      <c r="C182" s="15">
        <f>_xlfn.FLOOR.MATH(B182/10+0.9)*10</f>
        <v>180</v>
      </c>
      <c r="D182" s="15">
        <f ca="1">OFFSET(控制台!$C$1099,MATCH(C182,控制台!$B$1099:$B$1118,0)-2,0)*控制台!$E$1092</f>
        <v>5640000</v>
      </c>
      <c r="E182" s="15">
        <f ca="1">OFFSET(控制台!$C$1099,MATCH(C182,控制台!$B$1099:$B$1118,0)-1,0)*控制台!$E$1092</f>
        <v>5760000</v>
      </c>
      <c r="F182" s="16">
        <f ca="1">_xlfn.FLOOR.MATH(Lerp_dyy(D182,E182,IF(MOD(B182,10)=0,1,MOD(B182,10)/10)),10)</f>
        <v>5724000</v>
      </c>
      <c r="G182" s="17">
        <f ca="1" t="shared" si="14"/>
        <v>469301900</v>
      </c>
      <c r="H182" s="16">
        <f ca="1">IF(AND(B182&lt;&gt;1,MOD(B182,10)=1),OFFSET(控制台!$E$1099,MATCH(C182,控制台!$B$1099:$B$1118,0)-1,0)*控制台!$E$1093,0)</f>
        <v>0</v>
      </c>
      <c r="I182" s="17">
        <f ca="1" t="shared" si="12"/>
        <v>340680</v>
      </c>
      <c r="J182" s="15">
        <f ca="1">IF(_xlfn.CEILING.MATH(B182/10)*10=10,0,IFERROR(OFFSET(控制台!$B$865,MATCH(_xlfn.CEILING.MATH(B182/10-1)*10,控制台!$D$865:$D$936,0)-1,0),0))</f>
        <v>270</v>
      </c>
      <c r="K182" s="15">
        <f ca="1">IFERROR(OFFSET(控制台!$B$865,MATCH(_xlfn.CEILING.MATH(B182/10)*10,控制台!$D$865:$D$936,0)-1,0),1)</f>
        <v>300</v>
      </c>
      <c r="L182" s="17">
        <f ca="1">Lerp_dyy(J182,K182,IF(MOD(B182,10)=0,1,MOD(B182,10)/10))</f>
        <v>291</v>
      </c>
      <c r="O182" s="15">
        <v>177</v>
      </c>
      <c r="P182" s="1">
        <f>_xlfn.FLOOR.MATH(O182/10+0.9)*10</f>
        <v>180</v>
      </c>
      <c r="Q182" s="1">
        <f ca="1">OFFSET(控制台!$I$1099,MATCH(P182,控制台!$H$1099:$H$1118,0)-2,0)*控制台!$K$1092</f>
        <v>5640000</v>
      </c>
      <c r="R182" s="1">
        <f ca="1">OFFSET(控制台!$I$1099,MATCH(P182,控制台!$H$1099:$H$1118,0)-1,0)*控制台!$K$1092</f>
        <v>5760000</v>
      </c>
      <c r="S182" s="16">
        <f ca="1">_xlfn.FLOOR.MATH(Lerp_dyy(Q182,R182,IF(MOD(O182,10)=0,1,MOD(O182,10)/10)),10)</f>
        <v>5724000</v>
      </c>
      <c r="T182" s="17">
        <f ca="1" t="shared" si="11"/>
        <v>469301900</v>
      </c>
      <c r="U182" s="4">
        <f ca="1">IF(AND(O182&lt;&gt;1,MOD(O182,10)=1),OFFSET(控制台!$K$1099,MATCH(P182,控制台!$H$1099:$H$1118,0)-1,0)*控制台!$K$1093,0)</f>
        <v>0</v>
      </c>
      <c r="V182" s="17">
        <f ca="1" t="shared" si="13"/>
        <v>340680</v>
      </c>
      <c r="W182" s="1">
        <f ca="1">IF(_xlfn.CEILING.MATH(O182/10)*10=10,0,IFERROR(OFFSET(控制台!$B$1007,MATCH(_xlfn.CEILING.MATH(O182/10-1)*10,控制台!$D$1007:$D$1080,0)-1,0),0))</f>
        <v>300</v>
      </c>
      <c r="X182" s="1">
        <f ca="1">IFERROR(OFFSET(控制台!$B$1007,MATCH(_xlfn.CEILING.MATH(O182/10)*10,控制台!$D$1007:$D$1080,0)-1,0),1)</f>
        <v>330</v>
      </c>
      <c r="Y182" s="17">
        <f ca="1">Lerp_dyy(W182,X182,IF(MOD(O182,10)=0,1,MOD(O182,10)/10))</f>
        <v>321</v>
      </c>
    </row>
    <row r="183" s="15" customFormat="1" spans="2:25">
      <c r="B183" s="15">
        <v>178</v>
      </c>
      <c r="C183" s="15">
        <f>_xlfn.FLOOR.MATH(B183/10+0.9)*10</f>
        <v>180</v>
      </c>
      <c r="D183" s="15">
        <f ca="1">OFFSET(控制台!$C$1099,MATCH(C183,控制台!$B$1099:$B$1118,0)-2,0)*控制台!$E$1092</f>
        <v>5640000</v>
      </c>
      <c r="E183" s="15">
        <f ca="1">OFFSET(控制台!$C$1099,MATCH(C183,控制台!$B$1099:$B$1118,0)-1,0)*控制台!$E$1092</f>
        <v>5760000</v>
      </c>
      <c r="F183" s="16">
        <f ca="1">_xlfn.FLOOR.MATH(Lerp_dyy(D183,E183,IF(MOD(B183,10)=0,1,MOD(B183,10)/10)),10)</f>
        <v>5736000</v>
      </c>
      <c r="G183" s="17">
        <f ca="1" t="shared" si="14"/>
        <v>475037900</v>
      </c>
      <c r="H183" s="16">
        <f ca="1">IF(AND(B183&lt;&gt;1,MOD(B183,10)=1),OFFSET(控制台!$E$1099,MATCH(C183,控制台!$B$1099:$B$1118,0)-1,0)*控制台!$E$1093,0)</f>
        <v>0</v>
      </c>
      <c r="I183" s="17">
        <f ca="1" t="shared" si="12"/>
        <v>340680</v>
      </c>
      <c r="J183" s="15">
        <f ca="1">IF(_xlfn.CEILING.MATH(B183/10)*10=10,0,IFERROR(OFFSET(控制台!$B$865,MATCH(_xlfn.CEILING.MATH(B183/10-1)*10,控制台!$D$865:$D$936,0)-1,0),0))</f>
        <v>270</v>
      </c>
      <c r="K183" s="15">
        <f ca="1">IFERROR(OFFSET(控制台!$B$865,MATCH(_xlfn.CEILING.MATH(B183/10)*10,控制台!$D$865:$D$936,0)-1,0),1)</f>
        <v>300</v>
      </c>
      <c r="L183" s="17">
        <f ca="1">Lerp_dyy(J183,K183,IF(MOD(B183,10)=0,1,MOD(B183,10)/10))</f>
        <v>294</v>
      </c>
      <c r="O183" s="15">
        <v>178</v>
      </c>
      <c r="P183" s="1">
        <f>_xlfn.FLOOR.MATH(O183/10+0.9)*10</f>
        <v>180</v>
      </c>
      <c r="Q183" s="1">
        <f ca="1">OFFSET(控制台!$I$1099,MATCH(P183,控制台!$H$1099:$H$1118,0)-2,0)*控制台!$K$1092</f>
        <v>5640000</v>
      </c>
      <c r="R183" s="1">
        <f ca="1">OFFSET(控制台!$I$1099,MATCH(P183,控制台!$H$1099:$H$1118,0)-1,0)*控制台!$K$1092</f>
        <v>5760000</v>
      </c>
      <c r="S183" s="16">
        <f ca="1">_xlfn.FLOOR.MATH(Lerp_dyy(Q183,R183,IF(MOD(O183,10)=0,1,MOD(O183,10)/10)),10)</f>
        <v>5736000</v>
      </c>
      <c r="T183" s="17">
        <f ca="1" t="shared" si="11"/>
        <v>475037900</v>
      </c>
      <c r="U183" s="4">
        <f ca="1">IF(AND(O183&lt;&gt;1,MOD(O183,10)=1),OFFSET(控制台!$K$1099,MATCH(P183,控制台!$H$1099:$H$1118,0)-1,0)*控制台!$K$1093,0)</f>
        <v>0</v>
      </c>
      <c r="V183" s="17">
        <f ca="1" t="shared" si="13"/>
        <v>340680</v>
      </c>
      <c r="W183" s="1">
        <f ca="1">IF(_xlfn.CEILING.MATH(O183/10)*10=10,0,IFERROR(OFFSET(控制台!$B$1007,MATCH(_xlfn.CEILING.MATH(O183/10-1)*10,控制台!$D$1007:$D$1080,0)-1,0),0))</f>
        <v>300</v>
      </c>
      <c r="X183" s="1">
        <f ca="1">IFERROR(OFFSET(控制台!$B$1007,MATCH(_xlfn.CEILING.MATH(O183/10)*10,控制台!$D$1007:$D$1080,0)-1,0),1)</f>
        <v>330</v>
      </c>
      <c r="Y183" s="17">
        <f ca="1">Lerp_dyy(W183,X183,IF(MOD(O183,10)=0,1,MOD(O183,10)/10))</f>
        <v>324</v>
      </c>
    </row>
    <row r="184" s="15" customFormat="1" spans="2:25">
      <c r="B184" s="15">
        <v>179</v>
      </c>
      <c r="C184" s="15">
        <f>_xlfn.FLOOR.MATH(B184/10+0.9)*10</f>
        <v>180</v>
      </c>
      <c r="D184" s="15">
        <f ca="1">OFFSET(控制台!$C$1099,MATCH(C184,控制台!$B$1099:$B$1118,0)-2,0)*控制台!$E$1092</f>
        <v>5640000</v>
      </c>
      <c r="E184" s="15">
        <f ca="1">OFFSET(控制台!$C$1099,MATCH(C184,控制台!$B$1099:$B$1118,0)-1,0)*控制台!$E$1092</f>
        <v>5760000</v>
      </c>
      <c r="F184" s="16">
        <f ca="1">_xlfn.FLOOR.MATH(Lerp_dyy(D184,E184,IF(MOD(B184,10)=0,1,MOD(B184,10)/10)),10)</f>
        <v>5748000</v>
      </c>
      <c r="G184" s="17">
        <f ca="1" t="shared" si="14"/>
        <v>480785900</v>
      </c>
      <c r="H184" s="16">
        <f ca="1">IF(AND(B184&lt;&gt;1,MOD(B184,10)=1),OFFSET(控制台!$E$1099,MATCH(C184,控制台!$B$1099:$B$1118,0)-1,0)*控制台!$E$1093,0)</f>
        <v>0</v>
      </c>
      <c r="I184" s="17">
        <f ca="1" t="shared" si="12"/>
        <v>340680</v>
      </c>
      <c r="J184" s="15">
        <f ca="1">IF(_xlfn.CEILING.MATH(B184/10)*10=10,0,IFERROR(OFFSET(控制台!$B$865,MATCH(_xlfn.CEILING.MATH(B184/10-1)*10,控制台!$D$865:$D$936,0)-1,0),0))</f>
        <v>270</v>
      </c>
      <c r="K184" s="15">
        <f ca="1">IFERROR(OFFSET(控制台!$B$865,MATCH(_xlfn.CEILING.MATH(B184/10)*10,控制台!$D$865:$D$936,0)-1,0),1)</f>
        <v>300</v>
      </c>
      <c r="L184" s="17">
        <f ca="1">Lerp_dyy(J184,K184,IF(MOD(B184,10)=0,1,MOD(B184,10)/10))</f>
        <v>297</v>
      </c>
      <c r="O184" s="15">
        <v>179</v>
      </c>
      <c r="P184" s="1">
        <f>_xlfn.FLOOR.MATH(O184/10+0.9)*10</f>
        <v>180</v>
      </c>
      <c r="Q184" s="1">
        <f ca="1">OFFSET(控制台!$I$1099,MATCH(P184,控制台!$H$1099:$H$1118,0)-2,0)*控制台!$K$1092</f>
        <v>5640000</v>
      </c>
      <c r="R184" s="1">
        <f ca="1">OFFSET(控制台!$I$1099,MATCH(P184,控制台!$H$1099:$H$1118,0)-1,0)*控制台!$K$1092</f>
        <v>5760000</v>
      </c>
      <c r="S184" s="16">
        <f ca="1">_xlfn.FLOOR.MATH(Lerp_dyy(Q184,R184,IF(MOD(O184,10)=0,1,MOD(O184,10)/10)),10)</f>
        <v>5748000</v>
      </c>
      <c r="T184" s="17">
        <f ca="1" t="shared" si="11"/>
        <v>480785900</v>
      </c>
      <c r="U184" s="4">
        <f ca="1">IF(AND(O184&lt;&gt;1,MOD(O184,10)=1),OFFSET(控制台!$K$1099,MATCH(P184,控制台!$H$1099:$H$1118,0)-1,0)*控制台!$K$1093,0)</f>
        <v>0</v>
      </c>
      <c r="V184" s="17">
        <f ca="1" t="shared" si="13"/>
        <v>340680</v>
      </c>
      <c r="W184" s="1">
        <f ca="1">IF(_xlfn.CEILING.MATH(O184/10)*10=10,0,IFERROR(OFFSET(控制台!$B$1007,MATCH(_xlfn.CEILING.MATH(O184/10-1)*10,控制台!$D$1007:$D$1080,0)-1,0),0))</f>
        <v>300</v>
      </c>
      <c r="X184" s="1">
        <f ca="1">IFERROR(OFFSET(控制台!$B$1007,MATCH(_xlfn.CEILING.MATH(O184/10)*10,控制台!$D$1007:$D$1080,0)-1,0),1)</f>
        <v>330</v>
      </c>
      <c r="Y184" s="17">
        <f ca="1">Lerp_dyy(W184,X184,IF(MOD(O184,10)=0,1,MOD(O184,10)/10))</f>
        <v>327</v>
      </c>
    </row>
    <row r="185" s="15" customFormat="1" spans="2:25">
      <c r="B185" s="15">
        <v>180</v>
      </c>
      <c r="C185" s="15">
        <f>_xlfn.FLOOR.MATH(B185/10+0.9)*10</f>
        <v>180</v>
      </c>
      <c r="D185" s="15">
        <f ca="1">OFFSET(控制台!$C$1099,MATCH(C185,控制台!$B$1099:$B$1118,0)-2,0)*控制台!$E$1092</f>
        <v>5640000</v>
      </c>
      <c r="E185" s="15">
        <f ca="1">OFFSET(控制台!$C$1099,MATCH(C185,控制台!$B$1099:$B$1118,0)-1,0)*控制台!$E$1092</f>
        <v>5760000</v>
      </c>
      <c r="F185" s="16">
        <f ca="1">_xlfn.FLOOR.MATH(Lerp_dyy(D185,E185,IF(MOD(B185,10)=0,1,MOD(B185,10)/10)),10)</f>
        <v>5760000</v>
      </c>
      <c r="G185" s="17">
        <f ca="1" t="shared" si="14"/>
        <v>486545900</v>
      </c>
      <c r="H185" s="16">
        <f ca="1">IF(AND(B185&lt;&gt;1,MOD(B185,10)=1),OFFSET(控制台!$E$1099,MATCH(C185,控制台!$B$1099:$B$1118,0)-1,0)*控制台!$E$1093,0)</f>
        <v>0</v>
      </c>
      <c r="I185" s="17">
        <f ca="1" t="shared" si="12"/>
        <v>340680</v>
      </c>
      <c r="J185" s="15">
        <f ca="1">IF(_xlfn.CEILING.MATH(B185/10)*10=10,0,IFERROR(OFFSET(控制台!$B$865,MATCH(_xlfn.CEILING.MATH(B185/10-1)*10,控制台!$D$865:$D$936,0)-1,0),0))</f>
        <v>270</v>
      </c>
      <c r="K185" s="15">
        <f ca="1">IFERROR(OFFSET(控制台!$B$865,MATCH(_xlfn.CEILING.MATH(B185/10)*10,控制台!$D$865:$D$936,0)-1,0),1)</f>
        <v>300</v>
      </c>
      <c r="L185" s="17">
        <f ca="1">Lerp_dyy(J185,K185,IF(MOD(B185,10)=0,1,MOD(B185,10)/10))</f>
        <v>300</v>
      </c>
      <c r="O185" s="15">
        <v>180</v>
      </c>
      <c r="P185" s="1">
        <f>_xlfn.FLOOR.MATH(O185/10+0.9)*10</f>
        <v>180</v>
      </c>
      <c r="Q185" s="1">
        <f ca="1">OFFSET(控制台!$I$1099,MATCH(P185,控制台!$H$1099:$H$1118,0)-2,0)*控制台!$K$1092</f>
        <v>5640000</v>
      </c>
      <c r="R185" s="1">
        <f ca="1">OFFSET(控制台!$I$1099,MATCH(P185,控制台!$H$1099:$H$1118,0)-1,0)*控制台!$K$1092</f>
        <v>5760000</v>
      </c>
      <c r="S185" s="16">
        <f ca="1">_xlfn.FLOOR.MATH(Lerp_dyy(Q185,R185,IF(MOD(O185,10)=0,1,MOD(O185,10)/10)),10)</f>
        <v>5760000</v>
      </c>
      <c r="T185" s="17">
        <f ca="1" t="shared" si="11"/>
        <v>486545900</v>
      </c>
      <c r="U185" s="4">
        <f ca="1">IF(AND(O185&lt;&gt;1,MOD(O185,10)=1),OFFSET(控制台!$K$1099,MATCH(P185,控制台!$H$1099:$H$1118,0)-1,0)*控制台!$K$1093,0)</f>
        <v>0</v>
      </c>
      <c r="V185" s="17">
        <f ca="1" t="shared" si="13"/>
        <v>340680</v>
      </c>
      <c r="W185" s="1">
        <f ca="1">IF(_xlfn.CEILING.MATH(O185/10)*10=10,0,IFERROR(OFFSET(控制台!$B$1007,MATCH(_xlfn.CEILING.MATH(O185/10-1)*10,控制台!$D$1007:$D$1080,0)-1,0),0))</f>
        <v>300</v>
      </c>
      <c r="X185" s="1">
        <f ca="1">IFERROR(OFFSET(控制台!$B$1007,MATCH(_xlfn.CEILING.MATH(O185/10)*10,控制台!$D$1007:$D$1080,0)-1,0),1)</f>
        <v>330</v>
      </c>
      <c r="Y185" s="17">
        <f ca="1">Lerp_dyy(W185,X185,IF(MOD(O185,10)=0,1,MOD(O185,10)/10))</f>
        <v>330</v>
      </c>
    </row>
    <row r="186" spans="2:25">
      <c r="B186" s="1">
        <v>181</v>
      </c>
      <c r="C186" s="1">
        <f>_xlfn.FLOOR.MATH(B186/10+0.9)*10</f>
        <v>190</v>
      </c>
      <c r="D186" s="1">
        <f ca="1">OFFSET(控制台!$C$1099,MATCH(C186,控制台!$B$1099:$B$1118,0)-2,0)*控制台!$E$1092</f>
        <v>5760000</v>
      </c>
      <c r="E186" s="1">
        <f ca="1">OFFSET(控制台!$C$1099,MATCH(C186,控制台!$B$1099:$B$1118,0)-1,0)*控制台!$E$1092</f>
        <v>5880000</v>
      </c>
      <c r="F186" s="4">
        <f ca="1">_xlfn.FLOOR.MATH(Lerp_dyy(D186,E186,IF(MOD(B186,10)=0,1,MOD(B186,10)/10)),10)</f>
        <v>5772000</v>
      </c>
      <c r="G186" s="5">
        <f ca="1" t="shared" si="14"/>
        <v>492317900</v>
      </c>
      <c r="H186" s="4">
        <f ca="1">IF(AND(B186&lt;&gt;1,MOD(B186,10)=1),OFFSET(控制台!$E$1099,MATCH(C186,控制台!$B$1099:$B$1118,0)-1,0)*控制台!$E$1093,0)</f>
        <v>39200</v>
      </c>
      <c r="I186" s="5">
        <f ca="1" t="shared" si="12"/>
        <v>379880</v>
      </c>
      <c r="J186" s="1">
        <f ca="1">IF(_xlfn.CEILING.MATH(B186/10)*10=10,0,IFERROR(OFFSET(控制台!$B$865,MATCH(_xlfn.CEILING.MATH(B186/10-1)*10,控制台!$D$865:$D$936,0)-1,0),0))</f>
        <v>300</v>
      </c>
      <c r="K186" s="1">
        <f ca="1">IFERROR(OFFSET(控制台!$B$865,MATCH(_xlfn.CEILING.MATH(B186/10)*10,控制台!$D$865:$D$936,0)-1,0),1)</f>
        <v>330</v>
      </c>
      <c r="L186" s="5">
        <f ca="1">Lerp_dyy(J186,K186,IF(MOD(B186,10)=0,1,MOD(B186,10)/10))</f>
        <v>303</v>
      </c>
      <c r="O186" s="1">
        <v>181</v>
      </c>
      <c r="P186" s="1">
        <f>_xlfn.FLOOR.MATH(O186/10+0.9)*10</f>
        <v>190</v>
      </c>
      <c r="Q186" s="1">
        <f ca="1">OFFSET(控制台!$I$1099,MATCH(P186,控制台!$H$1099:$H$1118,0)-2,0)*控制台!$K$1092</f>
        <v>5760000</v>
      </c>
      <c r="R186" s="1">
        <f ca="1">OFFSET(控制台!$I$1099,MATCH(P186,控制台!$H$1099:$H$1118,0)-1,0)*控制台!$K$1092</f>
        <v>5880000</v>
      </c>
      <c r="S186" s="4">
        <f ca="1">_xlfn.FLOOR.MATH(Lerp_dyy(Q186,R186,IF(MOD(O186,10)=0,1,MOD(O186,10)/10)),10)</f>
        <v>5772000</v>
      </c>
      <c r="T186" s="5">
        <f ca="1" t="shared" si="11"/>
        <v>492317900</v>
      </c>
      <c r="U186" s="4">
        <f ca="1">IF(AND(O186&lt;&gt;1,MOD(O186,10)=1),OFFSET(控制台!$K$1099,MATCH(P186,控制台!$H$1099:$H$1118,0)-1,0)*控制台!$K$1093,0)</f>
        <v>39200</v>
      </c>
      <c r="V186" s="5">
        <f ca="1" t="shared" si="13"/>
        <v>379880</v>
      </c>
      <c r="W186" s="1">
        <f ca="1">IF(_xlfn.CEILING.MATH(O186/10)*10=10,0,IFERROR(OFFSET(控制台!$B$1007,MATCH(_xlfn.CEILING.MATH(O186/10-1)*10,控制台!$D$1007:$D$1080,0)-1,0),0))</f>
        <v>330</v>
      </c>
      <c r="X186" s="1">
        <f ca="1">IFERROR(OFFSET(控制台!$B$1007,MATCH(_xlfn.CEILING.MATH(O186/10)*10,控制台!$D$1007:$D$1080,0)-1,0),1)</f>
        <v>390</v>
      </c>
      <c r="Y186" s="5">
        <f ca="1">Lerp_dyy(W186,X186,IF(MOD(O186,10)=0,1,MOD(O186,10)/10))</f>
        <v>336</v>
      </c>
    </row>
    <row r="187" spans="2:25">
      <c r="B187" s="1">
        <v>182</v>
      </c>
      <c r="C187" s="1">
        <f>_xlfn.FLOOR.MATH(B187/10+0.9)*10</f>
        <v>190</v>
      </c>
      <c r="D187" s="1">
        <f ca="1">OFFSET(控制台!$C$1099,MATCH(C187,控制台!$B$1099:$B$1118,0)-2,0)*控制台!$E$1092</f>
        <v>5760000</v>
      </c>
      <c r="E187" s="1">
        <f ca="1">OFFSET(控制台!$C$1099,MATCH(C187,控制台!$B$1099:$B$1118,0)-1,0)*控制台!$E$1092</f>
        <v>5880000</v>
      </c>
      <c r="F187" s="4">
        <f ca="1">_xlfn.FLOOR.MATH(Lerp_dyy(D187,E187,IF(MOD(B187,10)=0,1,MOD(B187,10)/10)),10)</f>
        <v>5784000</v>
      </c>
      <c r="G187" s="5">
        <f ca="1" t="shared" si="14"/>
        <v>498101900</v>
      </c>
      <c r="H187" s="4">
        <f ca="1">IF(AND(B187&lt;&gt;1,MOD(B187,10)=1),OFFSET(控制台!$E$1099,MATCH(C187,控制台!$B$1099:$B$1118,0)-1,0)*控制台!$E$1093,0)</f>
        <v>0</v>
      </c>
      <c r="I187" s="5">
        <f ca="1" t="shared" si="12"/>
        <v>379880</v>
      </c>
      <c r="J187" s="1">
        <f ca="1">IF(_xlfn.CEILING.MATH(B187/10)*10=10,0,IFERROR(OFFSET(控制台!$B$865,MATCH(_xlfn.CEILING.MATH(B187/10-1)*10,控制台!$D$865:$D$936,0)-1,0),0))</f>
        <v>300</v>
      </c>
      <c r="K187" s="1">
        <f ca="1">IFERROR(OFFSET(控制台!$B$865,MATCH(_xlfn.CEILING.MATH(B187/10)*10,控制台!$D$865:$D$936,0)-1,0),1)</f>
        <v>330</v>
      </c>
      <c r="L187" s="5">
        <f ca="1">Lerp_dyy(J187,K187,IF(MOD(B187,10)=0,1,MOD(B187,10)/10))</f>
        <v>306</v>
      </c>
      <c r="O187" s="1">
        <v>182</v>
      </c>
      <c r="P187" s="1">
        <f>_xlfn.FLOOR.MATH(O187/10+0.9)*10</f>
        <v>190</v>
      </c>
      <c r="Q187" s="1">
        <f ca="1">OFFSET(控制台!$I$1099,MATCH(P187,控制台!$H$1099:$H$1118,0)-2,0)*控制台!$K$1092</f>
        <v>5760000</v>
      </c>
      <c r="R187" s="1">
        <f ca="1">OFFSET(控制台!$I$1099,MATCH(P187,控制台!$H$1099:$H$1118,0)-1,0)*控制台!$K$1092</f>
        <v>5880000</v>
      </c>
      <c r="S187" s="4">
        <f ca="1">_xlfn.FLOOR.MATH(Lerp_dyy(Q187,R187,IF(MOD(O187,10)=0,1,MOD(O187,10)/10)),10)</f>
        <v>5784000</v>
      </c>
      <c r="T187" s="5">
        <f ca="1" t="shared" si="11"/>
        <v>498101900</v>
      </c>
      <c r="U187" s="4">
        <f ca="1">IF(AND(O187&lt;&gt;1,MOD(O187,10)=1),OFFSET(控制台!$K$1099,MATCH(P187,控制台!$H$1099:$H$1118,0)-1,0)*控制台!$K$1093,0)</f>
        <v>0</v>
      </c>
      <c r="V187" s="5">
        <f ca="1" t="shared" si="13"/>
        <v>379880</v>
      </c>
      <c r="W187" s="1">
        <f ca="1">IF(_xlfn.CEILING.MATH(O187/10)*10=10,0,IFERROR(OFFSET(控制台!$B$1007,MATCH(_xlfn.CEILING.MATH(O187/10-1)*10,控制台!$D$1007:$D$1080,0)-1,0),0))</f>
        <v>330</v>
      </c>
      <c r="X187" s="1">
        <f ca="1">IFERROR(OFFSET(控制台!$B$1007,MATCH(_xlfn.CEILING.MATH(O187/10)*10,控制台!$D$1007:$D$1080,0)-1,0),1)</f>
        <v>390</v>
      </c>
      <c r="Y187" s="5">
        <f ca="1">Lerp_dyy(W187,X187,IF(MOD(O187,10)=0,1,MOD(O187,10)/10))</f>
        <v>342</v>
      </c>
    </row>
    <row r="188" spans="2:25">
      <c r="B188" s="1">
        <v>183</v>
      </c>
      <c r="C188" s="1">
        <f>_xlfn.FLOOR.MATH(B188/10+0.9)*10</f>
        <v>190</v>
      </c>
      <c r="D188" s="1">
        <f ca="1">OFFSET(控制台!$C$1099,MATCH(C188,控制台!$B$1099:$B$1118,0)-2,0)*控制台!$E$1092</f>
        <v>5760000</v>
      </c>
      <c r="E188" s="1">
        <f ca="1">OFFSET(控制台!$C$1099,MATCH(C188,控制台!$B$1099:$B$1118,0)-1,0)*控制台!$E$1092</f>
        <v>5880000</v>
      </c>
      <c r="F188" s="4">
        <f ca="1">_xlfn.FLOOR.MATH(Lerp_dyy(D188,E188,IF(MOD(B188,10)=0,1,MOD(B188,10)/10)),10)</f>
        <v>5796000</v>
      </c>
      <c r="G188" s="5">
        <f ca="1" t="shared" si="14"/>
        <v>503897900</v>
      </c>
      <c r="H188" s="4">
        <f ca="1">IF(AND(B188&lt;&gt;1,MOD(B188,10)=1),OFFSET(控制台!$E$1099,MATCH(C188,控制台!$B$1099:$B$1118,0)-1,0)*控制台!$E$1093,0)</f>
        <v>0</v>
      </c>
      <c r="I188" s="5">
        <f ca="1" t="shared" si="12"/>
        <v>379880</v>
      </c>
      <c r="J188" s="1">
        <f ca="1">IF(_xlfn.CEILING.MATH(B188/10)*10=10,0,IFERROR(OFFSET(控制台!$B$865,MATCH(_xlfn.CEILING.MATH(B188/10-1)*10,控制台!$D$865:$D$936,0)-1,0),0))</f>
        <v>300</v>
      </c>
      <c r="K188" s="1">
        <f ca="1">IFERROR(OFFSET(控制台!$B$865,MATCH(_xlfn.CEILING.MATH(B188/10)*10,控制台!$D$865:$D$936,0)-1,0),1)</f>
        <v>330</v>
      </c>
      <c r="L188" s="5">
        <f ca="1">Lerp_dyy(J188,K188,IF(MOD(B188,10)=0,1,MOD(B188,10)/10))</f>
        <v>309</v>
      </c>
      <c r="O188" s="1">
        <v>183</v>
      </c>
      <c r="P188" s="1">
        <f>_xlfn.FLOOR.MATH(O188/10+0.9)*10</f>
        <v>190</v>
      </c>
      <c r="Q188" s="1">
        <f ca="1">OFFSET(控制台!$I$1099,MATCH(P188,控制台!$H$1099:$H$1118,0)-2,0)*控制台!$K$1092</f>
        <v>5760000</v>
      </c>
      <c r="R188" s="1">
        <f ca="1">OFFSET(控制台!$I$1099,MATCH(P188,控制台!$H$1099:$H$1118,0)-1,0)*控制台!$K$1092</f>
        <v>5880000</v>
      </c>
      <c r="S188" s="4">
        <f ca="1">_xlfn.FLOOR.MATH(Lerp_dyy(Q188,R188,IF(MOD(O188,10)=0,1,MOD(O188,10)/10)),10)</f>
        <v>5796000</v>
      </c>
      <c r="T188" s="5">
        <f ca="1" t="shared" si="11"/>
        <v>503897900</v>
      </c>
      <c r="U188" s="4">
        <f ca="1">IF(AND(O188&lt;&gt;1,MOD(O188,10)=1),OFFSET(控制台!$K$1099,MATCH(P188,控制台!$H$1099:$H$1118,0)-1,0)*控制台!$K$1093,0)</f>
        <v>0</v>
      </c>
      <c r="V188" s="5">
        <f ca="1" t="shared" si="13"/>
        <v>379880</v>
      </c>
      <c r="W188" s="1">
        <f ca="1">IF(_xlfn.CEILING.MATH(O188/10)*10=10,0,IFERROR(OFFSET(控制台!$B$1007,MATCH(_xlfn.CEILING.MATH(O188/10-1)*10,控制台!$D$1007:$D$1080,0)-1,0),0))</f>
        <v>330</v>
      </c>
      <c r="X188" s="1">
        <f ca="1">IFERROR(OFFSET(控制台!$B$1007,MATCH(_xlfn.CEILING.MATH(O188/10)*10,控制台!$D$1007:$D$1080,0)-1,0),1)</f>
        <v>390</v>
      </c>
      <c r="Y188" s="5">
        <f ca="1">Lerp_dyy(W188,X188,IF(MOD(O188,10)=0,1,MOD(O188,10)/10))</f>
        <v>348</v>
      </c>
    </row>
    <row r="189" spans="2:25">
      <c r="B189" s="1">
        <v>184</v>
      </c>
      <c r="C189" s="1">
        <f>_xlfn.FLOOR.MATH(B189/10+0.9)*10</f>
        <v>190</v>
      </c>
      <c r="D189" s="1">
        <f ca="1">OFFSET(控制台!$C$1099,MATCH(C189,控制台!$B$1099:$B$1118,0)-2,0)*控制台!$E$1092</f>
        <v>5760000</v>
      </c>
      <c r="E189" s="1">
        <f ca="1">OFFSET(控制台!$C$1099,MATCH(C189,控制台!$B$1099:$B$1118,0)-1,0)*控制台!$E$1092</f>
        <v>5880000</v>
      </c>
      <c r="F189" s="4">
        <f ca="1">_xlfn.FLOOR.MATH(Lerp_dyy(D189,E189,IF(MOD(B189,10)=0,1,MOD(B189,10)/10)),10)</f>
        <v>5808000</v>
      </c>
      <c r="G189" s="5">
        <f ca="1" t="shared" si="14"/>
        <v>509705900</v>
      </c>
      <c r="H189" s="4">
        <f ca="1">IF(AND(B189&lt;&gt;1,MOD(B189,10)=1),OFFSET(控制台!$E$1099,MATCH(C189,控制台!$B$1099:$B$1118,0)-1,0)*控制台!$E$1093,0)</f>
        <v>0</v>
      </c>
      <c r="I189" s="5">
        <f ca="1" t="shared" si="12"/>
        <v>379880</v>
      </c>
      <c r="J189" s="1">
        <f ca="1">IF(_xlfn.CEILING.MATH(B189/10)*10=10,0,IFERROR(OFFSET(控制台!$B$865,MATCH(_xlfn.CEILING.MATH(B189/10-1)*10,控制台!$D$865:$D$936,0)-1,0),0))</f>
        <v>300</v>
      </c>
      <c r="K189" s="1">
        <f ca="1">IFERROR(OFFSET(控制台!$B$865,MATCH(_xlfn.CEILING.MATH(B189/10)*10,控制台!$D$865:$D$936,0)-1,0),1)</f>
        <v>330</v>
      </c>
      <c r="L189" s="5">
        <f ca="1">Lerp_dyy(J189,K189,IF(MOD(B189,10)=0,1,MOD(B189,10)/10))</f>
        <v>312</v>
      </c>
      <c r="O189" s="1">
        <v>184</v>
      </c>
      <c r="P189" s="1">
        <f>_xlfn.FLOOR.MATH(O189/10+0.9)*10</f>
        <v>190</v>
      </c>
      <c r="Q189" s="1">
        <f ca="1">OFFSET(控制台!$I$1099,MATCH(P189,控制台!$H$1099:$H$1118,0)-2,0)*控制台!$K$1092</f>
        <v>5760000</v>
      </c>
      <c r="R189" s="1">
        <f ca="1">OFFSET(控制台!$I$1099,MATCH(P189,控制台!$H$1099:$H$1118,0)-1,0)*控制台!$K$1092</f>
        <v>5880000</v>
      </c>
      <c r="S189" s="4">
        <f ca="1">_xlfn.FLOOR.MATH(Lerp_dyy(Q189,R189,IF(MOD(O189,10)=0,1,MOD(O189,10)/10)),10)</f>
        <v>5808000</v>
      </c>
      <c r="T189" s="5">
        <f ca="1" t="shared" si="11"/>
        <v>509705900</v>
      </c>
      <c r="U189" s="4">
        <f ca="1">IF(AND(O189&lt;&gt;1,MOD(O189,10)=1),OFFSET(控制台!$K$1099,MATCH(P189,控制台!$H$1099:$H$1118,0)-1,0)*控制台!$K$1093,0)</f>
        <v>0</v>
      </c>
      <c r="V189" s="5">
        <f ca="1" t="shared" si="13"/>
        <v>379880</v>
      </c>
      <c r="W189" s="1">
        <f ca="1">IF(_xlfn.CEILING.MATH(O189/10)*10=10,0,IFERROR(OFFSET(控制台!$B$1007,MATCH(_xlfn.CEILING.MATH(O189/10-1)*10,控制台!$D$1007:$D$1080,0)-1,0),0))</f>
        <v>330</v>
      </c>
      <c r="X189" s="1">
        <f ca="1">IFERROR(OFFSET(控制台!$B$1007,MATCH(_xlfn.CEILING.MATH(O189/10)*10,控制台!$D$1007:$D$1080,0)-1,0),1)</f>
        <v>390</v>
      </c>
      <c r="Y189" s="5">
        <f ca="1">Lerp_dyy(W189,X189,IF(MOD(O189,10)=0,1,MOD(O189,10)/10))</f>
        <v>354</v>
      </c>
    </row>
    <row r="190" spans="2:25">
      <c r="B190" s="1">
        <v>185</v>
      </c>
      <c r="C190" s="1">
        <f>_xlfn.FLOOR.MATH(B190/10+0.9)*10</f>
        <v>190</v>
      </c>
      <c r="D190" s="1">
        <f ca="1">OFFSET(控制台!$C$1099,MATCH(C190,控制台!$B$1099:$B$1118,0)-2,0)*控制台!$E$1092</f>
        <v>5760000</v>
      </c>
      <c r="E190" s="1">
        <f ca="1">OFFSET(控制台!$C$1099,MATCH(C190,控制台!$B$1099:$B$1118,0)-1,0)*控制台!$E$1092</f>
        <v>5880000</v>
      </c>
      <c r="F190" s="4">
        <f ca="1">_xlfn.FLOOR.MATH(Lerp_dyy(D190,E190,IF(MOD(B190,10)=0,1,MOD(B190,10)/10)),10)</f>
        <v>5820000</v>
      </c>
      <c r="G190" s="5">
        <f ca="1" t="shared" si="14"/>
        <v>515525900</v>
      </c>
      <c r="H190" s="4">
        <f ca="1">IF(AND(B190&lt;&gt;1,MOD(B190,10)=1),OFFSET(控制台!$E$1099,MATCH(C190,控制台!$B$1099:$B$1118,0)-1,0)*控制台!$E$1093,0)</f>
        <v>0</v>
      </c>
      <c r="I190" s="5">
        <f ca="1" t="shared" si="12"/>
        <v>379880</v>
      </c>
      <c r="J190" s="1">
        <f ca="1">IF(_xlfn.CEILING.MATH(B190/10)*10=10,0,IFERROR(OFFSET(控制台!$B$865,MATCH(_xlfn.CEILING.MATH(B190/10-1)*10,控制台!$D$865:$D$936,0)-1,0),0))</f>
        <v>300</v>
      </c>
      <c r="K190" s="1">
        <f ca="1">IFERROR(OFFSET(控制台!$B$865,MATCH(_xlfn.CEILING.MATH(B190/10)*10,控制台!$D$865:$D$936,0)-1,0),1)</f>
        <v>330</v>
      </c>
      <c r="L190" s="5">
        <f ca="1">Lerp_dyy(J190,K190,IF(MOD(B190,10)=0,1,MOD(B190,10)/10))</f>
        <v>315</v>
      </c>
      <c r="O190" s="1">
        <v>185</v>
      </c>
      <c r="P190" s="1">
        <f>_xlfn.FLOOR.MATH(O190/10+0.9)*10</f>
        <v>190</v>
      </c>
      <c r="Q190" s="1">
        <f ca="1">OFFSET(控制台!$I$1099,MATCH(P190,控制台!$H$1099:$H$1118,0)-2,0)*控制台!$K$1092</f>
        <v>5760000</v>
      </c>
      <c r="R190" s="1">
        <f ca="1">OFFSET(控制台!$I$1099,MATCH(P190,控制台!$H$1099:$H$1118,0)-1,0)*控制台!$K$1092</f>
        <v>5880000</v>
      </c>
      <c r="S190" s="4">
        <f ca="1">_xlfn.FLOOR.MATH(Lerp_dyy(Q190,R190,IF(MOD(O190,10)=0,1,MOD(O190,10)/10)),10)</f>
        <v>5820000</v>
      </c>
      <c r="T190" s="5">
        <f ca="1" t="shared" si="11"/>
        <v>515525900</v>
      </c>
      <c r="U190" s="4">
        <f ca="1">IF(AND(O190&lt;&gt;1,MOD(O190,10)=1),OFFSET(控制台!$K$1099,MATCH(P190,控制台!$H$1099:$H$1118,0)-1,0)*控制台!$K$1093,0)</f>
        <v>0</v>
      </c>
      <c r="V190" s="5">
        <f ca="1" t="shared" si="13"/>
        <v>379880</v>
      </c>
      <c r="W190" s="1">
        <f ca="1">IF(_xlfn.CEILING.MATH(O190/10)*10=10,0,IFERROR(OFFSET(控制台!$B$1007,MATCH(_xlfn.CEILING.MATH(O190/10-1)*10,控制台!$D$1007:$D$1080,0)-1,0),0))</f>
        <v>330</v>
      </c>
      <c r="X190" s="1">
        <f ca="1">IFERROR(OFFSET(控制台!$B$1007,MATCH(_xlfn.CEILING.MATH(O190/10)*10,控制台!$D$1007:$D$1080,0)-1,0),1)</f>
        <v>390</v>
      </c>
      <c r="Y190" s="5">
        <f ca="1">Lerp_dyy(W190,X190,IF(MOD(O190,10)=0,1,MOD(O190,10)/10))</f>
        <v>360</v>
      </c>
    </row>
    <row r="191" spans="2:25">
      <c r="B191" s="1">
        <v>186</v>
      </c>
      <c r="C191" s="1">
        <f>_xlfn.FLOOR.MATH(B191/10+0.9)*10</f>
        <v>190</v>
      </c>
      <c r="D191" s="1">
        <f ca="1">OFFSET(控制台!$C$1099,MATCH(C191,控制台!$B$1099:$B$1118,0)-2,0)*控制台!$E$1092</f>
        <v>5760000</v>
      </c>
      <c r="E191" s="1">
        <f ca="1">OFFSET(控制台!$C$1099,MATCH(C191,控制台!$B$1099:$B$1118,0)-1,0)*控制台!$E$1092</f>
        <v>5880000</v>
      </c>
      <c r="F191" s="4">
        <f ca="1">_xlfn.FLOOR.MATH(Lerp_dyy(D191,E191,IF(MOD(B191,10)=0,1,MOD(B191,10)/10)),10)</f>
        <v>5832000</v>
      </c>
      <c r="G191" s="5">
        <f ca="1" t="shared" si="14"/>
        <v>521357900</v>
      </c>
      <c r="H191" s="4">
        <f ca="1">IF(AND(B191&lt;&gt;1,MOD(B191,10)=1),OFFSET(控制台!$E$1099,MATCH(C191,控制台!$B$1099:$B$1118,0)-1,0)*控制台!$E$1093,0)</f>
        <v>0</v>
      </c>
      <c r="I191" s="5">
        <f ca="1" t="shared" si="12"/>
        <v>379880</v>
      </c>
      <c r="J191" s="1">
        <f ca="1">IF(_xlfn.CEILING.MATH(B191/10)*10=10,0,IFERROR(OFFSET(控制台!$B$865,MATCH(_xlfn.CEILING.MATH(B191/10-1)*10,控制台!$D$865:$D$936,0)-1,0),0))</f>
        <v>300</v>
      </c>
      <c r="K191" s="1">
        <f ca="1">IFERROR(OFFSET(控制台!$B$865,MATCH(_xlfn.CEILING.MATH(B191/10)*10,控制台!$D$865:$D$936,0)-1,0),1)</f>
        <v>330</v>
      </c>
      <c r="L191" s="5">
        <f ca="1">Lerp_dyy(J191,K191,IF(MOD(B191,10)=0,1,MOD(B191,10)/10))</f>
        <v>318</v>
      </c>
      <c r="O191" s="1">
        <v>186</v>
      </c>
      <c r="P191" s="1">
        <f>_xlfn.FLOOR.MATH(O191/10+0.9)*10</f>
        <v>190</v>
      </c>
      <c r="Q191" s="1">
        <f ca="1">OFFSET(控制台!$I$1099,MATCH(P191,控制台!$H$1099:$H$1118,0)-2,0)*控制台!$K$1092</f>
        <v>5760000</v>
      </c>
      <c r="R191" s="1">
        <f ca="1">OFFSET(控制台!$I$1099,MATCH(P191,控制台!$H$1099:$H$1118,0)-1,0)*控制台!$K$1092</f>
        <v>5880000</v>
      </c>
      <c r="S191" s="4">
        <f ca="1">_xlfn.FLOOR.MATH(Lerp_dyy(Q191,R191,IF(MOD(O191,10)=0,1,MOD(O191,10)/10)),10)</f>
        <v>5832000</v>
      </c>
      <c r="T191" s="5">
        <f ca="1" t="shared" si="11"/>
        <v>521357900</v>
      </c>
      <c r="U191" s="4">
        <f ca="1">IF(AND(O191&lt;&gt;1,MOD(O191,10)=1),OFFSET(控制台!$K$1099,MATCH(P191,控制台!$H$1099:$H$1118,0)-1,0)*控制台!$K$1093,0)</f>
        <v>0</v>
      </c>
      <c r="V191" s="5">
        <f ca="1" t="shared" si="13"/>
        <v>379880</v>
      </c>
      <c r="W191" s="1">
        <f ca="1">IF(_xlfn.CEILING.MATH(O191/10)*10=10,0,IFERROR(OFFSET(控制台!$B$1007,MATCH(_xlfn.CEILING.MATH(O191/10-1)*10,控制台!$D$1007:$D$1080,0)-1,0),0))</f>
        <v>330</v>
      </c>
      <c r="X191" s="1">
        <f ca="1">IFERROR(OFFSET(控制台!$B$1007,MATCH(_xlfn.CEILING.MATH(O191/10)*10,控制台!$D$1007:$D$1080,0)-1,0),1)</f>
        <v>390</v>
      </c>
      <c r="Y191" s="5">
        <f ca="1">Lerp_dyy(W191,X191,IF(MOD(O191,10)=0,1,MOD(O191,10)/10))</f>
        <v>366</v>
      </c>
    </row>
    <row r="192" spans="2:25">
      <c r="B192" s="1">
        <v>187</v>
      </c>
      <c r="C192" s="1">
        <f>_xlfn.FLOOR.MATH(B192/10+0.9)*10</f>
        <v>190</v>
      </c>
      <c r="D192" s="1">
        <f ca="1">OFFSET(控制台!$C$1099,MATCH(C192,控制台!$B$1099:$B$1118,0)-2,0)*控制台!$E$1092</f>
        <v>5760000</v>
      </c>
      <c r="E192" s="1">
        <f ca="1">OFFSET(控制台!$C$1099,MATCH(C192,控制台!$B$1099:$B$1118,0)-1,0)*控制台!$E$1092</f>
        <v>5880000</v>
      </c>
      <c r="F192" s="4">
        <f ca="1">_xlfn.FLOOR.MATH(Lerp_dyy(D192,E192,IF(MOD(B192,10)=0,1,MOD(B192,10)/10)),10)</f>
        <v>5844000</v>
      </c>
      <c r="G192" s="5">
        <f ca="1" t="shared" si="14"/>
        <v>527201900</v>
      </c>
      <c r="H192" s="4">
        <f ca="1">IF(AND(B192&lt;&gt;1,MOD(B192,10)=1),OFFSET(控制台!$E$1099,MATCH(C192,控制台!$B$1099:$B$1118,0)-1,0)*控制台!$E$1093,0)</f>
        <v>0</v>
      </c>
      <c r="I192" s="5">
        <f ca="1" t="shared" si="12"/>
        <v>379880</v>
      </c>
      <c r="J192" s="1">
        <f ca="1">IF(_xlfn.CEILING.MATH(B192/10)*10=10,0,IFERROR(OFFSET(控制台!$B$865,MATCH(_xlfn.CEILING.MATH(B192/10-1)*10,控制台!$D$865:$D$936,0)-1,0),0))</f>
        <v>300</v>
      </c>
      <c r="K192" s="1">
        <f ca="1">IFERROR(OFFSET(控制台!$B$865,MATCH(_xlfn.CEILING.MATH(B192/10)*10,控制台!$D$865:$D$936,0)-1,0),1)</f>
        <v>330</v>
      </c>
      <c r="L192" s="5">
        <f ca="1">Lerp_dyy(J192,K192,IF(MOD(B192,10)=0,1,MOD(B192,10)/10))</f>
        <v>321</v>
      </c>
      <c r="O192" s="1">
        <v>187</v>
      </c>
      <c r="P192" s="1">
        <f>_xlfn.FLOOR.MATH(O192/10+0.9)*10</f>
        <v>190</v>
      </c>
      <c r="Q192" s="1">
        <f ca="1">OFFSET(控制台!$I$1099,MATCH(P192,控制台!$H$1099:$H$1118,0)-2,0)*控制台!$K$1092</f>
        <v>5760000</v>
      </c>
      <c r="R192" s="1">
        <f ca="1">OFFSET(控制台!$I$1099,MATCH(P192,控制台!$H$1099:$H$1118,0)-1,0)*控制台!$K$1092</f>
        <v>5880000</v>
      </c>
      <c r="S192" s="4">
        <f ca="1">_xlfn.FLOOR.MATH(Lerp_dyy(Q192,R192,IF(MOD(O192,10)=0,1,MOD(O192,10)/10)),10)</f>
        <v>5844000</v>
      </c>
      <c r="T192" s="5">
        <f ca="1" t="shared" si="11"/>
        <v>527201900</v>
      </c>
      <c r="U192" s="4">
        <f ca="1">IF(AND(O192&lt;&gt;1,MOD(O192,10)=1),OFFSET(控制台!$K$1099,MATCH(P192,控制台!$H$1099:$H$1118,0)-1,0)*控制台!$K$1093,0)</f>
        <v>0</v>
      </c>
      <c r="V192" s="5">
        <f ca="1" t="shared" si="13"/>
        <v>379880</v>
      </c>
      <c r="W192" s="1">
        <f ca="1">IF(_xlfn.CEILING.MATH(O192/10)*10=10,0,IFERROR(OFFSET(控制台!$B$1007,MATCH(_xlfn.CEILING.MATH(O192/10-1)*10,控制台!$D$1007:$D$1080,0)-1,0),0))</f>
        <v>330</v>
      </c>
      <c r="X192" s="1">
        <f ca="1">IFERROR(OFFSET(控制台!$B$1007,MATCH(_xlfn.CEILING.MATH(O192/10)*10,控制台!$D$1007:$D$1080,0)-1,0),1)</f>
        <v>390</v>
      </c>
      <c r="Y192" s="5">
        <f ca="1">Lerp_dyy(W192,X192,IF(MOD(O192,10)=0,1,MOD(O192,10)/10))</f>
        <v>372</v>
      </c>
    </row>
    <row r="193" spans="2:25">
      <c r="B193" s="1">
        <v>188</v>
      </c>
      <c r="C193" s="1">
        <f>_xlfn.FLOOR.MATH(B193/10+0.9)*10</f>
        <v>190</v>
      </c>
      <c r="D193" s="1">
        <f ca="1">OFFSET(控制台!$C$1099,MATCH(C193,控制台!$B$1099:$B$1118,0)-2,0)*控制台!$E$1092</f>
        <v>5760000</v>
      </c>
      <c r="E193" s="1">
        <f ca="1">OFFSET(控制台!$C$1099,MATCH(C193,控制台!$B$1099:$B$1118,0)-1,0)*控制台!$E$1092</f>
        <v>5880000</v>
      </c>
      <c r="F193" s="4">
        <f ca="1">_xlfn.FLOOR.MATH(Lerp_dyy(D193,E193,IF(MOD(B193,10)=0,1,MOD(B193,10)/10)),10)</f>
        <v>5856000</v>
      </c>
      <c r="G193" s="5">
        <f ca="1" t="shared" si="14"/>
        <v>533057900</v>
      </c>
      <c r="H193" s="4">
        <f ca="1">IF(AND(B193&lt;&gt;1,MOD(B193,10)=1),OFFSET(控制台!$E$1099,MATCH(C193,控制台!$B$1099:$B$1118,0)-1,0)*控制台!$E$1093,0)</f>
        <v>0</v>
      </c>
      <c r="I193" s="5">
        <f ca="1" t="shared" si="12"/>
        <v>379880</v>
      </c>
      <c r="J193" s="1">
        <f ca="1">IF(_xlfn.CEILING.MATH(B193/10)*10=10,0,IFERROR(OFFSET(控制台!$B$865,MATCH(_xlfn.CEILING.MATH(B193/10-1)*10,控制台!$D$865:$D$936,0)-1,0),0))</f>
        <v>300</v>
      </c>
      <c r="K193" s="1">
        <f ca="1">IFERROR(OFFSET(控制台!$B$865,MATCH(_xlfn.CEILING.MATH(B193/10)*10,控制台!$D$865:$D$936,0)-1,0),1)</f>
        <v>330</v>
      </c>
      <c r="L193" s="5">
        <f ca="1">Lerp_dyy(J193,K193,IF(MOD(B193,10)=0,1,MOD(B193,10)/10))</f>
        <v>324</v>
      </c>
      <c r="O193" s="1">
        <v>188</v>
      </c>
      <c r="P193" s="1">
        <f>_xlfn.FLOOR.MATH(O193/10+0.9)*10</f>
        <v>190</v>
      </c>
      <c r="Q193" s="1">
        <f ca="1">OFFSET(控制台!$I$1099,MATCH(P193,控制台!$H$1099:$H$1118,0)-2,0)*控制台!$K$1092</f>
        <v>5760000</v>
      </c>
      <c r="R193" s="1">
        <f ca="1">OFFSET(控制台!$I$1099,MATCH(P193,控制台!$H$1099:$H$1118,0)-1,0)*控制台!$K$1092</f>
        <v>5880000</v>
      </c>
      <c r="S193" s="4">
        <f ca="1">_xlfn.FLOOR.MATH(Lerp_dyy(Q193,R193,IF(MOD(O193,10)=0,1,MOD(O193,10)/10)),10)</f>
        <v>5856000</v>
      </c>
      <c r="T193" s="5">
        <f ca="1" t="shared" si="11"/>
        <v>533057900</v>
      </c>
      <c r="U193" s="4">
        <f ca="1">IF(AND(O193&lt;&gt;1,MOD(O193,10)=1),OFFSET(控制台!$K$1099,MATCH(P193,控制台!$H$1099:$H$1118,0)-1,0)*控制台!$K$1093,0)</f>
        <v>0</v>
      </c>
      <c r="V193" s="5">
        <f ca="1" t="shared" si="13"/>
        <v>379880</v>
      </c>
      <c r="W193" s="1">
        <f ca="1">IF(_xlfn.CEILING.MATH(O193/10)*10=10,0,IFERROR(OFFSET(控制台!$B$1007,MATCH(_xlfn.CEILING.MATH(O193/10-1)*10,控制台!$D$1007:$D$1080,0)-1,0),0))</f>
        <v>330</v>
      </c>
      <c r="X193" s="1">
        <f ca="1">IFERROR(OFFSET(控制台!$B$1007,MATCH(_xlfn.CEILING.MATH(O193/10)*10,控制台!$D$1007:$D$1080,0)-1,0),1)</f>
        <v>390</v>
      </c>
      <c r="Y193" s="5">
        <f ca="1">Lerp_dyy(W193,X193,IF(MOD(O193,10)=0,1,MOD(O193,10)/10))</f>
        <v>378</v>
      </c>
    </row>
    <row r="194" spans="2:25">
      <c r="B194" s="1">
        <v>189</v>
      </c>
      <c r="C194" s="1">
        <f>_xlfn.FLOOR.MATH(B194/10+0.9)*10</f>
        <v>190</v>
      </c>
      <c r="D194" s="1">
        <f ca="1">OFFSET(控制台!$C$1099,MATCH(C194,控制台!$B$1099:$B$1118,0)-2,0)*控制台!$E$1092</f>
        <v>5760000</v>
      </c>
      <c r="E194" s="1">
        <f ca="1">OFFSET(控制台!$C$1099,MATCH(C194,控制台!$B$1099:$B$1118,0)-1,0)*控制台!$E$1092</f>
        <v>5880000</v>
      </c>
      <c r="F194" s="4">
        <f ca="1">_xlfn.FLOOR.MATH(Lerp_dyy(D194,E194,IF(MOD(B194,10)=0,1,MOD(B194,10)/10)),10)</f>
        <v>5868000</v>
      </c>
      <c r="G194" s="5">
        <f ca="1" t="shared" si="14"/>
        <v>538925900</v>
      </c>
      <c r="H194" s="4">
        <f ca="1">IF(AND(B194&lt;&gt;1,MOD(B194,10)=1),OFFSET(控制台!$E$1099,MATCH(C194,控制台!$B$1099:$B$1118,0)-1,0)*控制台!$E$1093,0)</f>
        <v>0</v>
      </c>
      <c r="I194" s="5">
        <f ca="1" t="shared" si="12"/>
        <v>379880</v>
      </c>
      <c r="J194" s="1">
        <f ca="1">IF(_xlfn.CEILING.MATH(B194/10)*10=10,0,IFERROR(OFFSET(控制台!$B$865,MATCH(_xlfn.CEILING.MATH(B194/10-1)*10,控制台!$D$865:$D$936,0)-1,0),0))</f>
        <v>300</v>
      </c>
      <c r="K194" s="1">
        <f ca="1">IFERROR(OFFSET(控制台!$B$865,MATCH(_xlfn.CEILING.MATH(B194/10)*10,控制台!$D$865:$D$936,0)-1,0),1)</f>
        <v>330</v>
      </c>
      <c r="L194" s="5">
        <f ca="1">Lerp_dyy(J194,K194,IF(MOD(B194,10)=0,1,MOD(B194,10)/10))</f>
        <v>327</v>
      </c>
      <c r="O194" s="1">
        <v>189</v>
      </c>
      <c r="P194" s="1">
        <f>_xlfn.FLOOR.MATH(O194/10+0.9)*10</f>
        <v>190</v>
      </c>
      <c r="Q194" s="1">
        <f ca="1">OFFSET(控制台!$I$1099,MATCH(P194,控制台!$H$1099:$H$1118,0)-2,0)*控制台!$K$1092</f>
        <v>5760000</v>
      </c>
      <c r="R194" s="1">
        <f ca="1">OFFSET(控制台!$I$1099,MATCH(P194,控制台!$H$1099:$H$1118,0)-1,0)*控制台!$K$1092</f>
        <v>5880000</v>
      </c>
      <c r="S194" s="4">
        <f ca="1">_xlfn.FLOOR.MATH(Lerp_dyy(Q194,R194,IF(MOD(O194,10)=0,1,MOD(O194,10)/10)),10)</f>
        <v>5868000</v>
      </c>
      <c r="T194" s="5">
        <f ca="1" t="shared" si="11"/>
        <v>538925900</v>
      </c>
      <c r="U194" s="4">
        <f ca="1">IF(AND(O194&lt;&gt;1,MOD(O194,10)=1),OFFSET(控制台!$K$1099,MATCH(P194,控制台!$H$1099:$H$1118,0)-1,0)*控制台!$K$1093,0)</f>
        <v>0</v>
      </c>
      <c r="V194" s="5">
        <f ca="1" t="shared" si="13"/>
        <v>379880</v>
      </c>
      <c r="W194" s="1">
        <f ca="1">IF(_xlfn.CEILING.MATH(O194/10)*10=10,0,IFERROR(OFFSET(控制台!$B$1007,MATCH(_xlfn.CEILING.MATH(O194/10-1)*10,控制台!$D$1007:$D$1080,0)-1,0),0))</f>
        <v>330</v>
      </c>
      <c r="X194" s="1">
        <f ca="1">IFERROR(OFFSET(控制台!$B$1007,MATCH(_xlfn.CEILING.MATH(O194/10)*10,控制台!$D$1007:$D$1080,0)-1,0),1)</f>
        <v>390</v>
      </c>
      <c r="Y194" s="5">
        <f ca="1">Lerp_dyy(W194,X194,IF(MOD(O194,10)=0,1,MOD(O194,10)/10))</f>
        <v>384</v>
      </c>
    </row>
    <row r="195" spans="2:25">
      <c r="B195" s="1">
        <v>190</v>
      </c>
      <c r="C195" s="1">
        <f>_xlfn.FLOOR.MATH(B195/10+0.9)*10</f>
        <v>190</v>
      </c>
      <c r="D195" s="1">
        <f ca="1">OFFSET(控制台!$C$1099,MATCH(C195,控制台!$B$1099:$B$1118,0)-2,0)*控制台!$E$1092</f>
        <v>5760000</v>
      </c>
      <c r="E195" s="1">
        <f ca="1">OFFSET(控制台!$C$1099,MATCH(C195,控制台!$B$1099:$B$1118,0)-1,0)*控制台!$E$1092</f>
        <v>5880000</v>
      </c>
      <c r="F195" s="4">
        <f ca="1">_xlfn.FLOOR.MATH(Lerp_dyy(D195,E195,IF(MOD(B195,10)=0,1,MOD(B195,10)/10)),10)</f>
        <v>5880000</v>
      </c>
      <c r="G195" s="5">
        <f ca="1" t="shared" si="14"/>
        <v>544805900</v>
      </c>
      <c r="H195" s="4">
        <f ca="1">IF(AND(B195&lt;&gt;1,MOD(B195,10)=1),OFFSET(控制台!$E$1099,MATCH(C195,控制台!$B$1099:$B$1118,0)-1,0)*控制台!$E$1093,0)</f>
        <v>0</v>
      </c>
      <c r="I195" s="5">
        <f ca="1" t="shared" si="12"/>
        <v>379880</v>
      </c>
      <c r="J195" s="1">
        <f ca="1">IF(_xlfn.CEILING.MATH(B195/10)*10=10,0,IFERROR(OFFSET(控制台!$B$865,MATCH(_xlfn.CEILING.MATH(B195/10-1)*10,控制台!$D$865:$D$936,0)-1,0),0))</f>
        <v>300</v>
      </c>
      <c r="K195" s="1">
        <f ca="1">IFERROR(OFFSET(控制台!$B$865,MATCH(_xlfn.CEILING.MATH(B195/10)*10,控制台!$D$865:$D$936,0)-1,0),1)</f>
        <v>330</v>
      </c>
      <c r="L195" s="5">
        <f ca="1">Lerp_dyy(J195,K195,IF(MOD(B195,10)=0,1,MOD(B195,10)/10))</f>
        <v>330</v>
      </c>
      <c r="O195" s="1">
        <v>190</v>
      </c>
      <c r="P195" s="1">
        <f>_xlfn.FLOOR.MATH(O195/10+0.9)*10</f>
        <v>190</v>
      </c>
      <c r="Q195" s="1">
        <f ca="1">OFFSET(控制台!$I$1099,MATCH(P195,控制台!$H$1099:$H$1118,0)-2,0)*控制台!$K$1092</f>
        <v>5760000</v>
      </c>
      <c r="R195" s="1">
        <f ca="1">OFFSET(控制台!$I$1099,MATCH(P195,控制台!$H$1099:$H$1118,0)-1,0)*控制台!$K$1092</f>
        <v>5880000</v>
      </c>
      <c r="S195" s="4">
        <f ca="1">_xlfn.FLOOR.MATH(Lerp_dyy(Q195,R195,IF(MOD(O195,10)=0,1,MOD(O195,10)/10)),10)</f>
        <v>5880000</v>
      </c>
      <c r="T195" s="5">
        <f ca="1" t="shared" si="11"/>
        <v>544805900</v>
      </c>
      <c r="U195" s="4">
        <f ca="1">IF(AND(O195&lt;&gt;1,MOD(O195,10)=1),OFFSET(控制台!$K$1099,MATCH(P195,控制台!$H$1099:$H$1118,0)-1,0)*控制台!$K$1093,0)</f>
        <v>0</v>
      </c>
      <c r="V195" s="5">
        <f ca="1" t="shared" si="13"/>
        <v>379880</v>
      </c>
      <c r="W195" s="1">
        <f ca="1">IF(_xlfn.CEILING.MATH(O195/10)*10=10,0,IFERROR(OFFSET(控制台!$B$1007,MATCH(_xlfn.CEILING.MATH(O195/10-1)*10,控制台!$D$1007:$D$1080,0)-1,0),0))</f>
        <v>330</v>
      </c>
      <c r="X195" s="1">
        <f ca="1">IFERROR(OFFSET(控制台!$B$1007,MATCH(_xlfn.CEILING.MATH(O195/10)*10,控制台!$D$1007:$D$1080,0)-1,0),1)</f>
        <v>390</v>
      </c>
      <c r="Y195" s="5">
        <f ca="1">Lerp_dyy(W195,X195,IF(MOD(O195,10)=0,1,MOD(O195,10)/10))</f>
        <v>390</v>
      </c>
    </row>
    <row r="196" s="15" customFormat="1" spans="2:25">
      <c r="B196" s="15">
        <v>191</v>
      </c>
      <c r="C196" s="15">
        <f>_xlfn.FLOOR.MATH(B196/10+0.9)*10</f>
        <v>200</v>
      </c>
      <c r="D196" s="15">
        <f ca="1">OFFSET(控制台!$C$1099,MATCH(C196,控制台!$B$1099:$B$1118,0)-2,0)*控制台!$E$1092</f>
        <v>5880000</v>
      </c>
      <c r="E196" s="15">
        <f ca="1">OFFSET(控制台!$C$1099,MATCH(C196,控制台!$B$1099:$B$1118,0)-1,0)*控制台!$E$1092</f>
        <v>6000000</v>
      </c>
      <c r="F196" s="16">
        <f ca="1">_xlfn.FLOOR.MATH(Lerp_dyy(D196,E196,IF(MOD(B196,10)=0,1,MOD(B196,10)/10)),10)</f>
        <v>5892000</v>
      </c>
      <c r="G196" s="17">
        <f ca="1" t="shared" si="14"/>
        <v>550697900</v>
      </c>
      <c r="H196" s="16">
        <f ca="1">IF(AND(B196&lt;&gt;1,MOD(B196,10)=1),OFFSET(控制台!$E$1099,MATCH(C196,控制台!$B$1099:$B$1118,0)-1,0)*控制台!$E$1093,0)</f>
        <v>40000</v>
      </c>
      <c r="I196" s="17">
        <f ca="1" t="shared" si="12"/>
        <v>419880</v>
      </c>
      <c r="J196" s="15">
        <f ca="1">IF(_xlfn.CEILING.MATH(B196/10)*10=10,0,IFERROR(OFFSET(控制台!$B$865,MATCH(_xlfn.CEILING.MATH(B196/10-1)*10,控制台!$D$865:$D$936,0)-1,0),0))</f>
        <v>330</v>
      </c>
      <c r="K196" s="15">
        <f ca="1">IFERROR(OFFSET(控制台!$B$865,MATCH(_xlfn.CEILING.MATH(B196/10)*10,控制台!$D$865:$D$936,0)-1,0),1)</f>
        <v>360</v>
      </c>
      <c r="L196" s="17">
        <f ca="1">Lerp_dyy(J196,K196,IF(MOD(B196,10)=0,1,MOD(B196,10)/10))</f>
        <v>333</v>
      </c>
      <c r="O196" s="15">
        <v>191</v>
      </c>
      <c r="P196" s="1">
        <f>_xlfn.FLOOR.MATH(O196/10+0.9)*10</f>
        <v>200</v>
      </c>
      <c r="Q196" s="1">
        <f ca="1">OFFSET(控制台!$I$1099,MATCH(P196,控制台!$H$1099:$H$1118,0)-2,0)*控制台!$K$1092</f>
        <v>5880000</v>
      </c>
      <c r="R196" s="1">
        <f ca="1">OFFSET(控制台!$I$1099,MATCH(P196,控制台!$H$1099:$H$1118,0)-1,0)*控制台!$K$1092</f>
        <v>6000000</v>
      </c>
      <c r="S196" s="16">
        <f ca="1">_xlfn.FLOOR.MATH(Lerp_dyy(Q196,R196,IF(MOD(O196,10)=0,1,MOD(O196,10)/10)),10)</f>
        <v>5892000</v>
      </c>
      <c r="T196" s="17">
        <f ca="1" t="shared" si="11"/>
        <v>550697900</v>
      </c>
      <c r="U196" s="4">
        <f ca="1">IF(AND(O196&lt;&gt;1,MOD(O196,10)=1),OFFSET(控制台!$K$1099,MATCH(P196,控制台!$H$1099:$H$1118,0)-1,0)*控制台!$K$1093,0)</f>
        <v>40000</v>
      </c>
      <c r="V196" s="17">
        <f ca="1" t="shared" si="13"/>
        <v>419880</v>
      </c>
      <c r="W196" s="1">
        <f ca="1">IF(_xlfn.CEILING.MATH(O196/10)*10=10,0,IFERROR(OFFSET(控制台!$B$1007,MATCH(_xlfn.CEILING.MATH(O196/10-1)*10,控制台!$D$1007:$D$1080,0)-1,0),0))</f>
        <v>390</v>
      </c>
      <c r="X196" s="1">
        <f ca="1">IFERROR(OFFSET(控制台!$B$1007,MATCH(_xlfn.CEILING.MATH(O196/10)*10,控制台!$D$1007:$D$1080,0)-1,0),1)</f>
        <v>430</v>
      </c>
      <c r="Y196" s="17">
        <f ca="1">Lerp_dyy(W196,X196,IF(MOD(O196,10)=0,1,MOD(O196,10)/10))</f>
        <v>394</v>
      </c>
    </row>
    <row r="197" s="15" customFormat="1" spans="2:25">
      <c r="B197" s="15">
        <v>192</v>
      </c>
      <c r="C197" s="15">
        <f>_xlfn.FLOOR.MATH(B197/10+0.9)*10</f>
        <v>200</v>
      </c>
      <c r="D197" s="15">
        <f ca="1">OFFSET(控制台!$C$1099,MATCH(C197,控制台!$B$1099:$B$1118,0)-2,0)*控制台!$E$1092</f>
        <v>5880000</v>
      </c>
      <c r="E197" s="15">
        <f ca="1">OFFSET(控制台!$C$1099,MATCH(C197,控制台!$B$1099:$B$1118,0)-1,0)*控制台!$E$1092</f>
        <v>6000000</v>
      </c>
      <c r="F197" s="16">
        <f ca="1">_xlfn.FLOOR.MATH(Lerp_dyy(D197,E197,IF(MOD(B197,10)=0,1,MOD(B197,10)/10)),10)</f>
        <v>5904000</v>
      </c>
      <c r="G197" s="17">
        <f ca="1" t="shared" si="14"/>
        <v>556601900</v>
      </c>
      <c r="H197" s="16">
        <f ca="1">IF(AND(B197&lt;&gt;1,MOD(B197,10)=1),OFFSET(控制台!$E$1099,MATCH(C197,控制台!$B$1099:$B$1118,0)-1,0)*控制台!$E$1093,0)</f>
        <v>0</v>
      </c>
      <c r="I197" s="17">
        <f ca="1" t="shared" si="12"/>
        <v>419880</v>
      </c>
      <c r="J197" s="15">
        <f ca="1">IF(_xlfn.CEILING.MATH(B197/10)*10=10,0,IFERROR(OFFSET(控制台!$B$865,MATCH(_xlfn.CEILING.MATH(B197/10-1)*10,控制台!$D$865:$D$936,0)-1,0),0))</f>
        <v>330</v>
      </c>
      <c r="K197" s="15">
        <f ca="1">IFERROR(OFFSET(控制台!$B$865,MATCH(_xlfn.CEILING.MATH(B197/10)*10,控制台!$D$865:$D$936,0)-1,0),1)</f>
        <v>360</v>
      </c>
      <c r="L197" s="17">
        <f ca="1">Lerp_dyy(J197,K197,IF(MOD(B197,10)=0,1,MOD(B197,10)/10))</f>
        <v>336</v>
      </c>
      <c r="O197" s="15">
        <v>192</v>
      </c>
      <c r="P197" s="1">
        <f>_xlfn.FLOOR.MATH(O197/10+0.9)*10</f>
        <v>200</v>
      </c>
      <c r="Q197" s="1">
        <f ca="1">OFFSET(控制台!$I$1099,MATCH(P197,控制台!$H$1099:$H$1118,0)-2,0)*控制台!$K$1092</f>
        <v>5880000</v>
      </c>
      <c r="R197" s="1">
        <f ca="1">OFFSET(控制台!$I$1099,MATCH(P197,控制台!$H$1099:$H$1118,0)-1,0)*控制台!$K$1092</f>
        <v>6000000</v>
      </c>
      <c r="S197" s="16">
        <f ca="1">_xlfn.FLOOR.MATH(Lerp_dyy(Q197,R197,IF(MOD(O197,10)=0,1,MOD(O197,10)/10)),10)</f>
        <v>5904000</v>
      </c>
      <c r="T197" s="17">
        <f ca="1" t="shared" si="11"/>
        <v>556601900</v>
      </c>
      <c r="U197" s="4">
        <f ca="1">IF(AND(O197&lt;&gt;1,MOD(O197,10)=1),OFFSET(控制台!$K$1099,MATCH(P197,控制台!$H$1099:$H$1118,0)-1,0)*控制台!$K$1093,0)</f>
        <v>0</v>
      </c>
      <c r="V197" s="17">
        <f ca="1" t="shared" si="13"/>
        <v>419880</v>
      </c>
      <c r="W197" s="1">
        <f ca="1">IF(_xlfn.CEILING.MATH(O197/10)*10=10,0,IFERROR(OFFSET(控制台!$B$1007,MATCH(_xlfn.CEILING.MATH(O197/10-1)*10,控制台!$D$1007:$D$1080,0)-1,0),0))</f>
        <v>390</v>
      </c>
      <c r="X197" s="1">
        <f ca="1">IFERROR(OFFSET(控制台!$B$1007,MATCH(_xlfn.CEILING.MATH(O197/10)*10,控制台!$D$1007:$D$1080,0)-1,0),1)</f>
        <v>430</v>
      </c>
      <c r="Y197" s="17">
        <f ca="1">Lerp_dyy(W197,X197,IF(MOD(O197,10)=0,1,MOD(O197,10)/10))</f>
        <v>398</v>
      </c>
    </row>
    <row r="198" s="15" customFormat="1" spans="2:25">
      <c r="B198" s="15">
        <v>193</v>
      </c>
      <c r="C198" s="15">
        <f>_xlfn.FLOOR.MATH(B198/10+0.9)*10</f>
        <v>200</v>
      </c>
      <c r="D198" s="15">
        <f ca="1">OFFSET(控制台!$C$1099,MATCH(C198,控制台!$B$1099:$B$1118,0)-2,0)*控制台!$E$1092</f>
        <v>5880000</v>
      </c>
      <c r="E198" s="15">
        <f ca="1">OFFSET(控制台!$C$1099,MATCH(C198,控制台!$B$1099:$B$1118,0)-1,0)*控制台!$E$1092</f>
        <v>6000000</v>
      </c>
      <c r="F198" s="16">
        <f ca="1">_xlfn.FLOOR.MATH(Lerp_dyy(D198,E198,IF(MOD(B198,10)=0,1,MOD(B198,10)/10)),10)</f>
        <v>5916000</v>
      </c>
      <c r="G198" s="17">
        <f ca="1" t="shared" si="14"/>
        <v>562517900</v>
      </c>
      <c r="H198" s="16">
        <f ca="1">IF(AND(B198&lt;&gt;1,MOD(B198,10)=1),OFFSET(控制台!$E$1099,MATCH(C198,控制台!$B$1099:$B$1118,0)-1,0)*控制台!$E$1093,0)</f>
        <v>0</v>
      </c>
      <c r="I198" s="17">
        <f ca="1" t="shared" si="12"/>
        <v>419880</v>
      </c>
      <c r="J198" s="15">
        <f ca="1">IF(_xlfn.CEILING.MATH(B198/10)*10=10,0,IFERROR(OFFSET(控制台!$B$865,MATCH(_xlfn.CEILING.MATH(B198/10-1)*10,控制台!$D$865:$D$936,0)-1,0),0))</f>
        <v>330</v>
      </c>
      <c r="K198" s="15">
        <f ca="1">IFERROR(OFFSET(控制台!$B$865,MATCH(_xlfn.CEILING.MATH(B198/10)*10,控制台!$D$865:$D$936,0)-1,0),1)</f>
        <v>360</v>
      </c>
      <c r="L198" s="17">
        <f ca="1">Lerp_dyy(J198,K198,IF(MOD(B198,10)=0,1,MOD(B198,10)/10))</f>
        <v>339</v>
      </c>
      <c r="O198" s="15">
        <v>193</v>
      </c>
      <c r="P198" s="1">
        <f>_xlfn.FLOOR.MATH(O198/10+0.9)*10</f>
        <v>200</v>
      </c>
      <c r="Q198" s="1">
        <f ca="1">OFFSET(控制台!$I$1099,MATCH(P198,控制台!$H$1099:$H$1118,0)-2,0)*控制台!$K$1092</f>
        <v>5880000</v>
      </c>
      <c r="R198" s="1">
        <f ca="1">OFFSET(控制台!$I$1099,MATCH(P198,控制台!$H$1099:$H$1118,0)-1,0)*控制台!$K$1092</f>
        <v>6000000</v>
      </c>
      <c r="S198" s="16">
        <f ca="1">_xlfn.FLOOR.MATH(Lerp_dyy(Q198,R198,IF(MOD(O198,10)=0,1,MOD(O198,10)/10)),10)</f>
        <v>5916000</v>
      </c>
      <c r="T198" s="17">
        <f ca="1" t="shared" si="11"/>
        <v>562517900</v>
      </c>
      <c r="U198" s="4">
        <f ca="1">IF(AND(O198&lt;&gt;1,MOD(O198,10)=1),OFFSET(控制台!$K$1099,MATCH(P198,控制台!$H$1099:$H$1118,0)-1,0)*控制台!$K$1093,0)</f>
        <v>0</v>
      </c>
      <c r="V198" s="17">
        <f ca="1" t="shared" si="13"/>
        <v>419880</v>
      </c>
      <c r="W198" s="1">
        <f ca="1">IF(_xlfn.CEILING.MATH(O198/10)*10=10,0,IFERROR(OFFSET(控制台!$B$1007,MATCH(_xlfn.CEILING.MATH(O198/10-1)*10,控制台!$D$1007:$D$1080,0)-1,0),0))</f>
        <v>390</v>
      </c>
      <c r="X198" s="1">
        <f ca="1">IFERROR(OFFSET(控制台!$B$1007,MATCH(_xlfn.CEILING.MATH(O198/10)*10,控制台!$D$1007:$D$1080,0)-1,0),1)</f>
        <v>430</v>
      </c>
      <c r="Y198" s="17">
        <f ca="1">Lerp_dyy(W198,X198,IF(MOD(O198,10)=0,1,MOD(O198,10)/10))</f>
        <v>402</v>
      </c>
    </row>
    <row r="199" s="15" customFormat="1" spans="2:25">
      <c r="B199" s="15">
        <v>194</v>
      </c>
      <c r="C199" s="15">
        <f>_xlfn.FLOOR.MATH(B199/10+0.9)*10</f>
        <v>200</v>
      </c>
      <c r="D199" s="15">
        <f ca="1">OFFSET(控制台!$C$1099,MATCH(C199,控制台!$B$1099:$B$1118,0)-2,0)*控制台!$E$1092</f>
        <v>5880000</v>
      </c>
      <c r="E199" s="15">
        <f ca="1">OFFSET(控制台!$C$1099,MATCH(C199,控制台!$B$1099:$B$1118,0)-1,0)*控制台!$E$1092</f>
        <v>6000000</v>
      </c>
      <c r="F199" s="16">
        <f ca="1">_xlfn.FLOOR.MATH(Lerp_dyy(D199,E199,IF(MOD(B199,10)=0,1,MOD(B199,10)/10)),10)</f>
        <v>5928000</v>
      </c>
      <c r="G199" s="17">
        <f ca="1" t="shared" ref="G199:G205" si="15">G198+F199</f>
        <v>568445900</v>
      </c>
      <c r="H199" s="16">
        <f ca="1">IF(AND(B199&lt;&gt;1,MOD(B199,10)=1),OFFSET(控制台!$E$1099,MATCH(C199,控制台!$B$1099:$B$1118,0)-1,0)*控制台!$E$1093,0)</f>
        <v>0</v>
      </c>
      <c r="I199" s="17">
        <f ca="1" t="shared" si="12"/>
        <v>419880</v>
      </c>
      <c r="J199" s="15">
        <f ca="1">IF(_xlfn.CEILING.MATH(B199/10)*10=10,0,IFERROR(OFFSET(控制台!$B$865,MATCH(_xlfn.CEILING.MATH(B199/10-1)*10,控制台!$D$865:$D$936,0)-1,0),0))</f>
        <v>330</v>
      </c>
      <c r="K199" s="15">
        <f ca="1">IFERROR(OFFSET(控制台!$B$865,MATCH(_xlfn.CEILING.MATH(B199/10)*10,控制台!$D$865:$D$936,0)-1,0),1)</f>
        <v>360</v>
      </c>
      <c r="L199" s="17">
        <f ca="1">Lerp_dyy(J199,K199,IF(MOD(B199,10)=0,1,MOD(B199,10)/10))</f>
        <v>342</v>
      </c>
      <c r="O199" s="15">
        <v>194</v>
      </c>
      <c r="P199" s="1">
        <f>_xlfn.FLOOR.MATH(O199/10+0.9)*10</f>
        <v>200</v>
      </c>
      <c r="Q199" s="1">
        <f ca="1">OFFSET(控制台!$I$1099,MATCH(P199,控制台!$H$1099:$H$1118,0)-2,0)*控制台!$K$1092</f>
        <v>5880000</v>
      </c>
      <c r="R199" s="1">
        <f ca="1">OFFSET(控制台!$I$1099,MATCH(P199,控制台!$H$1099:$H$1118,0)-1,0)*控制台!$K$1092</f>
        <v>6000000</v>
      </c>
      <c r="S199" s="16">
        <f ca="1">_xlfn.FLOOR.MATH(Lerp_dyy(Q199,R199,IF(MOD(O199,10)=0,1,MOD(O199,10)/10)),10)</f>
        <v>5928000</v>
      </c>
      <c r="T199" s="17">
        <f ca="1" t="shared" ref="T199:T205" si="16">T198+S199</f>
        <v>568445900</v>
      </c>
      <c r="U199" s="4">
        <f ca="1">IF(AND(O199&lt;&gt;1,MOD(O199,10)=1),OFFSET(控制台!$K$1099,MATCH(P199,控制台!$H$1099:$H$1118,0)-1,0)*控制台!$K$1093,0)</f>
        <v>0</v>
      </c>
      <c r="V199" s="17">
        <f ca="1" t="shared" si="13"/>
        <v>419880</v>
      </c>
      <c r="W199" s="1">
        <f ca="1">IF(_xlfn.CEILING.MATH(O199/10)*10=10,0,IFERROR(OFFSET(控制台!$B$1007,MATCH(_xlfn.CEILING.MATH(O199/10-1)*10,控制台!$D$1007:$D$1080,0)-1,0),0))</f>
        <v>390</v>
      </c>
      <c r="X199" s="1">
        <f ca="1">IFERROR(OFFSET(控制台!$B$1007,MATCH(_xlfn.CEILING.MATH(O199/10)*10,控制台!$D$1007:$D$1080,0)-1,0),1)</f>
        <v>430</v>
      </c>
      <c r="Y199" s="17">
        <f ca="1">Lerp_dyy(W199,X199,IF(MOD(O199,10)=0,1,MOD(O199,10)/10))</f>
        <v>406</v>
      </c>
    </row>
    <row r="200" s="15" customFormat="1" spans="2:25">
      <c r="B200" s="15">
        <v>195</v>
      </c>
      <c r="C200" s="15">
        <f>_xlfn.FLOOR.MATH(B200/10+0.9)*10</f>
        <v>200</v>
      </c>
      <c r="D200" s="15">
        <f ca="1">OFFSET(控制台!$C$1099,MATCH(C200,控制台!$B$1099:$B$1118,0)-2,0)*控制台!$E$1092</f>
        <v>5880000</v>
      </c>
      <c r="E200" s="15">
        <f ca="1">OFFSET(控制台!$C$1099,MATCH(C200,控制台!$B$1099:$B$1118,0)-1,0)*控制台!$E$1092</f>
        <v>6000000</v>
      </c>
      <c r="F200" s="16">
        <f ca="1">_xlfn.FLOOR.MATH(Lerp_dyy(D200,E200,IF(MOD(B200,10)=0,1,MOD(B200,10)/10)),10)</f>
        <v>5940000</v>
      </c>
      <c r="G200" s="17">
        <f ca="1" t="shared" si="15"/>
        <v>574385900</v>
      </c>
      <c r="H200" s="16">
        <f ca="1">IF(AND(B200&lt;&gt;1,MOD(B200,10)=1),OFFSET(控制台!$E$1099,MATCH(C200,控制台!$B$1099:$B$1118,0)-1,0)*控制台!$E$1093,0)</f>
        <v>0</v>
      </c>
      <c r="I200" s="17">
        <f ca="1" t="shared" ref="I200:I205" si="17">I199+H200</f>
        <v>419880</v>
      </c>
      <c r="J200" s="15">
        <f ca="1">IF(_xlfn.CEILING.MATH(B200/10)*10=10,0,IFERROR(OFFSET(控制台!$B$865,MATCH(_xlfn.CEILING.MATH(B200/10-1)*10,控制台!$D$865:$D$936,0)-1,0),0))</f>
        <v>330</v>
      </c>
      <c r="K200" s="15">
        <f ca="1">IFERROR(OFFSET(控制台!$B$865,MATCH(_xlfn.CEILING.MATH(B200/10)*10,控制台!$D$865:$D$936,0)-1,0),1)</f>
        <v>360</v>
      </c>
      <c r="L200" s="17">
        <f ca="1">Lerp_dyy(J200,K200,IF(MOD(B200,10)=0,1,MOD(B200,10)/10))</f>
        <v>345</v>
      </c>
      <c r="O200" s="15">
        <v>195</v>
      </c>
      <c r="P200" s="1">
        <f>_xlfn.FLOOR.MATH(O200/10+0.9)*10</f>
        <v>200</v>
      </c>
      <c r="Q200" s="1">
        <f ca="1">OFFSET(控制台!$I$1099,MATCH(P200,控制台!$H$1099:$H$1118,0)-2,0)*控制台!$K$1092</f>
        <v>5880000</v>
      </c>
      <c r="R200" s="1">
        <f ca="1">OFFSET(控制台!$I$1099,MATCH(P200,控制台!$H$1099:$H$1118,0)-1,0)*控制台!$K$1092</f>
        <v>6000000</v>
      </c>
      <c r="S200" s="16">
        <f ca="1">_xlfn.FLOOR.MATH(Lerp_dyy(Q200,R200,IF(MOD(O200,10)=0,1,MOD(O200,10)/10)),10)</f>
        <v>5940000</v>
      </c>
      <c r="T200" s="17">
        <f ca="1" t="shared" si="16"/>
        <v>574385900</v>
      </c>
      <c r="U200" s="4">
        <f ca="1">IF(AND(O200&lt;&gt;1,MOD(O200,10)=1),OFFSET(控制台!$K$1099,MATCH(P200,控制台!$H$1099:$H$1118,0)-1,0)*控制台!$K$1093,0)</f>
        <v>0</v>
      </c>
      <c r="V200" s="17">
        <f ca="1" t="shared" ref="V200:V205" si="18">V199+U200</f>
        <v>419880</v>
      </c>
      <c r="W200" s="1">
        <f ca="1">IF(_xlfn.CEILING.MATH(O200/10)*10=10,0,IFERROR(OFFSET(控制台!$B$1007,MATCH(_xlfn.CEILING.MATH(O200/10-1)*10,控制台!$D$1007:$D$1080,0)-1,0),0))</f>
        <v>390</v>
      </c>
      <c r="X200" s="1">
        <f ca="1">IFERROR(OFFSET(控制台!$B$1007,MATCH(_xlfn.CEILING.MATH(O200/10)*10,控制台!$D$1007:$D$1080,0)-1,0),1)</f>
        <v>430</v>
      </c>
      <c r="Y200" s="17">
        <f ca="1">Lerp_dyy(W200,X200,IF(MOD(O200,10)=0,1,MOD(O200,10)/10))</f>
        <v>410</v>
      </c>
    </row>
    <row r="201" s="15" customFormat="1" spans="2:25">
      <c r="B201" s="15">
        <v>196</v>
      </c>
      <c r="C201" s="15">
        <f>_xlfn.FLOOR.MATH(B201/10+0.9)*10</f>
        <v>200</v>
      </c>
      <c r="D201" s="15">
        <f ca="1">OFFSET(控制台!$C$1099,MATCH(C201,控制台!$B$1099:$B$1118,0)-2,0)*控制台!$E$1092</f>
        <v>5880000</v>
      </c>
      <c r="E201" s="15">
        <f ca="1">OFFSET(控制台!$C$1099,MATCH(C201,控制台!$B$1099:$B$1118,0)-1,0)*控制台!$E$1092</f>
        <v>6000000</v>
      </c>
      <c r="F201" s="16">
        <f ca="1">_xlfn.FLOOR.MATH(Lerp_dyy(D201,E201,IF(MOD(B201,10)=0,1,MOD(B201,10)/10)),10)</f>
        <v>5952000</v>
      </c>
      <c r="G201" s="17">
        <f ca="1" t="shared" si="15"/>
        <v>580337900</v>
      </c>
      <c r="H201" s="16">
        <f ca="1">IF(AND(B201&lt;&gt;1,MOD(B201,10)=1),OFFSET(控制台!$E$1099,MATCH(C201,控制台!$B$1099:$B$1118,0)-1,0)*控制台!$E$1093,0)</f>
        <v>0</v>
      </c>
      <c r="I201" s="17">
        <f ca="1" t="shared" si="17"/>
        <v>419880</v>
      </c>
      <c r="J201" s="15">
        <f ca="1">IF(_xlfn.CEILING.MATH(B201/10)*10=10,0,IFERROR(OFFSET(控制台!$B$865,MATCH(_xlfn.CEILING.MATH(B201/10-1)*10,控制台!$D$865:$D$936,0)-1,0),0))</f>
        <v>330</v>
      </c>
      <c r="K201" s="15">
        <f ca="1">IFERROR(OFFSET(控制台!$B$865,MATCH(_xlfn.CEILING.MATH(B201/10)*10,控制台!$D$865:$D$936,0)-1,0),1)</f>
        <v>360</v>
      </c>
      <c r="L201" s="17">
        <f ca="1">Lerp_dyy(J201,K201,IF(MOD(B201,10)=0,1,MOD(B201,10)/10))</f>
        <v>348</v>
      </c>
      <c r="O201" s="15">
        <v>196</v>
      </c>
      <c r="P201" s="1">
        <f>_xlfn.FLOOR.MATH(O201/10+0.9)*10</f>
        <v>200</v>
      </c>
      <c r="Q201" s="1">
        <f ca="1">OFFSET(控制台!$I$1099,MATCH(P201,控制台!$H$1099:$H$1118,0)-2,0)*控制台!$K$1092</f>
        <v>5880000</v>
      </c>
      <c r="R201" s="1">
        <f ca="1">OFFSET(控制台!$I$1099,MATCH(P201,控制台!$H$1099:$H$1118,0)-1,0)*控制台!$K$1092</f>
        <v>6000000</v>
      </c>
      <c r="S201" s="16">
        <f ca="1">_xlfn.FLOOR.MATH(Lerp_dyy(Q201,R201,IF(MOD(O201,10)=0,1,MOD(O201,10)/10)),10)</f>
        <v>5952000</v>
      </c>
      <c r="T201" s="17">
        <f ca="1" t="shared" si="16"/>
        <v>580337900</v>
      </c>
      <c r="U201" s="4">
        <f ca="1">IF(AND(O201&lt;&gt;1,MOD(O201,10)=1),OFFSET(控制台!$K$1099,MATCH(P201,控制台!$H$1099:$H$1118,0)-1,0)*控制台!$K$1093,0)</f>
        <v>0</v>
      </c>
      <c r="V201" s="17">
        <f ca="1" t="shared" si="18"/>
        <v>419880</v>
      </c>
      <c r="W201" s="1">
        <f ca="1">IF(_xlfn.CEILING.MATH(O201/10)*10=10,0,IFERROR(OFFSET(控制台!$B$1007,MATCH(_xlfn.CEILING.MATH(O201/10-1)*10,控制台!$D$1007:$D$1080,0)-1,0),0))</f>
        <v>390</v>
      </c>
      <c r="X201" s="1">
        <f ca="1">IFERROR(OFFSET(控制台!$B$1007,MATCH(_xlfn.CEILING.MATH(O201/10)*10,控制台!$D$1007:$D$1080,0)-1,0),1)</f>
        <v>430</v>
      </c>
      <c r="Y201" s="17">
        <f ca="1">Lerp_dyy(W201,X201,IF(MOD(O201,10)=0,1,MOD(O201,10)/10))</f>
        <v>414</v>
      </c>
    </row>
    <row r="202" s="15" customFormat="1" spans="2:25">
      <c r="B202" s="15">
        <v>197</v>
      </c>
      <c r="C202" s="15">
        <f>_xlfn.FLOOR.MATH(B202/10+0.9)*10</f>
        <v>200</v>
      </c>
      <c r="D202" s="15">
        <f ca="1">OFFSET(控制台!$C$1099,MATCH(C202,控制台!$B$1099:$B$1118,0)-2,0)*控制台!$E$1092</f>
        <v>5880000</v>
      </c>
      <c r="E202" s="15">
        <f ca="1">OFFSET(控制台!$C$1099,MATCH(C202,控制台!$B$1099:$B$1118,0)-1,0)*控制台!$E$1092</f>
        <v>6000000</v>
      </c>
      <c r="F202" s="16">
        <f ca="1">_xlfn.FLOOR.MATH(Lerp_dyy(D202,E202,IF(MOD(B202,10)=0,1,MOD(B202,10)/10)),10)</f>
        <v>5964000</v>
      </c>
      <c r="G202" s="17">
        <f ca="1" t="shared" si="15"/>
        <v>586301900</v>
      </c>
      <c r="H202" s="16">
        <f ca="1">IF(AND(B202&lt;&gt;1,MOD(B202,10)=1),OFFSET(控制台!$E$1099,MATCH(C202,控制台!$B$1099:$B$1118,0)-1,0)*控制台!$E$1093,0)</f>
        <v>0</v>
      </c>
      <c r="I202" s="17">
        <f ca="1" t="shared" si="17"/>
        <v>419880</v>
      </c>
      <c r="J202" s="15">
        <f ca="1">IF(_xlfn.CEILING.MATH(B202/10)*10=10,0,IFERROR(OFFSET(控制台!$B$865,MATCH(_xlfn.CEILING.MATH(B202/10-1)*10,控制台!$D$865:$D$936,0)-1,0),0))</f>
        <v>330</v>
      </c>
      <c r="K202" s="15">
        <f ca="1">IFERROR(OFFSET(控制台!$B$865,MATCH(_xlfn.CEILING.MATH(B202/10)*10,控制台!$D$865:$D$936,0)-1,0),1)</f>
        <v>360</v>
      </c>
      <c r="L202" s="17">
        <f ca="1">Lerp_dyy(J202,K202,IF(MOD(B202,10)=0,1,MOD(B202,10)/10))</f>
        <v>351</v>
      </c>
      <c r="O202" s="15">
        <v>197</v>
      </c>
      <c r="P202" s="1">
        <f>_xlfn.FLOOR.MATH(O202/10+0.9)*10</f>
        <v>200</v>
      </c>
      <c r="Q202" s="1">
        <f ca="1">OFFSET(控制台!$I$1099,MATCH(P202,控制台!$H$1099:$H$1118,0)-2,0)*控制台!$K$1092</f>
        <v>5880000</v>
      </c>
      <c r="R202" s="1">
        <f ca="1">OFFSET(控制台!$I$1099,MATCH(P202,控制台!$H$1099:$H$1118,0)-1,0)*控制台!$K$1092</f>
        <v>6000000</v>
      </c>
      <c r="S202" s="16">
        <f ca="1">_xlfn.FLOOR.MATH(Lerp_dyy(Q202,R202,IF(MOD(O202,10)=0,1,MOD(O202,10)/10)),10)</f>
        <v>5964000</v>
      </c>
      <c r="T202" s="17">
        <f ca="1" t="shared" si="16"/>
        <v>586301900</v>
      </c>
      <c r="U202" s="4">
        <f ca="1">IF(AND(O202&lt;&gt;1,MOD(O202,10)=1),OFFSET(控制台!$K$1099,MATCH(P202,控制台!$H$1099:$H$1118,0)-1,0)*控制台!$K$1093,0)</f>
        <v>0</v>
      </c>
      <c r="V202" s="17">
        <f ca="1" t="shared" si="18"/>
        <v>419880</v>
      </c>
      <c r="W202" s="1">
        <f ca="1">IF(_xlfn.CEILING.MATH(O202/10)*10=10,0,IFERROR(OFFSET(控制台!$B$1007,MATCH(_xlfn.CEILING.MATH(O202/10-1)*10,控制台!$D$1007:$D$1080,0)-1,0),0))</f>
        <v>390</v>
      </c>
      <c r="X202" s="1">
        <f ca="1">IFERROR(OFFSET(控制台!$B$1007,MATCH(_xlfn.CEILING.MATH(O202/10)*10,控制台!$D$1007:$D$1080,0)-1,0),1)</f>
        <v>430</v>
      </c>
      <c r="Y202" s="17">
        <f ca="1">Lerp_dyy(W202,X202,IF(MOD(O202,10)=0,1,MOD(O202,10)/10))</f>
        <v>418</v>
      </c>
    </row>
    <row r="203" s="15" customFormat="1" spans="2:25">
      <c r="B203" s="15">
        <v>198</v>
      </c>
      <c r="C203" s="15">
        <f>_xlfn.FLOOR.MATH(B203/10+0.9)*10</f>
        <v>200</v>
      </c>
      <c r="D203" s="15">
        <f ca="1">OFFSET(控制台!$C$1099,MATCH(C203,控制台!$B$1099:$B$1118,0)-2,0)*控制台!$E$1092</f>
        <v>5880000</v>
      </c>
      <c r="E203" s="15">
        <f ca="1">OFFSET(控制台!$C$1099,MATCH(C203,控制台!$B$1099:$B$1118,0)-1,0)*控制台!$E$1092</f>
        <v>6000000</v>
      </c>
      <c r="F203" s="16">
        <f ca="1">_xlfn.FLOOR.MATH(Lerp_dyy(D203,E203,IF(MOD(B203,10)=0,1,MOD(B203,10)/10)),10)</f>
        <v>5976000</v>
      </c>
      <c r="G203" s="17">
        <f ca="1" t="shared" si="15"/>
        <v>592277900</v>
      </c>
      <c r="H203" s="16">
        <f ca="1">IF(AND(B203&lt;&gt;1,MOD(B203,10)=1),OFFSET(控制台!$E$1099,MATCH(C203,控制台!$B$1099:$B$1118,0)-1,0)*控制台!$E$1093,0)</f>
        <v>0</v>
      </c>
      <c r="I203" s="17">
        <f ca="1" t="shared" si="17"/>
        <v>419880</v>
      </c>
      <c r="J203" s="15">
        <f ca="1">IF(_xlfn.CEILING.MATH(B203/10)*10=10,0,IFERROR(OFFSET(控制台!$B$865,MATCH(_xlfn.CEILING.MATH(B203/10-1)*10,控制台!$D$865:$D$936,0)-1,0),0))</f>
        <v>330</v>
      </c>
      <c r="K203" s="15">
        <f ca="1">IFERROR(OFFSET(控制台!$B$865,MATCH(_xlfn.CEILING.MATH(B203/10)*10,控制台!$D$865:$D$936,0)-1,0),1)</f>
        <v>360</v>
      </c>
      <c r="L203" s="17">
        <f ca="1">Lerp_dyy(J203,K203,IF(MOD(B203,10)=0,1,MOD(B203,10)/10))</f>
        <v>354</v>
      </c>
      <c r="O203" s="15">
        <v>198</v>
      </c>
      <c r="P203" s="1">
        <f>_xlfn.FLOOR.MATH(O203/10+0.9)*10</f>
        <v>200</v>
      </c>
      <c r="Q203" s="1">
        <f ca="1">OFFSET(控制台!$I$1099,MATCH(P203,控制台!$H$1099:$H$1118,0)-2,0)*控制台!$K$1092</f>
        <v>5880000</v>
      </c>
      <c r="R203" s="1">
        <f ca="1">OFFSET(控制台!$I$1099,MATCH(P203,控制台!$H$1099:$H$1118,0)-1,0)*控制台!$K$1092</f>
        <v>6000000</v>
      </c>
      <c r="S203" s="16">
        <f ca="1">_xlfn.FLOOR.MATH(Lerp_dyy(Q203,R203,IF(MOD(O203,10)=0,1,MOD(O203,10)/10)),10)</f>
        <v>5976000</v>
      </c>
      <c r="T203" s="17">
        <f ca="1" t="shared" si="16"/>
        <v>592277900</v>
      </c>
      <c r="U203" s="4">
        <f ca="1">IF(AND(O203&lt;&gt;1,MOD(O203,10)=1),OFFSET(控制台!$K$1099,MATCH(P203,控制台!$H$1099:$H$1118,0)-1,0)*控制台!$K$1093,0)</f>
        <v>0</v>
      </c>
      <c r="V203" s="17">
        <f ca="1" t="shared" si="18"/>
        <v>419880</v>
      </c>
      <c r="W203" s="1">
        <f ca="1">IF(_xlfn.CEILING.MATH(O203/10)*10=10,0,IFERROR(OFFSET(控制台!$B$1007,MATCH(_xlfn.CEILING.MATH(O203/10-1)*10,控制台!$D$1007:$D$1080,0)-1,0),0))</f>
        <v>390</v>
      </c>
      <c r="X203" s="1">
        <f ca="1">IFERROR(OFFSET(控制台!$B$1007,MATCH(_xlfn.CEILING.MATH(O203/10)*10,控制台!$D$1007:$D$1080,0)-1,0),1)</f>
        <v>430</v>
      </c>
      <c r="Y203" s="17">
        <f ca="1">Lerp_dyy(W203,X203,IF(MOD(O203,10)=0,1,MOD(O203,10)/10))</f>
        <v>422</v>
      </c>
    </row>
    <row r="204" s="15" customFormat="1" spans="2:25">
      <c r="B204" s="15">
        <v>199</v>
      </c>
      <c r="C204" s="15">
        <f>_xlfn.FLOOR.MATH(B204/10+0.9)*10</f>
        <v>200</v>
      </c>
      <c r="D204" s="15">
        <f ca="1">OFFSET(控制台!$C$1099,MATCH(C204,控制台!$B$1099:$B$1118,0)-2,0)*控制台!$E$1092</f>
        <v>5880000</v>
      </c>
      <c r="E204" s="15">
        <f ca="1">OFFSET(控制台!$C$1099,MATCH(C204,控制台!$B$1099:$B$1118,0)-1,0)*控制台!$E$1092</f>
        <v>6000000</v>
      </c>
      <c r="F204" s="16">
        <f ca="1">_xlfn.FLOOR.MATH(Lerp_dyy(D204,E204,IF(MOD(B204,10)=0,1,MOD(B204,10)/10)),10)</f>
        <v>5988000</v>
      </c>
      <c r="G204" s="17">
        <f ca="1" t="shared" si="15"/>
        <v>598265900</v>
      </c>
      <c r="H204" s="16">
        <f ca="1">IF(AND(B204&lt;&gt;1,MOD(B204,10)=1),OFFSET(控制台!$E$1099,MATCH(C204,控制台!$B$1099:$B$1118,0)-1,0)*控制台!$E$1093,0)</f>
        <v>0</v>
      </c>
      <c r="I204" s="17">
        <f ca="1" t="shared" si="17"/>
        <v>419880</v>
      </c>
      <c r="J204" s="15">
        <f ca="1">IF(_xlfn.CEILING.MATH(B204/10)*10=10,0,IFERROR(OFFSET(控制台!$B$865,MATCH(_xlfn.CEILING.MATH(B204/10-1)*10,控制台!$D$865:$D$936,0)-1,0),0))</f>
        <v>330</v>
      </c>
      <c r="K204" s="15">
        <f ca="1">IFERROR(OFFSET(控制台!$B$865,MATCH(_xlfn.CEILING.MATH(B204/10)*10,控制台!$D$865:$D$936,0)-1,0),1)</f>
        <v>360</v>
      </c>
      <c r="L204" s="17">
        <f ca="1">Lerp_dyy(J204,K204,IF(MOD(B204,10)=0,1,MOD(B204,10)/10))</f>
        <v>357</v>
      </c>
      <c r="O204" s="15">
        <v>199</v>
      </c>
      <c r="P204" s="1">
        <f>_xlfn.FLOOR.MATH(O204/10+0.9)*10</f>
        <v>200</v>
      </c>
      <c r="Q204" s="1">
        <f ca="1">OFFSET(控制台!$I$1099,MATCH(P204,控制台!$H$1099:$H$1118,0)-2,0)*控制台!$K$1092</f>
        <v>5880000</v>
      </c>
      <c r="R204" s="1">
        <f ca="1">OFFSET(控制台!$I$1099,MATCH(P204,控制台!$H$1099:$H$1118,0)-1,0)*控制台!$K$1092</f>
        <v>6000000</v>
      </c>
      <c r="S204" s="16">
        <f ca="1">_xlfn.FLOOR.MATH(Lerp_dyy(Q204,R204,IF(MOD(O204,10)=0,1,MOD(O204,10)/10)),10)</f>
        <v>5988000</v>
      </c>
      <c r="T204" s="17">
        <f ca="1" t="shared" si="16"/>
        <v>598265900</v>
      </c>
      <c r="U204" s="4">
        <f ca="1">IF(AND(O204&lt;&gt;1,MOD(O204,10)=1),OFFSET(控制台!$K$1099,MATCH(P204,控制台!$H$1099:$H$1118,0)-1,0)*控制台!$K$1093,0)</f>
        <v>0</v>
      </c>
      <c r="V204" s="17">
        <f ca="1" t="shared" si="18"/>
        <v>419880</v>
      </c>
      <c r="W204" s="1">
        <f ca="1">IF(_xlfn.CEILING.MATH(O204/10)*10=10,0,IFERROR(OFFSET(控制台!$B$1007,MATCH(_xlfn.CEILING.MATH(O204/10-1)*10,控制台!$D$1007:$D$1080,0)-1,0),0))</f>
        <v>390</v>
      </c>
      <c r="X204" s="1">
        <f ca="1">IFERROR(OFFSET(控制台!$B$1007,MATCH(_xlfn.CEILING.MATH(O204/10)*10,控制台!$D$1007:$D$1080,0)-1,0),1)</f>
        <v>430</v>
      </c>
      <c r="Y204" s="17">
        <f ca="1">Lerp_dyy(W204,X204,IF(MOD(O204,10)=0,1,MOD(O204,10)/10))</f>
        <v>426</v>
      </c>
    </row>
    <row r="205" s="15" customFormat="1" spans="2:25">
      <c r="B205" s="15">
        <v>200</v>
      </c>
      <c r="C205" s="15">
        <f>_xlfn.FLOOR.MATH(B205/10+0.9)*10</f>
        <v>200</v>
      </c>
      <c r="D205" s="15">
        <f ca="1">OFFSET(控制台!$C$1099,MATCH(C205,控制台!$B$1099:$B$1118,0)-2,0)*控制台!$E$1092</f>
        <v>5880000</v>
      </c>
      <c r="E205" s="15">
        <f ca="1">OFFSET(控制台!$C$1099,MATCH(C205,控制台!$B$1099:$B$1118,0)-1,0)*控制台!$E$1092</f>
        <v>6000000</v>
      </c>
      <c r="F205" s="16">
        <f ca="1">_xlfn.FLOOR.MATH(Lerp_dyy(D205,E205,IF(MOD(B205,10)=0,1,MOD(B205,10)/10)),10)</f>
        <v>6000000</v>
      </c>
      <c r="G205" s="17">
        <f ca="1" t="shared" si="15"/>
        <v>604265900</v>
      </c>
      <c r="H205" s="16">
        <f ca="1">IF(AND(B205&lt;&gt;1,MOD(B205,10)=1),OFFSET(控制台!$E$1099,MATCH(C205,控制台!$B$1099:$B$1118,0)-1,0)*控制台!$E$1093,0)</f>
        <v>0</v>
      </c>
      <c r="I205" s="17">
        <f ca="1" t="shared" si="17"/>
        <v>419880</v>
      </c>
      <c r="J205" s="15">
        <f ca="1">IF(_xlfn.CEILING.MATH(B205/10)*10=10,0,IFERROR(OFFSET(控制台!$B$865,MATCH(_xlfn.CEILING.MATH(B205/10-1)*10,控制台!$D$865:$D$936,0)-1,0),0))</f>
        <v>330</v>
      </c>
      <c r="K205" s="15">
        <f ca="1">IFERROR(OFFSET(控制台!$B$865,MATCH(_xlfn.CEILING.MATH(B205/10)*10,控制台!$D$865:$D$936,0)-1,0),1)</f>
        <v>360</v>
      </c>
      <c r="L205" s="17">
        <f ca="1">Lerp_dyy(J205,K205,IF(MOD(B205,10)=0,1,MOD(B205,10)/10))</f>
        <v>360</v>
      </c>
      <c r="O205" s="15">
        <v>200</v>
      </c>
      <c r="P205" s="1">
        <f>_xlfn.FLOOR.MATH(O205/10+0.9)*10</f>
        <v>200</v>
      </c>
      <c r="Q205" s="1">
        <f ca="1">OFFSET(控制台!$I$1099,MATCH(P205,控制台!$H$1099:$H$1118,0)-2,0)*控制台!$K$1092</f>
        <v>5880000</v>
      </c>
      <c r="R205" s="1">
        <f ca="1">OFFSET(控制台!$I$1099,MATCH(P205,控制台!$H$1099:$H$1118,0)-1,0)*控制台!$K$1092</f>
        <v>6000000</v>
      </c>
      <c r="S205" s="16">
        <f ca="1">_xlfn.FLOOR.MATH(Lerp_dyy(Q205,R205,IF(MOD(O205,10)=0,1,MOD(O205,10)/10)),10)</f>
        <v>6000000</v>
      </c>
      <c r="T205" s="17">
        <f ca="1" t="shared" si="16"/>
        <v>604265900</v>
      </c>
      <c r="U205" s="4">
        <f ca="1">IF(AND(O205&lt;&gt;1,MOD(O205,10)=1),OFFSET(控制台!$K$1099,MATCH(P205,控制台!$H$1099:$H$1118,0)-1,0)*控制台!$K$1093,0)</f>
        <v>0</v>
      </c>
      <c r="V205" s="17">
        <f ca="1" t="shared" si="18"/>
        <v>419880</v>
      </c>
      <c r="W205" s="1">
        <f ca="1">IF(_xlfn.CEILING.MATH(O205/10)*10=10,0,IFERROR(OFFSET(控制台!$B$1007,MATCH(_xlfn.CEILING.MATH(O205/10-1)*10,控制台!$D$1007:$D$1080,0)-1,0),0))</f>
        <v>390</v>
      </c>
      <c r="X205" s="1">
        <f ca="1">IFERROR(OFFSET(控制台!$B$1007,MATCH(_xlfn.CEILING.MATH(O205/10)*10,控制台!$D$1007:$D$1080,0)-1,0),1)</f>
        <v>430</v>
      </c>
      <c r="Y205" s="17">
        <f ca="1">Lerp_dyy(W205,X205,IF(MOD(O205,10)=0,1,MOD(O205,10)/10))</f>
        <v>430</v>
      </c>
    </row>
  </sheetData>
  <hyperlinks>
    <hyperlink ref="A1" location="控制台_107_兵卡等级" display="返回控制台_兵卡等级"/>
  </hyperlinks>
  <pageMargins left="0.699305555555556" right="0.699305555555556" top="0.75" bottom="0.75" header="0.3" footer="0.3"/>
  <pageSetup paperSize="9" orientation="portrait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4">
    <tabColor theme="9" tint="0.599993896298105"/>
  </sheetPr>
  <dimension ref="A1:K65"/>
  <sheetViews>
    <sheetView zoomScale="85" zoomScaleNormal="85" topLeftCell="A40" workbookViewId="0">
      <selection activeCell="J51" sqref="J51"/>
    </sheetView>
  </sheetViews>
  <sheetFormatPr defaultColWidth="8.70967741935484" defaultRowHeight="13.1"/>
  <cols>
    <col min="1" max="1" width="9.62903225806452" style="1"/>
    <col min="2" max="5" width="10.3790322580645" style="1" customWidth="1"/>
    <col min="6" max="7" width="10.75" style="1" customWidth="1"/>
    <col min="8" max="16384" width="9.62903225806452" style="1"/>
  </cols>
  <sheetData>
    <row r="1" spans="1:11">
      <c r="A1" s="3" t="s">
        <v>2859</v>
      </c>
      <c r="E1" s="4"/>
      <c r="F1" s="5"/>
      <c r="G1" s="4"/>
      <c r="H1" s="5"/>
      <c r="K1" s="5"/>
    </row>
    <row r="2" spans="5:11">
      <c r="E2" s="4"/>
      <c r="F2" s="5"/>
      <c r="G2" s="4"/>
      <c r="H2" s="5"/>
      <c r="K2" s="5"/>
    </row>
    <row r="3" s="2" customFormat="1" spans="1:1">
      <c r="A3" s="2" t="s">
        <v>2846</v>
      </c>
    </row>
    <row r="4" spans="5:11">
      <c r="E4" s="4"/>
      <c r="F4" s="5"/>
      <c r="G4" s="4"/>
      <c r="H4" s="5"/>
      <c r="K4" s="5"/>
    </row>
    <row r="5" spans="1:7">
      <c r="A5" s="1" t="s">
        <v>465</v>
      </c>
      <c r="B5" s="1" t="s">
        <v>805</v>
      </c>
      <c r="C5" s="1" t="s">
        <v>806</v>
      </c>
      <c r="D5" s="1" t="s">
        <v>2850</v>
      </c>
      <c r="E5" s="1" t="s">
        <v>2860</v>
      </c>
      <c r="F5" s="4" t="s">
        <v>1175</v>
      </c>
      <c r="G5" s="5" t="s">
        <v>2861</v>
      </c>
    </row>
    <row r="6" spans="1:7">
      <c r="A6" s="1">
        <v>1</v>
      </c>
      <c r="B6" s="1">
        <f>_xlfn.FLOOR.MATH(A6/10+0.9)*10</f>
        <v>10</v>
      </c>
      <c r="C6" s="1">
        <f ca="1">OFFSET(控制台!$C$1747,MATCH(B6,控制台!$B$1747:$B$1753,0)-2,0)*控制台!$E$1742</f>
        <v>10.8</v>
      </c>
      <c r="D6" s="1">
        <f ca="1">OFFSET(控制台!$C$1747,MATCH(B6,控制台!$B$1747:$B$1753,0)-1,0)*控制台!$E$1742</f>
        <v>129.6</v>
      </c>
      <c r="E6" s="1">
        <f>IF(MOD(A6,10)=0,1,MOD(A6,10)/10)</f>
        <v>0.1</v>
      </c>
      <c r="F6" s="4">
        <f ca="1">_xlfn.FLOOR.MATH(Lerp_dyy(C6,D6,E6),10)</f>
        <v>20</v>
      </c>
      <c r="G6" s="5">
        <f ca="1">F6</f>
        <v>20</v>
      </c>
    </row>
    <row r="7" spans="1:7">
      <c r="A7" s="1">
        <v>2</v>
      </c>
      <c r="B7" s="1">
        <f>_xlfn.FLOOR.MATH(A7/10+0.9)*10</f>
        <v>10</v>
      </c>
      <c r="C7" s="1">
        <f ca="1">OFFSET(控制台!$C$1747,MATCH(B7,控制台!$B$1747:$B$1753,0)-2,0)*控制台!$E$1742</f>
        <v>10.8</v>
      </c>
      <c r="D7" s="1">
        <f ca="1">OFFSET(控制台!$C$1747,MATCH(B7,控制台!$B$1747:$B$1753,0)-1,0)*控制台!$E$1742</f>
        <v>129.6</v>
      </c>
      <c r="E7" s="1">
        <f t="shared" ref="E7:E65" si="0">IF(MOD(A7,10)=0,1,MOD(A7,10)/10)</f>
        <v>0.2</v>
      </c>
      <c r="F7" s="4">
        <f ca="1">_xlfn.FLOOR.MATH(Lerp_dyy(C7,D7,E7),10)</f>
        <v>30</v>
      </c>
      <c r="G7" s="5">
        <f ca="1">G6+F7</f>
        <v>50</v>
      </c>
    </row>
    <row r="8" spans="1:7">
      <c r="A8" s="1">
        <v>3</v>
      </c>
      <c r="B8" s="1">
        <f>_xlfn.FLOOR.MATH(A8/10+0.9)*10</f>
        <v>10</v>
      </c>
      <c r="C8" s="1">
        <f ca="1">OFFSET(控制台!$C$1747,MATCH(B8,控制台!$B$1747:$B$1753,0)-2,0)*控制台!$E$1742</f>
        <v>10.8</v>
      </c>
      <c r="D8" s="1">
        <f ca="1">OFFSET(控制台!$C$1747,MATCH(B8,控制台!$B$1747:$B$1753,0)-1,0)*控制台!$E$1742</f>
        <v>129.6</v>
      </c>
      <c r="E8" s="1">
        <f t="shared" si="0"/>
        <v>0.3</v>
      </c>
      <c r="F8" s="4">
        <f ca="1">_xlfn.FLOOR.MATH(Lerp_dyy(C8,D8,E8),10)</f>
        <v>40</v>
      </c>
      <c r="G8" s="5">
        <f ca="1" t="shared" ref="G8:G65" si="1">G7+F8</f>
        <v>90</v>
      </c>
    </row>
    <row r="9" spans="1:7">
      <c r="A9" s="1">
        <v>4</v>
      </c>
      <c r="B9" s="1">
        <f>_xlfn.FLOOR.MATH(A9/10+0.9)*10</f>
        <v>10</v>
      </c>
      <c r="C9" s="1">
        <f ca="1">OFFSET(控制台!$C$1747,MATCH(B9,控制台!$B$1747:$B$1753,0)-2,0)*控制台!$E$1742</f>
        <v>10.8</v>
      </c>
      <c r="D9" s="1">
        <f ca="1">OFFSET(控制台!$C$1747,MATCH(B9,控制台!$B$1747:$B$1753,0)-1,0)*控制台!$E$1742</f>
        <v>129.6</v>
      </c>
      <c r="E9" s="1">
        <f t="shared" si="0"/>
        <v>0.4</v>
      </c>
      <c r="F9" s="4">
        <f ca="1">_xlfn.FLOOR.MATH(Lerp_dyy(C9,D9,E9),10)</f>
        <v>50</v>
      </c>
      <c r="G9" s="5">
        <f ca="1" t="shared" si="1"/>
        <v>140</v>
      </c>
    </row>
    <row r="10" spans="1:7">
      <c r="A10" s="1">
        <v>5</v>
      </c>
      <c r="B10" s="1">
        <f>_xlfn.FLOOR.MATH(A10/10+0.9)*10</f>
        <v>10</v>
      </c>
      <c r="C10" s="1">
        <f ca="1">OFFSET(控制台!$C$1747,MATCH(B10,控制台!$B$1747:$B$1753,0)-2,0)*控制台!$E$1742</f>
        <v>10.8</v>
      </c>
      <c r="D10" s="1">
        <f ca="1">OFFSET(控制台!$C$1747,MATCH(B10,控制台!$B$1747:$B$1753,0)-1,0)*控制台!$E$1742</f>
        <v>129.6</v>
      </c>
      <c r="E10" s="1">
        <f t="shared" si="0"/>
        <v>0.5</v>
      </c>
      <c r="F10" s="4">
        <f ca="1">_xlfn.FLOOR.MATH(Lerp_dyy(C10,D10,E10),10)</f>
        <v>70</v>
      </c>
      <c r="G10" s="5">
        <f ca="1" t="shared" si="1"/>
        <v>210</v>
      </c>
    </row>
    <row r="11" spans="1:7">
      <c r="A11" s="1">
        <v>6</v>
      </c>
      <c r="B11" s="1">
        <f>_xlfn.FLOOR.MATH(A11/10+0.9)*10</f>
        <v>10</v>
      </c>
      <c r="C11" s="1">
        <f ca="1">OFFSET(控制台!$C$1747,MATCH(B11,控制台!$B$1747:$B$1753,0)-2,0)*控制台!$E$1742</f>
        <v>10.8</v>
      </c>
      <c r="D11" s="1">
        <f ca="1">OFFSET(控制台!$C$1747,MATCH(B11,控制台!$B$1747:$B$1753,0)-1,0)*控制台!$E$1742</f>
        <v>129.6</v>
      </c>
      <c r="E11" s="1">
        <f t="shared" si="0"/>
        <v>0.6</v>
      </c>
      <c r="F11" s="4">
        <f ca="1">_xlfn.FLOOR.MATH(Lerp_dyy(C11,D11,E11),10)</f>
        <v>80</v>
      </c>
      <c r="G11" s="5">
        <f ca="1" t="shared" si="1"/>
        <v>290</v>
      </c>
    </row>
    <row r="12" spans="1:7">
      <c r="A12" s="1">
        <v>7</v>
      </c>
      <c r="B12" s="1">
        <f>_xlfn.FLOOR.MATH(A12/10+0.9)*10</f>
        <v>10</v>
      </c>
      <c r="C12" s="1">
        <f ca="1">OFFSET(控制台!$C$1747,MATCH(B12,控制台!$B$1747:$B$1753,0)-2,0)*控制台!$E$1742</f>
        <v>10.8</v>
      </c>
      <c r="D12" s="1">
        <f ca="1">OFFSET(控制台!$C$1747,MATCH(B12,控制台!$B$1747:$B$1753,0)-1,0)*控制台!$E$1742</f>
        <v>129.6</v>
      </c>
      <c r="E12" s="1">
        <f t="shared" si="0"/>
        <v>0.7</v>
      </c>
      <c r="F12" s="4">
        <f ca="1">_xlfn.FLOOR.MATH(Lerp_dyy(C12,D12,E12),10)</f>
        <v>90</v>
      </c>
      <c r="G12" s="5">
        <f ca="1" t="shared" si="1"/>
        <v>380</v>
      </c>
    </row>
    <row r="13" spans="1:7">
      <c r="A13" s="1">
        <v>8</v>
      </c>
      <c r="B13" s="1">
        <f>_xlfn.FLOOR.MATH(A13/10+0.9)*10</f>
        <v>10</v>
      </c>
      <c r="C13" s="1">
        <f ca="1">OFFSET(控制台!$C$1747,MATCH(B13,控制台!$B$1747:$B$1753,0)-2,0)*控制台!$E$1742</f>
        <v>10.8</v>
      </c>
      <c r="D13" s="1">
        <f ca="1">OFFSET(控制台!$C$1747,MATCH(B13,控制台!$B$1747:$B$1753,0)-1,0)*控制台!$E$1742</f>
        <v>129.6</v>
      </c>
      <c r="E13" s="1">
        <f t="shared" si="0"/>
        <v>0.8</v>
      </c>
      <c r="F13" s="4">
        <f ca="1">_xlfn.FLOOR.MATH(Lerp_dyy(C13,D13,E13),10)</f>
        <v>100</v>
      </c>
      <c r="G13" s="5">
        <f ca="1" t="shared" si="1"/>
        <v>480</v>
      </c>
    </row>
    <row r="14" spans="1:7">
      <c r="A14" s="1">
        <v>9</v>
      </c>
      <c r="B14" s="1">
        <f>_xlfn.FLOOR.MATH(A14/10+0.9)*10</f>
        <v>10</v>
      </c>
      <c r="C14" s="1">
        <f ca="1">OFFSET(控制台!$C$1747,MATCH(B14,控制台!$B$1747:$B$1753,0)-2,0)*控制台!$E$1742</f>
        <v>10.8</v>
      </c>
      <c r="D14" s="1">
        <f ca="1">OFFSET(控制台!$C$1747,MATCH(B14,控制台!$B$1747:$B$1753,0)-1,0)*控制台!$E$1742</f>
        <v>129.6</v>
      </c>
      <c r="E14" s="1">
        <f t="shared" si="0"/>
        <v>0.9</v>
      </c>
      <c r="F14" s="4">
        <f ca="1">_xlfn.FLOOR.MATH(Lerp_dyy(C14,D14,E14),10)</f>
        <v>110</v>
      </c>
      <c r="G14" s="5">
        <f ca="1" t="shared" si="1"/>
        <v>590</v>
      </c>
    </row>
    <row r="15" spans="1:7">
      <c r="A15" s="1">
        <v>10</v>
      </c>
      <c r="B15" s="1">
        <f>_xlfn.FLOOR.MATH(A15/10+0.9)*10</f>
        <v>10</v>
      </c>
      <c r="C15" s="1">
        <f ca="1">OFFSET(控制台!$C$1747,MATCH(B15,控制台!$B$1747:$B$1753,0)-2,0)*控制台!$E$1742</f>
        <v>10.8</v>
      </c>
      <c r="D15" s="1">
        <f ca="1">OFFSET(控制台!$C$1747,MATCH(B15,控制台!$B$1747:$B$1753,0)-1,0)*控制台!$E$1742</f>
        <v>129.6</v>
      </c>
      <c r="E15" s="1">
        <f t="shared" si="0"/>
        <v>1</v>
      </c>
      <c r="F15" s="4">
        <f ca="1">_xlfn.FLOOR.MATH(Lerp_dyy(C15,D15,E15),10)</f>
        <v>120</v>
      </c>
      <c r="G15" s="5">
        <f ca="1" t="shared" si="1"/>
        <v>710</v>
      </c>
    </row>
    <row r="16" s="15" customFormat="1" spans="1:7">
      <c r="A16" s="15">
        <v>11</v>
      </c>
      <c r="B16" s="15">
        <f>_xlfn.FLOOR.MATH(A16/10+0.9)*10</f>
        <v>20</v>
      </c>
      <c r="C16" s="15">
        <f ca="1">OFFSET(控制台!$C$1747,MATCH(B16,控制台!$B$1747:$B$1753,0)-2,0)*控制台!$E$1742</f>
        <v>129.6</v>
      </c>
      <c r="D16" s="15">
        <f ca="1">OFFSET(控制台!$C$1747,MATCH(B16,控制台!$B$1747:$B$1753,0)-1,0)*控制台!$E$1742</f>
        <v>64800</v>
      </c>
      <c r="E16" s="15">
        <f t="shared" si="0"/>
        <v>0.1</v>
      </c>
      <c r="F16" s="16">
        <f ca="1">_xlfn.FLOOR.MATH(Lerp_dyy(C16,D16,E16),10)</f>
        <v>6590</v>
      </c>
      <c r="G16" s="17">
        <f ca="1" t="shared" si="1"/>
        <v>7300</v>
      </c>
    </row>
    <row r="17" s="15" customFormat="1" spans="1:7">
      <c r="A17" s="15">
        <v>12</v>
      </c>
      <c r="B17" s="15">
        <f>_xlfn.FLOOR.MATH(A17/10+0.9)*10</f>
        <v>20</v>
      </c>
      <c r="C17" s="15">
        <f ca="1">OFFSET(控制台!$C$1747,MATCH(B17,控制台!$B$1747:$B$1753,0)-2,0)*控制台!$E$1742</f>
        <v>129.6</v>
      </c>
      <c r="D17" s="15">
        <f ca="1">OFFSET(控制台!$C$1747,MATCH(B17,控制台!$B$1747:$B$1753,0)-1,0)*控制台!$E$1742</f>
        <v>64800</v>
      </c>
      <c r="E17" s="15">
        <f t="shared" si="0"/>
        <v>0.2</v>
      </c>
      <c r="F17" s="16">
        <f ca="1">_xlfn.FLOOR.MATH(Lerp_dyy(C17,D17,E17),10)</f>
        <v>13060</v>
      </c>
      <c r="G17" s="17">
        <f ca="1" t="shared" si="1"/>
        <v>20360</v>
      </c>
    </row>
    <row r="18" s="15" customFormat="1" spans="1:7">
      <c r="A18" s="15">
        <v>13</v>
      </c>
      <c r="B18" s="15">
        <f>_xlfn.FLOOR.MATH(A18/10+0.9)*10</f>
        <v>20</v>
      </c>
      <c r="C18" s="15">
        <f ca="1">OFFSET(控制台!$C$1747,MATCH(B18,控制台!$B$1747:$B$1753,0)-2,0)*控制台!$E$1742</f>
        <v>129.6</v>
      </c>
      <c r="D18" s="15">
        <f ca="1">OFFSET(控制台!$C$1747,MATCH(B18,控制台!$B$1747:$B$1753,0)-1,0)*控制台!$E$1742</f>
        <v>64800</v>
      </c>
      <c r="E18" s="15">
        <f t="shared" si="0"/>
        <v>0.3</v>
      </c>
      <c r="F18" s="16">
        <f ca="1">_xlfn.FLOOR.MATH(Lerp_dyy(C18,D18,E18),10)</f>
        <v>19530</v>
      </c>
      <c r="G18" s="17">
        <f ca="1" t="shared" si="1"/>
        <v>39890</v>
      </c>
    </row>
    <row r="19" s="15" customFormat="1" spans="1:7">
      <c r="A19" s="15">
        <v>14</v>
      </c>
      <c r="B19" s="15">
        <f>_xlfn.FLOOR.MATH(A19/10+0.9)*10</f>
        <v>20</v>
      </c>
      <c r="C19" s="15">
        <f ca="1">OFFSET(控制台!$C$1747,MATCH(B19,控制台!$B$1747:$B$1753,0)-2,0)*控制台!$E$1742</f>
        <v>129.6</v>
      </c>
      <c r="D19" s="15">
        <f ca="1">OFFSET(控制台!$C$1747,MATCH(B19,控制台!$B$1747:$B$1753,0)-1,0)*控制台!$E$1742</f>
        <v>64800</v>
      </c>
      <c r="E19" s="15">
        <f t="shared" si="0"/>
        <v>0.4</v>
      </c>
      <c r="F19" s="16">
        <f ca="1">_xlfn.FLOOR.MATH(Lerp_dyy(C19,D19,E19),10)</f>
        <v>25990</v>
      </c>
      <c r="G19" s="17">
        <f ca="1" t="shared" si="1"/>
        <v>65880</v>
      </c>
    </row>
    <row r="20" s="15" customFormat="1" spans="1:7">
      <c r="A20" s="15">
        <v>15</v>
      </c>
      <c r="B20" s="15">
        <f>_xlfn.FLOOR.MATH(A20/10+0.9)*10</f>
        <v>20</v>
      </c>
      <c r="C20" s="15">
        <f ca="1">OFFSET(控制台!$C$1747,MATCH(B20,控制台!$B$1747:$B$1753,0)-2,0)*控制台!$E$1742</f>
        <v>129.6</v>
      </c>
      <c r="D20" s="15">
        <f ca="1">OFFSET(控制台!$C$1747,MATCH(B20,控制台!$B$1747:$B$1753,0)-1,0)*控制台!$E$1742</f>
        <v>64800</v>
      </c>
      <c r="E20" s="15">
        <f t="shared" si="0"/>
        <v>0.5</v>
      </c>
      <c r="F20" s="16">
        <f ca="1">_xlfn.FLOOR.MATH(Lerp_dyy(C20,D20,E20),10)</f>
        <v>32460</v>
      </c>
      <c r="G20" s="17">
        <f ca="1" t="shared" si="1"/>
        <v>98340</v>
      </c>
    </row>
    <row r="21" s="15" customFormat="1" spans="1:7">
      <c r="A21" s="15">
        <v>16</v>
      </c>
      <c r="B21" s="15">
        <f>_xlfn.FLOOR.MATH(A21/10+0.9)*10</f>
        <v>20</v>
      </c>
      <c r="C21" s="15">
        <f ca="1">OFFSET(控制台!$C$1747,MATCH(B21,控制台!$B$1747:$B$1753,0)-2,0)*控制台!$E$1742</f>
        <v>129.6</v>
      </c>
      <c r="D21" s="15">
        <f ca="1">OFFSET(控制台!$C$1747,MATCH(B21,控制台!$B$1747:$B$1753,0)-1,0)*控制台!$E$1742</f>
        <v>64800</v>
      </c>
      <c r="E21" s="15">
        <f t="shared" si="0"/>
        <v>0.6</v>
      </c>
      <c r="F21" s="16">
        <f ca="1">_xlfn.FLOOR.MATH(Lerp_dyy(C21,D21,E21),10)</f>
        <v>38930</v>
      </c>
      <c r="G21" s="17">
        <f ca="1" t="shared" si="1"/>
        <v>137270</v>
      </c>
    </row>
    <row r="22" s="15" customFormat="1" spans="1:7">
      <c r="A22" s="15">
        <v>17</v>
      </c>
      <c r="B22" s="15">
        <f>_xlfn.FLOOR.MATH(A22/10+0.9)*10</f>
        <v>20</v>
      </c>
      <c r="C22" s="15">
        <f ca="1">OFFSET(控制台!$C$1747,MATCH(B22,控制台!$B$1747:$B$1753,0)-2,0)*控制台!$E$1742</f>
        <v>129.6</v>
      </c>
      <c r="D22" s="15">
        <f ca="1">OFFSET(控制台!$C$1747,MATCH(B22,控制台!$B$1747:$B$1753,0)-1,0)*控制台!$E$1742</f>
        <v>64800</v>
      </c>
      <c r="E22" s="15">
        <f t="shared" si="0"/>
        <v>0.7</v>
      </c>
      <c r="F22" s="16">
        <f ca="1">_xlfn.FLOOR.MATH(Lerp_dyy(C22,D22,E22),10)</f>
        <v>45390</v>
      </c>
      <c r="G22" s="17">
        <f ca="1" t="shared" si="1"/>
        <v>182660</v>
      </c>
    </row>
    <row r="23" s="15" customFormat="1" spans="1:7">
      <c r="A23" s="15">
        <v>18</v>
      </c>
      <c r="B23" s="15">
        <f>_xlfn.FLOOR.MATH(A23/10+0.9)*10</f>
        <v>20</v>
      </c>
      <c r="C23" s="15">
        <f ca="1">OFFSET(控制台!$C$1747,MATCH(B23,控制台!$B$1747:$B$1753,0)-2,0)*控制台!$E$1742</f>
        <v>129.6</v>
      </c>
      <c r="D23" s="15">
        <f ca="1">OFFSET(控制台!$C$1747,MATCH(B23,控制台!$B$1747:$B$1753,0)-1,0)*控制台!$E$1742</f>
        <v>64800</v>
      </c>
      <c r="E23" s="15">
        <f t="shared" si="0"/>
        <v>0.8</v>
      </c>
      <c r="F23" s="16">
        <f ca="1">_xlfn.FLOOR.MATH(Lerp_dyy(C23,D23,E23),10)</f>
        <v>51860</v>
      </c>
      <c r="G23" s="17">
        <f ca="1" t="shared" si="1"/>
        <v>234520</v>
      </c>
    </row>
    <row r="24" s="15" customFormat="1" spans="1:7">
      <c r="A24" s="15">
        <v>19</v>
      </c>
      <c r="B24" s="15">
        <f>_xlfn.FLOOR.MATH(A24/10+0.9)*10</f>
        <v>20</v>
      </c>
      <c r="C24" s="15">
        <f ca="1">OFFSET(控制台!$C$1747,MATCH(B24,控制台!$B$1747:$B$1753,0)-2,0)*控制台!$E$1742</f>
        <v>129.6</v>
      </c>
      <c r="D24" s="15">
        <f ca="1">OFFSET(控制台!$C$1747,MATCH(B24,控制台!$B$1747:$B$1753,0)-1,0)*控制台!$E$1742</f>
        <v>64800</v>
      </c>
      <c r="E24" s="15">
        <f t="shared" si="0"/>
        <v>0.9</v>
      </c>
      <c r="F24" s="16">
        <f ca="1">_xlfn.FLOOR.MATH(Lerp_dyy(C24,D24,E24),10)</f>
        <v>58330</v>
      </c>
      <c r="G24" s="17">
        <f ca="1" t="shared" si="1"/>
        <v>292850</v>
      </c>
    </row>
    <row r="25" s="15" customFormat="1" spans="1:7">
      <c r="A25" s="15">
        <v>20</v>
      </c>
      <c r="B25" s="15">
        <f>_xlfn.FLOOR.MATH(A25/10+0.9)*10</f>
        <v>20</v>
      </c>
      <c r="C25" s="15">
        <f ca="1">OFFSET(控制台!$C$1747,MATCH(B25,控制台!$B$1747:$B$1753,0)-2,0)*控制台!$E$1742</f>
        <v>129.6</v>
      </c>
      <c r="D25" s="15">
        <f ca="1">OFFSET(控制台!$C$1747,MATCH(B25,控制台!$B$1747:$B$1753,0)-1,0)*控制台!$E$1742</f>
        <v>64800</v>
      </c>
      <c r="E25" s="15">
        <f t="shared" si="0"/>
        <v>1</v>
      </c>
      <c r="F25" s="16">
        <f ca="1">_xlfn.FLOOR.MATH(Lerp_dyy(C25,D25,E25),10)</f>
        <v>64800</v>
      </c>
      <c r="G25" s="17">
        <f ca="1" t="shared" si="1"/>
        <v>357650</v>
      </c>
    </row>
    <row r="26" spans="1:7">
      <c r="A26" s="1">
        <v>21</v>
      </c>
      <c r="B26" s="1">
        <f>_xlfn.FLOOR.MATH(A26/10+0.9)*10</f>
        <v>30</v>
      </c>
      <c r="C26" s="1">
        <f ca="1">OFFSET(控制台!$C$1747,MATCH(B26,控制台!$B$1747:$B$1753,0)-2,0)*控制台!$E$1742</f>
        <v>64800</v>
      </c>
      <c r="D26" s="1">
        <f ca="1">OFFSET(控制台!$C$1747,MATCH(B26,控制台!$B$1747:$B$1753,0)-1,0)*控制台!$E$1742</f>
        <v>270000</v>
      </c>
      <c r="E26" s="1">
        <f t="shared" si="0"/>
        <v>0.1</v>
      </c>
      <c r="F26" s="4">
        <f ca="1">_xlfn.FLOOR.MATH(Lerp_dyy(C26,D26,E26),10)</f>
        <v>85320</v>
      </c>
      <c r="G26" s="5">
        <f ca="1" t="shared" si="1"/>
        <v>442970</v>
      </c>
    </row>
    <row r="27" spans="1:7">
      <c r="A27" s="1">
        <v>22</v>
      </c>
      <c r="B27" s="1">
        <f>_xlfn.FLOOR.MATH(A27/10+0.9)*10</f>
        <v>30</v>
      </c>
      <c r="C27" s="1">
        <f ca="1">OFFSET(控制台!$C$1747,MATCH(B27,控制台!$B$1747:$B$1753,0)-2,0)*控制台!$E$1742</f>
        <v>64800</v>
      </c>
      <c r="D27" s="1">
        <f ca="1">OFFSET(控制台!$C$1747,MATCH(B27,控制台!$B$1747:$B$1753,0)-1,0)*控制台!$E$1742</f>
        <v>270000</v>
      </c>
      <c r="E27" s="1">
        <f t="shared" si="0"/>
        <v>0.2</v>
      </c>
      <c r="F27" s="4">
        <f ca="1">_xlfn.FLOOR.MATH(Lerp_dyy(C27,D27,E27),10)</f>
        <v>105840</v>
      </c>
      <c r="G27" s="5">
        <f ca="1" t="shared" si="1"/>
        <v>548810</v>
      </c>
    </row>
    <row r="28" spans="1:7">
      <c r="A28" s="1">
        <v>23</v>
      </c>
      <c r="B28" s="1">
        <f>_xlfn.FLOOR.MATH(A28/10+0.9)*10</f>
        <v>30</v>
      </c>
      <c r="C28" s="1">
        <f ca="1">OFFSET(控制台!$C$1747,MATCH(B28,控制台!$B$1747:$B$1753,0)-2,0)*控制台!$E$1742</f>
        <v>64800</v>
      </c>
      <c r="D28" s="1">
        <f ca="1">OFFSET(控制台!$C$1747,MATCH(B28,控制台!$B$1747:$B$1753,0)-1,0)*控制台!$E$1742</f>
        <v>270000</v>
      </c>
      <c r="E28" s="1">
        <f t="shared" si="0"/>
        <v>0.3</v>
      </c>
      <c r="F28" s="4">
        <f ca="1">_xlfn.FLOOR.MATH(Lerp_dyy(C28,D28,E28),10)</f>
        <v>126360</v>
      </c>
      <c r="G28" s="5">
        <f ca="1" t="shared" si="1"/>
        <v>675170</v>
      </c>
    </row>
    <row r="29" spans="1:7">
      <c r="A29" s="1">
        <v>24</v>
      </c>
      <c r="B29" s="1">
        <f>_xlfn.FLOOR.MATH(A29/10+0.9)*10</f>
        <v>30</v>
      </c>
      <c r="C29" s="1">
        <f ca="1">OFFSET(控制台!$C$1747,MATCH(B29,控制台!$B$1747:$B$1753,0)-2,0)*控制台!$E$1742</f>
        <v>64800</v>
      </c>
      <c r="D29" s="1">
        <f ca="1">OFFSET(控制台!$C$1747,MATCH(B29,控制台!$B$1747:$B$1753,0)-1,0)*控制台!$E$1742</f>
        <v>270000</v>
      </c>
      <c r="E29" s="1">
        <f t="shared" si="0"/>
        <v>0.4</v>
      </c>
      <c r="F29" s="4">
        <f ca="1">_xlfn.FLOOR.MATH(Lerp_dyy(C29,D29,E29),10)</f>
        <v>146880</v>
      </c>
      <c r="G29" s="5">
        <f ca="1" t="shared" si="1"/>
        <v>822050</v>
      </c>
    </row>
    <row r="30" spans="1:7">
      <c r="A30" s="1">
        <v>25</v>
      </c>
      <c r="B30" s="1">
        <f>_xlfn.FLOOR.MATH(A30/10+0.9)*10</f>
        <v>30</v>
      </c>
      <c r="C30" s="1">
        <f ca="1">OFFSET(控制台!$C$1747,MATCH(B30,控制台!$B$1747:$B$1753,0)-2,0)*控制台!$E$1742</f>
        <v>64800</v>
      </c>
      <c r="D30" s="1">
        <f ca="1">OFFSET(控制台!$C$1747,MATCH(B30,控制台!$B$1747:$B$1753,0)-1,0)*控制台!$E$1742</f>
        <v>270000</v>
      </c>
      <c r="E30" s="1">
        <f t="shared" si="0"/>
        <v>0.5</v>
      </c>
      <c r="F30" s="4">
        <f ca="1">_xlfn.FLOOR.MATH(Lerp_dyy(C30,D30,E30),10)</f>
        <v>167400</v>
      </c>
      <c r="G30" s="5">
        <f ca="1" t="shared" si="1"/>
        <v>989450</v>
      </c>
    </row>
    <row r="31" spans="1:7">
      <c r="A31" s="1">
        <v>26</v>
      </c>
      <c r="B31" s="1">
        <f>_xlfn.FLOOR.MATH(A31/10+0.9)*10</f>
        <v>30</v>
      </c>
      <c r="C31" s="1">
        <f ca="1">OFFSET(控制台!$C$1747,MATCH(B31,控制台!$B$1747:$B$1753,0)-2,0)*控制台!$E$1742</f>
        <v>64800</v>
      </c>
      <c r="D31" s="1">
        <f ca="1">OFFSET(控制台!$C$1747,MATCH(B31,控制台!$B$1747:$B$1753,0)-1,0)*控制台!$E$1742</f>
        <v>270000</v>
      </c>
      <c r="E31" s="1">
        <f t="shared" si="0"/>
        <v>0.6</v>
      </c>
      <c r="F31" s="4">
        <f ca="1">_xlfn.FLOOR.MATH(Lerp_dyy(C31,D31,E31),10)</f>
        <v>187920</v>
      </c>
      <c r="G31" s="5">
        <f ca="1" t="shared" si="1"/>
        <v>1177370</v>
      </c>
    </row>
    <row r="32" spans="1:7">
      <c r="A32" s="1">
        <v>27</v>
      </c>
      <c r="B32" s="1">
        <f>_xlfn.FLOOR.MATH(A32/10+0.9)*10</f>
        <v>30</v>
      </c>
      <c r="C32" s="1">
        <f ca="1">OFFSET(控制台!$C$1747,MATCH(B32,控制台!$B$1747:$B$1753,0)-2,0)*控制台!$E$1742</f>
        <v>64800</v>
      </c>
      <c r="D32" s="1">
        <f ca="1">OFFSET(控制台!$C$1747,MATCH(B32,控制台!$B$1747:$B$1753,0)-1,0)*控制台!$E$1742</f>
        <v>270000</v>
      </c>
      <c r="E32" s="1">
        <f t="shared" si="0"/>
        <v>0.7</v>
      </c>
      <c r="F32" s="4">
        <f ca="1">_xlfn.FLOOR.MATH(Lerp_dyy(C32,D32,E32),10)</f>
        <v>208440</v>
      </c>
      <c r="G32" s="5">
        <f ca="1" t="shared" si="1"/>
        <v>1385810</v>
      </c>
    </row>
    <row r="33" spans="1:7">
      <c r="A33" s="1">
        <v>28</v>
      </c>
      <c r="B33" s="1">
        <f>_xlfn.FLOOR.MATH(A33/10+0.9)*10</f>
        <v>30</v>
      </c>
      <c r="C33" s="1">
        <f ca="1">OFFSET(控制台!$C$1747,MATCH(B33,控制台!$B$1747:$B$1753,0)-2,0)*控制台!$E$1742</f>
        <v>64800</v>
      </c>
      <c r="D33" s="1">
        <f ca="1">OFFSET(控制台!$C$1747,MATCH(B33,控制台!$B$1747:$B$1753,0)-1,0)*控制台!$E$1742</f>
        <v>270000</v>
      </c>
      <c r="E33" s="1">
        <f t="shared" si="0"/>
        <v>0.8</v>
      </c>
      <c r="F33" s="4">
        <f ca="1">_xlfn.FLOOR.MATH(Lerp_dyy(C33,D33,E33),10)</f>
        <v>228960</v>
      </c>
      <c r="G33" s="5">
        <f ca="1" t="shared" si="1"/>
        <v>1614770</v>
      </c>
    </row>
    <row r="34" spans="1:7">
      <c r="A34" s="1">
        <v>29</v>
      </c>
      <c r="B34" s="1">
        <f>_xlfn.FLOOR.MATH(A34/10+0.9)*10</f>
        <v>30</v>
      </c>
      <c r="C34" s="1">
        <f ca="1">OFFSET(控制台!$C$1747,MATCH(B34,控制台!$B$1747:$B$1753,0)-2,0)*控制台!$E$1742</f>
        <v>64800</v>
      </c>
      <c r="D34" s="1">
        <f ca="1">OFFSET(控制台!$C$1747,MATCH(B34,控制台!$B$1747:$B$1753,0)-1,0)*控制台!$E$1742</f>
        <v>270000</v>
      </c>
      <c r="E34" s="1">
        <f t="shared" si="0"/>
        <v>0.9</v>
      </c>
      <c r="F34" s="4">
        <f ca="1">_xlfn.FLOOR.MATH(Lerp_dyy(C34,D34,E34),10)</f>
        <v>249480</v>
      </c>
      <c r="G34" s="5">
        <f ca="1" t="shared" si="1"/>
        <v>1864250</v>
      </c>
    </row>
    <row r="35" spans="1:7">
      <c r="A35" s="1">
        <v>30</v>
      </c>
      <c r="B35" s="1">
        <f>_xlfn.FLOOR.MATH(A35/10+0.9)*10</f>
        <v>30</v>
      </c>
      <c r="C35" s="1">
        <f ca="1">OFFSET(控制台!$C$1747,MATCH(B35,控制台!$B$1747:$B$1753,0)-2,0)*控制台!$E$1742</f>
        <v>64800</v>
      </c>
      <c r="D35" s="1">
        <f ca="1">OFFSET(控制台!$C$1747,MATCH(B35,控制台!$B$1747:$B$1753,0)-1,0)*控制台!$E$1742</f>
        <v>270000</v>
      </c>
      <c r="E35" s="1">
        <f t="shared" si="0"/>
        <v>1</v>
      </c>
      <c r="F35" s="4">
        <f ca="1">_xlfn.FLOOR.MATH(Lerp_dyy(C35,D35,E35),10)</f>
        <v>270000</v>
      </c>
      <c r="G35" s="5">
        <f ca="1" t="shared" si="1"/>
        <v>2134250</v>
      </c>
    </row>
    <row r="36" s="15" customFormat="1" spans="1:7">
      <c r="A36" s="15">
        <v>31</v>
      </c>
      <c r="B36" s="15">
        <f>_xlfn.FLOOR.MATH(A36/10+0.9)*10</f>
        <v>40</v>
      </c>
      <c r="C36" s="15">
        <f ca="1">OFFSET(控制台!$C$1747,MATCH(B36,控制台!$B$1747:$B$1753,0)-2,0)*控制台!$E$1742</f>
        <v>270000</v>
      </c>
      <c r="D36" s="15">
        <f ca="1">OFFSET(控制台!$C$1747,MATCH(B36,控制台!$B$1747:$B$1753,0)-1,0)*控制台!$E$1742</f>
        <v>1296000</v>
      </c>
      <c r="E36" s="15">
        <f t="shared" si="0"/>
        <v>0.1</v>
      </c>
      <c r="F36" s="16">
        <f ca="1">_xlfn.FLOOR.MATH(Lerp_dyy(C36,D36,E36),10)</f>
        <v>372600</v>
      </c>
      <c r="G36" s="17">
        <f ca="1" t="shared" si="1"/>
        <v>2506850</v>
      </c>
    </row>
    <row r="37" s="15" customFormat="1" spans="1:7">
      <c r="A37" s="15">
        <v>32</v>
      </c>
      <c r="B37" s="15">
        <f>_xlfn.FLOOR.MATH(A37/10+0.9)*10</f>
        <v>40</v>
      </c>
      <c r="C37" s="15">
        <f ca="1">OFFSET(控制台!$C$1747,MATCH(B37,控制台!$B$1747:$B$1753,0)-2,0)*控制台!$E$1742</f>
        <v>270000</v>
      </c>
      <c r="D37" s="15">
        <f ca="1">OFFSET(控制台!$C$1747,MATCH(B37,控制台!$B$1747:$B$1753,0)-1,0)*控制台!$E$1742</f>
        <v>1296000</v>
      </c>
      <c r="E37" s="15">
        <f t="shared" si="0"/>
        <v>0.2</v>
      </c>
      <c r="F37" s="16">
        <f ca="1">_xlfn.FLOOR.MATH(Lerp_dyy(C37,D37,E37),10)</f>
        <v>475200</v>
      </c>
      <c r="G37" s="17">
        <f ca="1" t="shared" si="1"/>
        <v>2982050</v>
      </c>
    </row>
    <row r="38" s="15" customFormat="1" spans="1:7">
      <c r="A38" s="15">
        <v>33</v>
      </c>
      <c r="B38" s="15">
        <f>_xlfn.FLOOR.MATH(A38/10+0.9)*10</f>
        <v>40</v>
      </c>
      <c r="C38" s="15">
        <f ca="1">OFFSET(控制台!$C$1747,MATCH(B38,控制台!$B$1747:$B$1753,0)-2,0)*控制台!$E$1742</f>
        <v>270000</v>
      </c>
      <c r="D38" s="15">
        <f ca="1">OFFSET(控制台!$C$1747,MATCH(B38,控制台!$B$1747:$B$1753,0)-1,0)*控制台!$E$1742</f>
        <v>1296000</v>
      </c>
      <c r="E38" s="15">
        <f t="shared" si="0"/>
        <v>0.3</v>
      </c>
      <c r="F38" s="16">
        <f ca="1">_xlfn.FLOOR.MATH(Lerp_dyy(C38,D38,E38),10)</f>
        <v>577800</v>
      </c>
      <c r="G38" s="17">
        <f ca="1" t="shared" si="1"/>
        <v>3559850</v>
      </c>
    </row>
    <row r="39" s="15" customFormat="1" spans="1:7">
      <c r="A39" s="15">
        <v>34</v>
      </c>
      <c r="B39" s="15">
        <f>_xlfn.FLOOR.MATH(A39/10+0.9)*10</f>
        <v>40</v>
      </c>
      <c r="C39" s="15">
        <f ca="1">OFFSET(控制台!$C$1747,MATCH(B39,控制台!$B$1747:$B$1753,0)-2,0)*控制台!$E$1742</f>
        <v>270000</v>
      </c>
      <c r="D39" s="15">
        <f ca="1">OFFSET(控制台!$C$1747,MATCH(B39,控制台!$B$1747:$B$1753,0)-1,0)*控制台!$E$1742</f>
        <v>1296000</v>
      </c>
      <c r="E39" s="15">
        <f t="shared" si="0"/>
        <v>0.4</v>
      </c>
      <c r="F39" s="16">
        <f ca="1">_xlfn.FLOOR.MATH(Lerp_dyy(C39,D39,E39),10)</f>
        <v>680400</v>
      </c>
      <c r="G39" s="17">
        <f ca="1" t="shared" si="1"/>
        <v>4240250</v>
      </c>
    </row>
    <row r="40" s="15" customFormat="1" spans="1:7">
      <c r="A40" s="15">
        <v>35</v>
      </c>
      <c r="B40" s="15">
        <f>_xlfn.FLOOR.MATH(A40/10+0.9)*10</f>
        <v>40</v>
      </c>
      <c r="C40" s="15">
        <f ca="1">OFFSET(控制台!$C$1747,MATCH(B40,控制台!$B$1747:$B$1753,0)-2,0)*控制台!$E$1742</f>
        <v>270000</v>
      </c>
      <c r="D40" s="15">
        <f ca="1">OFFSET(控制台!$C$1747,MATCH(B40,控制台!$B$1747:$B$1753,0)-1,0)*控制台!$E$1742</f>
        <v>1296000</v>
      </c>
      <c r="E40" s="15">
        <f t="shared" si="0"/>
        <v>0.5</v>
      </c>
      <c r="F40" s="16">
        <f ca="1">_xlfn.FLOOR.MATH(Lerp_dyy(C40,D40,E40),10)</f>
        <v>783000</v>
      </c>
      <c r="G40" s="17">
        <f ca="1" t="shared" si="1"/>
        <v>5023250</v>
      </c>
    </row>
    <row r="41" s="15" customFormat="1" spans="1:7">
      <c r="A41" s="15">
        <v>36</v>
      </c>
      <c r="B41" s="15">
        <f>_xlfn.FLOOR.MATH(A41/10+0.9)*10</f>
        <v>40</v>
      </c>
      <c r="C41" s="15">
        <f ca="1">OFFSET(控制台!$C$1747,MATCH(B41,控制台!$B$1747:$B$1753,0)-2,0)*控制台!$E$1742</f>
        <v>270000</v>
      </c>
      <c r="D41" s="15">
        <f ca="1">OFFSET(控制台!$C$1747,MATCH(B41,控制台!$B$1747:$B$1753,0)-1,0)*控制台!$E$1742</f>
        <v>1296000</v>
      </c>
      <c r="E41" s="15">
        <f t="shared" si="0"/>
        <v>0.6</v>
      </c>
      <c r="F41" s="16">
        <f ca="1">_xlfn.FLOOR.MATH(Lerp_dyy(C41,D41,E41),10)</f>
        <v>885600</v>
      </c>
      <c r="G41" s="17">
        <f ca="1" t="shared" si="1"/>
        <v>5908850</v>
      </c>
    </row>
    <row r="42" s="15" customFormat="1" spans="1:7">
      <c r="A42" s="15">
        <v>37</v>
      </c>
      <c r="B42" s="15">
        <f>_xlfn.FLOOR.MATH(A42/10+0.9)*10</f>
        <v>40</v>
      </c>
      <c r="C42" s="15">
        <f ca="1">OFFSET(控制台!$C$1747,MATCH(B42,控制台!$B$1747:$B$1753,0)-2,0)*控制台!$E$1742</f>
        <v>270000</v>
      </c>
      <c r="D42" s="15">
        <f ca="1">OFFSET(控制台!$C$1747,MATCH(B42,控制台!$B$1747:$B$1753,0)-1,0)*控制台!$E$1742</f>
        <v>1296000</v>
      </c>
      <c r="E42" s="15">
        <f t="shared" si="0"/>
        <v>0.7</v>
      </c>
      <c r="F42" s="16">
        <f ca="1">_xlfn.FLOOR.MATH(Lerp_dyy(C42,D42,E42),10)</f>
        <v>988200</v>
      </c>
      <c r="G42" s="17">
        <f ca="1" t="shared" si="1"/>
        <v>6897050</v>
      </c>
    </row>
    <row r="43" s="15" customFormat="1" spans="1:7">
      <c r="A43" s="15">
        <v>38</v>
      </c>
      <c r="B43" s="15">
        <f>_xlfn.FLOOR.MATH(A43/10+0.9)*10</f>
        <v>40</v>
      </c>
      <c r="C43" s="15">
        <f ca="1">OFFSET(控制台!$C$1747,MATCH(B43,控制台!$B$1747:$B$1753,0)-2,0)*控制台!$E$1742</f>
        <v>270000</v>
      </c>
      <c r="D43" s="15">
        <f ca="1">OFFSET(控制台!$C$1747,MATCH(B43,控制台!$B$1747:$B$1753,0)-1,0)*控制台!$E$1742</f>
        <v>1296000</v>
      </c>
      <c r="E43" s="15">
        <f t="shared" si="0"/>
        <v>0.8</v>
      </c>
      <c r="F43" s="16">
        <f ca="1">_xlfn.FLOOR.MATH(Lerp_dyy(C43,D43,E43),10)</f>
        <v>1090800</v>
      </c>
      <c r="G43" s="17">
        <f ca="1" t="shared" si="1"/>
        <v>7987850</v>
      </c>
    </row>
    <row r="44" s="15" customFormat="1" spans="1:7">
      <c r="A44" s="15">
        <v>39</v>
      </c>
      <c r="B44" s="15">
        <f>_xlfn.FLOOR.MATH(A44/10+0.9)*10</f>
        <v>40</v>
      </c>
      <c r="C44" s="15">
        <f ca="1">OFFSET(控制台!$C$1747,MATCH(B44,控制台!$B$1747:$B$1753,0)-2,0)*控制台!$E$1742</f>
        <v>270000</v>
      </c>
      <c r="D44" s="15">
        <f ca="1">OFFSET(控制台!$C$1747,MATCH(B44,控制台!$B$1747:$B$1753,0)-1,0)*控制台!$E$1742</f>
        <v>1296000</v>
      </c>
      <c r="E44" s="15">
        <f t="shared" si="0"/>
        <v>0.9</v>
      </c>
      <c r="F44" s="16">
        <f ca="1">_xlfn.FLOOR.MATH(Lerp_dyy(C44,D44,E44),10)</f>
        <v>1193400</v>
      </c>
      <c r="G44" s="17">
        <f ca="1" t="shared" si="1"/>
        <v>9181250</v>
      </c>
    </row>
    <row r="45" s="15" customFormat="1" spans="1:7">
      <c r="A45" s="15">
        <v>40</v>
      </c>
      <c r="B45" s="15">
        <f>_xlfn.FLOOR.MATH(A45/10+0.9)*10</f>
        <v>40</v>
      </c>
      <c r="C45" s="15">
        <f ca="1">OFFSET(控制台!$C$1747,MATCH(B45,控制台!$B$1747:$B$1753,0)-2,0)*控制台!$E$1742</f>
        <v>270000</v>
      </c>
      <c r="D45" s="15">
        <f ca="1">OFFSET(控制台!$C$1747,MATCH(B45,控制台!$B$1747:$B$1753,0)-1,0)*控制台!$E$1742</f>
        <v>1296000</v>
      </c>
      <c r="E45" s="15">
        <f t="shared" si="0"/>
        <v>1</v>
      </c>
      <c r="F45" s="16">
        <f ca="1">_xlfn.FLOOR.MATH(Lerp_dyy(C45,D45,E45),10)</f>
        <v>1296000</v>
      </c>
      <c r="G45" s="17">
        <f ca="1" t="shared" si="1"/>
        <v>10477250</v>
      </c>
    </row>
    <row r="46" spans="1:7">
      <c r="A46" s="1">
        <v>41</v>
      </c>
      <c r="B46" s="1">
        <f>_xlfn.FLOOR.MATH(A46/10+0.9)*10</f>
        <v>50</v>
      </c>
      <c r="C46" s="1">
        <f ca="1">OFFSET(控制台!$C$1747,MATCH(B46,控制台!$B$1747:$B$1753,0)-2,0)*控制台!$E$1742</f>
        <v>1296000</v>
      </c>
      <c r="D46" s="1">
        <f ca="1">OFFSET(控制台!$C$1747,MATCH(B46,控制台!$B$1747:$B$1753,0)-1,0)*控制台!$E$1742</f>
        <v>3888000</v>
      </c>
      <c r="E46" s="1">
        <f t="shared" si="0"/>
        <v>0.1</v>
      </c>
      <c r="F46" s="4">
        <f ca="1">_xlfn.FLOOR.MATH(Lerp_dyy(C46,D46,E46),10)</f>
        <v>1555200</v>
      </c>
      <c r="G46" s="5">
        <f ca="1" t="shared" si="1"/>
        <v>12032450</v>
      </c>
    </row>
    <row r="47" spans="1:7">
      <c r="A47" s="1">
        <v>42</v>
      </c>
      <c r="B47" s="1">
        <f>_xlfn.FLOOR.MATH(A47/10+0.9)*10</f>
        <v>50</v>
      </c>
      <c r="C47" s="1">
        <f ca="1">OFFSET(控制台!$C$1747,MATCH(B47,控制台!$B$1747:$B$1753,0)-2,0)*控制台!$E$1742</f>
        <v>1296000</v>
      </c>
      <c r="D47" s="1">
        <f ca="1">OFFSET(控制台!$C$1747,MATCH(B47,控制台!$B$1747:$B$1753,0)-1,0)*控制台!$E$1742</f>
        <v>3888000</v>
      </c>
      <c r="E47" s="1">
        <f t="shared" si="0"/>
        <v>0.2</v>
      </c>
      <c r="F47" s="4">
        <f ca="1">_xlfn.FLOOR.MATH(Lerp_dyy(C47,D47,E47),10)</f>
        <v>1814400</v>
      </c>
      <c r="G47" s="5">
        <f ca="1" t="shared" si="1"/>
        <v>13846850</v>
      </c>
    </row>
    <row r="48" spans="1:7">
      <c r="A48" s="1">
        <v>43</v>
      </c>
      <c r="B48" s="1">
        <f>_xlfn.FLOOR.MATH(A48/10+0.9)*10</f>
        <v>50</v>
      </c>
      <c r="C48" s="1">
        <f ca="1">OFFSET(控制台!$C$1747,MATCH(B48,控制台!$B$1747:$B$1753,0)-2,0)*控制台!$E$1742</f>
        <v>1296000</v>
      </c>
      <c r="D48" s="1">
        <f ca="1">OFFSET(控制台!$C$1747,MATCH(B48,控制台!$B$1747:$B$1753,0)-1,0)*控制台!$E$1742</f>
        <v>3888000</v>
      </c>
      <c r="E48" s="1">
        <f t="shared" si="0"/>
        <v>0.3</v>
      </c>
      <c r="F48" s="4">
        <f ca="1">_xlfn.FLOOR.MATH(Lerp_dyy(C48,D48,E48),10)</f>
        <v>2073600</v>
      </c>
      <c r="G48" s="5">
        <f ca="1" t="shared" si="1"/>
        <v>15920450</v>
      </c>
    </row>
    <row r="49" spans="1:7">
      <c r="A49" s="1">
        <v>44</v>
      </c>
      <c r="B49" s="1">
        <f>_xlfn.FLOOR.MATH(A49/10+0.9)*10</f>
        <v>50</v>
      </c>
      <c r="C49" s="1">
        <f ca="1">OFFSET(控制台!$C$1747,MATCH(B49,控制台!$B$1747:$B$1753,0)-2,0)*控制台!$E$1742</f>
        <v>1296000</v>
      </c>
      <c r="D49" s="1">
        <f ca="1">OFFSET(控制台!$C$1747,MATCH(B49,控制台!$B$1747:$B$1753,0)-1,0)*控制台!$E$1742</f>
        <v>3888000</v>
      </c>
      <c r="E49" s="1">
        <f t="shared" si="0"/>
        <v>0.4</v>
      </c>
      <c r="F49" s="4">
        <f ca="1">_xlfn.FLOOR.MATH(Lerp_dyy(C49,D49,E49),10)</f>
        <v>2332800</v>
      </c>
      <c r="G49" s="5">
        <f ca="1" t="shared" si="1"/>
        <v>18253250</v>
      </c>
    </row>
    <row r="50" spans="1:7">
      <c r="A50" s="1">
        <v>45</v>
      </c>
      <c r="B50" s="1">
        <f>_xlfn.FLOOR.MATH(A50/10+0.9)*10</f>
        <v>50</v>
      </c>
      <c r="C50" s="1">
        <f ca="1">OFFSET(控制台!$C$1747,MATCH(B50,控制台!$B$1747:$B$1753,0)-2,0)*控制台!$E$1742</f>
        <v>1296000</v>
      </c>
      <c r="D50" s="1">
        <f ca="1">OFFSET(控制台!$C$1747,MATCH(B50,控制台!$B$1747:$B$1753,0)-1,0)*控制台!$E$1742</f>
        <v>3888000</v>
      </c>
      <c r="E50" s="1">
        <f t="shared" si="0"/>
        <v>0.5</v>
      </c>
      <c r="F50" s="4">
        <f ca="1">_xlfn.FLOOR.MATH(Lerp_dyy(C50,D50,E50),10)</f>
        <v>2592000</v>
      </c>
      <c r="G50" s="5">
        <f ca="1" t="shared" si="1"/>
        <v>20845250</v>
      </c>
    </row>
    <row r="51" spans="1:7">
      <c r="A51" s="1">
        <v>46</v>
      </c>
      <c r="B51" s="1">
        <f>_xlfn.FLOOR.MATH(A51/10+0.9)*10</f>
        <v>50</v>
      </c>
      <c r="C51" s="1">
        <f ca="1">OFFSET(控制台!$C$1747,MATCH(B51,控制台!$B$1747:$B$1753,0)-2,0)*控制台!$E$1742</f>
        <v>1296000</v>
      </c>
      <c r="D51" s="1">
        <f ca="1">OFFSET(控制台!$C$1747,MATCH(B51,控制台!$B$1747:$B$1753,0)-1,0)*控制台!$E$1742</f>
        <v>3888000</v>
      </c>
      <c r="E51" s="1">
        <f t="shared" si="0"/>
        <v>0.6</v>
      </c>
      <c r="F51" s="4">
        <f ca="1">_xlfn.FLOOR.MATH(Lerp_dyy(C51,D51,E51),10)</f>
        <v>2851200</v>
      </c>
      <c r="G51" s="5">
        <f ca="1" t="shared" si="1"/>
        <v>23696450</v>
      </c>
    </row>
    <row r="52" spans="1:7">
      <c r="A52" s="1">
        <v>47</v>
      </c>
      <c r="B52" s="1">
        <f>_xlfn.FLOOR.MATH(A52/10+0.9)*10</f>
        <v>50</v>
      </c>
      <c r="C52" s="1">
        <f ca="1">OFFSET(控制台!$C$1747,MATCH(B52,控制台!$B$1747:$B$1753,0)-2,0)*控制台!$E$1742</f>
        <v>1296000</v>
      </c>
      <c r="D52" s="1">
        <f ca="1">OFFSET(控制台!$C$1747,MATCH(B52,控制台!$B$1747:$B$1753,0)-1,0)*控制台!$E$1742</f>
        <v>3888000</v>
      </c>
      <c r="E52" s="1">
        <f t="shared" si="0"/>
        <v>0.7</v>
      </c>
      <c r="F52" s="4">
        <f ca="1">_xlfn.FLOOR.MATH(Lerp_dyy(C52,D52,E52),10)</f>
        <v>3110400</v>
      </c>
      <c r="G52" s="5">
        <f ca="1" t="shared" si="1"/>
        <v>26806850</v>
      </c>
    </row>
    <row r="53" spans="1:7">
      <c r="A53" s="1">
        <v>48</v>
      </c>
      <c r="B53" s="1">
        <f>_xlfn.FLOOR.MATH(A53/10+0.9)*10</f>
        <v>50</v>
      </c>
      <c r="C53" s="1">
        <f ca="1">OFFSET(控制台!$C$1747,MATCH(B53,控制台!$B$1747:$B$1753,0)-2,0)*控制台!$E$1742</f>
        <v>1296000</v>
      </c>
      <c r="D53" s="1">
        <f ca="1">OFFSET(控制台!$C$1747,MATCH(B53,控制台!$B$1747:$B$1753,0)-1,0)*控制台!$E$1742</f>
        <v>3888000</v>
      </c>
      <c r="E53" s="1">
        <f t="shared" si="0"/>
        <v>0.8</v>
      </c>
      <c r="F53" s="4">
        <f ca="1">_xlfn.FLOOR.MATH(Lerp_dyy(C53,D53,E53),10)</f>
        <v>3369600</v>
      </c>
      <c r="G53" s="5">
        <f ca="1" t="shared" si="1"/>
        <v>30176450</v>
      </c>
    </row>
    <row r="54" spans="1:7">
      <c r="A54" s="1">
        <v>49</v>
      </c>
      <c r="B54" s="1">
        <f>_xlfn.FLOOR.MATH(A54/10+0.9)*10</f>
        <v>50</v>
      </c>
      <c r="C54" s="1">
        <f ca="1">OFFSET(控制台!$C$1747,MATCH(B54,控制台!$B$1747:$B$1753,0)-2,0)*控制台!$E$1742</f>
        <v>1296000</v>
      </c>
      <c r="D54" s="1">
        <f ca="1">OFFSET(控制台!$C$1747,MATCH(B54,控制台!$B$1747:$B$1753,0)-1,0)*控制台!$E$1742</f>
        <v>3888000</v>
      </c>
      <c r="E54" s="1">
        <f t="shared" si="0"/>
        <v>0.9</v>
      </c>
      <c r="F54" s="4">
        <f ca="1">_xlfn.FLOOR.MATH(Lerp_dyy(C54,D54,E54),10)</f>
        <v>3628800</v>
      </c>
      <c r="G54" s="5">
        <f ca="1" t="shared" si="1"/>
        <v>33805250</v>
      </c>
    </row>
    <row r="55" spans="1:7">
      <c r="A55" s="1">
        <v>50</v>
      </c>
      <c r="B55" s="1">
        <f>_xlfn.FLOOR.MATH(A55/10+0.9)*10</f>
        <v>50</v>
      </c>
      <c r="C55" s="1">
        <f ca="1">OFFSET(控制台!$C$1747,MATCH(B55,控制台!$B$1747:$B$1753,0)-2,0)*控制台!$E$1742</f>
        <v>1296000</v>
      </c>
      <c r="D55" s="1">
        <f ca="1">OFFSET(控制台!$C$1747,MATCH(B55,控制台!$B$1747:$B$1753,0)-1,0)*控制台!$E$1742</f>
        <v>3888000</v>
      </c>
      <c r="E55" s="1">
        <f t="shared" si="0"/>
        <v>1</v>
      </c>
      <c r="F55" s="4">
        <f ca="1">_xlfn.FLOOR.MATH(Lerp_dyy(C55,D55,E55),10)</f>
        <v>3888000</v>
      </c>
      <c r="G55" s="5">
        <f ca="1" t="shared" si="1"/>
        <v>37693250</v>
      </c>
    </row>
    <row r="56" s="15" customFormat="1" spans="1:7">
      <c r="A56" s="15">
        <v>51</v>
      </c>
      <c r="B56" s="15">
        <f>_xlfn.FLOOR.MATH(A56/10+0.9)*10</f>
        <v>60</v>
      </c>
      <c r="C56" s="15">
        <f ca="1">OFFSET(控制台!$C$1747,MATCH(B56,控制台!$B$1747:$B$1753,0)-2,0)*控制台!$E$1742</f>
        <v>3888000</v>
      </c>
      <c r="D56" s="15">
        <f ca="1">OFFSET(控制台!$C$1747,MATCH(B56,控制台!$B$1747:$B$1753,0)-1,0)*控制台!$E$1742</f>
        <v>10800000</v>
      </c>
      <c r="E56" s="15">
        <f t="shared" si="0"/>
        <v>0.1</v>
      </c>
      <c r="F56" s="16">
        <f ca="1">_xlfn.FLOOR.MATH(Lerp_dyy(C56,D56,E56),10)</f>
        <v>4579200</v>
      </c>
      <c r="G56" s="17">
        <f ca="1" t="shared" si="1"/>
        <v>42272450</v>
      </c>
    </row>
    <row r="57" s="15" customFormat="1" spans="1:7">
      <c r="A57" s="15">
        <v>52</v>
      </c>
      <c r="B57" s="15">
        <f>_xlfn.FLOOR.MATH(A57/10+0.9)*10</f>
        <v>60</v>
      </c>
      <c r="C57" s="15">
        <f ca="1">OFFSET(控制台!$C$1747,MATCH(B57,控制台!$B$1747:$B$1753,0)-2,0)*控制台!$E$1742</f>
        <v>3888000</v>
      </c>
      <c r="D57" s="15">
        <f ca="1">OFFSET(控制台!$C$1747,MATCH(B57,控制台!$B$1747:$B$1753,0)-1,0)*控制台!$E$1742</f>
        <v>10800000</v>
      </c>
      <c r="E57" s="15">
        <f t="shared" si="0"/>
        <v>0.2</v>
      </c>
      <c r="F57" s="16">
        <f ca="1">_xlfn.FLOOR.MATH(Lerp_dyy(C57,D57,E57),10)</f>
        <v>5270400</v>
      </c>
      <c r="G57" s="17">
        <f ca="1" t="shared" si="1"/>
        <v>47542850</v>
      </c>
    </row>
    <row r="58" s="15" customFormat="1" spans="1:7">
      <c r="A58" s="15">
        <v>53</v>
      </c>
      <c r="B58" s="15">
        <f>_xlfn.FLOOR.MATH(A58/10+0.9)*10</f>
        <v>60</v>
      </c>
      <c r="C58" s="15">
        <f ca="1">OFFSET(控制台!$C$1747,MATCH(B58,控制台!$B$1747:$B$1753,0)-2,0)*控制台!$E$1742</f>
        <v>3888000</v>
      </c>
      <c r="D58" s="15">
        <f ca="1">OFFSET(控制台!$C$1747,MATCH(B58,控制台!$B$1747:$B$1753,0)-1,0)*控制台!$E$1742</f>
        <v>10800000</v>
      </c>
      <c r="E58" s="15">
        <f t="shared" si="0"/>
        <v>0.3</v>
      </c>
      <c r="F58" s="16">
        <f ca="1">_xlfn.FLOOR.MATH(Lerp_dyy(C58,D58,E58),10)</f>
        <v>5961600</v>
      </c>
      <c r="G58" s="17">
        <f ca="1" t="shared" si="1"/>
        <v>53504450</v>
      </c>
    </row>
    <row r="59" s="15" customFormat="1" spans="1:7">
      <c r="A59" s="15">
        <v>54</v>
      </c>
      <c r="B59" s="15">
        <f>_xlfn.FLOOR.MATH(A59/10+0.9)*10</f>
        <v>60</v>
      </c>
      <c r="C59" s="15">
        <f ca="1">OFFSET(控制台!$C$1747,MATCH(B59,控制台!$B$1747:$B$1753,0)-2,0)*控制台!$E$1742</f>
        <v>3888000</v>
      </c>
      <c r="D59" s="15">
        <f ca="1">OFFSET(控制台!$C$1747,MATCH(B59,控制台!$B$1747:$B$1753,0)-1,0)*控制台!$E$1742</f>
        <v>10800000</v>
      </c>
      <c r="E59" s="15">
        <f t="shared" si="0"/>
        <v>0.4</v>
      </c>
      <c r="F59" s="16">
        <f ca="1">_xlfn.FLOOR.MATH(Lerp_dyy(C59,D59,E59),10)</f>
        <v>6652800</v>
      </c>
      <c r="G59" s="17">
        <f ca="1" t="shared" si="1"/>
        <v>60157250</v>
      </c>
    </row>
    <row r="60" s="15" customFormat="1" spans="1:7">
      <c r="A60" s="15">
        <v>55</v>
      </c>
      <c r="B60" s="15">
        <f>_xlfn.FLOOR.MATH(A60/10+0.9)*10</f>
        <v>60</v>
      </c>
      <c r="C60" s="15">
        <f ca="1">OFFSET(控制台!$C$1747,MATCH(B60,控制台!$B$1747:$B$1753,0)-2,0)*控制台!$E$1742</f>
        <v>3888000</v>
      </c>
      <c r="D60" s="15">
        <f ca="1">OFFSET(控制台!$C$1747,MATCH(B60,控制台!$B$1747:$B$1753,0)-1,0)*控制台!$E$1742</f>
        <v>10800000</v>
      </c>
      <c r="E60" s="15">
        <f t="shared" si="0"/>
        <v>0.5</v>
      </c>
      <c r="F60" s="16">
        <f ca="1">_xlfn.FLOOR.MATH(Lerp_dyy(C60,D60,E60),10)</f>
        <v>7344000</v>
      </c>
      <c r="G60" s="17">
        <f ca="1" t="shared" si="1"/>
        <v>67501250</v>
      </c>
    </row>
    <row r="61" s="15" customFormat="1" spans="1:7">
      <c r="A61" s="15">
        <v>56</v>
      </c>
      <c r="B61" s="15">
        <f>_xlfn.FLOOR.MATH(A61/10+0.9)*10</f>
        <v>60</v>
      </c>
      <c r="C61" s="15">
        <f ca="1">OFFSET(控制台!$C$1747,MATCH(B61,控制台!$B$1747:$B$1753,0)-2,0)*控制台!$E$1742</f>
        <v>3888000</v>
      </c>
      <c r="D61" s="15">
        <f ca="1">OFFSET(控制台!$C$1747,MATCH(B61,控制台!$B$1747:$B$1753,0)-1,0)*控制台!$E$1742</f>
        <v>10800000</v>
      </c>
      <c r="E61" s="15">
        <f t="shared" si="0"/>
        <v>0.6</v>
      </c>
      <c r="F61" s="16">
        <f ca="1">_xlfn.FLOOR.MATH(Lerp_dyy(C61,D61,E61),10)</f>
        <v>8035200</v>
      </c>
      <c r="G61" s="17">
        <f ca="1" t="shared" si="1"/>
        <v>75536450</v>
      </c>
    </row>
    <row r="62" s="15" customFormat="1" spans="1:7">
      <c r="A62" s="15">
        <v>57</v>
      </c>
      <c r="B62" s="15">
        <f>_xlfn.FLOOR.MATH(A62/10+0.9)*10</f>
        <v>60</v>
      </c>
      <c r="C62" s="15">
        <f ca="1">OFFSET(控制台!$C$1747,MATCH(B62,控制台!$B$1747:$B$1753,0)-2,0)*控制台!$E$1742</f>
        <v>3888000</v>
      </c>
      <c r="D62" s="15">
        <f ca="1">OFFSET(控制台!$C$1747,MATCH(B62,控制台!$B$1747:$B$1753,0)-1,0)*控制台!$E$1742</f>
        <v>10800000</v>
      </c>
      <c r="E62" s="15">
        <f t="shared" si="0"/>
        <v>0.7</v>
      </c>
      <c r="F62" s="16">
        <f ca="1">_xlfn.FLOOR.MATH(Lerp_dyy(C62,D62,E62),10)</f>
        <v>8726400</v>
      </c>
      <c r="G62" s="17">
        <f ca="1" t="shared" si="1"/>
        <v>84262850</v>
      </c>
    </row>
    <row r="63" s="15" customFormat="1" spans="1:7">
      <c r="A63" s="15">
        <v>58</v>
      </c>
      <c r="B63" s="15">
        <f>_xlfn.FLOOR.MATH(A63/10+0.9)*10</f>
        <v>60</v>
      </c>
      <c r="C63" s="15">
        <f ca="1">OFFSET(控制台!$C$1747,MATCH(B63,控制台!$B$1747:$B$1753,0)-2,0)*控制台!$E$1742</f>
        <v>3888000</v>
      </c>
      <c r="D63" s="15">
        <f ca="1">OFFSET(控制台!$C$1747,MATCH(B63,控制台!$B$1747:$B$1753,0)-1,0)*控制台!$E$1742</f>
        <v>10800000</v>
      </c>
      <c r="E63" s="15">
        <f t="shared" si="0"/>
        <v>0.8</v>
      </c>
      <c r="F63" s="16">
        <f ca="1">_xlfn.FLOOR.MATH(Lerp_dyy(C63,D63,E63),10)</f>
        <v>9417600</v>
      </c>
      <c r="G63" s="17">
        <f ca="1" t="shared" si="1"/>
        <v>93680450</v>
      </c>
    </row>
    <row r="64" s="15" customFormat="1" spans="1:7">
      <c r="A64" s="15">
        <v>59</v>
      </c>
      <c r="B64" s="15">
        <f>_xlfn.FLOOR.MATH(A64/10+0.9)*10</f>
        <v>60</v>
      </c>
      <c r="C64" s="15">
        <f ca="1">OFFSET(控制台!$C$1747,MATCH(B64,控制台!$B$1747:$B$1753,0)-2,0)*控制台!$E$1742</f>
        <v>3888000</v>
      </c>
      <c r="D64" s="15">
        <f ca="1">OFFSET(控制台!$C$1747,MATCH(B64,控制台!$B$1747:$B$1753,0)-1,0)*控制台!$E$1742</f>
        <v>10800000</v>
      </c>
      <c r="E64" s="15">
        <f t="shared" si="0"/>
        <v>0.9</v>
      </c>
      <c r="F64" s="16">
        <f ca="1">_xlfn.FLOOR.MATH(Lerp_dyy(C64,D64,E64),10)</f>
        <v>10108800</v>
      </c>
      <c r="G64" s="17">
        <f ca="1" t="shared" si="1"/>
        <v>103789250</v>
      </c>
    </row>
    <row r="65" s="15" customFormat="1" spans="1:7">
      <c r="A65" s="15">
        <v>60</v>
      </c>
      <c r="B65" s="15">
        <f>_xlfn.FLOOR.MATH(A65/10+0.9)*10</f>
        <v>60</v>
      </c>
      <c r="C65" s="15">
        <f ca="1">OFFSET(控制台!$C$1747,MATCH(B65,控制台!$B$1747:$B$1753,0)-2,0)*控制台!$E$1742</f>
        <v>3888000</v>
      </c>
      <c r="D65" s="15">
        <f ca="1">OFFSET(控制台!$C$1747,MATCH(B65,控制台!$B$1747:$B$1753,0)-1,0)*控制台!$E$1742</f>
        <v>10800000</v>
      </c>
      <c r="E65" s="15">
        <f t="shared" si="0"/>
        <v>1</v>
      </c>
      <c r="F65" s="16">
        <f ca="1">_xlfn.FLOOR.MATH(Lerp_dyy(C65,D65,E65),10)</f>
        <v>10800000</v>
      </c>
      <c r="G65" s="17">
        <f ca="1" t="shared" si="1"/>
        <v>114589250</v>
      </c>
    </row>
  </sheetData>
  <hyperlinks>
    <hyperlink ref="A1" location="控制台_114_军官等级" display="返回控制台_军官等级"/>
  </hyperlinks>
  <pageMargins left="0.699305555555556" right="0.699305555555556" top="0.75" bottom="0.75" header="0.3" footer="0.3"/>
  <pageSetup paperSize="9" orientation="portrait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6">
    <tabColor theme="9" tint="0.599993896298105"/>
  </sheetPr>
  <dimension ref="A1:K20"/>
  <sheetViews>
    <sheetView workbookViewId="0">
      <selection activeCell="B20" sqref="B20"/>
    </sheetView>
  </sheetViews>
  <sheetFormatPr defaultColWidth="8.70967741935484" defaultRowHeight="13.1"/>
  <cols>
    <col min="1" max="4" width="9.62903225806452" style="1" customWidth="1"/>
    <col min="5" max="16384" width="9.62903225806452" style="1"/>
  </cols>
  <sheetData>
    <row r="1" spans="1:11">
      <c r="A1" s="3" t="s">
        <v>2862</v>
      </c>
      <c r="E1" s="4"/>
      <c r="F1" s="5"/>
      <c r="G1" s="4"/>
      <c r="H1" s="5"/>
      <c r="K1" s="5"/>
    </row>
    <row r="2" spans="5:11">
      <c r="E2" s="4"/>
      <c r="F2" s="5"/>
      <c r="G2" s="4"/>
      <c r="H2" s="5"/>
      <c r="K2" s="5"/>
    </row>
    <row r="3" s="2" customFormat="1" spans="1:1">
      <c r="A3" s="2" t="s">
        <v>2846</v>
      </c>
    </row>
    <row r="4" spans="5:11">
      <c r="E4" s="4"/>
      <c r="F4" s="5"/>
      <c r="G4" s="4"/>
      <c r="H4" s="5"/>
      <c r="K4" s="5"/>
    </row>
    <row r="5" spans="1:4">
      <c r="A5" s="1" t="s">
        <v>62</v>
      </c>
      <c r="B5" s="4" t="s">
        <v>131</v>
      </c>
      <c r="C5" s="1" t="s">
        <v>1199</v>
      </c>
      <c r="D5" s="5" t="s">
        <v>2863</v>
      </c>
    </row>
    <row r="6" spans="1:4">
      <c r="A6" s="1">
        <v>1</v>
      </c>
      <c r="B6" s="4">
        <f>控制台!$E$1896*控制台!C1901</f>
        <v>0</v>
      </c>
      <c r="C6" s="1">
        <f>B6*控制台!$E$1892</f>
        <v>0</v>
      </c>
      <c r="D6" s="5">
        <f>C6</f>
        <v>0</v>
      </c>
    </row>
    <row r="7" spans="1:4">
      <c r="A7" s="1">
        <v>2</v>
      </c>
      <c r="B7" s="4">
        <f>控制台!$E$1896*控制台!C1902</f>
        <v>144000</v>
      </c>
      <c r="C7" s="1">
        <f>B7*控制台!$E$1892</f>
        <v>432000</v>
      </c>
      <c r="D7" s="5">
        <f>D6+C7</f>
        <v>432000</v>
      </c>
    </row>
    <row r="8" spans="1:4">
      <c r="A8" s="1">
        <v>3</v>
      </c>
      <c r="B8" s="4">
        <f>控制台!$E$1896*控制台!C1903</f>
        <v>165600</v>
      </c>
      <c r="C8" s="1">
        <f>B8*控制台!$E$1892</f>
        <v>496800</v>
      </c>
      <c r="D8" s="5">
        <f t="shared" ref="D8:D20" si="0">D7+C8</f>
        <v>928800</v>
      </c>
    </row>
    <row r="9" spans="1:4">
      <c r="A9" s="1">
        <v>4</v>
      </c>
      <c r="B9" s="4">
        <f>控制台!$E$1896*控制台!C1904</f>
        <v>216000</v>
      </c>
      <c r="C9" s="1">
        <f>B9*控制台!$E$1892</f>
        <v>648000</v>
      </c>
      <c r="D9" s="5">
        <f t="shared" si="0"/>
        <v>1576800</v>
      </c>
    </row>
    <row r="10" spans="1:4">
      <c r="A10" s="1">
        <v>5</v>
      </c>
      <c r="B10" s="4">
        <f>控制台!$E$1896*控制台!C1905</f>
        <v>432000</v>
      </c>
      <c r="C10" s="1">
        <f>B10*控制台!$E$1892</f>
        <v>1296000</v>
      </c>
      <c r="D10" s="5">
        <f t="shared" si="0"/>
        <v>2872800</v>
      </c>
    </row>
    <row r="11" spans="1:4">
      <c r="A11" s="1">
        <v>6</v>
      </c>
      <c r="B11" s="4">
        <f>控制台!$E$1896*控制台!C1906</f>
        <v>540000</v>
      </c>
      <c r="C11" s="1">
        <f>B11*控制台!$E$1892</f>
        <v>1620000</v>
      </c>
      <c r="D11" s="5">
        <f t="shared" si="0"/>
        <v>4492800</v>
      </c>
    </row>
    <row r="12" spans="1:4">
      <c r="A12" s="1">
        <v>7</v>
      </c>
      <c r="B12" s="4">
        <f>控制台!$E$1896*控制台!C1907</f>
        <v>720000</v>
      </c>
      <c r="C12" s="1">
        <f>B12*控制台!$E$1892</f>
        <v>2160000</v>
      </c>
      <c r="D12" s="5">
        <f t="shared" si="0"/>
        <v>6652800</v>
      </c>
    </row>
    <row r="13" spans="1:4">
      <c r="A13" s="1">
        <v>8</v>
      </c>
      <c r="B13" s="4">
        <f>控制台!$E$1896*控制台!C1908</f>
        <v>1008000</v>
      </c>
      <c r="C13" s="1">
        <f>B13*控制台!$E$1892</f>
        <v>3024000</v>
      </c>
      <c r="D13" s="5">
        <f t="shared" si="0"/>
        <v>9676800</v>
      </c>
    </row>
    <row r="14" spans="1:4">
      <c r="A14" s="1">
        <v>9</v>
      </c>
      <c r="B14" s="4">
        <f>控制台!$E$1896*控制台!C1909</f>
        <v>1440000</v>
      </c>
      <c r="C14" s="1">
        <f>B14*控制台!$E$1892</f>
        <v>4320000</v>
      </c>
      <c r="D14" s="5">
        <f t="shared" si="0"/>
        <v>13996800</v>
      </c>
    </row>
    <row r="15" spans="1:4">
      <c r="A15" s="1">
        <v>10</v>
      </c>
      <c r="B15" s="4">
        <f>控制台!$E$1896*控制台!C1910</f>
        <v>2160000</v>
      </c>
      <c r="C15" s="1">
        <f>B15*控制台!$E$1892</f>
        <v>6480000</v>
      </c>
      <c r="D15" s="5">
        <f t="shared" si="0"/>
        <v>20476800</v>
      </c>
    </row>
    <row r="16" spans="1:4">
      <c r="A16" s="1">
        <v>11</v>
      </c>
      <c r="B16" s="4">
        <f>控制台!$E$1896*控制台!C1911</f>
        <v>4320000</v>
      </c>
      <c r="C16" s="1">
        <f>B16*控制台!$E$1892</f>
        <v>12960000</v>
      </c>
      <c r="D16" s="5">
        <f t="shared" si="0"/>
        <v>33436800</v>
      </c>
    </row>
    <row r="17" spans="1:4">
      <c r="A17" s="1">
        <v>12</v>
      </c>
      <c r="B17" s="4">
        <f>控制台!$E$1896*控制台!C1912</f>
        <v>5040000</v>
      </c>
      <c r="C17" s="1">
        <f>B17*控制台!$E$1892</f>
        <v>15120000</v>
      </c>
      <c r="D17" s="5">
        <f t="shared" si="0"/>
        <v>48556800</v>
      </c>
    </row>
    <row r="18" spans="1:4">
      <c r="A18" s="1">
        <v>13</v>
      </c>
      <c r="B18" s="4">
        <f>控制台!$E$1896*控制台!C1913</f>
        <v>5760000</v>
      </c>
      <c r="C18" s="1">
        <f>B18*控制台!$E$1892</f>
        <v>17280000</v>
      </c>
      <c r="D18" s="5">
        <f t="shared" si="0"/>
        <v>65836800</v>
      </c>
    </row>
    <row r="19" spans="1:4">
      <c r="A19" s="1">
        <v>14</v>
      </c>
      <c r="B19" s="4">
        <f>控制台!$E$1896*控制台!C1914</f>
        <v>6480000</v>
      </c>
      <c r="C19" s="1">
        <f>B19*控制台!$E$1892</f>
        <v>19440000</v>
      </c>
      <c r="D19" s="5">
        <f t="shared" si="0"/>
        <v>85276800</v>
      </c>
    </row>
    <row r="20" spans="1:4">
      <c r="A20" s="1">
        <v>15</v>
      </c>
      <c r="B20" s="4">
        <f>控制台!$E$1896*控制台!C1915</f>
        <v>7200000</v>
      </c>
      <c r="C20" s="1">
        <f>B20*控制台!$E$1892</f>
        <v>21600000</v>
      </c>
      <c r="D20" s="5">
        <f t="shared" si="0"/>
        <v>106876800</v>
      </c>
    </row>
  </sheetData>
  <hyperlinks>
    <hyperlink ref="A1" location="控制台_116_阵营声望" display="返回控制台_阵营声望"/>
  </hyperlinks>
  <pageMargins left="0.699305555555556" right="0.699305555555556" top="0.75" bottom="0.75" header="0.3" footer="0.3"/>
  <pageSetup paperSize="9" orientation="portrait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5">
    <tabColor theme="9" tint="0.599993896298105"/>
  </sheetPr>
  <dimension ref="A1:V128"/>
  <sheetViews>
    <sheetView zoomScale="85" zoomScaleNormal="85" workbookViewId="0">
      <selection activeCell="M41" sqref="M41"/>
    </sheetView>
  </sheetViews>
  <sheetFormatPr defaultColWidth="8.70967741935484" defaultRowHeight="13.1"/>
  <cols>
    <col min="1" max="1" width="10.6290322580645" style="1"/>
    <col min="2" max="3" width="9.25" style="1" customWidth="1"/>
    <col min="4" max="4" width="11.25" style="1" customWidth="1"/>
    <col min="5" max="5" width="9.25" style="1" customWidth="1"/>
    <col min="6" max="6" width="5.5" style="1" customWidth="1"/>
    <col min="7" max="7" width="11.25" style="1" customWidth="1"/>
    <col min="8" max="10" width="9.62903225806452" style="1" customWidth="1"/>
    <col min="11" max="11" width="11.25" style="1" customWidth="1"/>
    <col min="12" max="12" width="33.6290322580645" style="1" customWidth="1"/>
    <col min="13" max="13" width="13.25" style="1" customWidth="1"/>
    <col min="14" max="14" width="9.62903225806452" style="1" customWidth="1"/>
    <col min="15" max="15" width="7.37903225806452" style="1" customWidth="1"/>
    <col min="16" max="16" width="10.1290322580645" style="1" customWidth="1"/>
    <col min="17" max="17" width="13.25" style="1" customWidth="1"/>
    <col min="18" max="18" width="11.25" style="1" customWidth="1"/>
    <col min="19" max="19" width="9.25" style="1" customWidth="1"/>
    <col min="20" max="20" width="9.62903225806452" style="1" customWidth="1"/>
    <col min="21" max="22" width="9.25" style="1" customWidth="1"/>
    <col min="23" max="16384" width="10.6290322580645" style="1"/>
  </cols>
  <sheetData>
    <row r="1" spans="1:6">
      <c r="A1" s="3" t="s">
        <v>2864</v>
      </c>
      <c r="E1" s="4"/>
      <c r="F1" s="5"/>
    </row>
    <row r="2" spans="5:6">
      <c r="E2" s="4"/>
      <c r="F2" s="5"/>
    </row>
    <row r="3" s="2" customFormat="1" spans="1:1">
      <c r="A3" s="2" t="s">
        <v>2762</v>
      </c>
    </row>
    <row r="4" spans="5:6">
      <c r="E4" s="4"/>
      <c r="F4" s="5"/>
    </row>
    <row r="5" spans="1:22">
      <c r="A5" s="1" t="s">
        <v>879</v>
      </c>
      <c r="B5" s="1" t="s">
        <v>2763</v>
      </c>
      <c r="C5" s="1" t="s">
        <v>2419</v>
      </c>
      <c r="D5" s="1" t="s">
        <v>2764</v>
      </c>
      <c r="E5" s="1" t="s">
        <v>2765</v>
      </c>
      <c r="F5" s="1" t="s">
        <v>880</v>
      </c>
      <c r="G5" s="1" t="s">
        <v>2865</v>
      </c>
      <c r="H5" s="1" t="s">
        <v>2866</v>
      </c>
      <c r="I5" s="1" t="s">
        <v>2867</v>
      </c>
      <c r="J5" s="1" t="s">
        <v>2868</v>
      </c>
      <c r="K5" s="1" t="s">
        <v>2869</v>
      </c>
      <c r="L5" s="4" t="s">
        <v>2672</v>
      </c>
      <c r="M5" s="1" t="s">
        <v>2769</v>
      </c>
      <c r="N5" s="4" t="s">
        <v>2870</v>
      </c>
      <c r="O5" s="1" t="s">
        <v>779</v>
      </c>
      <c r="P5" s="1" t="s">
        <v>2771</v>
      </c>
      <c r="Q5" s="5" t="s">
        <v>2772</v>
      </c>
      <c r="R5" s="1" t="s">
        <v>2871</v>
      </c>
      <c r="S5" s="1" t="s">
        <v>2872</v>
      </c>
      <c r="T5" s="1" t="s">
        <v>2873</v>
      </c>
      <c r="U5" s="4" t="s">
        <v>2773</v>
      </c>
      <c r="V5" s="4" t="s">
        <v>2774</v>
      </c>
    </row>
    <row r="6" spans="1:22">
      <c r="A6" s="1">
        <v>30102</v>
      </c>
      <c r="B6" s="1">
        <v>1</v>
      </c>
      <c r="C6" s="1">
        <v>3</v>
      </c>
      <c r="D6" s="1" t="s">
        <v>1288</v>
      </c>
      <c r="E6" s="1">
        <f ca="1">OFFSET(控制台!$F$2315,MATCH(A6,控制台!$B$2315:$B$2331,0)-1,0)</f>
        <v>5</v>
      </c>
      <c r="F6" s="1">
        <f ca="1">OFFSET(控制台!$D$2315,MATCH(A6,控制台!$B$2315:$B$2331,0)-1,0)</f>
        <v>1</v>
      </c>
      <c r="G6" s="1">
        <f ca="1">OFFSET(控制台!$G$2315,MATCH(A6,控制台!$B$2315:$B$2331,0)-1,0)+(B6-1)*OFFSET(控制台!$H$2315,MATCH(A6,控制台!$B$2315:$B$2331,0)-1,0)</f>
        <v>10</v>
      </c>
      <c r="H6" s="1">
        <f ca="1">OFFSET(控制台!$Q$2315,MATCH(A6,控制台!$B$2315:$B$2331,0)-1,0)+(B6-1)*OFFSET(控制台!$R$2315,MATCH(A6,控制台!$B$2315:$B$2331,0)-1,0)</f>
        <v>10000</v>
      </c>
      <c r="I6" s="1">
        <f ca="1">H6*控制台!$I$102</f>
        <v>7500</v>
      </c>
      <c r="J6" s="1">
        <f ca="1">H6*控制台!$J$102</f>
        <v>12500</v>
      </c>
      <c r="K6" s="1">
        <f ca="1">SUM(H6:J6)</f>
        <v>30000</v>
      </c>
      <c r="L6" s="4" t="str">
        <f ca="1">CONCATENATE(G6,";",H6,";",I6,";",J6)</f>
        <v>10;10000;7500;12500</v>
      </c>
      <c r="M6" s="1">
        <f ca="1">OFFSET(控制台!$K$2315,MATCH(A6,控制台!$B$2315:$B$2331,0)-1,0)+(B6-1)*OFFSET(控制台!$L$2315,MATCH(A6,控制台!$B$2315:$B$2331,0)-1,0)</f>
        <v>60</v>
      </c>
      <c r="N6" s="4">
        <f ca="1">M6*60</f>
        <v>3600</v>
      </c>
      <c r="O6" s="14">
        <f ca="1">OFFSET(控制台!$G$2224,MATCH(F6,控制台!$C$2224:$C$2295,0)-1,0)</f>
        <v>0.48</v>
      </c>
      <c r="P6" s="19">
        <f ca="1">M6/(1+O6)</f>
        <v>40.5405405405405</v>
      </c>
      <c r="Q6" s="20">
        <f ca="1">P6/1440</f>
        <v>0.0281531531531532</v>
      </c>
      <c r="R6" s="21">
        <f ca="1">G6*总规划!$G$117</f>
        <v>0.5</v>
      </c>
      <c r="S6" s="21">
        <f ca="1">K6/1000000*总规划!$G$105</f>
        <v>0.0125</v>
      </c>
      <c r="T6" s="21">
        <f ca="1">P6/1440*总规划!$G$106</f>
        <v>0.0439893018018018</v>
      </c>
      <c r="U6" s="22">
        <f ca="1">_xlfn.FLOOR.MATH(R6*控制台!$E$2216+S6*控制台!$E$182+T6*控制台!$E$183)</f>
        <v>616</v>
      </c>
      <c r="V6" s="4">
        <f ca="1">IF(B6=1,U6,V5+U6)</f>
        <v>616</v>
      </c>
    </row>
    <row r="7" spans="1:22">
      <c r="A7" s="1">
        <v>30102</v>
      </c>
      <c r="B7" s="1">
        <v>2</v>
      </c>
      <c r="C7" s="1">
        <v>3</v>
      </c>
      <c r="D7" s="1" t="s">
        <v>1288</v>
      </c>
      <c r="E7" s="1">
        <f ca="1">OFFSET(控制台!$F$2315,MATCH(A7,控制台!$B$2315:$B$2331,0)-1,0)</f>
        <v>5</v>
      </c>
      <c r="F7" s="1">
        <f ca="1">OFFSET(控制台!$D$2315,MATCH(A7,控制台!$B$2315:$B$2331,0)-1,0)</f>
        <v>1</v>
      </c>
      <c r="G7" s="1">
        <f ca="1">OFFSET(控制台!$G$2315,MATCH(A7,控制台!$B$2315:$B$2331,0)-1,0)+(B7-1)*OFFSET(控制台!$H$2315,MATCH(A7,控制台!$B$2315:$B$2331,0)-1,0)</f>
        <v>20</v>
      </c>
      <c r="H7" s="1">
        <f ca="1">OFFSET(控制台!$Q$2315,MATCH(A7,控制台!$B$2315:$B$2331,0)-1,0)+(B7-1)*OFFSET(控制台!$R$2315,MATCH(A7,控制台!$B$2315:$B$2331,0)-1,0)</f>
        <v>20000</v>
      </c>
      <c r="I7" s="1">
        <f ca="1">H7*控制台!$I$102</f>
        <v>15000</v>
      </c>
      <c r="J7" s="1">
        <f ca="1">H7*控制台!$J$102</f>
        <v>25000</v>
      </c>
      <c r="K7" s="1">
        <f ca="1" t="shared" ref="K7:K60" si="0">SUM(H7:J7)</f>
        <v>60000</v>
      </c>
      <c r="L7" s="4" t="str">
        <f ca="1" t="shared" ref="L7:L60" si="1">CONCATENATE(G7,";",H7,";",I7,";",J7)</f>
        <v>20;20000;15000;25000</v>
      </c>
      <c r="M7" s="1">
        <f ca="1">OFFSET(控制台!$K$2315,MATCH(A7,控制台!$B$2315:$B$2331,0)-1,0)+(B7-1)*OFFSET(控制台!$L$2315,MATCH(A7,控制台!$B$2315:$B$2331,0)-1,0)</f>
        <v>120</v>
      </c>
      <c r="N7" s="4">
        <f ca="1" t="shared" ref="N7:N60" si="2">M7*60</f>
        <v>7200</v>
      </c>
      <c r="O7" s="14">
        <f ca="1">OFFSET(控制台!$G$2224,MATCH(F7,控制台!$C$2224:$C$2295,0)-1,0)</f>
        <v>0.48</v>
      </c>
      <c r="P7" s="19">
        <f ca="1" t="shared" ref="P7:P60" si="3">M7/(1+O7)</f>
        <v>81.0810810810811</v>
      </c>
      <c r="Q7" s="20">
        <f ca="1" t="shared" ref="Q7:Q60" si="4">P7/1440</f>
        <v>0.0563063063063063</v>
      </c>
      <c r="R7" s="21">
        <f ca="1">G7*总规划!$G$117</f>
        <v>1</v>
      </c>
      <c r="S7" s="21">
        <f ca="1">K7/1000000*总规划!$G$105</f>
        <v>0.025</v>
      </c>
      <c r="T7" s="21">
        <f ca="1">P7/1440*总规划!$G$106</f>
        <v>0.0879786036036036</v>
      </c>
      <c r="U7" s="22">
        <f ca="1">_xlfn.FLOOR.MATH(R7*控制台!$E$2216+S7*控制台!$E$182+T7*控制台!$E$183)</f>
        <v>1232</v>
      </c>
      <c r="V7" s="4">
        <f ca="1" t="shared" ref="V7:V60" si="5">IF(B7=1,U7,V6+U7)</f>
        <v>1848</v>
      </c>
    </row>
    <row r="8" spans="1:22">
      <c r="A8" s="1">
        <v>30102</v>
      </c>
      <c r="B8" s="1">
        <v>3</v>
      </c>
      <c r="C8" s="1">
        <v>3</v>
      </c>
      <c r="D8" s="1" t="s">
        <v>1288</v>
      </c>
      <c r="E8" s="1">
        <f ca="1">OFFSET(控制台!$F$2315,MATCH(A8,控制台!$B$2315:$B$2331,0)-1,0)</f>
        <v>5</v>
      </c>
      <c r="F8" s="1">
        <f ca="1">OFFSET(控制台!$D$2315,MATCH(A8,控制台!$B$2315:$B$2331,0)-1,0)</f>
        <v>1</v>
      </c>
      <c r="G8" s="1">
        <f ca="1">OFFSET(控制台!$G$2315,MATCH(A8,控制台!$B$2315:$B$2331,0)-1,0)+(B8-1)*OFFSET(控制台!$H$2315,MATCH(A8,控制台!$B$2315:$B$2331,0)-1,0)</f>
        <v>30</v>
      </c>
      <c r="H8" s="1">
        <f ca="1">OFFSET(控制台!$Q$2315,MATCH(A8,控制台!$B$2315:$B$2331,0)-1,0)+(B8-1)*OFFSET(控制台!$R$2315,MATCH(A8,控制台!$B$2315:$B$2331,0)-1,0)</f>
        <v>30000</v>
      </c>
      <c r="I8" s="1">
        <f ca="1">H8*控制台!$I$102</f>
        <v>22500</v>
      </c>
      <c r="J8" s="1">
        <f ca="1">H8*控制台!$J$102</f>
        <v>37500</v>
      </c>
      <c r="K8" s="1">
        <f ca="1" t="shared" si="0"/>
        <v>90000</v>
      </c>
      <c r="L8" s="4" t="str">
        <f ca="1" t="shared" si="1"/>
        <v>30;30000;22500;37500</v>
      </c>
      <c r="M8" s="1">
        <f ca="1">OFFSET(控制台!$K$2315,MATCH(A8,控制台!$B$2315:$B$2331,0)-1,0)+(B8-1)*OFFSET(控制台!$L$2315,MATCH(A8,控制台!$B$2315:$B$2331,0)-1,0)</f>
        <v>180</v>
      </c>
      <c r="N8" s="4">
        <f ca="1" t="shared" si="2"/>
        <v>10800</v>
      </c>
      <c r="O8" s="14">
        <f ca="1">OFFSET(控制台!$G$2224,MATCH(F8,控制台!$C$2224:$C$2295,0)-1,0)</f>
        <v>0.48</v>
      </c>
      <c r="P8" s="19">
        <f ca="1" t="shared" si="3"/>
        <v>121.621621621622</v>
      </c>
      <c r="Q8" s="20">
        <f ca="1" t="shared" si="4"/>
        <v>0.0844594594594595</v>
      </c>
      <c r="R8" s="21">
        <f ca="1">G8*总规划!$G$117</f>
        <v>1.5</v>
      </c>
      <c r="S8" s="21">
        <f ca="1">K8/1000000*总规划!$G$105</f>
        <v>0.0375</v>
      </c>
      <c r="T8" s="21">
        <f ca="1">P8/1440*总规划!$G$106</f>
        <v>0.131967905405405</v>
      </c>
      <c r="U8" s="22">
        <f ca="1">_xlfn.FLOOR.MATH(R8*控制台!$E$2216+S8*控制台!$E$182+T8*控制台!$E$183)</f>
        <v>1848</v>
      </c>
      <c r="V8" s="4">
        <f ca="1" t="shared" si="5"/>
        <v>3696</v>
      </c>
    </row>
    <row r="9" spans="1:22">
      <c r="A9" s="1">
        <v>30102</v>
      </c>
      <c r="B9" s="1">
        <v>4</v>
      </c>
      <c r="C9" s="1">
        <v>3</v>
      </c>
      <c r="D9" s="1" t="s">
        <v>1288</v>
      </c>
      <c r="E9" s="1">
        <f ca="1">OFFSET(控制台!$F$2315,MATCH(A9,控制台!$B$2315:$B$2331,0)-1,0)</f>
        <v>5</v>
      </c>
      <c r="F9" s="1">
        <f ca="1">OFFSET(控制台!$D$2315,MATCH(A9,控制台!$B$2315:$B$2331,0)-1,0)</f>
        <v>1</v>
      </c>
      <c r="G9" s="1">
        <f ca="1">OFFSET(控制台!$G$2315,MATCH(A9,控制台!$B$2315:$B$2331,0)-1,0)+(B9-1)*OFFSET(控制台!$H$2315,MATCH(A9,控制台!$B$2315:$B$2331,0)-1,0)</f>
        <v>40</v>
      </c>
      <c r="H9" s="1">
        <f ca="1">OFFSET(控制台!$Q$2315,MATCH(A9,控制台!$B$2315:$B$2331,0)-1,0)+(B9-1)*OFFSET(控制台!$R$2315,MATCH(A9,控制台!$B$2315:$B$2331,0)-1,0)</f>
        <v>40000</v>
      </c>
      <c r="I9" s="1">
        <f ca="1">H9*控制台!$I$102</f>
        <v>30000</v>
      </c>
      <c r="J9" s="1">
        <f ca="1">H9*控制台!$J$102</f>
        <v>50000</v>
      </c>
      <c r="K9" s="1">
        <f ca="1" t="shared" si="0"/>
        <v>120000</v>
      </c>
      <c r="L9" s="4" t="str">
        <f ca="1" t="shared" si="1"/>
        <v>40;40000;30000;50000</v>
      </c>
      <c r="M9" s="1">
        <f ca="1">OFFSET(控制台!$K$2315,MATCH(A9,控制台!$B$2315:$B$2331,0)-1,0)+(B9-1)*OFFSET(控制台!$L$2315,MATCH(A9,控制台!$B$2315:$B$2331,0)-1,0)</f>
        <v>240</v>
      </c>
      <c r="N9" s="4">
        <f ca="1" t="shared" si="2"/>
        <v>14400</v>
      </c>
      <c r="O9" s="14">
        <f ca="1">OFFSET(控制台!$G$2224,MATCH(F9,控制台!$C$2224:$C$2295,0)-1,0)</f>
        <v>0.48</v>
      </c>
      <c r="P9" s="19">
        <f ca="1" t="shared" si="3"/>
        <v>162.162162162162</v>
      </c>
      <c r="Q9" s="20">
        <f ca="1" t="shared" si="4"/>
        <v>0.112612612612613</v>
      </c>
      <c r="R9" s="21">
        <f ca="1">G9*总规划!$G$117</f>
        <v>2</v>
      </c>
      <c r="S9" s="21">
        <f ca="1">K9/1000000*总规划!$G$105</f>
        <v>0.05</v>
      </c>
      <c r="T9" s="21">
        <f ca="1">P9/1440*总规划!$G$106</f>
        <v>0.175957207207207</v>
      </c>
      <c r="U9" s="22">
        <f ca="1">_xlfn.FLOOR.MATH(R9*控制台!$E$2216+S9*控制台!$E$182+T9*控制台!$E$183)</f>
        <v>2464</v>
      </c>
      <c r="V9" s="4">
        <f ca="1" t="shared" si="5"/>
        <v>6160</v>
      </c>
    </row>
    <row r="10" spans="1:22">
      <c r="A10" s="1">
        <v>30102</v>
      </c>
      <c r="B10" s="1">
        <v>5</v>
      </c>
      <c r="C10" s="1">
        <v>3</v>
      </c>
      <c r="D10" s="1" t="s">
        <v>1288</v>
      </c>
      <c r="E10" s="1">
        <f ca="1">OFFSET(控制台!$F$2315,MATCH(A10,控制台!$B$2315:$B$2331,0)-1,0)</f>
        <v>5</v>
      </c>
      <c r="F10" s="1">
        <f ca="1">OFFSET(控制台!$D$2315,MATCH(A10,控制台!$B$2315:$B$2331,0)-1,0)</f>
        <v>1</v>
      </c>
      <c r="G10" s="1">
        <f ca="1">OFFSET(控制台!$G$2315,MATCH(A10,控制台!$B$2315:$B$2331,0)-1,0)+(B10-1)*OFFSET(控制台!$H$2315,MATCH(A10,控制台!$B$2315:$B$2331,0)-1,0)</f>
        <v>50</v>
      </c>
      <c r="H10" s="1">
        <f ca="1">OFFSET(控制台!$Q$2315,MATCH(A10,控制台!$B$2315:$B$2331,0)-1,0)+(B10-1)*OFFSET(控制台!$R$2315,MATCH(A10,控制台!$B$2315:$B$2331,0)-1,0)</f>
        <v>50000</v>
      </c>
      <c r="I10" s="1">
        <f ca="1">H10*控制台!$I$102</f>
        <v>37500</v>
      </c>
      <c r="J10" s="1">
        <f ca="1">H10*控制台!$J$102</f>
        <v>62500</v>
      </c>
      <c r="K10" s="1">
        <f ca="1" t="shared" si="0"/>
        <v>150000</v>
      </c>
      <c r="L10" s="4" t="str">
        <f ca="1" t="shared" si="1"/>
        <v>50;50000;37500;62500</v>
      </c>
      <c r="M10" s="1">
        <f ca="1">OFFSET(控制台!$K$2315,MATCH(A10,控制台!$B$2315:$B$2331,0)-1,0)+(B10-1)*OFFSET(控制台!$L$2315,MATCH(A10,控制台!$B$2315:$B$2331,0)-1,0)</f>
        <v>300</v>
      </c>
      <c r="N10" s="4">
        <f ca="1" t="shared" si="2"/>
        <v>18000</v>
      </c>
      <c r="O10" s="14">
        <f ca="1">OFFSET(控制台!$G$2224,MATCH(F10,控制台!$C$2224:$C$2295,0)-1,0)</f>
        <v>0.48</v>
      </c>
      <c r="P10" s="19">
        <f ca="1" t="shared" si="3"/>
        <v>202.702702702703</v>
      </c>
      <c r="Q10" s="20">
        <f ca="1" t="shared" si="4"/>
        <v>0.140765765765766</v>
      </c>
      <c r="R10" s="21">
        <f ca="1">G10*总规划!$G$117</f>
        <v>2.5</v>
      </c>
      <c r="S10" s="21">
        <f ca="1">K10/1000000*总规划!$G$105</f>
        <v>0.0625000000000001</v>
      </c>
      <c r="T10" s="21">
        <f ca="1">P10/1440*总规划!$G$106</f>
        <v>0.219946509009009</v>
      </c>
      <c r="U10" s="22">
        <f ca="1">_xlfn.FLOOR.MATH(R10*控制台!$E$2216+S10*控制台!$E$182+T10*控制台!$E$183)</f>
        <v>3081</v>
      </c>
      <c r="V10" s="4">
        <f ca="1" t="shared" si="5"/>
        <v>9241</v>
      </c>
    </row>
    <row r="11" spans="1:22">
      <c r="A11" s="1">
        <v>30201</v>
      </c>
      <c r="B11" s="1">
        <v>1</v>
      </c>
      <c r="C11" s="1">
        <v>3</v>
      </c>
      <c r="D11" s="1" t="s">
        <v>1289</v>
      </c>
      <c r="E11" s="1">
        <f ca="1">OFFSET(控制台!$F$2315,MATCH(A11,控制台!$B$2315:$B$2331,0)-1,0)</f>
        <v>5</v>
      </c>
      <c r="F11" s="1">
        <f ca="1">OFFSET(控制台!$D$2315,MATCH(A11,控制台!$B$2315:$B$2331,0)-1,0)</f>
        <v>2</v>
      </c>
      <c r="G11" s="1">
        <f ca="1">OFFSET(控制台!$G$2315,MATCH(A11,控制台!$B$2315:$B$2331,0)-1,0)+(B11-1)*OFFSET(控制台!$H$2315,MATCH(A11,控制台!$B$2315:$B$2331,0)-1,0)</f>
        <v>10</v>
      </c>
      <c r="H11" s="1">
        <f ca="1">OFFSET(控制台!$Q$2315,MATCH(A11,控制台!$B$2315:$B$2331,0)-1,0)+(B11-1)*OFFSET(控制台!$R$2315,MATCH(A11,控制台!$B$2315:$B$2331,0)-1,0)</f>
        <v>10000</v>
      </c>
      <c r="I11" s="1">
        <f ca="1">H11*控制台!$I$102</f>
        <v>7500</v>
      </c>
      <c r="J11" s="1">
        <f ca="1">H11*控制台!$J$102</f>
        <v>12500</v>
      </c>
      <c r="K11" s="1">
        <f ca="1" t="shared" si="0"/>
        <v>30000</v>
      </c>
      <c r="L11" s="4" t="str">
        <f ca="1" t="shared" si="1"/>
        <v>10;10000;7500;12500</v>
      </c>
      <c r="M11" s="1">
        <f ca="1">OFFSET(控制台!$K$2315,MATCH(A11,控制台!$B$2315:$B$2331,0)-1,0)+(B11-1)*OFFSET(控制台!$L$2315,MATCH(A11,控制台!$B$2315:$B$2331,0)-1,0)</f>
        <v>120</v>
      </c>
      <c r="N11" s="4">
        <f ca="1" t="shared" si="2"/>
        <v>7200</v>
      </c>
      <c r="O11" s="14">
        <f ca="1">OFFSET(控制台!$G$2224,MATCH(F11,控制台!$C$2224:$C$2295,0)-1,0)</f>
        <v>0.48</v>
      </c>
      <c r="P11" s="19">
        <f ca="1" t="shared" si="3"/>
        <v>81.0810810810811</v>
      </c>
      <c r="Q11" s="20">
        <f ca="1" t="shared" si="4"/>
        <v>0.0563063063063063</v>
      </c>
      <c r="R11" s="21">
        <f ca="1">G11*总规划!$G$117</f>
        <v>0.5</v>
      </c>
      <c r="S11" s="21">
        <f ca="1">K11/1000000*总规划!$G$105</f>
        <v>0.0125</v>
      </c>
      <c r="T11" s="21">
        <f ca="1">P11/1440*总规划!$G$106</f>
        <v>0.0879786036036036</v>
      </c>
      <c r="U11" s="22">
        <f ca="1">_xlfn.FLOOR.MATH(R11*控制台!$E$2216+S11*控制台!$E$182+T11*控制台!$E$183)</f>
        <v>726</v>
      </c>
      <c r="V11" s="4">
        <f ca="1" t="shared" si="5"/>
        <v>726</v>
      </c>
    </row>
    <row r="12" spans="1:22">
      <c r="A12" s="1">
        <v>30201</v>
      </c>
      <c r="B12" s="1">
        <v>2</v>
      </c>
      <c r="C12" s="1">
        <v>3</v>
      </c>
      <c r="D12" s="1" t="s">
        <v>1289</v>
      </c>
      <c r="E12" s="1">
        <f ca="1">OFFSET(控制台!$F$2315,MATCH(A12,控制台!$B$2315:$B$2331,0)-1,0)</f>
        <v>5</v>
      </c>
      <c r="F12" s="1">
        <f ca="1">OFFSET(控制台!$D$2315,MATCH(A12,控制台!$B$2315:$B$2331,0)-1,0)</f>
        <v>2</v>
      </c>
      <c r="G12" s="1">
        <f ca="1">OFFSET(控制台!$G$2315,MATCH(A12,控制台!$B$2315:$B$2331,0)-1,0)+(B12-1)*OFFSET(控制台!$H$2315,MATCH(A12,控制台!$B$2315:$B$2331,0)-1,0)</f>
        <v>20</v>
      </c>
      <c r="H12" s="1">
        <f ca="1">OFFSET(控制台!$Q$2315,MATCH(A12,控制台!$B$2315:$B$2331,0)-1,0)+(B12-1)*OFFSET(控制台!$R$2315,MATCH(A12,控制台!$B$2315:$B$2331,0)-1,0)</f>
        <v>20000</v>
      </c>
      <c r="I12" s="1">
        <f ca="1">H12*控制台!$I$102</f>
        <v>15000</v>
      </c>
      <c r="J12" s="1">
        <f ca="1">H12*控制台!$J$102</f>
        <v>25000</v>
      </c>
      <c r="K12" s="1">
        <f ca="1" t="shared" si="0"/>
        <v>60000</v>
      </c>
      <c r="L12" s="4" t="str">
        <f ca="1" t="shared" si="1"/>
        <v>20;20000;15000;25000</v>
      </c>
      <c r="M12" s="1">
        <f ca="1">OFFSET(控制台!$K$2315,MATCH(A12,控制台!$B$2315:$B$2331,0)-1,0)+(B12-1)*OFFSET(控制台!$L$2315,MATCH(A12,控制台!$B$2315:$B$2331,0)-1,0)</f>
        <v>240</v>
      </c>
      <c r="N12" s="4">
        <f ca="1" t="shared" si="2"/>
        <v>14400</v>
      </c>
      <c r="O12" s="14">
        <f ca="1">OFFSET(控制台!$G$2224,MATCH(F12,控制台!$C$2224:$C$2295,0)-1,0)</f>
        <v>0.48</v>
      </c>
      <c r="P12" s="19">
        <f ca="1" t="shared" si="3"/>
        <v>162.162162162162</v>
      </c>
      <c r="Q12" s="20">
        <f ca="1" t="shared" si="4"/>
        <v>0.112612612612613</v>
      </c>
      <c r="R12" s="21">
        <f ca="1">G12*总规划!$G$117</f>
        <v>1</v>
      </c>
      <c r="S12" s="21">
        <f ca="1">K12/1000000*总规划!$G$105</f>
        <v>0.025</v>
      </c>
      <c r="T12" s="21">
        <f ca="1">P12/1440*总规划!$G$106</f>
        <v>0.175957207207207</v>
      </c>
      <c r="U12" s="22">
        <f ca="1">_xlfn.FLOOR.MATH(R12*控制台!$E$2216+S12*控制台!$E$182+T12*控制台!$E$183)</f>
        <v>1452</v>
      </c>
      <c r="V12" s="4">
        <f ca="1" t="shared" si="5"/>
        <v>2178</v>
      </c>
    </row>
    <row r="13" spans="1:22">
      <c r="A13" s="1">
        <v>30201</v>
      </c>
      <c r="B13" s="1">
        <v>3</v>
      </c>
      <c r="C13" s="1">
        <v>3</v>
      </c>
      <c r="D13" s="1" t="s">
        <v>1289</v>
      </c>
      <c r="E13" s="1">
        <f ca="1">OFFSET(控制台!$F$2315,MATCH(A13,控制台!$B$2315:$B$2331,0)-1,0)</f>
        <v>5</v>
      </c>
      <c r="F13" s="1">
        <f ca="1">OFFSET(控制台!$D$2315,MATCH(A13,控制台!$B$2315:$B$2331,0)-1,0)</f>
        <v>2</v>
      </c>
      <c r="G13" s="1">
        <f ca="1">OFFSET(控制台!$G$2315,MATCH(A13,控制台!$B$2315:$B$2331,0)-1,0)+(B13-1)*OFFSET(控制台!$H$2315,MATCH(A13,控制台!$B$2315:$B$2331,0)-1,0)</f>
        <v>30</v>
      </c>
      <c r="H13" s="1">
        <f ca="1">OFFSET(控制台!$Q$2315,MATCH(A13,控制台!$B$2315:$B$2331,0)-1,0)+(B13-1)*OFFSET(控制台!$R$2315,MATCH(A13,控制台!$B$2315:$B$2331,0)-1,0)</f>
        <v>30000</v>
      </c>
      <c r="I13" s="1">
        <f ca="1">H13*控制台!$I$102</f>
        <v>22500</v>
      </c>
      <c r="J13" s="1">
        <f ca="1">H13*控制台!$J$102</f>
        <v>37500</v>
      </c>
      <c r="K13" s="1">
        <f ca="1" t="shared" si="0"/>
        <v>90000</v>
      </c>
      <c r="L13" s="4" t="str">
        <f ca="1" t="shared" si="1"/>
        <v>30;30000;22500;37500</v>
      </c>
      <c r="M13" s="1">
        <f ca="1">OFFSET(控制台!$K$2315,MATCH(A13,控制台!$B$2315:$B$2331,0)-1,0)+(B13-1)*OFFSET(控制台!$L$2315,MATCH(A13,控制台!$B$2315:$B$2331,0)-1,0)</f>
        <v>360</v>
      </c>
      <c r="N13" s="4">
        <f ca="1" t="shared" si="2"/>
        <v>21600</v>
      </c>
      <c r="O13" s="14">
        <f ca="1">OFFSET(控制台!$G$2224,MATCH(F13,控制台!$C$2224:$C$2295,0)-1,0)</f>
        <v>0.48</v>
      </c>
      <c r="P13" s="19">
        <f ca="1" t="shared" si="3"/>
        <v>243.243243243243</v>
      </c>
      <c r="Q13" s="20">
        <f ca="1" t="shared" si="4"/>
        <v>0.168918918918919</v>
      </c>
      <c r="R13" s="21">
        <f ca="1">G13*总规划!$G$117</f>
        <v>1.5</v>
      </c>
      <c r="S13" s="21">
        <f ca="1">K13/1000000*总规划!$G$105</f>
        <v>0.0375</v>
      </c>
      <c r="T13" s="21">
        <f ca="1">P13/1440*总规划!$G$106</f>
        <v>0.263935810810811</v>
      </c>
      <c r="U13" s="22">
        <f ca="1">_xlfn.FLOOR.MATH(R13*控制台!$E$2216+S13*控制台!$E$182+T13*控制台!$E$183)</f>
        <v>2178</v>
      </c>
      <c r="V13" s="4">
        <f ca="1" t="shared" si="5"/>
        <v>4356</v>
      </c>
    </row>
    <row r="14" spans="1:22">
      <c r="A14" s="1">
        <v>30201</v>
      </c>
      <c r="B14" s="1">
        <v>4</v>
      </c>
      <c r="C14" s="1">
        <v>3</v>
      </c>
      <c r="D14" s="1" t="s">
        <v>1289</v>
      </c>
      <c r="E14" s="1">
        <f ca="1">OFFSET(控制台!$F$2315,MATCH(A14,控制台!$B$2315:$B$2331,0)-1,0)</f>
        <v>5</v>
      </c>
      <c r="F14" s="1">
        <f ca="1">OFFSET(控制台!$D$2315,MATCH(A14,控制台!$B$2315:$B$2331,0)-1,0)</f>
        <v>2</v>
      </c>
      <c r="G14" s="1">
        <f ca="1">OFFSET(控制台!$G$2315,MATCH(A14,控制台!$B$2315:$B$2331,0)-1,0)+(B14-1)*OFFSET(控制台!$H$2315,MATCH(A14,控制台!$B$2315:$B$2331,0)-1,0)</f>
        <v>40</v>
      </c>
      <c r="H14" s="1">
        <f ca="1">OFFSET(控制台!$Q$2315,MATCH(A14,控制台!$B$2315:$B$2331,0)-1,0)+(B14-1)*OFFSET(控制台!$R$2315,MATCH(A14,控制台!$B$2315:$B$2331,0)-1,0)</f>
        <v>40000</v>
      </c>
      <c r="I14" s="1">
        <f ca="1">H14*控制台!$I$102</f>
        <v>30000</v>
      </c>
      <c r="J14" s="1">
        <f ca="1">H14*控制台!$J$102</f>
        <v>50000</v>
      </c>
      <c r="K14" s="1">
        <f ca="1" t="shared" si="0"/>
        <v>120000</v>
      </c>
      <c r="L14" s="4" t="str">
        <f ca="1" t="shared" si="1"/>
        <v>40;40000;30000;50000</v>
      </c>
      <c r="M14" s="1">
        <f ca="1">OFFSET(控制台!$K$2315,MATCH(A14,控制台!$B$2315:$B$2331,0)-1,0)+(B14-1)*OFFSET(控制台!$L$2315,MATCH(A14,控制台!$B$2315:$B$2331,0)-1,0)</f>
        <v>480</v>
      </c>
      <c r="N14" s="4">
        <f ca="1" t="shared" si="2"/>
        <v>28800</v>
      </c>
      <c r="O14" s="14">
        <f ca="1">OFFSET(控制台!$G$2224,MATCH(F14,控制台!$C$2224:$C$2295,0)-1,0)</f>
        <v>0.48</v>
      </c>
      <c r="P14" s="19">
        <f ca="1" t="shared" si="3"/>
        <v>324.324324324324</v>
      </c>
      <c r="Q14" s="20">
        <f ca="1" t="shared" si="4"/>
        <v>0.225225225225225</v>
      </c>
      <c r="R14" s="21">
        <f ca="1">G14*总规划!$G$117</f>
        <v>2</v>
      </c>
      <c r="S14" s="21">
        <f ca="1">K14/1000000*总规划!$G$105</f>
        <v>0.05</v>
      </c>
      <c r="T14" s="21">
        <f ca="1">P14/1440*总规划!$G$106</f>
        <v>0.351914414414414</v>
      </c>
      <c r="U14" s="22">
        <f ca="1">_xlfn.FLOOR.MATH(R14*控制台!$E$2216+S14*控制台!$E$182+T14*控制台!$E$183)</f>
        <v>2904</v>
      </c>
      <c r="V14" s="4">
        <f ca="1" t="shared" si="5"/>
        <v>7260</v>
      </c>
    </row>
    <row r="15" spans="1:22">
      <c r="A15" s="1">
        <v>30201</v>
      </c>
      <c r="B15" s="1">
        <v>5</v>
      </c>
      <c r="C15" s="1">
        <v>3</v>
      </c>
      <c r="D15" s="1" t="s">
        <v>1289</v>
      </c>
      <c r="E15" s="1">
        <f ca="1">OFFSET(控制台!$F$2315,MATCH(A15,控制台!$B$2315:$B$2331,0)-1,0)</f>
        <v>5</v>
      </c>
      <c r="F15" s="1">
        <f ca="1">OFFSET(控制台!$D$2315,MATCH(A15,控制台!$B$2315:$B$2331,0)-1,0)</f>
        <v>2</v>
      </c>
      <c r="G15" s="1">
        <f ca="1">OFFSET(控制台!$G$2315,MATCH(A15,控制台!$B$2315:$B$2331,0)-1,0)+(B15-1)*OFFSET(控制台!$H$2315,MATCH(A15,控制台!$B$2315:$B$2331,0)-1,0)</f>
        <v>50</v>
      </c>
      <c r="H15" s="1">
        <f ca="1">OFFSET(控制台!$Q$2315,MATCH(A15,控制台!$B$2315:$B$2331,0)-1,0)+(B15-1)*OFFSET(控制台!$R$2315,MATCH(A15,控制台!$B$2315:$B$2331,0)-1,0)</f>
        <v>50000</v>
      </c>
      <c r="I15" s="1">
        <f ca="1">H15*控制台!$I$102</f>
        <v>37500</v>
      </c>
      <c r="J15" s="1">
        <f ca="1">H15*控制台!$J$102</f>
        <v>62500</v>
      </c>
      <c r="K15" s="1">
        <f ca="1" t="shared" si="0"/>
        <v>150000</v>
      </c>
      <c r="L15" s="4" t="str">
        <f ca="1" t="shared" si="1"/>
        <v>50;50000;37500;62500</v>
      </c>
      <c r="M15" s="1">
        <f ca="1">OFFSET(控制台!$K$2315,MATCH(A15,控制台!$B$2315:$B$2331,0)-1,0)+(B15-1)*OFFSET(控制台!$L$2315,MATCH(A15,控制台!$B$2315:$B$2331,0)-1,0)</f>
        <v>600</v>
      </c>
      <c r="N15" s="4">
        <f ca="1" t="shared" si="2"/>
        <v>36000</v>
      </c>
      <c r="O15" s="14">
        <f ca="1">OFFSET(控制台!$G$2224,MATCH(F15,控制台!$C$2224:$C$2295,0)-1,0)</f>
        <v>0.48</v>
      </c>
      <c r="P15" s="19">
        <f ca="1" t="shared" si="3"/>
        <v>405.405405405405</v>
      </c>
      <c r="Q15" s="20">
        <f ca="1" t="shared" si="4"/>
        <v>0.281531531531532</v>
      </c>
      <c r="R15" s="21">
        <f ca="1">G15*总规划!$G$117</f>
        <v>2.5</v>
      </c>
      <c r="S15" s="21">
        <f ca="1">K15/1000000*总规划!$G$105</f>
        <v>0.0625000000000001</v>
      </c>
      <c r="T15" s="21">
        <f ca="1">P15/1440*总规划!$G$106</f>
        <v>0.439893018018018</v>
      </c>
      <c r="U15" s="22">
        <f ca="1">_xlfn.FLOOR.MATH(R15*控制台!$E$2216+S15*控制台!$E$182+T15*控制台!$E$183)</f>
        <v>3630</v>
      </c>
      <c r="V15" s="4">
        <f ca="1" t="shared" si="5"/>
        <v>10890</v>
      </c>
    </row>
    <row r="16" spans="1:22">
      <c r="A16" s="1">
        <v>30202</v>
      </c>
      <c r="B16" s="1">
        <v>1</v>
      </c>
      <c r="C16" s="1">
        <v>3</v>
      </c>
      <c r="D16" s="1" t="s">
        <v>1290</v>
      </c>
      <c r="E16" s="1">
        <f ca="1">OFFSET(控制台!$F$2315,MATCH(A16,控制台!$B$2315:$B$2331,0)-1,0)</f>
        <v>5</v>
      </c>
      <c r="F16" s="1">
        <f ca="1">OFFSET(控制台!$D$2315,MATCH(A16,控制台!$B$2315:$B$2331,0)-1,0)</f>
        <v>2</v>
      </c>
      <c r="G16" s="1">
        <f ca="1">OFFSET(控制台!$G$2315,MATCH(A16,控制台!$B$2315:$B$2331,0)-1,0)+(B16-1)*OFFSET(控制台!$H$2315,MATCH(A16,控制台!$B$2315:$B$2331,0)-1,0)</f>
        <v>10</v>
      </c>
      <c r="H16" s="1">
        <f ca="1">OFFSET(控制台!$Q$2315,MATCH(A16,控制台!$B$2315:$B$2331,0)-1,0)+(B16-1)*OFFSET(控制台!$R$2315,MATCH(A16,控制台!$B$2315:$B$2331,0)-1,0)</f>
        <v>10000</v>
      </c>
      <c r="I16" s="1">
        <f ca="1">H16*控制台!$I$102</f>
        <v>7500</v>
      </c>
      <c r="J16" s="1">
        <f ca="1">H16*控制台!$J$102</f>
        <v>12500</v>
      </c>
      <c r="K16" s="1">
        <f ca="1" t="shared" si="0"/>
        <v>30000</v>
      </c>
      <c r="L16" s="4" t="str">
        <f ca="1" t="shared" si="1"/>
        <v>10;10000;7500;12500</v>
      </c>
      <c r="M16" s="1">
        <f ca="1">OFFSET(控制台!$K$2315,MATCH(A16,控制台!$B$2315:$B$2331,0)-1,0)+(B16-1)*OFFSET(控制台!$L$2315,MATCH(A16,控制台!$B$2315:$B$2331,0)-1,0)</f>
        <v>120</v>
      </c>
      <c r="N16" s="4">
        <f ca="1" t="shared" si="2"/>
        <v>7200</v>
      </c>
      <c r="O16" s="14">
        <f ca="1">OFFSET(控制台!$G$2224,MATCH(F16,控制台!$C$2224:$C$2295,0)-1,0)</f>
        <v>0.48</v>
      </c>
      <c r="P16" s="19">
        <f ca="1" t="shared" si="3"/>
        <v>81.0810810810811</v>
      </c>
      <c r="Q16" s="20">
        <f ca="1" t="shared" si="4"/>
        <v>0.0563063063063063</v>
      </c>
      <c r="R16" s="21">
        <f ca="1">G16*总规划!$G$117</f>
        <v>0.5</v>
      </c>
      <c r="S16" s="21">
        <f ca="1">K16/1000000*总规划!$G$105</f>
        <v>0.0125</v>
      </c>
      <c r="T16" s="21">
        <f ca="1">P16/1440*总规划!$G$106</f>
        <v>0.0879786036036036</v>
      </c>
      <c r="U16" s="22">
        <f ca="1">_xlfn.FLOOR.MATH(R16*控制台!$E$2216+S16*控制台!$E$182+T16*控制台!$E$183)</f>
        <v>726</v>
      </c>
      <c r="V16" s="4">
        <f ca="1" t="shared" si="5"/>
        <v>726</v>
      </c>
    </row>
    <row r="17" spans="1:22">
      <c r="A17" s="1">
        <v>30202</v>
      </c>
      <c r="B17" s="1">
        <v>2</v>
      </c>
      <c r="C17" s="1">
        <v>3</v>
      </c>
      <c r="D17" s="1" t="s">
        <v>1290</v>
      </c>
      <c r="E17" s="1">
        <f ca="1">OFFSET(控制台!$F$2315,MATCH(A17,控制台!$B$2315:$B$2331,0)-1,0)</f>
        <v>5</v>
      </c>
      <c r="F17" s="1">
        <f ca="1">OFFSET(控制台!$D$2315,MATCH(A17,控制台!$B$2315:$B$2331,0)-1,0)</f>
        <v>2</v>
      </c>
      <c r="G17" s="1">
        <f ca="1">OFFSET(控制台!$G$2315,MATCH(A17,控制台!$B$2315:$B$2331,0)-1,0)+(B17-1)*OFFSET(控制台!$H$2315,MATCH(A17,控制台!$B$2315:$B$2331,0)-1,0)</f>
        <v>20</v>
      </c>
      <c r="H17" s="1">
        <f ca="1">OFFSET(控制台!$Q$2315,MATCH(A17,控制台!$B$2315:$B$2331,0)-1,0)+(B17-1)*OFFSET(控制台!$R$2315,MATCH(A17,控制台!$B$2315:$B$2331,0)-1,0)</f>
        <v>20000</v>
      </c>
      <c r="I17" s="1">
        <f ca="1">H17*控制台!$I$102</f>
        <v>15000</v>
      </c>
      <c r="J17" s="1">
        <f ca="1">H17*控制台!$J$102</f>
        <v>25000</v>
      </c>
      <c r="K17" s="1">
        <f ca="1" t="shared" si="0"/>
        <v>60000</v>
      </c>
      <c r="L17" s="4" t="str">
        <f ca="1" t="shared" si="1"/>
        <v>20;20000;15000;25000</v>
      </c>
      <c r="M17" s="1">
        <f ca="1">OFFSET(控制台!$K$2315,MATCH(A17,控制台!$B$2315:$B$2331,0)-1,0)+(B17-1)*OFFSET(控制台!$L$2315,MATCH(A17,控制台!$B$2315:$B$2331,0)-1,0)</f>
        <v>240</v>
      </c>
      <c r="N17" s="4">
        <f ca="1" t="shared" si="2"/>
        <v>14400</v>
      </c>
      <c r="O17" s="14">
        <f ca="1">OFFSET(控制台!$G$2224,MATCH(F17,控制台!$C$2224:$C$2295,0)-1,0)</f>
        <v>0.48</v>
      </c>
      <c r="P17" s="19">
        <f ca="1" t="shared" si="3"/>
        <v>162.162162162162</v>
      </c>
      <c r="Q17" s="20">
        <f ca="1" t="shared" si="4"/>
        <v>0.112612612612613</v>
      </c>
      <c r="R17" s="21">
        <f ca="1">G17*总规划!$G$117</f>
        <v>1</v>
      </c>
      <c r="S17" s="21">
        <f ca="1">K17/1000000*总规划!$G$105</f>
        <v>0.025</v>
      </c>
      <c r="T17" s="21">
        <f ca="1">P17/1440*总规划!$G$106</f>
        <v>0.175957207207207</v>
      </c>
      <c r="U17" s="22">
        <f ca="1">_xlfn.FLOOR.MATH(R17*控制台!$E$2216+S17*控制台!$E$182+T17*控制台!$E$183)</f>
        <v>1452</v>
      </c>
      <c r="V17" s="4">
        <f ca="1" t="shared" si="5"/>
        <v>2178</v>
      </c>
    </row>
    <row r="18" spans="1:22">
      <c r="A18" s="1">
        <v>30202</v>
      </c>
      <c r="B18" s="1">
        <v>3</v>
      </c>
      <c r="C18" s="1">
        <v>3</v>
      </c>
      <c r="D18" s="1" t="s">
        <v>1290</v>
      </c>
      <c r="E18" s="1">
        <f ca="1">OFFSET(控制台!$F$2315,MATCH(A18,控制台!$B$2315:$B$2331,0)-1,0)</f>
        <v>5</v>
      </c>
      <c r="F18" s="1">
        <f ca="1">OFFSET(控制台!$D$2315,MATCH(A18,控制台!$B$2315:$B$2331,0)-1,0)</f>
        <v>2</v>
      </c>
      <c r="G18" s="1">
        <f ca="1">OFFSET(控制台!$G$2315,MATCH(A18,控制台!$B$2315:$B$2331,0)-1,0)+(B18-1)*OFFSET(控制台!$H$2315,MATCH(A18,控制台!$B$2315:$B$2331,0)-1,0)</f>
        <v>30</v>
      </c>
      <c r="H18" s="1">
        <f ca="1">OFFSET(控制台!$Q$2315,MATCH(A18,控制台!$B$2315:$B$2331,0)-1,0)+(B18-1)*OFFSET(控制台!$R$2315,MATCH(A18,控制台!$B$2315:$B$2331,0)-1,0)</f>
        <v>30000</v>
      </c>
      <c r="I18" s="1">
        <f ca="1">H18*控制台!$I$102</f>
        <v>22500</v>
      </c>
      <c r="J18" s="1">
        <f ca="1">H18*控制台!$J$102</f>
        <v>37500</v>
      </c>
      <c r="K18" s="1">
        <f ca="1" t="shared" si="0"/>
        <v>90000</v>
      </c>
      <c r="L18" s="4" t="str">
        <f ca="1" t="shared" si="1"/>
        <v>30;30000;22500;37500</v>
      </c>
      <c r="M18" s="1">
        <f ca="1">OFFSET(控制台!$K$2315,MATCH(A18,控制台!$B$2315:$B$2331,0)-1,0)+(B18-1)*OFFSET(控制台!$L$2315,MATCH(A18,控制台!$B$2315:$B$2331,0)-1,0)</f>
        <v>360</v>
      </c>
      <c r="N18" s="4">
        <f ca="1" t="shared" si="2"/>
        <v>21600</v>
      </c>
      <c r="O18" s="14">
        <f ca="1">OFFSET(控制台!$G$2224,MATCH(F18,控制台!$C$2224:$C$2295,0)-1,0)</f>
        <v>0.48</v>
      </c>
      <c r="P18" s="19">
        <f ca="1" t="shared" si="3"/>
        <v>243.243243243243</v>
      </c>
      <c r="Q18" s="20">
        <f ca="1" t="shared" si="4"/>
        <v>0.168918918918919</v>
      </c>
      <c r="R18" s="21">
        <f ca="1">G18*总规划!$G$117</f>
        <v>1.5</v>
      </c>
      <c r="S18" s="21">
        <f ca="1">K18/1000000*总规划!$G$105</f>
        <v>0.0375</v>
      </c>
      <c r="T18" s="21">
        <f ca="1">P18/1440*总规划!$G$106</f>
        <v>0.263935810810811</v>
      </c>
      <c r="U18" s="22">
        <f ca="1">_xlfn.FLOOR.MATH(R18*控制台!$E$2216+S18*控制台!$E$182+T18*控制台!$E$183)</f>
        <v>2178</v>
      </c>
      <c r="V18" s="4">
        <f ca="1" t="shared" si="5"/>
        <v>4356</v>
      </c>
    </row>
    <row r="19" spans="1:22">
      <c r="A19" s="1">
        <v>30202</v>
      </c>
      <c r="B19" s="1">
        <v>4</v>
      </c>
      <c r="C19" s="1">
        <v>3</v>
      </c>
      <c r="D19" s="1" t="s">
        <v>1290</v>
      </c>
      <c r="E19" s="1">
        <f ca="1">OFFSET(控制台!$F$2315,MATCH(A19,控制台!$B$2315:$B$2331,0)-1,0)</f>
        <v>5</v>
      </c>
      <c r="F19" s="1">
        <f ca="1">OFFSET(控制台!$D$2315,MATCH(A19,控制台!$B$2315:$B$2331,0)-1,0)</f>
        <v>2</v>
      </c>
      <c r="G19" s="1">
        <f ca="1">OFFSET(控制台!$G$2315,MATCH(A19,控制台!$B$2315:$B$2331,0)-1,0)+(B19-1)*OFFSET(控制台!$H$2315,MATCH(A19,控制台!$B$2315:$B$2331,0)-1,0)</f>
        <v>40</v>
      </c>
      <c r="H19" s="1">
        <f ca="1">OFFSET(控制台!$Q$2315,MATCH(A19,控制台!$B$2315:$B$2331,0)-1,0)+(B19-1)*OFFSET(控制台!$R$2315,MATCH(A19,控制台!$B$2315:$B$2331,0)-1,0)</f>
        <v>40000</v>
      </c>
      <c r="I19" s="1">
        <f ca="1">H19*控制台!$I$102</f>
        <v>30000</v>
      </c>
      <c r="J19" s="1">
        <f ca="1">H19*控制台!$J$102</f>
        <v>50000</v>
      </c>
      <c r="K19" s="1">
        <f ca="1" t="shared" si="0"/>
        <v>120000</v>
      </c>
      <c r="L19" s="4" t="str">
        <f ca="1" t="shared" si="1"/>
        <v>40;40000;30000;50000</v>
      </c>
      <c r="M19" s="1">
        <f ca="1">OFFSET(控制台!$K$2315,MATCH(A19,控制台!$B$2315:$B$2331,0)-1,0)+(B19-1)*OFFSET(控制台!$L$2315,MATCH(A19,控制台!$B$2315:$B$2331,0)-1,0)</f>
        <v>480</v>
      </c>
      <c r="N19" s="4">
        <f ca="1" t="shared" si="2"/>
        <v>28800</v>
      </c>
      <c r="O19" s="14">
        <f ca="1">OFFSET(控制台!$G$2224,MATCH(F19,控制台!$C$2224:$C$2295,0)-1,0)</f>
        <v>0.48</v>
      </c>
      <c r="P19" s="19">
        <f ca="1" t="shared" si="3"/>
        <v>324.324324324324</v>
      </c>
      <c r="Q19" s="20">
        <f ca="1" t="shared" si="4"/>
        <v>0.225225225225225</v>
      </c>
      <c r="R19" s="21">
        <f ca="1">G19*总规划!$G$117</f>
        <v>2</v>
      </c>
      <c r="S19" s="21">
        <f ca="1">K19/1000000*总规划!$G$105</f>
        <v>0.05</v>
      </c>
      <c r="T19" s="21">
        <f ca="1">P19/1440*总规划!$G$106</f>
        <v>0.351914414414414</v>
      </c>
      <c r="U19" s="22">
        <f ca="1">_xlfn.FLOOR.MATH(R19*控制台!$E$2216+S19*控制台!$E$182+T19*控制台!$E$183)</f>
        <v>2904</v>
      </c>
      <c r="V19" s="4">
        <f ca="1" t="shared" si="5"/>
        <v>7260</v>
      </c>
    </row>
    <row r="20" spans="1:22">
      <c r="A20" s="1">
        <v>30202</v>
      </c>
      <c r="B20" s="1">
        <v>5</v>
      </c>
      <c r="C20" s="1">
        <v>3</v>
      </c>
      <c r="D20" s="1" t="s">
        <v>1290</v>
      </c>
      <c r="E20" s="1">
        <f ca="1">OFFSET(控制台!$F$2315,MATCH(A20,控制台!$B$2315:$B$2331,0)-1,0)</f>
        <v>5</v>
      </c>
      <c r="F20" s="1">
        <f ca="1">OFFSET(控制台!$D$2315,MATCH(A20,控制台!$B$2315:$B$2331,0)-1,0)</f>
        <v>2</v>
      </c>
      <c r="G20" s="1">
        <f ca="1">OFFSET(控制台!$G$2315,MATCH(A20,控制台!$B$2315:$B$2331,0)-1,0)+(B20-1)*OFFSET(控制台!$H$2315,MATCH(A20,控制台!$B$2315:$B$2331,0)-1,0)</f>
        <v>50</v>
      </c>
      <c r="H20" s="1">
        <f ca="1">OFFSET(控制台!$Q$2315,MATCH(A20,控制台!$B$2315:$B$2331,0)-1,0)+(B20-1)*OFFSET(控制台!$R$2315,MATCH(A20,控制台!$B$2315:$B$2331,0)-1,0)</f>
        <v>50000</v>
      </c>
      <c r="I20" s="1">
        <f ca="1">H20*控制台!$I$102</f>
        <v>37500</v>
      </c>
      <c r="J20" s="1">
        <f ca="1">H20*控制台!$J$102</f>
        <v>62500</v>
      </c>
      <c r="K20" s="1">
        <f ca="1" t="shared" si="0"/>
        <v>150000</v>
      </c>
      <c r="L20" s="4" t="str">
        <f ca="1" t="shared" si="1"/>
        <v>50;50000;37500;62500</v>
      </c>
      <c r="M20" s="1">
        <f ca="1">OFFSET(控制台!$K$2315,MATCH(A20,控制台!$B$2315:$B$2331,0)-1,0)+(B20-1)*OFFSET(控制台!$L$2315,MATCH(A20,控制台!$B$2315:$B$2331,0)-1,0)</f>
        <v>600</v>
      </c>
      <c r="N20" s="4">
        <f ca="1" t="shared" si="2"/>
        <v>36000</v>
      </c>
      <c r="O20" s="14">
        <f ca="1">OFFSET(控制台!$G$2224,MATCH(F20,控制台!$C$2224:$C$2295,0)-1,0)</f>
        <v>0.48</v>
      </c>
      <c r="P20" s="19">
        <f ca="1" t="shared" si="3"/>
        <v>405.405405405405</v>
      </c>
      <c r="Q20" s="20">
        <f ca="1" t="shared" si="4"/>
        <v>0.281531531531532</v>
      </c>
      <c r="R20" s="21">
        <f ca="1">G20*总规划!$G$117</f>
        <v>2.5</v>
      </c>
      <c r="S20" s="21">
        <f ca="1">K20/1000000*总规划!$G$105</f>
        <v>0.0625000000000001</v>
      </c>
      <c r="T20" s="21">
        <f ca="1">P20/1440*总规划!$G$106</f>
        <v>0.439893018018018</v>
      </c>
      <c r="U20" s="22">
        <f ca="1">_xlfn.FLOOR.MATH(R20*控制台!$E$2216+S20*控制台!$E$182+T20*控制台!$E$183)</f>
        <v>3630</v>
      </c>
      <c r="V20" s="4">
        <f ca="1" t="shared" si="5"/>
        <v>10890</v>
      </c>
    </row>
    <row r="21" spans="1:22">
      <c r="A21" s="1">
        <v>30203</v>
      </c>
      <c r="B21" s="1">
        <v>1</v>
      </c>
      <c r="C21" s="1">
        <v>3</v>
      </c>
      <c r="D21" s="1" t="s">
        <v>1291</v>
      </c>
      <c r="E21" s="1">
        <f ca="1">OFFSET(控制台!$F$2315,MATCH(A21,控制台!$B$2315:$B$2331,0)-1,0)</f>
        <v>5</v>
      </c>
      <c r="F21" s="1">
        <f ca="1">OFFSET(控制台!$D$2315,MATCH(A21,控制台!$B$2315:$B$2331,0)-1,0)</f>
        <v>2</v>
      </c>
      <c r="G21" s="1">
        <f ca="1">OFFSET(控制台!$G$2315,MATCH(A21,控制台!$B$2315:$B$2331,0)-1,0)+(B21-1)*OFFSET(控制台!$H$2315,MATCH(A21,控制台!$B$2315:$B$2331,0)-1,0)</f>
        <v>10</v>
      </c>
      <c r="H21" s="1">
        <f ca="1">OFFSET(控制台!$Q$2315,MATCH(A21,控制台!$B$2315:$B$2331,0)-1,0)+(B21-1)*OFFSET(控制台!$R$2315,MATCH(A21,控制台!$B$2315:$B$2331,0)-1,0)</f>
        <v>10000</v>
      </c>
      <c r="I21" s="1">
        <f ca="1">H21*控制台!$I$102</f>
        <v>7500</v>
      </c>
      <c r="J21" s="1">
        <f ca="1">H21*控制台!$J$102</f>
        <v>12500</v>
      </c>
      <c r="K21" s="1">
        <f ca="1" t="shared" si="0"/>
        <v>30000</v>
      </c>
      <c r="L21" s="4" t="str">
        <f ca="1" t="shared" si="1"/>
        <v>10;10000;7500;12500</v>
      </c>
      <c r="M21" s="1">
        <f ca="1">OFFSET(控制台!$K$2315,MATCH(A21,控制台!$B$2315:$B$2331,0)-1,0)+(B21-1)*OFFSET(控制台!$L$2315,MATCH(A21,控制台!$B$2315:$B$2331,0)-1,0)</f>
        <v>120</v>
      </c>
      <c r="N21" s="4">
        <f ca="1" t="shared" si="2"/>
        <v>7200</v>
      </c>
      <c r="O21" s="14">
        <f ca="1">OFFSET(控制台!$G$2224,MATCH(F21,控制台!$C$2224:$C$2295,0)-1,0)</f>
        <v>0.48</v>
      </c>
      <c r="P21" s="19">
        <f ca="1" t="shared" si="3"/>
        <v>81.0810810810811</v>
      </c>
      <c r="Q21" s="20">
        <f ca="1" t="shared" si="4"/>
        <v>0.0563063063063063</v>
      </c>
      <c r="R21" s="21">
        <f ca="1">G21*总规划!$G$117</f>
        <v>0.5</v>
      </c>
      <c r="S21" s="21">
        <f ca="1">K21/1000000*总规划!$G$105</f>
        <v>0.0125</v>
      </c>
      <c r="T21" s="21">
        <f ca="1">P21/1440*总规划!$G$106</f>
        <v>0.0879786036036036</v>
      </c>
      <c r="U21" s="22">
        <f ca="1">_xlfn.FLOOR.MATH(R21*控制台!$E$2216+S21*控制台!$E$182+T21*控制台!$E$183)</f>
        <v>726</v>
      </c>
      <c r="V21" s="4">
        <f ca="1" t="shared" si="5"/>
        <v>726</v>
      </c>
    </row>
    <row r="22" spans="1:22">
      <c r="A22" s="1">
        <v>30203</v>
      </c>
      <c r="B22" s="1">
        <v>2</v>
      </c>
      <c r="C22" s="1">
        <v>3</v>
      </c>
      <c r="D22" s="1" t="s">
        <v>1291</v>
      </c>
      <c r="E22" s="1">
        <f ca="1">OFFSET(控制台!$F$2315,MATCH(A22,控制台!$B$2315:$B$2331,0)-1,0)</f>
        <v>5</v>
      </c>
      <c r="F22" s="1">
        <f ca="1">OFFSET(控制台!$D$2315,MATCH(A22,控制台!$B$2315:$B$2331,0)-1,0)</f>
        <v>2</v>
      </c>
      <c r="G22" s="1">
        <f ca="1">OFFSET(控制台!$G$2315,MATCH(A22,控制台!$B$2315:$B$2331,0)-1,0)+(B22-1)*OFFSET(控制台!$H$2315,MATCH(A22,控制台!$B$2315:$B$2331,0)-1,0)</f>
        <v>20</v>
      </c>
      <c r="H22" s="1">
        <f ca="1">OFFSET(控制台!$Q$2315,MATCH(A22,控制台!$B$2315:$B$2331,0)-1,0)+(B22-1)*OFFSET(控制台!$R$2315,MATCH(A22,控制台!$B$2315:$B$2331,0)-1,0)</f>
        <v>20000</v>
      </c>
      <c r="I22" s="1">
        <f ca="1">H22*控制台!$I$102</f>
        <v>15000</v>
      </c>
      <c r="J22" s="1">
        <f ca="1">H22*控制台!$J$102</f>
        <v>25000</v>
      </c>
      <c r="K22" s="1">
        <f ca="1" t="shared" si="0"/>
        <v>60000</v>
      </c>
      <c r="L22" s="4" t="str">
        <f ca="1" t="shared" si="1"/>
        <v>20;20000;15000;25000</v>
      </c>
      <c r="M22" s="1">
        <f ca="1">OFFSET(控制台!$K$2315,MATCH(A22,控制台!$B$2315:$B$2331,0)-1,0)+(B22-1)*OFFSET(控制台!$L$2315,MATCH(A22,控制台!$B$2315:$B$2331,0)-1,0)</f>
        <v>240</v>
      </c>
      <c r="N22" s="4">
        <f ca="1" t="shared" si="2"/>
        <v>14400</v>
      </c>
      <c r="O22" s="14">
        <f ca="1">OFFSET(控制台!$G$2224,MATCH(F22,控制台!$C$2224:$C$2295,0)-1,0)</f>
        <v>0.48</v>
      </c>
      <c r="P22" s="19">
        <f ca="1" t="shared" si="3"/>
        <v>162.162162162162</v>
      </c>
      <c r="Q22" s="20">
        <f ca="1" t="shared" si="4"/>
        <v>0.112612612612613</v>
      </c>
      <c r="R22" s="21">
        <f ca="1">G22*总规划!$G$117</f>
        <v>1</v>
      </c>
      <c r="S22" s="21">
        <f ca="1">K22/1000000*总规划!$G$105</f>
        <v>0.025</v>
      </c>
      <c r="T22" s="21">
        <f ca="1">P22/1440*总规划!$G$106</f>
        <v>0.175957207207207</v>
      </c>
      <c r="U22" s="22">
        <f ca="1">_xlfn.FLOOR.MATH(R22*控制台!$E$2216+S22*控制台!$E$182+T22*控制台!$E$183)</f>
        <v>1452</v>
      </c>
      <c r="V22" s="4">
        <f ca="1" t="shared" si="5"/>
        <v>2178</v>
      </c>
    </row>
    <row r="23" spans="1:22">
      <c r="A23" s="1">
        <v>30203</v>
      </c>
      <c r="B23" s="1">
        <v>3</v>
      </c>
      <c r="C23" s="1">
        <v>3</v>
      </c>
      <c r="D23" s="1" t="s">
        <v>1291</v>
      </c>
      <c r="E23" s="1">
        <f ca="1">OFFSET(控制台!$F$2315,MATCH(A23,控制台!$B$2315:$B$2331,0)-1,0)</f>
        <v>5</v>
      </c>
      <c r="F23" s="1">
        <f ca="1">OFFSET(控制台!$D$2315,MATCH(A23,控制台!$B$2315:$B$2331,0)-1,0)</f>
        <v>2</v>
      </c>
      <c r="G23" s="1">
        <f ca="1">OFFSET(控制台!$G$2315,MATCH(A23,控制台!$B$2315:$B$2331,0)-1,0)+(B23-1)*OFFSET(控制台!$H$2315,MATCH(A23,控制台!$B$2315:$B$2331,0)-1,0)</f>
        <v>30</v>
      </c>
      <c r="H23" s="1">
        <f ca="1">OFFSET(控制台!$Q$2315,MATCH(A23,控制台!$B$2315:$B$2331,0)-1,0)+(B23-1)*OFFSET(控制台!$R$2315,MATCH(A23,控制台!$B$2315:$B$2331,0)-1,0)</f>
        <v>30000</v>
      </c>
      <c r="I23" s="1">
        <f ca="1">H23*控制台!$I$102</f>
        <v>22500</v>
      </c>
      <c r="J23" s="1">
        <f ca="1">H23*控制台!$J$102</f>
        <v>37500</v>
      </c>
      <c r="K23" s="1">
        <f ca="1" t="shared" si="0"/>
        <v>90000</v>
      </c>
      <c r="L23" s="4" t="str">
        <f ca="1" t="shared" si="1"/>
        <v>30;30000;22500;37500</v>
      </c>
      <c r="M23" s="1">
        <f ca="1">OFFSET(控制台!$K$2315,MATCH(A23,控制台!$B$2315:$B$2331,0)-1,0)+(B23-1)*OFFSET(控制台!$L$2315,MATCH(A23,控制台!$B$2315:$B$2331,0)-1,0)</f>
        <v>360</v>
      </c>
      <c r="N23" s="4">
        <f ca="1" t="shared" si="2"/>
        <v>21600</v>
      </c>
      <c r="O23" s="14">
        <f ca="1">OFFSET(控制台!$G$2224,MATCH(F23,控制台!$C$2224:$C$2295,0)-1,0)</f>
        <v>0.48</v>
      </c>
      <c r="P23" s="19">
        <f ca="1" t="shared" si="3"/>
        <v>243.243243243243</v>
      </c>
      <c r="Q23" s="20">
        <f ca="1" t="shared" si="4"/>
        <v>0.168918918918919</v>
      </c>
      <c r="R23" s="21">
        <f ca="1">G23*总规划!$G$117</f>
        <v>1.5</v>
      </c>
      <c r="S23" s="21">
        <f ca="1">K23/1000000*总规划!$G$105</f>
        <v>0.0375</v>
      </c>
      <c r="T23" s="21">
        <f ca="1">P23/1440*总规划!$G$106</f>
        <v>0.263935810810811</v>
      </c>
      <c r="U23" s="22">
        <f ca="1">_xlfn.FLOOR.MATH(R23*控制台!$E$2216+S23*控制台!$E$182+T23*控制台!$E$183)</f>
        <v>2178</v>
      </c>
      <c r="V23" s="4">
        <f ca="1" t="shared" si="5"/>
        <v>4356</v>
      </c>
    </row>
    <row r="24" spans="1:22">
      <c r="A24" s="1">
        <v>30203</v>
      </c>
      <c r="B24" s="1">
        <v>4</v>
      </c>
      <c r="C24" s="1">
        <v>3</v>
      </c>
      <c r="D24" s="1" t="s">
        <v>1291</v>
      </c>
      <c r="E24" s="1">
        <f ca="1">OFFSET(控制台!$F$2315,MATCH(A24,控制台!$B$2315:$B$2331,0)-1,0)</f>
        <v>5</v>
      </c>
      <c r="F24" s="1">
        <f ca="1">OFFSET(控制台!$D$2315,MATCH(A24,控制台!$B$2315:$B$2331,0)-1,0)</f>
        <v>2</v>
      </c>
      <c r="G24" s="1">
        <f ca="1">OFFSET(控制台!$G$2315,MATCH(A24,控制台!$B$2315:$B$2331,0)-1,0)+(B24-1)*OFFSET(控制台!$H$2315,MATCH(A24,控制台!$B$2315:$B$2331,0)-1,0)</f>
        <v>40</v>
      </c>
      <c r="H24" s="1">
        <f ca="1">OFFSET(控制台!$Q$2315,MATCH(A24,控制台!$B$2315:$B$2331,0)-1,0)+(B24-1)*OFFSET(控制台!$R$2315,MATCH(A24,控制台!$B$2315:$B$2331,0)-1,0)</f>
        <v>40000</v>
      </c>
      <c r="I24" s="1">
        <f ca="1">H24*控制台!$I$102</f>
        <v>30000</v>
      </c>
      <c r="J24" s="1">
        <f ca="1">H24*控制台!$J$102</f>
        <v>50000</v>
      </c>
      <c r="K24" s="1">
        <f ca="1" t="shared" si="0"/>
        <v>120000</v>
      </c>
      <c r="L24" s="4" t="str">
        <f ca="1" t="shared" si="1"/>
        <v>40;40000;30000;50000</v>
      </c>
      <c r="M24" s="1">
        <f ca="1">OFFSET(控制台!$K$2315,MATCH(A24,控制台!$B$2315:$B$2331,0)-1,0)+(B24-1)*OFFSET(控制台!$L$2315,MATCH(A24,控制台!$B$2315:$B$2331,0)-1,0)</f>
        <v>480</v>
      </c>
      <c r="N24" s="4">
        <f ca="1" t="shared" si="2"/>
        <v>28800</v>
      </c>
      <c r="O24" s="14">
        <f ca="1">OFFSET(控制台!$G$2224,MATCH(F24,控制台!$C$2224:$C$2295,0)-1,0)</f>
        <v>0.48</v>
      </c>
      <c r="P24" s="19">
        <f ca="1" t="shared" si="3"/>
        <v>324.324324324324</v>
      </c>
      <c r="Q24" s="20">
        <f ca="1" t="shared" si="4"/>
        <v>0.225225225225225</v>
      </c>
      <c r="R24" s="21">
        <f ca="1">G24*总规划!$G$117</f>
        <v>2</v>
      </c>
      <c r="S24" s="21">
        <f ca="1">K24/1000000*总规划!$G$105</f>
        <v>0.05</v>
      </c>
      <c r="T24" s="21">
        <f ca="1">P24/1440*总规划!$G$106</f>
        <v>0.351914414414414</v>
      </c>
      <c r="U24" s="22">
        <f ca="1">_xlfn.FLOOR.MATH(R24*控制台!$E$2216+S24*控制台!$E$182+T24*控制台!$E$183)</f>
        <v>2904</v>
      </c>
      <c r="V24" s="4">
        <f ca="1" t="shared" si="5"/>
        <v>7260</v>
      </c>
    </row>
    <row r="25" spans="1:22">
      <c r="A25" s="1">
        <v>30203</v>
      </c>
      <c r="B25" s="1">
        <v>5</v>
      </c>
      <c r="C25" s="1">
        <v>3</v>
      </c>
      <c r="D25" s="1" t="s">
        <v>1291</v>
      </c>
      <c r="E25" s="1">
        <f ca="1">OFFSET(控制台!$F$2315,MATCH(A25,控制台!$B$2315:$B$2331,0)-1,0)</f>
        <v>5</v>
      </c>
      <c r="F25" s="1">
        <f ca="1">OFFSET(控制台!$D$2315,MATCH(A25,控制台!$B$2315:$B$2331,0)-1,0)</f>
        <v>2</v>
      </c>
      <c r="G25" s="1">
        <f ca="1">OFFSET(控制台!$G$2315,MATCH(A25,控制台!$B$2315:$B$2331,0)-1,0)+(B25-1)*OFFSET(控制台!$H$2315,MATCH(A25,控制台!$B$2315:$B$2331,0)-1,0)</f>
        <v>50</v>
      </c>
      <c r="H25" s="1">
        <f ca="1">OFFSET(控制台!$Q$2315,MATCH(A25,控制台!$B$2315:$B$2331,0)-1,0)+(B25-1)*OFFSET(控制台!$R$2315,MATCH(A25,控制台!$B$2315:$B$2331,0)-1,0)</f>
        <v>50000</v>
      </c>
      <c r="I25" s="1">
        <f ca="1">H25*控制台!$I$102</f>
        <v>37500</v>
      </c>
      <c r="J25" s="1">
        <f ca="1">H25*控制台!$J$102</f>
        <v>62500</v>
      </c>
      <c r="K25" s="1">
        <f ca="1" t="shared" si="0"/>
        <v>150000</v>
      </c>
      <c r="L25" s="4" t="str">
        <f ca="1" t="shared" si="1"/>
        <v>50;50000;37500;62500</v>
      </c>
      <c r="M25" s="1">
        <f ca="1">OFFSET(控制台!$K$2315,MATCH(A25,控制台!$B$2315:$B$2331,0)-1,0)+(B25-1)*OFFSET(控制台!$L$2315,MATCH(A25,控制台!$B$2315:$B$2331,0)-1,0)</f>
        <v>600</v>
      </c>
      <c r="N25" s="4">
        <f ca="1" t="shared" si="2"/>
        <v>36000</v>
      </c>
      <c r="O25" s="14">
        <f ca="1">OFFSET(控制台!$G$2224,MATCH(F25,控制台!$C$2224:$C$2295,0)-1,0)</f>
        <v>0.48</v>
      </c>
      <c r="P25" s="19">
        <f ca="1" t="shared" si="3"/>
        <v>405.405405405405</v>
      </c>
      <c r="Q25" s="20">
        <f ca="1" t="shared" si="4"/>
        <v>0.281531531531532</v>
      </c>
      <c r="R25" s="21">
        <f ca="1">G25*总规划!$G$117</f>
        <v>2.5</v>
      </c>
      <c r="S25" s="21">
        <f ca="1">K25/1000000*总规划!$G$105</f>
        <v>0.0625000000000001</v>
      </c>
      <c r="T25" s="21">
        <f ca="1">P25/1440*总规划!$G$106</f>
        <v>0.439893018018018</v>
      </c>
      <c r="U25" s="22">
        <f ca="1">_xlfn.FLOOR.MATH(R25*控制台!$E$2216+S25*控制台!$E$182+T25*控制台!$E$183)</f>
        <v>3630</v>
      </c>
      <c r="V25" s="4">
        <f ca="1" t="shared" si="5"/>
        <v>10890</v>
      </c>
    </row>
    <row r="26" spans="1:22">
      <c r="A26" s="1">
        <v>30302</v>
      </c>
      <c r="B26" s="1">
        <v>1</v>
      </c>
      <c r="C26" s="1">
        <v>3</v>
      </c>
      <c r="D26" s="1" t="s">
        <v>1292</v>
      </c>
      <c r="E26" s="1">
        <f ca="1">OFFSET(控制台!$F$2315,MATCH(A26,控制台!$B$2315:$B$2331,0)-1,0)</f>
        <v>1</v>
      </c>
      <c r="F26" s="1">
        <f ca="1">OFFSET(控制台!$D$2315,MATCH(A26,控制台!$B$2315:$B$2331,0)-1,0)</f>
        <v>3</v>
      </c>
      <c r="G26" s="1">
        <f ca="1">OFFSET(控制台!$G$2315,MATCH(A26,控制台!$B$2315:$B$2331,0)-1,0)+(B26-1)*OFFSET(控制台!$H$2315,MATCH(A26,控制台!$B$2315:$B$2331,0)-1,0)</f>
        <v>200</v>
      </c>
      <c r="H26" s="1">
        <f ca="1">OFFSET(控制台!$Q$2315,MATCH(A26,控制台!$B$2315:$B$2331,0)-1,0)+(B26-1)*OFFSET(控制台!$R$2315,MATCH(A26,控制台!$B$2315:$B$2331,0)-1,0)</f>
        <v>200000</v>
      </c>
      <c r="I26" s="1">
        <f ca="1">H26*控制台!$I$102</f>
        <v>150000</v>
      </c>
      <c r="J26" s="1">
        <f ca="1">H26*控制台!$J$102</f>
        <v>250000</v>
      </c>
      <c r="K26" s="1">
        <f ca="1" t="shared" si="0"/>
        <v>600000</v>
      </c>
      <c r="L26" s="4" t="str">
        <f ca="1" t="shared" si="1"/>
        <v>200;200000;150000;250000</v>
      </c>
      <c r="M26" s="1">
        <f ca="1">OFFSET(控制台!$K$2315,MATCH(A26,控制台!$B$2315:$B$2331,0)-1,0)+(B26-1)*OFFSET(控制台!$L$2315,MATCH(A26,控制台!$B$2315:$B$2331,0)-1,0)</f>
        <v>1800</v>
      </c>
      <c r="N26" s="4">
        <f ca="1" t="shared" si="2"/>
        <v>108000</v>
      </c>
      <c r="O26" s="14">
        <f ca="1">OFFSET(控制台!$G$2224,MATCH(F26,控制台!$C$2224:$C$2295,0)-1,0)</f>
        <v>0.49</v>
      </c>
      <c r="P26" s="19">
        <f ca="1" t="shared" si="3"/>
        <v>1208.05369127517</v>
      </c>
      <c r="Q26" s="20">
        <f ca="1" t="shared" si="4"/>
        <v>0.838926174496644</v>
      </c>
      <c r="R26" s="21">
        <f ca="1">G26*总规划!$G$117</f>
        <v>10</v>
      </c>
      <c r="S26" s="21">
        <f ca="1">K26/1000000*总规划!$G$105</f>
        <v>0.25</v>
      </c>
      <c r="T26" s="21">
        <f ca="1">P26/1440*总规划!$G$106</f>
        <v>1.31082214765101</v>
      </c>
      <c r="U26" s="22">
        <f ca="1">_xlfn.FLOOR.MATH(R26*控制台!$E$2216+S26*控制台!$E$182+T26*控制台!$E$183)</f>
        <v>13402</v>
      </c>
      <c r="V26" s="4">
        <f ca="1" t="shared" si="5"/>
        <v>13402</v>
      </c>
    </row>
    <row r="27" spans="1:22">
      <c r="A27" s="1">
        <v>30402</v>
      </c>
      <c r="B27" s="1">
        <v>1</v>
      </c>
      <c r="C27" s="1">
        <v>3</v>
      </c>
      <c r="D27" s="1" t="s">
        <v>1293</v>
      </c>
      <c r="E27" s="1">
        <f ca="1">OFFSET(控制台!$F$2315,MATCH(A27,控制台!$B$2315:$B$2331,0)-1,0)</f>
        <v>10</v>
      </c>
      <c r="F27" s="1">
        <f ca="1">OFFSET(控制台!$D$2315,MATCH(A27,控制台!$B$2315:$B$2331,0)-1,0)</f>
        <v>4</v>
      </c>
      <c r="G27" s="1">
        <f ca="1">OFFSET(控制台!$G$2315,MATCH(A27,控制台!$B$2315:$B$2331,0)-1,0)+(B27-1)*OFFSET(控制台!$H$2315,MATCH(A27,控制台!$B$2315:$B$2331,0)-1,0)</f>
        <v>20</v>
      </c>
      <c r="H27" s="1">
        <f ca="1">OFFSET(控制台!$Q$2315,MATCH(A27,控制台!$B$2315:$B$2331,0)-1,0)+(B27-1)*OFFSET(控制台!$R$2315,MATCH(A27,控制台!$B$2315:$B$2331,0)-1,0)</f>
        <v>20000</v>
      </c>
      <c r="I27" s="1">
        <f ca="1">H27*控制台!$I$102</f>
        <v>15000</v>
      </c>
      <c r="J27" s="1">
        <f ca="1">H27*控制台!$J$102</f>
        <v>25000</v>
      </c>
      <c r="K27" s="1">
        <f ca="1" t="shared" si="0"/>
        <v>60000</v>
      </c>
      <c r="L27" s="4" t="str">
        <f ca="1" t="shared" si="1"/>
        <v>20;20000;15000;25000</v>
      </c>
      <c r="M27" s="1">
        <f ca="1">OFFSET(控制台!$K$2315,MATCH(A27,控制台!$B$2315:$B$2331,0)-1,0)+(B27-1)*OFFSET(控制台!$L$2315,MATCH(A27,控制台!$B$2315:$B$2331,0)-1,0)</f>
        <v>240</v>
      </c>
      <c r="N27" s="4">
        <f ca="1" t="shared" si="2"/>
        <v>14400</v>
      </c>
      <c r="O27" s="14">
        <f ca="1">OFFSET(控制台!$G$2224,MATCH(F27,控制台!$C$2224:$C$2295,0)-1,0)</f>
        <v>0.49</v>
      </c>
      <c r="P27" s="19">
        <f ca="1" t="shared" si="3"/>
        <v>161.073825503356</v>
      </c>
      <c r="Q27" s="20">
        <f ca="1" t="shared" si="4"/>
        <v>0.111856823266219</v>
      </c>
      <c r="R27" s="21">
        <f ca="1">G27*总规划!$G$117</f>
        <v>1</v>
      </c>
      <c r="S27" s="21">
        <f ca="1">K27/1000000*总规划!$G$105</f>
        <v>0.025</v>
      </c>
      <c r="T27" s="21">
        <f ca="1">P27/1440*总规划!$G$106</f>
        <v>0.174776286353468</v>
      </c>
      <c r="U27" s="22">
        <f ca="1">_xlfn.FLOOR.MATH(R27*控制台!$E$2216+S27*控制台!$E$182+T27*控制台!$E$183)</f>
        <v>1449</v>
      </c>
      <c r="V27" s="4">
        <f ca="1" t="shared" si="5"/>
        <v>1449</v>
      </c>
    </row>
    <row r="28" spans="1:22">
      <c r="A28" s="1">
        <v>30402</v>
      </c>
      <c r="B28" s="1">
        <v>2</v>
      </c>
      <c r="C28" s="1">
        <v>3</v>
      </c>
      <c r="D28" s="1" t="s">
        <v>1293</v>
      </c>
      <c r="E28" s="1">
        <f ca="1">OFFSET(控制台!$F$2315,MATCH(A28,控制台!$B$2315:$B$2331,0)-1,0)</f>
        <v>10</v>
      </c>
      <c r="F28" s="1">
        <f ca="1">OFFSET(控制台!$D$2315,MATCH(A28,控制台!$B$2315:$B$2331,0)-1,0)</f>
        <v>4</v>
      </c>
      <c r="G28" s="1">
        <f ca="1">OFFSET(控制台!$G$2315,MATCH(A28,控制台!$B$2315:$B$2331,0)-1,0)+(B28-1)*OFFSET(控制台!$H$2315,MATCH(A28,控制台!$B$2315:$B$2331,0)-1,0)</f>
        <v>40</v>
      </c>
      <c r="H28" s="1">
        <f ca="1">OFFSET(控制台!$Q$2315,MATCH(A28,控制台!$B$2315:$B$2331,0)-1,0)+(B28-1)*OFFSET(控制台!$R$2315,MATCH(A28,控制台!$B$2315:$B$2331,0)-1,0)</f>
        <v>40000</v>
      </c>
      <c r="I28" s="1">
        <f ca="1">H28*控制台!$I$102</f>
        <v>30000</v>
      </c>
      <c r="J28" s="1">
        <f ca="1">H28*控制台!$J$102</f>
        <v>50000</v>
      </c>
      <c r="K28" s="1">
        <f ca="1" t="shared" si="0"/>
        <v>120000</v>
      </c>
      <c r="L28" s="4" t="str">
        <f ca="1" t="shared" si="1"/>
        <v>40;40000;30000;50000</v>
      </c>
      <c r="M28" s="1">
        <f ca="1">OFFSET(控制台!$K$2315,MATCH(A28,控制台!$B$2315:$B$2331,0)-1,0)+(B28-1)*OFFSET(控制台!$L$2315,MATCH(A28,控制台!$B$2315:$B$2331,0)-1,0)</f>
        <v>480</v>
      </c>
      <c r="N28" s="4">
        <f ca="1" t="shared" si="2"/>
        <v>28800</v>
      </c>
      <c r="O28" s="14">
        <f ca="1">OFFSET(控制台!$G$2224,MATCH(F28,控制台!$C$2224:$C$2295,0)-1,0)</f>
        <v>0.49</v>
      </c>
      <c r="P28" s="19">
        <f ca="1" t="shared" si="3"/>
        <v>322.147651006711</v>
      </c>
      <c r="Q28" s="20">
        <f ca="1" t="shared" si="4"/>
        <v>0.223713646532438</v>
      </c>
      <c r="R28" s="21">
        <f ca="1">G28*总规划!$G$117</f>
        <v>2</v>
      </c>
      <c r="S28" s="21">
        <f ca="1">K28/1000000*总规划!$G$105</f>
        <v>0.05</v>
      </c>
      <c r="T28" s="21">
        <f ca="1">P28/1440*总规划!$G$106</f>
        <v>0.349552572706935</v>
      </c>
      <c r="U28" s="22">
        <f ca="1">_xlfn.FLOOR.MATH(R28*控制台!$E$2216+S28*控制台!$E$182+T28*控制台!$E$183)</f>
        <v>2898</v>
      </c>
      <c r="V28" s="4">
        <f ca="1" t="shared" si="5"/>
        <v>4347</v>
      </c>
    </row>
    <row r="29" spans="1:22">
      <c r="A29" s="1">
        <v>30402</v>
      </c>
      <c r="B29" s="1">
        <v>3</v>
      </c>
      <c r="C29" s="1">
        <v>3</v>
      </c>
      <c r="D29" s="1" t="s">
        <v>1293</v>
      </c>
      <c r="E29" s="1">
        <f ca="1">OFFSET(控制台!$F$2315,MATCH(A29,控制台!$B$2315:$B$2331,0)-1,0)</f>
        <v>10</v>
      </c>
      <c r="F29" s="1">
        <f ca="1">OFFSET(控制台!$D$2315,MATCH(A29,控制台!$B$2315:$B$2331,0)-1,0)</f>
        <v>4</v>
      </c>
      <c r="G29" s="1">
        <f ca="1">OFFSET(控制台!$G$2315,MATCH(A29,控制台!$B$2315:$B$2331,0)-1,0)+(B29-1)*OFFSET(控制台!$H$2315,MATCH(A29,控制台!$B$2315:$B$2331,0)-1,0)</f>
        <v>60</v>
      </c>
      <c r="H29" s="1">
        <f ca="1">OFFSET(控制台!$Q$2315,MATCH(A29,控制台!$B$2315:$B$2331,0)-1,0)+(B29-1)*OFFSET(控制台!$R$2315,MATCH(A29,控制台!$B$2315:$B$2331,0)-1,0)</f>
        <v>60000</v>
      </c>
      <c r="I29" s="1">
        <f ca="1">H29*控制台!$I$102</f>
        <v>45000</v>
      </c>
      <c r="J29" s="1">
        <f ca="1">H29*控制台!$J$102</f>
        <v>75000</v>
      </c>
      <c r="K29" s="1">
        <f ca="1" t="shared" si="0"/>
        <v>180000</v>
      </c>
      <c r="L29" s="4" t="str">
        <f ca="1" t="shared" si="1"/>
        <v>60;60000;45000;75000</v>
      </c>
      <c r="M29" s="1">
        <f ca="1">OFFSET(控制台!$K$2315,MATCH(A29,控制台!$B$2315:$B$2331,0)-1,0)+(B29-1)*OFFSET(控制台!$L$2315,MATCH(A29,控制台!$B$2315:$B$2331,0)-1,0)</f>
        <v>720</v>
      </c>
      <c r="N29" s="4">
        <f ca="1" t="shared" si="2"/>
        <v>43200</v>
      </c>
      <c r="O29" s="14">
        <f ca="1">OFFSET(控制台!$G$2224,MATCH(F29,控制台!$C$2224:$C$2295,0)-1,0)</f>
        <v>0.49</v>
      </c>
      <c r="P29" s="19">
        <f ca="1" t="shared" si="3"/>
        <v>483.221476510067</v>
      </c>
      <c r="Q29" s="20">
        <f ca="1" t="shared" si="4"/>
        <v>0.335570469798658</v>
      </c>
      <c r="R29" s="21">
        <f ca="1">G29*总规划!$G$117</f>
        <v>3</v>
      </c>
      <c r="S29" s="21">
        <f ca="1">K29/1000000*总规划!$G$105</f>
        <v>0.0750000000000001</v>
      </c>
      <c r="T29" s="21">
        <f ca="1">P29/1440*总规划!$G$106</f>
        <v>0.524328859060403</v>
      </c>
      <c r="U29" s="22">
        <f ca="1">_xlfn.FLOOR.MATH(R29*控制台!$E$2216+S29*控制台!$E$182+T29*控制台!$E$183)</f>
        <v>4348</v>
      </c>
      <c r="V29" s="4">
        <f ca="1" t="shared" si="5"/>
        <v>8695</v>
      </c>
    </row>
    <row r="30" spans="1:22">
      <c r="A30" s="1">
        <v>30402</v>
      </c>
      <c r="B30" s="1">
        <v>4</v>
      </c>
      <c r="C30" s="1">
        <v>3</v>
      </c>
      <c r="D30" s="1" t="s">
        <v>1293</v>
      </c>
      <c r="E30" s="1">
        <f ca="1">OFFSET(控制台!$F$2315,MATCH(A30,控制台!$B$2315:$B$2331,0)-1,0)</f>
        <v>10</v>
      </c>
      <c r="F30" s="1">
        <f ca="1">OFFSET(控制台!$D$2315,MATCH(A30,控制台!$B$2315:$B$2331,0)-1,0)</f>
        <v>4</v>
      </c>
      <c r="G30" s="1">
        <f ca="1">OFFSET(控制台!$G$2315,MATCH(A30,控制台!$B$2315:$B$2331,0)-1,0)+(B30-1)*OFFSET(控制台!$H$2315,MATCH(A30,控制台!$B$2315:$B$2331,0)-1,0)</f>
        <v>80</v>
      </c>
      <c r="H30" s="1">
        <f ca="1">OFFSET(控制台!$Q$2315,MATCH(A30,控制台!$B$2315:$B$2331,0)-1,0)+(B30-1)*OFFSET(控制台!$R$2315,MATCH(A30,控制台!$B$2315:$B$2331,0)-1,0)</f>
        <v>80000</v>
      </c>
      <c r="I30" s="1">
        <f ca="1">H30*控制台!$I$102</f>
        <v>60000</v>
      </c>
      <c r="J30" s="1">
        <f ca="1">H30*控制台!$J$102</f>
        <v>100000</v>
      </c>
      <c r="K30" s="1">
        <f ca="1" t="shared" si="0"/>
        <v>240000</v>
      </c>
      <c r="L30" s="4" t="str">
        <f ca="1" t="shared" si="1"/>
        <v>80;80000;60000;100000</v>
      </c>
      <c r="M30" s="1">
        <f ca="1">OFFSET(控制台!$K$2315,MATCH(A30,控制台!$B$2315:$B$2331,0)-1,0)+(B30-1)*OFFSET(控制台!$L$2315,MATCH(A30,控制台!$B$2315:$B$2331,0)-1,0)</f>
        <v>960</v>
      </c>
      <c r="N30" s="4">
        <f ca="1" t="shared" si="2"/>
        <v>57600</v>
      </c>
      <c r="O30" s="14">
        <f ca="1">OFFSET(控制台!$G$2224,MATCH(F30,控制台!$C$2224:$C$2295,0)-1,0)</f>
        <v>0.49</v>
      </c>
      <c r="P30" s="19">
        <f ca="1" t="shared" si="3"/>
        <v>644.295302013423</v>
      </c>
      <c r="Q30" s="20">
        <f ca="1" t="shared" si="4"/>
        <v>0.447427293064877</v>
      </c>
      <c r="R30" s="21">
        <f ca="1">G30*总规划!$G$117</f>
        <v>4</v>
      </c>
      <c r="S30" s="21">
        <f ca="1">K30/1000000*总规划!$G$105</f>
        <v>0.1</v>
      </c>
      <c r="T30" s="21">
        <f ca="1">P30/1440*总规划!$G$106</f>
        <v>0.69910514541387</v>
      </c>
      <c r="U30" s="22">
        <f ca="1">_xlfn.FLOOR.MATH(R30*控制台!$E$2216+S30*控制台!$E$182+T30*控制台!$E$183)</f>
        <v>5797</v>
      </c>
      <c r="V30" s="4">
        <f ca="1" t="shared" si="5"/>
        <v>14492</v>
      </c>
    </row>
    <row r="31" spans="1:22">
      <c r="A31" s="1">
        <v>30402</v>
      </c>
      <c r="B31" s="1">
        <v>5</v>
      </c>
      <c r="C31" s="1">
        <v>3</v>
      </c>
      <c r="D31" s="1" t="s">
        <v>1293</v>
      </c>
      <c r="E31" s="1">
        <f ca="1">OFFSET(控制台!$F$2315,MATCH(A31,控制台!$B$2315:$B$2331,0)-1,0)</f>
        <v>10</v>
      </c>
      <c r="F31" s="1">
        <f ca="1">OFFSET(控制台!$D$2315,MATCH(A31,控制台!$B$2315:$B$2331,0)-1,0)</f>
        <v>4</v>
      </c>
      <c r="G31" s="1">
        <f ca="1">OFFSET(控制台!$G$2315,MATCH(A31,控制台!$B$2315:$B$2331,0)-1,0)+(B31-1)*OFFSET(控制台!$H$2315,MATCH(A31,控制台!$B$2315:$B$2331,0)-1,0)</f>
        <v>100</v>
      </c>
      <c r="H31" s="1">
        <f ca="1">OFFSET(控制台!$Q$2315,MATCH(A31,控制台!$B$2315:$B$2331,0)-1,0)+(B31-1)*OFFSET(控制台!$R$2315,MATCH(A31,控制台!$B$2315:$B$2331,0)-1,0)</f>
        <v>100000</v>
      </c>
      <c r="I31" s="1">
        <f ca="1">H31*控制台!$I$102</f>
        <v>75000</v>
      </c>
      <c r="J31" s="1">
        <f ca="1">H31*控制台!$J$102</f>
        <v>125000</v>
      </c>
      <c r="K31" s="1">
        <f ca="1" t="shared" si="0"/>
        <v>300000</v>
      </c>
      <c r="L31" s="4" t="str">
        <f ca="1" t="shared" si="1"/>
        <v>100;100000;75000;125000</v>
      </c>
      <c r="M31" s="1">
        <f ca="1">OFFSET(控制台!$K$2315,MATCH(A31,控制台!$B$2315:$B$2331,0)-1,0)+(B31-1)*OFFSET(控制台!$L$2315,MATCH(A31,控制台!$B$2315:$B$2331,0)-1,0)</f>
        <v>1200</v>
      </c>
      <c r="N31" s="4">
        <f ca="1" t="shared" si="2"/>
        <v>72000</v>
      </c>
      <c r="O31" s="14">
        <f ca="1">OFFSET(控制台!$G$2224,MATCH(F31,控制台!$C$2224:$C$2295,0)-1,0)</f>
        <v>0.49</v>
      </c>
      <c r="P31" s="19">
        <f ca="1" t="shared" si="3"/>
        <v>805.369127516779</v>
      </c>
      <c r="Q31" s="20">
        <f ca="1" t="shared" si="4"/>
        <v>0.559284116331096</v>
      </c>
      <c r="R31" s="21">
        <f ca="1">G31*总规划!$G$117</f>
        <v>5</v>
      </c>
      <c r="S31" s="21">
        <f ca="1">K31/1000000*总规划!$G$105</f>
        <v>0.125</v>
      </c>
      <c r="T31" s="21">
        <f ca="1">P31/1440*总规划!$G$106</f>
        <v>0.873881431767338</v>
      </c>
      <c r="U31" s="22">
        <f ca="1">_xlfn.FLOOR.MATH(R31*控制台!$E$2216+S31*控制台!$E$182+T31*控制台!$E$183)</f>
        <v>7247</v>
      </c>
      <c r="V31" s="4">
        <f ca="1" t="shared" si="5"/>
        <v>21739</v>
      </c>
    </row>
    <row r="32" spans="1:22">
      <c r="A32" s="1">
        <v>30402</v>
      </c>
      <c r="B32" s="1">
        <v>6</v>
      </c>
      <c r="C32" s="1">
        <v>3</v>
      </c>
      <c r="D32" s="1" t="s">
        <v>1293</v>
      </c>
      <c r="E32" s="1">
        <f ca="1">OFFSET(控制台!$F$2315,MATCH(A32,控制台!$B$2315:$B$2331,0)-1,0)</f>
        <v>10</v>
      </c>
      <c r="F32" s="1">
        <f ca="1">OFFSET(控制台!$D$2315,MATCH(A32,控制台!$B$2315:$B$2331,0)-1,0)</f>
        <v>4</v>
      </c>
      <c r="G32" s="1">
        <f ca="1">OFFSET(控制台!$G$2315,MATCH(A32,控制台!$B$2315:$B$2331,0)-1,0)+(B32-1)*OFFSET(控制台!$H$2315,MATCH(A32,控制台!$B$2315:$B$2331,0)-1,0)</f>
        <v>120</v>
      </c>
      <c r="H32" s="1">
        <f ca="1">OFFSET(控制台!$Q$2315,MATCH(A32,控制台!$B$2315:$B$2331,0)-1,0)+(B32-1)*OFFSET(控制台!$R$2315,MATCH(A32,控制台!$B$2315:$B$2331,0)-1,0)</f>
        <v>120000</v>
      </c>
      <c r="I32" s="1">
        <f ca="1">H32*控制台!$I$102</f>
        <v>90000</v>
      </c>
      <c r="J32" s="1">
        <f ca="1">H32*控制台!$J$102</f>
        <v>150000</v>
      </c>
      <c r="K32" s="1">
        <f ca="1" t="shared" si="0"/>
        <v>360000</v>
      </c>
      <c r="L32" s="4" t="str">
        <f ca="1" t="shared" si="1"/>
        <v>120;120000;90000;150000</v>
      </c>
      <c r="M32" s="1">
        <f ca="1">OFFSET(控制台!$K$2315,MATCH(A32,控制台!$B$2315:$B$2331,0)-1,0)+(B32-1)*OFFSET(控制台!$L$2315,MATCH(A32,控制台!$B$2315:$B$2331,0)-1,0)</f>
        <v>1440</v>
      </c>
      <c r="N32" s="4">
        <f ca="1" t="shared" si="2"/>
        <v>86400</v>
      </c>
      <c r="O32" s="14">
        <f ca="1">OFFSET(控制台!$G$2224,MATCH(F32,控制台!$C$2224:$C$2295,0)-1,0)</f>
        <v>0.49</v>
      </c>
      <c r="P32" s="19">
        <f ca="1" t="shared" si="3"/>
        <v>966.442953020134</v>
      </c>
      <c r="Q32" s="20">
        <f ca="1" t="shared" si="4"/>
        <v>0.671140939597315</v>
      </c>
      <c r="R32" s="21">
        <f ca="1">G32*总规划!$G$117</f>
        <v>6</v>
      </c>
      <c r="S32" s="21">
        <f ca="1">K32/1000000*总规划!$G$105</f>
        <v>0.15</v>
      </c>
      <c r="T32" s="21">
        <f ca="1">P32/1440*总规划!$G$106</f>
        <v>1.04865771812081</v>
      </c>
      <c r="U32" s="22">
        <f ca="1">_xlfn.FLOOR.MATH(R32*控制台!$E$2216+S32*控制台!$E$182+T32*控制台!$E$183)</f>
        <v>8696</v>
      </c>
      <c r="V32" s="4">
        <f ca="1" t="shared" si="5"/>
        <v>30435</v>
      </c>
    </row>
    <row r="33" spans="1:22">
      <c r="A33" s="1">
        <v>30402</v>
      </c>
      <c r="B33" s="1">
        <v>7</v>
      </c>
      <c r="C33" s="1">
        <v>3</v>
      </c>
      <c r="D33" s="1" t="s">
        <v>1293</v>
      </c>
      <c r="E33" s="1">
        <f ca="1">OFFSET(控制台!$F$2315,MATCH(A33,控制台!$B$2315:$B$2331,0)-1,0)</f>
        <v>10</v>
      </c>
      <c r="F33" s="1">
        <f ca="1">OFFSET(控制台!$D$2315,MATCH(A33,控制台!$B$2315:$B$2331,0)-1,0)</f>
        <v>4</v>
      </c>
      <c r="G33" s="1">
        <f ca="1">OFFSET(控制台!$G$2315,MATCH(A33,控制台!$B$2315:$B$2331,0)-1,0)+(B33-1)*OFFSET(控制台!$H$2315,MATCH(A33,控制台!$B$2315:$B$2331,0)-1,0)</f>
        <v>140</v>
      </c>
      <c r="H33" s="1">
        <f ca="1">OFFSET(控制台!$Q$2315,MATCH(A33,控制台!$B$2315:$B$2331,0)-1,0)+(B33-1)*OFFSET(控制台!$R$2315,MATCH(A33,控制台!$B$2315:$B$2331,0)-1,0)</f>
        <v>140000</v>
      </c>
      <c r="I33" s="1">
        <f ca="1">H33*控制台!$I$102</f>
        <v>105000</v>
      </c>
      <c r="J33" s="1">
        <f ca="1">H33*控制台!$J$102</f>
        <v>175000</v>
      </c>
      <c r="K33" s="1">
        <f ca="1" t="shared" si="0"/>
        <v>420000</v>
      </c>
      <c r="L33" s="4" t="str">
        <f ca="1" t="shared" si="1"/>
        <v>140;140000;105000;175000</v>
      </c>
      <c r="M33" s="1">
        <f ca="1">OFFSET(控制台!$K$2315,MATCH(A33,控制台!$B$2315:$B$2331,0)-1,0)+(B33-1)*OFFSET(控制台!$L$2315,MATCH(A33,控制台!$B$2315:$B$2331,0)-1,0)</f>
        <v>1680</v>
      </c>
      <c r="N33" s="4">
        <f ca="1" t="shared" si="2"/>
        <v>100800</v>
      </c>
      <c r="O33" s="14">
        <f ca="1">OFFSET(控制台!$G$2224,MATCH(F33,控制台!$C$2224:$C$2295,0)-1,0)</f>
        <v>0.49</v>
      </c>
      <c r="P33" s="19">
        <f ca="1" t="shared" si="3"/>
        <v>1127.51677852349</v>
      </c>
      <c r="Q33" s="20">
        <f ca="1" t="shared" si="4"/>
        <v>0.782997762863535</v>
      </c>
      <c r="R33" s="21">
        <f ca="1">G33*总规划!$G$117</f>
        <v>7</v>
      </c>
      <c r="S33" s="21">
        <f ca="1">K33/1000000*总规划!$G$105</f>
        <v>0.175</v>
      </c>
      <c r="T33" s="21">
        <f ca="1">P33/1440*总规划!$G$106</f>
        <v>1.22343400447427</v>
      </c>
      <c r="U33" s="22">
        <f ca="1">_xlfn.FLOOR.MATH(R33*控制台!$E$2216+S33*控制台!$E$182+T33*控制台!$E$183)</f>
        <v>10146</v>
      </c>
      <c r="V33" s="4">
        <f ca="1" t="shared" si="5"/>
        <v>40581</v>
      </c>
    </row>
    <row r="34" spans="1:22">
      <c r="A34" s="1">
        <v>30402</v>
      </c>
      <c r="B34" s="1">
        <v>8</v>
      </c>
      <c r="C34" s="1">
        <v>3</v>
      </c>
      <c r="D34" s="1" t="s">
        <v>1293</v>
      </c>
      <c r="E34" s="1">
        <f ca="1">OFFSET(控制台!$F$2315,MATCH(A34,控制台!$B$2315:$B$2331,0)-1,0)</f>
        <v>10</v>
      </c>
      <c r="F34" s="1">
        <f ca="1">OFFSET(控制台!$D$2315,MATCH(A34,控制台!$B$2315:$B$2331,0)-1,0)</f>
        <v>4</v>
      </c>
      <c r="G34" s="1">
        <f ca="1">OFFSET(控制台!$G$2315,MATCH(A34,控制台!$B$2315:$B$2331,0)-1,0)+(B34-1)*OFFSET(控制台!$H$2315,MATCH(A34,控制台!$B$2315:$B$2331,0)-1,0)</f>
        <v>160</v>
      </c>
      <c r="H34" s="1">
        <f ca="1">OFFSET(控制台!$Q$2315,MATCH(A34,控制台!$B$2315:$B$2331,0)-1,0)+(B34-1)*OFFSET(控制台!$R$2315,MATCH(A34,控制台!$B$2315:$B$2331,0)-1,0)</f>
        <v>160000</v>
      </c>
      <c r="I34" s="1">
        <f ca="1">H34*控制台!$I$102</f>
        <v>120000</v>
      </c>
      <c r="J34" s="1">
        <f ca="1">H34*控制台!$J$102</f>
        <v>200000</v>
      </c>
      <c r="K34" s="1">
        <f ca="1" t="shared" si="0"/>
        <v>480000</v>
      </c>
      <c r="L34" s="4" t="str">
        <f ca="1" t="shared" si="1"/>
        <v>160;160000;120000;200000</v>
      </c>
      <c r="M34" s="1">
        <f ca="1">OFFSET(控制台!$K$2315,MATCH(A34,控制台!$B$2315:$B$2331,0)-1,0)+(B34-1)*OFFSET(控制台!$L$2315,MATCH(A34,控制台!$B$2315:$B$2331,0)-1,0)</f>
        <v>1920</v>
      </c>
      <c r="N34" s="4">
        <f ca="1" t="shared" si="2"/>
        <v>115200</v>
      </c>
      <c r="O34" s="14">
        <f ca="1">OFFSET(控制台!$G$2224,MATCH(F34,控制台!$C$2224:$C$2295,0)-1,0)</f>
        <v>0.49</v>
      </c>
      <c r="P34" s="19">
        <f ca="1" t="shared" si="3"/>
        <v>1288.59060402685</v>
      </c>
      <c r="Q34" s="20">
        <f ca="1" t="shared" si="4"/>
        <v>0.894854586129754</v>
      </c>
      <c r="R34" s="21">
        <f ca="1">G34*总规划!$G$117</f>
        <v>8</v>
      </c>
      <c r="S34" s="21">
        <f ca="1">K34/1000000*总规划!$G$105</f>
        <v>0.2</v>
      </c>
      <c r="T34" s="21">
        <f ca="1">P34/1440*总规划!$G$106</f>
        <v>1.39821029082774</v>
      </c>
      <c r="U34" s="22">
        <f ca="1">_xlfn.FLOOR.MATH(R34*控制台!$E$2216+S34*控制台!$E$182+T34*控制台!$E$183)</f>
        <v>11595</v>
      </c>
      <c r="V34" s="4">
        <f ca="1" t="shared" si="5"/>
        <v>52176</v>
      </c>
    </row>
    <row r="35" spans="1:22">
      <c r="A35" s="1">
        <v>30402</v>
      </c>
      <c r="B35" s="1">
        <v>9</v>
      </c>
      <c r="C35" s="1">
        <v>3</v>
      </c>
      <c r="D35" s="1" t="s">
        <v>1293</v>
      </c>
      <c r="E35" s="1">
        <f ca="1">OFFSET(控制台!$F$2315,MATCH(A35,控制台!$B$2315:$B$2331,0)-1,0)</f>
        <v>10</v>
      </c>
      <c r="F35" s="1">
        <f ca="1">OFFSET(控制台!$D$2315,MATCH(A35,控制台!$B$2315:$B$2331,0)-1,0)</f>
        <v>4</v>
      </c>
      <c r="G35" s="1">
        <f ca="1">OFFSET(控制台!$G$2315,MATCH(A35,控制台!$B$2315:$B$2331,0)-1,0)+(B35-1)*OFFSET(控制台!$H$2315,MATCH(A35,控制台!$B$2315:$B$2331,0)-1,0)</f>
        <v>180</v>
      </c>
      <c r="H35" s="1">
        <f ca="1">OFFSET(控制台!$Q$2315,MATCH(A35,控制台!$B$2315:$B$2331,0)-1,0)+(B35-1)*OFFSET(控制台!$R$2315,MATCH(A35,控制台!$B$2315:$B$2331,0)-1,0)</f>
        <v>180000</v>
      </c>
      <c r="I35" s="1">
        <f ca="1">H35*控制台!$I$102</f>
        <v>135000</v>
      </c>
      <c r="J35" s="1">
        <f ca="1">H35*控制台!$J$102</f>
        <v>225000</v>
      </c>
      <c r="K35" s="1">
        <f ca="1" t="shared" si="0"/>
        <v>540000</v>
      </c>
      <c r="L35" s="4" t="str">
        <f ca="1" t="shared" si="1"/>
        <v>180;180000;135000;225000</v>
      </c>
      <c r="M35" s="1">
        <f ca="1">OFFSET(控制台!$K$2315,MATCH(A35,控制台!$B$2315:$B$2331,0)-1,0)+(B35-1)*OFFSET(控制台!$L$2315,MATCH(A35,控制台!$B$2315:$B$2331,0)-1,0)</f>
        <v>2160</v>
      </c>
      <c r="N35" s="4">
        <f ca="1" t="shared" si="2"/>
        <v>129600</v>
      </c>
      <c r="O35" s="14">
        <f ca="1">OFFSET(控制台!$G$2224,MATCH(F35,控制台!$C$2224:$C$2295,0)-1,0)</f>
        <v>0.49</v>
      </c>
      <c r="P35" s="19">
        <f ca="1" t="shared" si="3"/>
        <v>1449.6644295302</v>
      </c>
      <c r="Q35" s="20">
        <f ca="1" t="shared" si="4"/>
        <v>1.00671140939597</v>
      </c>
      <c r="R35" s="21">
        <f ca="1">G35*总规划!$G$117</f>
        <v>9</v>
      </c>
      <c r="S35" s="21">
        <f ca="1">K35/1000000*总规划!$G$105</f>
        <v>0.225</v>
      </c>
      <c r="T35" s="21">
        <f ca="1">P35/1440*总规划!$G$106</f>
        <v>1.57298657718121</v>
      </c>
      <c r="U35" s="22">
        <f ca="1">_xlfn.FLOOR.MATH(R35*控制台!$E$2216+S35*控制台!$E$182+T35*控制台!$E$183)</f>
        <v>13044</v>
      </c>
      <c r="V35" s="4">
        <f ca="1" t="shared" si="5"/>
        <v>65220</v>
      </c>
    </row>
    <row r="36" spans="1:22">
      <c r="A36" s="1">
        <v>30402</v>
      </c>
      <c r="B36" s="1">
        <v>10</v>
      </c>
      <c r="C36" s="1">
        <v>3</v>
      </c>
      <c r="D36" s="1" t="s">
        <v>1293</v>
      </c>
      <c r="E36" s="1">
        <f ca="1">OFFSET(控制台!$F$2315,MATCH(A36,控制台!$B$2315:$B$2331,0)-1,0)</f>
        <v>10</v>
      </c>
      <c r="F36" s="1">
        <f ca="1">OFFSET(控制台!$D$2315,MATCH(A36,控制台!$B$2315:$B$2331,0)-1,0)</f>
        <v>4</v>
      </c>
      <c r="G36" s="1">
        <f ca="1">OFFSET(控制台!$G$2315,MATCH(A36,控制台!$B$2315:$B$2331,0)-1,0)+(B36-1)*OFFSET(控制台!$H$2315,MATCH(A36,控制台!$B$2315:$B$2331,0)-1,0)</f>
        <v>200</v>
      </c>
      <c r="H36" s="1">
        <f ca="1">OFFSET(控制台!$Q$2315,MATCH(A36,控制台!$B$2315:$B$2331,0)-1,0)+(B36-1)*OFFSET(控制台!$R$2315,MATCH(A36,控制台!$B$2315:$B$2331,0)-1,0)</f>
        <v>200000</v>
      </c>
      <c r="I36" s="1">
        <f ca="1">H36*控制台!$I$102</f>
        <v>150000</v>
      </c>
      <c r="J36" s="1">
        <f ca="1">H36*控制台!$J$102</f>
        <v>250000</v>
      </c>
      <c r="K36" s="1">
        <f ca="1" t="shared" si="0"/>
        <v>600000</v>
      </c>
      <c r="L36" s="4" t="str">
        <f ca="1" t="shared" si="1"/>
        <v>200;200000;150000;250000</v>
      </c>
      <c r="M36" s="1">
        <f ca="1">OFFSET(控制台!$K$2315,MATCH(A36,控制台!$B$2315:$B$2331,0)-1,0)+(B36-1)*OFFSET(控制台!$L$2315,MATCH(A36,控制台!$B$2315:$B$2331,0)-1,0)</f>
        <v>2400</v>
      </c>
      <c r="N36" s="4">
        <f ca="1" t="shared" si="2"/>
        <v>144000</v>
      </c>
      <c r="O36" s="14">
        <f ca="1">OFFSET(控制台!$G$2224,MATCH(F36,控制台!$C$2224:$C$2295,0)-1,0)</f>
        <v>0.49</v>
      </c>
      <c r="P36" s="19">
        <f ca="1" t="shared" si="3"/>
        <v>1610.73825503356</v>
      </c>
      <c r="Q36" s="20">
        <f ca="1" t="shared" si="4"/>
        <v>1.11856823266219</v>
      </c>
      <c r="R36" s="21">
        <f ca="1">G36*总规划!$G$117</f>
        <v>10</v>
      </c>
      <c r="S36" s="21">
        <f ca="1">K36/1000000*总规划!$G$105</f>
        <v>0.25</v>
      </c>
      <c r="T36" s="21">
        <f ca="1">P36/1440*总规划!$G$106</f>
        <v>1.74776286353468</v>
      </c>
      <c r="U36" s="22">
        <f ca="1">_xlfn.FLOOR.MATH(R36*控制台!$E$2216+S36*控制台!$E$182+T36*控制台!$E$183)</f>
        <v>14494</v>
      </c>
      <c r="V36" s="4">
        <f ca="1" t="shared" si="5"/>
        <v>79714</v>
      </c>
    </row>
    <row r="37" spans="1:22">
      <c r="A37" s="1">
        <v>30501</v>
      </c>
      <c r="B37" s="1">
        <v>1</v>
      </c>
      <c r="C37" s="1">
        <v>3</v>
      </c>
      <c r="D37" s="1" t="s">
        <v>1294</v>
      </c>
      <c r="E37" s="1">
        <f ca="1">OFFSET(控制台!$F$2315,MATCH(A37,控制台!$B$2315:$B$2331,0)-1,0)</f>
        <v>10</v>
      </c>
      <c r="F37" s="1">
        <f ca="1">OFFSET(控制台!$D$2315,MATCH(A37,控制台!$B$2315:$B$2331,0)-1,0)</f>
        <v>5</v>
      </c>
      <c r="G37" s="1">
        <f ca="1">OFFSET(控制台!$G$2315,MATCH(A37,控制台!$B$2315:$B$2331,0)-1,0)+(B37-1)*OFFSET(控制台!$H$2315,MATCH(A37,控制台!$B$2315:$B$2331,0)-1,0)</f>
        <v>20</v>
      </c>
      <c r="H37" s="1">
        <f ca="1">OFFSET(控制台!$Q$2315,MATCH(A37,控制台!$B$2315:$B$2331,0)-1,0)+(B37-1)*OFFSET(控制台!$R$2315,MATCH(A37,控制台!$B$2315:$B$2331,0)-1,0)</f>
        <v>20000</v>
      </c>
      <c r="I37" s="1">
        <f ca="1">H37*控制台!$I$102</f>
        <v>15000</v>
      </c>
      <c r="J37" s="1">
        <f ca="1">H37*控制台!$J$102</f>
        <v>25000</v>
      </c>
      <c r="K37" s="1">
        <f ca="1" t="shared" si="0"/>
        <v>60000</v>
      </c>
      <c r="L37" s="4" t="str">
        <f ca="1" t="shared" si="1"/>
        <v>20;20000;15000;25000</v>
      </c>
      <c r="M37" s="1">
        <f ca="1">OFFSET(控制台!$K$2315,MATCH(A37,控制台!$B$2315:$B$2331,0)-1,0)+(B37-1)*OFFSET(控制台!$L$2315,MATCH(A37,控制台!$B$2315:$B$2331,0)-1,0)</f>
        <v>240</v>
      </c>
      <c r="N37" s="4">
        <f ca="1" t="shared" si="2"/>
        <v>14400</v>
      </c>
      <c r="O37" s="14">
        <f ca="1">OFFSET(控制台!$G$2224,MATCH(F37,控制台!$C$2224:$C$2295,0)-1,0)</f>
        <v>0.51</v>
      </c>
      <c r="P37" s="19">
        <f ca="1" t="shared" si="3"/>
        <v>158.940397350993</v>
      </c>
      <c r="Q37" s="20">
        <f ca="1" t="shared" si="4"/>
        <v>0.11037527593819</v>
      </c>
      <c r="R37" s="21">
        <f ca="1">G37*总规划!$G$117</f>
        <v>1</v>
      </c>
      <c r="S37" s="21">
        <f ca="1">K37/1000000*总规划!$G$105</f>
        <v>0.025</v>
      </c>
      <c r="T37" s="21">
        <f ca="1">P37/1440*总规划!$G$106</f>
        <v>0.172461368653422</v>
      </c>
      <c r="U37" s="22">
        <f ca="1">_xlfn.FLOOR.MATH(R37*控制台!$E$2216+S37*控制台!$E$182+T37*控制台!$E$183)</f>
        <v>1443</v>
      </c>
      <c r="V37" s="4">
        <f ca="1" t="shared" si="5"/>
        <v>1443</v>
      </c>
    </row>
    <row r="38" spans="1:22">
      <c r="A38" s="1">
        <v>30501</v>
      </c>
      <c r="B38" s="1">
        <v>2</v>
      </c>
      <c r="C38" s="1">
        <v>3</v>
      </c>
      <c r="D38" s="1" t="s">
        <v>1294</v>
      </c>
      <c r="E38" s="1">
        <f ca="1">OFFSET(控制台!$F$2315,MATCH(A38,控制台!$B$2315:$B$2331,0)-1,0)</f>
        <v>10</v>
      </c>
      <c r="F38" s="1">
        <f ca="1">OFFSET(控制台!$D$2315,MATCH(A38,控制台!$B$2315:$B$2331,0)-1,0)</f>
        <v>5</v>
      </c>
      <c r="G38" s="1">
        <f ca="1">OFFSET(控制台!$G$2315,MATCH(A38,控制台!$B$2315:$B$2331,0)-1,0)+(B38-1)*OFFSET(控制台!$H$2315,MATCH(A38,控制台!$B$2315:$B$2331,0)-1,0)</f>
        <v>40</v>
      </c>
      <c r="H38" s="1">
        <f ca="1">OFFSET(控制台!$Q$2315,MATCH(A38,控制台!$B$2315:$B$2331,0)-1,0)+(B38-1)*OFFSET(控制台!$R$2315,MATCH(A38,控制台!$B$2315:$B$2331,0)-1,0)</f>
        <v>40000</v>
      </c>
      <c r="I38" s="1">
        <f ca="1">H38*控制台!$I$102</f>
        <v>30000</v>
      </c>
      <c r="J38" s="1">
        <f ca="1">H38*控制台!$J$102</f>
        <v>50000</v>
      </c>
      <c r="K38" s="1">
        <f ca="1" t="shared" si="0"/>
        <v>120000</v>
      </c>
      <c r="L38" s="4" t="str">
        <f ca="1" t="shared" si="1"/>
        <v>40;40000;30000;50000</v>
      </c>
      <c r="M38" s="1">
        <f ca="1">OFFSET(控制台!$K$2315,MATCH(A38,控制台!$B$2315:$B$2331,0)-1,0)+(B38-1)*OFFSET(控制台!$L$2315,MATCH(A38,控制台!$B$2315:$B$2331,0)-1,0)</f>
        <v>480</v>
      </c>
      <c r="N38" s="4">
        <f ca="1" t="shared" si="2"/>
        <v>28800</v>
      </c>
      <c r="O38" s="14">
        <f ca="1">OFFSET(控制台!$G$2224,MATCH(F38,控制台!$C$2224:$C$2295,0)-1,0)</f>
        <v>0.51</v>
      </c>
      <c r="P38" s="19">
        <f ca="1" t="shared" si="3"/>
        <v>317.880794701987</v>
      </c>
      <c r="Q38" s="20">
        <f ca="1" t="shared" si="4"/>
        <v>0.22075055187638</v>
      </c>
      <c r="R38" s="21">
        <f ca="1">G38*总规划!$G$117</f>
        <v>2</v>
      </c>
      <c r="S38" s="21">
        <f ca="1">K38/1000000*总规划!$G$105</f>
        <v>0.05</v>
      </c>
      <c r="T38" s="21">
        <f ca="1">P38/1440*总规划!$G$106</f>
        <v>0.344922737306843</v>
      </c>
      <c r="U38" s="22">
        <f ca="1">_xlfn.FLOOR.MATH(R38*控制台!$E$2216+S38*控制台!$E$182+T38*控制台!$E$183)</f>
        <v>2887</v>
      </c>
      <c r="V38" s="4">
        <f ca="1" t="shared" si="5"/>
        <v>4330</v>
      </c>
    </row>
    <row r="39" spans="1:22">
      <c r="A39" s="1">
        <v>30501</v>
      </c>
      <c r="B39" s="1">
        <v>3</v>
      </c>
      <c r="C39" s="1">
        <v>3</v>
      </c>
      <c r="D39" s="1" t="s">
        <v>1294</v>
      </c>
      <c r="E39" s="1">
        <f ca="1">OFFSET(控制台!$F$2315,MATCH(A39,控制台!$B$2315:$B$2331,0)-1,0)</f>
        <v>10</v>
      </c>
      <c r="F39" s="1">
        <f ca="1">OFFSET(控制台!$D$2315,MATCH(A39,控制台!$B$2315:$B$2331,0)-1,0)</f>
        <v>5</v>
      </c>
      <c r="G39" s="1">
        <f ca="1">OFFSET(控制台!$G$2315,MATCH(A39,控制台!$B$2315:$B$2331,0)-1,0)+(B39-1)*OFFSET(控制台!$H$2315,MATCH(A39,控制台!$B$2315:$B$2331,0)-1,0)</f>
        <v>60</v>
      </c>
      <c r="H39" s="1">
        <f ca="1">OFFSET(控制台!$Q$2315,MATCH(A39,控制台!$B$2315:$B$2331,0)-1,0)+(B39-1)*OFFSET(控制台!$R$2315,MATCH(A39,控制台!$B$2315:$B$2331,0)-1,0)</f>
        <v>60000</v>
      </c>
      <c r="I39" s="1">
        <f ca="1">H39*控制台!$I$102</f>
        <v>45000</v>
      </c>
      <c r="J39" s="1">
        <f ca="1">H39*控制台!$J$102</f>
        <v>75000</v>
      </c>
      <c r="K39" s="1">
        <f ca="1" t="shared" si="0"/>
        <v>180000</v>
      </c>
      <c r="L39" s="4" t="str">
        <f ca="1" t="shared" si="1"/>
        <v>60;60000;45000;75000</v>
      </c>
      <c r="M39" s="1">
        <f ca="1">OFFSET(控制台!$K$2315,MATCH(A39,控制台!$B$2315:$B$2331,0)-1,0)+(B39-1)*OFFSET(控制台!$L$2315,MATCH(A39,控制台!$B$2315:$B$2331,0)-1,0)</f>
        <v>720</v>
      </c>
      <c r="N39" s="4">
        <f ca="1" t="shared" si="2"/>
        <v>43200</v>
      </c>
      <c r="O39" s="14">
        <f ca="1">OFFSET(控制台!$G$2224,MATCH(F39,控制台!$C$2224:$C$2295,0)-1,0)</f>
        <v>0.51</v>
      </c>
      <c r="P39" s="19">
        <f ca="1" t="shared" si="3"/>
        <v>476.82119205298</v>
      </c>
      <c r="Q39" s="20">
        <f ca="1" t="shared" si="4"/>
        <v>0.33112582781457</v>
      </c>
      <c r="R39" s="21">
        <f ca="1">G39*总规划!$G$117</f>
        <v>3</v>
      </c>
      <c r="S39" s="21">
        <f ca="1">K39/1000000*总规划!$G$105</f>
        <v>0.0750000000000001</v>
      </c>
      <c r="T39" s="21">
        <f ca="1">P39/1440*总规划!$G$106</f>
        <v>0.517384105960265</v>
      </c>
      <c r="U39" s="22">
        <f ca="1">_xlfn.FLOOR.MATH(R39*控制台!$E$2216+S39*控制台!$E$182+T39*控制台!$E$183)</f>
        <v>4330</v>
      </c>
      <c r="V39" s="4">
        <f ca="1" t="shared" si="5"/>
        <v>8660</v>
      </c>
    </row>
    <row r="40" spans="1:22">
      <c r="A40" s="1">
        <v>30501</v>
      </c>
      <c r="B40" s="1">
        <v>4</v>
      </c>
      <c r="C40" s="1">
        <v>3</v>
      </c>
      <c r="D40" s="1" t="s">
        <v>1294</v>
      </c>
      <c r="E40" s="1">
        <f ca="1">OFFSET(控制台!$F$2315,MATCH(A40,控制台!$B$2315:$B$2331,0)-1,0)</f>
        <v>10</v>
      </c>
      <c r="F40" s="1">
        <f ca="1">OFFSET(控制台!$D$2315,MATCH(A40,控制台!$B$2315:$B$2331,0)-1,0)</f>
        <v>5</v>
      </c>
      <c r="G40" s="1">
        <f ca="1">OFFSET(控制台!$G$2315,MATCH(A40,控制台!$B$2315:$B$2331,0)-1,0)+(B40-1)*OFFSET(控制台!$H$2315,MATCH(A40,控制台!$B$2315:$B$2331,0)-1,0)</f>
        <v>80</v>
      </c>
      <c r="H40" s="1">
        <f ca="1">OFFSET(控制台!$Q$2315,MATCH(A40,控制台!$B$2315:$B$2331,0)-1,0)+(B40-1)*OFFSET(控制台!$R$2315,MATCH(A40,控制台!$B$2315:$B$2331,0)-1,0)</f>
        <v>80000</v>
      </c>
      <c r="I40" s="1">
        <f ca="1">H40*控制台!$I$102</f>
        <v>60000</v>
      </c>
      <c r="J40" s="1">
        <f ca="1">H40*控制台!$J$102</f>
        <v>100000</v>
      </c>
      <c r="K40" s="1">
        <f ca="1" t="shared" si="0"/>
        <v>240000</v>
      </c>
      <c r="L40" s="4" t="str">
        <f ca="1" t="shared" si="1"/>
        <v>80;80000;60000;100000</v>
      </c>
      <c r="M40" s="1">
        <f ca="1">OFFSET(控制台!$K$2315,MATCH(A40,控制台!$B$2315:$B$2331,0)-1,0)+(B40-1)*OFFSET(控制台!$L$2315,MATCH(A40,控制台!$B$2315:$B$2331,0)-1,0)</f>
        <v>960</v>
      </c>
      <c r="N40" s="4">
        <f ca="1" t="shared" si="2"/>
        <v>57600</v>
      </c>
      <c r="O40" s="14">
        <f ca="1">OFFSET(控制台!$G$2224,MATCH(F40,控制台!$C$2224:$C$2295,0)-1,0)</f>
        <v>0.51</v>
      </c>
      <c r="P40" s="19">
        <f ca="1" t="shared" si="3"/>
        <v>635.761589403974</v>
      </c>
      <c r="Q40" s="20">
        <f ca="1" t="shared" si="4"/>
        <v>0.441501103752759</v>
      </c>
      <c r="R40" s="21">
        <f ca="1">G40*总规划!$G$117</f>
        <v>4</v>
      </c>
      <c r="S40" s="21">
        <f ca="1">K40/1000000*总规划!$G$105</f>
        <v>0.1</v>
      </c>
      <c r="T40" s="21">
        <f ca="1">P40/1440*总规划!$G$106</f>
        <v>0.689845474613687</v>
      </c>
      <c r="U40" s="22">
        <f ca="1">_xlfn.FLOOR.MATH(R40*控制台!$E$2216+S40*控制台!$E$182+T40*控制台!$E$183)</f>
        <v>5774</v>
      </c>
      <c r="V40" s="4">
        <f ca="1" t="shared" si="5"/>
        <v>14434</v>
      </c>
    </row>
    <row r="41" spans="1:22">
      <c r="A41" s="1">
        <v>30501</v>
      </c>
      <c r="B41" s="1">
        <v>5</v>
      </c>
      <c r="C41" s="1">
        <v>3</v>
      </c>
      <c r="D41" s="1" t="s">
        <v>1294</v>
      </c>
      <c r="E41" s="1">
        <f ca="1">OFFSET(控制台!$F$2315,MATCH(A41,控制台!$B$2315:$B$2331,0)-1,0)</f>
        <v>10</v>
      </c>
      <c r="F41" s="1">
        <f ca="1">OFFSET(控制台!$D$2315,MATCH(A41,控制台!$B$2315:$B$2331,0)-1,0)</f>
        <v>5</v>
      </c>
      <c r="G41" s="1">
        <f ca="1">OFFSET(控制台!$G$2315,MATCH(A41,控制台!$B$2315:$B$2331,0)-1,0)+(B41-1)*OFFSET(控制台!$H$2315,MATCH(A41,控制台!$B$2315:$B$2331,0)-1,0)</f>
        <v>100</v>
      </c>
      <c r="H41" s="1">
        <f ca="1">OFFSET(控制台!$Q$2315,MATCH(A41,控制台!$B$2315:$B$2331,0)-1,0)+(B41-1)*OFFSET(控制台!$R$2315,MATCH(A41,控制台!$B$2315:$B$2331,0)-1,0)</f>
        <v>100000</v>
      </c>
      <c r="I41" s="1">
        <f ca="1">H41*控制台!$I$102</f>
        <v>75000</v>
      </c>
      <c r="J41" s="1">
        <f ca="1">H41*控制台!$J$102</f>
        <v>125000</v>
      </c>
      <c r="K41" s="1">
        <f ca="1" t="shared" si="0"/>
        <v>300000</v>
      </c>
      <c r="L41" s="4" t="str">
        <f ca="1" t="shared" si="1"/>
        <v>100;100000;75000;125000</v>
      </c>
      <c r="M41" s="1">
        <f ca="1">OFFSET(控制台!$K$2315,MATCH(A41,控制台!$B$2315:$B$2331,0)-1,0)+(B41-1)*OFFSET(控制台!$L$2315,MATCH(A41,控制台!$B$2315:$B$2331,0)-1,0)</f>
        <v>1200</v>
      </c>
      <c r="N41" s="4">
        <f ca="1" t="shared" si="2"/>
        <v>72000</v>
      </c>
      <c r="O41" s="14">
        <f ca="1">OFFSET(控制台!$G$2224,MATCH(F41,控制台!$C$2224:$C$2295,0)-1,0)</f>
        <v>0.51</v>
      </c>
      <c r="P41" s="19">
        <f ca="1" t="shared" si="3"/>
        <v>794.701986754967</v>
      </c>
      <c r="Q41" s="20">
        <f ca="1" t="shared" si="4"/>
        <v>0.551876379690949</v>
      </c>
      <c r="R41" s="21">
        <f ca="1">G41*总规划!$G$117</f>
        <v>5</v>
      </c>
      <c r="S41" s="21">
        <f ca="1">K41/1000000*总规划!$G$105</f>
        <v>0.125</v>
      </c>
      <c r="T41" s="21">
        <f ca="1">P41/1440*总规划!$G$106</f>
        <v>0.862306843267108</v>
      </c>
      <c r="U41" s="22">
        <f ca="1">_xlfn.FLOOR.MATH(R41*控制台!$E$2216+S41*控制台!$E$182+T41*控制台!$E$183)</f>
        <v>7218</v>
      </c>
      <c r="V41" s="4">
        <f ca="1" t="shared" si="5"/>
        <v>21652</v>
      </c>
    </row>
    <row r="42" spans="1:22">
      <c r="A42" s="1">
        <v>30501</v>
      </c>
      <c r="B42" s="1">
        <v>6</v>
      </c>
      <c r="C42" s="1">
        <v>3</v>
      </c>
      <c r="D42" s="1" t="s">
        <v>1294</v>
      </c>
      <c r="E42" s="1">
        <f ca="1">OFFSET(控制台!$F$2315,MATCH(A42,控制台!$B$2315:$B$2331,0)-1,0)</f>
        <v>10</v>
      </c>
      <c r="F42" s="1">
        <f ca="1">OFFSET(控制台!$D$2315,MATCH(A42,控制台!$B$2315:$B$2331,0)-1,0)</f>
        <v>5</v>
      </c>
      <c r="G42" s="1">
        <f ca="1">OFFSET(控制台!$G$2315,MATCH(A42,控制台!$B$2315:$B$2331,0)-1,0)+(B42-1)*OFFSET(控制台!$H$2315,MATCH(A42,控制台!$B$2315:$B$2331,0)-1,0)</f>
        <v>120</v>
      </c>
      <c r="H42" s="1">
        <f ca="1">OFFSET(控制台!$Q$2315,MATCH(A42,控制台!$B$2315:$B$2331,0)-1,0)+(B42-1)*OFFSET(控制台!$R$2315,MATCH(A42,控制台!$B$2315:$B$2331,0)-1,0)</f>
        <v>120000</v>
      </c>
      <c r="I42" s="1">
        <f ca="1">H42*控制台!$I$102</f>
        <v>90000</v>
      </c>
      <c r="J42" s="1">
        <f ca="1">H42*控制台!$J$102</f>
        <v>150000</v>
      </c>
      <c r="K42" s="1">
        <f ca="1" t="shared" si="0"/>
        <v>360000</v>
      </c>
      <c r="L42" s="4" t="str">
        <f ca="1" t="shared" si="1"/>
        <v>120;120000;90000;150000</v>
      </c>
      <c r="M42" s="1">
        <f ca="1">OFFSET(控制台!$K$2315,MATCH(A42,控制台!$B$2315:$B$2331,0)-1,0)+(B42-1)*OFFSET(控制台!$L$2315,MATCH(A42,控制台!$B$2315:$B$2331,0)-1,0)</f>
        <v>1440</v>
      </c>
      <c r="N42" s="4">
        <f ca="1" t="shared" si="2"/>
        <v>86400</v>
      </c>
      <c r="O42" s="14">
        <f ca="1">OFFSET(控制台!$G$2224,MATCH(F42,控制台!$C$2224:$C$2295,0)-1,0)</f>
        <v>0.51</v>
      </c>
      <c r="P42" s="19">
        <f ca="1" t="shared" si="3"/>
        <v>953.64238410596</v>
      </c>
      <c r="Q42" s="20">
        <f ca="1" t="shared" si="4"/>
        <v>0.662251655629139</v>
      </c>
      <c r="R42" s="21">
        <f ca="1">G42*总规划!$G$117</f>
        <v>6</v>
      </c>
      <c r="S42" s="21">
        <f ca="1">K42/1000000*总规划!$G$105</f>
        <v>0.15</v>
      </c>
      <c r="T42" s="21">
        <f ca="1">P42/1440*总规划!$G$106</f>
        <v>1.03476821192053</v>
      </c>
      <c r="U42" s="22">
        <f ca="1">_xlfn.FLOOR.MATH(R42*控制台!$E$2216+S42*控制台!$E$182+T42*控制台!$E$183)</f>
        <v>8661</v>
      </c>
      <c r="V42" s="4">
        <f ca="1" t="shared" si="5"/>
        <v>30313</v>
      </c>
    </row>
    <row r="43" spans="1:22">
      <c r="A43" s="1">
        <v>30501</v>
      </c>
      <c r="B43" s="1">
        <v>7</v>
      </c>
      <c r="C43" s="1">
        <v>3</v>
      </c>
      <c r="D43" s="1" t="s">
        <v>1294</v>
      </c>
      <c r="E43" s="1">
        <f ca="1">OFFSET(控制台!$F$2315,MATCH(A43,控制台!$B$2315:$B$2331,0)-1,0)</f>
        <v>10</v>
      </c>
      <c r="F43" s="1">
        <f ca="1">OFFSET(控制台!$D$2315,MATCH(A43,控制台!$B$2315:$B$2331,0)-1,0)</f>
        <v>5</v>
      </c>
      <c r="G43" s="1">
        <f ca="1">OFFSET(控制台!$G$2315,MATCH(A43,控制台!$B$2315:$B$2331,0)-1,0)+(B43-1)*OFFSET(控制台!$H$2315,MATCH(A43,控制台!$B$2315:$B$2331,0)-1,0)</f>
        <v>140</v>
      </c>
      <c r="H43" s="1">
        <f ca="1">OFFSET(控制台!$Q$2315,MATCH(A43,控制台!$B$2315:$B$2331,0)-1,0)+(B43-1)*OFFSET(控制台!$R$2315,MATCH(A43,控制台!$B$2315:$B$2331,0)-1,0)</f>
        <v>140000</v>
      </c>
      <c r="I43" s="1">
        <f ca="1">H43*控制台!$I$102</f>
        <v>105000</v>
      </c>
      <c r="J43" s="1">
        <f ca="1">H43*控制台!$J$102</f>
        <v>175000</v>
      </c>
      <c r="K43" s="1">
        <f ca="1" t="shared" si="0"/>
        <v>420000</v>
      </c>
      <c r="L43" s="4" t="str">
        <f ca="1" t="shared" si="1"/>
        <v>140;140000;105000;175000</v>
      </c>
      <c r="M43" s="1">
        <f ca="1">OFFSET(控制台!$K$2315,MATCH(A43,控制台!$B$2315:$B$2331,0)-1,0)+(B43-1)*OFFSET(控制台!$L$2315,MATCH(A43,控制台!$B$2315:$B$2331,0)-1,0)</f>
        <v>1680</v>
      </c>
      <c r="N43" s="4">
        <f ca="1" t="shared" si="2"/>
        <v>100800</v>
      </c>
      <c r="O43" s="14">
        <f ca="1">OFFSET(控制台!$G$2224,MATCH(F43,控制台!$C$2224:$C$2295,0)-1,0)</f>
        <v>0.51</v>
      </c>
      <c r="P43" s="19">
        <f ca="1" t="shared" si="3"/>
        <v>1112.58278145695</v>
      </c>
      <c r="Q43" s="20">
        <f ca="1" t="shared" si="4"/>
        <v>0.772626931567329</v>
      </c>
      <c r="R43" s="21">
        <f ca="1">G43*总规划!$G$117</f>
        <v>7</v>
      </c>
      <c r="S43" s="21">
        <f ca="1">K43/1000000*总规划!$G$105</f>
        <v>0.175</v>
      </c>
      <c r="T43" s="21">
        <f ca="1">P43/1440*总规划!$G$106</f>
        <v>1.20722958057395</v>
      </c>
      <c r="U43" s="22">
        <f ca="1">_xlfn.FLOOR.MATH(R43*控制台!$E$2216+S43*控制台!$E$182+T43*控制台!$E$183)</f>
        <v>10105</v>
      </c>
      <c r="V43" s="4">
        <f ca="1" t="shared" si="5"/>
        <v>40418</v>
      </c>
    </row>
    <row r="44" spans="1:22">
      <c r="A44" s="1">
        <v>30501</v>
      </c>
      <c r="B44" s="1">
        <v>8</v>
      </c>
      <c r="C44" s="1">
        <v>3</v>
      </c>
      <c r="D44" s="1" t="s">
        <v>1294</v>
      </c>
      <c r="E44" s="1">
        <f ca="1">OFFSET(控制台!$F$2315,MATCH(A44,控制台!$B$2315:$B$2331,0)-1,0)</f>
        <v>10</v>
      </c>
      <c r="F44" s="1">
        <f ca="1">OFFSET(控制台!$D$2315,MATCH(A44,控制台!$B$2315:$B$2331,0)-1,0)</f>
        <v>5</v>
      </c>
      <c r="G44" s="1">
        <f ca="1">OFFSET(控制台!$G$2315,MATCH(A44,控制台!$B$2315:$B$2331,0)-1,0)+(B44-1)*OFFSET(控制台!$H$2315,MATCH(A44,控制台!$B$2315:$B$2331,0)-1,0)</f>
        <v>160</v>
      </c>
      <c r="H44" s="1">
        <f ca="1">OFFSET(控制台!$Q$2315,MATCH(A44,控制台!$B$2315:$B$2331,0)-1,0)+(B44-1)*OFFSET(控制台!$R$2315,MATCH(A44,控制台!$B$2315:$B$2331,0)-1,0)</f>
        <v>160000</v>
      </c>
      <c r="I44" s="1">
        <f ca="1">H44*控制台!$I$102</f>
        <v>120000</v>
      </c>
      <c r="J44" s="1">
        <f ca="1">H44*控制台!$J$102</f>
        <v>200000</v>
      </c>
      <c r="K44" s="1">
        <f ca="1" t="shared" si="0"/>
        <v>480000</v>
      </c>
      <c r="L44" s="4" t="str">
        <f ca="1" t="shared" si="1"/>
        <v>160;160000;120000;200000</v>
      </c>
      <c r="M44" s="1">
        <f ca="1">OFFSET(控制台!$K$2315,MATCH(A44,控制台!$B$2315:$B$2331,0)-1,0)+(B44-1)*OFFSET(控制台!$L$2315,MATCH(A44,控制台!$B$2315:$B$2331,0)-1,0)</f>
        <v>1920</v>
      </c>
      <c r="N44" s="4">
        <f ca="1" t="shared" si="2"/>
        <v>115200</v>
      </c>
      <c r="O44" s="14">
        <f ca="1">OFFSET(控制台!$G$2224,MATCH(F44,控制台!$C$2224:$C$2295,0)-1,0)</f>
        <v>0.51</v>
      </c>
      <c r="P44" s="19">
        <f ca="1" t="shared" si="3"/>
        <v>1271.52317880795</v>
      </c>
      <c r="Q44" s="20">
        <f ca="1" t="shared" si="4"/>
        <v>0.883002207505519</v>
      </c>
      <c r="R44" s="21">
        <f ca="1">G44*总规划!$G$117</f>
        <v>8</v>
      </c>
      <c r="S44" s="21">
        <f ca="1">K44/1000000*总规划!$G$105</f>
        <v>0.2</v>
      </c>
      <c r="T44" s="21">
        <f ca="1">P44/1440*总规划!$G$106</f>
        <v>1.37969094922737</v>
      </c>
      <c r="U44" s="22">
        <f ca="1">_xlfn.FLOOR.MATH(R44*控制台!$E$2216+S44*控制台!$E$182+T44*控制台!$E$183)</f>
        <v>11549</v>
      </c>
      <c r="V44" s="4">
        <f ca="1" t="shared" si="5"/>
        <v>51967</v>
      </c>
    </row>
    <row r="45" spans="1:22">
      <c r="A45" s="1">
        <v>30501</v>
      </c>
      <c r="B45" s="1">
        <v>9</v>
      </c>
      <c r="C45" s="1">
        <v>3</v>
      </c>
      <c r="D45" s="1" t="s">
        <v>1294</v>
      </c>
      <c r="E45" s="1">
        <f ca="1">OFFSET(控制台!$F$2315,MATCH(A45,控制台!$B$2315:$B$2331,0)-1,0)</f>
        <v>10</v>
      </c>
      <c r="F45" s="1">
        <f ca="1">OFFSET(控制台!$D$2315,MATCH(A45,控制台!$B$2315:$B$2331,0)-1,0)</f>
        <v>5</v>
      </c>
      <c r="G45" s="1">
        <f ca="1">OFFSET(控制台!$G$2315,MATCH(A45,控制台!$B$2315:$B$2331,0)-1,0)+(B45-1)*OFFSET(控制台!$H$2315,MATCH(A45,控制台!$B$2315:$B$2331,0)-1,0)</f>
        <v>180</v>
      </c>
      <c r="H45" s="1">
        <f ca="1">OFFSET(控制台!$Q$2315,MATCH(A45,控制台!$B$2315:$B$2331,0)-1,0)+(B45-1)*OFFSET(控制台!$R$2315,MATCH(A45,控制台!$B$2315:$B$2331,0)-1,0)</f>
        <v>180000</v>
      </c>
      <c r="I45" s="1">
        <f ca="1">H45*控制台!$I$102</f>
        <v>135000</v>
      </c>
      <c r="J45" s="1">
        <f ca="1">H45*控制台!$J$102</f>
        <v>225000</v>
      </c>
      <c r="K45" s="1">
        <f ca="1" t="shared" si="0"/>
        <v>540000</v>
      </c>
      <c r="L45" s="4" t="str">
        <f ca="1" t="shared" si="1"/>
        <v>180;180000;135000;225000</v>
      </c>
      <c r="M45" s="1">
        <f ca="1">OFFSET(控制台!$K$2315,MATCH(A45,控制台!$B$2315:$B$2331,0)-1,0)+(B45-1)*OFFSET(控制台!$L$2315,MATCH(A45,控制台!$B$2315:$B$2331,0)-1,0)</f>
        <v>2160</v>
      </c>
      <c r="N45" s="4">
        <f ca="1" t="shared" si="2"/>
        <v>129600</v>
      </c>
      <c r="O45" s="14">
        <f ca="1">OFFSET(控制台!$G$2224,MATCH(F45,控制台!$C$2224:$C$2295,0)-1,0)</f>
        <v>0.51</v>
      </c>
      <c r="P45" s="19">
        <f ca="1" t="shared" si="3"/>
        <v>1430.46357615894</v>
      </c>
      <c r="Q45" s="20">
        <f ca="1" t="shared" si="4"/>
        <v>0.993377483443709</v>
      </c>
      <c r="R45" s="21">
        <f ca="1">G45*总规划!$G$117</f>
        <v>9</v>
      </c>
      <c r="S45" s="21">
        <f ca="1">K45/1000000*总规划!$G$105</f>
        <v>0.225</v>
      </c>
      <c r="T45" s="21">
        <f ca="1">P45/1440*总规划!$G$106</f>
        <v>1.55215231788079</v>
      </c>
      <c r="U45" s="22">
        <f ca="1">_xlfn.FLOOR.MATH(R45*控制台!$E$2216+S45*控制台!$E$182+T45*控制台!$E$183)</f>
        <v>12992</v>
      </c>
      <c r="V45" s="4">
        <f ca="1" t="shared" si="5"/>
        <v>64959</v>
      </c>
    </row>
    <row r="46" spans="1:22">
      <c r="A46" s="1">
        <v>30501</v>
      </c>
      <c r="B46" s="1">
        <v>10</v>
      </c>
      <c r="C46" s="1">
        <v>3</v>
      </c>
      <c r="D46" s="1" t="s">
        <v>1294</v>
      </c>
      <c r="E46" s="1">
        <f ca="1">OFFSET(控制台!$F$2315,MATCH(A46,控制台!$B$2315:$B$2331,0)-1,0)</f>
        <v>10</v>
      </c>
      <c r="F46" s="1">
        <f ca="1">OFFSET(控制台!$D$2315,MATCH(A46,控制台!$B$2315:$B$2331,0)-1,0)</f>
        <v>5</v>
      </c>
      <c r="G46" s="1">
        <f ca="1">OFFSET(控制台!$G$2315,MATCH(A46,控制台!$B$2315:$B$2331,0)-1,0)+(B46-1)*OFFSET(控制台!$H$2315,MATCH(A46,控制台!$B$2315:$B$2331,0)-1,0)</f>
        <v>200</v>
      </c>
      <c r="H46" s="1">
        <f ca="1">OFFSET(控制台!$Q$2315,MATCH(A46,控制台!$B$2315:$B$2331,0)-1,0)+(B46-1)*OFFSET(控制台!$R$2315,MATCH(A46,控制台!$B$2315:$B$2331,0)-1,0)</f>
        <v>200000</v>
      </c>
      <c r="I46" s="1">
        <f ca="1">H46*控制台!$I$102</f>
        <v>150000</v>
      </c>
      <c r="J46" s="1">
        <f ca="1">H46*控制台!$J$102</f>
        <v>250000</v>
      </c>
      <c r="K46" s="1">
        <f ca="1" t="shared" si="0"/>
        <v>600000</v>
      </c>
      <c r="L46" s="4" t="str">
        <f ca="1" t="shared" si="1"/>
        <v>200;200000;150000;250000</v>
      </c>
      <c r="M46" s="1">
        <f ca="1">OFFSET(控制台!$K$2315,MATCH(A46,控制台!$B$2315:$B$2331,0)-1,0)+(B46-1)*OFFSET(控制台!$L$2315,MATCH(A46,控制台!$B$2315:$B$2331,0)-1,0)</f>
        <v>2400</v>
      </c>
      <c r="N46" s="4">
        <f ca="1" t="shared" si="2"/>
        <v>144000</v>
      </c>
      <c r="O46" s="14">
        <f ca="1">OFFSET(控制台!$G$2224,MATCH(F46,控制台!$C$2224:$C$2295,0)-1,0)</f>
        <v>0.51</v>
      </c>
      <c r="P46" s="19">
        <f ca="1" t="shared" si="3"/>
        <v>1589.40397350993</v>
      </c>
      <c r="Q46" s="20">
        <f ca="1" t="shared" si="4"/>
        <v>1.1037527593819</v>
      </c>
      <c r="R46" s="21">
        <f ca="1">G46*总规划!$G$117</f>
        <v>10</v>
      </c>
      <c r="S46" s="21">
        <f ca="1">K46/1000000*总规划!$G$105</f>
        <v>0.25</v>
      </c>
      <c r="T46" s="21">
        <f ca="1">P46/1440*总规划!$G$106</f>
        <v>1.72461368653422</v>
      </c>
      <c r="U46" s="22">
        <f ca="1">_xlfn.FLOOR.MATH(R46*控制台!$E$2216+S46*控制台!$E$182+T46*控制台!$E$183)</f>
        <v>14436</v>
      </c>
      <c r="V46" s="4">
        <f ca="1" t="shared" si="5"/>
        <v>79395</v>
      </c>
    </row>
    <row r="47" spans="1:22">
      <c r="A47" s="1">
        <v>30502</v>
      </c>
      <c r="B47" s="1">
        <v>1</v>
      </c>
      <c r="C47" s="1">
        <v>3</v>
      </c>
      <c r="D47" s="1" t="s">
        <v>1295</v>
      </c>
      <c r="E47" s="1">
        <f ca="1">OFFSET(控制台!$F$2315,MATCH(A47,控制台!$B$2315:$B$2331,0)-1,0)</f>
        <v>10</v>
      </c>
      <c r="F47" s="1">
        <f ca="1">OFFSET(控制台!$D$2315,MATCH(A47,控制台!$B$2315:$B$2331,0)-1,0)</f>
        <v>5</v>
      </c>
      <c r="G47" s="1">
        <f ca="1">OFFSET(控制台!$G$2315,MATCH(A47,控制台!$B$2315:$B$2331,0)-1,0)+(B47-1)*OFFSET(控制台!$H$2315,MATCH(A47,控制台!$B$2315:$B$2331,0)-1,0)</f>
        <v>20</v>
      </c>
      <c r="H47" s="1">
        <f ca="1">OFFSET(控制台!$Q$2315,MATCH(A47,控制台!$B$2315:$B$2331,0)-1,0)+(B47-1)*OFFSET(控制台!$R$2315,MATCH(A47,控制台!$B$2315:$B$2331,0)-1,0)</f>
        <v>20000</v>
      </c>
      <c r="I47" s="1">
        <f ca="1">H47*控制台!$I$102</f>
        <v>15000</v>
      </c>
      <c r="J47" s="1">
        <f ca="1">H47*控制台!$J$102</f>
        <v>25000</v>
      </c>
      <c r="K47" s="1">
        <f ca="1" t="shared" si="0"/>
        <v>60000</v>
      </c>
      <c r="L47" s="4" t="str">
        <f ca="1" t="shared" si="1"/>
        <v>20;20000;15000;25000</v>
      </c>
      <c r="M47" s="1">
        <f ca="1">OFFSET(控制台!$K$2315,MATCH(A47,控制台!$B$2315:$B$2331,0)-1,0)+(B47-1)*OFFSET(控制台!$L$2315,MATCH(A47,控制台!$B$2315:$B$2331,0)-1,0)</f>
        <v>240</v>
      </c>
      <c r="N47" s="4">
        <f ca="1" t="shared" si="2"/>
        <v>14400</v>
      </c>
      <c r="O47" s="14">
        <f ca="1">OFFSET(控制台!$G$2224,MATCH(F47,控制台!$C$2224:$C$2295,0)-1,0)</f>
        <v>0.51</v>
      </c>
      <c r="P47" s="19">
        <f ca="1" t="shared" si="3"/>
        <v>158.940397350993</v>
      </c>
      <c r="Q47" s="20">
        <f ca="1" t="shared" si="4"/>
        <v>0.11037527593819</v>
      </c>
      <c r="R47" s="21">
        <f ca="1">G47*总规划!$G$117</f>
        <v>1</v>
      </c>
      <c r="S47" s="21">
        <f ca="1">K47/1000000*总规划!$G$105</f>
        <v>0.025</v>
      </c>
      <c r="T47" s="21">
        <f ca="1">P47/1440*总规划!$G$106</f>
        <v>0.172461368653422</v>
      </c>
      <c r="U47" s="22">
        <f ca="1">_xlfn.FLOOR.MATH(R47*控制台!$E$2216+S47*控制台!$E$182+T47*控制台!$E$183)</f>
        <v>1443</v>
      </c>
      <c r="V47" s="4">
        <f ca="1" t="shared" si="5"/>
        <v>1443</v>
      </c>
    </row>
    <row r="48" spans="1:22">
      <c r="A48" s="1">
        <v>30502</v>
      </c>
      <c r="B48" s="1">
        <v>2</v>
      </c>
      <c r="C48" s="1">
        <v>3</v>
      </c>
      <c r="D48" s="1" t="s">
        <v>1295</v>
      </c>
      <c r="E48" s="1">
        <f ca="1">OFFSET(控制台!$F$2315,MATCH(A48,控制台!$B$2315:$B$2331,0)-1,0)</f>
        <v>10</v>
      </c>
      <c r="F48" s="1">
        <f ca="1">OFFSET(控制台!$D$2315,MATCH(A48,控制台!$B$2315:$B$2331,0)-1,0)</f>
        <v>5</v>
      </c>
      <c r="G48" s="1">
        <f ca="1">OFFSET(控制台!$G$2315,MATCH(A48,控制台!$B$2315:$B$2331,0)-1,0)+(B48-1)*OFFSET(控制台!$H$2315,MATCH(A48,控制台!$B$2315:$B$2331,0)-1,0)</f>
        <v>40</v>
      </c>
      <c r="H48" s="1">
        <f ca="1">OFFSET(控制台!$Q$2315,MATCH(A48,控制台!$B$2315:$B$2331,0)-1,0)+(B48-1)*OFFSET(控制台!$R$2315,MATCH(A48,控制台!$B$2315:$B$2331,0)-1,0)</f>
        <v>40000</v>
      </c>
      <c r="I48" s="1">
        <f ca="1">H48*控制台!$I$102</f>
        <v>30000</v>
      </c>
      <c r="J48" s="1">
        <f ca="1">H48*控制台!$J$102</f>
        <v>50000</v>
      </c>
      <c r="K48" s="1">
        <f ca="1" t="shared" si="0"/>
        <v>120000</v>
      </c>
      <c r="L48" s="4" t="str">
        <f ca="1" t="shared" si="1"/>
        <v>40;40000;30000;50000</v>
      </c>
      <c r="M48" s="1">
        <f ca="1">OFFSET(控制台!$K$2315,MATCH(A48,控制台!$B$2315:$B$2331,0)-1,0)+(B48-1)*OFFSET(控制台!$L$2315,MATCH(A48,控制台!$B$2315:$B$2331,0)-1,0)</f>
        <v>480</v>
      </c>
      <c r="N48" s="4">
        <f ca="1" t="shared" si="2"/>
        <v>28800</v>
      </c>
      <c r="O48" s="14">
        <f ca="1">OFFSET(控制台!$G$2224,MATCH(F48,控制台!$C$2224:$C$2295,0)-1,0)</f>
        <v>0.51</v>
      </c>
      <c r="P48" s="19">
        <f ca="1" t="shared" si="3"/>
        <v>317.880794701987</v>
      </c>
      <c r="Q48" s="20">
        <f ca="1" t="shared" si="4"/>
        <v>0.22075055187638</v>
      </c>
      <c r="R48" s="21">
        <f ca="1">G48*总规划!$G$117</f>
        <v>2</v>
      </c>
      <c r="S48" s="21">
        <f ca="1">K48/1000000*总规划!$G$105</f>
        <v>0.05</v>
      </c>
      <c r="T48" s="21">
        <f ca="1">P48/1440*总规划!$G$106</f>
        <v>0.344922737306843</v>
      </c>
      <c r="U48" s="22">
        <f ca="1">_xlfn.FLOOR.MATH(R48*控制台!$E$2216+S48*控制台!$E$182+T48*控制台!$E$183)</f>
        <v>2887</v>
      </c>
      <c r="V48" s="4">
        <f ca="1" t="shared" si="5"/>
        <v>4330</v>
      </c>
    </row>
    <row r="49" spans="1:22">
      <c r="A49" s="1">
        <v>30502</v>
      </c>
      <c r="B49" s="1">
        <v>3</v>
      </c>
      <c r="C49" s="1">
        <v>3</v>
      </c>
      <c r="D49" s="1" t="s">
        <v>1295</v>
      </c>
      <c r="E49" s="1">
        <f ca="1">OFFSET(控制台!$F$2315,MATCH(A49,控制台!$B$2315:$B$2331,0)-1,0)</f>
        <v>10</v>
      </c>
      <c r="F49" s="1">
        <f ca="1">OFFSET(控制台!$D$2315,MATCH(A49,控制台!$B$2315:$B$2331,0)-1,0)</f>
        <v>5</v>
      </c>
      <c r="G49" s="1">
        <f ca="1">OFFSET(控制台!$G$2315,MATCH(A49,控制台!$B$2315:$B$2331,0)-1,0)+(B49-1)*OFFSET(控制台!$H$2315,MATCH(A49,控制台!$B$2315:$B$2331,0)-1,0)</f>
        <v>60</v>
      </c>
      <c r="H49" s="1">
        <f ca="1">OFFSET(控制台!$Q$2315,MATCH(A49,控制台!$B$2315:$B$2331,0)-1,0)+(B49-1)*OFFSET(控制台!$R$2315,MATCH(A49,控制台!$B$2315:$B$2331,0)-1,0)</f>
        <v>60000</v>
      </c>
      <c r="I49" s="1">
        <f ca="1">H49*控制台!$I$102</f>
        <v>45000</v>
      </c>
      <c r="J49" s="1">
        <f ca="1">H49*控制台!$J$102</f>
        <v>75000</v>
      </c>
      <c r="K49" s="1">
        <f ca="1" t="shared" si="0"/>
        <v>180000</v>
      </c>
      <c r="L49" s="4" t="str">
        <f ca="1" t="shared" si="1"/>
        <v>60;60000;45000;75000</v>
      </c>
      <c r="M49" s="1">
        <f ca="1">OFFSET(控制台!$K$2315,MATCH(A49,控制台!$B$2315:$B$2331,0)-1,0)+(B49-1)*OFFSET(控制台!$L$2315,MATCH(A49,控制台!$B$2315:$B$2331,0)-1,0)</f>
        <v>720</v>
      </c>
      <c r="N49" s="4">
        <f ca="1" t="shared" si="2"/>
        <v>43200</v>
      </c>
      <c r="O49" s="14">
        <f ca="1">OFFSET(控制台!$G$2224,MATCH(F49,控制台!$C$2224:$C$2295,0)-1,0)</f>
        <v>0.51</v>
      </c>
      <c r="P49" s="19">
        <f ca="1" t="shared" si="3"/>
        <v>476.82119205298</v>
      </c>
      <c r="Q49" s="20">
        <f ca="1" t="shared" si="4"/>
        <v>0.33112582781457</v>
      </c>
      <c r="R49" s="21">
        <f ca="1">G49*总规划!$G$117</f>
        <v>3</v>
      </c>
      <c r="S49" s="21">
        <f ca="1">K49/1000000*总规划!$G$105</f>
        <v>0.0750000000000001</v>
      </c>
      <c r="T49" s="21">
        <f ca="1">P49/1440*总规划!$G$106</f>
        <v>0.517384105960265</v>
      </c>
      <c r="U49" s="22">
        <f ca="1">_xlfn.FLOOR.MATH(R49*控制台!$E$2216+S49*控制台!$E$182+T49*控制台!$E$183)</f>
        <v>4330</v>
      </c>
      <c r="V49" s="4">
        <f ca="1" t="shared" si="5"/>
        <v>8660</v>
      </c>
    </row>
    <row r="50" spans="1:22">
      <c r="A50" s="1">
        <v>30502</v>
      </c>
      <c r="B50" s="1">
        <v>4</v>
      </c>
      <c r="C50" s="1">
        <v>3</v>
      </c>
      <c r="D50" s="1" t="s">
        <v>1295</v>
      </c>
      <c r="E50" s="1">
        <f ca="1">OFFSET(控制台!$F$2315,MATCH(A50,控制台!$B$2315:$B$2331,0)-1,0)</f>
        <v>10</v>
      </c>
      <c r="F50" s="1">
        <f ca="1">OFFSET(控制台!$D$2315,MATCH(A50,控制台!$B$2315:$B$2331,0)-1,0)</f>
        <v>5</v>
      </c>
      <c r="G50" s="1">
        <f ca="1">OFFSET(控制台!$G$2315,MATCH(A50,控制台!$B$2315:$B$2331,0)-1,0)+(B50-1)*OFFSET(控制台!$H$2315,MATCH(A50,控制台!$B$2315:$B$2331,0)-1,0)</f>
        <v>80</v>
      </c>
      <c r="H50" s="1">
        <f ca="1">OFFSET(控制台!$Q$2315,MATCH(A50,控制台!$B$2315:$B$2331,0)-1,0)+(B50-1)*OFFSET(控制台!$R$2315,MATCH(A50,控制台!$B$2315:$B$2331,0)-1,0)</f>
        <v>80000</v>
      </c>
      <c r="I50" s="1">
        <f ca="1">H50*控制台!$I$102</f>
        <v>60000</v>
      </c>
      <c r="J50" s="1">
        <f ca="1">H50*控制台!$J$102</f>
        <v>100000</v>
      </c>
      <c r="K50" s="1">
        <f ca="1" t="shared" si="0"/>
        <v>240000</v>
      </c>
      <c r="L50" s="4" t="str">
        <f ca="1" t="shared" si="1"/>
        <v>80;80000;60000;100000</v>
      </c>
      <c r="M50" s="1">
        <f ca="1">OFFSET(控制台!$K$2315,MATCH(A50,控制台!$B$2315:$B$2331,0)-1,0)+(B50-1)*OFFSET(控制台!$L$2315,MATCH(A50,控制台!$B$2315:$B$2331,0)-1,0)</f>
        <v>960</v>
      </c>
      <c r="N50" s="4">
        <f ca="1" t="shared" si="2"/>
        <v>57600</v>
      </c>
      <c r="O50" s="14">
        <f ca="1">OFFSET(控制台!$G$2224,MATCH(F50,控制台!$C$2224:$C$2295,0)-1,0)</f>
        <v>0.51</v>
      </c>
      <c r="P50" s="19">
        <f ca="1" t="shared" si="3"/>
        <v>635.761589403974</v>
      </c>
      <c r="Q50" s="20">
        <f ca="1" t="shared" si="4"/>
        <v>0.441501103752759</v>
      </c>
      <c r="R50" s="21">
        <f ca="1">G50*总规划!$G$117</f>
        <v>4</v>
      </c>
      <c r="S50" s="21">
        <f ca="1">K50/1000000*总规划!$G$105</f>
        <v>0.1</v>
      </c>
      <c r="T50" s="21">
        <f ca="1">P50/1440*总规划!$G$106</f>
        <v>0.689845474613687</v>
      </c>
      <c r="U50" s="22">
        <f ca="1">_xlfn.FLOOR.MATH(R50*控制台!$E$2216+S50*控制台!$E$182+T50*控制台!$E$183)</f>
        <v>5774</v>
      </c>
      <c r="V50" s="4">
        <f ca="1" t="shared" si="5"/>
        <v>14434</v>
      </c>
    </row>
    <row r="51" spans="1:22">
      <c r="A51" s="1">
        <v>30502</v>
      </c>
      <c r="B51" s="1">
        <v>5</v>
      </c>
      <c r="C51" s="1">
        <v>3</v>
      </c>
      <c r="D51" s="1" t="s">
        <v>1295</v>
      </c>
      <c r="E51" s="1">
        <f ca="1">OFFSET(控制台!$F$2315,MATCH(A51,控制台!$B$2315:$B$2331,0)-1,0)</f>
        <v>10</v>
      </c>
      <c r="F51" s="1">
        <f ca="1">OFFSET(控制台!$D$2315,MATCH(A51,控制台!$B$2315:$B$2331,0)-1,0)</f>
        <v>5</v>
      </c>
      <c r="G51" s="1">
        <f ca="1">OFFSET(控制台!$G$2315,MATCH(A51,控制台!$B$2315:$B$2331,0)-1,0)+(B51-1)*OFFSET(控制台!$H$2315,MATCH(A51,控制台!$B$2315:$B$2331,0)-1,0)</f>
        <v>100</v>
      </c>
      <c r="H51" s="1">
        <f ca="1">OFFSET(控制台!$Q$2315,MATCH(A51,控制台!$B$2315:$B$2331,0)-1,0)+(B51-1)*OFFSET(控制台!$R$2315,MATCH(A51,控制台!$B$2315:$B$2331,0)-1,0)</f>
        <v>100000</v>
      </c>
      <c r="I51" s="1">
        <f ca="1">H51*控制台!$I$102</f>
        <v>75000</v>
      </c>
      <c r="J51" s="1">
        <f ca="1">H51*控制台!$J$102</f>
        <v>125000</v>
      </c>
      <c r="K51" s="1">
        <f ca="1" t="shared" si="0"/>
        <v>300000</v>
      </c>
      <c r="L51" s="4" t="str">
        <f ca="1" t="shared" si="1"/>
        <v>100;100000;75000;125000</v>
      </c>
      <c r="M51" s="1">
        <f ca="1">OFFSET(控制台!$K$2315,MATCH(A51,控制台!$B$2315:$B$2331,0)-1,0)+(B51-1)*OFFSET(控制台!$L$2315,MATCH(A51,控制台!$B$2315:$B$2331,0)-1,0)</f>
        <v>1200</v>
      </c>
      <c r="N51" s="4">
        <f ca="1" t="shared" si="2"/>
        <v>72000</v>
      </c>
      <c r="O51" s="14">
        <f ca="1">OFFSET(控制台!$G$2224,MATCH(F51,控制台!$C$2224:$C$2295,0)-1,0)</f>
        <v>0.51</v>
      </c>
      <c r="P51" s="19">
        <f ca="1" t="shared" si="3"/>
        <v>794.701986754967</v>
      </c>
      <c r="Q51" s="20">
        <f ca="1" t="shared" si="4"/>
        <v>0.551876379690949</v>
      </c>
      <c r="R51" s="21">
        <f ca="1">G51*总规划!$G$117</f>
        <v>5</v>
      </c>
      <c r="S51" s="21">
        <f ca="1">K51/1000000*总规划!$G$105</f>
        <v>0.125</v>
      </c>
      <c r="T51" s="21">
        <f ca="1">P51/1440*总规划!$G$106</f>
        <v>0.862306843267108</v>
      </c>
      <c r="U51" s="22">
        <f ca="1">_xlfn.FLOOR.MATH(R51*控制台!$E$2216+S51*控制台!$E$182+T51*控制台!$E$183)</f>
        <v>7218</v>
      </c>
      <c r="V51" s="4">
        <f ca="1" t="shared" si="5"/>
        <v>21652</v>
      </c>
    </row>
    <row r="52" spans="1:22">
      <c r="A52" s="1">
        <v>30502</v>
      </c>
      <c r="B52" s="1">
        <v>6</v>
      </c>
      <c r="C52" s="1">
        <v>3</v>
      </c>
      <c r="D52" s="1" t="s">
        <v>1295</v>
      </c>
      <c r="E52" s="1">
        <f ca="1">OFFSET(控制台!$F$2315,MATCH(A52,控制台!$B$2315:$B$2331,0)-1,0)</f>
        <v>10</v>
      </c>
      <c r="F52" s="1">
        <f ca="1">OFFSET(控制台!$D$2315,MATCH(A52,控制台!$B$2315:$B$2331,0)-1,0)</f>
        <v>5</v>
      </c>
      <c r="G52" s="1">
        <f ca="1">OFFSET(控制台!$G$2315,MATCH(A52,控制台!$B$2315:$B$2331,0)-1,0)+(B52-1)*OFFSET(控制台!$H$2315,MATCH(A52,控制台!$B$2315:$B$2331,0)-1,0)</f>
        <v>120</v>
      </c>
      <c r="H52" s="1">
        <f ca="1">OFFSET(控制台!$Q$2315,MATCH(A52,控制台!$B$2315:$B$2331,0)-1,0)+(B52-1)*OFFSET(控制台!$R$2315,MATCH(A52,控制台!$B$2315:$B$2331,0)-1,0)</f>
        <v>120000</v>
      </c>
      <c r="I52" s="1">
        <f ca="1">H52*控制台!$I$102</f>
        <v>90000</v>
      </c>
      <c r="J52" s="1">
        <f ca="1">H52*控制台!$J$102</f>
        <v>150000</v>
      </c>
      <c r="K52" s="1">
        <f ca="1" t="shared" si="0"/>
        <v>360000</v>
      </c>
      <c r="L52" s="4" t="str">
        <f ca="1" t="shared" si="1"/>
        <v>120;120000;90000;150000</v>
      </c>
      <c r="M52" s="1">
        <f ca="1">OFFSET(控制台!$K$2315,MATCH(A52,控制台!$B$2315:$B$2331,0)-1,0)+(B52-1)*OFFSET(控制台!$L$2315,MATCH(A52,控制台!$B$2315:$B$2331,0)-1,0)</f>
        <v>1440</v>
      </c>
      <c r="N52" s="4">
        <f ca="1" t="shared" si="2"/>
        <v>86400</v>
      </c>
      <c r="O52" s="14">
        <f ca="1">OFFSET(控制台!$G$2224,MATCH(F52,控制台!$C$2224:$C$2295,0)-1,0)</f>
        <v>0.51</v>
      </c>
      <c r="P52" s="19">
        <f ca="1" t="shared" si="3"/>
        <v>953.64238410596</v>
      </c>
      <c r="Q52" s="20">
        <f ca="1" t="shared" si="4"/>
        <v>0.662251655629139</v>
      </c>
      <c r="R52" s="21">
        <f ca="1">G52*总规划!$G$117</f>
        <v>6</v>
      </c>
      <c r="S52" s="21">
        <f ca="1">K52/1000000*总规划!$G$105</f>
        <v>0.15</v>
      </c>
      <c r="T52" s="21">
        <f ca="1">P52/1440*总规划!$G$106</f>
        <v>1.03476821192053</v>
      </c>
      <c r="U52" s="22">
        <f ca="1">_xlfn.FLOOR.MATH(R52*控制台!$E$2216+S52*控制台!$E$182+T52*控制台!$E$183)</f>
        <v>8661</v>
      </c>
      <c r="V52" s="4">
        <f ca="1" t="shared" si="5"/>
        <v>30313</v>
      </c>
    </row>
    <row r="53" spans="1:22">
      <c r="A53" s="1">
        <v>30502</v>
      </c>
      <c r="B53" s="1">
        <v>7</v>
      </c>
      <c r="C53" s="1">
        <v>3</v>
      </c>
      <c r="D53" s="1" t="s">
        <v>1295</v>
      </c>
      <c r="E53" s="1">
        <f ca="1">OFFSET(控制台!$F$2315,MATCH(A53,控制台!$B$2315:$B$2331,0)-1,0)</f>
        <v>10</v>
      </c>
      <c r="F53" s="1">
        <f ca="1">OFFSET(控制台!$D$2315,MATCH(A53,控制台!$B$2315:$B$2331,0)-1,0)</f>
        <v>5</v>
      </c>
      <c r="G53" s="1">
        <f ca="1">OFFSET(控制台!$G$2315,MATCH(A53,控制台!$B$2315:$B$2331,0)-1,0)+(B53-1)*OFFSET(控制台!$H$2315,MATCH(A53,控制台!$B$2315:$B$2331,0)-1,0)</f>
        <v>140</v>
      </c>
      <c r="H53" s="1">
        <f ca="1">OFFSET(控制台!$Q$2315,MATCH(A53,控制台!$B$2315:$B$2331,0)-1,0)+(B53-1)*OFFSET(控制台!$R$2315,MATCH(A53,控制台!$B$2315:$B$2331,0)-1,0)</f>
        <v>140000</v>
      </c>
      <c r="I53" s="1">
        <f ca="1">H53*控制台!$I$102</f>
        <v>105000</v>
      </c>
      <c r="J53" s="1">
        <f ca="1">H53*控制台!$J$102</f>
        <v>175000</v>
      </c>
      <c r="K53" s="1">
        <f ca="1" t="shared" si="0"/>
        <v>420000</v>
      </c>
      <c r="L53" s="4" t="str">
        <f ca="1" t="shared" si="1"/>
        <v>140;140000;105000;175000</v>
      </c>
      <c r="M53" s="1">
        <f ca="1">OFFSET(控制台!$K$2315,MATCH(A53,控制台!$B$2315:$B$2331,0)-1,0)+(B53-1)*OFFSET(控制台!$L$2315,MATCH(A53,控制台!$B$2315:$B$2331,0)-1,0)</f>
        <v>1680</v>
      </c>
      <c r="N53" s="4">
        <f ca="1" t="shared" si="2"/>
        <v>100800</v>
      </c>
      <c r="O53" s="14">
        <f ca="1">OFFSET(控制台!$G$2224,MATCH(F53,控制台!$C$2224:$C$2295,0)-1,0)</f>
        <v>0.51</v>
      </c>
      <c r="P53" s="19">
        <f ca="1" t="shared" si="3"/>
        <v>1112.58278145695</v>
      </c>
      <c r="Q53" s="20">
        <f ca="1" t="shared" si="4"/>
        <v>0.772626931567329</v>
      </c>
      <c r="R53" s="21">
        <f ca="1">G53*总规划!$G$117</f>
        <v>7</v>
      </c>
      <c r="S53" s="21">
        <f ca="1">K53/1000000*总规划!$G$105</f>
        <v>0.175</v>
      </c>
      <c r="T53" s="21">
        <f ca="1">P53/1440*总规划!$G$106</f>
        <v>1.20722958057395</v>
      </c>
      <c r="U53" s="22">
        <f ca="1">_xlfn.FLOOR.MATH(R53*控制台!$E$2216+S53*控制台!$E$182+T53*控制台!$E$183)</f>
        <v>10105</v>
      </c>
      <c r="V53" s="4">
        <f ca="1" t="shared" si="5"/>
        <v>40418</v>
      </c>
    </row>
    <row r="54" spans="1:22">
      <c r="A54" s="1">
        <v>30502</v>
      </c>
      <c r="B54" s="1">
        <v>8</v>
      </c>
      <c r="C54" s="1">
        <v>3</v>
      </c>
      <c r="D54" s="1" t="s">
        <v>1295</v>
      </c>
      <c r="E54" s="1">
        <f ca="1">OFFSET(控制台!$F$2315,MATCH(A54,控制台!$B$2315:$B$2331,0)-1,0)</f>
        <v>10</v>
      </c>
      <c r="F54" s="1">
        <f ca="1">OFFSET(控制台!$D$2315,MATCH(A54,控制台!$B$2315:$B$2331,0)-1,0)</f>
        <v>5</v>
      </c>
      <c r="G54" s="1">
        <f ca="1">OFFSET(控制台!$G$2315,MATCH(A54,控制台!$B$2315:$B$2331,0)-1,0)+(B54-1)*OFFSET(控制台!$H$2315,MATCH(A54,控制台!$B$2315:$B$2331,0)-1,0)</f>
        <v>160</v>
      </c>
      <c r="H54" s="1">
        <f ca="1">OFFSET(控制台!$Q$2315,MATCH(A54,控制台!$B$2315:$B$2331,0)-1,0)+(B54-1)*OFFSET(控制台!$R$2315,MATCH(A54,控制台!$B$2315:$B$2331,0)-1,0)</f>
        <v>160000</v>
      </c>
      <c r="I54" s="1">
        <f ca="1">H54*控制台!$I$102</f>
        <v>120000</v>
      </c>
      <c r="J54" s="1">
        <f ca="1">H54*控制台!$J$102</f>
        <v>200000</v>
      </c>
      <c r="K54" s="1">
        <f ca="1" t="shared" si="0"/>
        <v>480000</v>
      </c>
      <c r="L54" s="4" t="str">
        <f ca="1" t="shared" si="1"/>
        <v>160;160000;120000;200000</v>
      </c>
      <c r="M54" s="1">
        <f ca="1">OFFSET(控制台!$K$2315,MATCH(A54,控制台!$B$2315:$B$2331,0)-1,0)+(B54-1)*OFFSET(控制台!$L$2315,MATCH(A54,控制台!$B$2315:$B$2331,0)-1,0)</f>
        <v>1920</v>
      </c>
      <c r="N54" s="4">
        <f ca="1" t="shared" si="2"/>
        <v>115200</v>
      </c>
      <c r="O54" s="14">
        <f ca="1">OFFSET(控制台!$G$2224,MATCH(F54,控制台!$C$2224:$C$2295,0)-1,0)</f>
        <v>0.51</v>
      </c>
      <c r="P54" s="19">
        <f ca="1" t="shared" si="3"/>
        <v>1271.52317880795</v>
      </c>
      <c r="Q54" s="20">
        <f ca="1" t="shared" si="4"/>
        <v>0.883002207505519</v>
      </c>
      <c r="R54" s="21">
        <f ca="1">G54*总规划!$G$117</f>
        <v>8</v>
      </c>
      <c r="S54" s="21">
        <f ca="1">K54/1000000*总规划!$G$105</f>
        <v>0.2</v>
      </c>
      <c r="T54" s="21">
        <f ca="1">P54/1440*总规划!$G$106</f>
        <v>1.37969094922737</v>
      </c>
      <c r="U54" s="22">
        <f ca="1">_xlfn.FLOOR.MATH(R54*控制台!$E$2216+S54*控制台!$E$182+T54*控制台!$E$183)</f>
        <v>11549</v>
      </c>
      <c r="V54" s="4">
        <f ca="1" t="shared" si="5"/>
        <v>51967</v>
      </c>
    </row>
    <row r="55" spans="1:22">
      <c r="A55" s="1">
        <v>30502</v>
      </c>
      <c r="B55" s="1">
        <v>9</v>
      </c>
      <c r="C55" s="1">
        <v>3</v>
      </c>
      <c r="D55" s="1" t="s">
        <v>1295</v>
      </c>
      <c r="E55" s="1">
        <f ca="1">OFFSET(控制台!$F$2315,MATCH(A55,控制台!$B$2315:$B$2331,0)-1,0)</f>
        <v>10</v>
      </c>
      <c r="F55" s="1">
        <f ca="1">OFFSET(控制台!$D$2315,MATCH(A55,控制台!$B$2315:$B$2331,0)-1,0)</f>
        <v>5</v>
      </c>
      <c r="G55" s="1">
        <f ca="1">OFFSET(控制台!$G$2315,MATCH(A55,控制台!$B$2315:$B$2331,0)-1,0)+(B55-1)*OFFSET(控制台!$H$2315,MATCH(A55,控制台!$B$2315:$B$2331,0)-1,0)</f>
        <v>180</v>
      </c>
      <c r="H55" s="1">
        <f ca="1">OFFSET(控制台!$Q$2315,MATCH(A55,控制台!$B$2315:$B$2331,0)-1,0)+(B55-1)*OFFSET(控制台!$R$2315,MATCH(A55,控制台!$B$2315:$B$2331,0)-1,0)</f>
        <v>180000</v>
      </c>
      <c r="I55" s="1">
        <f ca="1">H55*控制台!$I$102</f>
        <v>135000</v>
      </c>
      <c r="J55" s="1">
        <f ca="1">H55*控制台!$J$102</f>
        <v>225000</v>
      </c>
      <c r="K55" s="1">
        <f ca="1" t="shared" si="0"/>
        <v>540000</v>
      </c>
      <c r="L55" s="4" t="str">
        <f ca="1" t="shared" si="1"/>
        <v>180;180000;135000;225000</v>
      </c>
      <c r="M55" s="1">
        <f ca="1">OFFSET(控制台!$K$2315,MATCH(A55,控制台!$B$2315:$B$2331,0)-1,0)+(B55-1)*OFFSET(控制台!$L$2315,MATCH(A55,控制台!$B$2315:$B$2331,0)-1,0)</f>
        <v>2160</v>
      </c>
      <c r="N55" s="4">
        <f ca="1" t="shared" si="2"/>
        <v>129600</v>
      </c>
      <c r="O55" s="14">
        <f ca="1">OFFSET(控制台!$G$2224,MATCH(F55,控制台!$C$2224:$C$2295,0)-1,0)</f>
        <v>0.51</v>
      </c>
      <c r="P55" s="19">
        <f ca="1" t="shared" si="3"/>
        <v>1430.46357615894</v>
      </c>
      <c r="Q55" s="20">
        <f ca="1" t="shared" si="4"/>
        <v>0.993377483443709</v>
      </c>
      <c r="R55" s="21">
        <f ca="1">G55*总规划!$G$117</f>
        <v>9</v>
      </c>
      <c r="S55" s="21">
        <f ca="1">K55/1000000*总规划!$G$105</f>
        <v>0.225</v>
      </c>
      <c r="T55" s="21">
        <f ca="1">P55/1440*总规划!$G$106</f>
        <v>1.55215231788079</v>
      </c>
      <c r="U55" s="22">
        <f ca="1">_xlfn.FLOOR.MATH(R55*控制台!$E$2216+S55*控制台!$E$182+T55*控制台!$E$183)</f>
        <v>12992</v>
      </c>
      <c r="V55" s="4">
        <f ca="1" t="shared" si="5"/>
        <v>64959</v>
      </c>
    </row>
    <row r="56" spans="1:22">
      <c r="A56" s="1">
        <v>30502</v>
      </c>
      <c r="B56" s="1">
        <v>10</v>
      </c>
      <c r="C56" s="1">
        <v>3</v>
      </c>
      <c r="D56" s="1" t="s">
        <v>1295</v>
      </c>
      <c r="E56" s="1">
        <f ca="1">OFFSET(控制台!$F$2315,MATCH(A56,控制台!$B$2315:$B$2331,0)-1,0)</f>
        <v>10</v>
      </c>
      <c r="F56" s="1">
        <f ca="1">OFFSET(控制台!$D$2315,MATCH(A56,控制台!$B$2315:$B$2331,0)-1,0)</f>
        <v>5</v>
      </c>
      <c r="G56" s="1">
        <f ca="1">OFFSET(控制台!$G$2315,MATCH(A56,控制台!$B$2315:$B$2331,0)-1,0)+(B56-1)*OFFSET(控制台!$H$2315,MATCH(A56,控制台!$B$2315:$B$2331,0)-1,0)</f>
        <v>200</v>
      </c>
      <c r="H56" s="1">
        <f ca="1">OFFSET(控制台!$Q$2315,MATCH(A56,控制台!$B$2315:$B$2331,0)-1,0)+(B56-1)*OFFSET(控制台!$R$2315,MATCH(A56,控制台!$B$2315:$B$2331,0)-1,0)</f>
        <v>200000</v>
      </c>
      <c r="I56" s="1">
        <f ca="1">H56*控制台!$I$102</f>
        <v>150000</v>
      </c>
      <c r="J56" s="1">
        <f ca="1">H56*控制台!$J$102</f>
        <v>250000</v>
      </c>
      <c r="K56" s="1">
        <f ca="1" t="shared" si="0"/>
        <v>600000</v>
      </c>
      <c r="L56" s="4" t="str">
        <f ca="1" t="shared" si="1"/>
        <v>200;200000;150000;250000</v>
      </c>
      <c r="M56" s="1">
        <f ca="1">OFFSET(控制台!$K$2315,MATCH(A56,控制台!$B$2315:$B$2331,0)-1,0)+(B56-1)*OFFSET(控制台!$L$2315,MATCH(A56,控制台!$B$2315:$B$2331,0)-1,0)</f>
        <v>2400</v>
      </c>
      <c r="N56" s="4">
        <f ca="1" t="shared" si="2"/>
        <v>144000</v>
      </c>
      <c r="O56" s="14">
        <f ca="1">OFFSET(控制台!$G$2224,MATCH(F56,控制台!$C$2224:$C$2295,0)-1,0)</f>
        <v>0.51</v>
      </c>
      <c r="P56" s="19">
        <f ca="1" t="shared" si="3"/>
        <v>1589.40397350993</v>
      </c>
      <c r="Q56" s="20">
        <f ca="1" t="shared" si="4"/>
        <v>1.1037527593819</v>
      </c>
      <c r="R56" s="21">
        <f ca="1">G56*总规划!$G$117</f>
        <v>10</v>
      </c>
      <c r="S56" s="21">
        <f ca="1">K56/1000000*总规划!$G$105</f>
        <v>0.25</v>
      </c>
      <c r="T56" s="21">
        <f ca="1">P56/1440*总规划!$G$106</f>
        <v>1.72461368653422</v>
      </c>
      <c r="U56" s="22">
        <f ca="1">_xlfn.FLOOR.MATH(R56*控制台!$E$2216+S56*控制台!$E$182+T56*控制台!$E$183)</f>
        <v>14436</v>
      </c>
      <c r="V56" s="4">
        <f ca="1" t="shared" si="5"/>
        <v>79395</v>
      </c>
    </row>
    <row r="57" spans="1:22">
      <c r="A57" s="1">
        <v>30601</v>
      </c>
      <c r="B57" s="1">
        <v>1</v>
      </c>
      <c r="C57" s="1">
        <v>3</v>
      </c>
      <c r="D57" s="1" t="s">
        <v>1296</v>
      </c>
      <c r="E57" s="1">
        <f ca="1">OFFSET(控制台!$F$2315,MATCH(A57,控制台!$B$2315:$B$2331,0)-1,0)</f>
        <v>10</v>
      </c>
      <c r="F57" s="1">
        <f ca="1">OFFSET(控制台!$D$2315,MATCH(A57,控制台!$B$2315:$B$2331,0)-1,0)</f>
        <v>6</v>
      </c>
      <c r="G57" s="1">
        <f ca="1">OFFSET(控制台!$G$2315,MATCH(A57,控制台!$B$2315:$B$2331,0)-1,0)+(B57-1)*OFFSET(控制台!$H$2315,MATCH(A57,控制台!$B$2315:$B$2331,0)-1,0)</f>
        <v>30</v>
      </c>
      <c r="H57" s="1">
        <f ca="1">OFFSET(控制台!$Q$2315,MATCH(A57,控制台!$B$2315:$B$2331,0)-1,0)+(B57-1)*OFFSET(控制台!$R$2315,MATCH(A57,控制台!$B$2315:$B$2331,0)-1,0)</f>
        <v>30000</v>
      </c>
      <c r="I57" s="1">
        <f ca="1">H57*控制台!$I$102</f>
        <v>22500</v>
      </c>
      <c r="J57" s="1">
        <f ca="1">H57*控制台!$J$102</f>
        <v>37500</v>
      </c>
      <c r="K57" s="1">
        <f ca="1" t="shared" si="0"/>
        <v>90000</v>
      </c>
      <c r="L57" s="4" t="str">
        <f ca="1" t="shared" si="1"/>
        <v>30;30000;22500;37500</v>
      </c>
      <c r="M57" s="1">
        <f ca="1">OFFSET(控制台!$K$2315,MATCH(A57,控制台!$B$2315:$B$2331,0)-1,0)+(B57-1)*OFFSET(控制台!$L$2315,MATCH(A57,控制台!$B$2315:$B$2331,0)-1,0)</f>
        <v>480</v>
      </c>
      <c r="N57" s="4">
        <f ca="1" t="shared" si="2"/>
        <v>28800</v>
      </c>
      <c r="O57" s="14">
        <f ca="1">OFFSET(控制台!$G$2224,MATCH(F57,控制台!$C$2224:$C$2295,0)-1,0)</f>
        <v>0.51</v>
      </c>
      <c r="P57" s="19">
        <f ca="1" t="shared" si="3"/>
        <v>317.880794701987</v>
      </c>
      <c r="Q57" s="20">
        <f ca="1" t="shared" si="4"/>
        <v>0.22075055187638</v>
      </c>
      <c r="R57" s="21">
        <f ca="1">G57*总规划!$G$117</f>
        <v>1.5</v>
      </c>
      <c r="S57" s="21">
        <f ca="1">K57/1000000*总规划!$G$105</f>
        <v>0.0375</v>
      </c>
      <c r="T57" s="21">
        <f ca="1">P57/1440*总规划!$G$106</f>
        <v>0.344922737306843</v>
      </c>
      <c r="U57" s="22">
        <f ca="1">_xlfn.FLOOR.MATH(R57*控制台!$E$2216+S57*控制台!$E$182+T57*控制台!$E$183)</f>
        <v>2381</v>
      </c>
      <c r="V57" s="4">
        <f ca="1">IF(B57=1,U57,#REF!+U57)</f>
        <v>2381</v>
      </c>
    </row>
    <row r="58" spans="1:22">
      <c r="A58" s="1">
        <v>30601</v>
      </c>
      <c r="B58" s="1">
        <v>2</v>
      </c>
      <c r="C58" s="1">
        <v>3</v>
      </c>
      <c r="D58" s="1" t="s">
        <v>1296</v>
      </c>
      <c r="E58" s="1">
        <f ca="1">OFFSET(控制台!$F$2315,MATCH(A58,控制台!$B$2315:$B$2331,0)-1,0)</f>
        <v>10</v>
      </c>
      <c r="F58" s="1">
        <f ca="1">OFFSET(控制台!$D$2315,MATCH(A58,控制台!$B$2315:$B$2331,0)-1,0)</f>
        <v>6</v>
      </c>
      <c r="G58" s="1">
        <f ca="1">OFFSET(控制台!$G$2315,MATCH(A58,控制台!$B$2315:$B$2331,0)-1,0)+(B58-1)*OFFSET(控制台!$H$2315,MATCH(A58,控制台!$B$2315:$B$2331,0)-1,0)</f>
        <v>60</v>
      </c>
      <c r="H58" s="1">
        <f ca="1">OFFSET(控制台!$Q$2315,MATCH(A58,控制台!$B$2315:$B$2331,0)-1,0)+(B58-1)*OFFSET(控制台!$R$2315,MATCH(A58,控制台!$B$2315:$B$2331,0)-1,0)</f>
        <v>60000</v>
      </c>
      <c r="I58" s="1">
        <f ca="1">H58*控制台!$I$102</f>
        <v>45000</v>
      </c>
      <c r="J58" s="1">
        <f ca="1">H58*控制台!$J$102</f>
        <v>75000</v>
      </c>
      <c r="K58" s="1">
        <f ca="1" t="shared" si="0"/>
        <v>180000</v>
      </c>
      <c r="L58" s="4" t="str">
        <f ca="1" t="shared" si="1"/>
        <v>60;60000;45000;75000</v>
      </c>
      <c r="M58" s="1">
        <f ca="1">OFFSET(控制台!$K$2315,MATCH(A58,控制台!$B$2315:$B$2331,0)-1,0)+(B58-1)*OFFSET(控制台!$L$2315,MATCH(A58,控制台!$B$2315:$B$2331,0)-1,0)</f>
        <v>960</v>
      </c>
      <c r="N58" s="4">
        <f ca="1" t="shared" si="2"/>
        <v>57600</v>
      </c>
      <c r="O58" s="14">
        <f ca="1">OFFSET(控制台!$G$2224,MATCH(F58,控制台!$C$2224:$C$2295,0)-1,0)</f>
        <v>0.51</v>
      </c>
      <c r="P58" s="19">
        <f ca="1" t="shared" si="3"/>
        <v>635.761589403974</v>
      </c>
      <c r="Q58" s="20">
        <f ca="1" t="shared" si="4"/>
        <v>0.441501103752759</v>
      </c>
      <c r="R58" s="21">
        <f ca="1">G58*总规划!$G$117</f>
        <v>3</v>
      </c>
      <c r="S58" s="21">
        <f ca="1">K58/1000000*总规划!$G$105</f>
        <v>0.0750000000000001</v>
      </c>
      <c r="T58" s="21">
        <f ca="1">P58/1440*总规划!$G$106</f>
        <v>0.689845474613687</v>
      </c>
      <c r="U58" s="22">
        <f ca="1">_xlfn.FLOOR.MATH(R58*控制台!$E$2216+S58*控制台!$E$182+T58*控制台!$E$183)</f>
        <v>4762</v>
      </c>
      <c r="V58" s="4">
        <f ca="1" t="shared" si="5"/>
        <v>7143</v>
      </c>
    </row>
    <row r="59" spans="1:22">
      <c r="A59" s="1">
        <v>30601</v>
      </c>
      <c r="B59" s="1">
        <v>3</v>
      </c>
      <c r="C59" s="1">
        <v>3</v>
      </c>
      <c r="D59" s="1" t="s">
        <v>1296</v>
      </c>
      <c r="E59" s="1">
        <f ca="1">OFFSET(控制台!$F$2315,MATCH(A59,控制台!$B$2315:$B$2331,0)-1,0)</f>
        <v>10</v>
      </c>
      <c r="F59" s="1">
        <f ca="1">OFFSET(控制台!$D$2315,MATCH(A59,控制台!$B$2315:$B$2331,0)-1,0)</f>
        <v>6</v>
      </c>
      <c r="G59" s="1">
        <f ca="1">OFFSET(控制台!$G$2315,MATCH(A59,控制台!$B$2315:$B$2331,0)-1,0)+(B59-1)*OFFSET(控制台!$H$2315,MATCH(A59,控制台!$B$2315:$B$2331,0)-1,0)</f>
        <v>90</v>
      </c>
      <c r="H59" s="1">
        <f ca="1">OFFSET(控制台!$Q$2315,MATCH(A59,控制台!$B$2315:$B$2331,0)-1,0)+(B59-1)*OFFSET(控制台!$R$2315,MATCH(A59,控制台!$B$2315:$B$2331,0)-1,0)</f>
        <v>90000</v>
      </c>
      <c r="I59" s="1">
        <f ca="1">H59*控制台!$I$102</f>
        <v>67500</v>
      </c>
      <c r="J59" s="1">
        <f ca="1">H59*控制台!$J$102</f>
        <v>112500</v>
      </c>
      <c r="K59" s="1">
        <f ca="1" t="shared" si="0"/>
        <v>270000</v>
      </c>
      <c r="L59" s="4" t="str">
        <f ca="1" t="shared" si="1"/>
        <v>90;90000;67500;112500</v>
      </c>
      <c r="M59" s="1">
        <f ca="1">OFFSET(控制台!$K$2315,MATCH(A59,控制台!$B$2315:$B$2331,0)-1,0)+(B59-1)*OFFSET(控制台!$L$2315,MATCH(A59,控制台!$B$2315:$B$2331,0)-1,0)</f>
        <v>1440</v>
      </c>
      <c r="N59" s="4">
        <f ca="1" t="shared" si="2"/>
        <v>86400</v>
      </c>
      <c r="O59" s="14">
        <f ca="1">OFFSET(控制台!$G$2224,MATCH(F59,控制台!$C$2224:$C$2295,0)-1,0)</f>
        <v>0.51</v>
      </c>
      <c r="P59" s="19">
        <f ca="1" t="shared" si="3"/>
        <v>953.64238410596</v>
      </c>
      <c r="Q59" s="20">
        <f ca="1" t="shared" si="4"/>
        <v>0.662251655629139</v>
      </c>
      <c r="R59" s="21">
        <f ca="1">G59*总规划!$G$117</f>
        <v>4.5</v>
      </c>
      <c r="S59" s="21">
        <f ca="1">K59/1000000*总规划!$G$105</f>
        <v>0.1125</v>
      </c>
      <c r="T59" s="21">
        <f ca="1">P59/1440*总规划!$G$106</f>
        <v>1.03476821192053</v>
      </c>
      <c r="U59" s="22">
        <f ca="1">_xlfn.FLOOR.MATH(R59*控制台!$E$2216+S59*控制台!$E$182+T59*控制台!$E$183)</f>
        <v>7143</v>
      </c>
      <c r="V59" s="4">
        <f ca="1" t="shared" si="5"/>
        <v>14286</v>
      </c>
    </row>
    <row r="60" spans="1:22">
      <c r="A60" s="1">
        <v>30601</v>
      </c>
      <c r="B60" s="1">
        <v>4</v>
      </c>
      <c r="C60" s="1">
        <v>3</v>
      </c>
      <c r="D60" s="1" t="s">
        <v>1296</v>
      </c>
      <c r="E60" s="1">
        <f ca="1">OFFSET(控制台!$F$2315,MATCH(A60,控制台!$B$2315:$B$2331,0)-1,0)</f>
        <v>10</v>
      </c>
      <c r="F60" s="1">
        <f ca="1">OFFSET(控制台!$D$2315,MATCH(A60,控制台!$B$2315:$B$2331,0)-1,0)</f>
        <v>6</v>
      </c>
      <c r="G60" s="1">
        <f ca="1">OFFSET(控制台!$G$2315,MATCH(A60,控制台!$B$2315:$B$2331,0)-1,0)+(B60-1)*OFFSET(控制台!$H$2315,MATCH(A60,控制台!$B$2315:$B$2331,0)-1,0)</f>
        <v>120</v>
      </c>
      <c r="H60" s="1">
        <f ca="1">OFFSET(控制台!$Q$2315,MATCH(A60,控制台!$B$2315:$B$2331,0)-1,0)+(B60-1)*OFFSET(控制台!$R$2315,MATCH(A60,控制台!$B$2315:$B$2331,0)-1,0)</f>
        <v>120000</v>
      </c>
      <c r="I60" s="1">
        <f ca="1">H60*控制台!$I$102</f>
        <v>90000</v>
      </c>
      <c r="J60" s="1">
        <f ca="1">H60*控制台!$J$102</f>
        <v>150000</v>
      </c>
      <c r="K60" s="1">
        <f ca="1" t="shared" si="0"/>
        <v>360000</v>
      </c>
      <c r="L60" s="4" t="str">
        <f ca="1" t="shared" si="1"/>
        <v>120;120000;90000;150000</v>
      </c>
      <c r="M60" s="1">
        <f ca="1">OFFSET(控制台!$K$2315,MATCH(A60,控制台!$B$2315:$B$2331,0)-1,0)+(B60-1)*OFFSET(控制台!$L$2315,MATCH(A60,控制台!$B$2315:$B$2331,0)-1,0)</f>
        <v>1920</v>
      </c>
      <c r="N60" s="4">
        <f ca="1" t="shared" si="2"/>
        <v>115200</v>
      </c>
      <c r="O60" s="14">
        <f ca="1">OFFSET(控制台!$G$2224,MATCH(F60,控制台!$C$2224:$C$2295,0)-1,0)</f>
        <v>0.51</v>
      </c>
      <c r="P60" s="19">
        <f ca="1" t="shared" si="3"/>
        <v>1271.52317880795</v>
      </c>
      <c r="Q60" s="20">
        <f ca="1" t="shared" si="4"/>
        <v>0.883002207505519</v>
      </c>
      <c r="R60" s="21">
        <f ca="1">G60*总规划!$G$117</f>
        <v>6</v>
      </c>
      <c r="S60" s="21">
        <f ca="1">K60/1000000*总规划!$G$105</f>
        <v>0.15</v>
      </c>
      <c r="T60" s="21">
        <f ca="1">P60/1440*总规划!$G$106</f>
        <v>1.37969094922737</v>
      </c>
      <c r="U60" s="22">
        <f ca="1">_xlfn.FLOOR.MATH(R60*控制台!$E$2216+S60*控制台!$E$182+T60*控制台!$E$183)</f>
        <v>9524</v>
      </c>
      <c r="V60" s="4">
        <f ca="1" t="shared" si="5"/>
        <v>23810</v>
      </c>
    </row>
    <row r="61" spans="1:22">
      <c r="A61" s="1">
        <v>30601</v>
      </c>
      <c r="B61" s="1">
        <v>5</v>
      </c>
      <c r="C61" s="1">
        <v>3</v>
      </c>
      <c r="D61" s="1" t="s">
        <v>1296</v>
      </c>
      <c r="E61" s="1">
        <f ca="1">OFFSET(控制台!$F$2315,MATCH(A61,控制台!$B$2315:$B$2331,0)-1,0)</f>
        <v>10</v>
      </c>
      <c r="F61" s="1">
        <f ca="1">OFFSET(控制台!$D$2315,MATCH(A61,控制台!$B$2315:$B$2331,0)-1,0)</f>
        <v>6</v>
      </c>
      <c r="G61" s="1">
        <f ca="1">OFFSET(控制台!$G$2315,MATCH(A61,控制台!$B$2315:$B$2331,0)-1,0)+(B61-1)*OFFSET(控制台!$H$2315,MATCH(A61,控制台!$B$2315:$B$2331,0)-1,0)</f>
        <v>150</v>
      </c>
      <c r="H61" s="1">
        <f ca="1">OFFSET(控制台!$Q$2315,MATCH(A61,控制台!$B$2315:$B$2331,0)-1,0)+(B61-1)*OFFSET(控制台!$R$2315,MATCH(A61,控制台!$B$2315:$B$2331,0)-1,0)</f>
        <v>150000</v>
      </c>
      <c r="I61" s="1">
        <f ca="1">H61*控制台!$I$102</f>
        <v>112500</v>
      </c>
      <c r="J61" s="1">
        <f ca="1">H61*控制台!$J$102</f>
        <v>187500</v>
      </c>
      <c r="K61" s="1">
        <f ca="1" t="shared" ref="K61:K124" si="6">SUM(H61:J61)</f>
        <v>450000</v>
      </c>
      <c r="L61" s="4" t="str">
        <f ca="1" t="shared" ref="L61:L124" si="7">CONCATENATE(G61,";",H61,";",I61,";",J61)</f>
        <v>150;150000;112500;187500</v>
      </c>
      <c r="M61" s="1">
        <f ca="1">OFFSET(控制台!$K$2315,MATCH(A61,控制台!$B$2315:$B$2331,0)-1,0)+(B61-1)*OFFSET(控制台!$L$2315,MATCH(A61,控制台!$B$2315:$B$2331,0)-1,0)</f>
        <v>2400</v>
      </c>
      <c r="N61" s="4">
        <f ca="1" t="shared" ref="N61:N124" si="8">M61*60</f>
        <v>144000</v>
      </c>
      <c r="O61" s="14">
        <f ca="1">OFFSET(控制台!$G$2224,MATCH(F61,控制台!$C$2224:$C$2295,0)-1,0)</f>
        <v>0.51</v>
      </c>
      <c r="P61" s="19">
        <f ca="1" t="shared" ref="P61:P124" si="9">M61/(1+O61)</f>
        <v>1589.40397350993</v>
      </c>
      <c r="Q61" s="20">
        <f ca="1" t="shared" ref="Q61:Q124" si="10">P61/1440</f>
        <v>1.1037527593819</v>
      </c>
      <c r="R61" s="21">
        <f ca="1">G61*总规划!$G$117</f>
        <v>7.5</v>
      </c>
      <c r="S61" s="21">
        <f ca="1">K61/1000000*总规划!$G$105</f>
        <v>0.1875</v>
      </c>
      <c r="T61" s="21">
        <f ca="1">P61/1440*总规划!$G$106</f>
        <v>1.72461368653422</v>
      </c>
      <c r="U61" s="22">
        <f ca="1">_xlfn.FLOOR.MATH(R61*控制台!$E$2216+S61*控制台!$E$182+T61*控制台!$E$183)</f>
        <v>11905</v>
      </c>
      <c r="V61" s="4">
        <f ca="1" t="shared" ref="V61:V124" si="11">IF(B61=1,U61,V60+U61)</f>
        <v>35715</v>
      </c>
    </row>
    <row r="62" spans="1:22">
      <c r="A62" s="1">
        <v>30601</v>
      </c>
      <c r="B62" s="1">
        <v>6</v>
      </c>
      <c r="C62" s="1">
        <v>3</v>
      </c>
      <c r="D62" s="1" t="s">
        <v>1296</v>
      </c>
      <c r="E62" s="1">
        <f ca="1">OFFSET(控制台!$F$2315,MATCH(A62,控制台!$B$2315:$B$2331,0)-1,0)</f>
        <v>10</v>
      </c>
      <c r="F62" s="1">
        <f ca="1">OFFSET(控制台!$D$2315,MATCH(A62,控制台!$B$2315:$B$2331,0)-1,0)</f>
        <v>6</v>
      </c>
      <c r="G62" s="1">
        <f ca="1">OFFSET(控制台!$G$2315,MATCH(A62,控制台!$B$2315:$B$2331,0)-1,0)+(B62-1)*OFFSET(控制台!$H$2315,MATCH(A62,控制台!$B$2315:$B$2331,0)-1,0)</f>
        <v>180</v>
      </c>
      <c r="H62" s="1">
        <f ca="1">OFFSET(控制台!$Q$2315,MATCH(A62,控制台!$B$2315:$B$2331,0)-1,0)+(B62-1)*OFFSET(控制台!$R$2315,MATCH(A62,控制台!$B$2315:$B$2331,0)-1,0)</f>
        <v>180000</v>
      </c>
      <c r="I62" s="1">
        <f ca="1">H62*控制台!$I$102</f>
        <v>135000</v>
      </c>
      <c r="J62" s="1">
        <f ca="1">H62*控制台!$J$102</f>
        <v>225000</v>
      </c>
      <c r="K62" s="1">
        <f ca="1" t="shared" si="6"/>
        <v>540000</v>
      </c>
      <c r="L62" s="4" t="str">
        <f ca="1" t="shared" si="7"/>
        <v>180;180000;135000;225000</v>
      </c>
      <c r="M62" s="1">
        <f ca="1">OFFSET(控制台!$K$2315,MATCH(A62,控制台!$B$2315:$B$2331,0)-1,0)+(B62-1)*OFFSET(控制台!$L$2315,MATCH(A62,控制台!$B$2315:$B$2331,0)-1,0)</f>
        <v>2880</v>
      </c>
      <c r="N62" s="4">
        <f ca="1" t="shared" si="8"/>
        <v>172800</v>
      </c>
      <c r="O62" s="14">
        <f ca="1">OFFSET(控制台!$G$2224,MATCH(F62,控制台!$C$2224:$C$2295,0)-1,0)</f>
        <v>0.51</v>
      </c>
      <c r="P62" s="19">
        <f ca="1" t="shared" si="9"/>
        <v>1907.28476821192</v>
      </c>
      <c r="Q62" s="20">
        <f ca="1" t="shared" si="10"/>
        <v>1.32450331125828</v>
      </c>
      <c r="R62" s="21">
        <f ca="1">G62*总规划!$G$117</f>
        <v>9</v>
      </c>
      <c r="S62" s="21">
        <f ca="1">K62/1000000*总规划!$G$105</f>
        <v>0.225</v>
      </c>
      <c r="T62" s="21">
        <f ca="1">P62/1440*总规划!$G$106</f>
        <v>2.06953642384106</v>
      </c>
      <c r="U62" s="22">
        <f ca="1">_xlfn.FLOOR.MATH(R62*控制台!$E$2216+S62*控制台!$E$182+T62*控制台!$E$183)</f>
        <v>14286</v>
      </c>
      <c r="V62" s="4">
        <f ca="1" t="shared" si="11"/>
        <v>50001</v>
      </c>
    </row>
    <row r="63" spans="1:22">
      <c r="A63" s="1">
        <v>30601</v>
      </c>
      <c r="B63" s="1">
        <v>7</v>
      </c>
      <c r="C63" s="1">
        <v>3</v>
      </c>
      <c r="D63" s="1" t="s">
        <v>1296</v>
      </c>
      <c r="E63" s="1">
        <f ca="1">OFFSET(控制台!$F$2315,MATCH(A63,控制台!$B$2315:$B$2331,0)-1,0)</f>
        <v>10</v>
      </c>
      <c r="F63" s="1">
        <f ca="1">OFFSET(控制台!$D$2315,MATCH(A63,控制台!$B$2315:$B$2331,0)-1,0)</f>
        <v>6</v>
      </c>
      <c r="G63" s="1">
        <f ca="1">OFFSET(控制台!$G$2315,MATCH(A63,控制台!$B$2315:$B$2331,0)-1,0)+(B63-1)*OFFSET(控制台!$H$2315,MATCH(A63,控制台!$B$2315:$B$2331,0)-1,0)</f>
        <v>210</v>
      </c>
      <c r="H63" s="1">
        <f ca="1">OFFSET(控制台!$Q$2315,MATCH(A63,控制台!$B$2315:$B$2331,0)-1,0)+(B63-1)*OFFSET(控制台!$R$2315,MATCH(A63,控制台!$B$2315:$B$2331,0)-1,0)</f>
        <v>210000</v>
      </c>
      <c r="I63" s="1">
        <f ca="1">H63*控制台!$I$102</f>
        <v>157500</v>
      </c>
      <c r="J63" s="1">
        <f ca="1">H63*控制台!$J$102</f>
        <v>262500</v>
      </c>
      <c r="K63" s="1">
        <f ca="1" t="shared" si="6"/>
        <v>630000</v>
      </c>
      <c r="L63" s="4" t="str">
        <f ca="1" t="shared" si="7"/>
        <v>210;210000;157500;262500</v>
      </c>
      <c r="M63" s="1">
        <f ca="1">OFFSET(控制台!$K$2315,MATCH(A63,控制台!$B$2315:$B$2331,0)-1,0)+(B63-1)*OFFSET(控制台!$L$2315,MATCH(A63,控制台!$B$2315:$B$2331,0)-1,0)</f>
        <v>3360</v>
      </c>
      <c r="N63" s="4">
        <f ca="1" t="shared" si="8"/>
        <v>201600</v>
      </c>
      <c r="O63" s="14">
        <f ca="1">OFFSET(控制台!$G$2224,MATCH(F63,控制台!$C$2224:$C$2295,0)-1,0)</f>
        <v>0.51</v>
      </c>
      <c r="P63" s="19">
        <f ca="1" t="shared" si="9"/>
        <v>2225.16556291391</v>
      </c>
      <c r="Q63" s="20">
        <f ca="1" t="shared" si="10"/>
        <v>1.54525386313466</v>
      </c>
      <c r="R63" s="21">
        <f ca="1">G63*总规划!$G$117</f>
        <v>10.5</v>
      </c>
      <c r="S63" s="21">
        <f ca="1">K63/1000000*总规划!$G$105</f>
        <v>0.2625</v>
      </c>
      <c r="T63" s="21">
        <f ca="1">P63/1440*总规划!$G$106</f>
        <v>2.4144591611479</v>
      </c>
      <c r="U63" s="22">
        <f ca="1">_xlfn.FLOOR.MATH(R63*控制台!$E$2216+S63*控制台!$E$182+T63*控制台!$E$183)</f>
        <v>16667</v>
      </c>
      <c r="V63" s="4">
        <f ca="1" t="shared" si="11"/>
        <v>66668</v>
      </c>
    </row>
    <row r="64" spans="1:22">
      <c r="A64" s="1">
        <v>30601</v>
      </c>
      <c r="B64" s="1">
        <v>8</v>
      </c>
      <c r="C64" s="1">
        <v>3</v>
      </c>
      <c r="D64" s="1" t="s">
        <v>1296</v>
      </c>
      <c r="E64" s="1">
        <f ca="1">OFFSET(控制台!$F$2315,MATCH(A64,控制台!$B$2315:$B$2331,0)-1,0)</f>
        <v>10</v>
      </c>
      <c r="F64" s="1">
        <f ca="1">OFFSET(控制台!$D$2315,MATCH(A64,控制台!$B$2315:$B$2331,0)-1,0)</f>
        <v>6</v>
      </c>
      <c r="G64" s="1">
        <f ca="1">OFFSET(控制台!$G$2315,MATCH(A64,控制台!$B$2315:$B$2331,0)-1,0)+(B64-1)*OFFSET(控制台!$H$2315,MATCH(A64,控制台!$B$2315:$B$2331,0)-1,0)</f>
        <v>240</v>
      </c>
      <c r="H64" s="1">
        <f ca="1">OFFSET(控制台!$Q$2315,MATCH(A64,控制台!$B$2315:$B$2331,0)-1,0)+(B64-1)*OFFSET(控制台!$R$2315,MATCH(A64,控制台!$B$2315:$B$2331,0)-1,0)</f>
        <v>240000</v>
      </c>
      <c r="I64" s="1">
        <f ca="1">H64*控制台!$I$102</f>
        <v>180000</v>
      </c>
      <c r="J64" s="1">
        <f ca="1">H64*控制台!$J$102</f>
        <v>300000</v>
      </c>
      <c r="K64" s="1">
        <f ca="1" t="shared" si="6"/>
        <v>720000</v>
      </c>
      <c r="L64" s="4" t="str">
        <f ca="1" t="shared" si="7"/>
        <v>240;240000;180000;300000</v>
      </c>
      <c r="M64" s="1">
        <f ca="1">OFFSET(控制台!$K$2315,MATCH(A64,控制台!$B$2315:$B$2331,0)-1,0)+(B64-1)*OFFSET(控制台!$L$2315,MATCH(A64,控制台!$B$2315:$B$2331,0)-1,0)</f>
        <v>3840</v>
      </c>
      <c r="N64" s="4">
        <f ca="1" t="shared" si="8"/>
        <v>230400</v>
      </c>
      <c r="O64" s="14">
        <f ca="1">OFFSET(控制台!$G$2224,MATCH(F64,控制台!$C$2224:$C$2295,0)-1,0)</f>
        <v>0.51</v>
      </c>
      <c r="P64" s="19">
        <f ca="1" t="shared" si="9"/>
        <v>2543.04635761589</v>
      </c>
      <c r="Q64" s="20">
        <f ca="1" t="shared" si="10"/>
        <v>1.76600441501104</v>
      </c>
      <c r="R64" s="21">
        <f ca="1">G64*总规划!$G$117</f>
        <v>12</v>
      </c>
      <c r="S64" s="21">
        <f ca="1">K64/1000000*总规划!$G$105</f>
        <v>0.3</v>
      </c>
      <c r="T64" s="21">
        <f ca="1">P64/1440*总规划!$G$106</f>
        <v>2.75938189845475</v>
      </c>
      <c r="U64" s="22">
        <f ca="1">_xlfn.FLOOR.MATH(R64*控制台!$E$2216+S64*控制台!$E$182+T64*控制台!$E$183)</f>
        <v>19048</v>
      </c>
      <c r="V64" s="4">
        <f ca="1" t="shared" si="11"/>
        <v>85716</v>
      </c>
    </row>
    <row r="65" spans="1:22">
      <c r="A65" s="1">
        <v>30601</v>
      </c>
      <c r="B65" s="1">
        <v>9</v>
      </c>
      <c r="C65" s="1">
        <v>3</v>
      </c>
      <c r="D65" s="1" t="s">
        <v>1296</v>
      </c>
      <c r="E65" s="1">
        <f ca="1">OFFSET(控制台!$F$2315,MATCH(A65,控制台!$B$2315:$B$2331,0)-1,0)</f>
        <v>10</v>
      </c>
      <c r="F65" s="1">
        <f ca="1">OFFSET(控制台!$D$2315,MATCH(A65,控制台!$B$2315:$B$2331,0)-1,0)</f>
        <v>6</v>
      </c>
      <c r="G65" s="1">
        <f ca="1">OFFSET(控制台!$G$2315,MATCH(A65,控制台!$B$2315:$B$2331,0)-1,0)+(B65-1)*OFFSET(控制台!$H$2315,MATCH(A65,控制台!$B$2315:$B$2331,0)-1,0)</f>
        <v>270</v>
      </c>
      <c r="H65" s="1">
        <f ca="1">OFFSET(控制台!$Q$2315,MATCH(A65,控制台!$B$2315:$B$2331,0)-1,0)+(B65-1)*OFFSET(控制台!$R$2315,MATCH(A65,控制台!$B$2315:$B$2331,0)-1,0)</f>
        <v>270000</v>
      </c>
      <c r="I65" s="1">
        <f ca="1">H65*控制台!$I$102</f>
        <v>202500</v>
      </c>
      <c r="J65" s="1">
        <f ca="1">H65*控制台!$J$102</f>
        <v>337500</v>
      </c>
      <c r="K65" s="1">
        <f ca="1" t="shared" si="6"/>
        <v>810000</v>
      </c>
      <c r="L65" s="4" t="str">
        <f ca="1" t="shared" si="7"/>
        <v>270;270000;202500;337500</v>
      </c>
      <c r="M65" s="1">
        <f ca="1">OFFSET(控制台!$K$2315,MATCH(A65,控制台!$B$2315:$B$2331,0)-1,0)+(B65-1)*OFFSET(控制台!$L$2315,MATCH(A65,控制台!$B$2315:$B$2331,0)-1,0)</f>
        <v>4320</v>
      </c>
      <c r="N65" s="4">
        <f ca="1" t="shared" si="8"/>
        <v>259200</v>
      </c>
      <c r="O65" s="14">
        <f ca="1">OFFSET(控制台!$G$2224,MATCH(F65,控制台!$C$2224:$C$2295,0)-1,0)</f>
        <v>0.51</v>
      </c>
      <c r="P65" s="19">
        <f ca="1" t="shared" si="9"/>
        <v>2860.92715231788</v>
      </c>
      <c r="Q65" s="20">
        <f ca="1" t="shared" si="10"/>
        <v>1.98675496688742</v>
      </c>
      <c r="R65" s="21">
        <f ca="1">G65*总规划!$G$117</f>
        <v>13.5</v>
      </c>
      <c r="S65" s="21">
        <f ca="1">K65/1000000*总规划!$G$105</f>
        <v>0.3375</v>
      </c>
      <c r="T65" s="21">
        <f ca="1">P65/1440*总规划!$G$106</f>
        <v>3.10430463576159</v>
      </c>
      <c r="U65" s="22">
        <f ca="1">_xlfn.FLOOR.MATH(R65*控制台!$E$2216+S65*控制台!$E$182+T65*控制台!$E$183)</f>
        <v>21429</v>
      </c>
      <c r="V65" s="4">
        <f ca="1" t="shared" si="11"/>
        <v>107145</v>
      </c>
    </row>
    <row r="66" spans="1:22">
      <c r="A66" s="1">
        <v>30601</v>
      </c>
      <c r="B66" s="1">
        <v>10</v>
      </c>
      <c r="C66" s="1">
        <v>3</v>
      </c>
      <c r="D66" s="1" t="s">
        <v>1296</v>
      </c>
      <c r="E66" s="1">
        <f ca="1">OFFSET(控制台!$F$2315,MATCH(A66,控制台!$B$2315:$B$2331,0)-1,0)</f>
        <v>10</v>
      </c>
      <c r="F66" s="1">
        <f ca="1">OFFSET(控制台!$D$2315,MATCH(A66,控制台!$B$2315:$B$2331,0)-1,0)</f>
        <v>6</v>
      </c>
      <c r="G66" s="1">
        <f ca="1">OFFSET(控制台!$G$2315,MATCH(A66,控制台!$B$2315:$B$2331,0)-1,0)+(B66-1)*OFFSET(控制台!$H$2315,MATCH(A66,控制台!$B$2315:$B$2331,0)-1,0)</f>
        <v>300</v>
      </c>
      <c r="H66" s="1">
        <f ca="1">OFFSET(控制台!$Q$2315,MATCH(A66,控制台!$B$2315:$B$2331,0)-1,0)+(B66-1)*OFFSET(控制台!$R$2315,MATCH(A66,控制台!$B$2315:$B$2331,0)-1,0)</f>
        <v>300000</v>
      </c>
      <c r="I66" s="1">
        <f ca="1">H66*控制台!$I$102</f>
        <v>225000</v>
      </c>
      <c r="J66" s="1">
        <f ca="1">H66*控制台!$J$102</f>
        <v>375000</v>
      </c>
      <c r="K66" s="1">
        <f ca="1" t="shared" si="6"/>
        <v>900000</v>
      </c>
      <c r="L66" s="4" t="str">
        <f ca="1" t="shared" si="7"/>
        <v>300;300000;225000;375000</v>
      </c>
      <c r="M66" s="1">
        <f ca="1">OFFSET(控制台!$K$2315,MATCH(A66,控制台!$B$2315:$B$2331,0)-1,0)+(B66-1)*OFFSET(控制台!$L$2315,MATCH(A66,控制台!$B$2315:$B$2331,0)-1,0)</f>
        <v>4800</v>
      </c>
      <c r="N66" s="4">
        <f ca="1" t="shared" si="8"/>
        <v>288000</v>
      </c>
      <c r="O66" s="14">
        <f ca="1">OFFSET(控制台!$G$2224,MATCH(F66,控制台!$C$2224:$C$2295,0)-1,0)</f>
        <v>0.51</v>
      </c>
      <c r="P66" s="19">
        <f ca="1" t="shared" si="9"/>
        <v>3178.80794701987</v>
      </c>
      <c r="Q66" s="20">
        <f ca="1" t="shared" si="10"/>
        <v>2.2075055187638</v>
      </c>
      <c r="R66" s="21">
        <f ca="1">G66*总规划!$G$117</f>
        <v>15</v>
      </c>
      <c r="S66" s="21">
        <f ca="1">K66/1000000*总规划!$G$105</f>
        <v>0.375</v>
      </c>
      <c r="T66" s="21">
        <f ca="1">P66/1440*总规划!$G$106</f>
        <v>3.44922737306843</v>
      </c>
      <c r="U66" s="22">
        <f ca="1">_xlfn.FLOOR.MATH(R66*控制台!$E$2216+S66*控制台!$E$182+T66*控制台!$E$183)</f>
        <v>23810</v>
      </c>
      <c r="V66" s="4">
        <f ca="1" t="shared" si="11"/>
        <v>130955</v>
      </c>
    </row>
    <row r="67" spans="1:22">
      <c r="A67" s="1">
        <v>30603</v>
      </c>
      <c r="B67" s="1">
        <v>1</v>
      </c>
      <c r="C67" s="1">
        <v>3</v>
      </c>
      <c r="D67" s="1" t="s">
        <v>1297</v>
      </c>
      <c r="E67" s="1">
        <f ca="1">OFFSET(控制台!$F$2315,MATCH(A67,控制台!$B$2315:$B$2331,0)-1,0)</f>
        <v>10</v>
      </c>
      <c r="F67" s="1">
        <f ca="1">OFFSET(控制台!$D$2315,MATCH(A67,控制台!$B$2315:$B$2331,0)-1,0)</f>
        <v>6</v>
      </c>
      <c r="G67" s="1">
        <f ca="1">OFFSET(控制台!$G$2315,MATCH(A67,控制台!$B$2315:$B$2331,0)-1,0)+(B67-1)*OFFSET(控制台!$H$2315,MATCH(A67,控制台!$B$2315:$B$2331,0)-1,0)</f>
        <v>30</v>
      </c>
      <c r="H67" s="1">
        <f ca="1">OFFSET(控制台!$Q$2315,MATCH(A67,控制台!$B$2315:$B$2331,0)-1,0)+(B67-1)*OFFSET(控制台!$R$2315,MATCH(A67,控制台!$B$2315:$B$2331,0)-1,0)</f>
        <v>30000</v>
      </c>
      <c r="I67" s="1">
        <f ca="1">H67*控制台!$I$102</f>
        <v>22500</v>
      </c>
      <c r="J67" s="1">
        <f ca="1">H67*控制台!$J$102</f>
        <v>37500</v>
      </c>
      <c r="K67" s="1">
        <f ca="1" t="shared" si="6"/>
        <v>90000</v>
      </c>
      <c r="L67" s="4" t="str">
        <f ca="1" t="shared" si="7"/>
        <v>30;30000;22500;37500</v>
      </c>
      <c r="M67" s="1">
        <f ca="1">OFFSET(控制台!$K$2315,MATCH(A67,控制台!$B$2315:$B$2331,0)-1,0)+(B67-1)*OFFSET(控制台!$L$2315,MATCH(A67,控制台!$B$2315:$B$2331,0)-1,0)</f>
        <v>480</v>
      </c>
      <c r="N67" s="4">
        <f ca="1" t="shared" si="8"/>
        <v>28800</v>
      </c>
      <c r="O67" s="14">
        <f ca="1">OFFSET(控制台!$G$2224,MATCH(F67,控制台!$C$2224:$C$2295,0)-1,0)</f>
        <v>0.51</v>
      </c>
      <c r="P67" s="19">
        <f ca="1" t="shared" si="9"/>
        <v>317.880794701987</v>
      </c>
      <c r="Q67" s="20">
        <f ca="1" t="shared" si="10"/>
        <v>0.22075055187638</v>
      </c>
      <c r="R67" s="21">
        <f ca="1">G67*总规划!$G$117</f>
        <v>1.5</v>
      </c>
      <c r="S67" s="21">
        <f ca="1">K67/1000000*总规划!$G$105</f>
        <v>0.0375</v>
      </c>
      <c r="T67" s="21">
        <f ca="1">P67/1440*总规划!$G$106</f>
        <v>0.344922737306843</v>
      </c>
      <c r="U67" s="22">
        <f ca="1">_xlfn.FLOOR.MATH(R67*控制台!$E$2216+S67*控制台!$E$182+T67*控制台!$E$183)</f>
        <v>2381</v>
      </c>
      <c r="V67" s="4">
        <f ca="1" t="shared" si="11"/>
        <v>2381</v>
      </c>
    </row>
    <row r="68" spans="1:22">
      <c r="A68" s="1">
        <v>30603</v>
      </c>
      <c r="B68" s="1">
        <v>2</v>
      </c>
      <c r="C68" s="1">
        <v>3</v>
      </c>
      <c r="D68" s="1" t="s">
        <v>1297</v>
      </c>
      <c r="E68" s="1">
        <f ca="1">OFFSET(控制台!$F$2315,MATCH(A68,控制台!$B$2315:$B$2331,0)-1,0)</f>
        <v>10</v>
      </c>
      <c r="F68" s="1">
        <f ca="1">OFFSET(控制台!$D$2315,MATCH(A68,控制台!$B$2315:$B$2331,0)-1,0)</f>
        <v>6</v>
      </c>
      <c r="G68" s="1">
        <f ca="1">OFFSET(控制台!$G$2315,MATCH(A68,控制台!$B$2315:$B$2331,0)-1,0)+(B68-1)*OFFSET(控制台!$H$2315,MATCH(A68,控制台!$B$2315:$B$2331,0)-1,0)</f>
        <v>60</v>
      </c>
      <c r="H68" s="1">
        <f ca="1">OFFSET(控制台!$Q$2315,MATCH(A68,控制台!$B$2315:$B$2331,0)-1,0)+(B68-1)*OFFSET(控制台!$R$2315,MATCH(A68,控制台!$B$2315:$B$2331,0)-1,0)</f>
        <v>60000</v>
      </c>
      <c r="I68" s="1">
        <f ca="1">H68*控制台!$I$102</f>
        <v>45000</v>
      </c>
      <c r="J68" s="1">
        <f ca="1">H68*控制台!$J$102</f>
        <v>75000</v>
      </c>
      <c r="K68" s="1">
        <f ca="1" t="shared" si="6"/>
        <v>180000</v>
      </c>
      <c r="L68" s="4" t="str">
        <f ca="1" t="shared" si="7"/>
        <v>60;60000;45000;75000</v>
      </c>
      <c r="M68" s="1">
        <f ca="1">OFFSET(控制台!$K$2315,MATCH(A68,控制台!$B$2315:$B$2331,0)-1,0)+(B68-1)*OFFSET(控制台!$L$2315,MATCH(A68,控制台!$B$2315:$B$2331,0)-1,0)</f>
        <v>960</v>
      </c>
      <c r="N68" s="4">
        <f ca="1" t="shared" si="8"/>
        <v>57600</v>
      </c>
      <c r="O68" s="14">
        <f ca="1">OFFSET(控制台!$G$2224,MATCH(F68,控制台!$C$2224:$C$2295,0)-1,0)</f>
        <v>0.51</v>
      </c>
      <c r="P68" s="19">
        <f ca="1" t="shared" si="9"/>
        <v>635.761589403974</v>
      </c>
      <c r="Q68" s="20">
        <f ca="1" t="shared" si="10"/>
        <v>0.441501103752759</v>
      </c>
      <c r="R68" s="21">
        <f ca="1">G68*总规划!$G$117</f>
        <v>3</v>
      </c>
      <c r="S68" s="21">
        <f ca="1">K68/1000000*总规划!$G$105</f>
        <v>0.0750000000000001</v>
      </c>
      <c r="T68" s="21">
        <f ca="1">P68/1440*总规划!$G$106</f>
        <v>0.689845474613687</v>
      </c>
      <c r="U68" s="22">
        <f ca="1">_xlfn.FLOOR.MATH(R68*控制台!$E$2216+S68*控制台!$E$182+T68*控制台!$E$183)</f>
        <v>4762</v>
      </c>
      <c r="V68" s="4">
        <f ca="1" t="shared" si="11"/>
        <v>7143</v>
      </c>
    </row>
    <row r="69" spans="1:22">
      <c r="A69" s="1">
        <v>30603</v>
      </c>
      <c r="B69" s="1">
        <v>3</v>
      </c>
      <c r="C69" s="1">
        <v>3</v>
      </c>
      <c r="D69" s="1" t="s">
        <v>1297</v>
      </c>
      <c r="E69" s="1">
        <f ca="1">OFFSET(控制台!$F$2315,MATCH(A69,控制台!$B$2315:$B$2331,0)-1,0)</f>
        <v>10</v>
      </c>
      <c r="F69" s="1">
        <f ca="1">OFFSET(控制台!$D$2315,MATCH(A69,控制台!$B$2315:$B$2331,0)-1,0)</f>
        <v>6</v>
      </c>
      <c r="G69" s="1">
        <f ca="1">OFFSET(控制台!$G$2315,MATCH(A69,控制台!$B$2315:$B$2331,0)-1,0)+(B69-1)*OFFSET(控制台!$H$2315,MATCH(A69,控制台!$B$2315:$B$2331,0)-1,0)</f>
        <v>90</v>
      </c>
      <c r="H69" s="1">
        <f ca="1">OFFSET(控制台!$Q$2315,MATCH(A69,控制台!$B$2315:$B$2331,0)-1,0)+(B69-1)*OFFSET(控制台!$R$2315,MATCH(A69,控制台!$B$2315:$B$2331,0)-1,0)</f>
        <v>90000</v>
      </c>
      <c r="I69" s="1">
        <f ca="1">H69*控制台!$I$102</f>
        <v>67500</v>
      </c>
      <c r="J69" s="1">
        <f ca="1">H69*控制台!$J$102</f>
        <v>112500</v>
      </c>
      <c r="K69" s="1">
        <f ca="1" t="shared" si="6"/>
        <v>270000</v>
      </c>
      <c r="L69" s="4" t="str">
        <f ca="1" t="shared" si="7"/>
        <v>90;90000;67500;112500</v>
      </c>
      <c r="M69" s="1">
        <f ca="1">OFFSET(控制台!$K$2315,MATCH(A69,控制台!$B$2315:$B$2331,0)-1,0)+(B69-1)*OFFSET(控制台!$L$2315,MATCH(A69,控制台!$B$2315:$B$2331,0)-1,0)</f>
        <v>1440</v>
      </c>
      <c r="N69" s="4">
        <f ca="1" t="shared" si="8"/>
        <v>86400</v>
      </c>
      <c r="O69" s="14">
        <f ca="1">OFFSET(控制台!$G$2224,MATCH(F69,控制台!$C$2224:$C$2295,0)-1,0)</f>
        <v>0.51</v>
      </c>
      <c r="P69" s="19">
        <f ca="1" t="shared" si="9"/>
        <v>953.64238410596</v>
      </c>
      <c r="Q69" s="20">
        <f ca="1" t="shared" si="10"/>
        <v>0.662251655629139</v>
      </c>
      <c r="R69" s="21">
        <f ca="1">G69*总规划!$G$117</f>
        <v>4.5</v>
      </c>
      <c r="S69" s="21">
        <f ca="1">K69/1000000*总规划!$G$105</f>
        <v>0.1125</v>
      </c>
      <c r="T69" s="21">
        <f ca="1">P69/1440*总规划!$G$106</f>
        <v>1.03476821192053</v>
      </c>
      <c r="U69" s="22">
        <f ca="1">_xlfn.FLOOR.MATH(R69*控制台!$E$2216+S69*控制台!$E$182+T69*控制台!$E$183)</f>
        <v>7143</v>
      </c>
      <c r="V69" s="4">
        <f ca="1" t="shared" si="11"/>
        <v>14286</v>
      </c>
    </row>
    <row r="70" spans="1:22">
      <c r="A70" s="1">
        <v>30603</v>
      </c>
      <c r="B70" s="1">
        <v>4</v>
      </c>
      <c r="C70" s="1">
        <v>3</v>
      </c>
      <c r="D70" s="1" t="s">
        <v>1297</v>
      </c>
      <c r="E70" s="1">
        <f ca="1">OFFSET(控制台!$F$2315,MATCH(A70,控制台!$B$2315:$B$2331,0)-1,0)</f>
        <v>10</v>
      </c>
      <c r="F70" s="1">
        <f ca="1">OFFSET(控制台!$D$2315,MATCH(A70,控制台!$B$2315:$B$2331,0)-1,0)</f>
        <v>6</v>
      </c>
      <c r="G70" s="1">
        <f ca="1">OFFSET(控制台!$G$2315,MATCH(A70,控制台!$B$2315:$B$2331,0)-1,0)+(B70-1)*OFFSET(控制台!$H$2315,MATCH(A70,控制台!$B$2315:$B$2331,0)-1,0)</f>
        <v>120</v>
      </c>
      <c r="H70" s="1">
        <f ca="1">OFFSET(控制台!$Q$2315,MATCH(A70,控制台!$B$2315:$B$2331,0)-1,0)+(B70-1)*OFFSET(控制台!$R$2315,MATCH(A70,控制台!$B$2315:$B$2331,0)-1,0)</f>
        <v>120000</v>
      </c>
      <c r="I70" s="1">
        <f ca="1">H70*控制台!$I$102</f>
        <v>90000</v>
      </c>
      <c r="J70" s="1">
        <f ca="1">H70*控制台!$J$102</f>
        <v>150000</v>
      </c>
      <c r="K70" s="1">
        <f ca="1" t="shared" si="6"/>
        <v>360000</v>
      </c>
      <c r="L70" s="4" t="str">
        <f ca="1" t="shared" si="7"/>
        <v>120;120000;90000;150000</v>
      </c>
      <c r="M70" s="1">
        <f ca="1">OFFSET(控制台!$K$2315,MATCH(A70,控制台!$B$2315:$B$2331,0)-1,0)+(B70-1)*OFFSET(控制台!$L$2315,MATCH(A70,控制台!$B$2315:$B$2331,0)-1,0)</f>
        <v>1920</v>
      </c>
      <c r="N70" s="4">
        <f ca="1" t="shared" si="8"/>
        <v>115200</v>
      </c>
      <c r="O70" s="14">
        <f ca="1">OFFSET(控制台!$G$2224,MATCH(F70,控制台!$C$2224:$C$2295,0)-1,0)</f>
        <v>0.51</v>
      </c>
      <c r="P70" s="19">
        <f ca="1" t="shared" si="9"/>
        <v>1271.52317880795</v>
      </c>
      <c r="Q70" s="20">
        <f ca="1" t="shared" si="10"/>
        <v>0.883002207505519</v>
      </c>
      <c r="R70" s="21">
        <f ca="1">G70*总规划!$G$117</f>
        <v>6</v>
      </c>
      <c r="S70" s="21">
        <f ca="1">K70/1000000*总规划!$G$105</f>
        <v>0.15</v>
      </c>
      <c r="T70" s="21">
        <f ca="1">P70/1440*总规划!$G$106</f>
        <v>1.37969094922737</v>
      </c>
      <c r="U70" s="22">
        <f ca="1">_xlfn.FLOOR.MATH(R70*控制台!$E$2216+S70*控制台!$E$182+T70*控制台!$E$183)</f>
        <v>9524</v>
      </c>
      <c r="V70" s="4">
        <f ca="1" t="shared" si="11"/>
        <v>23810</v>
      </c>
    </row>
    <row r="71" spans="1:22">
      <c r="A71" s="1">
        <v>30603</v>
      </c>
      <c r="B71" s="1">
        <v>5</v>
      </c>
      <c r="C71" s="1">
        <v>3</v>
      </c>
      <c r="D71" s="1" t="s">
        <v>1297</v>
      </c>
      <c r="E71" s="1">
        <f ca="1">OFFSET(控制台!$F$2315,MATCH(A71,控制台!$B$2315:$B$2331,0)-1,0)</f>
        <v>10</v>
      </c>
      <c r="F71" s="1">
        <f ca="1">OFFSET(控制台!$D$2315,MATCH(A71,控制台!$B$2315:$B$2331,0)-1,0)</f>
        <v>6</v>
      </c>
      <c r="G71" s="1">
        <f ca="1">OFFSET(控制台!$G$2315,MATCH(A71,控制台!$B$2315:$B$2331,0)-1,0)+(B71-1)*OFFSET(控制台!$H$2315,MATCH(A71,控制台!$B$2315:$B$2331,0)-1,0)</f>
        <v>150</v>
      </c>
      <c r="H71" s="1">
        <f ca="1">OFFSET(控制台!$Q$2315,MATCH(A71,控制台!$B$2315:$B$2331,0)-1,0)+(B71-1)*OFFSET(控制台!$R$2315,MATCH(A71,控制台!$B$2315:$B$2331,0)-1,0)</f>
        <v>150000</v>
      </c>
      <c r="I71" s="1">
        <f ca="1">H71*控制台!$I$102</f>
        <v>112500</v>
      </c>
      <c r="J71" s="1">
        <f ca="1">H71*控制台!$J$102</f>
        <v>187500</v>
      </c>
      <c r="K71" s="1">
        <f ca="1" t="shared" si="6"/>
        <v>450000</v>
      </c>
      <c r="L71" s="4" t="str">
        <f ca="1" t="shared" si="7"/>
        <v>150;150000;112500;187500</v>
      </c>
      <c r="M71" s="1">
        <f ca="1">OFFSET(控制台!$K$2315,MATCH(A71,控制台!$B$2315:$B$2331,0)-1,0)+(B71-1)*OFFSET(控制台!$L$2315,MATCH(A71,控制台!$B$2315:$B$2331,0)-1,0)</f>
        <v>2400</v>
      </c>
      <c r="N71" s="4">
        <f ca="1" t="shared" si="8"/>
        <v>144000</v>
      </c>
      <c r="O71" s="14">
        <f ca="1">OFFSET(控制台!$G$2224,MATCH(F71,控制台!$C$2224:$C$2295,0)-1,0)</f>
        <v>0.51</v>
      </c>
      <c r="P71" s="19">
        <f ca="1" t="shared" si="9"/>
        <v>1589.40397350993</v>
      </c>
      <c r="Q71" s="20">
        <f ca="1" t="shared" si="10"/>
        <v>1.1037527593819</v>
      </c>
      <c r="R71" s="21">
        <f ca="1">G71*总规划!$G$117</f>
        <v>7.5</v>
      </c>
      <c r="S71" s="21">
        <f ca="1">K71/1000000*总规划!$G$105</f>
        <v>0.1875</v>
      </c>
      <c r="T71" s="21">
        <f ca="1">P71/1440*总规划!$G$106</f>
        <v>1.72461368653422</v>
      </c>
      <c r="U71" s="22">
        <f ca="1">_xlfn.FLOOR.MATH(R71*控制台!$E$2216+S71*控制台!$E$182+T71*控制台!$E$183)</f>
        <v>11905</v>
      </c>
      <c r="V71" s="4">
        <f ca="1" t="shared" si="11"/>
        <v>35715</v>
      </c>
    </row>
    <row r="72" spans="1:22">
      <c r="A72" s="1">
        <v>30603</v>
      </c>
      <c r="B72" s="1">
        <v>6</v>
      </c>
      <c r="C72" s="1">
        <v>3</v>
      </c>
      <c r="D72" s="1" t="s">
        <v>1297</v>
      </c>
      <c r="E72" s="1">
        <f ca="1">OFFSET(控制台!$F$2315,MATCH(A72,控制台!$B$2315:$B$2331,0)-1,0)</f>
        <v>10</v>
      </c>
      <c r="F72" s="1">
        <f ca="1">OFFSET(控制台!$D$2315,MATCH(A72,控制台!$B$2315:$B$2331,0)-1,0)</f>
        <v>6</v>
      </c>
      <c r="G72" s="1">
        <f ca="1">OFFSET(控制台!$G$2315,MATCH(A72,控制台!$B$2315:$B$2331,0)-1,0)+(B72-1)*OFFSET(控制台!$H$2315,MATCH(A72,控制台!$B$2315:$B$2331,0)-1,0)</f>
        <v>180</v>
      </c>
      <c r="H72" s="1">
        <f ca="1">OFFSET(控制台!$Q$2315,MATCH(A72,控制台!$B$2315:$B$2331,0)-1,0)+(B72-1)*OFFSET(控制台!$R$2315,MATCH(A72,控制台!$B$2315:$B$2331,0)-1,0)</f>
        <v>180000</v>
      </c>
      <c r="I72" s="1">
        <f ca="1">H72*控制台!$I$102</f>
        <v>135000</v>
      </c>
      <c r="J72" s="1">
        <f ca="1">H72*控制台!$J$102</f>
        <v>225000</v>
      </c>
      <c r="K72" s="1">
        <f ca="1" t="shared" si="6"/>
        <v>540000</v>
      </c>
      <c r="L72" s="4" t="str">
        <f ca="1" t="shared" si="7"/>
        <v>180;180000;135000;225000</v>
      </c>
      <c r="M72" s="1">
        <f ca="1">OFFSET(控制台!$K$2315,MATCH(A72,控制台!$B$2315:$B$2331,0)-1,0)+(B72-1)*OFFSET(控制台!$L$2315,MATCH(A72,控制台!$B$2315:$B$2331,0)-1,0)</f>
        <v>2880</v>
      </c>
      <c r="N72" s="4">
        <f ca="1" t="shared" si="8"/>
        <v>172800</v>
      </c>
      <c r="O72" s="14">
        <f ca="1">OFFSET(控制台!$G$2224,MATCH(F72,控制台!$C$2224:$C$2295,0)-1,0)</f>
        <v>0.51</v>
      </c>
      <c r="P72" s="19">
        <f ca="1" t="shared" si="9"/>
        <v>1907.28476821192</v>
      </c>
      <c r="Q72" s="20">
        <f ca="1" t="shared" si="10"/>
        <v>1.32450331125828</v>
      </c>
      <c r="R72" s="21">
        <f ca="1">G72*总规划!$G$117</f>
        <v>9</v>
      </c>
      <c r="S72" s="21">
        <f ca="1">K72/1000000*总规划!$G$105</f>
        <v>0.225</v>
      </c>
      <c r="T72" s="21">
        <f ca="1">P72/1440*总规划!$G$106</f>
        <v>2.06953642384106</v>
      </c>
      <c r="U72" s="22">
        <f ca="1">_xlfn.FLOOR.MATH(R72*控制台!$E$2216+S72*控制台!$E$182+T72*控制台!$E$183)</f>
        <v>14286</v>
      </c>
      <c r="V72" s="4">
        <f ca="1" t="shared" si="11"/>
        <v>50001</v>
      </c>
    </row>
    <row r="73" spans="1:22">
      <c r="A73" s="1">
        <v>30603</v>
      </c>
      <c r="B73" s="1">
        <v>7</v>
      </c>
      <c r="C73" s="1">
        <v>3</v>
      </c>
      <c r="D73" s="1" t="s">
        <v>1297</v>
      </c>
      <c r="E73" s="1">
        <f ca="1">OFFSET(控制台!$F$2315,MATCH(A73,控制台!$B$2315:$B$2331,0)-1,0)</f>
        <v>10</v>
      </c>
      <c r="F73" s="1">
        <f ca="1">OFFSET(控制台!$D$2315,MATCH(A73,控制台!$B$2315:$B$2331,0)-1,0)</f>
        <v>6</v>
      </c>
      <c r="G73" s="1">
        <f ca="1">OFFSET(控制台!$G$2315,MATCH(A73,控制台!$B$2315:$B$2331,0)-1,0)+(B73-1)*OFFSET(控制台!$H$2315,MATCH(A73,控制台!$B$2315:$B$2331,0)-1,0)</f>
        <v>210</v>
      </c>
      <c r="H73" s="1">
        <f ca="1">OFFSET(控制台!$Q$2315,MATCH(A73,控制台!$B$2315:$B$2331,0)-1,0)+(B73-1)*OFFSET(控制台!$R$2315,MATCH(A73,控制台!$B$2315:$B$2331,0)-1,0)</f>
        <v>210000</v>
      </c>
      <c r="I73" s="1">
        <f ca="1">H73*控制台!$I$102</f>
        <v>157500</v>
      </c>
      <c r="J73" s="1">
        <f ca="1">H73*控制台!$J$102</f>
        <v>262500</v>
      </c>
      <c r="K73" s="1">
        <f ca="1" t="shared" si="6"/>
        <v>630000</v>
      </c>
      <c r="L73" s="4" t="str">
        <f ca="1" t="shared" si="7"/>
        <v>210;210000;157500;262500</v>
      </c>
      <c r="M73" s="1">
        <f ca="1">OFFSET(控制台!$K$2315,MATCH(A73,控制台!$B$2315:$B$2331,0)-1,0)+(B73-1)*OFFSET(控制台!$L$2315,MATCH(A73,控制台!$B$2315:$B$2331,0)-1,0)</f>
        <v>3360</v>
      </c>
      <c r="N73" s="4">
        <f ca="1" t="shared" si="8"/>
        <v>201600</v>
      </c>
      <c r="O73" s="14">
        <f ca="1">OFFSET(控制台!$G$2224,MATCH(F73,控制台!$C$2224:$C$2295,0)-1,0)</f>
        <v>0.51</v>
      </c>
      <c r="P73" s="19">
        <f ca="1" t="shared" si="9"/>
        <v>2225.16556291391</v>
      </c>
      <c r="Q73" s="20">
        <f ca="1" t="shared" si="10"/>
        <v>1.54525386313466</v>
      </c>
      <c r="R73" s="21">
        <f ca="1">G73*总规划!$G$117</f>
        <v>10.5</v>
      </c>
      <c r="S73" s="21">
        <f ca="1">K73/1000000*总规划!$G$105</f>
        <v>0.2625</v>
      </c>
      <c r="T73" s="21">
        <f ca="1">P73/1440*总规划!$G$106</f>
        <v>2.4144591611479</v>
      </c>
      <c r="U73" s="22">
        <f ca="1">_xlfn.FLOOR.MATH(R73*控制台!$E$2216+S73*控制台!$E$182+T73*控制台!$E$183)</f>
        <v>16667</v>
      </c>
      <c r="V73" s="4">
        <f ca="1" t="shared" si="11"/>
        <v>66668</v>
      </c>
    </row>
    <row r="74" spans="1:22">
      <c r="A74" s="1">
        <v>30603</v>
      </c>
      <c r="B74" s="1">
        <v>8</v>
      </c>
      <c r="C74" s="1">
        <v>3</v>
      </c>
      <c r="D74" s="1" t="s">
        <v>1297</v>
      </c>
      <c r="E74" s="1">
        <f ca="1">OFFSET(控制台!$F$2315,MATCH(A74,控制台!$B$2315:$B$2331,0)-1,0)</f>
        <v>10</v>
      </c>
      <c r="F74" s="1">
        <f ca="1">OFFSET(控制台!$D$2315,MATCH(A74,控制台!$B$2315:$B$2331,0)-1,0)</f>
        <v>6</v>
      </c>
      <c r="G74" s="1">
        <f ca="1">OFFSET(控制台!$G$2315,MATCH(A74,控制台!$B$2315:$B$2331,0)-1,0)+(B74-1)*OFFSET(控制台!$H$2315,MATCH(A74,控制台!$B$2315:$B$2331,0)-1,0)</f>
        <v>240</v>
      </c>
      <c r="H74" s="1">
        <f ca="1">OFFSET(控制台!$Q$2315,MATCH(A74,控制台!$B$2315:$B$2331,0)-1,0)+(B74-1)*OFFSET(控制台!$R$2315,MATCH(A74,控制台!$B$2315:$B$2331,0)-1,0)</f>
        <v>240000</v>
      </c>
      <c r="I74" s="1">
        <f ca="1">H74*控制台!$I$102</f>
        <v>180000</v>
      </c>
      <c r="J74" s="1">
        <f ca="1">H74*控制台!$J$102</f>
        <v>300000</v>
      </c>
      <c r="K74" s="1">
        <f ca="1" t="shared" si="6"/>
        <v>720000</v>
      </c>
      <c r="L74" s="4" t="str">
        <f ca="1" t="shared" si="7"/>
        <v>240;240000;180000;300000</v>
      </c>
      <c r="M74" s="1">
        <f ca="1">OFFSET(控制台!$K$2315,MATCH(A74,控制台!$B$2315:$B$2331,0)-1,0)+(B74-1)*OFFSET(控制台!$L$2315,MATCH(A74,控制台!$B$2315:$B$2331,0)-1,0)</f>
        <v>3840</v>
      </c>
      <c r="N74" s="4">
        <f ca="1" t="shared" si="8"/>
        <v>230400</v>
      </c>
      <c r="O74" s="14">
        <f ca="1">OFFSET(控制台!$G$2224,MATCH(F74,控制台!$C$2224:$C$2295,0)-1,0)</f>
        <v>0.51</v>
      </c>
      <c r="P74" s="19">
        <f ca="1" t="shared" si="9"/>
        <v>2543.04635761589</v>
      </c>
      <c r="Q74" s="20">
        <f ca="1" t="shared" si="10"/>
        <v>1.76600441501104</v>
      </c>
      <c r="R74" s="21">
        <f ca="1">G74*总规划!$G$117</f>
        <v>12</v>
      </c>
      <c r="S74" s="21">
        <f ca="1">K74/1000000*总规划!$G$105</f>
        <v>0.3</v>
      </c>
      <c r="T74" s="21">
        <f ca="1">P74/1440*总规划!$G$106</f>
        <v>2.75938189845475</v>
      </c>
      <c r="U74" s="22">
        <f ca="1">_xlfn.FLOOR.MATH(R74*控制台!$E$2216+S74*控制台!$E$182+T74*控制台!$E$183)</f>
        <v>19048</v>
      </c>
      <c r="V74" s="4">
        <f ca="1" t="shared" si="11"/>
        <v>85716</v>
      </c>
    </row>
    <row r="75" spans="1:22">
      <c r="A75" s="1">
        <v>30603</v>
      </c>
      <c r="B75" s="1">
        <v>9</v>
      </c>
      <c r="C75" s="1">
        <v>3</v>
      </c>
      <c r="D75" s="1" t="s">
        <v>1297</v>
      </c>
      <c r="E75" s="1">
        <f ca="1">OFFSET(控制台!$F$2315,MATCH(A75,控制台!$B$2315:$B$2331,0)-1,0)</f>
        <v>10</v>
      </c>
      <c r="F75" s="1">
        <f ca="1">OFFSET(控制台!$D$2315,MATCH(A75,控制台!$B$2315:$B$2331,0)-1,0)</f>
        <v>6</v>
      </c>
      <c r="G75" s="1">
        <f ca="1">OFFSET(控制台!$G$2315,MATCH(A75,控制台!$B$2315:$B$2331,0)-1,0)+(B75-1)*OFFSET(控制台!$H$2315,MATCH(A75,控制台!$B$2315:$B$2331,0)-1,0)</f>
        <v>270</v>
      </c>
      <c r="H75" s="1">
        <f ca="1">OFFSET(控制台!$Q$2315,MATCH(A75,控制台!$B$2315:$B$2331,0)-1,0)+(B75-1)*OFFSET(控制台!$R$2315,MATCH(A75,控制台!$B$2315:$B$2331,0)-1,0)</f>
        <v>270000</v>
      </c>
      <c r="I75" s="1">
        <f ca="1">H75*控制台!$I$102</f>
        <v>202500</v>
      </c>
      <c r="J75" s="1">
        <f ca="1">H75*控制台!$J$102</f>
        <v>337500</v>
      </c>
      <c r="K75" s="1">
        <f ca="1" t="shared" si="6"/>
        <v>810000</v>
      </c>
      <c r="L75" s="4" t="str">
        <f ca="1" t="shared" si="7"/>
        <v>270;270000;202500;337500</v>
      </c>
      <c r="M75" s="1">
        <f ca="1">OFFSET(控制台!$K$2315,MATCH(A75,控制台!$B$2315:$B$2331,0)-1,0)+(B75-1)*OFFSET(控制台!$L$2315,MATCH(A75,控制台!$B$2315:$B$2331,0)-1,0)</f>
        <v>4320</v>
      </c>
      <c r="N75" s="4">
        <f ca="1" t="shared" si="8"/>
        <v>259200</v>
      </c>
      <c r="O75" s="14">
        <f ca="1">OFFSET(控制台!$G$2224,MATCH(F75,控制台!$C$2224:$C$2295,0)-1,0)</f>
        <v>0.51</v>
      </c>
      <c r="P75" s="19">
        <f ca="1" t="shared" si="9"/>
        <v>2860.92715231788</v>
      </c>
      <c r="Q75" s="20">
        <f ca="1" t="shared" si="10"/>
        <v>1.98675496688742</v>
      </c>
      <c r="R75" s="21">
        <f ca="1">G75*总规划!$G$117</f>
        <v>13.5</v>
      </c>
      <c r="S75" s="21">
        <f ca="1">K75/1000000*总规划!$G$105</f>
        <v>0.3375</v>
      </c>
      <c r="T75" s="21">
        <f ca="1">P75/1440*总规划!$G$106</f>
        <v>3.10430463576159</v>
      </c>
      <c r="U75" s="22">
        <f ca="1">_xlfn.FLOOR.MATH(R75*控制台!$E$2216+S75*控制台!$E$182+T75*控制台!$E$183)</f>
        <v>21429</v>
      </c>
      <c r="V75" s="4">
        <f ca="1" t="shared" si="11"/>
        <v>107145</v>
      </c>
    </row>
    <row r="76" spans="1:22">
      <c r="A76" s="1">
        <v>30603</v>
      </c>
      <c r="B76" s="1">
        <v>10</v>
      </c>
      <c r="C76" s="1">
        <v>3</v>
      </c>
      <c r="D76" s="1" t="s">
        <v>1297</v>
      </c>
      <c r="E76" s="1">
        <f ca="1">OFFSET(控制台!$F$2315,MATCH(A76,控制台!$B$2315:$B$2331,0)-1,0)</f>
        <v>10</v>
      </c>
      <c r="F76" s="1">
        <f ca="1">OFFSET(控制台!$D$2315,MATCH(A76,控制台!$B$2315:$B$2331,0)-1,0)</f>
        <v>6</v>
      </c>
      <c r="G76" s="1">
        <f ca="1">OFFSET(控制台!$G$2315,MATCH(A76,控制台!$B$2315:$B$2331,0)-1,0)+(B76-1)*OFFSET(控制台!$H$2315,MATCH(A76,控制台!$B$2315:$B$2331,0)-1,0)</f>
        <v>300</v>
      </c>
      <c r="H76" s="1">
        <f ca="1">OFFSET(控制台!$Q$2315,MATCH(A76,控制台!$B$2315:$B$2331,0)-1,0)+(B76-1)*OFFSET(控制台!$R$2315,MATCH(A76,控制台!$B$2315:$B$2331,0)-1,0)</f>
        <v>300000</v>
      </c>
      <c r="I76" s="1">
        <f ca="1">H76*控制台!$I$102</f>
        <v>225000</v>
      </c>
      <c r="J76" s="1">
        <f ca="1">H76*控制台!$J$102</f>
        <v>375000</v>
      </c>
      <c r="K76" s="1">
        <f ca="1" t="shared" si="6"/>
        <v>900000</v>
      </c>
      <c r="L76" s="4" t="str">
        <f ca="1" t="shared" si="7"/>
        <v>300;300000;225000;375000</v>
      </c>
      <c r="M76" s="1">
        <f ca="1">OFFSET(控制台!$K$2315,MATCH(A76,控制台!$B$2315:$B$2331,0)-1,0)+(B76-1)*OFFSET(控制台!$L$2315,MATCH(A76,控制台!$B$2315:$B$2331,0)-1,0)</f>
        <v>4800</v>
      </c>
      <c r="N76" s="4">
        <f ca="1" t="shared" si="8"/>
        <v>288000</v>
      </c>
      <c r="O76" s="14">
        <f ca="1">OFFSET(控制台!$G$2224,MATCH(F76,控制台!$C$2224:$C$2295,0)-1,0)</f>
        <v>0.51</v>
      </c>
      <c r="P76" s="19">
        <f ca="1" t="shared" si="9"/>
        <v>3178.80794701987</v>
      </c>
      <c r="Q76" s="20">
        <f ca="1" t="shared" si="10"/>
        <v>2.2075055187638</v>
      </c>
      <c r="R76" s="21">
        <f ca="1">G76*总规划!$G$117</f>
        <v>15</v>
      </c>
      <c r="S76" s="21">
        <f ca="1">K76/1000000*总规划!$G$105</f>
        <v>0.375</v>
      </c>
      <c r="T76" s="21">
        <f ca="1">P76/1440*总规划!$G$106</f>
        <v>3.44922737306843</v>
      </c>
      <c r="U76" s="22">
        <f ca="1">_xlfn.FLOOR.MATH(R76*控制台!$E$2216+S76*控制台!$E$182+T76*控制台!$E$183)</f>
        <v>23810</v>
      </c>
      <c r="V76" s="4">
        <f ca="1" t="shared" si="11"/>
        <v>130955</v>
      </c>
    </row>
    <row r="77" spans="1:22">
      <c r="A77" s="1">
        <v>30702</v>
      </c>
      <c r="B77" s="1">
        <v>1</v>
      </c>
      <c r="C77" s="1">
        <v>3</v>
      </c>
      <c r="D77" s="1" t="s">
        <v>1298</v>
      </c>
      <c r="E77" s="1">
        <f ca="1">OFFSET(控制台!$F$2315,MATCH(A77,控制台!$B$2315:$B$2331,0)-1,0)</f>
        <v>1</v>
      </c>
      <c r="F77" s="1">
        <f ca="1">OFFSET(控制台!$D$2315,MATCH(A77,控制台!$B$2315:$B$2331,0)-1,0)</f>
        <v>7</v>
      </c>
      <c r="G77" s="1">
        <f ca="1">OFFSET(控制台!$G$2315,MATCH(A77,控制台!$B$2315:$B$2331,0)-1,0)+(B77-1)*OFFSET(控制台!$H$2315,MATCH(A77,控制台!$B$2315:$B$2331,0)-1,0)</f>
        <v>1000</v>
      </c>
      <c r="H77" s="1">
        <f ca="1">OFFSET(控制台!$Q$2315,MATCH(A77,控制台!$B$2315:$B$2331,0)-1,0)+(B77-1)*OFFSET(控制台!$R$2315,MATCH(A77,控制台!$B$2315:$B$2331,0)-1,0)</f>
        <v>1000000</v>
      </c>
      <c r="I77" s="1">
        <f ca="1">H77*控制台!$I$102</f>
        <v>750000</v>
      </c>
      <c r="J77" s="1">
        <f ca="1">H77*控制台!$J$102</f>
        <v>1250000</v>
      </c>
      <c r="K77" s="1">
        <f ca="1" t="shared" si="6"/>
        <v>3000000</v>
      </c>
      <c r="L77" s="4" t="str">
        <f ca="1" t="shared" si="7"/>
        <v>1000;1000000;750000;1250000</v>
      </c>
      <c r="M77" s="1">
        <f ca="1">OFFSET(控制台!$K$2315,MATCH(A77,控制台!$B$2315:$B$2331,0)-1,0)+(B77-1)*OFFSET(控制台!$L$2315,MATCH(A77,控制台!$B$2315:$B$2331,0)-1,0)</f>
        <v>18000</v>
      </c>
      <c r="N77" s="4">
        <f ca="1" t="shared" si="8"/>
        <v>1080000</v>
      </c>
      <c r="O77" s="14">
        <f ca="1">OFFSET(控制台!$G$2224,MATCH(F77,控制台!$C$2224:$C$2295,0)-1,0)</f>
        <v>0.51</v>
      </c>
      <c r="P77" s="19">
        <f ca="1" t="shared" si="9"/>
        <v>11920.5298013245</v>
      </c>
      <c r="Q77" s="20">
        <f ca="1" t="shared" si="10"/>
        <v>8.27814569536424</v>
      </c>
      <c r="R77" s="21">
        <f ca="1">G77*总规划!$G$117</f>
        <v>50</v>
      </c>
      <c r="S77" s="21">
        <f ca="1">K77/1000000*总规划!$G$105</f>
        <v>1.25</v>
      </c>
      <c r="T77" s="21">
        <f ca="1">P77/1440*总规划!$G$106</f>
        <v>12.9346026490066</v>
      </c>
      <c r="U77" s="22">
        <f ca="1">_xlfn.FLOOR.MATH(R77*控制台!$E$2216+S77*控制台!$E$182+T77*控制台!$E$183)</f>
        <v>82961</v>
      </c>
      <c r="V77" s="4">
        <f ca="1" t="shared" si="11"/>
        <v>82961</v>
      </c>
    </row>
    <row r="78" spans="1:22">
      <c r="A78" s="1">
        <v>30801</v>
      </c>
      <c r="B78" s="1">
        <v>1</v>
      </c>
      <c r="C78" s="1">
        <v>3</v>
      </c>
      <c r="D78" s="1" t="s">
        <v>1299</v>
      </c>
      <c r="E78" s="1">
        <f ca="1">OFFSET(控制台!$F$2315,MATCH(A78,控制台!$B$2315:$B$2331,0)-1,0)</f>
        <v>10</v>
      </c>
      <c r="F78" s="1">
        <f ca="1">OFFSET(控制台!$D$2315,MATCH(A78,控制台!$B$2315:$B$2331,0)-1,0)</f>
        <v>8</v>
      </c>
      <c r="G78" s="1">
        <f ca="1">OFFSET(控制台!$G$2315,MATCH(A78,控制台!$B$2315:$B$2331,0)-1,0)+(B78-1)*OFFSET(控制台!$H$2315,MATCH(A78,控制台!$B$2315:$B$2331,0)-1,0)</f>
        <v>50</v>
      </c>
      <c r="H78" s="1">
        <f ca="1">OFFSET(控制台!$Q$2315,MATCH(A78,控制台!$B$2315:$B$2331,0)-1,0)+(B78-1)*OFFSET(控制台!$R$2315,MATCH(A78,控制台!$B$2315:$B$2331,0)-1,0)</f>
        <v>50000</v>
      </c>
      <c r="I78" s="1">
        <f ca="1">H78*控制台!$I$102</f>
        <v>37500</v>
      </c>
      <c r="J78" s="1">
        <f ca="1">H78*控制台!$J$102</f>
        <v>62500</v>
      </c>
      <c r="K78" s="1">
        <f ca="1" t="shared" si="6"/>
        <v>150000</v>
      </c>
      <c r="L78" s="4" t="str">
        <f ca="1" t="shared" si="7"/>
        <v>50;50000;37500;62500</v>
      </c>
      <c r="M78" s="1">
        <f ca="1">OFFSET(控制台!$K$2315,MATCH(A78,控制台!$B$2315:$B$2331,0)-1,0)+(B78-1)*OFFSET(控制台!$L$2315,MATCH(A78,控制台!$B$2315:$B$2331,0)-1,0)</f>
        <v>960</v>
      </c>
      <c r="N78" s="4">
        <f ca="1" t="shared" si="8"/>
        <v>57600</v>
      </c>
      <c r="O78" s="14">
        <f ca="1">OFFSET(控制台!$G$2224,MATCH(F78,控制台!$C$2224:$C$2295,0)-1,0)</f>
        <v>0.675</v>
      </c>
      <c r="P78" s="19">
        <f ca="1" t="shared" si="9"/>
        <v>573.134328358209</v>
      </c>
      <c r="Q78" s="20">
        <f ca="1" t="shared" si="10"/>
        <v>0.398009950248756</v>
      </c>
      <c r="R78" s="21">
        <f ca="1">G78*总规划!$G$117</f>
        <v>2.5</v>
      </c>
      <c r="S78" s="21">
        <f ca="1">K78/1000000*总规划!$G$105</f>
        <v>0.0625000000000001</v>
      </c>
      <c r="T78" s="21">
        <f ca="1">P78/1440*总规划!$G$106</f>
        <v>0.621890547263682</v>
      </c>
      <c r="U78" s="22">
        <f ca="1">_xlfn.FLOOR.MATH(R78*控制台!$E$2216+S78*控制台!$E$182+T78*控制台!$E$183)</f>
        <v>4085</v>
      </c>
      <c r="V78" s="4">
        <f ca="1" t="shared" si="11"/>
        <v>4085</v>
      </c>
    </row>
    <row r="79" spans="1:22">
      <c r="A79" s="1">
        <v>30801</v>
      </c>
      <c r="B79" s="1">
        <v>2</v>
      </c>
      <c r="C79" s="1">
        <v>3</v>
      </c>
      <c r="D79" s="1" t="s">
        <v>1299</v>
      </c>
      <c r="E79" s="1">
        <f ca="1">OFFSET(控制台!$F$2315,MATCH(A79,控制台!$B$2315:$B$2331,0)-1,0)</f>
        <v>10</v>
      </c>
      <c r="F79" s="1">
        <f ca="1">OFFSET(控制台!$D$2315,MATCH(A79,控制台!$B$2315:$B$2331,0)-1,0)</f>
        <v>8</v>
      </c>
      <c r="G79" s="1">
        <f ca="1">OFFSET(控制台!$G$2315,MATCH(A79,控制台!$B$2315:$B$2331,0)-1,0)+(B79-1)*OFFSET(控制台!$H$2315,MATCH(A79,控制台!$B$2315:$B$2331,0)-1,0)</f>
        <v>100</v>
      </c>
      <c r="H79" s="1">
        <f ca="1">OFFSET(控制台!$Q$2315,MATCH(A79,控制台!$B$2315:$B$2331,0)-1,0)+(B79-1)*OFFSET(控制台!$R$2315,MATCH(A79,控制台!$B$2315:$B$2331,0)-1,0)</f>
        <v>100000</v>
      </c>
      <c r="I79" s="1">
        <f ca="1">H79*控制台!$I$102</f>
        <v>75000</v>
      </c>
      <c r="J79" s="1">
        <f ca="1">H79*控制台!$J$102</f>
        <v>125000</v>
      </c>
      <c r="K79" s="1">
        <f ca="1" t="shared" si="6"/>
        <v>300000</v>
      </c>
      <c r="L79" s="4" t="str">
        <f ca="1" t="shared" si="7"/>
        <v>100;100000;75000;125000</v>
      </c>
      <c r="M79" s="1">
        <f ca="1">OFFSET(控制台!$K$2315,MATCH(A79,控制台!$B$2315:$B$2331,0)-1,0)+(B79-1)*OFFSET(控制台!$L$2315,MATCH(A79,控制台!$B$2315:$B$2331,0)-1,0)</f>
        <v>1920</v>
      </c>
      <c r="N79" s="4">
        <f ca="1" t="shared" si="8"/>
        <v>115200</v>
      </c>
      <c r="O79" s="14">
        <f ca="1">OFFSET(控制台!$G$2224,MATCH(F79,控制台!$C$2224:$C$2295,0)-1,0)</f>
        <v>0.675</v>
      </c>
      <c r="P79" s="19">
        <f ca="1" t="shared" si="9"/>
        <v>1146.26865671642</v>
      </c>
      <c r="Q79" s="20">
        <f ca="1" t="shared" si="10"/>
        <v>0.796019900497512</v>
      </c>
      <c r="R79" s="21">
        <f ca="1">G79*总规划!$G$117</f>
        <v>5</v>
      </c>
      <c r="S79" s="21">
        <f ca="1">K79/1000000*总规划!$G$105</f>
        <v>0.125</v>
      </c>
      <c r="T79" s="21">
        <f ca="1">P79/1440*总规划!$G$106</f>
        <v>1.24378109452736</v>
      </c>
      <c r="U79" s="22">
        <f ca="1">_xlfn.FLOOR.MATH(R79*控制台!$E$2216+S79*控制台!$E$182+T79*控制台!$E$183)</f>
        <v>8171</v>
      </c>
      <c r="V79" s="4">
        <f ca="1" t="shared" si="11"/>
        <v>12256</v>
      </c>
    </row>
    <row r="80" spans="1:22">
      <c r="A80" s="1">
        <v>30801</v>
      </c>
      <c r="B80" s="1">
        <v>3</v>
      </c>
      <c r="C80" s="1">
        <v>3</v>
      </c>
      <c r="D80" s="1" t="s">
        <v>1299</v>
      </c>
      <c r="E80" s="1">
        <f ca="1">OFFSET(控制台!$F$2315,MATCH(A80,控制台!$B$2315:$B$2331,0)-1,0)</f>
        <v>10</v>
      </c>
      <c r="F80" s="1">
        <f ca="1">OFFSET(控制台!$D$2315,MATCH(A80,控制台!$B$2315:$B$2331,0)-1,0)</f>
        <v>8</v>
      </c>
      <c r="G80" s="1">
        <f ca="1">OFFSET(控制台!$G$2315,MATCH(A80,控制台!$B$2315:$B$2331,0)-1,0)+(B80-1)*OFFSET(控制台!$H$2315,MATCH(A80,控制台!$B$2315:$B$2331,0)-1,0)</f>
        <v>150</v>
      </c>
      <c r="H80" s="1">
        <f ca="1">OFFSET(控制台!$Q$2315,MATCH(A80,控制台!$B$2315:$B$2331,0)-1,0)+(B80-1)*OFFSET(控制台!$R$2315,MATCH(A80,控制台!$B$2315:$B$2331,0)-1,0)</f>
        <v>150000</v>
      </c>
      <c r="I80" s="1">
        <f ca="1">H80*控制台!$I$102</f>
        <v>112500</v>
      </c>
      <c r="J80" s="1">
        <f ca="1">H80*控制台!$J$102</f>
        <v>187500</v>
      </c>
      <c r="K80" s="1">
        <f ca="1" t="shared" si="6"/>
        <v>450000</v>
      </c>
      <c r="L80" s="4" t="str">
        <f ca="1" t="shared" si="7"/>
        <v>150;150000;112500;187500</v>
      </c>
      <c r="M80" s="1">
        <f ca="1">OFFSET(控制台!$K$2315,MATCH(A80,控制台!$B$2315:$B$2331,0)-1,0)+(B80-1)*OFFSET(控制台!$L$2315,MATCH(A80,控制台!$B$2315:$B$2331,0)-1,0)</f>
        <v>2880</v>
      </c>
      <c r="N80" s="4">
        <f ca="1" t="shared" si="8"/>
        <v>172800</v>
      </c>
      <c r="O80" s="14">
        <f ca="1">OFFSET(控制台!$G$2224,MATCH(F80,控制台!$C$2224:$C$2295,0)-1,0)</f>
        <v>0.675</v>
      </c>
      <c r="P80" s="19">
        <f ca="1" t="shared" si="9"/>
        <v>1719.40298507463</v>
      </c>
      <c r="Q80" s="20">
        <f ca="1" t="shared" si="10"/>
        <v>1.19402985074627</v>
      </c>
      <c r="R80" s="21">
        <f ca="1">G80*总规划!$G$117</f>
        <v>7.5</v>
      </c>
      <c r="S80" s="21">
        <f ca="1">K80/1000000*总规划!$G$105</f>
        <v>0.1875</v>
      </c>
      <c r="T80" s="21">
        <f ca="1">P80/1440*总规划!$G$106</f>
        <v>1.86567164179104</v>
      </c>
      <c r="U80" s="22">
        <f ca="1">_xlfn.FLOOR.MATH(R80*控制台!$E$2216+S80*控制台!$E$182+T80*控制台!$E$183)</f>
        <v>12257</v>
      </c>
      <c r="V80" s="4">
        <f ca="1" t="shared" si="11"/>
        <v>24513</v>
      </c>
    </row>
    <row r="81" spans="1:22">
      <c r="A81" s="1">
        <v>30801</v>
      </c>
      <c r="B81" s="1">
        <v>4</v>
      </c>
      <c r="C81" s="1">
        <v>3</v>
      </c>
      <c r="D81" s="1" t="s">
        <v>1299</v>
      </c>
      <c r="E81" s="1">
        <f ca="1">OFFSET(控制台!$F$2315,MATCH(A81,控制台!$B$2315:$B$2331,0)-1,0)</f>
        <v>10</v>
      </c>
      <c r="F81" s="1">
        <f ca="1">OFFSET(控制台!$D$2315,MATCH(A81,控制台!$B$2315:$B$2331,0)-1,0)</f>
        <v>8</v>
      </c>
      <c r="G81" s="1">
        <f ca="1">OFFSET(控制台!$G$2315,MATCH(A81,控制台!$B$2315:$B$2331,0)-1,0)+(B81-1)*OFFSET(控制台!$H$2315,MATCH(A81,控制台!$B$2315:$B$2331,0)-1,0)</f>
        <v>200</v>
      </c>
      <c r="H81" s="1">
        <f ca="1">OFFSET(控制台!$Q$2315,MATCH(A81,控制台!$B$2315:$B$2331,0)-1,0)+(B81-1)*OFFSET(控制台!$R$2315,MATCH(A81,控制台!$B$2315:$B$2331,0)-1,0)</f>
        <v>200000</v>
      </c>
      <c r="I81" s="1">
        <f ca="1">H81*控制台!$I$102</f>
        <v>150000</v>
      </c>
      <c r="J81" s="1">
        <f ca="1">H81*控制台!$J$102</f>
        <v>250000</v>
      </c>
      <c r="K81" s="1">
        <f ca="1" t="shared" si="6"/>
        <v>600000</v>
      </c>
      <c r="L81" s="4" t="str">
        <f ca="1" t="shared" si="7"/>
        <v>200;200000;150000;250000</v>
      </c>
      <c r="M81" s="1">
        <f ca="1">OFFSET(控制台!$K$2315,MATCH(A81,控制台!$B$2315:$B$2331,0)-1,0)+(B81-1)*OFFSET(控制台!$L$2315,MATCH(A81,控制台!$B$2315:$B$2331,0)-1,0)</f>
        <v>3840</v>
      </c>
      <c r="N81" s="4">
        <f ca="1" t="shared" si="8"/>
        <v>230400</v>
      </c>
      <c r="O81" s="14">
        <f ca="1">OFFSET(控制台!$G$2224,MATCH(F81,控制台!$C$2224:$C$2295,0)-1,0)</f>
        <v>0.675</v>
      </c>
      <c r="P81" s="19">
        <f ca="1" t="shared" si="9"/>
        <v>2292.53731343284</v>
      </c>
      <c r="Q81" s="20">
        <f ca="1" t="shared" si="10"/>
        <v>1.59203980099502</v>
      </c>
      <c r="R81" s="21">
        <f ca="1">G81*总规划!$G$117</f>
        <v>10</v>
      </c>
      <c r="S81" s="21">
        <f ca="1">K81/1000000*总规划!$G$105</f>
        <v>0.25</v>
      </c>
      <c r="T81" s="21">
        <f ca="1">P81/1440*总规划!$G$106</f>
        <v>2.48756218905473</v>
      </c>
      <c r="U81" s="22">
        <f ca="1">_xlfn.FLOOR.MATH(R81*控制台!$E$2216+S81*控制台!$E$182+T81*控制台!$E$183)</f>
        <v>16343</v>
      </c>
      <c r="V81" s="4">
        <f ca="1" t="shared" si="11"/>
        <v>40856</v>
      </c>
    </row>
    <row r="82" spans="1:22">
      <c r="A82" s="1">
        <v>30801</v>
      </c>
      <c r="B82" s="1">
        <v>5</v>
      </c>
      <c r="C82" s="1">
        <v>3</v>
      </c>
      <c r="D82" s="1" t="s">
        <v>1299</v>
      </c>
      <c r="E82" s="1">
        <f ca="1">OFFSET(控制台!$F$2315,MATCH(A82,控制台!$B$2315:$B$2331,0)-1,0)</f>
        <v>10</v>
      </c>
      <c r="F82" s="1">
        <f ca="1">OFFSET(控制台!$D$2315,MATCH(A82,控制台!$B$2315:$B$2331,0)-1,0)</f>
        <v>8</v>
      </c>
      <c r="G82" s="1">
        <f ca="1">OFFSET(控制台!$G$2315,MATCH(A82,控制台!$B$2315:$B$2331,0)-1,0)+(B82-1)*OFFSET(控制台!$H$2315,MATCH(A82,控制台!$B$2315:$B$2331,0)-1,0)</f>
        <v>250</v>
      </c>
      <c r="H82" s="1">
        <f ca="1">OFFSET(控制台!$Q$2315,MATCH(A82,控制台!$B$2315:$B$2331,0)-1,0)+(B82-1)*OFFSET(控制台!$R$2315,MATCH(A82,控制台!$B$2315:$B$2331,0)-1,0)</f>
        <v>250000</v>
      </c>
      <c r="I82" s="1">
        <f ca="1">H82*控制台!$I$102</f>
        <v>187500</v>
      </c>
      <c r="J82" s="1">
        <f ca="1">H82*控制台!$J$102</f>
        <v>312500</v>
      </c>
      <c r="K82" s="1">
        <f ca="1" t="shared" si="6"/>
        <v>750000</v>
      </c>
      <c r="L82" s="4" t="str">
        <f ca="1" t="shared" si="7"/>
        <v>250;250000;187500;312500</v>
      </c>
      <c r="M82" s="1">
        <f ca="1">OFFSET(控制台!$K$2315,MATCH(A82,控制台!$B$2315:$B$2331,0)-1,0)+(B82-1)*OFFSET(控制台!$L$2315,MATCH(A82,控制台!$B$2315:$B$2331,0)-1,0)</f>
        <v>4800</v>
      </c>
      <c r="N82" s="4">
        <f ca="1" t="shared" si="8"/>
        <v>288000</v>
      </c>
      <c r="O82" s="14">
        <f ca="1">OFFSET(控制台!$G$2224,MATCH(F82,控制台!$C$2224:$C$2295,0)-1,0)</f>
        <v>0.675</v>
      </c>
      <c r="P82" s="19">
        <f ca="1" t="shared" si="9"/>
        <v>2865.67164179104</v>
      </c>
      <c r="Q82" s="20">
        <f ca="1" t="shared" si="10"/>
        <v>1.99004975124378</v>
      </c>
      <c r="R82" s="21">
        <f ca="1">G82*总规划!$G$117</f>
        <v>12.5</v>
      </c>
      <c r="S82" s="21">
        <f ca="1">K82/1000000*总规划!$G$105</f>
        <v>0.3125</v>
      </c>
      <c r="T82" s="21">
        <f ca="1">P82/1440*总规划!$G$106</f>
        <v>3.10945273631841</v>
      </c>
      <c r="U82" s="22">
        <f ca="1">_xlfn.FLOOR.MATH(R82*控制台!$E$2216+S82*控制台!$E$182+T82*控制台!$E$183)</f>
        <v>20429</v>
      </c>
      <c r="V82" s="4">
        <f ca="1" t="shared" si="11"/>
        <v>61285</v>
      </c>
    </row>
    <row r="83" spans="1:22">
      <c r="A83" s="1">
        <v>30801</v>
      </c>
      <c r="B83" s="1">
        <v>6</v>
      </c>
      <c r="C83" s="1">
        <v>3</v>
      </c>
      <c r="D83" s="1" t="s">
        <v>1299</v>
      </c>
      <c r="E83" s="1">
        <f ca="1">OFFSET(控制台!$F$2315,MATCH(A83,控制台!$B$2315:$B$2331,0)-1,0)</f>
        <v>10</v>
      </c>
      <c r="F83" s="1">
        <f ca="1">OFFSET(控制台!$D$2315,MATCH(A83,控制台!$B$2315:$B$2331,0)-1,0)</f>
        <v>8</v>
      </c>
      <c r="G83" s="1">
        <f ca="1">OFFSET(控制台!$G$2315,MATCH(A83,控制台!$B$2315:$B$2331,0)-1,0)+(B83-1)*OFFSET(控制台!$H$2315,MATCH(A83,控制台!$B$2315:$B$2331,0)-1,0)</f>
        <v>300</v>
      </c>
      <c r="H83" s="1">
        <f ca="1">OFFSET(控制台!$Q$2315,MATCH(A83,控制台!$B$2315:$B$2331,0)-1,0)+(B83-1)*OFFSET(控制台!$R$2315,MATCH(A83,控制台!$B$2315:$B$2331,0)-1,0)</f>
        <v>300000</v>
      </c>
      <c r="I83" s="1">
        <f ca="1">H83*控制台!$I$102</f>
        <v>225000</v>
      </c>
      <c r="J83" s="1">
        <f ca="1">H83*控制台!$J$102</f>
        <v>375000</v>
      </c>
      <c r="K83" s="1">
        <f ca="1" t="shared" si="6"/>
        <v>900000</v>
      </c>
      <c r="L83" s="4" t="str">
        <f ca="1" t="shared" si="7"/>
        <v>300;300000;225000;375000</v>
      </c>
      <c r="M83" s="1">
        <f ca="1">OFFSET(控制台!$K$2315,MATCH(A83,控制台!$B$2315:$B$2331,0)-1,0)+(B83-1)*OFFSET(控制台!$L$2315,MATCH(A83,控制台!$B$2315:$B$2331,0)-1,0)</f>
        <v>5760</v>
      </c>
      <c r="N83" s="4">
        <f ca="1" t="shared" si="8"/>
        <v>345600</v>
      </c>
      <c r="O83" s="14">
        <f ca="1">OFFSET(控制台!$G$2224,MATCH(F83,控制台!$C$2224:$C$2295,0)-1,0)</f>
        <v>0.675</v>
      </c>
      <c r="P83" s="19">
        <f ca="1" t="shared" si="9"/>
        <v>3438.80597014925</v>
      </c>
      <c r="Q83" s="20">
        <f ca="1" t="shared" si="10"/>
        <v>2.38805970149254</v>
      </c>
      <c r="R83" s="21">
        <f ca="1">G83*总规划!$G$117</f>
        <v>15</v>
      </c>
      <c r="S83" s="21">
        <f ca="1">K83/1000000*总规划!$G$105</f>
        <v>0.375</v>
      </c>
      <c r="T83" s="21">
        <f ca="1">P83/1440*总规划!$G$106</f>
        <v>3.73134328358209</v>
      </c>
      <c r="U83" s="22">
        <f ca="1">_xlfn.FLOOR.MATH(R83*控制台!$E$2216+S83*控制台!$E$182+T83*控制台!$E$183)</f>
        <v>24515</v>
      </c>
      <c r="V83" s="4">
        <f ca="1" t="shared" si="11"/>
        <v>85800</v>
      </c>
    </row>
    <row r="84" spans="1:22">
      <c r="A84" s="1">
        <v>30801</v>
      </c>
      <c r="B84" s="1">
        <v>7</v>
      </c>
      <c r="C84" s="1">
        <v>3</v>
      </c>
      <c r="D84" s="1" t="s">
        <v>1299</v>
      </c>
      <c r="E84" s="1">
        <f ca="1">OFFSET(控制台!$F$2315,MATCH(A84,控制台!$B$2315:$B$2331,0)-1,0)</f>
        <v>10</v>
      </c>
      <c r="F84" s="1">
        <f ca="1">OFFSET(控制台!$D$2315,MATCH(A84,控制台!$B$2315:$B$2331,0)-1,0)</f>
        <v>8</v>
      </c>
      <c r="G84" s="1">
        <f ca="1">OFFSET(控制台!$G$2315,MATCH(A84,控制台!$B$2315:$B$2331,0)-1,0)+(B84-1)*OFFSET(控制台!$H$2315,MATCH(A84,控制台!$B$2315:$B$2331,0)-1,0)</f>
        <v>350</v>
      </c>
      <c r="H84" s="1">
        <f ca="1">OFFSET(控制台!$Q$2315,MATCH(A84,控制台!$B$2315:$B$2331,0)-1,0)+(B84-1)*OFFSET(控制台!$R$2315,MATCH(A84,控制台!$B$2315:$B$2331,0)-1,0)</f>
        <v>350000</v>
      </c>
      <c r="I84" s="1">
        <f ca="1">H84*控制台!$I$102</f>
        <v>262500</v>
      </c>
      <c r="J84" s="1">
        <f ca="1">H84*控制台!$J$102</f>
        <v>437500</v>
      </c>
      <c r="K84" s="1">
        <f ca="1" t="shared" si="6"/>
        <v>1050000</v>
      </c>
      <c r="L84" s="4" t="str">
        <f ca="1" t="shared" si="7"/>
        <v>350;350000;262500;437500</v>
      </c>
      <c r="M84" s="1">
        <f ca="1">OFFSET(控制台!$K$2315,MATCH(A84,控制台!$B$2315:$B$2331,0)-1,0)+(B84-1)*OFFSET(控制台!$L$2315,MATCH(A84,控制台!$B$2315:$B$2331,0)-1,0)</f>
        <v>6720</v>
      </c>
      <c r="N84" s="4">
        <f ca="1" t="shared" si="8"/>
        <v>403200</v>
      </c>
      <c r="O84" s="14">
        <f ca="1">OFFSET(控制台!$G$2224,MATCH(F84,控制台!$C$2224:$C$2295,0)-1,0)</f>
        <v>0.675</v>
      </c>
      <c r="P84" s="19">
        <f ca="1" t="shared" si="9"/>
        <v>4011.94029850746</v>
      </c>
      <c r="Q84" s="20">
        <f ca="1" t="shared" si="10"/>
        <v>2.78606965174129</v>
      </c>
      <c r="R84" s="21">
        <f ca="1">G84*总规划!$G$117</f>
        <v>17.5</v>
      </c>
      <c r="S84" s="21">
        <f ca="1">K84/1000000*总规划!$G$105</f>
        <v>0.4375</v>
      </c>
      <c r="T84" s="21">
        <f ca="1">P84/1440*总规划!$G$106</f>
        <v>4.35323383084577</v>
      </c>
      <c r="U84" s="22">
        <f ca="1">_xlfn.FLOOR.MATH(R84*控制台!$E$2216+S84*控制台!$E$182+T84*控制台!$E$183)</f>
        <v>28601</v>
      </c>
      <c r="V84" s="4">
        <f ca="1" t="shared" si="11"/>
        <v>114401</v>
      </c>
    </row>
    <row r="85" spans="1:22">
      <c r="A85" s="1">
        <v>30801</v>
      </c>
      <c r="B85" s="1">
        <v>8</v>
      </c>
      <c r="C85" s="1">
        <v>3</v>
      </c>
      <c r="D85" s="1" t="s">
        <v>1299</v>
      </c>
      <c r="E85" s="1">
        <f ca="1">OFFSET(控制台!$F$2315,MATCH(A85,控制台!$B$2315:$B$2331,0)-1,0)</f>
        <v>10</v>
      </c>
      <c r="F85" s="1">
        <f ca="1">OFFSET(控制台!$D$2315,MATCH(A85,控制台!$B$2315:$B$2331,0)-1,0)</f>
        <v>8</v>
      </c>
      <c r="G85" s="1">
        <f ca="1">OFFSET(控制台!$G$2315,MATCH(A85,控制台!$B$2315:$B$2331,0)-1,0)+(B85-1)*OFFSET(控制台!$H$2315,MATCH(A85,控制台!$B$2315:$B$2331,0)-1,0)</f>
        <v>400</v>
      </c>
      <c r="H85" s="1">
        <f ca="1">OFFSET(控制台!$Q$2315,MATCH(A85,控制台!$B$2315:$B$2331,0)-1,0)+(B85-1)*OFFSET(控制台!$R$2315,MATCH(A85,控制台!$B$2315:$B$2331,0)-1,0)</f>
        <v>400000</v>
      </c>
      <c r="I85" s="1">
        <f ca="1">H85*控制台!$I$102</f>
        <v>300000</v>
      </c>
      <c r="J85" s="1">
        <f ca="1">H85*控制台!$J$102</f>
        <v>500000</v>
      </c>
      <c r="K85" s="1">
        <f ca="1" t="shared" si="6"/>
        <v>1200000</v>
      </c>
      <c r="L85" s="4" t="str">
        <f ca="1" t="shared" si="7"/>
        <v>400;400000;300000;500000</v>
      </c>
      <c r="M85" s="1">
        <f ca="1">OFFSET(控制台!$K$2315,MATCH(A85,控制台!$B$2315:$B$2331,0)-1,0)+(B85-1)*OFFSET(控制台!$L$2315,MATCH(A85,控制台!$B$2315:$B$2331,0)-1,0)</f>
        <v>7680</v>
      </c>
      <c r="N85" s="4">
        <f ca="1" t="shared" si="8"/>
        <v>460800</v>
      </c>
      <c r="O85" s="14">
        <f ca="1">OFFSET(控制台!$G$2224,MATCH(F85,控制台!$C$2224:$C$2295,0)-1,0)</f>
        <v>0.675</v>
      </c>
      <c r="P85" s="19">
        <f ca="1" t="shared" si="9"/>
        <v>4585.07462686567</v>
      </c>
      <c r="Q85" s="20">
        <f ca="1" t="shared" si="10"/>
        <v>3.18407960199005</v>
      </c>
      <c r="R85" s="21">
        <f ca="1">G85*总规划!$G$117</f>
        <v>20</v>
      </c>
      <c r="S85" s="21">
        <f ca="1">K85/1000000*总规划!$G$105</f>
        <v>0.5</v>
      </c>
      <c r="T85" s="21">
        <f ca="1">P85/1440*总规划!$G$106</f>
        <v>4.97512437810945</v>
      </c>
      <c r="U85" s="22">
        <f ca="1">_xlfn.FLOOR.MATH(R85*控制台!$E$2216+S85*控制台!$E$182+T85*控制台!$E$183)</f>
        <v>32687</v>
      </c>
      <c r="V85" s="4">
        <f ca="1" t="shared" si="11"/>
        <v>147088</v>
      </c>
    </row>
    <row r="86" spans="1:22">
      <c r="A86" s="1">
        <v>30801</v>
      </c>
      <c r="B86" s="1">
        <v>9</v>
      </c>
      <c r="C86" s="1">
        <v>3</v>
      </c>
      <c r="D86" s="1" t="s">
        <v>1299</v>
      </c>
      <c r="E86" s="1">
        <f ca="1">OFFSET(控制台!$F$2315,MATCH(A86,控制台!$B$2315:$B$2331,0)-1,0)</f>
        <v>10</v>
      </c>
      <c r="F86" s="1">
        <f ca="1">OFFSET(控制台!$D$2315,MATCH(A86,控制台!$B$2315:$B$2331,0)-1,0)</f>
        <v>8</v>
      </c>
      <c r="G86" s="1">
        <f ca="1">OFFSET(控制台!$G$2315,MATCH(A86,控制台!$B$2315:$B$2331,0)-1,0)+(B86-1)*OFFSET(控制台!$H$2315,MATCH(A86,控制台!$B$2315:$B$2331,0)-1,0)</f>
        <v>450</v>
      </c>
      <c r="H86" s="1">
        <f ca="1">OFFSET(控制台!$Q$2315,MATCH(A86,控制台!$B$2315:$B$2331,0)-1,0)+(B86-1)*OFFSET(控制台!$R$2315,MATCH(A86,控制台!$B$2315:$B$2331,0)-1,0)</f>
        <v>450000</v>
      </c>
      <c r="I86" s="1">
        <f ca="1">H86*控制台!$I$102</f>
        <v>337500</v>
      </c>
      <c r="J86" s="1">
        <f ca="1">H86*控制台!$J$102</f>
        <v>562500</v>
      </c>
      <c r="K86" s="1">
        <f ca="1" t="shared" si="6"/>
        <v>1350000</v>
      </c>
      <c r="L86" s="4" t="str">
        <f ca="1" t="shared" si="7"/>
        <v>450;450000;337500;562500</v>
      </c>
      <c r="M86" s="1">
        <f ca="1">OFFSET(控制台!$K$2315,MATCH(A86,控制台!$B$2315:$B$2331,0)-1,0)+(B86-1)*OFFSET(控制台!$L$2315,MATCH(A86,控制台!$B$2315:$B$2331,0)-1,0)</f>
        <v>8640</v>
      </c>
      <c r="N86" s="4">
        <f ca="1" t="shared" si="8"/>
        <v>518400</v>
      </c>
      <c r="O86" s="14">
        <f ca="1">OFFSET(控制台!$G$2224,MATCH(F86,控制台!$C$2224:$C$2295,0)-1,0)</f>
        <v>0.675</v>
      </c>
      <c r="P86" s="19">
        <f ca="1" t="shared" si="9"/>
        <v>5158.20895522388</v>
      </c>
      <c r="Q86" s="20">
        <f ca="1" t="shared" si="10"/>
        <v>3.58208955223881</v>
      </c>
      <c r="R86" s="21">
        <f ca="1">G86*总规划!$G$117</f>
        <v>22.5</v>
      </c>
      <c r="S86" s="21">
        <f ca="1">K86/1000000*总规划!$G$105</f>
        <v>0.562500000000001</v>
      </c>
      <c r="T86" s="21">
        <f ca="1">P86/1440*总规划!$G$106</f>
        <v>5.59701492537313</v>
      </c>
      <c r="U86" s="22">
        <f ca="1">_xlfn.FLOOR.MATH(R86*控制台!$E$2216+S86*控制台!$E$182+T86*控制台!$E$183)</f>
        <v>36773</v>
      </c>
      <c r="V86" s="4">
        <f ca="1" t="shared" si="11"/>
        <v>183861</v>
      </c>
    </row>
    <row r="87" spans="1:22">
      <c r="A87" s="1">
        <v>30801</v>
      </c>
      <c r="B87" s="1">
        <v>10</v>
      </c>
      <c r="C87" s="1">
        <v>3</v>
      </c>
      <c r="D87" s="1" t="s">
        <v>1299</v>
      </c>
      <c r="E87" s="1">
        <f ca="1">OFFSET(控制台!$F$2315,MATCH(A87,控制台!$B$2315:$B$2331,0)-1,0)</f>
        <v>10</v>
      </c>
      <c r="F87" s="1">
        <f ca="1">OFFSET(控制台!$D$2315,MATCH(A87,控制台!$B$2315:$B$2331,0)-1,0)</f>
        <v>8</v>
      </c>
      <c r="G87" s="1">
        <f ca="1">OFFSET(控制台!$G$2315,MATCH(A87,控制台!$B$2315:$B$2331,0)-1,0)+(B87-1)*OFFSET(控制台!$H$2315,MATCH(A87,控制台!$B$2315:$B$2331,0)-1,0)</f>
        <v>500</v>
      </c>
      <c r="H87" s="1">
        <f ca="1">OFFSET(控制台!$Q$2315,MATCH(A87,控制台!$B$2315:$B$2331,0)-1,0)+(B87-1)*OFFSET(控制台!$R$2315,MATCH(A87,控制台!$B$2315:$B$2331,0)-1,0)</f>
        <v>500000</v>
      </c>
      <c r="I87" s="1">
        <f ca="1">H87*控制台!$I$102</f>
        <v>375000</v>
      </c>
      <c r="J87" s="1">
        <f ca="1">H87*控制台!$J$102</f>
        <v>625000</v>
      </c>
      <c r="K87" s="1">
        <f ca="1" t="shared" si="6"/>
        <v>1500000</v>
      </c>
      <c r="L87" s="4" t="str">
        <f ca="1" t="shared" si="7"/>
        <v>500;500000;375000;625000</v>
      </c>
      <c r="M87" s="1">
        <f ca="1">OFFSET(控制台!$K$2315,MATCH(A87,控制台!$B$2315:$B$2331,0)-1,0)+(B87-1)*OFFSET(控制台!$L$2315,MATCH(A87,控制台!$B$2315:$B$2331,0)-1,0)</f>
        <v>9600</v>
      </c>
      <c r="N87" s="4">
        <f ca="1" t="shared" si="8"/>
        <v>576000</v>
      </c>
      <c r="O87" s="14">
        <f ca="1">OFFSET(控制台!$G$2224,MATCH(F87,控制台!$C$2224:$C$2295,0)-1,0)</f>
        <v>0.675</v>
      </c>
      <c r="P87" s="19">
        <f ca="1" t="shared" si="9"/>
        <v>5731.34328358209</v>
      </c>
      <c r="Q87" s="20">
        <f ca="1" t="shared" si="10"/>
        <v>3.98009950248756</v>
      </c>
      <c r="R87" s="21">
        <f ca="1">G87*总规划!$G$117</f>
        <v>25</v>
      </c>
      <c r="S87" s="21">
        <f ca="1">K87/1000000*总规划!$G$105</f>
        <v>0.625000000000001</v>
      </c>
      <c r="T87" s="21">
        <f ca="1">P87/1440*总规划!$G$106</f>
        <v>6.21890547263682</v>
      </c>
      <c r="U87" s="22">
        <f ca="1">_xlfn.FLOOR.MATH(R87*控制台!$E$2216+S87*控制台!$E$182+T87*控制台!$E$183)</f>
        <v>40859</v>
      </c>
      <c r="V87" s="4">
        <f ca="1" t="shared" si="11"/>
        <v>224720</v>
      </c>
    </row>
    <row r="88" spans="1:22">
      <c r="A88" s="1">
        <v>30803</v>
      </c>
      <c r="B88" s="1">
        <v>1</v>
      </c>
      <c r="C88" s="1">
        <v>3</v>
      </c>
      <c r="D88" s="1" t="s">
        <v>1300</v>
      </c>
      <c r="E88" s="1">
        <f ca="1">OFFSET(控制台!$F$2315,MATCH(A88,控制台!$B$2315:$B$2331,0)-1,0)</f>
        <v>10</v>
      </c>
      <c r="F88" s="1">
        <f ca="1">OFFSET(控制台!$D$2315,MATCH(A88,控制台!$B$2315:$B$2331,0)-1,0)</f>
        <v>8</v>
      </c>
      <c r="G88" s="1">
        <f ca="1">OFFSET(控制台!$G$2315,MATCH(A88,控制台!$B$2315:$B$2331,0)-1,0)+(B88-1)*OFFSET(控制台!$H$2315,MATCH(A88,控制台!$B$2315:$B$2331,0)-1,0)</f>
        <v>50</v>
      </c>
      <c r="H88" s="1">
        <f ca="1">OFFSET(控制台!$Q$2315,MATCH(A88,控制台!$B$2315:$B$2331,0)-1,0)+(B88-1)*OFFSET(控制台!$R$2315,MATCH(A88,控制台!$B$2315:$B$2331,0)-1,0)</f>
        <v>50000</v>
      </c>
      <c r="I88" s="1">
        <f ca="1">H88*控制台!$I$102</f>
        <v>37500</v>
      </c>
      <c r="J88" s="1">
        <f ca="1">H88*控制台!$J$102</f>
        <v>62500</v>
      </c>
      <c r="K88" s="1">
        <f ca="1" t="shared" si="6"/>
        <v>150000</v>
      </c>
      <c r="L88" s="4" t="str">
        <f ca="1" t="shared" si="7"/>
        <v>50;50000;37500;62500</v>
      </c>
      <c r="M88" s="1">
        <f ca="1">OFFSET(控制台!$K$2315,MATCH(A88,控制台!$B$2315:$B$2331,0)-1,0)+(B88-1)*OFFSET(控制台!$L$2315,MATCH(A88,控制台!$B$2315:$B$2331,0)-1,0)</f>
        <v>960</v>
      </c>
      <c r="N88" s="4">
        <f ca="1" t="shared" si="8"/>
        <v>57600</v>
      </c>
      <c r="O88" s="14">
        <f ca="1">OFFSET(控制台!$G$2224,MATCH(F88,控制台!$C$2224:$C$2295,0)-1,0)</f>
        <v>0.675</v>
      </c>
      <c r="P88" s="19">
        <f ca="1" t="shared" si="9"/>
        <v>573.134328358209</v>
      </c>
      <c r="Q88" s="20">
        <f ca="1" t="shared" si="10"/>
        <v>0.398009950248756</v>
      </c>
      <c r="R88" s="21">
        <f ca="1">G88*总规划!$G$117</f>
        <v>2.5</v>
      </c>
      <c r="S88" s="21">
        <f ca="1">K88/1000000*总规划!$G$105</f>
        <v>0.0625000000000001</v>
      </c>
      <c r="T88" s="21">
        <f ca="1">P88/1440*总规划!$G$106</f>
        <v>0.621890547263682</v>
      </c>
      <c r="U88" s="22">
        <f ca="1">_xlfn.FLOOR.MATH(R88*控制台!$E$2216+S88*控制台!$E$182+T88*控制台!$E$183)</f>
        <v>4085</v>
      </c>
      <c r="V88" s="4">
        <f ca="1" t="shared" si="11"/>
        <v>4085</v>
      </c>
    </row>
    <row r="89" spans="1:22">
      <c r="A89" s="1">
        <v>30803</v>
      </c>
      <c r="B89" s="1">
        <v>2</v>
      </c>
      <c r="C89" s="1">
        <v>3</v>
      </c>
      <c r="D89" s="1" t="s">
        <v>1300</v>
      </c>
      <c r="E89" s="1">
        <f ca="1">OFFSET(控制台!$F$2315,MATCH(A89,控制台!$B$2315:$B$2331,0)-1,0)</f>
        <v>10</v>
      </c>
      <c r="F89" s="1">
        <f ca="1">OFFSET(控制台!$D$2315,MATCH(A89,控制台!$B$2315:$B$2331,0)-1,0)</f>
        <v>8</v>
      </c>
      <c r="G89" s="1">
        <f ca="1">OFFSET(控制台!$G$2315,MATCH(A89,控制台!$B$2315:$B$2331,0)-1,0)+(B89-1)*OFFSET(控制台!$H$2315,MATCH(A89,控制台!$B$2315:$B$2331,0)-1,0)</f>
        <v>100</v>
      </c>
      <c r="H89" s="1">
        <f ca="1">OFFSET(控制台!$Q$2315,MATCH(A89,控制台!$B$2315:$B$2331,0)-1,0)+(B89-1)*OFFSET(控制台!$R$2315,MATCH(A89,控制台!$B$2315:$B$2331,0)-1,0)</f>
        <v>100000</v>
      </c>
      <c r="I89" s="1">
        <f ca="1">H89*控制台!$I$102</f>
        <v>75000</v>
      </c>
      <c r="J89" s="1">
        <f ca="1">H89*控制台!$J$102</f>
        <v>125000</v>
      </c>
      <c r="K89" s="1">
        <f ca="1" t="shared" si="6"/>
        <v>300000</v>
      </c>
      <c r="L89" s="4" t="str">
        <f ca="1" t="shared" si="7"/>
        <v>100;100000;75000;125000</v>
      </c>
      <c r="M89" s="1">
        <f ca="1">OFFSET(控制台!$K$2315,MATCH(A89,控制台!$B$2315:$B$2331,0)-1,0)+(B89-1)*OFFSET(控制台!$L$2315,MATCH(A89,控制台!$B$2315:$B$2331,0)-1,0)</f>
        <v>1920</v>
      </c>
      <c r="N89" s="4">
        <f ca="1" t="shared" si="8"/>
        <v>115200</v>
      </c>
      <c r="O89" s="14">
        <f ca="1">OFFSET(控制台!$G$2224,MATCH(F89,控制台!$C$2224:$C$2295,0)-1,0)</f>
        <v>0.675</v>
      </c>
      <c r="P89" s="19">
        <f ca="1" t="shared" si="9"/>
        <v>1146.26865671642</v>
      </c>
      <c r="Q89" s="20">
        <f ca="1" t="shared" si="10"/>
        <v>0.796019900497512</v>
      </c>
      <c r="R89" s="21">
        <f ca="1">G89*总规划!$G$117</f>
        <v>5</v>
      </c>
      <c r="S89" s="21">
        <f ca="1">K89/1000000*总规划!$G$105</f>
        <v>0.125</v>
      </c>
      <c r="T89" s="21">
        <f ca="1">P89/1440*总规划!$G$106</f>
        <v>1.24378109452736</v>
      </c>
      <c r="U89" s="22">
        <f ca="1">_xlfn.FLOOR.MATH(R89*控制台!$E$2216+S89*控制台!$E$182+T89*控制台!$E$183)</f>
        <v>8171</v>
      </c>
      <c r="V89" s="4">
        <f ca="1" t="shared" si="11"/>
        <v>12256</v>
      </c>
    </row>
    <row r="90" spans="1:22">
      <c r="A90" s="1">
        <v>30803</v>
      </c>
      <c r="B90" s="1">
        <v>3</v>
      </c>
      <c r="C90" s="1">
        <v>3</v>
      </c>
      <c r="D90" s="1" t="s">
        <v>1300</v>
      </c>
      <c r="E90" s="1">
        <f ca="1">OFFSET(控制台!$F$2315,MATCH(A90,控制台!$B$2315:$B$2331,0)-1,0)</f>
        <v>10</v>
      </c>
      <c r="F90" s="1">
        <f ca="1">OFFSET(控制台!$D$2315,MATCH(A90,控制台!$B$2315:$B$2331,0)-1,0)</f>
        <v>8</v>
      </c>
      <c r="G90" s="1">
        <f ca="1">OFFSET(控制台!$G$2315,MATCH(A90,控制台!$B$2315:$B$2331,0)-1,0)+(B90-1)*OFFSET(控制台!$H$2315,MATCH(A90,控制台!$B$2315:$B$2331,0)-1,0)</f>
        <v>150</v>
      </c>
      <c r="H90" s="1">
        <f ca="1">OFFSET(控制台!$Q$2315,MATCH(A90,控制台!$B$2315:$B$2331,0)-1,0)+(B90-1)*OFFSET(控制台!$R$2315,MATCH(A90,控制台!$B$2315:$B$2331,0)-1,0)</f>
        <v>150000</v>
      </c>
      <c r="I90" s="1">
        <f ca="1">H90*控制台!$I$102</f>
        <v>112500</v>
      </c>
      <c r="J90" s="1">
        <f ca="1">H90*控制台!$J$102</f>
        <v>187500</v>
      </c>
      <c r="K90" s="1">
        <f ca="1" t="shared" si="6"/>
        <v>450000</v>
      </c>
      <c r="L90" s="4" t="str">
        <f ca="1" t="shared" si="7"/>
        <v>150;150000;112500;187500</v>
      </c>
      <c r="M90" s="1">
        <f ca="1">OFFSET(控制台!$K$2315,MATCH(A90,控制台!$B$2315:$B$2331,0)-1,0)+(B90-1)*OFFSET(控制台!$L$2315,MATCH(A90,控制台!$B$2315:$B$2331,0)-1,0)</f>
        <v>2880</v>
      </c>
      <c r="N90" s="4">
        <f ca="1" t="shared" si="8"/>
        <v>172800</v>
      </c>
      <c r="O90" s="14">
        <f ca="1">OFFSET(控制台!$G$2224,MATCH(F90,控制台!$C$2224:$C$2295,0)-1,0)</f>
        <v>0.675</v>
      </c>
      <c r="P90" s="19">
        <f ca="1" t="shared" si="9"/>
        <v>1719.40298507463</v>
      </c>
      <c r="Q90" s="20">
        <f ca="1" t="shared" si="10"/>
        <v>1.19402985074627</v>
      </c>
      <c r="R90" s="21">
        <f ca="1">G90*总规划!$G$117</f>
        <v>7.5</v>
      </c>
      <c r="S90" s="21">
        <f ca="1">K90/1000000*总规划!$G$105</f>
        <v>0.1875</v>
      </c>
      <c r="T90" s="21">
        <f ca="1">P90/1440*总规划!$G$106</f>
        <v>1.86567164179104</v>
      </c>
      <c r="U90" s="22">
        <f ca="1">_xlfn.FLOOR.MATH(R90*控制台!$E$2216+S90*控制台!$E$182+T90*控制台!$E$183)</f>
        <v>12257</v>
      </c>
      <c r="V90" s="4">
        <f ca="1" t="shared" si="11"/>
        <v>24513</v>
      </c>
    </row>
    <row r="91" spans="1:22">
      <c r="A91" s="1">
        <v>30803</v>
      </c>
      <c r="B91" s="1">
        <v>4</v>
      </c>
      <c r="C91" s="1">
        <v>3</v>
      </c>
      <c r="D91" s="1" t="s">
        <v>1300</v>
      </c>
      <c r="E91" s="1">
        <f ca="1">OFFSET(控制台!$F$2315,MATCH(A91,控制台!$B$2315:$B$2331,0)-1,0)</f>
        <v>10</v>
      </c>
      <c r="F91" s="1">
        <f ca="1">OFFSET(控制台!$D$2315,MATCH(A91,控制台!$B$2315:$B$2331,0)-1,0)</f>
        <v>8</v>
      </c>
      <c r="G91" s="1">
        <f ca="1">OFFSET(控制台!$G$2315,MATCH(A91,控制台!$B$2315:$B$2331,0)-1,0)+(B91-1)*OFFSET(控制台!$H$2315,MATCH(A91,控制台!$B$2315:$B$2331,0)-1,0)</f>
        <v>200</v>
      </c>
      <c r="H91" s="1">
        <f ca="1">OFFSET(控制台!$Q$2315,MATCH(A91,控制台!$B$2315:$B$2331,0)-1,0)+(B91-1)*OFFSET(控制台!$R$2315,MATCH(A91,控制台!$B$2315:$B$2331,0)-1,0)</f>
        <v>200000</v>
      </c>
      <c r="I91" s="1">
        <f ca="1">H91*控制台!$I$102</f>
        <v>150000</v>
      </c>
      <c r="J91" s="1">
        <f ca="1">H91*控制台!$J$102</f>
        <v>250000</v>
      </c>
      <c r="K91" s="1">
        <f ca="1" t="shared" si="6"/>
        <v>600000</v>
      </c>
      <c r="L91" s="4" t="str">
        <f ca="1" t="shared" si="7"/>
        <v>200;200000;150000;250000</v>
      </c>
      <c r="M91" s="1">
        <f ca="1">OFFSET(控制台!$K$2315,MATCH(A91,控制台!$B$2315:$B$2331,0)-1,0)+(B91-1)*OFFSET(控制台!$L$2315,MATCH(A91,控制台!$B$2315:$B$2331,0)-1,0)</f>
        <v>3840</v>
      </c>
      <c r="N91" s="4">
        <f ca="1" t="shared" si="8"/>
        <v>230400</v>
      </c>
      <c r="O91" s="14">
        <f ca="1">OFFSET(控制台!$G$2224,MATCH(F91,控制台!$C$2224:$C$2295,0)-1,0)</f>
        <v>0.675</v>
      </c>
      <c r="P91" s="19">
        <f ca="1" t="shared" si="9"/>
        <v>2292.53731343284</v>
      </c>
      <c r="Q91" s="20">
        <f ca="1" t="shared" si="10"/>
        <v>1.59203980099502</v>
      </c>
      <c r="R91" s="21">
        <f ca="1">G91*总规划!$G$117</f>
        <v>10</v>
      </c>
      <c r="S91" s="21">
        <f ca="1">K91/1000000*总规划!$G$105</f>
        <v>0.25</v>
      </c>
      <c r="T91" s="21">
        <f ca="1">P91/1440*总规划!$G$106</f>
        <v>2.48756218905473</v>
      </c>
      <c r="U91" s="22">
        <f ca="1">_xlfn.FLOOR.MATH(R91*控制台!$E$2216+S91*控制台!$E$182+T91*控制台!$E$183)</f>
        <v>16343</v>
      </c>
      <c r="V91" s="4">
        <f ca="1" t="shared" si="11"/>
        <v>40856</v>
      </c>
    </row>
    <row r="92" spans="1:22">
      <c r="A92" s="1">
        <v>30803</v>
      </c>
      <c r="B92" s="1">
        <v>5</v>
      </c>
      <c r="C92" s="1">
        <v>3</v>
      </c>
      <c r="D92" s="1" t="s">
        <v>1300</v>
      </c>
      <c r="E92" s="1">
        <f ca="1">OFFSET(控制台!$F$2315,MATCH(A92,控制台!$B$2315:$B$2331,0)-1,0)</f>
        <v>10</v>
      </c>
      <c r="F92" s="1">
        <f ca="1">OFFSET(控制台!$D$2315,MATCH(A92,控制台!$B$2315:$B$2331,0)-1,0)</f>
        <v>8</v>
      </c>
      <c r="G92" s="1">
        <f ca="1">OFFSET(控制台!$G$2315,MATCH(A92,控制台!$B$2315:$B$2331,0)-1,0)+(B92-1)*OFFSET(控制台!$H$2315,MATCH(A92,控制台!$B$2315:$B$2331,0)-1,0)</f>
        <v>250</v>
      </c>
      <c r="H92" s="1">
        <f ca="1">OFFSET(控制台!$Q$2315,MATCH(A92,控制台!$B$2315:$B$2331,0)-1,0)+(B92-1)*OFFSET(控制台!$R$2315,MATCH(A92,控制台!$B$2315:$B$2331,0)-1,0)</f>
        <v>250000</v>
      </c>
      <c r="I92" s="1">
        <f ca="1">H92*控制台!$I$102</f>
        <v>187500</v>
      </c>
      <c r="J92" s="1">
        <f ca="1">H92*控制台!$J$102</f>
        <v>312500</v>
      </c>
      <c r="K92" s="1">
        <f ca="1" t="shared" si="6"/>
        <v>750000</v>
      </c>
      <c r="L92" s="4" t="str">
        <f ca="1" t="shared" si="7"/>
        <v>250;250000;187500;312500</v>
      </c>
      <c r="M92" s="1">
        <f ca="1">OFFSET(控制台!$K$2315,MATCH(A92,控制台!$B$2315:$B$2331,0)-1,0)+(B92-1)*OFFSET(控制台!$L$2315,MATCH(A92,控制台!$B$2315:$B$2331,0)-1,0)</f>
        <v>4800</v>
      </c>
      <c r="N92" s="4">
        <f ca="1" t="shared" si="8"/>
        <v>288000</v>
      </c>
      <c r="O92" s="14">
        <f ca="1">OFFSET(控制台!$G$2224,MATCH(F92,控制台!$C$2224:$C$2295,0)-1,0)</f>
        <v>0.675</v>
      </c>
      <c r="P92" s="19">
        <f ca="1" t="shared" si="9"/>
        <v>2865.67164179104</v>
      </c>
      <c r="Q92" s="20">
        <f ca="1" t="shared" si="10"/>
        <v>1.99004975124378</v>
      </c>
      <c r="R92" s="21">
        <f ca="1">G92*总规划!$G$117</f>
        <v>12.5</v>
      </c>
      <c r="S92" s="21">
        <f ca="1">K92/1000000*总规划!$G$105</f>
        <v>0.3125</v>
      </c>
      <c r="T92" s="21">
        <f ca="1">P92/1440*总规划!$G$106</f>
        <v>3.10945273631841</v>
      </c>
      <c r="U92" s="22">
        <f ca="1">_xlfn.FLOOR.MATH(R92*控制台!$E$2216+S92*控制台!$E$182+T92*控制台!$E$183)</f>
        <v>20429</v>
      </c>
      <c r="V92" s="4">
        <f ca="1" t="shared" si="11"/>
        <v>61285</v>
      </c>
    </row>
    <row r="93" spans="1:22">
      <c r="A93" s="1">
        <v>30803</v>
      </c>
      <c r="B93" s="1">
        <v>6</v>
      </c>
      <c r="C93" s="1">
        <v>3</v>
      </c>
      <c r="D93" s="1" t="s">
        <v>1300</v>
      </c>
      <c r="E93" s="1">
        <f ca="1">OFFSET(控制台!$F$2315,MATCH(A93,控制台!$B$2315:$B$2331,0)-1,0)</f>
        <v>10</v>
      </c>
      <c r="F93" s="1">
        <f ca="1">OFFSET(控制台!$D$2315,MATCH(A93,控制台!$B$2315:$B$2331,0)-1,0)</f>
        <v>8</v>
      </c>
      <c r="G93" s="1">
        <f ca="1">OFFSET(控制台!$G$2315,MATCH(A93,控制台!$B$2315:$B$2331,0)-1,0)+(B93-1)*OFFSET(控制台!$H$2315,MATCH(A93,控制台!$B$2315:$B$2331,0)-1,0)</f>
        <v>300</v>
      </c>
      <c r="H93" s="1">
        <f ca="1">OFFSET(控制台!$Q$2315,MATCH(A93,控制台!$B$2315:$B$2331,0)-1,0)+(B93-1)*OFFSET(控制台!$R$2315,MATCH(A93,控制台!$B$2315:$B$2331,0)-1,0)</f>
        <v>300000</v>
      </c>
      <c r="I93" s="1">
        <f ca="1">H93*控制台!$I$102</f>
        <v>225000</v>
      </c>
      <c r="J93" s="1">
        <f ca="1">H93*控制台!$J$102</f>
        <v>375000</v>
      </c>
      <c r="K93" s="1">
        <f ca="1" t="shared" si="6"/>
        <v>900000</v>
      </c>
      <c r="L93" s="4" t="str">
        <f ca="1" t="shared" si="7"/>
        <v>300;300000;225000;375000</v>
      </c>
      <c r="M93" s="1">
        <f ca="1">OFFSET(控制台!$K$2315,MATCH(A93,控制台!$B$2315:$B$2331,0)-1,0)+(B93-1)*OFFSET(控制台!$L$2315,MATCH(A93,控制台!$B$2315:$B$2331,0)-1,0)</f>
        <v>5760</v>
      </c>
      <c r="N93" s="4">
        <f ca="1" t="shared" si="8"/>
        <v>345600</v>
      </c>
      <c r="O93" s="14">
        <f ca="1">OFFSET(控制台!$G$2224,MATCH(F93,控制台!$C$2224:$C$2295,0)-1,0)</f>
        <v>0.675</v>
      </c>
      <c r="P93" s="19">
        <f ca="1" t="shared" si="9"/>
        <v>3438.80597014925</v>
      </c>
      <c r="Q93" s="20">
        <f ca="1" t="shared" si="10"/>
        <v>2.38805970149254</v>
      </c>
      <c r="R93" s="21">
        <f ca="1">G93*总规划!$G$117</f>
        <v>15</v>
      </c>
      <c r="S93" s="21">
        <f ca="1">K93/1000000*总规划!$G$105</f>
        <v>0.375</v>
      </c>
      <c r="T93" s="21">
        <f ca="1">P93/1440*总规划!$G$106</f>
        <v>3.73134328358209</v>
      </c>
      <c r="U93" s="22">
        <f ca="1">_xlfn.FLOOR.MATH(R93*控制台!$E$2216+S93*控制台!$E$182+T93*控制台!$E$183)</f>
        <v>24515</v>
      </c>
      <c r="V93" s="4">
        <f ca="1" t="shared" si="11"/>
        <v>85800</v>
      </c>
    </row>
    <row r="94" spans="1:22">
      <c r="A94" s="1">
        <v>30803</v>
      </c>
      <c r="B94" s="1">
        <v>7</v>
      </c>
      <c r="C94" s="1">
        <v>3</v>
      </c>
      <c r="D94" s="1" t="s">
        <v>1300</v>
      </c>
      <c r="E94" s="1">
        <f ca="1">OFFSET(控制台!$F$2315,MATCH(A94,控制台!$B$2315:$B$2331,0)-1,0)</f>
        <v>10</v>
      </c>
      <c r="F94" s="1">
        <f ca="1">OFFSET(控制台!$D$2315,MATCH(A94,控制台!$B$2315:$B$2331,0)-1,0)</f>
        <v>8</v>
      </c>
      <c r="G94" s="1">
        <f ca="1">OFFSET(控制台!$G$2315,MATCH(A94,控制台!$B$2315:$B$2331,0)-1,0)+(B94-1)*OFFSET(控制台!$H$2315,MATCH(A94,控制台!$B$2315:$B$2331,0)-1,0)</f>
        <v>350</v>
      </c>
      <c r="H94" s="1">
        <f ca="1">OFFSET(控制台!$Q$2315,MATCH(A94,控制台!$B$2315:$B$2331,0)-1,0)+(B94-1)*OFFSET(控制台!$R$2315,MATCH(A94,控制台!$B$2315:$B$2331,0)-1,0)</f>
        <v>350000</v>
      </c>
      <c r="I94" s="1">
        <f ca="1">H94*控制台!$I$102</f>
        <v>262500</v>
      </c>
      <c r="J94" s="1">
        <f ca="1">H94*控制台!$J$102</f>
        <v>437500</v>
      </c>
      <c r="K94" s="1">
        <f ca="1" t="shared" si="6"/>
        <v>1050000</v>
      </c>
      <c r="L94" s="4" t="str">
        <f ca="1" t="shared" si="7"/>
        <v>350;350000;262500;437500</v>
      </c>
      <c r="M94" s="1">
        <f ca="1">OFFSET(控制台!$K$2315,MATCH(A94,控制台!$B$2315:$B$2331,0)-1,0)+(B94-1)*OFFSET(控制台!$L$2315,MATCH(A94,控制台!$B$2315:$B$2331,0)-1,0)</f>
        <v>6720</v>
      </c>
      <c r="N94" s="4">
        <f ca="1" t="shared" si="8"/>
        <v>403200</v>
      </c>
      <c r="O94" s="14">
        <f ca="1">OFFSET(控制台!$G$2224,MATCH(F94,控制台!$C$2224:$C$2295,0)-1,0)</f>
        <v>0.675</v>
      </c>
      <c r="P94" s="19">
        <f ca="1" t="shared" si="9"/>
        <v>4011.94029850746</v>
      </c>
      <c r="Q94" s="20">
        <f ca="1" t="shared" si="10"/>
        <v>2.78606965174129</v>
      </c>
      <c r="R94" s="21">
        <f ca="1">G94*总规划!$G$117</f>
        <v>17.5</v>
      </c>
      <c r="S94" s="21">
        <f ca="1">K94/1000000*总规划!$G$105</f>
        <v>0.4375</v>
      </c>
      <c r="T94" s="21">
        <f ca="1">P94/1440*总规划!$G$106</f>
        <v>4.35323383084577</v>
      </c>
      <c r="U94" s="22">
        <f ca="1">_xlfn.FLOOR.MATH(R94*控制台!$E$2216+S94*控制台!$E$182+T94*控制台!$E$183)</f>
        <v>28601</v>
      </c>
      <c r="V94" s="4">
        <f ca="1" t="shared" si="11"/>
        <v>114401</v>
      </c>
    </row>
    <row r="95" spans="1:22">
      <c r="A95" s="1">
        <v>30803</v>
      </c>
      <c r="B95" s="1">
        <v>8</v>
      </c>
      <c r="C95" s="1">
        <v>3</v>
      </c>
      <c r="D95" s="1" t="s">
        <v>1300</v>
      </c>
      <c r="E95" s="1">
        <f ca="1">OFFSET(控制台!$F$2315,MATCH(A95,控制台!$B$2315:$B$2331,0)-1,0)</f>
        <v>10</v>
      </c>
      <c r="F95" s="1">
        <f ca="1">OFFSET(控制台!$D$2315,MATCH(A95,控制台!$B$2315:$B$2331,0)-1,0)</f>
        <v>8</v>
      </c>
      <c r="G95" s="1">
        <f ca="1">OFFSET(控制台!$G$2315,MATCH(A95,控制台!$B$2315:$B$2331,0)-1,0)+(B95-1)*OFFSET(控制台!$H$2315,MATCH(A95,控制台!$B$2315:$B$2331,0)-1,0)</f>
        <v>400</v>
      </c>
      <c r="H95" s="1">
        <f ca="1">OFFSET(控制台!$Q$2315,MATCH(A95,控制台!$B$2315:$B$2331,0)-1,0)+(B95-1)*OFFSET(控制台!$R$2315,MATCH(A95,控制台!$B$2315:$B$2331,0)-1,0)</f>
        <v>400000</v>
      </c>
      <c r="I95" s="1">
        <f ca="1">H95*控制台!$I$102</f>
        <v>300000</v>
      </c>
      <c r="J95" s="1">
        <f ca="1">H95*控制台!$J$102</f>
        <v>500000</v>
      </c>
      <c r="K95" s="1">
        <f ca="1" t="shared" si="6"/>
        <v>1200000</v>
      </c>
      <c r="L95" s="4" t="str">
        <f ca="1" t="shared" si="7"/>
        <v>400;400000;300000;500000</v>
      </c>
      <c r="M95" s="1">
        <f ca="1">OFFSET(控制台!$K$2315,MATCH(A95,控制台!$B$2315:$B$2331,0)-1,0)+(B95-1)*OFFSET(控制台!$L$2315,MATCH(A95,控制台!$B$2315:$B$2331,0)-1,0)</f>
        <v>7680</v>
      </c>
      <c r="N95" s="4">
        <f ca="1" t="shared" si="8"/>
        <v>460800</v>
      </c>
      <c r="O95" s="14">
        <f ca="1">OFFSET(控制台!$G$2224,MATCH(F95,控制台!$C$2224:$C$2295,0)-1,0)</f>
        <v>0.675</v>
      </c>
      <c r="P95" s="19">
        <f ca="1" t="shared" si="9"/>
        <v>4585.07462686567</v>
      </c>
      <c r="Q95" s="20">
        <f ca="1" t="shared" si="10"/>
        <v>3.18407960199005</v>
      </c>
      <c r="R95" s="21">
        <f ca="1">G95*总规划!$G$117</f>
        <v>20</v>
      </c>
      <c r="S95" s="21">
        <f ca="1">K95/1000000*总规划!$G$105</f>
        <v>0.5</v>
      </c>
      <c r="T95" s="21">
        <f ca="1">P95/1440*总规划!$G$106</f>
        <v>4.97512437810945</v>
      </c>
      <c r="U95" s="22">
        <f ca="1">_xlfn.FLOOR.MATH(R95*控制台!$E$2216+S95*控制台!$E$182+T95*控制台!$E$183)</f>
        <v>32687</v>
      </c>
      <c r="V95" s="4">
        <f ca="1" t="shared" si="11"/>
        <v>147088</v>
      </c>
    </row>
    <row r="96" spans="1:22">
      <c r="A96" s="1">
        <v>30803</v>
      </c>
      <c r="B96" s="1">
        <v>9</v>
      </c>
      <c r="C96" s="1">
        <v>3</v>
      </c>
      <c r="D96" s="1" t="s">
        <v>1300</v>
      </c>
      <c r="E96" s="1">
        <f ca="1">OFFSET(控制台!$F$2315,MATCH(A96,控制台!$B$2315:$B$2331,0)-1,0)</f>
        <v>10</v>
      </c>
      <c r="F96" s="1">
        <f ca="1">OFFSET(控制台!$D$2315,MATCH(A96,控制台!$B$2315:$B$2331,0)-1,0)</f>
        <v>8</v>
      </c>
      <c r="G96" s="1">
        <f ca="1">OFFSET(控制台!$G$2315,MATCH(A96,控制台!$B$2315:$B$2331,0)-1,0)+(B96-1)*OFFSET(控制台!$H$2315,MATCH(A96,控制台!$B$2315:$B$2331,0)-1,0)</f>
        <v>450</v>
      </c>
      <c r="H96" s="1">
        <f ca="1">OFFSET(控制台!$Q$2315,MATCH(A96,控制台!$B$2315:$B$2331,0)-1,0)+(B96-1)*OFFSET(控制台!$R$2315,MATCH(A96,控制台!$B$2315:$B$2331,0)-1,0)</f>
        <v>450000</v>
      </c>
      <c r="I96" s="1">
        <f ca="1">H96*控制台!$I$102</f>
        <v>337500</v>
      </c>
      <c r="J96" s="1">
        <f ca="1">H96*控制台!$J$102</f>
        <v>562500</v>
      </c>
      <c r="K96" s="1">
        <f ca="1" t="shared" si="6"/>
        <v>1350000</v>
      </c>
      <c r="L96" s="4" t="str">
        <f ca="1" t="shared" si="7"/>
        <v>450;450000;337500;562500</v>
      </c>
      <c r="M96" s="1">
        <f ca="1">OFFSET(控制台!$K$2315,MATCH(A96,控制台!$B$2315:$B$2331,0)-1,0)+(B96-1)*OFFSET(控制台!$L$2315,MATCH(A96,控制台!$B$2315:$B$2331,0)-1,0)</f>
        <v>8640</v>
      </c>
      <c r="N96" s="4">
        <f ca="1" t="shared" si="8"/>
        <v>518400</v>
      </c>
      <c r="O96" s="14">
        <f ca="1">OFFSET(控制台!$G$2224,MATCH(F96,控制台!$C$2224:$C$2295,0)-1,0)</f>
        <v>0.675</v>
      </c>
      <c r="P96" s="19">
        <f ca="1" t="shared" si="9"/>
        <v>5158.20895522388</v>
      </c>
      <c r="Q96" s="20">
        <f ca="1" t="shared" si="10"/>
        <v>3.58208955223881</v>
      </c>
      <c r="R96" s="21">
        <f ca="1">G96*总规划!$G$117</f>
        <v>22.5</v>
      </c>
      <c r="S96" s="21">
        <f ca="1">K96/1000000*总规划!$G$105</f>
        <v>0.562500000000001</v>
      </c>
      <c r="T96" s="21">
        <f ca="1">P96/1440*总规划!$G$106</f>
        <v>5.59701492537313</v>
      </c>
      <c r="U96" s="22">
        <f ca="1">_xlfn.FLOOR.MATH(R96*控制台!$E$2216+S96*控制台!$E$182+T96*控制台!$E$183)</f>
        <v>36773</v>
      </c>
      <c r="V96" s="4">
        <f ca="1" t="shared" si="11"/>
        <v>183861</v>
      </c>
    </row>
    <row r="97" spans="1:22">
      <c r="A97" s="1">
        <v>30803</v>
      </c>
      <c r="B97" s="1">
        <v>10</v>
      </c>
      <c r="C97" s="1">
        <v>3</v>
      </c>
      <c r="D97" s="1" t="s">
        <v>1300</v>
      </c>
      <c r="E97" s="1">
        <f ca="1">OFFSET(控制台!$F$2315,MATCH(A97,控制台!$B$2315:$B$2331,0)-1,0)</f>
        <v>10</v>
      </c>
      <c r="F97" s="1">
        <f ca="1">OFFSET(控制台!$D$2315,MATCH(A97,控制台!$B$2315:$B$2331,0)-1,0)</f>
        <v>8</v>
      </c>
      <c r="G97" s="1">
        <f ca="1">OFFSET(控制台!$G$2315,MATCH(A97,控制台!$B$2315:$B$2331,0)-1,0)+(B97-1)*OFFSET(控制台!$H$2315,MATCH(A97,控制台!$B$2315:$B$2331,0)-1,0)</f>
        <v>500</v>
      </c>
      <c r="H97" s="1">
        <f ca="1">OFFSET(控制台!$Q$2315,MATCH(A97,控制台!$B$2315:$B$2331,0)-1,0)+(B97-1)*OFFSET(控制台!$R$2315,MATCH(A97,控制台!$B$2315:$B$2331,0)-1,0)</f>
        <v>500000</v>
      </c>
      <c r="I97" s="1">
        <f ca="1">H97*控制台!$I$102</f>
        <v>375000</v>
      </c>
      <c r="J97" s="1">
        <f ca="1">H97*控制台!$J$102</f>
        <v>625000</v>
      </c>
      <c r="K97" s="1">
        <f ca="1" t="shared" si="6"/>
        <v>1500000</v>
      </c>
      <c r="L97" s="4" t="str">
        <f ca="1" t="shared" si="7"/>
        <v>500;500000;375000;625000</v>
      </c>
      <c r="M97" s="1">
        <f ca="1">OFFSET(控制台!$K$2315,MATCH(A97,控制台!$B$2315:$B$2331,0)-1,0)+(B97-1)*OFFSET(控制台!$L$2315,MATCH(A97,控制台!$B$2315:$B$2331,0)-1,0)</f>
        <v>9600</v>
      </c>
      <c r="N97" s="4">
        <f ca="1" t="shared" si="8"/>
        <v>576000</v>
      </c>
      <c r="O97" s="14">
        <f ca="1">OFFSET(控制台!$G$2224,MATCH(F97,控制台!$C$2224:$C$2295,0)-1,0)</f>
        <v>0.675</v>
      </c>
      <c r="P97" s="19">
        <f ca="1" t="shared" si="9"/>
        <v>5731.34328358209</v>
      </c>
      <c r="Q97" s="20">
        <f ca="1" t="shared" si="10"/>
        <v>3.98009950248756</v>
      </c>
      <c r="R97" s="21">
        <f ca="1">G97*总规划!$G$117</f>
        <v>25</v>
      </c>
      <c r="S97" s="21">
        <f ca="1">K97/1000000*总规划!$G$105</f>
        <v>0.625000000000001</v>
      </c>
      <c r="T97" s="21">
        <f ca="1">P97/1440*总规划!$G$106</f>
        <v>6.21890547263682</v>
      </c>
      <c r="U97" s="22">
        <f ca="1">_xlfn.FLOOR.MATH(R97*控制台!$E$2216+S97*控制台!$E$182+T97*控制台!$E$183)</f>
        <v>40859</v>
      </c>
      <c r="V97" s="4">
        <f ca="1" t="shared" si="11"/>
        <v>224720</v>
      </c>
    </row>
    <row r="98" spans="1:22">
      <c r="A98" s="1">
        <v>30902</v>
      </c>
      <c r="B98" s="1">
        <v>1</v>
      </c>
      <c r="C98" s="1">
        <v>3</v>
      </c>
      <c r="D98" s="1" t="s">
        <v>1293</v>
      </c>
      <c r="E98" s="1">
        <f ca="1">OFFSET(控制台!$F$2315,MATCH(A98,控制台!$B$2315:$B$2331,0)-1,0)</f>
        <v>10</v>
      </c>
      <c r="F98" s="1">
        <f ca="1">OFFSET(控制台!$D$2315,MATCH(A98,控制台!$B$2315:$B$2331,0)-1,0)</f>
        <v>9</v>
      </c>
      <c r="G98" s="1">
        <f ca="1">OFFSET(控制台!$G$2315,MATCH(A98,控制台!$B$2315:$B$2331,0)-1,0)+(B98-1)*OFFSET(控制台!$H$2315,MATCH(A98,控制台!$B$2315:$B$2331,0)-1,0)</f>
        <v>50</v>
      </c>
      <c r="H98" s="1">
        <f ca="1">OFFSET(控制台!$Q$2315,MATCH(A98,控制台!$B$2315:$B$2331,0)-1,0)+(B98-1)*OFFSET(控制台!$R$2315,MATCH(A98,控制台!$B$2315:$B$2331,0)-1,0)</f>
        <v>50000</v>
      </c>
      <c r="I98" s="1">
        <f ca="1">H98*控制台!$I$102</f>
        <v>37500</v>
      </c>
      <c r="J98" s="1">
        <f ca="1">H98*控制台!$J$102</f>
        <v>62500</v>
      </c>
      <c r="K98" s="1">
        <f ca="1" t="shared" si="6"/>
        <v>150000</v>
      </c>
      <c r="L98" s="4" t="str">
        <f ca="1" t="shared" si="7"/>
        <v>50;50000;37500;62500</v>
      </c>
      <c r="M98" s="1">
        <f ca="1">OFFSET(控制台!$K$2315,MATCH(A98,控制台!$B$2315:$B$2331,0)-1,0)+(B98-1)*OFFSET(控制台!$L$2315,MATCH(A98,控制台!$B$2315:$B$2331,0)-1,0)</f>
        <v>1920</v>
      </c>
      <c r="N98" s="4">
        <f ca="1" t="shared" si="8"/>
        <v>115200</v>
      </c>
      <c r="O98" s="14">
        <f ca="1">OFFSET(控制台!$G$2224,MATCH(F98,控制台!$C$2224:$C$2295,0)-1,0)</f>
        <v>0.925</v>
      </c>
      <c r="P98" s="19">
        <f ca="1" t="shared" si="9"/>
        <v>997.402597402597</v>
      </c>
      <c r="Q98" s="20">
        <f ca="1" t="shared" si="10"/>
        <v>0.692640692640693</v>
      </c>
      <c r="R98" s="21">
        <f ca="1">G98*总规划!$G$117</f>
        <v>2.5</v>
      </c>
      <c r="S98" s="21">
        <f ca="1">K98/1000000*总规划!$G$105</f>
        <v>0.0625000000000001</v>
      </c>
      <c r="T98" s="21">
        <f ca="1">P98/1440*总规划!$G$106</f>
        <v>1.08225108225108</v>
      </c>
      <c r="U98" s="22">
        <f ca="1">_xlfn.FLOOR.MATH(R98*控制台!$E$2216+S98*控制台!$E$182+T98*控制台!$E$183)</f>
        <v>5236</v>
      </c>
      <c r="V98" s="4">
        <f ca="1" t="shared" si="11"/>
        <v>5236</v>
      </c>
    </row>
    <row r="99" spans="1:22">
      <c r="A99" s="1">
        <v>30902</v>
      </c>
      <c r="B99" s="1">
        <v>2</v>
      </c>
      <c r="C99" s="1">
        <v>3</v>
      </c>
      <c r="D99" s="1" t="s">
        <v>1293</v>
      </c>
      <c r="E99" s="1">
        <f ca="1">OFFSET(控制台!$F$2315,MATCH(A99,控制台!$B$2315:$B$2331,0)-1,0)</f>
        <v>10</v>
      </c>
      <c r="F99" s="1">
        <f ca="1">OFFSET(控制台!$D$2315,MATCH(A99,控制台!$B$2315:$B$2331,0)-1,0)</f>
        <v>9</v>
      </c>
      <c r="G99" s="1">
        <f ca="1">OFFSET(控制台!$G$2315,MATCH(A99,控制台!$B$2315:$B$2331,0)-1,0)+(B99-1)*OFFSET(控制台!$H$2315,MATCH(A99,控制台!$B$2315:$B$2331,0)-1,0)</f>
        <v>100</v>
      </c>
      <c r="H99" s="1">
        <f ca="1">OFFSET(控制台!$Q$2315,MATCH(A99,控制台!$B$2315:$B$2331,0)-1,0)+(B99-1)*OFFSET(控制台!$R$2315,MATCH(A99,控制台!$B$2315:$B$2331,0)-1,0)</f>
        <v>100000</v>
      </c>
      <c r="I99" s="1">
        <f ca="1">H99*控制台!$I$102</f>
        <v>75000</v>
      </c>
      <c r="J99" s="1">
        <f ca="1">H99*控制台!$J$102</f>
        <v>125000</v>
      </c>
      <c r="K99" s="1">
        <f ca="1" t="shared" si="6"/>
        <v>300000</v>
      </c>
      <c r="L99" s="4" t="str">
        <f ca="1" t="shared" si="7"/>
        <v>100;100000;75000;125000</v>
      </c>
      <c r="M99" s="1">
        <f ca="1">OFFSET(控制台!$K$2315,MATCH(A99,控制台!$B$2315:$B$2331,0)-1,0)+(B99-1)*OFFSET(控制台!$L$2315,MATCH(A99,控制台!$B$2315:$B$2331,0)-1,0)</f>
        <v>3840</v>
      </c>
      <c r="N99" s="4">
        <f ca="1" t="shared" si="8"/>
        <v>230400</v>
      </c>
      <c r="O99" s="14">
        <f ca="1">OFFSET(控制台!$G$2224,MATCH(F99,控制台!$C$2224:$C$2295,0)-1,0)</f>
        <v>0.925</v>
      </c>
      <c r="P99" s="19">
        <f ca="1" t="shared" si="9"/>
        <v>1994.80519480519</v>
      </c>
      <c r="Q99" s="20">
        <f ca="1" t="shared" si="10"/>
        <v>1.38528138528139</v>
      </c>
      <c r="R99" s="21">
        <f ca="1">G99*总规划!$G$117</f>
        <v>5</v>
      </c>
      <c r="S99" s="21">
        <f ca="1">K99/1000000*总规划!$G$105</f>
        <v>0.125</v>
      </c>
      <c r="T99" s="21">
        <f ca="1">P99/1440*总规划!$G$106</f>
        <v>2.16450216450216</v>
      </c>
      <c r="U99" s="22">
        <f ca="1">_xlfn.FLOOR.MATH(R99*控制台!$E$2216+S99*控制台!$E$182+T99*控制台!$E$183)</f>
        <v>10473</v>
      </c>
      <c r="V99" s="4">
        <f ca="1" t="shared" si="11"/>
        <v>15709</v>
      </c>
    </row>
    <row r="100" spans="1:22">
      <c r="A100" s="1">
        <v>30902</v>
      </c>
      <c r="B100" s="1">
        <v>3</v>
      </c>
      <c r="C100" s="1">
        <v>3</v>
      </c>
      <c r="D100" s="1" t="s">
        <v>1293</v>
      </c>
      <c r="E100" s="1">
        <f ca="1">OFFSET(控制台!$F$2315,MATCH(A100,控制台!$B$2315:$B$2331,0)-1,0)</f>
        <v>10</v>
      </c>
      <c r="F100" s="1">
        <f ca="1">OFFSET(控制台!$D$2315,MATCH(A100,控制台!$B$2315:$B$2331,0)-1,0)</f>
        <v>9</v>
      </c>
      <c r="G100" s="1">
        <f ca="1">OFFSET(控制台!$G$2315,MATCH(A100,控制台!$B$2315:$B$2331,0)-1,0)+(B100-1)*OFFSET(控制台!$H$2315,MATCH(A100,控制台!$B$2315:$B$2331,0)-1,0)</f>
        <v>150</v>
      </c>
      <c r="H100" s="1">
        <f ca="1">OFFSET(控制台!$Q$2315,MATCH(A100,控制台!$B$2315:$B$2331,0)-1,0)+(B100-1)*OFFSET(控制台!$R$2315,MATCH(A100,控制台!$B$2315:$B$2331,0)-1,0)</f>
        <v>150000</v>
      </c>
      <c r="I100" s="1">
        <f ca="1">H100*控制台!$I$102</f>
        <v>112500</v>
      </c>
      <c r="J100" s="1">
        <f ca="1">H100*控制台!$J$102</f>
        <v>187500</v>
      </c>
      <c r="K100" s="1">
        <f ca="1" t="shared" si="6"/>
        <v>450000</v>
      </c>
      <c r="L100" s="4" t="str">
        <f ca="1" t="shared" si="7"/>
        <v>150;150000;112500;187500</v>
      </c>
      <c r="M100" s="1">
        <f ca="1">OFFSET(控制台!$K$2315,MATCH(A100,控制台!$B$2315:$B$2331,0)-1,0)+(B100-1)*OFFSET(控制台!$L$2315,MATCH(A100,控制台!$B$2315:$B$2331,0)-1,0)</f>
        <v>5760</v>
      </c>
      <c r="N100" s="4">
        <f ca="1" t="shared" si="8"/>
        <v>345600</v>
      </c>
      <c r="O100" s="14">
        <f ca="1">OFFSET(控制台!$G$2224,MATCH(F100,控制台!$C$2224:$C$2295,0)-1,0)</f>
        <v>0.925</v>
      </c>
      <c r="P100" s="19">
        <f ca="1" t="shared" si="9"/>
        <v>2992.20779220779</v>
      </c>
      <c r="Q100" s="20">
        <f ca="1" t="shared" si="10"/>
        <v>2.07792207792208</v>
      </c>
      <c r="R100" s="21">
        <f ca="1">G100*总规划!$G$117</f>
        <v>7.5</v>
      </c>
      <c r="S100" s="21">
        <f ca="1">K100/1000000*总规划!$G$105</f>
        <v>0.1875</v>
      </c>
      <c r="T100" s="21">
        <f ca="1">P100/1440*总规划!$G$106</f>
        <v>3.24675324675325</v>
      </c>
      <c r="U100" s="22">
        <f ca="1">_xlfn.FLOOR.MATH(R100*控制台!$E$2216+S100*控制台!$E$182+T100*控制台!$E$183)</f>
        <v>15710</v>
      </c>
      <c r="V100" s="4">
        <f ca="1" t="shared" si="11"/>
        <v>31419</v>
      </c>
    </row>
    <row r="101" spans="1:22">
      <c r="A101" s="1">
        <v>30902</v>
      </c>
      <c r="B101" s="1">
        <v>4</v>
      </c>
      <c r="C101" s="1">
        <v>3</v>
      </c>
      <c r="D101" s="1" t="s">
        <v>1293</v>
      </c>
      <c r="E101" s="1">
        <f ca="1">OFFSET(控制台!$F$2315,MATCH(A101,控制台!$B$2315:$B$2331,0)-1,0)</f>
        <v>10</v>
      </c>
      <c r="F101" s="1">
        <f ca="1">OFFSET(控制台!$D$2315,MATCH(A101,控制台!$B$2315:$B$2331,0)-1,0)</f>
        <v>9</v>
      </c>
      <c r="G101" s="1">
        <f ca="1">OFFSET(控制台!$G$2315,MATCH(A101,控制台!$B$2315:$B$2331,0)-1,0)+(B101-1)*OFFSET(控制台!$H$2315,MATCH(A101,控制台!$B$2315:$B$2331,0)-1,0)</f>
        <v>200</v>
      </c>
      <c r="H101" s="1">
        <f ca="1">OFFSET(控制台!$Q$2315,MATCH(A101,控制台!$B$2315:$B$2331,0)-1,0)+(B101-1)*OFFSET(控制台!$R$2315,MATCH(A101,控制台!$B$2315:$B$2331,0)-1,0)</f>
        <v>200000</v>
      </c>
      <c r="I101" s="1">
        <f ca="1">H101*控制台!$I$102</f>
        <v>150000</v>
      </c>
      <c r="J101" s="1">
        <f ca="1">H101*控制台!$J$102</f>
        <v>250000</v>
      </c>
      <c r="K101" s="1">
        <f ca="1" t="shared" si="6"/>
        <v>600000</v>
      </c>
      <c r="L101" s="4" t="str">
        <f ca="1" t="shared" si="7"/>
        <v>200;200000;150000;250000</v>
      </c>
      <c r="M101" s="1">
        <f ca="1">OFFSET(控制台!$K$2315,MATCH(A101,控制台!$B$2315:$B$2331,0)-1,0)+(B101-1)*OFFSET(控制台!$L$2315,MATCH(A101,控制台!$B$2315:$B$2331,0)-1,0)</f>
        <v>7680</v>
      </c>
      <c r="N101" s="4">
        <f ca="1" t="shared" si="8"/>
        <v>460800</v>
      </c>
      <c r="O101" s="14">
        <f ca="1">OFFSET(控制台!$G$2224,MATCH(F101,控制台!$C$2224:$C$2295,0)-1,0)</f>
        <v>0.925</v>
      </c>
      <c r="P101" s="19">
        <f ca="1" t="shared" si="9"/>
        <v>3989.61038961039</v>
      </c>
      <c r="Q101" s="20">
        <f ca="1" t="shared" si="10"/>
        <v>2.77056277056277</v>
      </c>
      <c r="R101" s="21">
        <f ca="1">G101*总规划!$G$117</f>
        <v>10</v>
      </c>
      <c r="S101" s="21">
        <f ca="1">K101/1000000*总规划!$G$105</f>
        <v>0.25</v>
      </c>
      <c r="T101" s="21">
        <f ca="1">P101/1440*总规划!$G$106</f>
        <v>4.32900432900433</v>
      </c>
      <c r="U101" s="22">
        <f ca="1">_xlfn.FLOOR.MATH(R101*控制台!$E$2216+S101*控制台!$E$182+T101*控制台!$E$183)</f>
        <v>20947</v>
      </c>
      <c r="V101" s="4">
        <f ca="1" t="shared" si="11"/>
        <v>52366</v>
      </c>
    </row>
    <row r="102" spans="1:22">
      <c r="A102" s="1">
        <v>30902</v>
      </c>
      <c r="B102" s="1">
        <v>5</v>
      </c>
      <c r="C102" s="1">
        <v>3</v>
      </c>
      <c r="D102" s="1" t="s">
        <v>1293</v>
      </c>
      <c r="E102" s="1">
        <f ca="1">OFFSET(控制台!$F$2315,MATCH(A102,控制台!$B$2315:$B$2331,0)-1,0)</f>
        <v>10</v>
      </c>
      <c r="F102" s="1">
        <f ca="1">OFFSET(控制台!$D$2315,MATCH(A102,控制台!$B$2315:$B$2331,0)-1,0)</f>
        <v>9</v>
      </c>
      <c r="G102" s="1">
        <f ca="1">OFFSET(控制台!$G$2315,MATCH(A102,控制台!$B$2315:$B$2331,0)-1,0)+(B102-1)*OFFSET(控制台!$H$2315,MATCH(A102,控制台!$B$2315:$B$2331,0)-1,0)</f>
        <v>250</v>
      </c>
      <c r="H102" s="1">
        <f ca="1">OFFSET(控制台!$Q$2315,MATCH(A102,控制台!$B$2315:$B$2331,0)-1,0)+(B102-1)*OFFSET(控制台!$R$2315,MATCH(A102,控制台!$B$2315:$B$2331,0)-1,0)</f>
        <v>250000</v>
      </c>
      <c r="I102" s="1">
        <f ca="1">H102*控制台!$I$102</f>
        <v>187500</v>
      </c>
      <c r="J102" s="1">
        <f ca="1">H102*控制台!$J$102</f>
        <v>312500</v>
      </c>
      <c r="K102" s="1">
        <f ca="1" t="shared" si="6"/>
        <v>750000</v>
      </c>
      <c r="L102" s="4" t="str">
        <f ca="1" t="shared" si="7"/>
        <v>250;250000;187500;312500</v>
      </c>
      <c r="M102" s="1">
        <f ca="1">OFFSET(控制台!$K$2315,MATCH(A102,控制台!$B$2315:$B$2331,0)-1,0)+(B102-1)*OFFSET(控制台!$L$2315,MATCH(A102,控制台!$B$2315:$B$2331,0)-1,0)</f>
        <v>9600</v>
      </c>
      <c r="N102" s="4">
        <f ca="1" t="shared" si="8"/>
        <v>576000</v>
      </c>
      <c r="O102" s="14">
        <f ca="1">OFFSET(控制台!$G$2224,MATCH(F102,控制台!$C$2224:$C$2295,0)-1,0)</f>
        <v>0.925</v>
      </c>
      <c r="P102" s="19">
        <f ca="1" t="shared" si="9"/>
        <v>4987.01298701299</v>
      </c>
      <c r="Q102" s="20">
        <f ca="1" t="shared" si="10"/>
        <v>3.46320346320346</v>
      </c>
      <c r="R102" s="21">
        <f ca="1">G102*总规划!$G$117</f>
        <v>12.5</v>
      </c>
      <c r="S102" s="21">
        <f ca="1">K102/1000000*总规划!$G$105</f>
        <v>0.3125</v>
      </c>
      <c r="T102" s="21">
        <f ca="1">P102/1440*总规划!$G$106</f>
        <v>5.41125541125541</v>
      </c>
      <c r="U102" s="22">
        <f ca="1">_xlfn.FLOOR.MATH(R102*控制台!$E$2216+S102*控制台!$E$182+T102*控制台!$E$183)</f>
        <v>26184</v>
      </c>
      <c r="V102" s="4">
        <f ca="1" t="shared" si="11"/>
        <v>78550</v>
      </c>
    </row>
    <row r="103" spans="1:22">
      <c r="A103" s="1">
        <v>30902</v>
      </c>
      <c r="B103" s="1">
        <v>6</v>
      </c>
      <c r="C103" s="1">
        <v>3</v>
      </c>
      <c r="D103" s="1" t="s">
        <v>1293</v>
      </c>
      <c r="E103" s="1">
        <f ca="1">OFFSET(控制台!$F$2315,MATCH(A103,控制台!$B$2315:$B$2331,0)-1,0)</f>
        <v>10</v>
      </c>
      <c r="F103" s="1">
        <f ca="1">OFFSET(控制台!$D$2315,MATCH(A103,控制台!$B$2315:$B$2331,0)-1,0)</f>
        <v>9</v>
      </c>
      <c r="G103" s="1">
        <f ca="1">OFFSET(控制台!$G$2315,MATCH(A103,控制台!$B$2315:$B$2331,0)-1,0)+(B103-1)*OFFSET(控制台!$H$2315,MATCH(A103,控制台!$B$2315:$B$2331,0)-1,0)</f>
        <v>300</v>
      </c>
      <c r="H103" s="1">
        <f ca="1">OFFSET(控制台!$Q$2315,MATCH(A103,控制台!$B$2315:$B$2331,0)-1,0)+(B103-1)*OFFSET(控制台!$R$2315,MATCH(A103,控制台!$B$2315:$B$2331,0)-1,0)</f>
        <v>300000</v>
      </c>
      <c r="I103" s="1">
        <f ca="1">H103*控制台!$I$102</f>
        <v>225000</v>
      </c>
      <c r="J103" s="1">
        <f ca="1">H103*控制台!$J$102</f>
        <v>375000</v>
      </c>
      <c r="K103" s="1">
        <f ca="1" t="shared" si="6"/>
        <v>900000</v>
      </c>
      <c r="L103" s="4" t="str">
        <f ca="1" t="shared" si="7"/>
        <v>300;300000;225000;375000</v>
      </c>
      <c r="M103" s="1">
        <f ca="1">OFFSET(控制台!$K$2315,MATCH(A103,控制台!$B$2315:$B$2331,0)-1,0)+(B103-1)*OFFSET(控制台!$L$2315,MATCH(A103,控制台!$B$2315:$B$2331,0)-1,0)</f>
        <v>11520</v>
      </c>
      <c r="N103" s="4">
        <f ca="1" t="shared" si="8"/>
        <v>691200</v>
      </c>
      <c r="O103" s="14">
        <f ca="1">OFFSET(控制台!$G$2224,MATCH(F103,控制台!$C$2224:$C$2295,0)-1,0)</f>
        <v>0.925</v>
      </c>
      <c r="P103" s="19">
        <f ca="1" t="shared" si="9"/>
        <v>5984.41558441558</v>
      </c>
      <c r="Q103" s="20">
        <f ca="1" t="shared" si="10"/>
        <v>4.15584415584416</v>
      </c>
      <c r="R103" s="21">
        <f ca="1">G103*总规划!$G$117</f>
        <v>15</v>
      </c>
      <c r="S103" s="21">
        <f ca="1">K103/1000000*总规划!$G$105</f>
        <v>0.375</v>
      </c>
      <c r="T103" s="21">
        <f ca="1">P103/1440*总规划!$G$106</f>
        <v>6.49350649350649</v>
      </c>
      <c r="U103" s="22">
        <f ca="1">_xlfn.FLOOR.MATH(R103*控制台!$E$2216+S103*控制台!$E$182+T103*控制台!$E$183)</f>
        <v>31421</v>
      </c>
      <c r="V103" s="4">
        <f ca="1" t="shared" si="11"/>
        <v>109971</v>
      </c>
    </row>
    <row r="104" spans="1:22">
      <c r="A104" s="1">
        <v>30902</v>
      </c>
      <c r="B104" s="1">
        <v>7</v>
      </c>
      <c r="C104" s="1">
        <v>3</v>
      </c>
      <c r="D104" s="1" t="s">
        <v>1293</v>
      </c>
      <c r="E104" s="1">
        <f ca="1">OFFSET(控制台!$F$2315,MATCH(A104,控制台!$B$2315:$B$2331,0)-1,0)</f>
        <v>10</v>
      </c>
      <c r="F104" s="1">
        <f ca="1">OFFSET(控制台!$D$2315,MATCH(A104,控制台!$B$2315:$B$2331,0)-1,0)</f>
        <v>9</v>
      </c>
      <c r="G104" s="1">
        <f ca="1">OFFSET(控制台!$G$2315,MATCH(A104,控制台!$B$2315:$B$2331,0)-1,0)+(B104-1)*OFFSET(控制台!$H$2315,MATCH(A104,控制台!$B$2315:$B$2331,0)-1,0)</f>
        <v>350</v>
      </c>
      <c r="H104" s="1">
        <f ca="1">OFFSET(控制台!$Q$2315,MATCH(A104,控制台!$B$2315:$B$2331,0)-1,0)+(B104-1)*OFFSET(控制台!$R$2315,MATCH(A104,控制台!$B$2315:$B$2331,0)-1,0)</f>
        <v>350000</v>
      </c>
      <c r="I104" s="1">
        <f ca="1">H104*控制台!$I$102</f>
        <v>262500</v>
      </c>
      <c r="J104" s="1">
        <f ca="1">H104*控制台!$J$102</f>
        <v>437500</v>
      </c>
      <c r="K104" s="1">
        <f ca="1" t="shared" si="6"/>
        <v>1050000</v>
      </c>
      <c r="L104" s="4" t="str">
        <f ca="1" t="shared" si="7"/>
        <v>350;350000;262500;437500</v>
      </c>
      <c r="M104" s="1">
        <f ca="1">OFFSET(控制台!$K$2315,MATCH(A104,控制台!$B$2315:$B$2331,0)-1,0)+(B104-1)*OFFSET(控制台!$L$2315,MATCH(A104,控制台!$B$2315:$B$2331,0)-1,0)</f>
        <v>13440</v>
      </c>
      <c r="N104" s="4">
        <f ca="1" t="shared" si="8"/>
        <v>806400</v>
      </c>
      <c r="O104" s="14">
        <f ca="1">OFFSET(控制台!$G$2224,MATCH(F104,控制台!$C$2224:$C$2295,0)-1,0)</f>
        <v>0.925</v>
      </c>
      <c r="P104" s="19">
        <f ca="1" t="shared" si="9"/>
        <v>6981.81818181818</v>
      </c>
      <c r="Q104" s="20">
        <f ca="1" t="shared" si="10"/>
        <v>4.84848484848485</v>
      </c>
      <c r="R104" s="21">
        <f ca="1">G104*总规划!$G$117</f>
        <v>17.5</v>
      </c>
      <c r="S104" s="21">
        <f ca="1">K104/1000000*总规划!$G$105</f>
        <v>0.4375</v>
      </c>
      <c r="T104" s="21">
        <f ca="1">P104/1440*总规划!$G$106</f>
        <v>7.57575757575758</v>
      </c>
      <c r="U104" s="22">
        <f ca="1">_xlfn.FLOOR.MATH(R104*控制台!$E$2216+S104*控制台!$E$182+T104*控制台!$E$183)</f>
        <v>36658</v>
      </c>
      <c r="V104" s="4">
        <f ca="1" t="shared" si="11"/>
        <v>146629</v>
      </c>
    </row>
    <row r="105" spans="1:22">
      <c r="A105" s="1">
        <v>30902</v>
      </c>
      <c r="B105" s="1">
        <v>8</v>
      </c>
      <c r="C105" s="1">
        <v>3</v>
      </c>
      <c r="D105" s="1" t="s">
        <v>1293</v>
      </c>
      <c r="E105" s="1">
        <f ca="1">OFFSET(控制台!$F$2315,MATCH(A105,控制台!$B$2315:$B$2331,0)-1,0)</f>
        <v>10</v>
      </c>
      <c r="F105" s="1">
        <f ca="1">OFFSET(控制台!$D$2315,MATCH(A105,控制台!$B$2315:$B$2331,0)-1,0)</f>
        <v>9</v>
      </c>
      <c r="G105" s="1">
        <f ca="1">OFFSET(控制台!$G$2315,MATCH(A105,控制台!$B$2315:$B$2331,0)-1,0)+(B105-1)*OFFSET(控制台!$H$2315,MATCH(A105,控制台!$B$2315:$B$2331,0)-1,0)</f>
        <v>400</v>
      </c>
      <c r="H105" s="1">
        <f ca="1">OFFSET(控制台!$Q$2315,MATCH(A105,控制台!$B$2315:$B$2331,0)-1,0)+(B105-1)*OFFSET(控制台!$R$2315,MATCH(A105,控制台!$B$2315:$B$2331,0)-1,0)</f>
        <v>400000</v>
      </c>
      <c r="I105" s="1">
        <f ca="1">H105*控制台!$I$102</f>
        <v>300000</v>
      </c>
      <c r="J105" s="1">
        <f ca="1">H105*控制台!$J$102</f>
        <v>500000</v>
      </c>
      <c r="K105" s="1">
        <f ca="1" t="shared" si="6"/>
        <v>1200000</v>
      </c>
      <c r="L105" s="4" t="str">
        <f ca="1" t="shared" si="7"/>
        <v>400;400000;300000;500000</v>
      </c>
      <c r="M105" s="1">
        <f ca="1">OFFSET(控制台!$K$2315,MATCH(A105,控制台!$B$2315:$B$2331,0)-1,0)+(B105-1)*OFFSET(控制台!$L$2315,MATCH(A105,控制台!$B$2315:$B$2331,0)-1,0)</f>
        <v>15360</v>
      </c>
      <c r="N105" s="4">
        <f ca="1" t="shared" si="8"/>
        <v>921600</v>
      </c>
      <c r="O105" s="14">
        <f ca="1">OFFSET(控制台!$G$2224,MATCH(F105,控制台!$C$2224:$C$2295,0)-1,0)</f>
        <v>0.925</v>
      </c>
      <c r="P105" s="19">
        <f ca="1" t="shared" si="9"/>
        <v>7979.22077922078</v>
      </c>
      <c r="Q105" s="20">
        <f ca="1" t="shared" si="10"/>
        <v>5.54112554112554</v>
      </c>
      <c r="R105" s="21">
        <f ca="1">G105*总规划!$G$117</f>
        <v>20</v>
      </c>
      <c r="S105" s="21">
        <f ca="1">K105/1000000*总规划!$G$105</f>
        <v>0.5</v>
      </c>
      <c r="T105" s="21">
        <f ca="1">P105/1440*总规划!$G$106</f>
        <v>8.65800865800866</v>
      </c>
      <c r="U105" s="22">
        <f ca="1">_xlfn.FLOOR.MATH(R105*控制台!$E$2216+S105*控制台!$E$182+T105*控制台!$E$183)</f>
        <v>41895</v>
      </c>
      <c r="V105" s="4">
        <f ca="1" t="shared" si="11"/>
        <v>188524</v>
      </c>
    </row>
    <row r="106" spans="1:22">
      <c r="A106" s="1">
        <v>30902</v>
      </c>
      <c r="B106" s="1">
        <v>9</v>
      </c>
      <c r="C106" s="1">
        <v>3</v>
      </c>
      <c r="D106" s="1" t="s">
        <v>1293</v>
      </c>
      <c r="E106" s="1">
        <f ca="1">OFFSET(控制台!$F$2315,MATCH(A106,控制台!$B$2315:$B$2331,0)-1,0)</f>
        <v>10</v>
      </c>
      <c r="F106" s="1">
        <f ca="1">OFFSET(控制台!$D$2315,MATCH(A106,控制台!$B$2315:$B$2331,0)-1,0)</f>
        <v>9</v>
      </c>
      <c r="G106" s="1">
        <f ca="1">OFFSET(控制台!$G$2315,MATCH(A106,控制台!$B$2315:$B$2331,0)-1,0)+(B106-1)*OFFSET(控制台!$H$2315,MATCH(A106,控制台!$B$2315:$B$2331,0)-1,0)</f>
        <v>450</v>
      </c>
      <c r="H106" s="1">
        <f ca="1">OFFSET(控制台!$Q$2315,MATCH(A106,控制台!$B$2315:$B$2331,0)-1,0)+(B106-1)*OFFSET(控制台!$R$2315,MATCH(A106,控制台!$B$2315:$B$2331,0)-1,0)</f>
        <v>450000</v>
      </c>
      <c r="I106" s="1">
        <f ca="1">H106*控制台!$I$102</f>
        <v>337500</v>
      </c>
      <c r="J106" s="1">
        <f ca="1">H106*控制台!$J$102</f>
        <v>562500</v>
      </c>
      <c r="K106" s="1">
        <f ca="1" t="shared" si="6"/>
        <v>1350000</v>
      </c>
      <c r="L106" s="4" t="str">
        <f ca="1" t="shared" si="7"/>
        <v>450;450000;337500;562500</v>
      </c>
      <c r="M106" s="1">
        <f ca="1">OFFSET(控制台!$K$2315,MATCH(A106,控制台!$B$2315:$B$2331,0)-1,0)+(B106-1)*OFFSET(控制台!$L$2315,MATCH(A106,控制台!$B$2315:$B$2331,0)-1,0)</f>
        <v>17280</v>
      </c>
      <c r="N106" s="4">
        <f ca="1" t="shared" si="8"/>
        <v>1036800</v>
      </c>
      <c r="O106" s="14">
        <f ca="1">OFFSET(控制台!$G$2224,MATCH(F106,控制台!$C$2224:$C$2295,0)-1,0)</f>
        <v>0.925</v>
      </c>
      <c r="P106" s="19">
        <f ca="1" t="shared" si="9"/>
        <v>8976.62337662338</v>
      </c>
      <c r="Q106" s="20">
        <f ca="1" t="shared" si="10"/>
        <v>6.23376623376623</v>
      </c>
      <c r="R106" s="21">
        <f ca="1">G106*总规划!$G$117</f>
        <v>22.5</v>
      </c>
      <c r="S106" s="21">
        <f ca="1">K106/1000000*总规划!$G$105</f>
        <v>0.562500000000001</v>
      </c>
      <c r="T106" s="21">
        <f ca="1">P106/1440*总规划!$G$106</f>
        <v>9.74025974025974</v>
      </c>
      <c r="U106" s="22">
        <f ca="1">_xlfn.FLOOR.MATH(R106*控制台!$E$2216+S106*控制台!$E$182+T106*控制台!$E$183)</f>
        <v>47131</v>
      </c>
      <c r="V106" s="4">
        <f ca="1" t="shared" si="11"/>
        <v>235655</v>
      </c>
    </row>
    <row r="107" spans="1:22">
      <c r="A107" s="1">
        <v>30902</v>
      </c>
      <c r="B107" s="1">
        <v>10</v>
      </c>
      <c r="C107" s="1">
        <v>3</v>
      </c>
      <c r="D107" s="1" t="s">
        <v>1293</v>
      </c>
      <c r="E107" s="1">
        <f ca="1">OFFSET(控制台!$F$2315,MATCH(A107,控制台!$B$2315:$B$2331,0)-1,0)</f>
        <v>10</v>
      </c>
      <c r="F107" s="1">
        <f ca="1">OFFSET(控制台!$D$2315,MATCH(A107,控制台!$B$2315:$B$2331,0)-1,0)</f>
        <v>9</v>
      </c>
      <c r="G107" s="1">
        <f ca="1">OFFSET(控制台!$G$2315,MATCH(A107,控制台!$B$2315:$B$2331,0)-1,0)+(B107-1)*OFFSET(控制台!$H$2315,MATCH(A107,控制台!$B$2315:$B$2331,0)-1,0)</f>
        <v>500</v>
      </c>
      <c r="H107" s="1">
        <f ca="1">OFFSET(控制台!$Q$2315,MATCH(A107,控制台!$B$2315:$B$2331,0)-1,0)+(B107-1)*OFFSET(控制台!$R$2315,MATCH(A107,控制台!$B$2315:$B$2331,0)-1,0)</f>
        <v>500000</v>
      </c>
      <c r="I107" s="1">
        <f ca="1">H107*控制台!$I$102</f>
        <v>375000</v>
      </c>
      <c r="J107" s="1">
        <f ca="1">H107*控制台!$J$102</f>
        <v>625000</v>
      </c>
      <c r="K107" s="1">
        <f ca="1" t="shared" si="6"/>
        <v>1500000</v>
      </c>
      <c r="L107" s="4" t="str">
        <f ca="1" t="shared" si="7"/>
        <v>500;500000;375000;625000</v>
      </c>
      <c r="M107" s="1">
        <f ca="1">OFFSET(控制台!$K$2315,MATCH(A107,控制台!$B$2315:$B$2331,0)-1,0)+(B107-1)*OFFSET(控制台!$L$2315,MATCH(A107,控制台!$B$2315:$B$2331,0)-1,0)</f>
        <v>19200</v>
      </c>
      <c r="N107" s="4">
        <f ca="1" t="shared" si="8"/>
        <v>1152000</v>
      </c>
      <c r="O107" s="14">
        <f ca="1">OFFSET(控制台!$G$2224,MATCH(F107,控制台!$C$2224:$C$2295,0)-1,0)</f>
        <v>0.925</v>
      </c>
      <c r="P107" s="19">
        <f ca="1" t="shared" si="9"/>
        <v>9974.02597402597</v>
      </c>
      <c r="Q107" s="20">
        <f ca="1" t="shared" si="10"/>
        <v>6.92640692640693</v>
      </c>
      <c r="R107" s="21">
        <f ca="1">G107*总规划!$G$117</f>
        <v>25</v>
      </c>
      <c r="S107" s="21">
        <f ca="1">K107/1000000*总规划!$G$105</f>
        <v>0.625000000000001</v>
      </c>
      <c r="T107" s="21">
        <f ca="1">P107/1440*总规划!$G$106</f>
        <v>10.8225108225108</v>
      </c>
      <c r="U107" s="22">
        <f ca="1">_xlfn.FLOOR.MATH(R107*控制台!$E$2216+S107*控制台!$E$182+T107*控制台!$E$183)</f>
        <v>52368</v>
      </c>
      <c r="V107" s="4">
        <f ca="1" t="shared" si="11"/>
        <v>288023</v>
      </c>
    </row>
    <row r="108" spans="1:22">
      <c r="A108" s="1">
        <v>31001</v>
      </c>
      <c r="B108" s="1">
        <v>1</v>
      </c>
      <c r="C108" s="1">
        <v>3</v>
      </c>
      <c r="D108" s="1" t="s">
        <v>1301</v>
      </c>
      <c r="E108" s="1">
        <f ca="1">OFFSET(控制台!$F$2315,MATCH(A108,控制台!$B$2315:$B$2331,0)-1,0)</f>
        <v>10</v>
      </c>
      <c r="F108" s="1">
        <f ca="1">OFFSET(控制台!$D$2315,MATCH(A108,控制台!$B$2315:$B$2331,0)-1,0)</f>
        <v>10</v>
      </c>
      <c r="G108" s="1">
        <f ca="1">OFFSET(控制台!$G$2315,MATCH(A108,控制台!$B$2315:$B$2331,0)-1,0)+(B108-1)*OFFSET(控制台!$H$2315,MATCH(A108,控制台!$B$2315:$B$2331,0)-1,0)</f>
        <v>75</v>
      </c>
      <c r="H108" s="1">
        <f ca="1">OFFSET(控制台!$Q$2315,MATCH(A108,控制台!$B$2315:$B$2331,0)-1,0)+(B108-1)*OFFSET(控制台!$R$2315,MATCH(A108,控制台!$B$2315:$B$2331,0)-1,0)</f>
        <v>75000</v>
      </c>
      <c r="I108" s="1">
        <f ca="1">H108*控制台!$I$102</f>
        <v>56250</v>
      </c>
      <c r="J108" s="1">
        <f ca="1">H108*控制台!$J$102</f>
        <v>93750</v>
      </c>
      <c r="K108" s="1">
        <f ca="1" t="shared" si="6"/>
        <v>225000</v>
      </c>
      <c r="L108" s="4" t="str">
        <f ca="1" t="shared" si="7"/>
        <v>75;75000;56250;93750</v>
      </c>
      <c r="M108" s="1">
        <f ca="1">OFFSET(控制台!$K$2315,MATCH(A108,控制台!$B$2315:$B$2331,0)-1,0)+(B108-1)*OFFSET(控制台!$L$2315,MATCH(A108,控制台!$B$2315:$B$2331,0)-1,0)</f>
        <v>3840</v>
      </c>
      <c r="N108" s="4">
        <f ca="1" t="shared" si="8"/>
        <v>230400</v>
      </c>
      <c r="O108" s="14">
        <f ca="1">OFFSET(控制台!$G$2224,MATCH(F108,控制台!$C$2224:$C$2295,0)-1,0)</f>
        <v>0.99</v>
      </c>
      <c r="P108" s="19">
        <f ca="1" t="shared" si="9"/>
        <v>1929.64824120603</v>
      </c>
      <c r="Q108" s="20">
        <f ca="1" t="shared" si="10"/>
        <v>1.34003350083752</v>
      </c>
      <c r="R108" s="21">
        <f ca="1">G108*总规划!$G$117</f>
        <v>3.75</v>
      </c>
      <c r="S108" s="21">
        <f ca="1">K108/1000000*总规划!$G$105</f>
        <v>0.0937500000000001</v>
      </c>
      <c r="T108" s="21">
        <f ca="1">P108/1440*总规划!$G$106</f>
        <v>2.09380234505863</v>
      </c>
      <c r="U108" s="22">
        <f ca="1">_xlfn.FLOOR.MATH(R108*控制台!$E$2216+S108*控制台!$E$182+T108*控制台!$E$183)</f>
        <v>9031</v>
      </c>
      <c r="V108" s="4">
        <f ca="1" t="shared" si="11"/>
        <v>9031</v>
      </c>
    </row>
    <row r="109" spans="1:22">
      <c r="A109" s="1">
        <v>31001</v>
      </c>
      <c r="B109" s="1">
        <v>2</v>
      </c>
      <c r="C109" s="1">
        <v>3</v>
      </c>
      <c r="D109" s="1" t="s">
        <v>1301</v>
      </c>
      <c r="E109" s="1">
        <f ca="1">OFFSET(控制台!$F$2315,MATCH(A109,控制台!$B$2315:$B$2331,0)-1,0)</f>
        <v>10</v>
      </c>
      <c r="F109" s="1">
        <f ca="1">OFFSET(控制台!$D$2315,MATCH(A109,控制台!$B$2315:$B$2331,0)-1,0)</f>
        <v>10</v>
      </c>
      <c r="G109" s="1">
        <f ca="1">OFFSET(控制台!$G$2315,MATCH(A109,控制台!$B$2315:$B$2331,0)-1,0)+(B109-1)*OFFSET(控制台!$H$2315,MATCH(A109,控制台!$B$2315:$B$2331,0)-1,0)</f>
        <v>150</v>
      </c>
      <c r="H109" s="1">
        <f ca="1">OFFSET(控制台!$Q$2315,MATCH(A109,控制台!$B$2315:$B$2331,0)-1,0)+(B109-1)*OFFSET(控制台!$R$2315,MATCH(A109,控制台!$B$2315:$B$2331,0)-1,0)</f>
        <v>150000</v>
      </c>
      <c r="I109" s="1">
        <f ca="1">H109*控制台!$I$102</f>
        <v>112500</v>
      </c>
      <c r="J109" s="1">
        <f ca="1">H109*控制台!$J$102</f>
        <v>187500</v>
      </c>
      <c r="K109" s="1">
        <f ca="1" t="shared" si="6"/>
        <v>450000</v>
      </c>
      <c r="L109" s="4" t="str">
        <f ca="1" t="shared" si="7"/>
        <v>150;150000;112500;187500</v>
      </c>
      <c r="M109" s="1">
        <f ca="1">OFFSET(控制台!$K$2315,MATCH(A109,控制台!$B$2315:$B$2331,0)-1,0)+(B109-1)*OFFSET(控制台!$L$2315,MATCH(A109,控制台!$B$2315:$B$2331,0)-1,0)</f>
        <v>7680</v>
      </c>
      <c r="N109" s="4">
        <f ca="1" t="shared" si="8"/>
        <v>460800</v>
      </c>
      <c r="O109" s="14">
        <f ca="1">OFFSET(控制台!$G$2224,MATCH(F109,控制台!$C$2224:$C$2295,0)-1,0)</f>
        <v>0.99</v>
      </c>
      <c r="P109" s="19">
        <f ca="1" t="shared" si="9"/>
        <v>3859.29648241206</v>
      </c>
      <c r="Q109" s="20">
        <f ca="1" t="shared" si="10"/>
        <v>2.68006700167504</v>
      </c>
      <c r="R109" s="21">
        <f ca="1">G109*总规划!$G$117</f>
        <v>7.5</v>
      </c>
      <c r="S109" s="21">
        <f ca="1">K109/1000000*总规划!$G$105</f>
        <v>0.1875</v>
      </c>
      <c r="T109" s="21">
        <f ca="1">P109/1440*总规划!$G$106</f>
        <v>4.18760469011725</v>
      </c>
      <c r="U109" s="22">
        <f ca="1">_xlfn.FLOOR.MATH(R109*控制台!$E$2216+S109*控制台!$E$182+T109*控制台!$E$183)</f>
        <v>18062</v>
      </c>
      <c r="V109" s="4">
        <f ca="1" t="shared" si="11"/>
        <v>27093</v>
      </c>
    </row>
    <row r="110" spans="1:22">
      <c r="A110" s="1">
        <v>31001</v>
      </c>
      <c r="B110" s="1">
        <v>3</v>
      </c>
      <c r="C110" s="1">
        <v>3</v>
      </c>
      <c r="D110" s="1" t="s">
        <v>1301</v>
      </c>
      <c r="E110" s="1">
        <f ca="1">OFFSET(控制台!$F$2315,MATCH(A110,控制台!$B$2315:$B$2331,0)-1,0)</f>
        <v>10</v>
      </c>
      <c r="F110" s="1">
        <f ca="1">OFFSET(控制台!$D$2315,MATCH(A110,控制台!$B$2315:$B$2331,0)-1,0)</f>
        <v>10</v>
      </c>
      <c r="G110" s="1">
        <f ca="1">OFFSET(控制台!$G$2315,MATCH(A110,控制台!$B$2315:$B$2331,0)-1,0)+(B110-1)*OFFSET(控制台!$H$2315,MATCH(A110,控制台!$B$2315:$B$2331,0)-1,0)</f>
        <v>225</v>
      </c>
      <c r="H110" s="1">
        <f ca="1">OFFSET(控制台!$Q$2315,MATCH(A110,控制台!$B$2315:$B$2331,0)-1,0)+(B110-1)*OFFSET(控制台!$R$2315,MATCH(A110,控制台!$B$2315:$B$2331,0)-1,0)</f>
        <v>225000</v>
      </c>
      <c r="I110" s="1">
        <f ca="1">H110*控制台!$I$102</f>
        <v>168750</v>
      </c>
      <c r="J110" s="1">
        <f ca="1">H110*控制台!$J$102</f>
        <v>281250</v>
      </c>
      <c r="K110" s="1">
        <f ca="1" t="shared" si="6"/>
        <v>675000</v>
      </c>
      <c r="L110" s="4" t="str">
        <f ca="1" t="shared" si="7"/>
        <v>225;225000;168750;281250</v>
      </c>
      <c r="M110" s="1">
        <f ca="1">OFFSET(控制台!$K$2315,MATCH(A110,控制台!$B$2315:$B$2331,0)-1,0)+(B110-1)*OFFSET(控制台!$L$2315,MATCH(A110,控制台!$B$2315:$B$2331,0)-1,0)</f>
        <v>11520</v>
      </c>
      <c r="N110" s="4">
        <f ca="1" t="shared" si="8"/>
        <v>691200</v>
      </c>
      <c r="O110" s="14">
        <f ca="1">OFFSET(控制台!$G$2224,MATCH(F110,控制台!$C$2224:$C$2295,0)-1,0)</f>
        <v>0.99</v>
      </c>
      <c r="P110" s="19">
        <f ca="1" t="shared" si="9"/>
        <v>5788.94472361809</v>
      </c>
      <c r="Q110" s="20">
        <f ca="1" t="shared" si="10"/>
        <v>4.02010050251256</v>
      </c>
      <c r="R110" s="21">
        <f ca="1">G110*总规划!$G$117</f>
        <v>11.25</v>
      </c>
      <c r="S110" s="21">
        <f ca="1">K110/1000000*总规划!$G$105</f>
        <v>0.28125</v>
      </c>
      <c r="T110" s="21">
        <f ca="1">P110/1440*总规划!$G$106</f>
        <v>6.28140703517588</v>
      </c>
      <c r="U110" s="22">
        <f ca="1">_xlfn.FLOOR.MATH(R110*控制台!$E$2216+S110*控制台!$E$182+T110*控制台!$E$183)</f>
        <v>27094</v>
      </c>
      <c r="V110" s="4">
        <f ca="1" t="shared" si="11"/>
        <v>54187</v>
      </c>
    </row>
    <row r="111" spans="1:22">
      <c r="A111" s="1">
        <v>31001</v>
      </c>
      <c r="B111" s="1">
        <v>4</v>
      </c>
      <c r="C111" s="1">
        <v>3</v>
      </c>
      <c r="D111" s="1" t="s">
        <v>1301</v>
      </c>
      <c r="E111" s="1">
        <f ca="1">OFFSET(控制台!$F$2315,MATCH(A111,控制台!$B$2315:$B$2331,0)-1,0)</f>
        <v>10</v>
      </c>
      <c r="F111" s="1">
        <f ca="1">OFFSET(控制台!$D$2315,MATCH(A111,控制台!$B$2315:$B$2331,0)-1,0)</f>
        <v>10</v>
      </c>
      <c r="G111" s="1">
        <f ca="1">OFFSET(控制台!$G$2315,MATCH(A111,控制台!$B$2315:$B$2331,0)-1,0)+(B111-1)*OFFSET(控制台!$H$2315,MATCH(A111,控制台!$B$2315:$B$2331,0)-1,0)</f>
        <v>300</v>
      </c>
      <c r="H111" s="1">
        <f ca="1">OFFSET(控制台!$Q$2315,MATCH(A111,控制台!$B$2315:$B$2331,0)-1,0)+(B111-1)*OFFSET(控制台!$R$2315,MATCH(A111,控制台!$B$2315:$B$2331,0)-1,0)</f>
        <v>300000</v>
      </c>
      <c r="I111" s="1">
        <f ca="1">H111*控制台!$I$102</f>
        <v>225000</v>
      </c>
      <c r="J111" s="1">
        <f ca="1">H111*控制台!$J$102</f>
        <v>375000</v>
      </c>
      <c r="K111" s="1">
        <f ca="1" t="shared" si="6"/>
        <v>900000</v>
      </c>
      <c r="L111" s="4" t="str">
        <f ca="1" t="shared" si="7"/>
        <v>300;300000;225000;375000</v>
      </c>
      <c r="M111" s="1">
        <f ca="1">OFFSET(控制台!$K$2315,MATCH(A111,控制台!$B$2315:$B$2331,0)-1,0)+(B111-1)*OFFSET(控制台!$L$2315,MATCH(A111,控制台!$B$2315:$B$2331,0)-1,0)</f>
        <v>15360</v>
      </c>
      <c r="N111" s="4">
        <f ca="1" t="shared" si="8"/>
        <v>921600</v>
      </c>
      <c r="O111" s="14">
        <f ca="1">OFFSET(控制台!$G$2224,MATCH(F111,控制台!$C$2224:$C$2295,0)-1,0)</f>
        <v>0.99</v>
      </c>
      <c r="P111" s="19">
        <f ca="1" t="shared" si="9"/>
        <v>7718.59296482412</v>
      </c>
      <c r="Q111" s="20">
        <f ca="1" t="shared" si="10"/>
        <v>5.36013400335008</v>
      </c>
      <c r="R111" s="21">
        <f ca="1">G111*总规划!$G$117</f>
        <v>15</v>
      </c>
      <c r="S111" s="21">
        <f ca="1">K111/1000000*总规划!$G$105</f>
        <v>0.375</v>
      </c>
      <c r="T111" s="21">
        <f ca="1">P111/1440*总规划!$G$106</f>
        <v>8.37520938023451</v>
      </c>
      <c r="U111" s="22">
        <f ca="1">_xlfn.FLOOR.MATH(R111*控制台!$E$2216+S111*控制台!$E$182+T111*控制台!$E$183)</f>
        <v>36125</v>
      </c>
      <c r="V111" s="4">
        <f ca="1" t="shared" si="11"/>
        <v>90312</v>
      </c>
    </row>
    <row r="112" spans="1:22">
      <c r="A112" s="1">
        <v>31001</v>
      </c>
      <c r="B112" s="1">
        <v>5</v>
      </c>
      <c r="C112" s="1">
        <v>3</v>
      </c>
      <c r="D112" s="1" t="s">
        <v>1301</v>
      </c>
      <c r="E112" s="1">
        <f ca="1">OFFSET(控制台!$F$2315,MATCH(A112,控制台!$B$2315:$B$2331,0)-1,0)</f>
        <v>10</v>
      </c>
      <c r="F112" s="1">
        <f ca="1">OFFSET(控制台!$D$2315,MATCH(A112,控制台!$B$2315:$B$2331,0)-1,0)</f>
        <v>10</v>
      </c>
      <c r="G112" s="1">
        <f ca="1">OFFSET(控制台!$G$2315,MATCH(A112,控制台!$B$2315:$B$2331,0)-1,0)+(B112-1)*OFFSET(控制台!$H$2315,MATCH(A112,控制台!$B$2315:$B$2331,0)-1,0)</f>
        <v>375</v>
      </c>
      <c r="H112" s="1">
        <f ca="1">OFFSET(控制台!$Q$2315,MATCH(A112,控制台!$B$2315:$B$2331,0)-1,0)+(B112-1)*OFFSET(控制台!$R$2315,MATCH(A112,控制台!$B$2315:$B$2331,0)-1,0)</f>
        <v>375000</v>
      </c>
      <c r="I112" s="1">
        <f ca="1">H112*控制台!$I$102</f>
        <v>281250</v>
      </c>
      <c r="J112" s="1">
        <f ca="1">H112*控制台!$J$102</f>
        <v>468750</v>
      </c>
      <c r="K112" s="1">
        <f ca="1" t="shared" si="6"/>
        <v>1125000</v>
      </c>
      <c r="L112" s="4" t="str">
        <f ca="1" t="shared" si="7"/>
        <v>375;375000;281250;468750</v>
      </c>
      <c r="M112" s="1">
        <f ca="1">OFFSET(控制台!$K$2315,MATCH(A112,控制台!$B$2315:$B$2331,0)-1,0)+(B112-1)*OFFSET(控制台!$L$2315,MATCH(A112,控制台!$B$2315:$B$2331,0)-1,0)</f>
        <v>19200</v>
      </c>
      <c r="N112" s="4">
        <f ca="1" t="shared" si="8"/>
        <v>1152000</v>
      </c>
      <c r="O112" s="14">
        <f ca="1">OFFSET(控制台!$G$2224,MATCH(F112,控制台!$C$2224:$C$2295,0)-1,0)</f>
        <v>0.99</v>
      </c>
      <c r="P112" s="19">
        <f ca="1" t="shared" si="9"/>
        <v>9648.24120603015</v>
      </c>
      <c r="Q112" s="20">
        <f ca="1" t="shared" si="10"/>
        <v>6.7001675041876</v>
      </c>
      <c r="R112" s="21">
        <f ca="1">G112*总规划!$G$117</f>
        <v>18.75</v>
      </c>
      <c r="S112" s="21">
        <f ca="1">K112/1000000*总规划!$G$105</f>
        <v>0.46875</v>
      </c>
      <c r="T112" s="21">
        <f ca="1">P112/1440*总规划!$G$106</f>
        <v>10.4690117252931</v>
      </c>
      <c r="U112" s="22">
        <f ca="1">_xlfn.FLOOR.MATH(R112*控制台!$E$2216+S112*控制台!$E$182+T112*控制台!$E$183)</f>
        <v>45156</v>
      </c>
      <c r="V112" s="4">
        <f ca="1" t="shared" si="11"/>
        <v>135468</v>
      </c>
    </row>
    <row r="113" spans="1:22">
      <c r="A113" s="1">
        <v>31001</v>
      </c>
      <c r="B113" s="1">
        <v>6</v>
      </c>
      <c r="C113" s="1">
        <v>3</v>
      </c>
      <c r="D113" s="1" t="s">
        <v>1301</v>
      </c>
      <c r="E113" s="1">
        <f ca="1">OFFSET(控制台!$F$2315,MATCH(A113,控制台!$B$2315:$B$2331,0)-1,0)</f>
        <v>10</v>
      </c>
      <c r="F113" s="1">
        <f ca="1">OFFSET(控制台!$D$2315,MATCH(A113,控制台!$B$2315:$B$2331,0)-1,0)</f>
        <v>10</v>
      </c>
      <c r="G113" s="1">
        <f ca="1">OFFSET(控制台!$G$2315,MATCH(A113,控制台!$B$2315:$B$2331,0)-1,0)+(B113-1)*OFFSET(控制台!$H$2315,MATCH(A113,控制台!$B$2315:$B$2331,0)-1,0)</f>
        <v>450</v>
      </c>
      <c r="H113" s="1">
        <f ca="1">OFFSET(控制台!$Q$2315,MATCH(A113,控制台!$B$2315:$B$2331,0)-1,0)+(B113-1)*OFFSET(控制台!$R$2315,MATCH(A113,控制台!$B$2315:$B$2331,0)-1,0)</f>
        <v>450000</v>
      </c>
      <c r="I113" s="1">
        <f ca="1">H113*控制台!$I$102</f>
        <v>337500</v>
      </c>
      <c r="J113" s="1">
        <f ca="1">H113*控制台!$J$102</f>
        <v>562500</v>
      </c>
      <c r="K113" s="1">
        <f ca="1" t="shared" si="6"/>
        <v>1350000</v>
      </c>
      <c r="L113" s="4" t="str">
        <f ca="1" t="shared" si="7"/>
        <v>450;450000;337500;562500</v>
      </c>
      <c r="M113" s="1">
        <f ca="1">OFFSET(控制台!$K$2315,MATCH(A113,控制台!$B$2315:$B$2331,0)-1,0)+(B113-1)*OFFSET(控制台!$L$2315,MATCH(A113,控制台!$B$2315:$B$2331,0)-1,0)</f>
        <v>23040</v>
      </c>
      <c r="N113" s="4">
        <f ca="1" t="shared" si="8"/>
        <v>1382400</v>
      </c>
      <c r="O113" s="14">
        <f ca="1">OFFSET(控制台!$G$2224,MATCH(F113,控制台!$C$2224:$C$2295,0)-1,0)</f>
        <v>0.99</v>
      </c>
      <c r="P113" s="19">
        <f ca="1" t="shared" si="9"/>
        <v>11577.8894472362</v>
      </c>
      <c r="Q113" s="20">
        <f ca="1" t="shared" si="10"/>
        <v>8.04020100502512</v>
      </c>
      <c r="R113" s="21">
        <f ca="1">G113*总规划!$G$117</f>
        <v>22.5</v>
      </c>
      <c r="S113" s="21">
        <f ca="1">K113/1000000*总规划!$G$105</f>
        <v>0.562500000000001</v>
      </c>
      <c r="T113" s="21">
        <f ca="1">P113/1440*总规划!$G$106</f>
        <v>12.5628140703518</v>
      </c>
      <c r="U113" s="22">
        <f ca="1">_xlfn.FLOOR.MATH(R113*控制台!$E$2216+S113*控制台!$E$182+T113*控制台!$E$183)</f>
        <v>54188</v>
      </c>
      <c r="V113" s="4">
        <f ca="1" t="shared" si="11"/>
        <v>189656</v>
      </c>
    </row>
    <row r="114" spans="1:22">
      <c r="A114" s="1">
        <v>31001</v>
      </c>
      <c r="B114" s="1">
        <v>7</v>
      </c>
      <c r="C114" s="1">
        <v>3</v>
      </c>
      <c r="D114" s="1" t="s">
        <v>1301</v>
      </c>
      <c r="E114" s="1">
        <f ca="1">OFFSET(控制台!$F$2315,MATCH(A114,控制台!$B$2315:$B$2331,0)-1,0)</f>
        <v>10</v>
      </c>
      <c r="F114" s="1">
        <f ca="1">OFFSET(控制台!$D$2315,MATCH(A114,控制台!$B$2315:$B$2331,0)-1,0)</f>
        <v>10</v>
      </c>
      <c r="G114" s="1">
        <f ca="1">OFFSET(控制台!$G$2315,MATCH(A114,控制台!$B$2315:$B$2331,0)-1,0)+(B114-1)*OFFSET(控制台!$H$2315,MATCH(A114,控制台!$B$2315:$B$2331,0)-1,0)</f>
        <v>525</v>
      </c>
      <c r="H114" s="1">
        <f ca="1">OFFSET(控制台!$Q$2315,MATCH(A114,控制台!$B$2315:$B$2331,0)-1,0)+(B114-1)*OFFSET(控制台!$R$2315,MATCH(A114,控制台!$B$2315:$B$2331,0)-1,0)</f>
        <v>525000</v>
      </c>
      <c r="I114" s="1">
        <f ca="1">H114*控制台!$I$102</f>
        <v>393750</v>
      </c>
      <c r="J114" s="1">
        <f ca="1">H114*控制台!$J$102</f>
        <v>656250</v>
      </c>
      <c r="K114" s="1">
        <f ca="1" t="shared" si="6"/>
        <v>1575000</v>
      </c>
      <c r="L114" s="4" t="str">
        <f ca="1" t="shared" si="7"/>
        <v>525;525000;393750;656250</v>
      </c>
      <c r="M114" s="1">
        <f ca="1">OFFSET(控制台!$K$2315,MATCH(A114,控制台!$B$2315:$B$2331,0)-1,0)+(B114-1)*OFFSET(控制台!$L$2315,MATCH(A114,控制台!$B$2315:$B$2331,0)-1,0)</f>
        <v>26880</v>
      </c>
      <c r="N114" s="4">
        <f ca="1" t="shared" si="8"/>
        <v>1612800</v>
      </c>
      <c r="O114" s="14">
        <f ca="1">OFFSET(控制台!$G$2224,MATCH(F114,控制台!$C$2224:$C$2295,0)-1,0)</f>
        <v>0.99</v>
      </c>
      <c r="P114" s="19">
        <f ca="1" t="shared" si="9"/>
        <v>13507.5376884422</v>
      </c>
      <c r="Q114" s="20">
        <f ca="1" t="shared" si="10"/>
        <v>9.38023450586265</v>
      </c>
      <c r="R114" s="21">
        <f ca="1">G114*总规划!$G$117</f>
        <v>26.25</v>
      </c>
      <c r="S114" s="21">
        <f ca="1">K114/1000000*总规划!$G$105</f>
        <v>0.656250000000001</v>
      </c>
      <c r="T114" s="21">
        <f ca="1">P114/1440*总规划!$G$106</f>
        <v>14.6566164154104</v>
      </c>
      <c r="U114" s="22">
        <f ca="1">_xlfn.FLOOR.MATH(R114*控制台!$E$2216+S114*控制台!$E$182+T114*控制台!$E$183)</f>
        <v>63219</v>
      </c>
      <c r="V114" s="4">
        <f ca="1" t="shared" si="11"/>
        <v>252875</v>
      </c>
    </row>
    <row r="115" spans="1:22">
      <c r="A115" s="1">
        <v>31001</v>
      </c>
      <c r="B115" s="1">
        <v>8</v>
      </c>
      <c r="C115" s="1">
        <v>3</v>
      </c>
      <c r="D115" s="1" t="s">
        <v>1301</v>
      </c>
      <c r="E115" s="1">
        <f ca="1">OFFSET(控制台!$F$2315,MATCH(A115,控制台!$B$2315:$B$2331,0)-1,0)</f>
        <v>10</v>
      </c>
      <c r="F115" s="1">
        <f ca="1">OFFSET(控制台!$D$2315,MATCH(A115,控制台!$B$2315:$B$2331,0)-1,0)</f>
        <v>10</v>
      </c>
      <c r="G115" s="1">
        <f ca="1">OFFSET(控制台!$G$2315,MATCH(A115,控制台!$B$2315:$B$2331,0)-1,0)+(B115-1)*OFFSET(控制台!$H$2315,MATCH(A115,控制台!$B$2315:$B$2331,0)-1,0)</f>
        <v>600</v>
      </c>
      <c r="H115" s="1">
        <f ca="1">OFFSET(控制台!$Q$2315,MATCH(A115,控制台!$B$2315:$B$2331,0)-1,0)+(B115-1)*OFFSET(控制台!$R$2315,MATCH(A115,控制台!$B$2315:$B$2331,0)-1,0)</f>
        <v>600000</v>
      </c>
      <c r="I115" s="1">
        <f ca="1">H115*控制台!$I$102</f>
        <v>450000</v>
      </c>
      <c r="J115" s="1">
        <f ca="1">H115*控制台!$J$102</f>
        <v>750000</v>
      </c>
      <c r="K115" s="1">
        <f ca="1" t="shared" si="6"/>
        <v>1800000</v>
      </c>
      <c r="L115" s="4" t="str">
        <f ca="1" t="shared" si="7"/>
        <v>600;600000;450000;750000</v>
      </c>
      <c r="M115" s="1">
        <f ca="1">OFFSET(控制台!$K$2315,MATCH(A115,控制台!$B$2315:$B$2331,0)-1,0)+(B115-1)*OFFSET(控制台!$L$2315,MATCH(A115,控制台!$B$2315:$B$2331,0)-1,0)</f>
        <v>30720</v>
      </c>
      <c r="N115" s="4">
        <f ca="1" t="shared" si="8"/>
        <v>1843200</v>
      </c>
      <c r="O115" s="14">
        <f ca="1">OFFSET(控制台!$G$2224,MATCH(F115,控制台!$C$2224:$C$2295,0)-1,0)</f>
        <v>0.99</v>
      </c>
      <c r="P115" s="19">
        <f ca="1" t="shared" si="9"/>
        <v>15437.1859296482</v>
      </c>
      <c r="Q115" s="20">
        <f ca="1" t="shared" si="10"/>
        <v>10.7202680067002</v>
      </c>
      <c r="R115" s="21">
        <f ca="1">G115*总规划!$G$117</f>
        <v>30</v>
      </c>
      <c r="S115" s="21">
        <f ca="1">K115/1000000*总规划!$G$105</f>
        <v>0.750000000000001</v>
      </c>
      <c r="T115" s="21">
        <f ca="1">P115/1440*总规划!$G$106</f>
        <v>16.750418760469</v>
      </c>
      <c r="U115" s="22">
        <f ca="1">_xlfn.FLOOR.MATH(R115*控制台!$E$2216+S115*控制台!$E$182+T115*控制台!$E$183)</f>
        <v>72251</v>
      </c>
      <c r="V115" s="4">
        <f ca="1" t="shared" si="11"/>
        <v>325126</v>
      </c>
    </row>
    <row r="116" spans="1:22">
      <c r="A116" s="1">
        <v>31001</v>
      </c>
      <c r="B116" s="1">
        <v>9</v>
      </c>
      <c r="C116" s="1">
        <v>3</v>
      </c>
      <c r="D116" s="1" t="s">
        <v>1301</v>
      </c>
      <c r="E116" s="1">
        <f ca="1">OFFSET(控制台!$F$2315,MATCH(A116,控制台!$B$2315:$B$2331,0)-1,0)</f>
        <v>10</v>
      </c>
      <c r="F116" s="1">
        <f ca="1">OFFSET(控制台!$D$2315,MATCH(A116,控制台!$B$2315:$B$2331,0)-1,0)</f>
        <v>10</v>
      </c>
      <c r="G116" s="1">
        <f ca="1">OFFSET(控制台!$G$2315,MATCH(A116,控制台!$B$2315:$B$2331,0)-1,0)+(B116-1)*OFFSET(控制台!$H$2315,MATCH(A116,控制台!$B$2315:$B$2331,0)-1,0)</f>
        <v>675</v>
      </c>
      <c r="H116" s="1">
        <f ca="1">OFFSET(控制台!$Q$2315,MATCH(A116,控制台!$B$2315:$B$2331,0)-1,0)+(B116-1)*OFFSET(控制台!$R$2315,MATCH(A116,控制台!$B$2315:$B$2331,0)-1,0)</f>
        <v>675000</v>
      </c>
      <c r="I116" s="1">
        <f ca="1">H116*控制台!$I$102</f>
        <v>506250</v>
      </c>
      <c r="J116" s="1">
        <f ca="1">H116*控制台!$J$102</f>
        <v>843750</v>
      </c>
      <c r="K116" s="1">
        <f ca="1" t="shared" si="6"/>
        <v>2025000</v>
      </c>
      <c r="L116" s="4" t="str">
        <f ca="1" t="shared" si="7"/>
        <v>675;675000;506250;843750</v>
      </c>
      <c r="M116" s="1">
        <f ca="1">OFFSET(控制台!$K$2315,MATCH(A116,控制台!$B$2315:$B$2331,0)-1,0)+(B116-1)*OFFSET(控制台!$L$2315,MATCH(A116,控制台!$B$2315:$B$2331,0)-1,0)</f>
        <v>34560</v>
      </c>
      <c r="N116" s="4">
        <f ca="1" t="shared" si="8"/>
        <v>2073600</v>
      </c>
      <c r="O116" s="14">
        <f ca="1">OFFSET(控制台!$G$2224,MATCH(F116,控制台!$C$2224:$C$2295,0)-1,0)</f>
        <v>0.99</v>
      </c>
      <c r="P116" s="19">
        <f ca="1" t="shared" si="9"/>
        <v>17366.8341708543</v>
      </c>
      <c r="Q116" s="20">
        <f ca="1" t="shared" si="10"/>
        <v>12.0603015075377</v>
      </c>
      <c r="R116" s="21">
        <f ca="1">G116*总规划!$G$117</f>
        <v>33.75</v>
      </c>
      <c r="S116" s="21">
        <f ca="1">K116/1000000*总规划!$G$105</f>
        <v>0.843750000000001</v>
      </c>
      <c r="T116" s="21">
        <f ca="1">P116/1440*总规划!$G$106</f>
        <v>18.8442211055276</v>
      </c>
      <c r="U116" s="22">
        <f ca="1">_xlfn.FLOOR.MATH(R116*控制台!$E$2216+S116*控制台!$E$182+T116*控制台!$E$183)</f>
        <v>81282</v>
      </c>
      <c r="V116" s="4">
        <f ca="1" t="shared" si="11"/>
        <v>406408</v>
      </c>
    </row>
    <row r="117" spans="1:22">
      <c r="A117" s="1">
        <v>31001</v>
      </c>
      <c r="B117" s="1">
        <v>10</v>
      </c>
      <c r="C117" s="1">
        <v>3</v>
      </c>
      <c r="D117" s="1" t="s">
        <v>1301</v>
      </c>
      <c r="E117" s="1">
        <f ca="1">OFFSET(控制台!$F$2315,MATCH(A117,控制台!$B$2315:$B$2331,0)-1,0)</f>
        <v>10</v>
      </c>
      <c r="F117" s="1">
        <f ca="1">OFFSET(控制台!$D$2315,MATCH(A117,控制台!$B$2315:$B$2331,0)-1,0)</f>
        <v>10</v>
      </c>
      <c r="G117" s="1">
        <f ca="1">OFFSET(控制台!$G$2315,MATCH(A117,控制台!$B$2315:$B$2331,0)-1,0)+(B117-1)*OFFSET(控制台!$H$2315,MATCH(A117,控制台!$B$2315:$B$2331,0)-1,0)</f>
        <v>750</v>
      </c>
      <c r="H117" s="1">
        <f ca="1">OFFSET(控制台!$Q$2315,MATCH(A117,控制台!$B$2315:$B$2331,0)-1,0)+(B117-1)*OFFSET(控制台!$R$2315,MATCH(A117,控制台!$B$2315:$B$2331,0)-1,0)</f>
        <v>750000</v>
      </c>
      <c r="I117" s="1">
        <f ca="1">H117*控制台!$I$102</f>
        <v>562500</v>
      </c>
      <c r="J117" s="1">
        <f ca="1">H117*控制台!$J$102</f>
        <v>937500</v>
      </c>
      <c r="K117" s="1">
        <f ca="1" t="shared" si="6"/>
        <v>2250000</v>
      </c>
      <c r="L117" s="4" t="str">
        <f ca="1" t="shared" si="7"/>
        <v>750;750000;562500;937500</v>
      </c>
      <c r="M117" s="1">
        <f ca="1">OFFSET(控制台!$K$2315,MATCH(A117,控制台!$B$2315:$B$2331,0)-1,0)+(B117-1)*OFFSET(控制台!$L$2315,MATCH(A117,控制台!$B$2315:$B$2331,0)-1,0)</f>
        <v>38400</v>
      </c>
      <c r="N117" s="4">
        <f ca="1" t="shared" si="8"/>
        <v>2304000</v>
      </c>
      <c r="O117" s="14">
        <f ca="1">OFFSET(控制台!$G$2224,MATCH(F117,控制台!$C$2224:$C$2295,0)-1,0)</f>
        <v>0.99</v>
      </c>
      <c r="P117" s="19">
        <f ca="1" t="shared" si="9"/>
        <v>19296.4824120603</v>
      </c>
      <c r="Q117" s="20">
        <f ca="1" t="shared" si="10"/>
        <v>13.4003350083752</v>
      </c>
      <c r="R117" s="21">
        <f ca="1">G117*总规划!$G$117</f>
        <v>37.5</v>
      </c>
      <c r="S117" s="21">
        <f ca="1">K117/1000000*总规划!$G$105</f>
        <v>0.937500000000001</v>
      </c>
      <c r="T117" s="21">
        <f ca="1">P117/1440*总规划!$G$106</f>
        <v>20.9380234505863</v>
      </c>
      <c r="U117" s="22">
        <f ca="1">_xlfn.FLOOR.MATH(R117*控制台!$E$2216+S117*控制台!$E$182+T117*控制台!$E$183)</f>
        <v>90313</v>
      </c>
      <c r="V117" s="4">
        <f ca="1" t="shared" si="11"/>
        <v>496721</v>
      </c>
    </row>
    <row r="118" spans="1:22">
      <c r="A118" s="1">
        <v>31002</v>
      </c>
      <c r="B118" s="1">
        <v>1</v>
      </c>
      <c r="C118" s="1">
        <v>3</v>
      </c>
      <c r="D118" s="1" t="s">
        <v>1302</v>
      </c>
      <c r="E118" s="1">
        <f ca="1">OFFSET(控制台!$F$2315,MATCH(A118,控制台!$B$2315:$B$2331,0)-1,0)</f>
        <v>10</v>
      </c>
      <c r="F118" s="1">
        <f ca="1">OFFSET(控制台!$D$2315,MATCH(A118,控制台!$B$2315:$B$2331,0)-1,0)</f>
        <v>10</v>
      </c>
      <c r="G118" s="1">
        <f ca="1">OFFSET(控制台!$G$2315,MATCH(A118,控制台!$B$2315:$B$2331,0)-1,0)+(B118-1)*OFFSET(控制台!$H$2315,MATCH(A118,控制台!$B$2315:$B$2331,0)-1,0)</f>
        <v>75</v>
      </c>
      <c r="H118" s="1">
        <f ca="1">OFFSET(控制台!$Q$2315,MATCH(A118,控制台!$B$2315:$B$2331,0)-1,0)+(B118-1)*OFFSET(控制台!$R$2315,MATCH(A118,控制台!$B$2315:$B$2331,0)-1,0)</f>
        <v>75000</v>
      </c>
      <c r="I118" s="1">
        <f ca="1">H118*控制台!$I$102</f>
        <v>56250</v>
      </c>
      <c r="J118" s="1">
        <f ca="1">H118*控制台!$J$102</f>
        <v>93750</v>
      </c>
      <c r="K118" s="1">
        <f ca="1" t="shared" si="6"/>
        <v>225000</v>
      </c>
      <c r="L118" s="4" t="str">
        <f ca="1" t="shared" si="7"/>
        <v>75;75000;56250;93750</v>
      </c>
      <c r="M118" s="1">
        <f ca="1">OFFSET(控制台!$K$2315,MATCH(A118,控制台!$B$2315:$B$2331,0)-1,0)+(B118-1)*OFFSET(控制台!$L$2315,MATCH(A118,控制台!$B$2315:$B$2331,0)-1,0)</f>
        <v>3840</v>
      </c>
      <c r="N118" s="4">
        <f ca="1" t="shared" si="8"/>
        <v>230400</v>
      </c>
      <c r="O118" s="14">
        <f ca="1">OFFSET(控制台!$G$2224,MATCH(F118,控制台!$C$2224:$C$2295,0)-1,0)</f>
        <v>0.99</v>
      </c>
      <c r="P118" s="19">
        <f ca="1" t="shared" si="9"/>
        <v>1929.64824120603</v>
      </c>
      <c r="Q118" s="20">
        <f ca="1" t="shared" si="10"/>
        <v>1.34003350083752</v>
      </c>
      <c r="R118" s="21">
        <f ca="1">G118*总规划!$G$117</f>
        <v>3.75</v>
      </c>
      <c r="S118" s="21">
        <f ca="1">K118/1000000*总规划!$G$105</f>
        <v>0.0937500000000001</v>
      </c>
      <c r="T118" s="21">
        <f ca="1">P118/1440*总规划!$G$106</f>
        <v>2.09380234505863</v>
      </c>
      <c r="U118" s="22">
        <f ca="1">_xlfn.FLOOR.MATH(R118*控制台!$E$2216+S118*控制台!$E$182+T118*控制台!$E$183)</f>
        <v>9031</v>
      </c>
      <c r="V118" s="4">
        <f ca="1" t="shared" si="11"/>
        <v>9031</v>
      </c>
    </row>
    <row r="119" spans="1:22">
      <c r="A119" s="1">
        <v>31002</v>
      </c>
      <c r="B119" s="1">
        <v>2</v>
      </c>
      <c r="C119" s="1">
        <v>3</v>
      </c>
      <c r="D119" s="1" t="s">
        <v>1302</v>
      </c>
      <c r="E119" s="1">
        <f ca="1">OFFSET(控制台!$F$2315,MATCH(A119,控制台!$B$2315:$B$2331,0)-1,0)</f>
        <v>10</v>
      </c>
      <c r="F119" s="1">
        <f ca="1">OFFSET(控制台!$D$2315,MATCH(A119,控制台!$B$2315:$B$2331,0)-1,0)</f>
        <v>10</v>
      </c>
      <c r="G119" s="1">
        <f ca="1">OFFSET(控制台!$G$2315,MATCH(A119,控制台!$B$2315:$B$2331,0)-1,0)+(B119-1)*OFFSET(控制台!$H$2315,MATCH(A119,控制台!$B$2315:$B$2331,0)-1,0)</f>
        <v>150</v>
      </c>
      <c r="H119" s="1">
        <f ca="1">OFFSET(控制台!$Q$2315,MATCH(A119,控制台!$B$2315:$B$2331,0)-1,0)+(B119-1)*OFFSET(控制台!$R$2315,MATCH(A119,控制台!$B$2315:$B$2331,0)-1,0)</f>
        <v>150000</v>
      </c>
      <c r="I119" s="1">
        <f ca="1">H119*控制台!$I$102</f>
        <v>112500</v>
      </c>
      <c r="J119" s="1">
        <f ca="1">H119*控制台!$J$102</f>
        <v>187500</v>
      </c>
      <c r="K119" s="1">
        <f ca="1" t="shared" si="6"/>
        <v>450000</v>
      </c>
      <c r="L119" s="4" t="str">
        <f ca="1" t="shared" si="7"/>
        <v>150;150000;112500;187500</v>
      </c>
      <c r="M119" s="1">
        <f ca="1">OFFSET(控制台!$K$2315,MATCH(A119,控制台!$B$2315:$B$2331,0)-1,0)+(B119-1)*OFFSET(控制台!$L$2315,MATCH(A119,控制台!$B$2315:$B$2331,0)-1,0)</f>
        <v>7680</v>
      </c>
      <c r="N119" s="4">
        <f ca="1" t="shared" si="8"/>
        <v>460800</v>
      </c>
      <c r="O119" s="14">
        <f ca="1">OFFSET(控制台!$G$2224,MATCH(F119,控制台!$C$2224:$C$2295,0)-1,0)</f>
        <v>0.99</v>
      </c>
      <c r="P119" s="19">
        <f ca="1" t="shared" si="9"/>
        <v>3859.29648241206</v>
      </c>
      <c r="Q119" s="20">
        <f ca="1" t="shared" si="10"/>
        <v>2.68006700167504</v>
      </c>
      <c r="R119" s="21">
        <f ca="1">G119*总规划!$G$117</f>
        <v>7.5</v>
      </c>
      <c r="S119" s="21">
        <f ca="1">K119/1000000*总规划!$G$105</f>
        <v>0.1875</v>
      </c>
      <c r="T119" s="21">
        <f ca="1">P119/1440*总规划!$G$106</f>
        <v>4.18760469011725</v>
      </c>
      <c r="U119" s="22">
        <f ca="1">_xlfn.FLOOR.MATH(R119*控制台!$E$2216+S119*控制台!$E$182+T119*控制台!$E$183)</f>
        <v>18062</v>
      </c>
      <c r="V119" s="4">
        <f ca="1" t="shared" si="11"/>
        <v>27093</v>
      </c>
    </row>
    <row r="120" spans="1:22">
      <c r="A120" s="1">
        <v>31002</v>
      </c>
      <c r="B120" s="1">
        <v>3</v>
      </c>
      <c r="C120" s="1">
        <v>3</v>
      </c>
      <c r="D120" s="1" t="s">
        <v>1302</v>
      </c>
      <c r="E120" s="1">
        <f ca="1">OFFSET(控制台!$F$2315,MATCH(A120,控制台!$B$2315:$B$2331,0)-1,0)</f>
        <v>10</v>
      </c>
      <c r="F120" s="1">
        <f ca="1">OFFSET(控制台!$D$2315,MATCH(A120,控制台!$B$2315:$B$2331,0)-1,0)</f>
        <v>10</v>
      </c>
      <c r="G120" s="1">
        <f ca="1">OFFSET(控制台!$G$2315,MATCH(A120,控制台!$B$2315:$B$2331,0)-1,0)+(B120-1)*OFFSET(控制台!$H$2315,MATCH(A120,控制台!$B$2315:$B$2331,0)-1,0)</f>
        <v>225</v>
      </c>
      <c r="H120" s="1">
        <f ca="1">OFFSET(控制台!$Q$2315,MATCH(A120,控制台!$B$2315:$B$2331,0)-1,0)+(B120-1)*OFFSET(控制台!$R$2315,MATCH(A120,控制台!$B$2315:$B$2331,0)-1,0)</f>
        <v>225000</v>
      </c>
      <c r="I120" s="1">
        <f ca="1">H120*控制台!$I$102</f>
        <v>168750</v>
      </c>
      <c r="J120" s="1">
        <f ca="1">H120*控制台!$J$102</f>
        <v>281250</v>
      </c>
      <c r="K120" s="1">
        <f ca="1" t="shared" si="6"/>
        <v>675000</v>
      </c>
      <c r="L120" s="4" t="str">
        <f ca="1" t="shared" si="7"/>
        <v>225;225000;168750;281250</v>
      </c>
      <c r="M120" s="1">
        <f ca="1">OFFSET(控制台!$K$2315,MATCH(A120,控制台!$B$2315:$B$2331,0)-1,0)+(B120-1)*OFFSET(控制台!$L$2315,MATCH(A120,控制台!$B$2315:$B$2331,0)-1,0)</f>
        <v>11520</v>
      </c>
      <c r="N120" s="4">
        <f ca="1" t="shared" si="8"/>
        <v>691200</v>
      </c>
      <c r="O120" s="14">
        <f ca="1">OFFSET(控制台!$G$2224,MATCH(F120,控制台!$C$2224:$C$2295,0)-1,0)</f>
        <v>0.99</v>
      </c>
      <c r="P120" s="19">
        <f ca="1" t="shared" si="9"/>
        <v>5788.94472361809</v>
      </c>
      <c r="Q120" s="20">
        <f ca="1" t="shared" si="10"/>
        <v>4.02010050251256</v>
      </c>
      <c r="R120" s="21">
        <f ca="1">G120*总规划!$G$117</f>
        <v>11.25</v>
      </c>
      <c r="S120" s="21">
        <f ca="1">K120/1000000*总规划!$G$105</f>
        <v>0.28125</v>
      </c>
      <c r="T120" s="21">
        <f ca="1">P120/1440*总规划!$G$106</f>
        <v>6.28140703517588</v>
      </c>
      <c r="U120" s="22">
        <f ca="1">_xlfn.FLOOR.MATH(R120*控制台!$E$2216+S120*控制台!$E$182+T120*控制台!$E$183)</f>
        <v>27094</v>
      </c>
      <c r="V120" s="4">
        <f ca="1" t="shared" si="11"/>
        <v>54187</v>
      </c>
    </row>
    <row r="121" spans="1:22">
      <c r="A121" s="1">
        <v>31002</v>
      </c>
      <c r="B121" s="1">
        <v>4</v>
      </c>
      <c r="C121" s="1">
        <v>3</v>
      </c>
      <c r="D121" s="1" t="s">
        <v>1302</v>
      </c>
      <c r="E121" s="1">
        <f ca="1">OFFSET(控制台!$F$2315,MATCH(A121,控制台!$B$2315:$B$2331,0)-1,0)</f>
        <v>10</v>
      </c>
      <c r="F121" s="1">
        <f ca="1">OFFSET(控制台!$D$2315,MATCH(A121,控制台!$B$2315:$B$2331,0)-1,0)</f>
        <v>10</v>
      </c>
      <c r="G121" s="1">
        <f ca="1">OFFSET(控制台!$G$2315,MATCH(A121,控制台!$B$2315:$B$2331,0)-1,0)+(B121-1)*OFFSET(控制台!$H$2315,MATCH(A121,控制台!$B$2315:$B$2331,0)-1,0)</f>
        <v>300</v>
      </c>
      <c r="H121" s="1">
        <f ca="1">OFFSET(控制台!$Q$2315,MATCH(A121,控制台!$B$2315:$B$2331,0)-1,0)+(B121-1)*OFFSET(控制台!$R$2315,MATCH(A121,控制台!$B$2315:$B$2331,0)-1,0)</f>
        <v>300000</v>
      </c>
      <c r="I121" s="1">
        <f ca="1">H121*控制台!$I$102</f>
        <v>225000</v>
      </c>
      <c r="J121" s="1">
        <f ca="1">H121*控制台!$J$102</f>
        <v>375000</v>
      </c>
      <c r="K121" s="1">
        <f ca="1" t="shared" si="6"/>
        <v>900000</v>
      </c>
      <c r="L121" s="4" t="str">
        <f ca="1" t="shared" si="7"/>
        <v>300;300000;225000;375000</v>
      </c>
      <c r="M121" s="1">
        <f ca="1">OFFSET(控制台!$K$2315,MATCH(A121,控制台!$B$2315:$B$2331,0)-1,0)+(B121-1)*OFFSET(控制台!$L$2315,MATCH(A121,控制台!$B$2315:$B$2331,0)-1,0)</f>
        <v>15360</v>
      </c>
      <c r="N121" s="4">
        <f ca="1" t="shared" si="8"/>
        <v>921600</v>
      </c>
      <c r="O121" s="14">
        <f ca="1">OFFSET(控制台!$G$2224,MATCH(F121,控制台!$C$2224:$C$2295,0)-1,0)</f>
        <v>0.99</v>
      </c>
      <c r="P121" s="19">
        <f ca="1" t="shared" si="9"/>
        <v>7718.59296482412</v>
      </c>
      <c r="Q121" s="20">
        <f ca="1" t="shared" si="10"/>
        <v>5.36013400335008</v>
      </c>
      <c r="R121" s="21">
        <f ca="1">G121*总规划!$G$117</f>
        <v>15</v>
      </c>
      <c r="S121" s="21">
        <f ca="1">K121/1000000*总规划!$G$105</f>
        <v>0.375</v>
      </c>
      <c r="T121" s="21">
        <f ca="1">P121/1440*总规划!$G$106</f>
        <v>8.37520938023451</v>
      </c>
      <c r="U121" s="22">
        <f ca="1">_xlfn.FLOOR.MATH(R121*控制台!$E$2216+S121*控制台!$E$182+T121*控制台!$E$183)</f>
        <v>36125</v>
      </c>
      <c r="V121" s="4">
        <f ca="1" t="shared" si="11"/>
        <v>90312</v>
      </c>
    </row>
    <row r="122" spans="1:22">
      <c r="A122" s="1">
        <v>31002</v>
      </c>
      <c r="B122" s="1">
        <v>5</v>
      </c>
      <c r="C122" s="1">
        <v>3</v>
      </c>
      <c r="D122" s="1" t="s">
        <v>1302</v>
      </c>
      <c r="E122" s="1">
        <f ca="1">OFFSET(控制台!$F$2315,MATCH(A122,控制台!$B$2315:$B$2331,0)-1,0)</f>
        <v>10</v>
      </c>
      <c r="F122" s="1">
        <f ca="1">OFFSET(控制台!$D$2315,MATCH(A122,控制台!$B$2315:$B$2331,0)-1,0)</f>
        <v>10</v>
      </c>
      <c r="G122" s="1">
        <f ca="1">OFFSET(控制台!$G$2315,MATCH(A122,控制台!$B$2315:$B$2331,0)-1,0)+(B122-1)*OFFSET(控制台!$H$2315,MATCH(A122,控制台!$B$2315:$B$2331,0)-1,0)</f>
        <v>375</v>
      </c>
      <c r="H122" s="1">
        <f ca="1">OFFSET(控制台!$Q$2315,MATCH(A122,控制台!$B$2315:$B$2331,0)-1,0)+(B122-1)*OFFSET(控制台!$R$2315,MATCH(A122,控制台!$B$2315:$B$2331,0)-1,0)</f>
        <v>375000</v>
      </c>
      <c r="I122" s="1">
        <f ca="1">H122*控制台!$I$102</f>
        <v>281250</v>
      </c>
      <c r="J122" s="1">
        <f ca="1">H122*控制台!$J$102</f>
        <v>468750</v>
      </c>
      <c r="K122" s="1">
        <f ca="1" t="shared" si="6"/>
        <v>1125000</v>
      </c>
      <c r="L122" s="4" t="str">
        <f ca="1" t="shared" si="7"/>
        <v>375;375000;281250;468750</v>
      </c>
      <c r="M122" s="1">
        <f ca="1">OFFSET(控制台!$K$2315,MATCH(A122,控制台!$B$2315:$B$2331,0)-1,0)+(B122-1)*OFFSET(控制台!$L$2315,MATCH(A122,控制台!$B$2315:$B$2331,0)-1,0)</f>
        <v>19200</v>
      </c>
      <c r="N122" s="4">
        <f ca="1" t="shared" si="8"/>
        <v>1152000</v>
      </c>
      <c r="O122" s="14">
        <f ca="1">OFFSET(控制台!$G$2224,MATCH(F122,控制台!$C$2224:$C$2295,0)-1,0)</f>
        <v>0.99</v>
      </c>
      <c r="P122" s="19">
        <f ca="1" t="shared" si="9"/>
        <v>9648.24120603015</v>
      </c>
      <c r="Q122" s="20">
        <f ca="1" t="shared" si="10"/>
        <v>6.7001675041876</v>
      </c>
      <c r="R122" s="21">
        <f ca="1">G122*总规划!$G$117</f>
        <v>18.75</v>
      </c>
      <c r="S122" s="21">
        <f ca="1">K122/1000000*总规划!$G$105</f>
        <v>0.46875</v>
      </c>
      <c r="T122" s="21">
        <f ca="1">P122/1440*总规划!$G$106</f>
        <v>10.4690117252931</v>
      </c>
      <c r="U122" s="22">
        <f ca="1">_xlfn.FLOOR.MATH(R122*控制台!$E$2216+S122*控制台!$E$182+T122*控制台!$E$183)</f>
        <v>45156</v>
      </c>
      <c r="V122" s="4">
        <f ca="1" t="shared" si="11"/>
        <v>135468</v>
      </c>
    </row>
    <row r="123" spans="1:22">
      <c r="A123" s="1">
        <v>31002</v>
      </c>
      <c r="B123" s="1">
        <v>6</v>
      </c>
      <c r="C123" s="1">
        <v>3</v>
      </c>
      <c r="D123" s="1" t="s">
        <v>1302</v>
      </c>
      <c r="E123" s="1">
        <f ca="1">OFFSET(控制台!$F$2315,MATCH(A123,控制台!$B$2315:$B$2331,0)-1,0)</f>
        <v>10</v>
      </c>
      <c r="F123" s="1">
        <f ca="1">OFFSET(控制台!$D$2315,MATCH(A123,控制台!$B$2315:$B$2331,0)-1,0)</f>
        <v>10</v>
      </c>
      <c r="G123" s="1">
        <f ca="1">OFFSET(控制台!$G$2315,MATCH(A123,控制台!$B$2315:$B$2331,0)-1,0)+(B123-1)*OFFSET(控制台!$H$2315,MATCH(A123,控制台!$B$2315:$B$2331,0)-1,0)</f>
        <v>450</v>
      </c>
      <c r="H123" s="1">
        <f ca="1">OFFSET(控制台!$Q$2315,MATCH(A123,控制台!$B$2315:$B$2331,0)-1,0)+(B123-1)*OFFSET(控制台!$R$2315,MATCH(A123,控制台!$B$2315:$B$2331,0)-1,0)</f>
        <v>450000</v>
      </c>
      <c r="I123" s="1">
        <f ca="1">H123*控制台!$I$102</f>
        <v>337500</v>
      </c>
      <c r="J123" s="1">
        <f ca="1">H123*控制台!$J$102</f>
        <v>562500</v>
      </c>
      <c r="K123" s="1">
        <f ca="1" t="shared" si="6"/>
        <v>1350000</v>
      </c>
      <c r="L123" s="4" t="str">
        <f ca="1" t="shared" si="7"/>
        <v>450;450000;337500;562500</v>
      </c>
      <c r="M123" s="1">
        <f ca="1">OFFSET(控制台!$K$2315,MATCH(A123,控制台!$B$2315:$B$2331,0)-1,0)+(B123-1)*OFFSET(控制台!$L$2315,MATCH(A123,控制台!$B$2315:$B$2331,0)-1,0)</f>
        <v>23040</v>
      </c>
      <c r="N123" s="4">
        <f ca="1" t="shared" si="8"/>
        <v>1382400</v>
      </c>
      <c r="O123" s="14">
        <f ca="1">OFFSET(控制台!$G$2224,MATCH(F123,控制台!$C$2224:$C$2295,0)-1,0)</f>
        <v>0.99</v>
      </c>
      <c r="P123" s="19">
        <f ca="1" t="shared" si="9"/>
        <v>11577.8894472362</v>
      </c>
      <c r="Q123" s="20">
        <f ca="1" t="shared" si="10"/>
        <v>8.04020100502512</v>
      </c>
      <c r="R123" s="21">
        <f ca="1">G123*总规划!$G$117</f>
        <v>22.5</v>
      </c>
      <c r="S123" s="21">
        <f ca="1">K123/1000000*总规划!$G$105</f>
        <v>0.562500000000001</v>
      </c>
      <c r="T123" s="21">
        <f ca="1">P123/1440*总规划!$G$106</f>
        <v>12.5628140703518</v>
      </c>
      <c r="U123" s="22">
        <f ca="1">_xlfn.FLOOR.MATH(R123*控制台!$E$2216+S123*控制台!$E$182+T123*控制台!$E$183)</f>
        <v>54188</v>
      </c>
      <c r="V123" s="4">
        <f ca="1" t="shared" si="11"/>
        <v>189656</v>
      </c>
    </row>
    <row r="124" spans="1:22">
      <c r="A124" s="1">
        <v>31002</v>
      </c>
      <c r="B124" s="1">
        <v>7</v>
      </c>
      <c r="C124" s="1">
        <v>3</v>
      </c>
      <c r="D124" s="1" t="s">
        <v>1302</v>
      </c>
      <c r="E124" s="1">
        <f ca="1">OFFSET(控制台!$F$2315,MATCH(A124,控制台!$B$2315:$B$2331,0)-1,0)</f>
        <v>10</v>
      </c>
      <c r="F124" s="1">
        <f ca="1">OFFSET(控制台!$D$2315,MATCH(A124,控制台!$B$2315:$B$2331,0)-1,0)</f>
        <v>10</v>
      </c>
      <c r="G124" s="1">
        <f ca="1">OFFSET(控制台!$G$2315,MATCH(A124,控制台!$B$2315:$B$2331,0)-1,0)+(B124-1)*OFFSET(控制台!$H$2315,MATCH(A124,控制台!$B$2315:$B$2331,0)-1,0)</f>
        <v>525</v>
      </c>
      <c r="H124" s="1">
        <f ca="1">OFFSET(控制台!$Q$2315,MATCH(A124,控制台!$B$2315:$B$2331,0)-1,0)+(B124-1)*OFFSET(控制台!$R$2315,MATCH(A124,控制台!$B$2315:$B$2331,0)-1,0)</f>
        <v>525000</v>
      </c>
      <c r="I124" s="1">
        <f ca="1">H124*控制台!$I$102</f>
        <v>393750</v>
      </c>
      <c r="J124" s="1">
        <f ca="1">H124*控制台!$J$102</f>
        <v>656250</v>
      </c>
      <c r="K124" s="1">
        <f ca="1" t="shared" si="6"/>
        <v>1575000</v>
      </c>
      <c r="L124" s="4" t="str">
        <f ca="1" t="shared" si="7"/>
        <v>525;525000;393750;656250</v>
      </c>
      <c r="M124" s="1">
        <f ca="1">OFFSET(控制台!$K$2315,MATCH(A124,控制台!$B$2315:$B$2331,0)-1,0)+(B124-1)*OFFSET(控制台!$L$2315,MATCH(A124,控制台!$B$2315:$B$2331,0)-1,0)</f>
        <v>26880</v>
      </c>
      <c r="N124" s="4">
        <f ca="1" t="shared" si="8"/>
        <v>1612800</v>
      </c>
      <c r="O124" s="14">
        <f ca="1">OFFSET(控制台!$G$2224,MATCH(F124,控制台!$C$2224:$C$2295,0)-1,0)</f>
        <v>0.99</v>
      </c>
      <c r="P124" s="19">
        <f ca="1" t="shared" si="9"/>
        <v>13507.5376884422</v>
      </c>
      <c r="Q124" s="20">
        <f ca="1" t="shared" si="10"/>
        <v>9.38023450586265</v>
      </c>
      <c r="R124" s="21">
        <f ca="1">G124*总规划!$G$117</f>
        <v>26.25</v>
      </c>
      <c r="S124" s="21">
        <f ca="1">K124/1000000*总规划!$G$105</f>
        <v>0.656250000000001</v>
      </c>
      <c r="T124" s="21">
        <f ca="1">P124/1440*总规划!$G$106</f>
        <v>14.6566164154104</v>
      </c>
      <c r="U124" s="22">
        <f ca="1">_xlfn.FLOOR.MATH(R124*控制台!$E$2216+S124*控制台!$E$182+T124*控制台!$E$183)</f>
        <v>63219</v>
      </c>
      <c r="V124" s="4">
        <f ca="1" t="shared" si="11"/>
        <v>252875</v>
      </c>
    </row>
    <row r="125" spans="1:22">
      <c r="A125" s="1">
        <v>31002</v>
      </c>
      <c r="B125" s="1">
        <v>8</v>
      </c>
      <c r="C125" s="1">
        <v>3</v>
      </c>
      <c r="D125" s="1" t="s">
        <v>1302</v>
      </c>
      <c r="E125" s="1">
        <f ca="1">OFFSET(控制台!$F$2315,MATCH(A125,控制台!$B$2315:$B$2331,0)-1,0)</f>
        <v>10</v>
      </c>
      <c r="F125" s="1">
        <f ca="1">OFFSET(控制台!$D$2315,MATCH(A125,控制台!$B$2315:$B$2331,0)-1,0)</f>
        <v>10</v>
      </c>
      <c r="G125" s="1">
        <f ca="1">OFFSET(控制台!$G$2315,MATCH(A125,控制台!$B$2315:$B$2331,0)-1,0)+(B125-1)*OFFSET(控制台!$H$2315,MATCH(A125,控制台!$B$2315:$B$2331,0)-1,0)</f>
        <v>600</v>
      </c>
      <c r="H125" s="1">
        <f ca="1">OFFSET(控制台!$Q$2315,MATCH(A125,控制台!$B$2315:$B$2331,0)-1,0)+(B125-1)*OFFSET(控制台!$R$2315,MATCH(A125,控制台!$B$2315:$B$2331,0)-1,0)</f>
        <v>600000</v>
      </c>
      <c r="I125" s="1">
        <f ca="1">H125*控制台!$I$102</f>
        <v>450000</v>
      </c>
      <c r="J125" s="1">
        <f ca="1">H125*控制台!$J$102</f>
        <v>750000</v>
      </c>
      <c r="K125" s="1">
        <f ca="1" t="shared" ref="K125:K128" si="12">SUM(H125:J125)</f>
        <v>1800000</v>
      </c>
      <c r="L125" s="4" t="str">
        <f ca="1" t="shared" ref="L125:L128" si="13">CONCATENATE(G125,";",H125,";",I125,";",J125)</f>
        <v>600;600000;450000;750000</v>
      </c>
      <c r="M125" s="1">
        <f ca="1">OFFSET(控制台!$K$2315,MATCH(A125,控制台!$B$2315:$B$2331,0)-1,0)+(B125-1)*OFFSET(控制台!$L$2315,MATCH(A125,控制台!$B$2315:$B$2331,0)-1,0)</f>
        <v>30720</v>
      </c>
      <c r="N125" s="4">
        <f ca="1" t="shared" ref="N125:N128" si="14">M125*60</f>
        <v>1843200</v>
      </c>
      <c r="O125" s="14">
        <f ca="1">OFFSET(控制台!$G$2224,MATCH(F125,控制台!$C$2224:$C$2295,0)-1,0)</f>
        <v>0.99</v>
      </c>
      <c r="P125" s="19">
        <f ca="1" t="shared" ref="P125:P128" si="15">M125/(1+O125)</f>
        <v>15437.1859296482</v>
      </c>
      <c r="Q125" s="20">
        <f ca="1" t="shared" ref="Q125:Q128" si="16">P125/1440</f>
        <v>10.7202680067002</v>
      </c>
      <c r="R125" s="21">
        <f ca="1">G125*总规划!$G$117</f>
        <v>30</v>
      </c>
      <c r="S125" s="21">
        <f ca="1">K125/1000000*总规划!$G$105</f>
        <v>0.750000000000001</v>
      </c>
      <c r="T125" s="21">
        <f ca="1">P125/1440*总规划!$G$106</f>
        <v>16.750418760469</v>
      </c>
      <c r="U125" s="22">
        <f ca="1">_xlfn.FLOOR.MATH(R125*控制台!$E$2216+S125*控制台!$E$182+T125*控制台!$E$183)</f>
        <v>72251</v>
      </c>
      <c r="V125" s="4">
        <f ca="1" t="shared" ref="V125:V127" si="17">IF(B125=1,U125,V124+U125)</f>
        <v>325126</v>
      </c>
    </row>
    <row r="126" spans="1:22">
      <c r="A126" s="1">
        <v>31002</v>
      </c>
      <c r="B126" s="1">
        <v>9</v>
      </c>
      <c r="C126" s="1">
        <v>3</v>
      </c>
      <c r="D126" s="1" t="s">
        <v>1302</v>
      </c>
      <c r="E126" s="1">
        <f ca="1">OFFSET(控制台!$F$2315,MATCH(A126,控制台!$B$2315:$B$2331,0)-1,0)</f>
        <v>10</v>
      </c>
      <c r="F126" s="1">
        <f ca="1">OFFSET(控制台!$D$2315,MATCH(A126,控制台!$B$2315:$B$2331,0)-1,0)</f>
        <v>10</v>
      </c>
      <c r="G126" s="1">
        <f ca="1">OFFSET(控制台!$G$2315,MATCH(A126,控制台!$B$2315:$B$2331,0)-1,0)+(B126-1)*OFFSET(控制台!$H$2315,MATCH(A126,控制台!$B$2315:$B$2331,0)-1,0)</f>
        <v>675</v>
      </c>
      <c r="H126" s="1">
        <f ca="1">OFFSET(控制台!$Q$2315,MATCH(A126,控制台!$B$2315:$B$2331,0)-1,0)+(B126-1)*OFFSET(控制台!$R$2315,MATCH(A126,控制台!$B$2315:$B$2331,0)-1,0)</f>
        <v>675000</v>
      </c>
      <c r="I126" s="1">
        <f ca="1">H126*控制台!$I$102</f>
        <v>506250</v>
      </c>
      <c r="J126" s="1">
        <f ca="1">H126*控制台!$J$102</f>
        <v>843750</v>
      </c>
      <c r="K126" s="1">
        <f ca="1" t="shared" si="12"/>
        <v>2025000</v>
      </c>
      <c r="L126" s="4" t="str">
        <f ca="1" t="shared" si="13"/>
        <v>675;675000;506250;843750</v>
      </c>
      <c r="M126" s="1">
        <f ca="1">OFFSET(控制台!$K$2315,MATCH(A126,控制台!$B$2315:$B$2331,0)-1,0)+(B126-1)*OFFSET(控制台!$L$2315,MATCH(A126,控制台!$B$2315:$B$2331,0)-1,0)</f>
        <v>34560</v>
      </c>
      <c r="N126" s="4">
        <f ca="1" t="shared" si="14"/>
        <v>2073600</v>
      </c>
      <c r="O126" s="14">
        <f ca="1">OFFSET(控制台!$G$2224,MATCH(F126,控制台!$C$2224:$C$2295,0)-1,0)</f>
        <v>0.99</v>
      </c>
      <c r="P126" s="19">
        <f ca="1" t="shared" si="15"/>
        <v>17366.8341708543</v>
      </c>
      <c r="Q126" s="20">
        <f ca="1" t="shared" si="16"/>
        <v>12.0603015075377</v>
      </c>
      <c r="R126" s="21">
        <f ca="1">G126*总规划!$G$117</f>
        <v>33.75</v>
      </c>
      <c r="S126" s="21">
        <f ca="1">K126/1000000*总规划!$G$105</f>
        <v>0.843750000000001</v>
      </c>
      <c r="T126" s="21">
        <f ca="1">P126/1440*总规划!$G$106</f>
        <v>18.8442211055276</v>
      </c>
      <c r="U126" s="22">
        <f ca="1">_xlfn.FLOOR.MATH(R126*控制台!$E$2216+S126*控制台!$E$182+T126*控制台!$E$183)</f>
        <v>81282</v>
      </c>
      <c r="V126" s="4">
        <f ca="1" t="shared" si="17"/>
        <v>406408</v>
      </c>
    </row>
    <row r="127" spans="1:22">
      <c r="A127" s="1">
        <v>31002</v>
      </c>
      <c r="B127" s="1">
        <v>10</v>
      </c>
      <c r="C127" s="1">
        <v>3</v>
      </c>
      <c r="D127" s="1" t="s">
        <v>1302</v>
      </c>
      <c r="E127" s="1">
        <f ca="1">OFFSET(控制台!$F$2315,MATCH(A127,控制台!$B$2315:$B$2331,0)-1,0)</f>
        <v>10</v>
      </c>
      <c r="F127" s="1">
        <f ca="1">OFFSET(控制台!$D$2315,MATCH(A127,控制台!$B$2315:$B$2331,0)-1,0)</f>
        <v>10</v>
      </c>
      <c r="G127" s="1">
        <f ca="1">OFFSET(控制台!$G$2315,MATCH(A127,控制台!$B$2315:$B$2331,0)-1,0)+(B127-1)*OFFSET(控制台!$H$2315,MATCH(A127,控制台!$B$2315:$B$2331,0)-1,0)</f>
        <v>750</v>
      </c>
      <c r="H127" s="1">
        <f ca="1">OFFSET(控制台!$Q$2315,MATCH(A127,控制台!$B$2315:$B$2331,0)-1,0)+(B127-1)*OFFSET(控制台!$R$2315,MATCH(A127,控制台!$B$2315:$B$2331,0)-1,0)</f>
        <v>750000</v>
      </c>
      <c r="I127" s="1">
        <f ca="1">H127*控制台!$I$102</f>
        <v>562500</v>
      </c>
      <c r="J127" s="1">
        <f ca="1">H127*控制台!$J$102</f>
        <v>937500</v>
      </c>
      <c r="K127" s="1">
        <f ca="1" t="shared" si="12"/>
        <v>2250000</v>
      </c>
      <c r="L127" s="4" t="str">
        <f ca="1" t="shared" si="13"/>
        <v>750;750000;562500;937500</v>
      </c>
      <c r="M127" s="1">
        <f ca="1">OFFSET(控制台!$K$2315,MATCH(A127,控制台!$B$2315:$B$2331,0)-1,0)+(B127-1)*OFFSET(控制台!$L$2315,MATCH(A127,控制台!$B$2315:$B$2331,0)-1,0)</f>
        <v>38400</v>
      </c>
      <c r="N127" s="4">
        <f ca="1" t="shared" si="14"/>
        <v>2304000</v>
      </c>
      <c r="O127" s="14">
        <f ca="1">OFFSET(控制台!$G$2224,MATCH(F127,控制台!$C$2224:$C$2295,0)-1,0)</f>
        <v>0.99</v>
      </c>
      <c r="P127" s="19">
        <f ca="1" t="shared" si="15"/>
        <v>19296.4824120603</v>
      </c>
      <c r="Q127" s="20">
        <f ca="1" t="shared" si="16"/>
        <v>13.4003350083752</v>
      </c>
      <c r="R127" s="21">
        <f ca="1">G127*总规划!$G$117</f>
        <v>37.5</v>
      </c>
      <c r="S127" s="21">
        <f ca="1">K127/1000000*总规划!$G$105</f>
        <v>0.937500000000001</v>
      </c>
      <c r="T127" s="21">
        <f ca="1">P127/1440*总规划!$G$106</f>
        <v>20.9380234505863</v>
      </c>
      <c r="U127" s="22">
        <f ca="1">_xlfn.FLOOR.MATH(R127*控制台!$E$2216+S127*控制台!$E$182+T127*控制台!$E$183)</f>
        <v>90313</v>
      </c>
      <c r="V127" s="4">
        <f ca="1" t="shared" si="17"/>
        <v>496721</v>
      </c>
    </row>
    <row r="128" spans="1:22">
      <c r="A128" s="1">
        <v>31101</v>
      </c>
      <c r="B128" s="1">
        <v>1</v>
      </c>
      <c r="C128" s="1">
        <v>3</v>
      </c>
      <c r="D128" s="1" t="s">
        <v>1303</v>
      </c>
      <c r="E128" s="1">
        <f ca="1">OFFSET(控制台!$F$2315,MATCH(A128,控制台!$B$2315:$B$2331,0)-1,0)</f>
        <v>1</v>
      </c>
      <c r="F128" s="1">
        <f ca="1">OFFSET(控制台!$D$2315,MATCH(A128,控制台!$B$2315:$B$2331,0)-1,0)</f>
        <v>11</v>
      </c>
      <c r="G128" s="1">
        <f ca="1">OFFSET(控制台!$G$2315,MATCH(A128,控制台!$B$2315:$B$2331,0)-1,0)+(B128-1)*OFFSET(控制台!$H$2315,MATCH(A128,控制台!$B$2315:$B$2331,0)-1,0)</f>
        <v>4000</v>
      </c>
      <c r="H128" s="1">
        <f ca="1">OFFSET(控制台!$Q$2315,MATCH(A128,控制台!$B$2315:$B$2331,0)-1,0)+(B128-1)*OFFSET(控制台!$R$2315,MATCH(A128,控制台!$B$2315:$B$2331,0)-1,0)</f>
        <v>4000000</v>
      </c>
      <c r="I128" s="1">
        <f ca="1">H128*控制台!$I$102</f>
        <v>3000000</v>
      </c>
      <c r="J128" s="1">
        <f ca="1">H128*控制台!$J$102</f>
        <v>5000000</v>
      </c>
      <c r="K128" s="1">
        <f ca="1" t="shared" si="12"/>
        <v>12000000</v>
      </c>
      <c r="L128" s="4" t="str">
        <f ca="1" t="shared" si="13"/>
        <v>4000;4000000;3000000;5000000</v>
      </c>
      <c r="M128" s="1">
        <f ca="1">OFFSET(控制台!$K$2315,MATCH(A128,控制台!$B$2315:$B$2331,0)-1,0)+(B128-1)*OFFSET(控制台!$L$2315,MATCH(A128,控制台!$B$2315:$B$2331,0)-1,0)</f>
        <v>72000</v>
      </c>
      <c r="N128" s="4">
        <f ca="1" t="shared" si="14"/>
        <v>4320000</v>
      </c>
      <c r="O128" s="14">
        <f ca="1">OFFSET(控制台!$G$2224,MATCH(F128,控制台!$C$2224:$C$2295,0)-1,0)</f>
        <v>1.005</v>
      </c>
      <c r="P128" s="19">
        <f ca="1" t="shared" si="15"/>
        <v>35910.2244389027</v>
      </c>
      <c r="Q128" s="20">
        <f ca="1" t="shared" si="16"/>
        <v>24.9376558603491</v>
      </c>
      <c r="R128" s="21">
        <f ca="1">G128*总规划!$G$117</f>
        <v>200</v>
      </c>
      <c r="S128" s="21">
        <f ca="1">K128/1000000*总规划!$G$105</f>
        <v>5</v>
      </c>
      <c r="T128" s="21">
        <f ca="1">P128/1440*总规划!$G$106</f>
        <v>38.9650872817955</v>
      </c>
      <c r="U128" s="22">
        <f ca="1">_xlfn.FLOOR.MATH(R128*控制台!$E$2216+S128*控制台!$E$182+T128*控制台!$E$183)</f>
        <v>299912</v>
      </c>
      <c r="V128" s="4">
        <f ca="1">IF(B128=1,U128,#REF!+U128)</f>
        <v>299912</v>
      </c>
    </row>
  </sheetData>
  <hyperlinks>
    <hyperlink ref="A1" location="控制台_122_高级科技" display="返回控制台_高级科技"/>
  </hyperlinks>
  <pageMargins left="0.699305555555556" right="0.699305555555556" top="0.75" bottom="0.75" header="0.3" footer="0.3"/>
  <pageSetup paperSize="9" orientation="portrait"/>
  <headerFooter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01">
    <tabColor theme="9" tint="0.599993896298105"/>
  </sheetPr>
  <dimension ref="A1:Z179"/>
  <sheetViews>
    <sheetView workbookViewId="0">
      <pane xSplit="2" ySplit="7" topLeftCell="C35" activePane="bottomRight" state="frozen"/>
      <selection/>
      <selection pane="topRight"/>
      <selection pane="bottomLeft"/>
      <selection pane="bottomRight" activeCell="A1" sqref="A1"/>
    </sheetView>
  </sheetViews>
  <sheetFormatPr defaultColWidth="8.70967741935484" defaultRowHeight="13.1"/>
  <cols>
    <col min="1" max="19" width="9.62903225806452" style="1"/>
    <col min="20" max="20" width="9.62903225806452" style="5"/>
    <col min="21" max="16384" width="9.62903225806452" style="1"/>
  </cols>
  <sheetData>
    <row r="1" spans="1:20">
      <c r="A1" s="3" t="s">
        <v>2874</v>
      </c>
      <c r="E1" s="4"/>
      <c r="F1" s="5"/>
      <c r="G1" s="4"/>
      <c r="H1" s="5"/>
      <c r="K1" s="5"/>
      <c r="T1" s="1"/>
    </row>
    <row r="2" spans="5:20">
      <c r="E2" s="4"/>
      <c r="F2" s="5"/>
      <c r="G2" s="4"/>
      <c r="H2" s="5"/>
      <c r="K2" s="5"/>
      <c r="T2" s="1"/>
    </row>
    <row r="3" s="2" customFormat="1" spans="1:1">
      <c r="A3" s="2" t="s">
        <v>2875</v>
      </c>
    </row>
    <row r="4" spans="5:20">
      <c r="E4" s="4"/>
      <c r="F4" s="5"/>
      <c r="G4" s="4"/>
      <c r="H4" s="5"/>
      <c r="K4" s="5"/>
      <c r="T4" s="1"/>
    </row>
    <row r="5" spans="5:20">
      <c r="E5" s="4"/>
      <c r="F5" s="5"/>
      <c r="G5" s="4"/>
      <c r="H5" s="5"/>
      <c r="I5" s="1" t="str">
        <f t="shared" ref="I5:N5" si="0">CONCATENATE(C7,"添头")</f>
        <v>木板添头</v>
      </c>
      <c r="J5" s="1" t="str">
        <f t="shared" si="0"/>
        <v>方砖添头</v>
      </c>
      <c r="K5" s="1" t="str">
        <f t="shared" si="0"/>
        <v>水泥添头</v>
      </c>
      <c r="L5" s="1" t="str">
        <f t="shared" si="0"/>
        <v>工字钢添头</v>
      </c>
      <c r="M5" s="1" t="str">
        <f t="shared" si="0"/>
        <v>沥青添头</v>
      </c>
      <c r="N5" s="1" t="str">
        <f t="shared" si="0"/>
        <v>混凝土添头</v>
      </c>
      <c r="T5" s="1"/>
    </row>
    <row r="6" spans="1:26">
      <c r="A6" s="1" t="s">
        <v>2876</v>
      </c>
      <c r="C6" s="1">
        <f ca="1">IFERROR(OFFSET(控制台!$C$188,MATCH(C7,控制台!$B$188:$B$193,0)-1,0),0)</f>
        <v>1</v>
      </c>
      <c r="D6" s="1">
        <f ca="1">IFERROR(OFFSET(控制台!$C$188,MATCH(D7,控制台!$B$188:$B$193,0)-1,0),0)</f>
        <v>4</v>
      </c>
      <c r="E6" s="1">
        <f ca="1">IFERROR(OFFSET(控制台!$C$188,MATCH(E7,控制台!$B$188:$B$193,0)-1,0),0)</f>
        <v>20</v>
      </c>
      <c r="F6" s="1">
        <f ca="1">IFERROR(OFFSET(控制台!$C$188,MATCH(F7,控制台!$B$188:$B$193,0)-1,0),0)</f>
        <v>35</v>
      </c>
      <c r="G6" s="1">
        <f ca="1">IFERROR(OFFSET(控制台!$C$188,MATCH(G7,控制台!$B$188:$B$193,0)-1,0),0)</f>
        <v>50</v>
      </c>
      <c r="H6" s="1">
        <f ca="1">IFERROR(OFFSET(控制台!$C$188,MATCH(H7,控制台!$B$188:$B$193,0)-1,0),0)</f>
        <v>110</v>
      </c>
      <c r="I6" s="1">
        <f ca="1">IFERROR(OFFSET(控制台!$C$188,MATCH(I7,控制台!$B$188:$B$193,0)-1,0),0)</f>
        <v>1</v>
      </c>
      <c r="J6" s="1">
        <f ca="1">IFERROR(OFFSET(控制台!$C$188,MATCH(J7,控制台!$B$188:$B$193,0)-1,0),0)</f>
        <v>1</v>
      </c>
      <c r="K6" s="1">
        <f ca="1">IFERROR(OFFSET(控制台!$C$188,MATCH(K7,控制台!$B$188:$B$193,0)-1,0),0)</f>
        <v>1</v>
      </c>
      <c r="L6" s="1">
        <f ca="1">IFERROR(OFFSET(控制台!$C$188,MATCH(L7,控制台!$B$188:$B$193,0)-1,0),0)</f>
        <v>1</v>
      </c>
      <c r="M6" s="1">
        <f ca="1">IFERROR(OFFSET(控制台!$C$188,MATCH(M7,控制台!$B$188:$B$193,0)-1,0),0)</f>
        <v>1</v>
      </c>
      <c r="N6" s="1">
        <f ca="1">IFERROR(OFFSET(控制台!$C$188,MATCH(N7,控制台!$B$188:$B$193,0)-1,0),0)</f>
        <v>1</v>
      </c>
      <c r="T6" s="1"/>
      <c r="Z6" s="5"/>
    </row>
    <row r="7" spans="1:26">
      <c r="A7" s="1" t="s">
        <v>381</v>
      </c>
      <c r="B7" s="1" t="s">
        <v>1316</v>
      </c>
      <c r="C7" s="4" t="s">
        <v>371</v>
      </c>
      <c r="D7" s="4" t="s">
        <v>372</v>
      </c>
      <c r="E7" s="4" t="s">
        <v>373</v>
      </c>
      <c r="F7" s="4" t="s">
        <v>374</v>
      </c>
      <c r="G7" s="4" t="s">
        <v>375</v>
      </c>
      <c r="H7" s="4" t="s">
        <v>376</v>
      </c>
      <c r="I7" s="4" t="s">
        <v>371</v>
      </c>
      <c r="J7" s="4" t="s">
        <v>371</v>
      </c>
      <c r="K7" s="4" t="s">
        <v>371</v>
      </c>
      <c r="L7" s="4" t="s">
        <v>371</v>
      </c>
      <c r="M7" s="4" t="s">
        <v>371</v>
      </c>
      <c r="N7" s="4" t="s">
        <v>371</v>
      </c>
      <c r="O7" s="1" t="s">
        <v>2877</v>
      </c>
      <c r="P7" s="1" t="s">
        <v>2878</v>
      </c>
      <c r="Q7" s="1" t="s">
        <v>2879</v>
      </c>
      <c r="R7" s="1" t="s">
        <v>2880</v>
      </c>
      <c r="S7" s="1" t="s">
        <v>2881</v>
      </c>
      <c r="T7" s="1" t="s">
        <v>2882</v>
      </c>
      <c r="U7" s="1" t="s">
        <v>2883</v>
      </c>
      <c r="V7" s="1" t="s">
        <v>805</v>
      </c>
      <c r="W7" s="1" t="s">
        <v>806</v>
      </c>
      <c r="X7" s="1" t="s">
        <v>2884</v>
      </c>
      <c r="Y7" s="1" t="s">
        <v>2760</v>
      </c>
      <c r="Z7" s="5" t="s">
        <v>864</v>
      </c>
    </row>
    <row r="8" spans="1:26">
      <c r="A8" s="1">
        <v>1</v>
      </c>
      <c r="B8" s="1">
        <f ca="1">控制台!H2365</f>
        <v>2.30400000000003</v>
      </c>
      <c r="C8" s="6">
        <v>1</v>
      </c>
      <c r="D8" s="6">
        <v>0</v>
      </c>
      <c r="E8" s="4">
        <f ca="1">_xlfn.FLOOR.MATH($B8/E$6+0.3)</f>
        <v>0</v>
      </c>
      <c r="F8" s="4">
        <f ca="1">_xlfn.FLOOR.MATH($B8/F$6+0.3)</f>
        <v>0</v>
      </c>
      <c r="G8" s="4">
        <f ca="1">_xlfn.FLOOR.MATH($B8/G$6+0.3)</f>
        <v>0</v>
      </c>
      <c r="H8" s="4">
        <f ca="1">_xlfn.FLOOR.MATH($B8/H$6+0.3)</f>
        <v>0</v>
      </c>
      <c r="I8" s="4">
        <f>IF(C8=0,0,IF(C8=C7,I7+1,0))</f>
        <v>0</v>
      </c>
      <c r="J8" s="4">
        <f t="shared" ref="J8:N23" si="1">IF(D8=0,0,IF(D8=D7,J7+1,0))</f>
        <v>0</v>
      </c>
      <c r="K8" s="4">
        <f ca="1" t="shared" si="1"/>
        <v>0</v>
      </c>
      <c r="L8" s="4">
        <f ca="1" t="shared" si="1"/>
        <v>0</v>
      </c>
      <c r="M8" s="4">
        <f ca="1" t="shared" si="1"/>
        <v>0</v>
      </c>
      <c r="N8" s="4">
        <f ca="1" t="shared" si="1"/>
        <v>0</v>
      </c>
      <c r="O8" s="1">
        <f ca="1">C8*C$6+I8*I$6</f>
        <v>1</v>
      </c>
      <c r="P8" s="1">
        <f ca="1" t="shared" ref="P8:T8" si="2">D8*D$6+J8*J$6</f>
        <v>0</v>
      </c>
      <c r="Q8" s="1">
        <f ca="1" t="shared" si="2"/>
        <v>0</v>
      </c>
      <c r="R8" s="1">
        <f ca="1" t="shared" si="2"/>
        <v>0</v>
      </c>
      <c r="S8" s="1">
        <f ca="1" t="shared" si="2"/>
        <v>0</v>
      </c>
      <c r="T8" s="1">
        <f ca="1" t="shared" si="2"/>
        <v>0</v>
      </c>
      <c r="U8" s="1">
        <f ca="1">MAX(O8:T8)</f>
        <v>1</v>
      </c>
      <c r="V8" s="1">
        <f>控制台!C2365</f>
        <v>0</v>
      </c>
      <c r="W8" s="1">
        <f>控制台!C2366</f>
        <v>0</v>
      </c>
      <c r="X8" s="1">
        <f>W8-V8</f>
        <v>0</v>
      </c>
      <c r="Y8" s="1">
        <f ca="1">X8*U8*控制台!$E$2355/控制台!$E$2356</f>
        <v>0</v>
      </c>
      <c r="Z8" s="5">
        <f ca="1">Y8</f>
        <v>0</v>
      </c>
    </row>
    <row r="9" spans="1:26">
      <c r="A9" s="1">
        <v>2</v>
      </c>
      <c r="B9" s="1">
        <f ca="1">控制台!H2366</f>
        <v>4.60800000000002</v>
      </c>
      <c r="C9" s="6">
        <v>2</v>
      </c>
      <c r="D9" s="6">
        <v>0</v>
      </c>
      <c r="E9" s="4">
        <f ca="1">_xlfn.FLOOR.MATH($B9/E$6+0.3)</f>
        <v>0</v>
      </c>
      <c r="F9" s="4">
        <f ca="1">_xlfn.FLOOR.MATH($B9/F$6+0.3)</f>
        <v>0</v>
      </c>
      <c r="G9" s="4">
        <f ca="1">_xlfn.FLOOR.MATH($B9/G$6+0.3)</f>
        <v>0</v>
      </c>
      <c r="H9" s="4">
        <f ca="1">_xlfn.FLOOR.MATH($B9/H$6+0.3)</f>
        <v>0</v>
      </c>
      <c r="I9" s="4">
        <f t="shared" ref="I9:I47" si="3">IF(C9=0,0,IF(C9=C8,I8+1,0))</f>
        <v>0</v>
      </c>
      <c r="J9" s="4">
        <f t="shared" si="1"/>
        <v>0</v>
      </c>
      <c r="K9" s="4">
        <f ca="1" t="shared" si="1"/>
        <v>0</v>
      </c>
      <c r="L9" s="4">
        <f ca="1" t="shared" si="1"/>
        <v>0</v>
      </c>
      <c r="M9" s="4">
        <f ca="1" t="shared" si="1"/>
        <v>0</v>
      </c>
      <c r="N9" s="4">
        <f ca="1" t="shared" si="1"/>
        <v>0</v>
      </c>
      <c r="O9" s="1">
        <f ca="1" t="shared" ref="O9:O57" si="4">C9*C$6+I9*I$6</f>
        <v>2</v>
      </c>
      <c r="P9" s="1">
        <f ca="1" t="shared" ref="P9:P57" si="5">D9*D$6+J9*J$6</f>
        <v>0</v>
      </c>
      <c r="Q9" s="1">
        <f ca="1" t="shared" ref="Q9:Q57" si="6">E9*E$6+K9*K$6</f>
        <v>0</v>
      </c>
      <c r="R9" s="1">
        <f ca="1" t="shared" ref="R9:R57" si="7">F9*F$6+L9*L$6</f>
        <v>0</v>
      </c>
      <c r="S9" s="1">
        <f ca="1" t="shared" ref="S9:S57" si="8">G9*G$6+M9*M$6</f>
        <v>0</v>
      </c>
      <c r="T9" s="1">
        <f ca="1" t="shared" ref="T9:T57" si="9">H9*H$6+N9*N$6</f>
        <v>0</v>
      </c>
      <c r="U9" s="1">
        <f ca="1" t="shared" ref="U9:U47" si="10">MAX(O9:T9)</f>
        <v>2</v>
      </c>
      <c r="V9" s="1">
        <f>控制台!C2366</f>
        <v>0</v>
      </c>
      <c r="W9" s="1">
        <f>控制台!C2367</f>
        <v>0</v>
      </c>
      <c r="X9" s="1">
        <f t="shared" ref="X9:X45" si="11">W9-V9</f>
        <v>0</v>
      </c>
      <c r="Y9" s="1">
        <f ca="1">X9*U9*控制台!$E$2355/控制台!$E$2356</f>
        <v>0</v>
      </c>
      <c r="Z9" s="5">
        <f ca="1">Z8+Y9</f>
        <v>0</v>
      </c>
    </row>
    <row r="10" spans="1:26">
      <c r="A10" s="1">
        <v>3</v>
      </c>
      <c r="B10" s="1">
        <f ca="1">控制台!H2367</f>
        <v>6.91200000000001</v>
      </c>
      <c r="C10" s="6">
        <v>3</v>
      </c>
      <c r="D10" s="6">
        <v>0</v>
      </c>
      <c r="E10" s="4">
        <f ca="1">_xlfn.FLOOR.MATH($B10/E$6+0.3)</f>
        <v>0</v>
      </c>
      <c r="F10" s="4">
        <f ca="1">_xlfn.FLOOR.MATH($B10/F$6+0.3)</f>
        <v>0</v>
      </c>
      <c r="G10" s="4">
        <f ca="1">_xlfn.FLOOR.MATH($B10/G$6+0.3)</f>
        <v>0</v>
      </c>
      <c r="H10" s="4">
        <f ca="1">_xlfn.FLOOR.MATH($B10/H$6+0.3)</f>
        <v>0</v>
      </c>
      <c r="I10" s="4">
        <f t="shared" si="3"/>
        <v>0</v>
      </c>
      <c r="J10" s="4">
        <f t="shared" si="1"/>
        <v>0</v>
      </c>
      <c r="K10" s="4">
        <f ca="1" t="shared" si="1"/>
        <v>0</v>
      </c>
      <c r="L10" s="4">
        <f ca="1" t="shared" si="1"/>
        <v>0</v>
      </c>
      <c r="M10" s="4">
        <f ca="1" t="shared" si="1"/>
        <v>0</v>
      </c>
      <c r="N10" s="4">
        <f ca="1" t="shared" si="1"/>
        <v>0</v>
      </c>
      <c r="O10" s="1">
        <f ca="1" t="shared" si="4"/>
        <v>3</v>
      </c>
      <c r="P10" s="1">
        <f ca="1" t="shared" si="5"/>
        <v>0</v>
      </c>
      <c r="Q10" s="1">
        <f ca="1" t="shared" si="6"/>
        <v>0</v>
      </c>
      <c r="R10" s="1">
        <f ca="1" t="shared" si="7"/>
        <v>0</v>
      </c>
      <c r="S10" s="1">
        <f ca="1" t="shared" si="8"/>
        <v>0</v>
      </c>
      <c r="T10" s="1">
        <f ca="1" t="shared" si="9"/>
        <v>0</v>
      </c>
      <c r="U10" s="1">
        <f ca="1" t="shared" si="10"/>
        <v>3</v>
      </c>
      <c r="V10" s="1">
        <f>控制台!C2367</f>
        <v>0</v>
      </c>
      <c r="W10" s="1">
        <f>控制台!C2368</f>
        <v>0</v>
      </c>
      <c r="X10" s="1">
        <f t="shared" si="11"/>
        <v>0</v>
      </c>
      <c r="Y10" s="1">
        <f ca="1">X10*U10*控制台!$E$2355/控制台!$E$2356</f>
        <v>0</v>
      </c>
      <c r="Z10" s="5">
        <f ca="1" t="shared" ref="Z10:Z45" si="12">Z9+Y10</f>
        <v>0</v>
      </c>
    </row>
    <row r="11" spans="1:26">
      <c r="A11" s="1">
        <v>4</v>
      </c>
      <c r="B11" s="1">
        <f ca="1">控制台!H2368</f>
        <v>9.216</v>
      </c>
      <c r="C11" s="6">
        <v>5</v>
      </c>
      <c r="D11" s="6">
        <v>1</v>
      </c>
      <c r="E11" s="4">
        <f ca="1">_xlfn.FLOOR.MATH($B11/E$6+0.3)</f>
        <v>0</v>
      </c>
      <c r="F11" s="4">
        <f ca="1">_xlfn.FLOOR.MATH($B11/F$6+0.3)</f>
        <v>0</v>
      </c>
      <c r="G11" s="4">
        <f ca="1">_xlfn.FLOOR.MATH($B11/G$6+0.3)</f>
        <v>0</v>
      </c>
      <c r="H11" s="4">
        <f ca="1">_xlfn.FLOOR.MATH($B11/H$6+0.3)</f>
        <v>0</v>
      </c>
      <c r="I11" s="4">
        <f t="shared" si="3"/>
        <v>0</v>
      </c>
      <c r="J11" s="4">
        <f t="shared" si="1"/>
        <v>0</v>
      </c>
      <c r="K11" s="4">
        <f ca="1" t="shared" si="1"/>
        <v>0</v>
      </c>
      <c r="L11" s="4">
        <f ca="1" t="shared" si="1"/>
        <v>0</v>
      </c>
      <c r="M11" s="4">
        <f ca="1" t="shared" si="1"/>
        <v>0</v>
      </c>
      <c r="N11" s="4">
        <f ca="1" t="shared" si="1"/>
        <v>0</v>
      </c>
      <c r="O11" s="1">
        <f ca="1" t="shared" si="4"/>
        <v>5</v>
      </c>
      <c r="P11" s="1">
        <f ca="1" t="shared" si="5"/>
        <v>4</v>
      </c>
      <c r="Q11" s="1">
        <f ca="1" t="shared" si="6"/>
        <v>0</v>
      </c>
      <c r="R11" s="1">
        <f ca="1" t="shared" si="7"/>
        <v>0</v>
      </c>
      <c r="S11" s="1">
        <f ca="1" t="shared" si="8"/>
        <v>0</v>
      </c>
      <c r="T11" s="1">
        <f ca="1" t="shared" si="9"/>
        <v>0</v>
      </c>
      <c r="U11" s="1">
        <f ca="1" t="shared" si="10"/>
        <v>5</v>
      </c>
      <c r="V11" s="1">
        <f>控制台!C2368</f>
        <v>0</v>
      </c>
      <c r="W11" s="1">
        <f>控制台!C2369</f>
        <v>0</v>
      </c>
      <c r="X11" s="1">
        <f t="shared" si="11"/>
        <v>0</v>
      </c>
      <c r="Y11" s="1">
        <f ca="1">X11*U11*控制台!$E$2355/控制台!$E$2356</f>
        <v>0</v>
      </c>
      <c r="Z11" s="5">
        <f ca="1" t="shared" si="12"/>
        <v>0</v>
      </c>
    </row>
    <row r="12" spans="1:26">
      <c r="A12" s="1">
        <v>5</v>
      </c>
      <c r="B12" s="1">
        <f ca="1">控制台!H2369</f>
        <v>11.52</v>
      </c>
      <c r="C12" s="6">
        <v>7</v>
      </c>
      <c r="D12" s="6">
        <v>2</v>
      </c>
      <c r="E12" s="4">
        <f ca="1">_xlfn.FLOOR.MATH($B12/E$6+0.3)</f>
        <v>0</v>
      </c>
      <c r="F12" s="4">
        <f ca="1">_xlfn.FLOOR.MATH($B12/F$6+0.3)</f>
        <v>0</v>
      </c>
      <c r="G12" s="4">
        <f ca="1">_xlfn.FLOOR.MATH($B12/G$6+0.3)</f>
        <v>0</v>
      </c>
      <c r="H12" s="4">
        <f ca="1">_xlfn.FLOOR.MATH($B12/H$6+0.3)</f>
        <v>0</v>
      </c>
      <c r="I12" s="4">
        <f t="shared" si="3"/>
        <v>0</v>
      </c>
      <c r="J12" s="4">
        <f t="shared" si="1"/>
        <v>0</v>
      </c>
      <c r="K12" s="4">
        <f ca="1" t="shared" si="1"/>
        <v>0</v>
      </c>
      <c r="L12" s="4">
        <f ca="1" t="shared" si="1"/>
        <v>0</v>
      </c>
      <c r="M12" s="4">
        <f ca="1" t="shared" si="1"/>
        <v>0</v>
      </c>
      <c r="N12" s="4">
        <f ca="1" t="shared" si="1"/>
        <v>0</v>
      </c>
      <c r="O12" s="1">
        <f ca="1" t="shared" si="4"/>
        <v>7</v>
      </c>
      <c r="P12" s="1">
        <f ca="1" t="shared" si="5"/>
        <v>8</v>
      </c>
      <c r="Q12" s="1">
        <f ca="1" t="shared" si="6"/>
        <v>0</v>
      </c>
      <c r="R12" s="1">
        <f ca="1" t="shared" si="7"/>
        <v>0</v>
      </c>
      <c r="S12" s="1">
        <f ca="1" t="shared" si="8"/>
        <v>0</v>
      </c>
      <c r="T12" s="1">
        <f ca="1" t="shared" si="9"/>
        <v>0</v>
      </c>
      <c r="U12" s="1">
        <f ca="1" t="shared" si="10"/>
        <v>8</v>
      </c>
      <c r="V12" s="1">
        <f>控制台!C2369</f>
        <v>0</v>
      </c>
      <c r="W12" s="1">
        <f>控制台!C2370</f>
        <v>0</v>
      </c>
      <c r="X12" s="1">
        <f t="shared" si="11"/>
        <v>0</v>
      </c>
      <c r="Y12" s="1">
        <f ca="1">X12*U12*控制台!$E$2355/控制台!$E$2356</f>
        <v>0</v>
      </c>
      <c r="Z12" s="5">
        <f ca="1" t="shared" si="12"/>
        <v>0</v>
      </c>
    </row>
    <row r="13" spans="1:26">
      <c r="A13" s="1">
        <v>6</v>
      </c>
      <c r="B13" s="1">
        <f ca="1">控制台!H2370</f>
        <v>12.672</v>
      </c>
      <c r="C13" s="6">
        <v>9</v>
      </c>
      <c r="D13" s="6">
        <v>3</v>
      </c>
      <c r="E13" s="4">
        <f ca="1">_xlfn.FLOOR.MATH($B13/E$6+0.3)</f>
        <v>0</v>
      </c>
      <c r="F13" s="4">
        <f ca="1">_xlfn.FLOOR.MATH($B13/F$6+0.3)</f>
        <v>0</v>
      </c>
      <c r="G13" s="4">
        <f ca="1">_xlfn.FLOOR.MATH($B13/G$6+0.3)</f>
        <v>0</v>
      </c>
      <c r="H13" s="4">
        <f ca="1">_xlfn.FLOOR.MATH($B13/H$6+0.3)</f>
        <v>0</v>
      </c>
      <c r="I13" s="4">
        <f t="shared" si="3"/>
        <v>0</v>
      </c>
      <c r="J13" s="4">
        <f t="shared" si="1"/>
        <v>0</v>
      </c>
      <c r="K13" s="4">
        <f ca="1" t="shared" si="1"/>
        <v>0</v>
      </c>
      <c r="L13" s="4">
        <f ca="1" t="shared" si="1"/>
        <v>0</v>
      </c>
      <c r="M13" s="4">
        <f ca="1" t="shared" si="1"/>
        <v>0</v>
      </c>
      <c r="N13" s="4">
        <f ca="1" t="shared" si="1"/>
        <v>0</v>
      </c>
      <c r="O13" s="1">
        <f ca="1" t="shared" si="4"/>
        <v>9</v>
      </c>
      <c r="P13" s="1">
        <f ca="1" t="shared" si="5"/>
        <v>12</v>
      </c>
      <c r="Q13" s="1">
        <f ca="1" t="shared" si="6"/>
        <v>0</v>
      </c>
      <c r="R13" s="1">
        <f ca="1" t="shared" si="7"/>
        <v>0</v>
      </c>
      <c r="S13" s="1">
        <f ca="1" t="shared" si="8"/>
        <v>0</v>
      </c>
      <c r="T13" s="1">
        <f ca="1" t="shared" si="9"/>
        <v>0</v>
      </c>
      <c r="U13" s="1">
        <f ca="1" t="shared" si="10"/>
        <v>12</v>
      </c>
      <c r="V13" s="1">
        <f>控制台!C2370</f>
        <v>0</v>
      </c>
      <c r="W13" s="1">
        <f>控制台!C2371</f>
        <v>0</v>
      </c>
      <c r="X13" s="1">
        <f t="shared" si="11"/>
        <v>0</v>
      </c>
      <c r="Y13" s="1">
        <f ca="1">X13*U13*控制台!$E$2355/控制台!$E$2356</f>
        <v>0</v>
      </c>
      <c r="Z13" s="5">
        <f ca="1" t="shared" si="12"/>
        <v>0</v>
      </c>
    </row>
    <row r="14" spans="1:26">
      <c r="A14" s="1">
        <v>7</v>
      </c>
      <c r="B14" s="1">
        <f ca="1">控制台!H2371</f>
        <v>13.824</v>
      </c>
      <c r="C14" s="6">
        <v>11</v>
      </c>
      <c r="D14" s="6">
        <v>3</v>
      </c>
      <c r="E14" s="4">
        <f ca="1">_xlfn.FLOOR.MATH($B14/E$6+0.3)</f>
        <v>0</v>
      </c>
      <c r="F14" s="4">
        <f ca="1">_xlfn.FLOOR.MATH($B14/F$6+0.3)</f>
        <v>0</v>
      </c>
      <c r="G14" s="4">
        <f ca="1">_xlfn.FLOOR.MATH($B14/G$6+0.3)</f>
        <v>0</v>
      </c>
      <c r="H14" s="4">
        <f ca="1">_xlfn.FLOOR.MATH($B14/H$6+0.3)</f>
        <v>0</v>
      </c>
      <c r="I14" s="4">
        <f t="shared" si="3"/>
        <v>0</v>
      </c>
      <c r="J14" s="4">
        <f t="shared" si="1"/>
        <v>1</v>
      </c>
      <c r="K14" s="4">
        <f ca="1" t="shared" si="1"/>
        <v>0</v>
      </c>
      <c r="L14" s="4">
        <f ca="1" t="shared" si="1"/>
        <v>0</v>
      </c>
      <c r="M14" s="4">
        <f ca="1" t="shared" si="1"/>
        <v>0</v>
      </c>
      <c r="N14" s="4">
        <f ca="1" t="shared" si="1"/>
        <v>0</v>
      </c>
      <c r="O14" s="1">
        <f ca="1" t="shared" si="4"/>
        <v>11</v>
      </c>
      <c r="P14" s="1">
        <f ca="1" t="shared" si="5"/>
        <v>13</v>
      </c>
      <c r="Q14" s="1">
        <f ca="1" t="shared" si="6"/>
        <v>0</v>
      </c>
      <c r="R14" s="1">
        <f ca="1" t="shared" si="7"/>
        <v>0</v>
      </c>
      <c r="S14" s="1">
        <f ca="1" t="shared" si="8"/>
        <v>0</v>
      </c>
      <c r="T14" s="1">
        <f ca="1" t="shared" si="9"/>
        <v>0</v>
      </c>
      <c r="U14" s="1">
        <f ca="1" t="shared" si="10"/>
        <v>13</v>
      </c>
      <c r="V14" s="1">
        <f>控制台!C2371</f>
        <v>0</v>
      </c>
      <c r="W14" s="1">
        <f>控制台!C2372</f>
        <v>0</v>
      </c>
      <c r="X14" s="1">
        <f t="shared" si="11"/>
        <v>0</v>
      </c>
      <c r="Y14" s="1">
        <f ca="1">X14*U14*控制台!$E$2355/控制台!$E$2356</f>
        <v>0</v>
      </c>
      <c r="Z14" s="5">
        <f ca="1" t="shared" si="12"/>
        <v>0</v>
      </c>
    </row>
    <row r="15" spans="1:26">
      <c r="A15" s="1">
        <v>8</v>
      </c>
      <c r="B15" s="1">
        <f ca="1">控制台!H2372</f>
        <v>14.976</v>
      </c>
      <c r="C15" s="6">
        <v>13</v>
      </c>
      <c r="D15" s="6">
        <v>4</v>
      </c>
      <c r="E15" s="4">
        <f ca="1">_xlfn.FLOOR.MATH($B15/E$6+0.3)</f>
        <v>1</v>
      </c>
      <c r="F15" s="4">
        <f ca="1">_xlfn.FLOOR.MATH($B15/F$6+0.3)</f>
        <v>0</v>
      </c>
      <c r="G15" s="4">
        <f ca="1">_xlfn.FLOOR.MATH($B15/G$6+0.3)</f>
        <v>0</v>
      </c>
      <c r="H15" s="4">
        <f ca="1">_xlfn.FLOOR.MATH($B15/H$6+0.3)</f>
        <v>0</v>
      </c>
      <c r="I15" s="4">
        <f t="shared" si="3"/>
        <v>0</v>
      </c>
      <c r="J15" s="4">
        <f t="shared" si="1"/>
        <v>0</v>
      </c>
      <c r="K15" s="4">
        <f ca="1" t="shared" si="1"/>
        <v>0</v>
      </c>
      <c r="L15" s="4">
        <f ca="1" t="shared" si="1"/>
        <v>0</v>
      </c>
      <c r="M15" s="4">
        <f ca="1" t="shared" si="1"/>
        <v>0</v>
      </c>
      <c r="N15" s="4">
        <f ca="1" t="shared" si="1"/>
        <v>0</v>
      </c>
      <c r="O15" s="1">
        <f ca="1" t="shared" si="4"/>
        <v>13</v>
      </c>
      <c r="P15" s="1">
        <f ca="1" t="shared" si="5"/>
        <v>16</v>
      </c>
      <c r="Q15" s="1">
        <f ca="1" t="shared" si="6"/>
        <v>20</v>
      </c>
      <c r="R15" s="1">
        <f ca="1" t="shared" si="7"/>
        <v>0</v>
      </c>
      <c r="S15" s="1">
        <f ca="1" t="shared" si="8"/>
        <v>0</v>
      </c>
      <c r="T15" s="1">
        <f ca="1" t="shared" si="9"/>
        <v>0</v>
      </c>
      <c r="U15" s="1">
        <f ca="1" t="shared" si="10"/>
        <v>20</v>
      </c>
      <c r="V15" s="1">
        <f>控制台!C2372</f>
        <v>0</v>
      </c>
      <c r="W15" s="1">
        <f>控制台!C2373</f>
        <v>0</v>
      </c>
      <c r="X15" s="1">
        <f t="shared" si="11"/>
        <v>0</v>
      </c>
      <c r="Y15" s="1">
        <f ca="1">X15*U15*控制台!$E$2355/控制台!$E$2356</f>
        <v>0</v>
      </c>
      <c r="Z15" s="5">
        <f ca="1" t="shared" si="12"/>
        <v>0</v>
      </c>
    </row>
    <row r="16" spans="1:26">
      <c r="A16" s="1">
        <v>9</v>
      </c>
      <c r="B16" s="1">
        <f ca="1">控制台!H2373</f>
        <v>16.128</v>
      </c>
      <c r="C16" s="6">
        <v>15</v>
      </c>
      <c r="D16" s="4">
        <v>4</v>
      </c>
      <c r="E16" s="4">
        <f ca="1">_xlfn.FLOOR.MATH($B16/E$6+0.3)</f>
        <v>1</v>
      </c>
      <c r="F16" s="4">
        <f ca="1">_xlfn.FLOOR.MATH($B16/F$6+0.3)</f>
        <v>0</v>
      </c>
      <c r="G16" s="4">
        <f ca="1">_xlfn.FLOOR.MATH($B16/G$6+0.3)</f>
        <v>0</v>
      </c>
      <c r="H16" s="4">
        <f ca="1">_xlfn.FLOOR.MATH($B16/H$6+0.3)</f>
        <v>0</v>
      </c>
      <c r="I16" s="4">
        <f t="shared" si="3"/>
        <v>0</v>
      </c>
      <c r="J16" s="4">
        <f t="shared" si="1"/>
        <v>1</v>
      </c>
      <c r="K16" s="4">
        <f ca="1" t="shared" si="1"/>
        <v>1</v>
      </c>
      <c r="L16" s="4">
        <f ca="1" t="shared" si="1"/>
        <v>0</v>
      </c>
      <c r="M16" s="4">
        <f ca="1" t="shared" si="1"/>
        <v>0</v>
      </c>
      <c r="N16" s="4">
        <f ca="1" t="shared" si="1"/>
        <v>0</v>
      </c>
      <c r="O16" s="1">
        <f ca="1" t="shared" si="4"/>
        <v>15</v>
      </c>
      <c r="P16" s="1">
        <f ca="1" t="shared" si="5"/>
        <v>17</v>
      </c>
      <c r="Q16" s="1">
        <f ca="1" t="shared" si="6"/>
        <v>21</v>
      </c>
      <c r="R16" s="1">
        <f ca="1" t="shared" si="7"/>
        <v>0</v>
      </c>
      <c r="S16" s="1">
        <f ca="1" t="shared" si="8"/>
        <v>0</v>
      </c>
      <c r="T16" s="1">
        <f ca="1" t="shared" si="9"/>
        <v>0</v>
      </c>
      <c r="U16" s="1">
        <f ca="1" t="shared" si="10"/>
        <v>21</v>
      </c>
      <c r="V16" s="1">
        <f>控制台!C2373</f>
        <v>0</v>
      </c>
      <c r="W16" s="1">
        <f>控制台!C2374</f>
        <v>0</v>
      </c>
      <c r="X16" s="1">
        <f t="shared" si="11"/>
        <v>0</v>
      </c>
      <c r="Y16" s="1">
        <f ca="1">X16*U16*控制台!$E$2355/控制台!$E$2356</f>
        <v>0</v>
      </c>
      <c r="Z16" s="5">
        <f ca="1" t="shared" si="12"/>
        <v>0</v>
      </c>
    </row>
    <row r="17" spans="1:26">
      <c r="A17" s="1">
        <v>10</v>
      </c>
      <c r="B17" s="1">
        <f ca="1">控制台!H2374</f>
        <v>18.432</v>
      </c>
      <c r="C17" s="4">
        <v>18</v>
      </c>
      <c r="D17" s="4">
        <v>4</v>
      </c>
      <c r="E17" s="4">
        <f ca="1">_xlfn.FLOOR.MATH($B17/E$6+0.3)</f>
        <v>1</v>
      </c>
      <c r="F17" s="4">
        <f ca="1">_xlfn.FLOOR.MATH($B17/F$6+0.3)</f>
        <v>0</v>
      </c>
      <c r="G17" s="4">
        <f ca="1">_xlfn.FLOOR.MATH($B17/G$6+0.3)</f>
        <v>0</v>
      </c>
      <c r="H17" s="4">
        <f ca="1">_xlfn.FLOOR.MATH($B17/H$6+0.3)</f>
        <v>0</v>
      </c>
      <c r="I17" s="4">
        <f t="shared" si="3"/>
        <v>0</v>
      </c>
      <c r="J17" s="4">
        <f t="shared" si="1"/>
        <v>2</v>
      </c>
      <c r="K17" s="4">
        <f ca="1" t="shared" si="1"/>
        <v>2</v>
      </c>
      <c r="L17" s="4">
        <f ca="1" t="shared" si="1"/>
        <v>0</v>
      </c>
      <c r="M17" s="4">
        <f ca="1" t="shared" si="1"/>
        <v>0</v>
      </c>
      <c r="N17" s="4">
        <f ca="1" t="shared" si="1"/>
        <v>0</v>
      </c>
      <c r="O17" s="1">
        <f ca="1" t="shared" si="4"/>
        <v>18</v>
      </c>
      <c r="P17" s="1">
        <f ca="1" t="shared" si="5"/>
        <v>18</v>
      </c>
      <c r="Q17" s="1">
        <f ca="1" t="shared" si="6"/>
        <v>22</v>
      </c>
      <c r="R17" s="1">
        <f ca="1" t="shared" si="7"/>
        <v>0</v>
      </c>
      <c r="S17" s="1">
        <f ca="1" t="shared" si="8"/>
        <v>0</v>
      </c>
      <c r="T17" s="1">
        <f ca="1" t="shared" si="9"/>
        <v>0</v>
      </c>
      <c r="U17" s="1">
        <f ca="1" t="shared" si="10"/>
        <v>22</v>
      </c>
      <c r="V17" s="1">
        <f>控制台!C2374</f>
        <v>0</v>
      </c>
      <c r="W17" s="1">
        <f>控制台!C2375</f>
        <v>1</v>
      </c>
      <c r="X17" s="1">
        <f t="shared" si="11"/>
        <v>1</v>
      </c>
      <c r="Y17" s="1">
        <f ca="1">X17*U17*控制台!$E$2355/控制台!$E$2356</f>
        <v>330</v>
      </c>
      <c r="Z17" s="5">
        <f ca="1" t="shared" si="12"/>
        <v>330</v>
      </c>
    </row>
    <row r="18" spans="1:26">
      <c r="A18" s="1">
        <v>11</v>
      </c>
      <c r="B18" s="1">
        <f ca="1">控制台!H2375</f>
        <v>20.736</v>
      </c>
      <c r="C18" s="4">
        <v>21</v>
      </c>
      <c r="D18" s="4">
        <v>5</v>
      </c>
      <c r="E18" s="4">
        <f ca="1">_xlfn.FLOOR.MATH($B18/E$6+0.3)</f>
        <v>1</v>
      </c>
      <c r="F18" s="4">
        <f ca="1">_xlfn.FLOOR.MATH($B18/F$6+0.3)</f>
        <v>0</v>
      </c>
      <c r="G18" s="4">
        <f ca="1">_xlfn.FLOOR.MATH($B18/G$6+0.3)</f>
        <v>0</v>
      </c>
      <c r="H18" s="4">
        <f ca="1">_xlfn.FLOOR.MATH($B18/H$6+0.3)</f>
        <v>0</v>
      </c>
      <c r="I18" s="4">
        <f t="shared" si="3"/>
        <v>0</v>
      </c>
      <c r="J18" s="4">
        <f t="shared" si="1"/>
        <v>0</v>
      </c>
      <c r="K18" s="4">
        <f ca="1" t="shared" si="1"/>
        <v>3</v>
      </c>
      <c r="L18" s="4">
        <f ca="1" t="shared" si="1"/>
        <v>0</v>
      </c>
      <c r="M18" s="4">
        <f ca="1" t="shared" si="1"/>
        <v>0</v>
      </c>
      <c r="N18" s="4">
        <f ca="1" t="shared" si="1"/>
        <v>0</v>
      </c>
      <c r="O18" s="1">
        <f ca="1" t="shared" si="4"/>
        <v>21</v>
      </c>
      <c r="P18" s="1">
        <f ca="1" t="shared" si="5"/>
        <v>20</v>
      </c>
      <c r="Q18" s="1">
        <f ca="1" t="shared" si="6"/>
        <v>23</v>
      </c>
      <c r="R18" s="1">
        <f ca="1" t="shared" si="7"/>
        <v>0</v>
      </c>
      <c r="S18" s="1">
        <f ca="1" t="shared" si="8"/>
        <v>0</v>
      </c>
      <c r="T18" s="1">
        <f ca="1" t="shared" si="9"/>
        <v>0</v>
      </c>
      <c r="U18" s="1">
        <f ca="1" t="shared" si="10"/>
        <v>23</v>
      </c>
      <c r="V18" s="1">
        <f>控制台!C2375</f>
        <v>1</v>
      </c>
      <c r="W18" s="1">
        <f>控制台!C2376</f>
        <v>2</v>
      </c>
      <c r="X18" s="1">
        <f t="shared" si="11"/>
        <v>1</v>
      </c>
      <c r="Y18" s="1">
        <f ca="1">X18*U18*控制台!$E$2355/控制台!$E$2356</f>
        <v>345</v>
      </c>
      <c r="Z18" s="5">
        <f ca="1" t="shared" si="12"/>
        <v>675</v>
      </c>
    </row>
    <row r="19" spans="1:26">
      <c r="A19" s="1">
        <v>12</v>
      </c>
      <c r="B19" s="1">
        <f ca="1">控制台!H2376</f>
        <v>23.04</v>
      </c>
      <c r="C19" s="4">
        <v>23</v>
      </c>
      <c r="D19" s="4">
        <v>6</v>
      </c>
      <c r="E19" s="4">
        <f ca="1">_xlfn.FLOOR.MATH($B19/E$6+0.3)</f>
        <v>1</v>
      </c>
      <c r="F19" s="4">
        <f ca="1">_xlfn.FLOOR.MATH($B19/F$6+0.3)</f>
        <v>0</v>
      </c>
      <c r="G19" s="4">
        <f ca="1">_xlfn.FLOOR.MATH($B19/G$6+0.3)</f>
        <v>0</v>
      </c>
      <c r="H19" s="4">
        <f ca="1">_xlfn.FLOOR.MATH($B19/H$6+0.3)</f>
        <v>0</v>
      </c>
      <c r="I19" s="4">
        <f t="shared" si="3"/>
        <v>0</v>
      </c>
      <c r="J19" s="4">
        <f t="shared" si="1"/>
        <v>0</v>
      </c>
      <c r="K19" s="4">
        <f ca="1" t="shared" si="1"/>
        <v>4</v>
      </c>
      <c r="L19" s="4">
        <f ca="1" t="shared" si="1"/>
        <v>0</v>
      </c>
      <c r="M19" s="4">
        <f ca="1" t="shared" si="1"/>
        <v>0</v>
      </c>
      <c r="N19" s="4">
        <f ca="1" t="shared" si="1"/>
        <v>0</v>
      </c>
      <c r="O19" s="1">
        <f ca="1" t="shared" si="4"/>
        <v>23</v>
      </c>
      <c r="P19" s="1">
        <f ca="1" t="shared" si="5"/>
        <v>24</v>
      </c>
      <c r="Q19" s="1">
        <f ca="1" t="shared" si="6"/>
        <v>24</v>
      </c>
      <c r="R19" s="1">
        <f ca="1" t="shared" si="7"/>
        <v>0</v>
      </c>
      <c r="S19" s="1">
        <f ca="1" t="shared" si="8"/>
        <v>0</v>
      </c>
      <c r="T19" s="1">
        <f ca="1" t="shared" si="9"/>
        <v>0</v>
      </c>
      <c r="U19" s="1">
        <f ca="1" t="shared" si="10"/>
        <v>24</v>
      </c>
      <c r="V19" s="1">
        <f>控制台!C2376</f>
        <v>2</v>
      </c>
      <c r="W19" s="1">
        <f>控制台!C2377</f>
        <v>3</v>
      </c>
      <c r="X19" s="1">
        <f t="shared" si="11"/>
        <v>1</v>
      </c>
      <c r="Y19" s="1">
        <f ca="1">X19*U19*控制台!$E$2355/控制台!$E$2356</f>
        <v>360</v>
      </c>
      <c r="Z19" s="5">
        <f ca="1" t="shared" si="12"/>
        <v>1035</v>
      </c>
    </row>
    <row r="20" spans="1:26">
      <c r="A20" s="1">
        <v>13</v>
      </c>
      <c r="B20" s="1">
        <f ca="1">控制台!H2377</f>
        <v>27.8784</v>
      </c>
      <c r="C20" s="4">
        <v>28</v>
      </c>
      <c r="D20" s="4">
        <v>7</v>
      </c>
      <c r="E20" s="4">
        <f ca="1">_xlfn.FLOOR.MATH($B20/E$6+0.3)</f>
        <v>1</v>
      </c>
      <c r="F20" s="4">
        <f ca="1">_xlfn.FLOOR.MATH($B20/F$6+0.3)</f>
        <v>1</v>
      </c>
      <c r="G20" s="4">
        <f ca="1">_xlfn.FLOOR.MATH($B20/G$6+0.3)</f>
        <v>0</v>
      </c>
      <c r="H20" s="4">
        <f ca="1">_xlfn.FLOOR.MATH($B20/H$6+0.3)</f>
        <v>0</v>
      </c>
      <c r="I20" s="4">
        <f t="shared" si="3"/>
        <v>0</v>
      </c>
      <c r="J20" s="4">
        <f t="shared" si="1"/>
        <v>0</v>
      </c>
      <c r="K20" s="4">
        <f ca="1" t="shared" si="1"/>
        <v>5</v>
      </c>
      <c r="L20" s="4">
        <f ca="1" t="shared" si="1"/>
        <v>0</v>
      </c>
      <c r="M20" s="4">
        <f ca="1" t="shared" si="1"/>
        <v>0</v>
      </c>
      <c r="N20" s="4">
        <f ca="1" t="shared" si="1"/>
        <v>0</v>
      </c>
      <c r="O20" s="1">
        <f ca="1" t="shared" si="4"/>
        <v>28</v>
      </c>
      <c r="P20" s="1">
        <f ca="1" t="shared" si="5"/>
        <v>28</v>
      </c>
      <c r="Q20" s="1">
        <f ca="1" t="shared" si="6"/>
        <v>25</v>
      </c>
      <c r="R20" s="1">
        <f ca="1" t="shared" si="7"/>
        <v>35</v>
      </c>
      <c r="S20" s="1">
        <f ca="1" t="shared" si="8"/>
        <v>0</v>
      </c>
      <c r="T20" s="1">
        <f ca="1" t="shared" si="9"/>
        <v>0</v>
      </c>
      <c r="U20" s="1">
        <f ca="1" t="shared" si="10"/>
        <v>35</v>
      </c>
      <c r="V20" s="1">
        <f>控制台!C2377</f>
        <v>3</v>
      </c>
      <c r="W20" s="1">
        <f>控制台!C2378</f>
        <v>4</v>
      </c>
      <c r="X20" s="1">
        <f t="shared" si="11"/>
        <v>1</v>
      </c>
      <c r="Y20" s="1">
        <f ca="1">X20*U20*控制台!$E$2355/控制台!$E$2356</f>
        <v>525</v>
      </c>
      <c r="Z20" s="5">
        <f ca="1" t="shared" si="12"/>
        <v>1560</v>
      </c>
    </row>
    <row r="21" spans="1:26">
      <c r="A21" s="1">
        <v>14</v>
      </c>
      <c r="B21" s="1">
        <f ca="1">控制台!H2378</f>
        <v>29.1456</v>
      </c>
      <c r="C21" s="4">
        <v>29</v>
      </c>
      <c r="D21" s="4">
        <f ca="1">_xlfn.FLOOR.MATH($B21/D$6+0.3)</f>
        <v>7</v>
      </c>
      <c r="E21" s="4">
        <f ca="1">_xlfn.FLOOR.MATH($B21/E$6+0.3)</f>
        <v>1</v>
      </c>
      <c r="F21" s="4">
        <f ca="1">_xlfn.FLOOR.MATH($B21/F$6+0.3)</f>
        <v>1</v>
      </c>
      <c r="G21" s="4">
        <f ca="1">_xlfn.FLOOR.MATH($B21/G$6+0.3)</f>
        <v>0</v>
      </c>
      <c r="H21" s="4">
        <f ca="1">_xlfn.FLOOR.MATH($B21/H$6+0.3)</f>
        <v>0</v>
      </c>
      <c r="I21" s="4">
        <f t="shared" si="3"/>
        <v>0</v>
      </c>
      <c r="J21" s="4">
        <f ca="1" t="shared" si="1"/>
        <v>1</v>
      </c>
      <c r="K21" s="4">
        <f ca="1" t="shared" si="1"/>
        <v>6</v>
      </c>
      <c r="L21" s="4">
        <f ca="1" t="shared" si="1"/>
        <v>1</v>
      </c>
      <c r="M21" s="4">
        <f ca="1" t="shared" si="1"/>
        <v>0</v>
      </c>
      <c r="N21" s="4">
        <f ca="1" t="shared" si="1"/>
        <v>0</v>
      </c>
      <c r="O21" s="1">
        <f ca="1" t="shared" si="4"/>
        <v>29</v>
      </c>
      <c r="P21" s="1">
        <f ca="1" t="shared" si="5"/>
        <v>29</v>
      </c>
      <c r="Q21" s="1">
        <f ca="1" t="shared" si="6"/>
        <v>26</v>
      </c>
      <c r="R21" s="1">
        <f ca="1" t="shared" si="7"/>
        <v>36</v>
      </c>
      <c r="S21" s="1">
        <f ca="1" t="shared" si="8"/>
        <v>0</v>
      </c>
      <c r="T21" s="1">
        <f ca="1" t="shared" si="9"/>
        <v>0</v>
      </c>
      <c r="U21" s="1">
        <f ca="1" t="shared" si="10"/>
        <v>36</v>
      </c>
      <c r="V21" s="1">
        <f>控制台!C2378</f>
        <v>4</v>
      </c>
      <c r="W21" s="1">
        <f>控制台!C2379</f>
        <v>5</v>
      </c>
      <c r="X21" s="1">
        <f t="shared" si="11"/>
        <v>1</v>
      </c>
      <c r="Y21" s="1">
        <f ca="1">X21*U21*控制台!$E$2355/控制台!$E$2356</f>
        <v>540</v>
      </c>
      <c r="Z21" s="5">
        <f ca="1" t="shared" si="12"/>
        <v>2100</v>
      </c>
    </row>
    <row r="22" spans="1:26">
      <c r="A22" s="1">
        <v>15</v>
      </c>
      <c r="B22" s="1">
        <f ca="1">控制台!H2379</f>
        <v>30.4128</v>
      </c>
      <c r="C22" s="4">
        <v>30</v>
      </c>
      <c r="D22" s="4">
        <f ca="1">_xlfn.FLOOR.MATH($B22/D$6+0.3)</f>
        <v>7</v>
      </c>
      <c r="E22" s="4">
        <f ca="1">_xlfn.FLOOR.MATH($B22/E$6+0.3)</f>
        <v>1</v>
      </c>
      <c r="F22" s="4">
        <f ca="1">_xlfn.FLOOR.MATH($B22/F$6+0.3)</f>
        <v>1</v>
      </c>
      <c r="G22" s="4">
        <f ca="1">_xlfn.FLOOR.MATH($B22/G$6+0.3)</f>
        <v>0</v>
      </c>
      <c r="H22" s="4">
        <f ca="1">_xlfn.FLOOR.MATH($B22/H$6+0.3)</f>
        <v>0</v>
      </c>
      <c r="I22" s="4">
        <f t="shared" si="3"/>
        <v>0</v>
      </c>
      <c r="J22" s="4">
        <f ca="1" t="shared" si="1"/>
        <v>2</v>
      </c>
      <c r="K22" s="4">
        <f ca="1" t="shared" si="1"/>
        <v>7</v>
      </c>
      <c r="L22" s="4">
        <f ca="1" t="shared" si="1"/>
        <v>2</v>
      </c>
      <c r="M22" s="4">
        <f ca="1" t="shared" si="1"/>
        <v>0</v>
      </c>
      <c r="N22" s="4">
        <f ca="1" t="shared" si="1"/>
        <v>0</v>
      </c>
      <c r="O22" s="1">
        <f ca="1" t="shared" si="4"/>
        <v>30</v>
      </c>
      <c r="P22" s="1">
        <f ca="1" t="shared" si="5"/>
        <v>30</v>
      </c>
      <c r="Q22" s="1">
        <f ca="1" t="shared" si="6"/>
        <v>27</v>
      </c>
      <c r="R22" s="1">
        <f ca="1" t="shared" si="7"/>
        <v>37</v>
      </c>
      <c r="S22" s="1">
        <f ca="1" t="shared" si="8"/>
        <v>0</v>
      </c>
      <c r="T22" s="1">
        <f ca="1" t="shared" si="9"/>
        <v>0</v>
      </c>
      <c r="U22" s="1">
        <f ca="1" t="shared" si="10"/>
        <v>37</v>
      </c>
      <c r="V22" s="1">
        <f>控制台!C2379</f>
        <v>5</v>
      </c>
      <c r="W22" s="1">
        <f>控制台!C2380</f>
        <v>6</v>
      </c>
      <c r="X22" s="1">
        <f t="shared" si="11"/>
        <v>1</v>
      </c>
      <c r="Y22" s="1">
        <f ca="1">X22*U22*控制台!$E$2355/控制台!$E$2356</f>
        <v>555</v>
      </c>
      <c r="Z22" s="5">
        <f ca="1" t="shared" si="12"/>
        <v>2655</v>
      </c>
    </row>
    <row r="23" spans="1:26">
      <c r="A23" s="1">
        <v>16</v>
      </c>
      <c r="B23" s="1">
        <f ca="1">控制台!H2380</f>
        <v>31.68</v>
      </c>
      <c r="C23" s="4">
        <v>31</v>
      </c>
      <c r="D23" s="4">
        <f ca="1">_xlfn.FLOOR.MATH($B23/D$6+0.3)</f>
        <v>8</v>
      </c>
      <c r="E23" s="4">
        <f ca="1">_xlfn.FLOOR.MATH($B23/E$6+0.3)</f>
        <v>1</v>
      </c>
      <c r="F23" s="4">
        <f ca="1">_xlfn.FLOOR.MATH($B23/F$6+0.3)</f>
        <v>1</v>
      </c>
      <c r="G23" s="4">
        <f ca="1">_xlfn.FLOOR.MATH($B23/G$6+0.3)</f>
        <v>0</v>
      </c>
      <c r="H23" s="4">
        <f ca="1">_xlfn.FLOOR.MATH($B23/H$6+0.3)</f>
        <v>0</v>
      </c>
      <c r="I23" s="4">
        <f t="shared" si="3"/>
        <v>0</v>
      </c>
      <c r="J23" s="4">
        <f ca="1" t="shared" si="1"/>
        <v>0</v>
      </c>
      <c r="K23" s="4">
        <f ca="1" t="shared" si="1"/>
        <v>8</v>
      </c>
      <c r="L23" s="4">
        <f ca="1" t="shared" si="1"/>
        <v>3</v>
      </c>
      <c r="M23" s="4">
        <f ca="1" t="shared" si="1"/>
        <v>0</v>
      </c>
      <c r="N23" s="4">
        <f ca="1" t="shared" si="1"/>
        <v>0</v>
      </c>
      <c r="O23" s="1">
        <f ca="1" t="shared" si="4"/>
        <v>31</v>
      </c>
      <c r="P23" s="1">
        <f ca="1" t="shared" si="5"/>
        <v>32</v>
      </c>
      <c r="Q23" s="1">
        <f ca="1" t="shared" si="6"/>
        <v>28</v>
      </c>
      <c r="R23" s="1">
        <f ca="1" t="shared" si="7"/>
        <v>38</v>
      </c>
      <c r="S23" s="1">
        <f ca="1" t="shared" si="8"/>
        <v>0</v>
      </c>
      <c r="T23" s="1">
        <f ca="1" t="shared" si="9"/>
        <v>0</v>
      </c>
      <c r="U23" s="1">
        <f ca="1" t="shared" si="10"/>
        <v>38</v>
      </c>
      <c r="V23" s="1">
        <f>控制台!C2380</f>
        <v>6</v>
      </c>
      <c r="W23" s="1">
        <f>控制台!C2381</f>
        <v>7</v>
      </c>
      <c r="X23" s="1">
        <f t="shared" si="11"/>
        <v>1</v>
      </c>
      <c r="Y23" s="1">
        <f ca="1">X23*U23*控制台!$E$2355/控制台!$E$2356</f>
        <v>570</v>
      </c>
      <c r="Z23" s="5">
        <f ca="1" t="shared" si="12"/>
        <v>3225</v>
      </c>
    </row>
    <row r="24" spans="1:26">
      <c r="A24" s="1">
        <v>17</v>
      </c>
      <c r="B24" s="1">
        <f ca="1">控制台!H2381</f>
        <v>32.9472</v>
      </c>
      <c r="C24" s="4">
        <v>33</v>
      </c>
      <c r="D24" s="4">
        <f ca="1">_xlfn.FLOOR.MATH($B24/D$6+0.3)</f>
        <v>8</v>
      </c>
      <c r="E24" s="4">
        <f ca="1">_xlfn.FLOOR.MATH($B24/E$6+0.3)</f>
        <v>1</v>
      </c>
      <c r="F24" s="4">
        <f ca="1">_xlfn.FLOOR.MATH($B24/F$6+0.3)</f>
        <v>1</v>
      </c>
      <c r="G24" s="4">
        <f ca="1">_xlfn.FLOOR.MATH($B24/G$6+0.3)</f>
        <v>0</v>
      </c>
      <c r="H24" s="4">
        <f ca="1">_xlfn.FLOOR.MATH($B24/H$6+0.3)</f>
        <v>0</v>
      </c>
      <c r="I24" s="4">
        <f t="shared" si="3"/>
        <v>0</v>
      </c>
      <c r="J24" s="4">
        <f ca="1" t="shared" ref="J24:J47" si="13">IF(D24=0,0,IF(D24=D23,J23+1,0))</f>
        <v>1</v>
      </c>
      <c r="K24" s="4">
        <f ca="1" t="shared" ref="K24:K47" si="14">IF(E24=0,0,IF(E24=E23,K23+1,0))</f>
        <v>9</v>
      </c>
      <c r="L24" s="4">
        <f ca="1" t="shared" ref="L24:L47" si="15">IF(F24=0,0,IF(F24=F23,L23+1,0))</f>
        <v>4</v>
      </c>
      <c r="M24" s="4">
        <f ca="1" t="shared" ref="M24:M47" si="16">IF(G24=0,0,IF(G24=G23,M23+1,0))</f>
        <v>0</v>
      </c>
      <c r="N24" s="4">
        <f ca="1" t="shared" ref="N24:N47" si="17">IF(H24=0,0,IF(H24=H23,N23+1,0))</f>
        <v>0</v>
      </c>
      <c r="O24" s="1">
        <f ca="1" t="shared" si="4"/>
        <v>33</v>
      </c>
      <c r="P24" s="1">
        <f ca="1" t="shared" si="5"/>
        <v>33</v>
      </c>
      <c r="Q24" s="1">
        <f ca="1" t="shared" si="6"/>
        <v>29</v>
      </c>
      <c r="R24" s="1">
        <f ca="1" t="shared" si="7"/>
        <v>39</v>
      </c>
      <c r="S24" s="1">
        <f ca="1" t="shared" si="8"/>
        <v>0</v>
      </c>
      <c r="T24" s="1">
        <f ca="1" t="shared" si="9"/>
        <v>0</v>
      </c>
      <c r="U24" s="1">
        <f ca="1" t="shared" si="10"/>
        <v>39</v>
      </c>
      <c r="V24" s="1">
        <f>控制台!C2381</f>
        <v>7</v>
      </c>
      <c r="W24" s="1">
        <f>控制台!C2382</f>
        <v>8</v>
      </c>
      <c r="X24" s="1">
        <f t="shared" si="11"/>
        <v>1</v>
      </c>
      <c r="Y24" s="1">
        <f ca="1">X24*U24*控制台!$E$2355/控制台!$E$2356</f>
        <v>585</v>
      </c>
      <c r="Z24" s="5">
        <f ca="1" t="shared" si="12"/>
        <v>3810</v>
      </c>
    </row>
    <row r="25" spans="1:26">
      <c r="A25" s="1">
        <v>18</v>
      </c>
      <c r="B25" s="1">
        <f ca="1">控制台!H2382</f>
        <v>34.2144</v>
      </c>
      <c r="C25" s="4">
        <v>34</v>
      </c>
      <c r="D25" s="4">
        <f ca="1">_xlfn.FLOOR.MATH($B25/D$6+0.3)</f>
        <v>8</v>
      </c>
      <c r="E25" s="4">
        <f ca="1">_xlfn.FLOOR.MATH($B25/E$6+0.3)</f>
        <v>2</v>
      </c>
      <c r="F25" s="4">
        <f ca="1">_xlfn.FLOOR.MATH($B25/F$6+0.3)</f>
        <v>1</v>
      </c>
      <c r="G25" s="4">
        <f ca="1">_xlfn.FLOOR.MATH($B25/G$6+0.3)</f>
        <v>0</v>
      </c>
      <c r="H25" s="4">
        <f ca="1">_xlfn.FLOOR.MATH($B25/H$6+0.3)</f>
        <v>0</v>
      </c>
      <c r="I25" s="4">
        <f t="shared" si="3"/>
        <v>0</v>
      </c>
      <c r="J25" s="4">
        <f ca="1" t="shared" si="13"/>
        <v>2</v>
      </c>
      <c r="K25" s="4">
        <f ca="1" t="shared" si="14"/>
        <v>0</v>
      </c>
      <c r="L25" s="4">
        <f ca="1" t="shared" si="15"/>
        <v>5</v>
      </c>
      <c r="M25" s="4">
        <f ca="1" t="shared" si="16"/>
        <v>0</v>
      </c>
      <c r="N25" s="4">
        <f ca="1" t="shared" si="17"/>
        <v>0</v>
      </c>
      <c r="O25" s="1">
        <f ca="1" t="shared" si="4"/>
        <v>34</v>
      </c>
      <c r="P25" s="1">
        <f ca="1" t="shared" si="5"/>
        <v>34</v>
      </c>
      <c r="Q25" s="1">
        <f ca="1" t="shared" si="6"/>
        <v>40</v>
      </c>
      <c r="R25" s="1">
        <f ca="1" t="shared" si="7"/>
        <v>40</v>
      </c>
      <c r="S25" s="1">
        <f ca="1" t="shared" si="8"/>
        <v>0</v>
      </c>
      <c r="T25" s="1">
        <f ca="1" t="shared" si="9"/>
        <v>0</v>
      </c>
      <c r="U25" s="1">
        <f ca="1" t="shared" si="10"/>
        <v>40</v>
      </c>
      <c r="V25" s="1">
        <f>控制台!C2382</f>
        <v>8</v>
      </c>
      <c r="W25" s="1">
        <f>控制台!C2383</f>
        <v>9</v>
      </c>
      <c r="X25" s="1">
        <f t="shared" si="11"/>
        <v>1</v>
      </c>
      <c r="Y25" s="1">
        <f ca="1">X25*U25*控制台!$E$2355/控制台!$E$2356</f>
        <v>600</v>
      </c>
      <c r="Z25" s="5">
        <f ca="1" t="shared" si="12"/>
        <v>4410</v>
      </c>
    </row>
    <row r="26" spans="1:26">
      <c r="A26" s="1">
        <v>19</v>
      </c>
      <c r="B26" s="1">
        <f ca="1">控制台!H2383</f>
        <v>35.4816</v>
      </c>
      <c r="C26" s="4">
        <v>35</v>
      </c>
      <c r="D26" s="4">
        <f ca="1">_xlfn.FLOOR.MATH($B26/D$6+0.3)</f>
        <v>9</v>
      </c>
      <c r="E26" s="4">
        <f ca="1">_xlfn.FLOOR.MATH($B26/E$6+0.3)</f>
        <v>2</v>
      </c>
      <c r="F26" s="4">
        <f ca="1">_xlfn.FLOOR.MATH($B26/F$6+0.3)</f>
        <v>1</v>
      </c>
      <c r="G26" s="4">
        <f ca="1">_xlfn.FLOOR.MATH($B26/G$6+0.3)</f>
        <v>1</v>
      </c>
      <c r="H26" s="4">
        <f ca="1">_xlfn.FLOOR.MATH($B26/H$6+0.3)</f>
        <v>0</v>
      </c>
      <c r="I26" s="4">
        <f t="shared" si="3"/>
        <v>0</v>
      </c>
      <c r="J26" s="4">
        <f ca="1" t="shared" si="13"/>
        <v>0</v>
      </c>
      <c r="K26" s="4">
        <f ca="1" t="shared" si="14"/>
        <v>1</v>
      </c>
      <c r="L26" s="4">
        <f ca="1" t="shared" si="15"/>
        <v>6</v>
      </c>
      <c r="M26" s="4">
        <f ca="1" t="shared" si="16"/>
        <v>0</v>
      </c>
      <c r="N26" s="4">
        <f ca="1" t="shared" si="17"/>
        <v>0</v>
      </c>
      <c r="O26" s="1">
        <f ca="1" t="shared" si="4"/>
        <v>35</v>
      </c>
      <c r="P26" s="1">
        <f ca="1" t="shared" si="5"/>
        <v>36</v>
      </c>
      <c r="Q26" s="1">
        <f ca="1" t="shared" si="6"/>
        <v>41</v>
      </c>
      <c r="R26" s="1">
        <f ca="1" t="shared" si="7"/>
        <v>41</v>
      </c>
      <c r="S26" s="1">
        <f ca="1" t="shared" si="8"/>
        <v>50</v>
      </c>
      <c r="T26" s="1">
        <f ca="1" t="shared" si="9"/>
        <v>0</v>
      </c>
      <c r="U26" s="1">
        <f ca="1" t="shared" si="10"/>
        <v>50</v>
      </c>
      <c r="V26" s="1">
        <f>控制台!C2383</f>
        <v>9</v>
      </c>
      <c r="W26" s="1">
        <f>控制台!C2384</f>
        <v>10</v>
      </c>
      <c r="X26" s="1">
        <f t="shared" si="11"/>
        <v>1</v>
      </c>
      <c r="Y26" s="1">
        <f ca="1">X26*U26*控制台!$E$2355/控制台!$E$2356</f>
        <v>750</v>
      </c>
      <c r="Z26" s="5">
        <f ca="1" t="shared" si="12"/>
        <v>5160</v>
      </c>
    </row>
    <row r="27" spans="1:26">
      <c r="A27" s="1">
        <v>20</v>
      </c>
      <c r="B27" s="1">
        <f ca="1">控制台!H2384</f>
        <v>38.016</v>
      </c>
      <c r="C27" s="4">
        <f ca="1">_xlfn.FLOOR.MATH($B27/C$6+0.3)</f>
        <v>38</v>
      </c>
      <c r="D27" s="4">
        <f ca="1">_xlfn.FLOOR.MATH($B27/D$6+0.3)</f>
        <v>9</v>
      </c>
      <c r="E27" s="4">
        <f ca="1">_xlfn.FLOOR.MATH($B27/E$6+0.3)</f>
        <v>2</v>
      </c>
      <c r="F27" s="4">
        <f ca="1">_xlfn.FLOOR.MATH($B27/F$6+0.3)</f>
        <v>1</v>
      </c>
      <c r="G27" s="4">
        <f ca="1">_xlfn.FLOOR.MATH($B27/G$6+0.3)</f>
        <v>1</v>
      </c>
      <c r="H27" s="4">
        <f ca="1">_xlfn.FLOOR.MATH($B27/H$6+0.3)</f>
        <v>0</v>
      </c>
      <c r="I27" s="4">
        <f ca="1" t="shared" si="3"/>
        <v>0</v>
      </c>
      <c r="J27" s="4">
        <f ca="1" t="shared" si="13"/>
        <v>1</v>
      </c>
      <c r="K27" s="4">
        <f ca="1" t="shared" si="14"/>
        <v>2</v>
      </c>
      <c r="L27" s="4">
        <f ca="1" t="shared" si="15"/>
        <v>7</v>
      </c>
      <c r="M27" s="4">
        <f ca="1" t="shared" si="16"/>
        <v>1</v>
      </c>
      <c r="N27" s="4">
        <f ca="1" t="shared" si="17"/>
        <v>0</v>
      </c>
      <c r="O27" s="1">
        <f ca="1" t="shared" si="4"/>
        <v>38</v>
      </c>
      <c r="P27" s="1">
        <f ca="1" t="shared" si="5"/>
        <v>37</v>
      </c>
      <c r="Q27" s="1">
        <f ca="1" t="shared" si="6"/>
        <v>42</v>
      </c>
      <c r="R27" s="1">
        <f ca="1" t="shared" si="7"/>
        <v>42</v>
      </c>
      <c r="S27" s="1">
        <f ca="1" t="shared" si="8"/>
        <v>51</v>
      </c>
      <c r="T27" s="1">
        <f ca="1" t="shared" si="9"/>
        <v>0</v>
      </c>
      <c r="U27" s="1">
        <f ca="1" t="shared" si="10"/>
        <v>51</v>
      </c>
      <c r="V27" s="1">
        <f>控制台!C2384</f>
        <v>10</v>
      </c>
      <c r="W27" s="1">
        <f>控制台!C2385</f>
        <v>13</v>
      </c>
      <c r="X27" s="1">
        <f t="shared" si="11"/>
        <v>3</v>
      </c>
      <c r="Y27" s="1">
        <f ca="1">X27*U27*控制台!$E$2355/控制台!$E$2356</f>
        <v>2295</v>
      </c>
      <c r="Z27" s="5">
        <f ca="1" t="shared" si="12"/>
        <v>7455</v>
      </c>
    </row>
    <row r="28" spans="1:26">
      <c r="A28" s="1">
        <v>21</v>
      </c>
      <c r="B28" s="1">
        <f ca="1">控制台!H2385</f>
        <v>40.5504</v>
      </c>
      <c r="C28" s="4">
        <f ca="1">_xlfn.FLOOR.MATH($B28/C$6+0.3)</f>
        <v>40</v>
      </c>
      <c r="D28" s="4">
        <f ca="1">_xlfn.FLOOR.MATH($B28/D$6+0.3)</f>
        <v>10</v>
      </c>
      <c r="E28" s="4">
        <f ca="1">_xlfn.FLOOR.MATH($B28/E$6+0.3)</f>
        <v>2</v>
      </c>
      <c r="F28" s="4">
        <f ca="1">_xlfn.FLOOR.MATH($B28/F$6+0.3)</f>
        <v>1</v>
      </c>
      <c r="G28" s="4">
        <f ca="1">_xlfn.FLOOR.MATH($B28/G$6+0.3)</f>
        <v>1</v>
      </c>
      <c r="H28" s="4">
        <f ca="1">_xlfn.FLOOR.MATH($B28/H$6+0.3)</f>
        <v>0</v>
      </c>
      <c r="I28" s="4">
        <f ca="1" t="shared" si="3"/>
        <v>0</v>
      </c>
      <c r="J28" s="4">
        <f ca="1" t="shared" si="13"/>
        <v>0</v>
      </c>
      <c r="K28" s="4">
        <f ca="1" t="shared" si="14"/>
        <v>3</v>
      </c>
      <c r="L28" s="4">
        <f ca="1" t="shared" si="15"/>
        <v>8</v>
      </c>
      <c r="M28" s="4">
        <f ca="1" t="shared" si="16"/>
        <v>2</v>
      </c>
      <c r="N28" s="4">
        <f ca="1" t="shared" si="17"/>
        <v>0</v>
      </c>
      <c r="O28" s="1">
        <f ca="1" t="shared" si="4"/>
        <v>40</v>
      </c>
      <c r="P28" s="1">
        <f ca="1" t="shared" si="5"/>
        <v>40</v>
      </c>
      <c r="Q28" s="1">
        <f ca="1" t="shared" si="6"/>
        <v>43</v>
      </c>
      <c r="R28" s="1">
        <f ca="1" t="shared" si="7"/>
        <v>43</v>
      </c>
      <c r="S28" s="1">
        <f ca="1" t="shared" si="8"/>
        <v>52</v>
      </c>
      <c r="T28" s="1">
        <f ca="1" t="shared" si="9"/>
        <v>0</v>
      </c>
      <c r="U28" s="1">
        <f ca="1" t="shared" si="10"/>
        <v>52</v>
      </c>
      <c r="V28" s="1">
        <f>控制台!C2385</f>
        <v>13</v>
      </c>
      <c r="W28" s="1">
        <f>控制台!C2386</f>
        <v>16</v>
      </c>
      <c r="X28" s="1">
        <f t="shared" si="11"/>
        <v>3</v>
      </c>
      <c r="Y28" s="1">
        <f ca="1">X28*U28*控制台!$E$2355/控制台!$E$2356</f>
        <v>2340</v>
      </c>
      <c r="Z28" s="5">
        <f ca="1" t="shared" si="12"/>
        <v>9795</v>
      </c>
    </row>
    <row r="29" spans="1:26">
      <c r="A29" s="1">
        <v>22</v>
      </c>
      <c r="B29" s="1">
        <f ca="1">控制台!H2386</f>
        <v>43.0848</v>
      </c>
      <c r="C29" s="4">
        <f ca="1">_xlfn.FLOOR.MATH($B29/C$6+0.3)</f>
        <v>43</v>
      </c>
      <c r="D29" s="4">
        <f ca="1">_xlfn.FLOOR.MATH($B29/D$6+0.3)</f>
        <v>11</v>
      </c>
      <c r="E29" s="4">
        <f ca="1">_xlfn.FLOOR.MATH($B29/E$6+0.3)</f>
        <v>2</v>
      </c>
      <c r="F29" s="4">
        <f ca="1">_xlfn.FLOOR.MATH($B29/F$6+0.3)</f>
        <v>1</v>
      </c>
      <c r="G29" s="4">
        <f ca="1">_xlfn.FLOOR.MATH($B29/G$6+0.3)</f>
        <v>1</v>
      </c>
      <c r="H29" s="4">
        <f ca="1">_xlfn.FLOOR.MATH($B29/H$6+0.3)</f>
        <v>0</v>
      </c>
      <c r="I29" s="4">
        <f ca="1" t="shared" si="3"/>
        <v>0</v>
      </c>
      <c r="J29" s="4">
        <f ca="1" t="shared" si="13"/>
        <v>0</v>
      </c>
      <c r="K29" s="4">
        <f ca="1" t="shared" si="14"/>
        <v>4</v>
      </c>
      <c r="L29" s="4">
        <f ca="1" t="shared" si="15"/>
        <v>9</v>
      </c>
      <c r="M29" s="4">
        <f ca="1" t="shared" si="16"/>
        <v>3</v>
      </c>
      <c r="N29" s="4">
        <f ca="1" t="shared" si="17"/>
        <v>0</v>
      </c>
      <c r="O29" s="1">
        <f ca="1" t="shared" si="4"/>
        <v>43</v>
      </c>
      <c r="P29" s="1">
        <f ca="1" t="shared" si="5"/>
        <v>44</v>
      </c>
      <c r="Q29" s="1">
        <f ca="1" t="shared" si="6"/>
        <v>44</v>
      </c>
      <c r="R29" s="1">
        <f ca="1" t="shared" si="7"/>
        <v>44</v>
      </c>
      <c r="S29" s="1">
        <f ca="1" t="shared" si="8"/>
        <v>53</v>
      </c>
      <c r="T29" s="1">
        <f ca="1" t="shared" si="9"/>
        <v>0</v>
      </c>
      <c r="U29" s="1">
        <f ca="1" t="shared" si="10"/>
        <v>53</v>
      </c>
      <c r="V29" s="1">
        <f>控制台!C2386</f>
        <v>16</v>
      </c>
      <c r="W29" s="1">
        <f>控制台!C2387</f>
        <v>19</v>
      </c>
      <c r="X29" s="1">
        <f t="shared" si="11"/>
        <v>3</v>
      </c>
      <c r="Y29" s="1">
        <f ca="1">X29*U29*控制台!$E$2355/控制台!$E$2356</f>
        <v>2385</v>
      </c>
      <c r="Z29" s="5">
        <f ca="1" t="shared" si="12"/>
        <v>12180</v>
      </c>
    </row>
    <row r="30" spans="1:26">
      <c r="A30" s="1">
        <v>23</v>
      </c>
      <c r="B30" s="1">
        <f ca="1">控制台!H2387</f>
        <v>45.6192</v>
      </c>
      <c r="C30" s="4">
        <f ca="1">_xlfn.FLOOR.MATH($B30/C$6+0.3)</f>
        <v>45</v>
      </c>
      <c r="D30" s="4">
        <f ca="1">_xlfn.FLOOR.MATH($B30/D$6+0.3)</f>
        <v>11</v>
      </c>
      <c r="E30" s="4">
        <f ca="1">_xlfn.FLOOR.MATH($B30/E$6+0.3)</f>
        <v>2</v>
      </c>
      <c r="F30" s="4">
        <f ca="1">_xlfn.FLOOR.MATH($B30/F$6+0.3)</f>
        <v>1</v>
      </c>
      <c r="G30" s="4">
        <f ca="1">_xlfn.FLOOR.MATH($B30/G$6+0.3)</f>
        <v>1</v>
      </c>
      <c r="H30" s="4">
        <f ca="1">_xlfn.FLOOR.MATH($B30/H$6+0.3)</f>
        <v>0</v>
      </c>
      <c r="I30" s="4">
        <f ca="1" t="shared" si="3"/>
        <v>0</v>
      </c>
      <c r="J30" s="4">
        <f ca="1" t="shared" si="13"/>
        <v>1</v>
      </c>
      <c r="K30" s="4">
        <f ca="1" t="shared" si="14"/>
        <v>5</v>
      </c>
      <c r="L30" s="4">
        <f ca="1" t="shared" si="15"/>
        <v>10</v>
      </c>
      <c r="M30" s="4">
        <f ca="1" t="shared" si="16"/>
        <v>4</v>
      </c>
      <c r="N30" s="4">
        <f ca="1" t="shared" si="17"/>
        <v>0</v>
      </c>
      <c r="O30" s="1">
        <f ca="1" t="shared" si="4"/>
        <v>45</v>
      </c>
      <c r="P30" s="1">
        <f ca="1" t="shared" si="5"/>
        <v>45</v>
      </c>
      <c r="Q30" s="1">
        <f ca="1" t="shared" si="6"/>
        <v>45</v>
      </c>
      <c r="R30" s="1">
        <f ca="1" t="shared" si="7"/>
        <v>45</v>
      </c>
      <c r="S30" s="1">
        <f ca="1" t="shared" si="8"/>
        <v>54</v>
      </c>
      <c r="T30" s="1">
        <f ca="1" t="shared" si="9"/>
        <v>0</v>
      </c>
      <c r="U30" s="1">
        <f ca="1" t="shared" si="10"/>
        <v>54</v>
      </c>
      <c r="V30" s="1">
        <f>控制台!C2387</f>
        <v>19</v>
      </c>
      <c r="W30" s="1">
        <f>控制台!C2388</f>
        <v>22</v>
      </c>
      <c r="X30" s="1">
        <f t="shared" si="11"/>
        <v>3</v>
      </c>
      <c r="Y30" s="1">
        <f ca="1">X30*U30*控制台!$E$2355/控制台!$E$2356</f>
        <v>2430</v>
      </c>
      <c r="Z30" s="5">
        <f ca="1" t="shared" si="12"/>
        <v>14610</v>
      </c>
    </row>
    <row r="31" spans="1:26">
      <c r="A31" s="1">
        <v>24</v>
      </c>
      <c r="B31" s="1">
        <f ca="1">控制台!H2388</f>
        <v>59.0976</v>
      </c>
      <c r="C31" s="4">
        <f ca="1">_xlfn.FLOOR.MATH($B31/C$6+0.3)</f>
        <v>59</v>
      </c>
      <c r="D31" s="4">
        <f ca="1">_xlfn.FLOOR.MATH($B31/D$6+0.3)</f>
        <v>15</v>
      </c>
      <c r="E31" s="4">
        <f ca="1">_xlfn.FLOOR.MATH($B31/E$6+0.3)</f>
        <v>3</v>
      </c>
      <c r="F31" s="4">
        <f ca="1">_xlfn.FLOOR.MATH($B31/F$6+0.3)</f>
        <v>1</v>
      </c>
      <c r="G31" s="4">
        <f ca="1">_xlfn.FLOOR.MATH($B31/G$6+0.3)</f>
        <v>1</v>
      </c>
      <c r="H31" s="4">
        <f ca="1">_xlfn.FLOOR.MATH($B31/H$6+0.3)</f>
        <v>0</v>
      </c>
      <c r="I31" s="4">
        <f ca="1" t="shared" si="3"/>
        <v>0</v>
      </c>
      <c r="J31" s="4">
        <f ca="1" t="shared" si="13"/>
        <v>0</v>
      </c>
      <c r="K31" s="4">
        <f ca="1" t="shared" si="14"/>
        <v>0</v>
      </c>
      <c r="L31" s="4">
        <f ca="1" t="shared" si="15"/>
        <v>11</v>
      </c>
      <c r="M31" s="4">
        <f ca="1" t="shared" si="16"/>
        <v>5</v>
      </c>
      <c r="N31" s="4">
        <f ca="1" t="shared" si="17"/>
        <v>0</v>
      </c>
      <c r="O31" s="1">
        <f ca="1" t="shared" si="4"/>
        <v>59</v>
      </c>
      <c r="P31" s="1">
        <f ca="1" t="shared" si="5"/>
        <v>60</v>
      </c>
      <c r="Q31" s="1">
        <f ca="1" t="shared" si="6"/>
        <v>60</v>
      </c>
      <c r="R31" s="1">
        <f ca="1" t="shared" si="7"/>
        <v>46</v>
      </c>
      <c r="S31" s="1">
        <f ca="1" t="shared" si="8"/>
        <v>55</v>
      </c>
      <c r="T31" s="1">
        <f ca="1" t="shared" si="9"/>
        <v>0</v>
      </c>
      <c r="U31" s="1">
        <f ca="1" t="shared" si="10"/>
        <v>60</v>
      </c>
      <c r="V31" s="1">
        <f>控制台!C2388</f>
        <v>22</v>
      </c>
      <c r="W31" s="1">
        <f>控制台!C2389</f>
        <v>25</v>
      </c>
      <c r="X31" s="1">
        <f t="shared" si="11"/>
        <v>3</v>
      </c>
      <c r="Y31" s="1">
        <f ca="1">X31*U31*控制台!$E$2355/控制台!$E$2356</f>
        <v>2700</v>
      </c>
      <c r="Z31" s="5">
        <f ca="1" t="shared" si="12"/>
        <v>17310</v>
      </c>
    </row>
    <row r="32" spans="1:26">
      <c r="A32" s="1">
        <v>25</v>
      </c>
      <c r="B32" s="1">
        <f ca="1">控制台!H2389</f>
        <v>62.208</v>
      </c>
      <c r="C32" s="4">
        <f ca="1">_xlfn.FLOOR.MATH($B32/C$6+0.3)</f>
        <v>62</v>
      </c>
      <c r="D32" s="4">
        <f ca="1">_xlfn.FLOOR.MATH($B32/D$6+0.3)</f>
        <v>15</v>
      </c>
      <c r="E32" s="4">
        <f ca="1">_xlfn.FLOOR.MATH($B32/E$6+0.3)</f>
        <v>3</v>
      </c>
      <c r="F32" s="4">
        <f ca="1">_xlfn.FLOOR.MATH($B32/F$6+0.3)</f>
        <v>2</v>
      </c>
      <c r="G32" s="4">
        <f ca="1">_xlfn.FLOOR.MATH($B32/G$6+0.3)</f>
        <v>1</v>
      </c>
      <c r="H32" s="4">
        <f ca="1">_xlfn.FLOOR.MATH($B32/H$6+0.3)</f>
        <v>0</v>
      </c>
      <c r="I32" s="4">
        <f ca="1" t="shared" si="3"/>
        <v>0</v>
      </c>
      <c r="J32" s="4">
        <f ca="1" t="shared" si="13"/>
        <v>1</v>
      </c>
      <c r="K32" s="4">
        <f ca="1" t="shared" si="14"/>
        <v>1</v>
      </c>
      <c r="L32" s="4">
        <f ca="1" t="shared" si="15"/>
        <v>0</v>
      </c>
      <c r="M32" s="4">
        <f ca="1" t="shared" si="16"/>
        <v>6</v>
      </c>
      <c r="N32" s="4">
        <f ca="1" t="shared" si="17"/>
        <v>0</v>
      </c>
      <c r="O32" s="1">
        <f ca="1" t="shared" si="4"/>
        <v>62</v>
      </c>
      <c r="P32" s="1">
        <f ca="1" t="shared" si="5"/>
        <v>61</v>
      </c>
      <c r="Q32" s="1">
        <f ca="1" t="shared" si="6"/>
        <v>61</v>
      </c>
      <c r="R32" s="1">
        <f ca="1" t="shared" si="7"/>
        <v>70</v>
      </c>
      <c r="S32" s="1">
        <f ca="1" t="shared" si="8"/>
        <v>56</v>
      </c>
      <c r="T32" s="1">
        <f ca="1" t="shared" si="9"/>
        <v>0</v>
      </c>
      <c r="U32" s="1">
        <f ca="1" t="shared" si="10"/>
        <v>70</v>
      </c>
      <c r="V32" s="1">
        <f>控制台!C2389</f>
        <v>25</v>
      </c>
      <c r="W32" s="1">
        <f>控制台!C2390</f>
        <v>35</v>
      </c>
      <c r="X32" s="1">
        <f t="shared" si="11"/>
        <v>10</v>
      </c>
      <c r="Y32" s="1">
        <f ca="1">X32*U32*控制台!$E$2355/控制台!$E$2356</f>
        <v>10500</v>
      </c>
      <c r="Z32" s="5">
        <f ca="1" t="shared" si="12"/>
        <v>27810</v>
      </c>
    </row>
    <row r="33" spans="1:26">
      <c r="A33" s="1">
        <v>26</v>
      </c>
      <c r="B33" s="1">
        <f ca="1">控制台!H2390</f>
        <v>83.8656</v>
      </c>
      <c r="C33" s="4">
        <f ca="1">_xlfn.FLOOR.MATH($B33/C$6+0.3)</f>
        <v>84</v>
      </c>
      <c r="D33" s="4">
        <f ca="1">_xlfn.FLOOR.MATH($B33/D$6+0.3)</f>
        <v>21</v>
      </c>
      <c r="E33" s="4">
        <f ca="1">_xlfn.FLOOR.MATH($B33/E$6+0.3)</f>
        <v>4</v>
      </c>
      <c r="F33" s="4">
        <f ca="1">_xlfn.FLOOR.MATH($B33/F$6+0.3)</f>
        <v>2</v>
      </c>
      <c r="G33" s="4">
        <f ca="1">_xlfn.FLOOR.MATH($B33/G$6+0.3)</f>
        <v>1</v>
      </c>
      <c r="H33" s="4">
        <f ca="1">_xlfn.FLOOR.MATH($B33/H$6+0.3)</f>
        <v>1</v>
      </c>
      <c r="I33" s="4">
        <f ca="1" t="shared" si="3"/>
        <v>0</v>
      </c>
      <c r="J33" s="4">
        <f ca="1" t="shared" si="13"/>
        <v>0</v>
      </c>
      <c r="K33" s="4">
        <f ca="1" t="shared" si="14"/>
        <v>0</v>
      </c>
      <c r="L33" s="4">
        <f ca="1" t="shared" si="15"/>
        <v>1</v>
      </c>
      <c r="M33" s="4">
        <f ca="1" t="shared" si="16"/>
        <v>7</v>
      </c>
      <c r="N33" s="4">
        <f ca="1" t="shared" si="17"/>
        <v>0</v>
      </c>
      <c r="O33" s="1">
        <f ca="1" t="shared" si="4"/>
        <v>84</v>
      </c>
      <c r="P33" s="1">
        <f ca="1" t="shared" si="5"/>
        <v>84</v>
      </c>
      <c r="Q33" s="1">
        <f ca="1" t="shared" si="6"/>
        <v>80</v>
      </c>
      <c r="R33" s="1">
        <f ca="1" t="shared" si="7"/>
        <v>71</v>
      </c>
      <c r="S33" s="1">
        <f ca="1" t="shared" si="8"/>
        <v>57</v>
      </c>
      <c r="T33" s="1">
        <f ca="1" t="shared" si="9"/>
        <v>110</v>
      </c>
      <c r="U33" s="1">
        <f ca="1" t="shared" si="10"/>
        <v>110</v>
      </c>
      <c r="V33" s="1">
        <f>控制台!C2390</f>
        <v>35</v>
      </c>
      <c r="W33" s="1">
        <f>控制台!C2391</f>
        <v>40</v>
      </c>
      <c r="X33" s="1">
        <f t="shared" si="11"/>
        <v>5</v>
      </c>
      <c r="Y33" s="1">
        <f ca="1">X33*U33*控制台!$E$2355/控制台!$E$2356</f>
        <v>8250</v>
      </c>
      <c r="Z33" s="5">
        <f ca="1" t="shared" si="12"/>
        <v>36060</v>
      </c>
    </row>
    <row r="34" spans="1:26">
      <c r="A34" s="1">
        <v>27</v>
      </c>
      <c r="B34" s="1">
        <f ca="1">控制台!H2391</f>
        <v>87.0912</v>
      </c>
      <c r="C34" s="4">
        <f ca="1">_xlfn.FLOOR.MATH($B34/C$6+0.3)</f>
        <v>87</v>
      </c>
      <c r="D34" s="4">
        <f ca="1">_xlfn.FLOOR.MATH($B34/D$6+0.3)</f>
        <v>22</v>
      </c>
      <c r="E34" s="4">
        <f ca="1">_xlfn.FLOOR.MATH($B34/E$6+0.3)</f>
        <v>4</v>
      </c>
      <c r="F34" s="4">
        <f ca="1">_xlfn.FLOOR.MATH($B34/F$6+0.3)</f>
        <v>2</v>
      </c>
      <c r="G34" s="4">
        <f ca="1">_xlfn.FLOOR.MATH($B34/G$6+0.3)</f>
        <v>2</v>
      </c>
      <c r="H34" s="4">
        <f ca="1">_xlfn.FLOOR.MATH($B34/H$6+0.3)</f>
        <v>1</v>
      </c>
      <c r="I34" s="4">
        <f ca="1" t="shared" si="3"/>
        <v>0</v>
      </c>
      <c r="J34" s="4">
        <f ca="1" t="shared" si="13"/>
        <v>0</v>
      </c>
      <c r="K34" s="4">
        <f ca="1" t="shared" si="14"/>
        <v>1</v>
      </c>
      <c r="L34" s="4">
        <f ca="1" t="shared" si="15"/>
        <v>2</v>
      </c>
      <c r="M34" s="4">
        <f ca="1" t="shared" si="16"/>
        <v>0</v>
      </c>
      <c r="N34" s="4">
        <f ca="1" t="shared" si="17"/>
        <v>1</v>
      </c>
      <c r="O34" s="1">
        <f ca="1" t="shared" si="4"/>
        <v>87</v>
      </c>
      <c r="P34" s="1">
        <f ca="1" t="shared" si="5"/>
        <v>88</v>
      </c>
      <c r="Q34" s="1">
        <f ca="1" t="shared" si="6"/>
        <v>81</v>
      </c>
      <c r="R34" s="1">
        <f ca="1" t="shared" si="7"/>
        <v>72</v>
      </c>
      <c r="S34" s="1">
        <f ca="1" t="shared" si="8"/>
        <v>100</v>
      </c>
      <c r="T34" s="1">
        <f ca="1" t="shared" si="9"/>
        <v>111</v>
      </c>
      <c r="U34" s="1">
        <f ca="1" t="shared" si="10"/>
        <v>111</v>
      </c>
      <c r="V34" s="1">
        <f>控制台!C2391</f>
        <v>40</v>
      </c>
      <c r="W34" s="1">
        <f>控制台!C2392</f>
        <v>45</v>
      </c>
      <c r="X34" s="1">
        <f t="shared" si="11"/>
        <v>5</v>
      </c>
      <c r="Y34" s="1">
        <f ca="1">X34*U34*控制台!$E$2355/控制台!$E$2356</f>
        <v>8325</v>
      </c>
      <c r="Z34" s="5">
        <f ca="1" t="shared" si="12"/>
        <v>44385</v>
      </c>
    </row>
    <row r="35" spans="1:26">
      <c r="A35" s="1">
        <v>28</v>
      </c>
      <c r="B35" s="1">
        <f ca="1">控制台!H2392</f>
        <v>90.3168</v>
      </c>
      <c r="C35" s="4">
        <f ca="1">_xlfn.FLOOR.MATH($B35/C$6+0.3)</f>
        <v>90</v>
      </c>
      <c r="D35" s="4">
        <f ca="1">_xlfn.FLOOR.MATH($B35/D$6+0.3)</f>
        <v>22</v>
      </c>
      <c r="E35" s="4">
        <f ca="1">_xlfn.FLOOR.MATH($B35/E$6+0.3)</f>
        <v>4</v>
      </c>
      <c r="F35" s="4">
        <f ca="1">_xlfn.FLOOR.MATH($B35/F$6+0.3)</f>
        <v>2</v>
      </c>
      <c r="G35" s="4">
        <f ca="1">_xlfn.FLOOR.MATH($B35/G$6+0.3)</f>
        <v>2</v>
      </c>
      <c r="H35" s="4">
        <f ca="1">_xlfn.FLOOR.MATH($B35/H$6+0.3)</f>
        <v>1</v>
      </c>
      <c r="I35" s="4">
        <f ca="1" t="shared" si="3"/>
        <v>0</v>
      </c>
      <c r="J35" s="4">
        <f ca="1" t="shared" si="13"/>
        <v>1</v>
      </c>
      <c r="K35" s="4">
        <f ca="1" t="shared" si="14"/>
        <v>2</v>
      </c>
      <c r="L35" s="4">
        <f ca="1" t="shared" si="15"/>
        <v>3</v>
      </c>
      <c r="M35" s="4">
        <f ca="1" t="shared" si="16"/>
        <v>1</v>
      </c>
      <c r="N35" s="4">
        <f ca="1" t="shared" si="17"/>
        <v>2</v>
      </c>
      <c r="O35" s="1">
        <f ca="1" t="shared" si="4"/>
        <v>90</v>
      </c>
      <c r="P35" s="1">
        <f ca="1" t="shared" si="5"/>
        <v>89</v>
      </c>
      <c r="Q35" s="1">
        <f ca="1" t="shared" si="6"/>
        <v>82</v>
      </c>
      <c r="R35" s="1">
        <f ca="1" t="shared" si="7"/>
        <v>73</v>
      </c>
      <c r="S35" s="1">
        <f ca="1" t="shared" si="8"/>
        <v>101</v>
      </c>
      <c r="T35" s="1">
        <f ca="1" t="shared" si="9"/>
        <v>112</v>
      </c>
      <c r="U35" s="1">
        <f ca="1" t="shared" si="10"/>
        <v>112</v>
      </c>
      <c r="V35" s="1">
        <f>控制台!C2392</f>
        <v>45</v>
      </c>
      <c r="W35" s="1">
        <f>控制台!C2393</f>
        <v>50</v>
      </c>
      <c r="X35" s="1">
        <f t="shared" si="11"/>
        <v>5</v>
      </c>
      <c r="Y35" s="1">
        <f ca="1">X35*U35*控制台!$E$2355/控制台!$E$2356</f>
        <v>8400</v>
      </c>
      <c r="Z35" s="5">
        <f ca="1" t="shared" si="12"/>
        <v>52785</v>
      </c>
    </row>
    <row r="36" spans="1:26">
      <c r="A36" s="1">
        <v>29</v>
      </c>
      <c r="B36" s="1">
        <f ca="1">控制台!H2393</f>
        <v>93.5424</v>
      </c>
      <c r="C36" s="4">
        <f ca="1">_xlfn.FLOOR.MATH($B36/C$6+0.3)</f>
        <v>93</v>
      </c>
      <c r="D36" s="4">
        <f ca="1">_xlfn.FLOOR.MATH($B36/D$6+0.3)</f>
        <v>23</v>
      </c>
      <c r="E36" s="4">
        <f ca="1">_xlfn.FLOOR.MATH($B36/E$6+0.3)</f>
        <v>4</v>
      </c>
      <c r="F36" s="4">
        <f ca="1">_xlfn.FLOOR.MATH($B36/F$6+0.3)</f>
        <v>2</v>
      </c>
      <c r="G36" s="4">
        <f ca="1">_xlfn.FLOOR.MATH($B36/G$6+0.3)</f>
        <v>2</v>
      </c>
      <c r="H36" s="4">
        <f ca="1">_xlfn.FLOOR.MATH($B36/H$6+0.3)</f>
        <v>1</v>
      </c>
      <c r="I36" s="4">
        <f ca="1" t="shared" si="3"/>
        <v>0</v>
      </c>
      <c r="J36" s="4">
        <f ca="1" t="shared" si="13"/>
        <v>0</v>
      </c>
      <c r="K36" s="4">
        <f ca="1" t="shared" si="14"/>
        <v>3</v>
      </c>
      <c r="L36" s="4">
        <f ca="1" t="shared" si="15"/>
        <v>4</v>
      </c>
      <c r="M36" s="4">
        <f ca="1" t="shared" si="16"/>
        <v>2</v>
      </c>
      <c r="N36" s="4">
        <f ca="1" t="shared" si="17"/>
        <v>3</v>
      </c>
      <c r="O36" s="1">
        <f ca="1" t="shared" si="4"/>
        <v>93</v>
      </c>
      <c r="P36" s="1">
        <f ca="1" t="shared" si="5"/>
        <v>92</v>
      </c>
      <c r="Q36" s="1">
        <f ca="1" t="shared" si="6"/>
        <v>83</v>
      </c>
      <c r="R36" s="1">
        <f ca="1" t="shared" si="7"/>
        <v>74</v>
      </c>
      <c r="S36" s="1">
        <f ca="1" t="shared" si="8"/>
        <v>102</v>
      </c>
      <c r="T36" s="1">
        <f ca="1" t="shared" si="9"/>
        <v>113</v>
      </c>
      <c r="U36" s="1">
        <f ca="1" t="shared" si="10"/>
        <v>113</v>
      </c>
      <c r="V36" s="1">
        <f>控制台!C2393</f>
        <v>50</v>
      </c>
      <c r="W36" s="1">
        <f>控制台!C2394</f>
        <v>55</v>
      </c>
      <c r="X36" s="1">
        <f t="shared" si="11"/>
        <v>5</v>
      </c>
      <c r="Y36" s="1">
        <f ca="1">X36*U36*控制台!$E$2355/控制台!$E$2356</f>
        <v>8475</v>
      </c>
      <c r="Z36" s="5">
        <f ca="1" t="shared" si="12"/>
        <v>61260</v>
      </c>
    </row>
    <row r="37" spans="1:26">
      <c r="A37" s="1">
        <v>30</v>
      </c>
      <c r="B37" s="1">
        <f ca="1">控制台!H2394</f>
        <v>96.768</v>
      </c>
      <c r="C37" s="4">
        <f ca="1">_xlfn.FLOOR.MATH($B37/C$6+0.3)</f>
        <v>97</v>
      </c>
      <c r="D37" s="4">
        <f ca="1">_xlfn.FLOOR.MATH($B37/D$6+0.3)</f>
        <v>24</v>
      </c>
      <c r="E37" s="4">
        <f ca="1">_xlfn.FLOOR.MATH($B37/E$6+0.3)</f>
        <v>5</v>
      </c>
      <c r="F37" s="4">
        <f ca="1">_xlfn.FLOOR.MATH($B37/F$6+0.3)</f>
        <v>3</v>
      </c>
      <c r="G37" s="4">
        <f ca="1">_xlfn.FLOOR.MATH($B37/G$6+0.3)</f>
        <v>2</v>
      </c>
      <c r="H37" s="4">
        <f ca="1">_xlfn.FLOOR.MATH($B37/H$6+0.3)</f>
        <v>1</v>
      </c>
      <c r="I37" s="4">
        <f ca="1" t="shared" si="3"/>
        <v>0</v>
      </c>
      <c r="J37" s="4">
        <f ca="1" t="shared" si="13"/>
        <v>0</v>
      </c>
      <c r="K37" s="4">
        <f ca="1" t="shared" si="14"/>
        <v>0</v>
      </c>
      <c r="L37" s="4">
        <f ca="1" t="shared" si="15"/>
        <v>0</v>
      </c>
      <c r="M37" s="4">
        <f ca="1" t="shared" si="16"/>
        <v>3</v>
      </c>
      <c r="N37" s="4">
        <f ca="1" t="shared" si="17"/>
        <v>4</v>
      </c>
      <c r="O37" s="1">
        <f ca="1" t="shared" si="4"/>
        <v>97</v>
      </c>
      <c r="P37" s="1">
        <f ca="1" t="shared" si="5"/>
        <v>96</v>
      </c>
      <c r="Q37" s="1">
        <f ca="1" t="shared" si="6"/>
        <v>100</v>
      </c>
      <c r="R37" s="1">
        <f ca="1" t="shared" si="7"/>
        <v>105</v>
      </c>
      <c r="S37" s="1">
        <f ca="1" t="shared" si="8"/>
        <v>103</v>
      </c>
      <c r="T37" s="1">
        <f ca="1" t="shared" si="9"/>
        <v>114</v>
      </c>
      <c r="U37" s="1">
        <f ca="1" t="shared" si="10"/>
        <v>114</v>
      </c>
      <c r="V37" s="1">
        <f>控制台!C2394</f>
        <v>55</v>
      </c>
      <c r="W37" s="1">
        <f>控制台!C2395</f>
        <v>65</v>
      </c>
      <c r="X37" s="1">
        <f t="shared" si="11"/>
        <v>10</v>
      </c>
      <c r="Y37" s="1">
        <f ca="1">X37*U37*控制台!$E$2355/控制台!$E$2356</f>
        <v>17100</v>
      </c>
      <c r="Z37" s="5">
        <f ca="1" t="shared" si="12"/>
        <v>78360</v>
      </c>
    </row>
    <row r="38" spans="1:26">
      <c r="A38" s="1">
        <v>31</v>
      </c>
      <c r="B38" s="1">
        <f ca="1">控制台!H2395</f>
        <v>116.1216</v>
      </c>
      <c r="C38" s="4">
        <f ca="1">_xlfn.FLOOR.MATH($B38/C$6+0.3)</f>
        <v>116</v>
      </c>
      <c r="D38" s="4">
        <f ca="1">_xlfn.FLOOR.MATH($B38/D$6+0.3)</f>
        <v>29</v>
      </c>
      <c r="E38" s="4">
        <f ca="1">_xlfn.FLOOR.MATH($B38/E$6+0.3)</f>
        <v>6</v>
      </c>
      <c r="F38" s="4">
        <f ca="1">_xlfn.FLOOR.MATH($B38/F$6+0.3)</f>
        <v>3</v>
      </c>
      <c r="G38" s="4">
        <f ca="1">_xlfn.FLOOR.MATH($B38/G$6+0.3)</f>
        <v>2</v>
      </c>
      <c r="H38" s="4">
        <f ca="1">_xlfn.FLOOR.MATH($B38/H$6+0.3)</f>
        <v>1</v>
      </c>
      <c r="I38" s="4">
        <f ca="1" t="shared" si="3"/>
        <v>0</v>
      </c>
      <c r="J38" s="4">
        <f ca="1" t="shared" si="13"/>
        <v>0</v>
      </c>
      <c r="K38" s="4">
        <f ca="1" t="shared" si="14"/>
        <v>0</v>
      </c>
      <c r="L38" s="4">
        <f ca="1" t="shared" si="15"/>
        <v>1</v>
      </c>
      <c r="M38" s="4">
        <f ca="1" t="shared" si="16"/>
        <v>4</v>
      </c>
      <c r="N38" s="4">
        <f ca="1" t="shared" si="17"/>
        <v>5</v>
      </c>
      <c r="O38" s="1">
        <f ca="1" t="shared" si="4"/>
        <v>116</v>
      </c>
      <c r="P38" s="1">
        <f ca="1" t="shared" si="5"/>
        <v>116</v>
      </c>
      <c r="Q38" s="1">
        <f ca="1" t="shared" si="6"/>
        <v>120</v>
      </c>
      <c r="R38" s="1">
        <f ca="1" t="shared" si="7"/>
        <v>106</v>
      </c>
      <c r="S38" s="1">
        <f ca="1" t="shared" si="8"/>
        <v>104</v>
      </c>
      <c r="T38" s="1">
        <f ca="1" t="shared" si="9"/>
        <v>115</v>
      </c>
      <c r="U38" s="1">
        <f ca="1" t="shared" si="10"/>
        <v>120</v>
      </c>
      <c r="V38" s="1">
        <f>控制台!C2395</f>
        <v>65</v>
      </c>
      <c r="W38" s="1">
        <f>控制台!C2396</f>
        <v>70</v>
      </c>
      <c r="X38" s="1">
        <f t="shared" si="11"/>
        <v>5</v>
      </c>
      <c r="Y38" s="1">
        <f ca="1">X38*U38*控制台!$E$2355/控制台!$E$2356</f>
        <v>9000</v>
      </c>
      <c r="Z38" s="5">
        <f ca="1" t="shared" si="12"/>
        <v>87360</v>
      </c>
    </row>
    <row r="39" spans="1:26">
      <c r="A39" s="1">
        <v>32</v>
      </c>
      <c r="B39" s="1">
        <f ca="1">控制台!H2396</f>
        <v>119.3472</v>
      </c>
      <c r="C39" s="4">
        <f ca="1">_xlfn.FLOOR.MATH($B39/C$6+0.3)</f>
        <v>119</v>
      </c>
      <c r="D39" s="4">
        <f ca="1">_xlfn.FLOOR.MATH($B39/D$6+0.3)</f>
        <v>30</v>
      </c>
      <c r="E39" s="4">
        <f ca="1">_xlfn.FLOOR.MATH($B39/E$6+0.3)</f>
        <v>6</v>
      </c>
      <c r="F39" s="4">
        <f ca="1">_xlfn.FLOOR.MATH($B39/F$6+0.3)</f>
        <v>3</v>
      </c>
      <c r="G39" s="4">
        <f ca="1">_xlfn.FLOOR.MATH($B39/G$6+0.3)</f>
        <v>2</v>
      </c>
      <c r="H39" s="4">
        <f ca="1">_xlfn.FLOOR.MATH($B39/H$6+0.3)</f>
        <v>1</v>
      </c>
      <c r="I39" s="4">
        <f ca="1" t="shared" si="3"/>
        <v>0</v>
      </c>
      <c r="J39" s="4">
        <f ca="1" t="shared" si="13"/>
        <v>0</v>
      </c>
      <c r="K39" s="4">
        <f ca="1" t="shared" si="14"/>
        <v>1</v>
      </c>
      <c r="L39" s="4">
        <f ca="1" t="shared" si="15"/>
        <v>2</v>
      </c>
      <c r="M39" s="4">
        <f ca="1" t="shared" si="16"/>
        <v>5</v>
      </c>
      <c r="N39" s="4">
        <f ca="1" t="shared" si="17"/>
        <v>6</v>
      </c>
      <c r="O39" s="1">
        <f ca="1" t="shared" si="4"/>
        <v>119</v>
      </c>
      <c r="P39" s="1">
        <f ca="1" t="shared" si="5"/>
        <v>120</v>
      </c>
      <c r="Q39" s="1">
        <f ca="1" t="shared" si="6"/>
        <v>121</v>
      </c>
      <c r="R39" s="1">
        <f ca="1" t="shared" si="7"/>
        <v>107</v>
      </c>
      <c r="S39" s="1">
        <f ca="1" t="shared" si="8"/>
        <v>105</v>
      </c>
      <c r="T39" s="1">
        <f ca="1" t="shared" si="9"/>
        <v>116</v>
      </c>
      <c r="U39" s="1">
        <f ca="1" t="shared" si="10"/>
        <v>121</v>
      </c>
      <c r="V39" s="1">
        <f>控制台!C2396</f>
        <v>70</v>
      </c>
      <c r="W39" s="1">
        <f>控制台!C2397</f>
        <v>75</v>
      </c>
      <c r="X39" s="1">
        <f t="shared" si="11"/>
        <v>5</v>
      </c>
      <c r="Y39" s="1">
        <f ca="1">X39*U39*控制台!$E$2355/控制台!$E$2356</f>
        <v>9075</v>
      </c>
      <c r="Z39" s="5">
        <f ca="1" t="shared" si="12"/>
        <v>96435</v>
      </c>
    </row>
    <row r="40" spans="1:26">
      <c r="A40" s="1">
        <v>33</v>
      </c>
      <c r="B40" s="1">
        <f ca="1">控制台!H2397</f>
        <v>122.5728</v>
      </c>
      <c r="C40" s="4">
        <f ca="1">_xlfn.FLOOR.MATH($B40/C$6+0.3)</f>
        <v>122</v>
      </c>
      <c r="D40" s="4">
        <f ca="1">_xlfn.FLOOR.MATH($B40/D$6+0.3)</f>
        <v>30</v>
      </c>
      <c r="E40" s="4">
        <f ca="1">_xlfn.FLOOR.MATH($B40/E$6+0.3)</f>
        <v>6</v>
      </c>
      <c r="F40" s="4">
        <f ca="1">_xlfn.FLOOR.MATH($B40/F$6+0.3)</f>
        <v>3</v>
      </c>
      <c r="G40" s="4">
        <f ca="1">_xlfn.FLOOR.MATH($B40/G$6+0.3)</f>
        <v>2</v>
      </c>
      <c r="H40" s="4">
        <f ca="1">_xlfn.FLOOR.MATH($B40/H$6+0.3)</f>
        <v>1</v>
      </c>
      <c r="I40" s="4">
        <f ca="1" t="shared" si="3"/>
        <v>0</v>
      </c>
      <c r="J40" s="4">
        <f ca="1" t="shared" si="13"/>
        <v>1</v>
      </c>
      <c r="K40" s="4">
        <f ca="1" t="shared" si="14"/>
        <v>2</v>
      </c>
      <c r="L40" s="4">
        <f ca="1" t="shared" si="15"/>
        <v>3</v>
      </c>
      <c r="M40" s="4">
        <f ca="1" t="shared" si="16"/>
        <v>6</v>
      </c>
      <c r="N40" s="4">
        <f ca="1" t="shared" si="17"/>
        <v>7</v>
      </c>
      <c r="O40" s="1">
        <f ca="1" t="shared" si="4"/>
        <v>122</v>
      </c>
      <c r="P40" s="1">
        <f ca="1" t="shared" si="5"/>
        <v>121</v>
      </c>
      <c r="Q40" s="1">
        <f ca="1" t="shared" si="6"/>
        <v>122</v>
      </c>
      <c r="R40" s="1">
        <f ca="1" t="shared" si="7"/>
        <v>108</v>
      </c>
      <c r="S40" s="1">
        <f ca="1" t="shared" si="8"/>
        <v>106</v>
      </c>
      <c r="T40" s="1">
        <f ca="1" t="shared" si="9"/>
        <v>117</v>
      </c>
      <c r="U40" s="1">
        <f ca="1" t="shared" si="10"/>
        <v>122</v>
      </c>
      <c r="V40" s="1">
        <f>控制台!C2397</f>
        <v>75</v>
      </c>
      <c r="W40" s="1">
        <f>控制台!C2398</f>
        <v>80</v>
      </c>
      <c r="X40" s="1">
        <f t="shared" si="11"/>
        <v>5</v>
      </c>
      <c r="Y40" s="1">
        <f ca="1">X40*U40*控制台!$E$2355/控制台!$E$2356</f>
        <v>9150</v>
      </c>
      <c r="Z40" s="5">
        <f ca="1" t="shared" si="12"/>
        <v>105585</v>
      </c>
    </row>
    <row r="41" spans="1:26">
      <c r="A41" s="1">
        <v>34</v>
      </c>
      <c r="B41" s="1">
        <f ca="1">控制台!H2398</f>
        <v>125.7984</v>
      </c>
      <c r="C41" s="4">
        <f ca="1">_xlfn.FLOOR.MATH($B41/C$6+0.3)</f>
        <v>126</v>
      </c>
      <c r="D41" s="4">
        <f ca="1">_xlfn.FLOOR.MATH($B41/D$6+0.3)</f>
        <v>31</v>
      </c>
      <c r="E41" s="4">
        <f ca="1">_xlfn.FLOOR.MATH($B41/E$6+0.3)</f>
        <v>6</v>
      </c>
      <c r="F41" s="4">
        <f ca="1">_xlfn.FLOOR.MATH($B41/F$6+0.3)</f>
        <v>3</v>
      </c>
      <c r="G41" s="4">
        <f ca="1">_xlfn.FLOOR.MATH($B41/G$6+0.3)</f>
        <v>2</v>
      </c>
      <c r="H41" s="4">
        <f ca="1">_xlfn.FLOOR.MATH($B41/H$6+0.3)</f>
        <v>1</v>
      </c>
      <c r="I41" s="4">
        <f ca="1" t="shared" si="3"/>
        <v>0</v>
      </c>
      <c r="J41" s="4">
        <f ca="1" t="shared" si="13"/>
        <v>0</v>
      </c>
      <c r="K41" s="4">
        <f ca="1" t="shared" si="14"/>
        <v>3</v>
      </c>
      <c r="L41" s="4">
        <f ca="1" t="shared" si="15"/>
        <v>4</v>
      </c>
      <c r="M41" s="4">
        <f ca="1" t="shared" si="16"/>
        <v>7</v>
      </c>
      <c r="N41" s="4">
        <f ca="1" t="shared" si="17"/>
        <v>8</v>
      </c>
      <c r="O41" s="1">
        <f ca="1" t="shared" si="4"/>
        <v>126</v>
      </c>
      <c r="P41" s="1">
        <f ca="1" t="shared" si="5"/>
        <v>124</v>
      </c>
      <c r="Q41" s="1">
        <f ca="1" t="shared" si="6"/>
        <v>123</v>
      </c>
      <c r="R41" s="1">
        <f ca="1" t="shared" si="7"/>
        <v>109</v>
      </c>
      <c r="S41" s="1">
        <f ca="1" t="shared" si="8"/>
        <v>107</v>
      </c>
      <c r="T41" s="1">
        <f ca="1" t="shared" si="9"/>
        <v>118</v>
      </c>
      <c r="U41" s="1">
        <f ca="1" t="shared" si="10"/>
        <v>126</v>
      </c>
      <c r="V41" s="1">
        <f>控制台!C2398</f>
        <v>80</v>
      </c>
      <c r="W41" s="1">
        <f>控制台!C2399</f>
        <v>85</v>
      </c>
      <c r="X41" s="1">
        <f t="shared" si="11"/>
        <v>5</v>
      </c>
      <c r="Y41" s="1">
        <f ca="1">X41*U41*控制台!$E$2355/控制台!$E$2356</f>
        <v>9450</v>
      </c>
      <c r="Z41" s="5">
        <f ca="1" t="shared" si="12"/>
        <v>115035</v>
      </c>
    </row>
    <row r="42" spans="1:26">
      <c r="A42" s="1">
        <v>35</v>
      </c>
      <c r="B42" s="1">
        <f ca="1">控制台!H2399</f>
        <v>129.024</v>
      </c>
      <c r="C42" s="4">
        <f ca="1">_xlfn.FLOOR.MATH($B42/C$6+0.3)</f>
        <v>129</v>
      </c>
      <c r="D42" s="4">
        <f ca="1">_xlfn.FLOOR.MATH($B42/D$6+0.3)</f>
        <v>32</v>
      </c>
      <c r="E42" s="4">
        <f ca="1">_xlfn.FLOOR.MATH($B42/E$6+0.3)</f>
        <v>6</v>
      </c>
      <c r="F42" s="4">
        <f ca="1">_xlfn.FLOOR.MATH($B42/F$6+0.3)</f>
        <v>3</v>
      </c>
      <c r="G42" s="4">
        <f ca="1">_xlfn.FLOOR.MATH($B42/G$6+0.3)</f>
        <v>2</v>
      </c>
      <c r="H42" s="4">
        <f ca="1">_xlfn.FLOOR.MATH($B42/H$6+0.3)</f>
        <v>1</v>
      </c>
      <c r="I42" s="4">
        <f ca="1" t="shared" si="3"/>
        <v>0</v>
      </c>
      <c r="J42" s="4">
        <f ca="1" t="shared" si="13"/>
        <v>0</v>
      </c>
      <c r="K42" s="4">
        <f ca="1" t="shared" si="14"/>
        <v>4</v>
      </c>
      <c r="L42" s="4">
        <f ca="1" t="shared" si="15"/>
        <v>5</v>
      </c>
      <c r="M42" s="4">
        <f ca="1" t="shared" si="16"/>
        <v>8</v>
      </c>
      <c r="N42" s="4">
        <f ca="1" t="shared" si="17"/>
        <v>9</v>
      </c>
      <c r="O42" s="1">
        <f ca="1" t="shared" si="4"/>
        <v>129</v>
      </c>
      <c r="P42" s="1">
        <f ca="1" t="shared" si="5"/>
        <v>128</v>
      </c>
      <c r="Q42" s="1">
        <f ca="1" t="shared" si="6"/>
        <v>124</v>
      </c>
      <c r="R42" s="1">
        <f ca="1" t="shared" si="7"/>
        <v>110</v>
      </c>
      <c r="S42" s="1">
        <f ca="1" t="shared" si="8"/>
        <v>108</v>
      </c>
      <c r="T42" s="1">
        <f ca="1" t="shared" si="9"/>
        <v>119</v>
      </c>
      <c r="U42" s="1">
        <f ca="1" t="shared" si="10"/>
        <v>129</v>
      </c>
      <c r="V42" s="1">
        <f>控制台!C2399</f>
        <v>85</v>
      </c>
      <c r="W42" s="1">
        <f>控制台!C2400</f>
        <v>120</v>
      </c>
      <c r="X42" s="1">
        <f t="shared" si="11"/>
        <v>35</v>
      </c>
      <c r="Y42" s="1">
        <f ca="1">X42*U42*控制台!$E$2355/控制台!$E$2356</f>
        <v>67725</v>
      </c>
      <c r="Z42" s="5">
        <f ca="1" t="shared" si="12"/>
        <v>182760</v>
      </c>
    </row>
    <row r="43" spans="1:26">
      <c r="A43" s="1">
        <v>36</v>
      </c>
      <c r="B43" s="1">
        <f ca="1">控制台!H2400</f>
        <v>170.0352</v>
      </c>
      <c r="C43" s="4">
        <f ca="1">_xlfn.FLOOR.MATH($B43/C$6+0.3)</f>
        <v>170</v>
      </c>
      <c r="D43" s="4">
        <f ca="1">_xlfn.FLOOR.MATH($B43/D$6+0.3)</f>
        <v>42</v>
      </c>
      <c r="E43" s="4">
        <f ca="1">_xlfn.FLOOR.MATH($B43/E$6+0.3)</f>
        <v>8</v>
      </c>
      <c r="F43" s="4">
        <f ca="1">_xlfn.FLOOR.MATH($B43/F$6+0.3)</f>
        <v>5</v>
      </c>
      <c r="G43" s="4">
        <f ca="1">_xlfn.FLOOR.MATH($B43/G$6+0.3)</f>
        <v>3</v>
      </c>
      <c r="H43" s="4">
        <f ca="1">_xlfn.FLOOR.MATH($B43/H$6+0.3)</f>
        <v>1</v>
      </c>
      <c r="I43" s="4">
        <f ca="1" t="shared" si="3"/>
        <v>0</v>
      </c>
      <c r="J43" s="4">
        <f ca="1" t="shared" si="13"/>
        <v>0</v>
      </c>
      <c r="K43" s="4">
        <f ca="1" t="shared" si="14"/>
        <v>0</v>
      </c>
      <c r="L43" s="4">
        <f ca="1" t="shared" si="15"/>
        <v>0</v>
      </c>
      <c r="M43" s="4">
        <f ca="1" t="shared" si="16"/>
        <v>0</v>
      </c>
      <c r="N43" s="4">
        <f ca="1" t="shared" si="17"/>
        <v>10</v>
      </c>
      <c r="O43" s="1">
        <f ca="1" t="shared" si="4"/>
        <v>170</v>
      </c>
      <c r="P43" s="1">
        <f ca="1" t="shared" si="5"/>
        <v>168</v>
      </c>
      <c r="Q43" s="1">
        <f ca="1" t="shared" si="6"/>
        <v>160</v>
      </c>
      <c r="R43" s="1">
        <f ca="1" t="shared" si="7"/>
        <v>175</v>
      </c>
      <c r="S43" s="1">
        <f ca="1" t="shared" si="8"/>
        <v>150</v>
      </c>
      <c r="T43" s="1">
        <f ca="1" t="shared" si="9"/>
        <v>120</v>
      </c>
      <c r="U43" s="1">
        <f ca="1" t="shared" si="10"/>
        <v>175</v>
      </c>
      <c r="V43" s="1">
        <f>控制台!C2400</f>
        <v>120</v>
      </c>
      <c r="W43" s="1">
        <f>控制台!C2401</f>
        <v>123</v>
      </c>
      <c r="X43" s="1">
        <f t="shared" si="11"/>
        <v>3</v>
      </c>
      <c r="Y43" s="1">
        <f ca="1">X43*U43*控制台!$E$2355/控制台!$E$2356</f>
        <v>7875</v>
      </c>
      <c r="Z43" s="5">
        <f ca="1" t="shared" si="12"/>
        <v>190635</v>
      </c>
    </row>
    <row r="44" spans="1:26">
      <c r="A44" s="1">
        <v>37</v>
      </c>
      <c r="B44" s="1">
        <f ca="1">控制台!H2401</f>
        <v>174.1824</v>
      </c>
      <c r="C44" s="4">
        <f ca="1">_xlfn.FLOOR.MATH($B44/C$6+0.3)</f>
        <v>174</v>
      </c>
      <c r="D44" s="4">
        <f ca="1">_xlfn.FLOOR.MATH($B44/D$6+0.3)</f>
        <v>43</v>
      </c>
      <c r="E44" s="4">
        <f ca="1">_xlfn.FLOOR.MATH($B44/E$6+0.3)</f>
        <v>9</v>
      </c>
      <c r="F44" s="4">
        <f ca="1">_xlfn.FLOOR.MATH($B44/F$6+0.3)</f>
        <v>5</v>
      </c>
      <c r="G44" s="4">
        <f ca="1">_xlfn.FLOOR.MATH($B44/G$6+0.3)</f>
        <v>3</v>
      </c>
      <c r="H44" s="4">
        <f ca="1">_xlfn.FLOOR.MATH($B44/H$6+0.3)</f>
        <v>1</v>
      </c>
      <c r="I44" s="4">
        <f ca="1" t="shared" si="3"/>
        <v>0</v>
      </c>
      <c r="J44" s="4">
        <f ca="1" t="shared" si="13"/>
        <v>0</v>
      </c>
      <c r="K44" s="4">
        <f ca="1" t="shared" si="14"/>
        <v>0</v>
      </c>
      <c r="L44" s="4">
        <f ca="1" t="shared" si="15"/>
        <v>1</v>
      </c>
      <c r="M44" s="4">
        <f ca="1" t="shared" si="16"/>
        <v>1</v>
      </c>
      <c r="N44" s="4">
        <f ca="1" t="shared" si="17"/>
        <v>11</v>
      </c>
      <c r="O44" s="1">
        <f ca="1" t="shared" si="4"/>
        <v>174</v>
      </c>
      <c r="P44" s="1">
        <f ca="1" t="shared" si="5"/>
        <v>172</v>
      </c>
      <c r="Q44" s="1">
        <f ca="1" t="shared" si="6"/>
        <v>180</v>
      </c>
      <c r="R44" s="1">
        <f ca="1" t="shared" si="7"/>
        <v>176</v>
      </c>
      <c r="S44" s="1">
        <f ca="1" t="shared" si="8"/>
        <v>151</v>
      </c>
      <c r="T44" s="1">
        <f ca="1" t="shared" si="9"/>
        <v>121</v>
      </c>
      <c r="U44" s="1">
        <f ca="1" t="shared" si="10"/>
        <v>180</v>
      </c>
      <c r="V44" s="1">
        <f>控制台!C2401</f>
        <v>123</v>
      </c>
      <c r="W44" s="1">
        <f>控制台!C2402</f>
        <v>126</v>
      </c>
      <c r="X44" s="1">
        <f t="shared" si="11"/>
        <v>3</v>
      </c>
      <c r="Y44" s="1">
        <f ca="1">X44*U44*控制台!$E$2355/控制台!$E$2356</f>
        <v>8100</v>
      </c>
      <c r="Z44" s="5">
        <f ca="1" t="shared" si="12"/>
        <v>198735</v>
      </c>
    </row>
    <row r="45" spans="1:26">
      <c r="A45" s="1">
        <v>38</v>
      </c>
      <c r="B45" s="1">
        <f ca="1">控制台!H2402</f>
        <v>178.3296</v>
      </c>
      <c r="C45" s="4">
        <f ca="1">_xlfn.FLOOR.MATH($B45/C$6+0.3)</f>
        <v>178</v>
      </c>
      <c r="D45" s="4">
        <f ca="1">_xlfn.FLOOR.MATH($B45/D$6+0.3)</f>
        <v>44</v>
      </c>
      <c r="E45" s="4">
        <f ca="1">_xlfn.FLOOR.MATH($B45/E$6+0.3)</f>
        <v>9</v>
      </c>
      <c r="F45" s="4">
        <f ca="1">_xlfn.FLOOR.MATH($B45/F$6+0.3)</f>
        <v>5</v>
      </c>
      <c r="G45" s="4">
        <f ca="1">_xlfn.FLOOR.MATH($B45/G$6+0.3)</f>
        <v>3</v>
      </c>
      <c r="H45" s="4">
        <f ca="1">_xlfn.FLOOR.MATH($B45/H$6+0.3)</f>
        <v>1</v>
      </c>
      <c r="I45" s="4">
        <f ca="1" t="shared" si="3"/>
        <v>0</v>
      </c>
      <c r="J45" s="4">
        <f ca="1" t="shared" si="13"/>
        <v>0</v>
      </c>
      <c r="K45" s="4">
        <f ca="1" t="shared" si="14"/>
        <v>1</v>
      </c>
      <c r="L45" s="4">
        <f ca="1" t="shared" si="15"/>
        <v>2</v>
      </c>
      <c r="M45" s="4">
        <f ca="1" t="shared" si="16"/>
        <v>2</v>
      </c>
      <c r="N45" s="4">
        <f ca="1" t="shared" si="17"/>
        <v>12</v>
      </c>
      <c r="O45" s="1">
        <f ca="1" t="shared" si="4"/>
        <v>178</v>
      </c>
      <c r="P45" s="1">
        <f ca="1" t="shared" si="5"/>
        <v>176</v>
      </c>
      <c r="Q45" s="1">
        <f ca="1" t="shared" si="6"/>
        <v>181</v>
      </c>
      <c r="R45" s="1">
        <f ca="1" t="shared" si="7"/>
        <v>177</v>
      </c>
      <c r="S45" s="1">
        <f ca="1" t="shared" si="8"/>
        <v>152</v>
      </c>
      <c r="T45" s="1">
        <f ca="1" t="shared" si="9"/>
        <v>122</v>
      </c>
      <c r="U45" s="1">
        <f ca="1" t="shared" si="10"/>
        <v>181</v>
      </c>
      <c r="V45" s="1">
        <f>控制台!C2402</f>
        <v>126</v>
      </c>
      <c r="W45" s="1">
        <f>控制台!C2403</f>
        <v>129</v>
      </c>
      <c r="X45" s="1">
        <f t="shared" si="11"/>
        <v>3</v>
      </c>
      <c r="Y45" s="1">
        <f ca="1">X45*U45*控制台!$E$2355/控制台!$E$2356</f>
        <v>8145</v>
      </c>
      <c r="Z45" s="5">
        <f ca="1" t="shared" si="12"/>
        <v>206880</v>
      </c>
    </row>
    <row r="46" spans="1:26">
      <c r="A46" s="1">
        <v>39</v>
      </c>
      <c r="B46" s="1">
        <f ca="1">控制台!H2403</f>
        <v>182.4768</v>
      </c>
      <c r="C46" s="4">
        <f ca="1">_xlfn.FLOOR.MATH($B46/C$6+0.3)</f>
        <v>182</v>
      </c>
      <c r="D46" s="4">
        <f ca="1">_xlfn.FLOOR.MATH($B46/D$6+0.3)</f>
        <v>45</v>
      </c>
      <c r="E46" s="4">
        <f ca="1">_xlfn.FLOOR.MATH($B46/E$6+0.3)</f>
        <v>9</v>
      </c>
      <c r="F46" s="4">
        <f ca="1">_xlfn.FLOOR.MATH($B46/F$6+0.3)</f>
        <v>5</v>
      </c>
      <c r="G46" s="4">
        <f ca="1">_xlfn.FLOOR.MATH($B46/G$6+0.3)</f>
        <v>3</v>
      </c>
      <c r="H46" s="4">
        <f ca="1">_xlfn.FLOOR.MATH($B46/H$6+0.3)</f>
        <v>1</v>
      </c>
      <c r="I46" s="4">
        <f ca="1" t="shared" si="3"/>
        <v>0</v>
      </c>
      <c r="J46" s="4">
        <f ca="1" t="shared" si="13"/>
        <v>0</v>
      </c>
      <c r="K46" s="4">
        <f ca="1" t="shared" si="14"/>
        <v>2</v>
      </c>
      <c r="L46" s="4">
        <f ca="1" t="shared" si="15"/>
        <v>3</v>
      </c>
      <c r="M46" s="4">
        <f ca="1" t="shared" si="16"/>
        <v>3</v>
      </c>
      <c r="N46" s="4">
        <f ca="1" t="shared" si="17"/>
        <v>13</v>
      </c>
      <c r="O46" s="1">
        <f ca="1" t="shared" si="4"/>
        <v>182</v>
      </c>
      <c r="P46" s="1">
        <f ca="1" t="shared" si="5"/>
        <v>180</v>
      </c>
      <c r="Q46" s="1">
        <f ca="1" t="shared" si="6"/>
        <v>182</v>
      </c>
      <c r="R46" s="1">
        <f ca="1" t="shared" si="7"/>
        <v>178</v>
      </c>
      <c r="S46" s="1">
        <f ca="1" t="shared" si="8"/>
        <v>153</v>
      </c>
      <c r="T46" s="1">
        <f ca="1" t="shared" si="9"/>
        <v>123</v>
      </c>
      <c r="U46" s="1">
        <f ca="1" t="shared" si="10"/>
        <v>182</v>
      </c>
      <c r="V46" s="1">
        <f>控制台!C2403</f>
        <v>129</v>
      </c>
      <c r="W46" s="1">
        <f>控制台!C2404</f>
        <v>133</v>
      </c>
      <c r="X46" s="1">
        <f t="shared" ref="X46:X57" si="18">W46-V46</f>
        <v>4</v>
      </c>
      <c r="Y46" s="1">
        <f ca="1">X46*U46*控制台!$E$2355/控制台!$E$2356</f>
        <v>10920</v>
      </c>
      <c r="Z46" s="5">
        <f ca="1" t="shared" ref="Z46:Z57" si="19">Z45+Y46</f>
        <v>217800</v>
      </c>
    </row>
    <row r="47" spans="1:26">
      <c r="A47" s="1">
        <v>40</v>
      </c>
      <c r="B47" s="1">
        <f ca="1">控制台!H2404</f>
        <v>186.624</v>
      </c>
      <c r="C47" s="4">
        <f ca="1">_xlfn.FLOOR.MATH($B47/C$6+0.3)</f>
        <v>186</v>
      </c>
      <c r="D47" s="4">
        <f ca="1">_xlfn.FLOOR.MATH($B47/D$6+0.3)</f>
        <v>46</v>
      </c>
      <c r="E47" s="4">
        <f ca="1">_xlfn.FLOOR.MATH($B47/E$6+0.3)</f>
        <v>9</v>
      </c>
      <c r="F47" s="4">
        <f ca="1">_xlfn.FLOOR.MATH($B47/F$6+0.3)</f>
        <v>5</v>
      </c>
      <c r="G47" s="4">
        <f ca="1">_xlfn.FLOOR.MATH($B47/G$6+0.3)</f>
        <v>4</v>
      </c>
      <c r="H47" s="4">
        <f ca="1">_xlfn.FLOOR.MATH($B47/H$6+0.3)</f>
        <v>1</v>
      </c>
      <c r="I47" s="4">
        <f ca="1" t="shared" si="3"/>
        <v>0</v>
      </c>
      <c r="J47" s="4">
        <f ca="1" t="shared" si="13"/>
        <v>0</v>
      </c>
      <c r="K47" s="4">
        <f ca="1" t="shared" si="14"/>
        <v>3</v>
      </c>
      <c r="L47" s="4">
        <f ca="1" t="shared" si="15"/>
        <v>4</v>
      </c>
      <c r="M47" s="4">
        <f ca="1" t="shared" si="16"/>
        <v>0</v>
      </c>
      <c r="N47" s="4">
        <f ca="1" t="shared" si="17"/>
        <v>14</v>
      </c>
      <c r="O47" s="1">
        <f ca="1" t="shared" si="4"/>
        <v>186</v>
      </c>
      <c r="P47" s="1">
        <f ca="1" t="shared" si="5"/>
        <v>184</v>
      </c>
      <c r="Q47" s="1">
        <f ca="1" t="shared" si="6"/>
        <v>183</v>
      </c>
      <c r="R47" s="1">
        <f ca="1" t="shared" si="7"/>
        <v>179</v>
      </c>
      <c r="S47" s="1">
        <f ca="1" t="shared" si="8"/>
        <v>200</v>
      </c>
      <c r="T47" s="1">
        <f ca="1" t="shared" si="9"/>
        <v>124</v>
      </c>
      <c r="U47" s="1">
        <f ca="1" t="shared" si="10"/>
        <v>200</v>
      </c>
      <c r="V47" s="1">
        <f>控制台!C2404</f>
        <v>133</v>
      </c>
      <c r="W47" s="1">
        <f>控制台!C2405</f>
        <v>135</v>
      </c>
      <c r="X47" s="1">
        <f t="shared" si="18"/>
        <v>2</v>
      </c>
      <c r="Y47" s="1">
        <f ca="1">X47*U47*控制台!$E$2355/控制台!$E$2356</f>
        <v>6000</v>
      </c>
      <c r="Z47" s="5">
        <f ca="1" t="shared" si="19"/>
        <v>223800</v>
      </c>
    </row>
    <row r="48" spans="1:26">
      <c r="A48" s="1">
        <v>41</v>
      </c>
      <c r="B48" s="1">
        <f ca="1">控制台!H2405</f>
        <v>188.6976</v>
      </c>
      <c r="C48" s="4">
        <f ca="1">_xlfn.FLOOR.MATH($B48/C$6+0.3)</f>
        <v>188</v>
      </c>
      <c r="D48" s="4">
        <f ca="1">_xlfn.FLOOR.MATH($B48/D$6+0.3)</f>
        <v>47</v>
      </c>
      <c r="E48" s="4">
        <f ca="1">_xlfn.FLOOR.MATH($B48/E$6+0.3)</f>
        <v>9</v>
      </c>
      <c r="F48" s="4">
        <f ca="1">_xlfn.FLOOR.MATH($B48/F$6+0.3)</f>
        <v>5</v>
      </c>
      <c r="G48" s="4">
        <f ca="1">_xlfn.FLOOR.MATH($B48/G$6+0.3)</f>
        <v>4</v>
      </c>
      <c r="H48" s="4">
        <f ca="1">_xlfn.FLOOR.MATH($B48/H$6+0.3)</f>
        <v>2</v>
      </c>
      <c r="I48" s="4">
        <f ca="1" t="shared" ref="I48:I57" si="20">IF(C48=0,0,IF(C48=C47,I47+1,0))</f>
        <v>0</v>
      </c>
      <c r="J48" s="4">
        <f ca="1" t="shared" ref="J48:J57" si="21">IF(D48=0,0,IF(D48=D47,J47+1,0))</f>
        <v>0</v>
      </c>
      <c r="K48" s="4">
        <f ca="1" t="shared" ref="K48:K57" si="22">IF(E48=0,0,IF(E48=E47,K47+1,0))</f>
        <v>4</v>
      </c>
      <c r="L48" s="4">
        <f ca="1" t="shared" ref="L48:L57" si="23">IF(F48=0,0,IF(F48=F47,L47+1,0))</f>
        <v>5</v>
      </c>
      <c r="M48" s="4">
        <f ca="1" t="shared" ref="M48:M57" si="24">IF(G48=0,0,IF(G48=G47,M47+1,0))</f>
        <v>1</v>
      </c>
      <c r="N48" s="4">
        <f ca="1" t="shared" ref="N48:N57" si="25">IF(H48=0,0,IF(H48=H47,N47+1,0))</f>
        <v>0</v>
      </c>
      <c r="O48" s="1">
        <f ca="1" t="shared" si="4"/>
        <v>188</v>
      </c>
      <c r="P48" s="1">
        <f ca="1" t="shared" si="5"/>
        <v>188</v>
      </c>
      <c r="Q48" s="1">
        <f ca="1" t="shared" si="6"/>
        <v>184</v>
      </c>
      <c r="R48" s="1">
        <f ca="1" t="shared" si="7"/>
        <v>180</v>
      </c>
      <c r="S48" s="1">
        <f ca="1" t="shared" si="8"/>
        <v>201</v>
      </c>
      <c r="T48" s="1">
        <f ca="1" t="shared" si="9"/>
        <v>220</v>
      </c>
      <c r="U48" s="1">
        <f ca="1" t="shared" ref="U48:U57" si="26">MAX(O48:T48)</f>
        <v>220</v>
      </c>
      <c r="V48" s="1">
        <f>控制台!C2405</f>
        <v>135</v>
      </c>
      <c r="W48" s="1">
        <f>控制台!C2406</f>
        <v>137</v>
      </c>
      <c r="X48" s="1">
        <f t="shared" si="18"/>
        <v>2</v>
      </c>
      <c r="Y48" s="1">
        <f ca="1">X48*U48*控制台!$E$2355/控制台!$E$2356</f>
        <v>6600</v>
      </c>
      <c r="Z48" s="5">
        <f ca="1" t="shared" si="19"/>
        <v>230400</v>
      </c>
    </row>
    <row r="49" spans="1:26">
      <c r="A49" s="1">
        <v>42</v>
      </c>
      <c r="B49" s="1">
        <f ca="1">控制台!H2406</f>
        <v>190.7712</v>
      </c>
      <c r="C49" s="4">
        <f ca="1">_xlfn.FLOOR.MATH($B49/C$6+0.3)</f>
        <v>191</v>
      </c>
      <c r="D49" s="4">
        <f ca="1">_xlfn.FLOOR.MATH($B49/D$6+0.3)</f>
        <v>47</v>
      </c>
      <c r="E49" s="4">
        <f ca="1">_xlfn.FLOOR.MATH($B49/E$6+0.3)</f>
        <v>9</v>
      </c>
      <c r="F49" s="4">
        <f ca="1">_xlfn.FLOOR.MATH($B49/F$6+0.3)</f>
        <v>5</v>
      </c>
      <c r="G49" s="4">
        <f ca="1">_xlfn.FLOOR.MATH($B49/G$6+0.3)</f>
        <v>4</v>
      </c>
      <c r="H49" s="4">
        <f ca="1">_xlfn.FLOOR.MATH($B49/H$6+0.3)</f>
        <v>2</v>
      </c>
      <c r="I49" s="4">
        <f ca="1" t="shared" si="20"/>
        <v>0</v>
      </c>
      <c r="J49" s="4">
        <f ca="1" t="shared" si="21"/>
        <v>1</v>
      </c>
      <c r="K49" s="4">
        <f ca="1" t="shared" si="22"/>
        <v>5</v>
      </c>
      <c r="L49" s="4">
        <f ca="1" t="shared" si="23"/>
        <v>6</v>
      </c>
      <c r="M49" s="4">
        <f ca="1" t="shared" si="24"/>
        <v>2</v>
      </c>
      <c r="N49" s="4">
        <f ca="1" t="shared" si="25"/>
        <v>1</v>
      </c>
      <c r="O49" s="1">
        <f ca="1" t="shared" si="4"/>
        <v>191</v>
      </c>
      <c r="P49" s="1">
        <f ca="1" t="shared" si="5"/>
        <v>189</v>
      </c>
      <c r="Q49" s="1">
        <f ca="1" t="shared" si="6"/>
        <v>185</v>
      </c>
      <c r="R49" s="1">
        <f ca="1" t="shared" si="7"/>
        <v>181</v>
      </c>
      <c r="S49" s="1">
        <f ca="1" t="shared" si="8"/>
        <v>202</v>
      </c>
      <c r="T49" s="1">
        <f ca="1" t="shared" si="9"/>
        <v>221</v>
      </c>
      <c r="U49" s="1">
        <f ca="1" t="shared" si="26"/>
        <v>221</v>
      </c>
      <c r="V49" s="1">
        <f>控制台!C2406</f>
        <v>137</v>
      </c>
      <c r="W49" s="1">
        <f>控制台!C2407</f>
        <v>139</v>
      </c>
      <c r="X49" s="1">
        <f t="shared" si="18"/>
        <v>2</v>
      </c>
      <c r="Y49" s="1">
        <f ca="1">X49*U49*控制台!$E$2355/控制台!$E$2356</f>
        <v>6630</v>
      </c>
      <c r="Z49" s="5">
        <f ca="1" t="shared" si="19"/>
        <v>237030</v>
      </c>
    </row>
    <row r="50" spans="1:26">
      <c r="A50" s="1">
        <v>43</v>
      </c>
      <c r="B50" s="1">
        <f ca="1">控制台!H2407</f>
        <v>192.8448</v>
      </c>
      <c r="C50" s="4">
        <f ca="1">_xlfn.FLOOR.MATH($B50/C$6+0.3)</f>
        <v>193</v>
      </c>
      <c r="D50" s="4">
        <f ca="1">_xlfn.FLOOR.MATH($B50/D$6+0.3)</f>
        <v>48</v>
      </c>
      <c r="E50" s="4">
        <f ca="1">_xlfn.FLOOR.MATH($B50/E$6+0.3)</f>
        <v>9</v>
      </c>
      <c r="F50" s="4">
        <f ca="1">_xlfn.FLOOR.MATH($B50/F$6+0.3)</f>
        <v>5</v>
      </c>
      <c r="G50" s="4">
        <f ca="1">_xlfn.FLOOR.MATH($B50/G$6+0.3)</f>
        <v>4</v>
      </c>
      <c r="H50" s="4">
        <f ca="1">_xlfn.FLOOR.MATH($B50/H$6+0.3)</f>
        <v>2</v>
      </c>
      <c r="I50" s="4">
        <f ca="1" t="shared" si="20"/>
        <v>0</v>
      </c>
      <c r="J50" s="4">
        <f ca="1" t="shared" si="21"/>
        <v>0</v>
      </c>
      <c r="K50" s="4">
        <f ca="1" t="shared" si="22"/>
        <v>6</v>
      </c>
      <c r="L50" s="4">
        <f ca="1" t="shared" si="23"/>
        <v>7</v>
      </c>
      <c r="M50" s="4">
        <f ca="1" t="shared" si="24"/>
        <v>3</v>
      </c>
      <c r="N50" s="4">
        <f ca="1" t="shared" si="25"/>
        <v>2</v>
      </c>
      <c r="O50" s="1">
        <f ca="1" t="shared" si="4"/>
        <v>193</v>
      </c>
      <c r="P50" s="1">
        <f ca="1" t="shared" si="5"/>
        <v>192</v>
      </c>
      <c r="Q50" s="1">
        <f ca="1" t="shared" si="6"/>
        <v>186</v>
      </c>
      <c r="R50" s="1">
        <f ca="1" t="shared" si="7"/>
        <v>182</v>
      </c>
      <c r="S50" s="1">
        <f ca="1" t="shared" si="8"/>
        <v>203</v>
      </c>
      <c r="T50" s="1">
        <f ca="1" t="shared" si="9"/>
        <v>222</v>
      </c>
      <c r="U50" s="1">
        <f ca="1" t="shared" si="26"/>
        <v>222</v>
      </c>
      <c r="V50" s="1">
        <f>控制台!C2407</f>
        <v>139</v>
      </c>
      <c r="W50" s="1">
        <f>控制台!C2408</f>
        <v>141</v>
      </c>
      <c r="X50" s="1">
        <f t="shared" si="18"/>
        <v>2</v>
      </c>
      <c r="Y50" s="1">
        <f ca="1">X50*U50*控制台!$E$2355/控制台!$E$2356</f>
        <v>6660</v>
      </c>
      <c r="Z50" s="5">
        <f ca="1" t="shared" si="19"/>
        <v>243690</v>
      </c>
    </row>
    <row r="51" spans="1:26">
      <c r="A51" s="1">
        <v>44</v>
      </c>
      <c r="B51" s="1">
        <f ca="1">控制台!H2408</f>
        <v>194.9184</v>
      </c>
      <c r="C51" s="4">
        <f ca="1">_xlfn.FLOOR.MATH($B51/C$6+0.3)</f>
        <v>195</v>
      </c>
      <c r="D51" s="4">
        <f ca="1">_xlfn.FLOOR.MATH($B51/D$6+0.3)</f>
        <v>49</v>
      </c>
      <c r="E51" s="4">
        <f ca="1">_xlfn.FLOOR.MATH($B51/E$6+0.3)</f>
        <v>10</v>
      </c>
      <c r="F51" s="4">
        <f ca="1">_xlfn.FLOOR.MATH($B51/F$6+0.3)</f>
        <v>5</v>
      </c>
      <c r="G51" s="4">
        <f ca="1">_xlfn.FLOOR.MATH($B51/G$6+0.3)</f>
        <v>4</v>
      </c>
      <c r="H51" s="4">
        <f ca="1">_xlfn.FLOOR.MATH($B51/H$6+0.3)</f>
        <v>2</v>
      </c>
      <c r="I51" s="4">
        <f ca="1" t="shared" si="20"/>
        <v>0</v>
      </c>
      <c r="J51" s="4">
        <f ca="1" t="shared" si="21"/>
        <v>0</v>
      </c>
      <c r="K51" s="4">
        <f ca="1" t="shared" si="22"/>
        <v>0</v>
      </c>
      <c r="L51" s="4">
        <f ca="1" t="shared" si="23"/>
        <v>8</v>
      </c>
      <c r="M51" s="4">
        <f ca="1" t="shared" si="24"/>
        <v>4</v>
      </c>
      <c r="N51" s="4">
        <f ca="1" t="shared" si="25"/>
        <v>3</v>
      </c>
      <c r="O51" s="1">
        <f ca="1" t="shared" si="4"/>
        <v>195</v>
      </c>
      <c r="P51" s="1">
        <f ca="1" t="shared" si="5"/>
        <v>196</v>
      </c>
      <c r="Q51" s="1">
        <f ca="1" t="shared" si="6"/>
        <v>200</v>
      </c>
      <c r="R51" s="1">
        <f ca="1" t="shared" si="7"/>
        <v>183</v>
      </c>
      <c r="S51" s="1">
        <f ca="1" t="shared" si="8"/>
        <v>204</v>
      </c>
      <c r="T51" s="1">
        <f ca="1" t="shared" si="9"/>
        <v>223</v>
      </c>
      <c r="U51" s="1">
        <f ca="1" t="shared" si="26"/>
        <v>223</v>
      </c>
      <c r="V51" s="1">
        <f>控制台!C2408</f>
        <v>141</v>
      </c>
      <c r="W51" s="1">
        <f>控制台!C2409</f>
        <v>143</v>
      </c>
      <c r="X51" s="1">
        <f t="shared" si="18"/>
        <v>2</v>
      </c>
      <c r="Y51" s="1">
        <f ca="1">X51*U51*控制台!$E$2355/控制台!$E$2356</f>
        <v>6690</v>
      </c>
      <c r="Z51" s="5">
        <f ca="1" t="shared" si="19"/>
        <v>250380</v>
      </c>
    </row>
    <row r="52" spans="1:26">
      <c r="A52" s="1">
        <v>45</v>
      </c>
      <c r="B52" s="1">
        <f ca="1">控制台!H2409</f>
        <v>196.992</v>
      </c>
      <c r="C52" s="4">
        <f ca="1">_xlfn.FLOOR.MATH($B52/C$6+0.3)</f>
        <v>197</v>
      </c>
      <c r="D52" s="4">
        <f ca="1">_xlfn.FLOOR.MATH($B52/D$6+0.3)</f>
        <v>49</v>
      </c>
      <c r="E52" s="4">
        <f ca="1">_xlfn.FLOOR.MATH($B52/E$6+0.3)</f>
        <v>10</v>
      </c>
      <c r="F52" s="4">
        <f ca="1">_xlfn.FLOOR.MATH($B52/F$6+0.3)</f>
        <v>5</v>
      </c>
      <c r="G52" s="4">
        <f ca="1">_xlfn.FLOOR.MATH($B52/G$6+0.3)</f>
        <v>4</v>
      </c>
      <c r="H52" s="4">
        <f ca="1">_xlfn.FLOOR.MATH($B52/H$6+0.3)</f>
        <v>2</v>
      </c>
      <c r="I52" s="4">
        <f ca="1" t="shared" si="20"/>
        <v>0</v>
      </c>
      <c r="J52" s="4">
        <f ca="1" t="shared" si="21"/>
        <v>1</v>
      </c>
      <c r="K52" s="4">
        <f ca="1" t="shared" si="22"/>
        <v>1</v>
      </c>
      <c r="L52" s="4">
        <f ca="1" t="shared" si="23"/>
        <v>9</v>
      </c>
      <c r="M52" s="4">
        <f ca="1" t="shared" si="24"/>
        <v>5</v>
      </c>
      <c r="N52" s="4">
        <f ca="1" t="shared" si="25"/>
        <v>4</v>
      </c>
      <c r="O52" s="1">
        <f ca="1" t="shared" si="4"/>
        <v>197</v>
      </c>
      <c r="P52" s="1">
        <f ca="1" t="shared" si="5"/>
        <v>197</v>
      </c>
      <c r="Q52" s="1">
        <f ca="1" t="shared" si="6"/>
        <v>201</v>
      </c>
      <c r="R52" s="1">
        <f ca="1" t="shared" si="7"/>
        <v>184</v>
      </c>
      <c r="S52" s="1">
        <f ca="1" t="shared" si="8"/>
        <v>205</v>
      </c>
      <c r="T52" s="1">
        <f ca="1" t="shared" si="9"/>
        <v>224</v>
      </c>
      <c r="U52" s="1">
        <f ca="1" t="shared" si="26"/>
        <v>224</v>
      </c>
      <c r="V52" s="1">
        <f>控制台!C2409</f>
        <v>143</v>
      </c>
      <c r="W52" s="1">
        <f>控制台!C2410</f>
        <v>147</v>
      </c>
      <c r="X52" s="1">
        <f t="shared" si="18"/>
        <v>4</v>
      </c>
      <c r="Y52" s="1">
        <f ca="1">X52*U52*控制台!$E$2355/控制台!$E$2356</f>
        <v>13440</v>
      </c>
      <c r="Z52" s="5">
        <f ca="1" t="shared" si="19"/>
        <v>263820</v>
      </c>
    </row>
    <row r="53" spans="1:26">
      <c r="A53" s="1">
        <v>46</v>
      </c>
      <c r="B53" s="1">
        <f ca="1">控制台!H2410</f>
        <v>199.0656</v>
      </c>
      <c r="C53" s="4">
        <f ca="1">_xlfn.FLOOR.MATH($B53/C$6+0.3)</f>
        <v>199</v>
      </c>
      <c r="D53" s="4">
        <f ca="1">_xlfn.FLOOR.MATH($B53/D$6+0.3)</f>
        <v>50</v>
      </c>
      <c r="E53" s="4">
        <f ca="1">_xlfn.FLOOR.MATH($B53/E$6+0.3)</f>
        <v>10</v>
      </c>
      <c r="F53" s="4">
        <f ca="1">_xlfn.FLOOR.MATH($B53/F$6+0.3)</f>
        <v>5</v>
      </c>
      <c r="G53" s="4">
        <f ca="1">_xlfn.FLOOR.MATH($B53/G$6+0.3)</f>
        <v>4</v>
      </c>
      <c r="H53" s="4">
        <f ca="1">_xlfn.FLOOR.MATH($B53/H$6+0.3)</f>
        <v>2</v>
      </c>
      <c r="I53" s="4">
        <f ca="1" t="shared" si="20"/>
        <v>0</v>
      </c>
      <c r="J53" s="4">
        <f ca="1" t="shared" si="21"/>
        <v>0</v>
      </c>
      <c r="K53" s="4">
        <f ca="1" t="shared" si="22"/>
        <v>2</v>
      </c>
      <c r="L53" s="4">
        <f ca="1" t="shared" si="23"/>
        <v>10</v>
      </c>
      <c r="M53" s="4">
        <f ca="1" t="shared" si="24"/>
        <v>6</v>
      </c>
      <c r="N53" s="4">
        <f ca="1" t="shared" si="25"/>
        <v>5</v>
      </c>
      <c r="O53" s="1">
        <f ca="1" t="shared" si="4"/>
        <v>199</v>
      </c>
      <c r="P53" s="1">
        <f ca="1" t="shared" si="5"/>
        <v>200</v>
      </c>
      <c r="Q53" s="1">
        <f ca="1" t="shared" si="6"/>
        <v>202</v>
      </c>
      <c r="R53" s="1">
        <f ca="1" t="shared" si="7"/>
        <v>185</v>
      </c>
      <c r="S53" s="1">
        <f ca="1" t="shared" si="8"/>
        <v>206</v>
      </c>
      <c r="T53" s="1">
        <f ca="1" t="shared" si="9"/>
        <v>225</v>
      </c>
      <c r="U53" s="1">
        <f ca="1" t="shared" si="26"/>
        <v>225</v>
      </c>
      <c r="V53" s="1">
        <f>控制台!C2410</f>
        <v>147</v>
      </c>
      <c r="W53" s="1">
        <f>控制台!C2411</f>
        <v>151</v>
      </c>
      <c r="X53" s="1">
        <f t="shared" si="18"/>
        <v>4</v>
      </c>
      <c r="Y53" s="1">
        <f ca="1">X53*U53*控制台!$E$2355/控制台!$E$2356</f>
        <v>13500</v>
      </c>
      <c r="Z53" s="5">
        <f ca="1" t="shared" si="19"/>
        <v>277320</v>
      </c>
    </row>
    <row r="54" spans="1:26">
      <c r="A54" s="1">
        <v>47</v>
      </c>
      <c r="B54" s="1">
        <f ca="1">控制台!H2411</f>
        <v>206.7264</v>
      </c>
      <c r="C54" s="4">
        <f ca="1">_xlfn.FLOOR.MATH($B54/C$6+0.3)</f>
        <v>207</v>
      </c>
      <c r="D54" s="4">
        <f ca="1">_xlfn.FLOOR.MATH($B54/D$6+0.3)</f>
        <v>51</v>
      </c>
      <c r="E54" s="4">
        <f ca="1">_xlfn.FLOOR.MATH($B54/E$6+0.3)</f>
        <v>10</v>
      </c>
      <c r="F54" s="4">
        <f ca="1">_xlfn.FLOOR.MATH($B54/F$6+0.3)</f>
        <v>6</v>
      </c>
      <c r="G54" s="4">
        <f ca="1">_xlfn.FLOOR.MATH($B54/G$6+0.3)</f>
        <v>4</v>
      </c>
      <c r="H54" s="4">
        <f ca="1">_xlfn.FLOOR.MATH($B54/H$6+0.3)</f>
        <v>2</v>
      </c>
      <c r="I54" s="4">
        <f ca="1" t="shared" si="20"/>
        <v>0</v>
      </c>
      <c r="J54" s="4">
        <f ca="1" t="shared" si="21"/>
        <v>0</v>
      </c>
      <c r="K54" s="4">
        <f ca="1" t="shared" si="22"/>
        <v>3</v>
      </c>
      <c r="L54" s="4">
        <f ca="1" t="shared" si="23"/>
        <v>0</v>
      </c>
      <c r="M54" s="4">
        <f ca="1" t="shared" si="24"/>
        <v>7</v>
      </c>
      <c r="N54" s="4">
        <f ca="1" t="shared" si="25"/>
        <v>6</v>
      </c>
      <c r="O54" s="1">
        <f ca="1" t="shared" si="4"/>
        <v>207</v>
      </c>
      <c r="P54" s="1">
        <f ca="1" t="shared" si="5"/>
        <v>204</v>
      </c>
      <c r="Q54" s="1">
        <f ca="1" t="shared" si="6"/>
        <v>203</v>
      </c>
      <c r="R54" s="1">
        <f ca="1" t="shared" si="7"/>
        <v>210</v>
      </c>
      <c r="S54" s="1">
        <f ca="1" t="shared" si="8"/>
        <v>207</v>
      </c>
      <c r="T54" s="1">
        <f ca="1" t="shared" si="9"/>
        <v>226</v>
      </c>
      <c r="U54" s="1">
        <f ca="1" t="shared" si="26"/>
        <v>226</v>
      </c>
      <c r="V54" s="1">
        <f>控制台!C2411</f>
        <v>151</v>
      </c>
      <c r="W54" s="1">
        <f>控制台!C2412</f>
        <v>155</v>
      </c>
      <c r="X54" s="1">
        <f t="shared" si="18"/>
        <v>4</v>
      </c>
      <c r="Y54" s="1">
        <f ca="1">X54*U54*控制台!$E$2355/控制台!$E$2356</f>
        <v>13560</v>
      </c>
      <c r="Z54" s="5">
        <f ca="1" t="shared" si="19"/>
        <v>290880</v>
      </c>
    </row>
    <row r="55" spans="1:26">
      <c r="A55" s="1">
        <v>48</v>
      </c>
      <c r="B55" s="1">
        <f ca="1">控制台!H2412</f>
        <v>208.8576</v>
      </c>
      <c r="C55" s="4">
        <f ca="1">_xlfn.FLOOR.MATH($B55/C$6+0.3)</f>
        <v>209</v>
      </c>
      <c r="D55" s="4">
        <f ca="1">_xlfn.FLOOR.MATH($B55/D$6+0.3)</f>
        <v>52</v>
      </c>
      <c r="E55" s="4">
        <f ca="1">_xlfn.FLOOR.MATH($B55/E$6+0.3)</f>
        <v>10</v>
      </c>
      <c r="F55" s="4">
        <f ca="1">_xlfn.FLOOR.MATH($B55/F$6+0.3)</f>
        <v>6</v>
      </c>
      <c r="G55" s="4">
        <f ca="1">_xlfn.FLOOR.MATH($B55/G$6+0.3)</f>
        <v>4</v>
      </c>
      <c r="H55" s="4">
        <f ca="1">_xlfn.FLOOR.MATH($B55/H$6+0.3)</f>
        <v>2</v>
      </c>
      <c r="I55" s="4">
        <f ca="1" t="shared" si="20"/>
        <v>0</v>
      </c>
      <c r="J55" s="4">
        <f ca="1" t="shared" si="21"/>
        <v>0</v>
      </c>
      <c r="K55" s="4">
        <f ca="1" t="shared" si="22"/>
        <v>4</v>
      </c>
      <c r="L55" s="4">
        <f ca="1" t="shared" si="23"/>
        <v>1</v>
      </c>
      <c r="M55" s="4">
        <f ca="1" t="shared" si="24"/>
        <v>8</v>
      </c>
      <c r="N55" s="4">
        <f ca="1" t="shared" si="25"/>
        <v>7</v>
      </c>
      <c r="O55" s="1">
        <f ca="1" t="shared" si="4"/>
        <v>209</v>
      </c>
      <c r="P55" s="1">
        <f ca="1" t="shared" si="5"/>
        <v>208</v>
      </c>
      <c r="Q55" s="1">
        <f ca="1" t="shared" si="6"/>
        <v>204</v>
      </c>
      <c r="R55" s="1">
        <f ca="1" t="shared" si="7"/>
        <v>211</v>
      </c>
      <c r="S55" s="1">
        <f ca="1" t="shared" si="8"/>
        <v>208</v>
      </c>
      <c r="T55" s="1">
        <f ca="1" t="shared" si="9"/>
        <v>227</v>
      </c>
      <c r="U55" s="1">
        <f ca="1" t="shared" si="26"/>
        <v>227</v>
      </c>
      <c r="V55" s="1">
        <f>控制台!C2412</f>
        <v>155</v>
      </c>
      <c r="W55" s="1">
        <f>控制台!C2413</f>
        <v>159</v>
      </c>
      <c r="X55" s="1">
        <f t="shared" si="18"/>
        <v>4</v>
      </c>
      <c r="Y55" s="1">
        <f ca="1">X55*U55*控制台!$E$2355/控制台!$E$2356</f>
        <v>13620</v>
      </c>
      <c r="Z55" s="5">
        <f ca="1" t="shared" si="19"/>
        <v>304500</v>
      </c>
    </row>
    <row r="56" spans="1:26">
      <c r="A56" s="1">
        <v>49</v>
      </c>
      <c r="B56" s="1">
        <f ca="1">控制台!H2413</f>
        <v>210.9888</v>
      </c>
      <c r="C56" s="4">
        <f ca="1">_xlfn.FLOOR.MATH($B56/C$6+0.3)</f>
        <v>211</v>
      </c>
      <c r="D56" s="4">
        <f ca="1">_xlfn.FLOOR.MATH($B56/D$6+0.3)</f>
        <v>53</v>
      </c>
      <c r="E56" s="4">
        <f ca="1">_xlfn.FLOOR.MATH($B56/E$6+0.3)</f>
        <v>10</v>
      </c>
      <c r="F56" s="4">
        <f ca="1">_xlfn.FLOOR.MATH($B56/F$6+0.3)</f>
        <v>6</v>
      </c>
      <c r="G56" s="4">
        <f ca="1">_xlfn.FLOOR.MATH($B56/G$6+0.3)</f>
        <v>4</v>
      </c>
      <c r="H56" s="4">
        <f ca="1">_xlfn.FLOOR.MATH($B56/H$6+0.3)</f>
        <v>2</v>
      </c>
      <c r="I56" s="4">
        <f ca="1" t="shared" si="20"/>
        <v>0</v>
      </c>
      <c r="J56" s="4">
        <f ca="1" t="shared" si="21"/>
        <v>0</v>
      </c>
      <c r="K56" s="4">
        <f ca="1" t="shared" si="22"/>
        <v>5</v>
      </c>
      <c r="L56" s="4">
        <f ca="1" t="shared" si="23"/>
        <v>2</v>
      </c>
      <c r="M56" s="4">
        <f ca="1" t="shared" si="24"/>
        <v>9</v>
      </c>
      <c r="N56" s="4">
        <f ca="1" t="shared" si="25"/>
        <v>8</v>
      </c>
      <c r="O56" s="1">
        <f ca="1" t="shared" si="4"/>
        <v>211</v>
      </c>
      <c r="P56" s="1">
        <f ca="1" t="shared" si="5"/>
        <v>212</v>
      </c>
      <c r="Q56" s="1">
        <f ca="1" t="shared" si="6"/>
        <v>205</v>
      </c>
      <c r="R56" s="1">
        <f ca="1" t="shared" si="7"/>
        <v>212</v>
      </c>
      <c r="S56" s="1">
        <f ca="1" t="shared" si="8"/>
        <v>209</v>
      </c>
      <c r="T56" s="1">
        <f ca="1" t="shared" si="9"/>
        <v>228</v>
      </c>
      <c r="U56" s="1">
        <f ca="1" t="shared" si="26"/>
        <v>228</v>
      </c>
      <c r="V56" s="1">
        <f>控制台!C2413</f>
        <v>159</v>
      </c>
      <c r="W56" s="1">
        <f>控制台!C2414</f>
        <v>163</v>
      </c>
      <c r="X56" s="1">
        <f t="shared" si="18"/>
        <v>4</v>
      </c>
      <c r="Y56" s="1">
        <f ca="1">X56*U56*控制台!$E$2355/控制台!$E$2356</f>
        <v>13680</v>
      </c>
      <c r="Z56" s="5">
        <f ca="1" t="shared" si="19"/>
        <v>318180</v>
      </c>
    </row>
    <row r="57" spans="1:26">
      <c r="A57" s="1">
        <v>50</v>
      </c>
      <c r="B57" s="1">
        <f ca="1">控制台!H2414</f>
        <v>213.12</v>
      </c>
      <c r="C57" s="4">
        <f ca="1">_xlfn.FLOOR.MATH($B57/C$6+0.3)</f>
        <v>213</v>
      </c>
      <c r="D57" s="4">
        <f ca="1">_xlfn.FLOOR.MATH($B57/D$6+0.3)</f>
        <v>53</v>
      </c>
      <c r="E57" s="4">
        <f ca="1">_xlfn.FLOOR.MATH($B57/E$6+0.3)</f>
        <v>10</v>
      </c>
      <c r="F57" s="4">
        <f ca="1">_xlfn.FLOOR.MATH($B57/F$6+0.3)</f>
        <v>6</v>
      </c>
      <c r="G57" s="4">
        <f ca="1">_xlfn.FLOOR.MATH($B57/G$6+0.3)</f>
        <v>4</v>
      </c>
      <c r="H57" s="4">
        <f ca="1">_xlfn.FLOOR.MATH($B57/H$6+0.3)</f>
        <v>2</v>
      </c>
      <c r="I57" s="4">
        <f ca="1" t="shared" si="20"/>
        <v>0</v>
      </c>
      <c r="J57" s="4">
        <f ca="1" t="shared" si="21"/>
        <v>1</v>
      </c>
      <c r="K57" s="4">
        <f ca="1" t="shared" si="22"/>
        <v>6</v>
      </c>
      <c r="L57" s="4">
        <f ca="1" t="shared" si="23"/>
        <v>3</v>
      </c>
      <c r="M57" s="4">
        <f ca="1" t="shared" si="24"/>
        <v>10</v>
      </c>
      <c r="N57" s="4">
        <f ca="1" t="shared" si="25"/>
        <v>9</v>
      </c>
      <c r="O57" s="1">
        <f ca="1" t="shared" si="4"/>
        <v>213</v>
      </c>
      <c r="P57" s="1">
        <f ca="1" t="shared" si="5"/>
        <v>213</v>
      </c>
      <c r="Q57" s="1">
        <f ca="1" t="shared" si="6"/>
        <v>206</v>
      </c>
      <c r="R57" s="1">
        <f ca="1" t="shared" si="7"/>
        <v>213</v>
      </c>
      <c r="S57" s="1">
        <f ca="1" t="shared" si="8"/>
        <v>210</v>
      </c>
      <c r="T57" s="1">
        <f ca="1" t="shared" si="9"/>
        <v>229</v>
      </c>
      <c r="U57" s="1">
        <f ca="1" t="shared" si="26"/>
        <v>229</v>
      </c>
      <c r="V57" s="1">
        <f>控制台!C2414</f>
        <v>163</v>
      </c>
      <c r="W57" s="1">
        <f>控制台!C2415</f>
        <v>360</v>
      </c>
      <c r="X57" s="1">
        <f t="shared" si="18"/>
        <v>197</v>
      </c>
      <c r="Y57" s="1">
        <f ca="1">X57*U57*控制台!$E$2355/控制台!$E$2356</f>
        <v>676695</v>
      </c>
      <c r="Z57" s="5">
        <f ca="1" t="shared" si="19"/>
        <v>994875</v>
      </c>
    </row>
    <row r="58" spans="3:26"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T58" s="1"/>
      <c r="Z58" s="5"/>
    </row>
    <row r="59" spans="3:26"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T59" s="1"/>
      <c r="Z59" s="5"/>
    </row>
    <row r="60" spans="3:26"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T60" s="1"/>
      <c r="Z60" s="5"/>
    </row>
    <row r="62" s="2" customFormat="1" spans="1:1">
      <c r="A62" s="2" t="s">
        <v>2885</v>
      </c>
    </row>
    <row r="64" spans="1:6">
      <c r="A64" s="1" t="s">
        <v>382</v>
      </c>
      <c r="B64" s="1" t="s">
        <v>2759</v>
      </c>
      <c r="C64" s="1" t="s">
        <v>381</v>
      </c>
      <c r="D64" s="1" t="s">
        <v>1391</v>
      </c>
      <c r="E64" s="1" t="s">
        <v>2760</v>
      </c>
      <c r="F64" s="5" t="s">
        <v>864</v>
      </c>
    </row>
    <row r="65" spans="1:6">
      <c r="A65" s="7">
        <v>0</v>
      </c>
      <c r="B65" s="1">
        <f>A65</f>
        <v>0</v>
      </c>
      <c r="C65" s="1">
        <f ca="1">OFFSET(控制台!$B$2364,MATCH(A65,控制台!$C$2364:$C$2414,1)-1,0)</f>
        <v>10</v>
      </c>
      <c r="D65" s="1">
        <f ca="1">IFERROR(OFFSET($U$8,MATCH(C65,$A$8:$A$57,0)-1,0),0)*控制台!$E$2355/控制台!$E$2356</f>
        <v>330</v>
      </c>
      <c r="E65" s="1">
        <f ca="1" t="shared" ref="E65:E128" si="27">D65*B65</f>
        <v>0</v>
      </c>
      <c r="F65" s="5">
        <f ca="1">E65</f>
        <v>0</v>
      </c>
    </row>
    <row r="66" spans="1:6">
      <c r="A66" s="7">
        <v>0.1</v>
      </c>
      <c r="B66" s="1">
        <f>A66-A65</f>
        <v>0.1</v>
      </c>
      <c r="C66" s="1">
        <f ca="1">OFFSET(控制台!$B$2364,MATCH(A66,控制台!$C$2364:$C$2414,1)-1,0)</f>
        <v>10</v>
      </c>
      <c r="D66" s="1">
        <f ca="1">IFERROR(OFFSET($U$8,MATCH(C66,$A$8:$A$57,0)-1,0),0)*控制台!$E$2355/控制台!$E$2356</f>
        <v>330</v>
      </c>
      <c r="E66" s="1">
        <f ca="1" t="shared" si="27"/>
        <v>33</v>
      </c>
      <c r="F66" s="5">
        <f ca="1">F65+E66</f>
        <v>33</v>
      </c>
    </row>
    <row r="67" spans="1:6">
      <c r="A67" s="7">
        <v>0.2</v>
      </c>
      <c r="B67" s="1">
        <f t="shared" ref="B67:B130" si="28">A67-A66</f>
        <v>0.1</v>
      </c>
      <c r="C67" s="1">
        <f ca="1">OFFSET(控制台!$B$2364,MATCH(A67,控制台!$C$2364:$C$2414,1)-1,0)</f>
        <v>10</v>
      </c>
      <c r="D67" s="1">
        <f ca="1">IFERROR(OFFSET($U$8,MATCH(C67,$A$8:$A$57,0)-1,0),0)*控制台!$E$2355/控制台!$E$2356</f>
        <v>330</v>
      </c>
      <c r="E67" s="1">
        <f ca="1" t="shared" si="27"/>
        <v>33</v>
      </c>
      <c r="F67" s="5">
        <f ca="1" t="shared" ref="F67:F130" si="29">F66+E67</f>
        <v>66</v>
      </c>
    </row>
    <row r="68" spans="1:6">
      <c r="A68" s="7">
        <v>0.3</v>
      </c>
      <c r="B68" s="1">
        <f t="shared" si="28"/>
        <v>0.1</v>
      </c>
      <c r="C68" s="1">
        <f ca="1">OFFSET(控制台!$B$2364,MATCH(A68,控制台!$C$2364:$C$2414,1)-1,0)</f>
        <v>10</v>
      </c>
      <c r="D68" s="1">
        <f ca="1">IFERROR(OFFSET($U$8,MATCH(C68,$A$8:$A$57,0)-1,0),0)*控制台!$E$2355/控制台!$E$2356</f>
        <v>330</v>
      </c>
      <c r="E68" s="1">
        <f ca="1" t="shared" si="27"/>
        <v>33</v>
      </c>
      <c r="F68" s="5">
        <f ca="1" t="shared" si="29"/>
        <v>99</v>
      </c>
    </row>
    <row r="69" spans="1:6">
      <c r="A69" s="7">
        <v>0.4</v>
      </c>
      <c r="B69" s="1">
        <f t="shared" si="28"/>
        <v>0.1</v>
      </c>
      <c r="C69" s="1">
        <f ca="1">OFFSET(控制台!$B$2364,MATCH(A69,控制台!$C$2364:$C$2414,1)-1,0)</f>
        <v>10</v>
      </c>
      <c r="D69" s="1">
        <f ca="1">IFERROR(OFFSET($U$8,MATCH(C69,$A$8:$A$57,0)-1,0),0)*控制台!$E$2355/控制台!$E$2356</f>
        <v>330</v>
      </c>
      <c r="E69" s="1">
        <f ca="1" t="shared" si="27"/>
        <v>33</v>
      </c>
      <c r="F69" s="5">
        <f ca="1" t="shared" si="29"/>
        <v>132</v>
      </c>
    </row>
    <row r="70" spans="1:6">
      <c r="A70" s="7">
        <v>0.5</v>
      </c>
      <c r="B70" s="1">
        <f t="shared" si="28"/>
        <v>0.1</v>
      </c>
      <c r="C70" s="1">
        <f ca="1">OFFSET(控制台!$B$2364,MATCH(A70,控制台!$C$2364:$C$2414,1)-1,0)</f>
        <v>10</v>
      </c>
      <c r="D70" s="1">
        <f ca="1">IFERROR(OFFSET($U$8,MATCH(C70,$A$8:$A$57,0)-1,0),0)*控制台!$E$2355/控制台!$E$2356</f>
        <v>330</v>
      </c>
      <c r="E70" s="1">
        <f ca="1" t="shared" si="27"/>
        <v>33</v>
      </c>
      <c r="F70" s="5">
        <f ca="1" t="shared" si="29"/>
        <v>165</v>
      </c>
    </row>
    <row r="71" spans="1:6">
      <c r="A71" s="7">
        <v>0.6</v>
      </c>
      <c r="B71" s="1">
        <f t="shared" si="28"/>
        <v>0.1</v>
      </c>
      <c r="C71" s="1">
        <f ca="1">OFFSET(控制台!$B$2364,MATCH(A71,控制台!$C$2364:$C$2414,1)-1,0)</f>
        <v>10</v>
      </c>
      <c r="D71" s="1">
        <f ca="1">IFERROR(OFFSET($U$8,MATCH(C71,$A$8:$A$57,0)-1,0),0)*控制台!$E$2355/控制台!$E$2356</f>
        <v>330</v>
      </c>
      <c r="E71" s="1">
        <f ca="1" t="shared" si="27"/>
        <v>33</v>
      </c>
      <c r="F71" s="5">
        <f ca="1" t="shared" si="29"/>
        <v>198</v>
      </c>
    </row>
    <row r="72" spans="1:6">
      <c r="A72" s="7">
        <v>0.7</v>
      </c>
      <c r="B72" s="1">
        <f t="shared" si="28"/>
        <v>0.1</v>
      </c>
      <c r="C72" s="1">
        <f ca="1">OFFSET(控制台!$B$2364,MATCH(A72,控制台!$C$2364:$C$2414,1)-1,0)</f>
        <v>10</v>
      </c>
      <c r="D72" s="1">
        <f ca="1">IFERROR(OFFSET($U$8,MATCH(C72,$A$8:$A$57,0)-1,0),0)*控制台!$E$2355/控制台!$E$2356</f>
        <v>330</v>
      </c>
      <c r="E72" s="1">
        <f ca="1" t="shared" si="27"/>
        <v>33</v>
      </c>
      <c r="F72" s="5">
        <f ca="1" t="shared" si="29"/>
        <v>231</v>
      </c>
    </row>
    <row r="73" spans="1:6">
      <c r="A73" s="7">
        <v>0.8</v>
      </c>
      <c r="B73" s="1">
        <f t="shared" si="28"/>
        <v>0.1</v>
      </c>
      <c r="C73" s="1">
        <f ca="1">OFFSET(控制台!$B$2364,MATCH(A73,控制台!$C$2364:$C$2414,1)-1,0)</f>
        <v>10</v>
      </c>
      <c r="D73" s="1">
        <f ca="1">IFERROR(OFFSET($U$8,MATCH(C73,$A$8:$A$57,0)-1,0),0)*控制台!$E$2355/控制台!$E$2356</f>
        <v>330</v>
      </c>
      <c r="E73" s="1">
        <f ca="1" t="shared" si="27"/>
        <v>33</v>
      </c>
      <c r="F73" s="5">
        <f ca="1" t="shared" si="29"/>
        <v>264</v>
      </c>
    </row>
    <row r="74" spans="1:6">
      <c r="A74" s="7">
        <v>0.9</v>
      </c>
      <c r="B74" s="1">
        <f t="shared" si="28"/>
        <v>0.1</v>
      </c>
      <c r="C74" s="1">
        <f ca="1">OFFSET(控制台!$B$2364,MATCH(A74,控制台!$C$2364:$C$2414,1)-1,0)</f>
        <v>10</v>
      </c>
      <c r="D74" s="1">
        <f ca="1">IFERROR(OFFSET($U$8,MATCH(C74,$A$8:$A$57,0)-1,0),0)*控制台!$E$2355/控制台!$E$2356</f>
        <v>330</v>
      </c>
      <c r="E74" s="1">
        <f ca="1" t="shared" si="27"/>
        <v>33</v>
      </c>
      <c r="F74" s="5">
        <f ca="1" t="shared" si="29"/>
        <v>297</v>
      </c>
    </row>
    <row r="75" spans="1:6">
      <c r="A75" s="7">
        <v>1</v>
      </c>
      <c r="B75" s="1">
        <f t="shared" si="28"/>
        <v>0.1</v>
      </c>
      <c r="C75" s="1">
        <f ca="1">OFFSET(控制台!$B$2364,MATCH(A75,控制台!$C$2364:$C$2414,1)-1,0)</f>
        <v>11</v>
      </c>
      <c r="D75" s="1">
        <f ca="1">IFERROR(OFFSET($U$8,MATCH(C75,$A$8:$A$57,0)-1,0),0)*控制台!$E$2355/控制台!$E$2356</f>
        <v>345</v>
      </c>
      <c r="E75" s="1">
        <f ca="1" t="shared" si="27"/>
        <v>34.5</v>
      </c>
      <c r="F75" s="5">
        <f ca="1" t="shared" si="29"/>
        <v>331.5</v>
      </c>
    </row>
    <row r="76" spans="1:6">
      <c r="A76" s="9">
        <v>1.5</v>
      </c>
      <c r="B76" s="1">
        <f t="shared" si="28"/>
        <v>0.5</v>
      </c>
      <c r="C76" s="1">
        <f ca="1">OFFSET(控制台!$B$2364,MATCH(A76,控制台!$C$2364:$C$2414,1)-1,0)</f>
        <v>11</v>
      </c>
      <c r="D76" s="1">
        <f ca="1">IFERROR(OFFSET($U$8,MATCH(C76,$A$8:$A$57,0)-1,0),0)*控制台!$E$2355/控制台!$E$2356</f>
        <v>345</v>
      </c>
      <c r="E76" s="1">
        <f ca="1" t="shared" si="27"/>
        <v>172.5</v>
      </c>
      <c r="F76" s="5">
        <f ca="1" t="shared" si="29"/>
        <v>504</v>
      </c>
    </row>
    <row r="77" spans="1:6">
      <c r="A77" s="9">
        <v>2</v>
      </c>
      <c r="B77" s="1">
        <f t="shared" si="28"/>
        <v>0.5</v>
      </c>
      <c r="C77" s="1">
        <f ca="1">OFFSET(控制台!$B$2364,MATCH(A77,控制台!$C$2364:$C$2414,1)-1,0)</f>
        <v>12</v>
      </c>
      <c r="D77" s="1">
        <f ca="1">IFERROR(OFFSET($U$8,MATCH(C77,$A$8:$A$57,0)-1,0),0)*控制台!$E$2355/控制台!$E$2356</f>
        <v>360</v>
      </c>
      <c r="E77" s="1">
        <f ca="1" t="shared" si="27"/>
        <v>180</v>
      </c>
      <c r="F77" s="5">
        <f ca="1" t="shared" si="29"/>
        <v>684</v>
      </c>
    </row>
    <row r="78" spans="1:6">
      <c r="A78" s="9">
        <v>2.5</v>
      </c>
      <c r="B78" s="1">
        <f t="shared" si="28"/>
        <v>0.5</v>
      </c>
      <c r="C78" s="1">
        <f ca="1">OFFSET(控制台!$B$2364,MATCH(A78,控制台!$C$2364:$C$2414,1)-1,0)</f>
        <v>12</v>
      </c>
      <c r="D78" s="1">
        <f ca="1">IFERROR(OFFSET($U$8,MATCH(C78,$A$8:$A$57,0)-1,0),0)*控制台!$E$2355/控制台!$E$2356</f>
        <v>360</v>
      </c>
      <c r="E78" s="1">
        <f ca="1" t="shared" si="27"/>
        <v>180</v>
      </c>
      <c r="F78" s="5">
        <f ca="1" t="shared" si="29"/>
        <v>864</v>
      </c>
    </row>
    <row r="79" spans="1:6">
      <c r="A79" s="9">
        <v>3</v>
      </c>
      <c r="B79" s="1">
        <f t="shared" si="28"/>
        <v>0.5</v>
      </c>
      <c r="C79" s="1">
        <f ca="1">OFFSET(控制台!$B$2364,MATCH(A79,控制台!$C$2364:$C$2414,1)-1,0)</f>
        <v>13</v>
      </c>
      <c r="D79" s="1">
        <f ca="1">IFERROR(OFFSET($U$8,MATCH(C79,$A$8:$A$57,0)-1,0),0)*控制台!$E$2355/控制台!$E$2356</f>
        <v>525</v>
      </c>
      <c r="E79" s="1">
        <f ca="1" t="shared" si="27"/>
        <v>262.5</v>
      </c>
      <c r="F79" s="5">
        <f ca="1" t="shared" si="29"/>
        <v>1126.5</v>
      </c>
    </row>
    <row r="80" spans="1:6">
      <c r="A80" s="9">
        <v>3.5</v>
      </c>
      <c r="B80" s="1">
        <f t="shared" si="28"/>
        <v>0.5</v>
      </c>
      <c r="C80" s="1">
        <f ca="1">OFFSET(控制台!$B$2364,MATCH(A80,控制台!$C$2364:$C$2414,1)-1,0)</f>
        <v>13</v>
      </c>
      <c r="D80" s="1">
        <f ca="1">IFERROR(OFFSET($U$8,MATCH(C80,$A$8:$A$57,0)-1,0),0)*控制台!$E$2355/控制台!$E$2356</f>
        <v>525</v>
      </c>
      <c r="E80" s="1">
        <f ca="1" t="shared" si="27"/>
        <v>262.5</v>
      </c>
      <c r="F80" s="5">
        <f ca="1" t="shared" si="29"/>
        <v>1389</v>
      </c>
    </row>
    <row r="81" spans="1:6">
      <c r="A81" s="9">
        <v>4</v>
      </c>
      <c r="B81" s="1">
        <f t="shared" si="28"/>
        <v>0.5</v>
      </c>
      <c r="C81" s="1">
        <f ca="1">OFFSET(控制台!$B$2364,MATCH(A81,控制台!$C$2364:$C$2414,1)-1,0)</f>
        <v>14</v>
      </c>
      <c r="D81" s="1">
        <f ca="1">IFERROR(OFFSET($U$8,MATCH(C81,$A$8:$A$57,0)-1,0),0)*控制台!$E$2355/控制台!$E$2356</f>
        <v>540</v>
      </c>
      <c r="E81" s="1">
        <f ca="1" t="shared" si="27"/>
        <v>270</v>
      </c>
      <c r="F81" s="5">
        <f ca="1" t="shared" si="29"/>
        <v>1659</v>
      </c>
    </row>
    <row r="82" spans="1:6">
      <c r="A82" s="9">
        <v>4.5</v>
      </c>
      <c r="B82" s="1">
        <f t="shared" si="28"/>
        <v>0.5</v>
      </c>
      <c r="C82" s="1">
        <f ca="1">OFFSET(控制台!$B$2364,MATCH(A82,控制台!$C$2364:$C$2414,1)-1,0)</f>
        <v>14</v>
      </c>
      <c r="D82" s="1">
        <f ca="1">IFERROR(OFFSET($U$8,MATCH(C82,$A$8:$A$57,0)-1,0),0)*控制台!$E$2355/控制台!$E$2356</f>
        <v>540</v>
      </c>
      <c r="E82" s="1">
        <f ca="1" t="shared" si="27"/>
        <v>270</v>
      </c>
      <c r="F82" s="5">
        <f ca="1" t="shared" si="29"/>
        <v>1929</v>
      </c>
    </row>
    <row r="83" spans="1:6">
      <c r="A83" s="9">
        <v>5</v>
      </c>
      <c r="B83" s="1">
        <f t="shared" si="28"/>
        <v>0.5</v>
      </c>
      <c r="C83" s="1">
        <f ca="1">OFFSET(控制台!$B$2364,MATCH(A83,控制台!$C$2364:$C$2414,1)-1,0)</f>
        <v>15</v>
      </c>
      <c r="D83" s="1">
        <f ca="1">IFERROR(OFFSET($U$8,MATCH(C83,$A$8:$A$57,0)-1,0),0)*控制台!$E$2355/控制台!$E$2356</f>
        <v>555</v>
      </c>
      <c r="E83" s="1">
        <f ca="1" t="shared" si="27"/>
        <v>277.5</v>
      </c>
      <c r="F83" s="5">
        <f ca="1" t="shared" si="29"/>
        <v>2206.5</v>
      </c>
    </row>
    <row r="84" spans="1:6">
      <c r="A84" s="9">
        <v>5.5</v>
      </c>
      <c r="B84" s="1">
        <f t="shared" si="28"/>
        <v>0.5</v>
      </c>
      <c r="C84" s="1">
        <f ca="1">OFFSET(控制台!$B$2364,MATCH(A84,控制台!$C$2364:$C$2414,1)-1,0)</f>
        <v>15</v>
      </c>
      <c r="D84" s="1">
        <f ca="1">IFERROR(OFFSET($U$8,MATCH(C84,$A$8:$A$57,0)-1,0),0)*控制台!$E$2355/控制台!$E$2356</f>
        <v>555</v>
      </c>
      <c r="E84" s="1">
        <f ca="1" t="shared" si="27"/>
        <v>277.5</v>
      </c>
      <c r="F84" s="5">
        <f ca="1" t="shared" si="29"/>
        <v>2484</v>
      </c>
    </row>
    <row r="85" spans="1:6">
      <c r="A85" s="9">
        <v>6</v>
      </c>
      <c r="B85" s="1">
        <f t="shared" si="28"/>
        <v>0.5</v>
      </c>
      <c r="C85" s="1">
        <f ca="1">OFFSET(控制台!$B$2364,MATCH(A85,控制台!$C$2364:$C$2414,1)-1,0)</f>
        <v>16</v>
      </c>
      <c r="D85" s="1">
        <f ca="1">IFERROR(OFFSET($U$8,MATCH(C85,$A$8:$A$57,0)-1,0),0)*控制台!$E$2355/控制台!$E$2356</f>
        <v>570</v>
      </c>
      <c r="E85" s="1">
        <f ca="1" t="shared" si="27"/>
        <v>285</v>
      </c>
      <c r="F85" s="5">
        <f ca="1" t="shared" si="29"/>
        <v>2769</v>
      </c>
    </row>
    <row r="86" spans="1:6">
      <c r="A86" s="9">
        <v>6.5</v>
      </c>
      <c r="B86" s="1">
        <f t="shared" si="28"/>
        <v>0.5</v>
      </c>
      <c r="C86" s="1">
        <f ca="1">OFFSET(控制台!$B$2364,MATCH(A86,控制台!$C$2364:$C$2414,1)-1,0)</f>
        <v>16</v>
      </c>
      <c r="D86" s="1">
        <f ca="1">IFERROR(OFFSET($U$8,MATCH(C86,$A$8:$A$57,0)-1,0),0)*控制台!$E$2355/控制台!$E$2356</f>
        <v>570</v>
      </c>
      <c r="E86" s="1">
        <f ca="1" t="shared" si="27"/>
        <v>285</v>
      </c>
      <c r="F86" s="5">
        <f ca="1" t="shared" si="29"/>
        <v>3054</v>
      </c>
    </row>
    <row r="87" spans="1:6">
      <c r="A87" s="9">
        <v>7</v>
      </c>
      <c r="B87" s="1">
        <f t="shared" si="28"/>
        <v>0.5</v>
      </c>
      <c r="C87" s="1">
        <f ca="1">OFFSET(控制台!$B$2364,MATCH(A87,控制台!$C$2364:$C$2414,1)-1,0)</f>
        <v>17</v>
      </c>
      <c r="D87" s="1">
        <f ca="1">IFERROR(OFFSET($U$8,MATCH(C87,$A$8:$A$57,0)-1,0),0)*控制台!$E$2355/控制台!$E$2356</f>
        <v>585</v>
      </c>
      <c r="E87" s="1">
        <f ca="1" t="shared" si="27"/>
        <v>292.5</v>
      </c>
      <c r="F87" s="5">
        <f ca="1" t="shared" si="29"/>
        <v>3346.5</v>
      </c>
    </row>
    <row r="88" spans="1:6">
      <c r="A88" s="10">
        <v>8</v>
      </c>
      <c r="B88" s="1">
        <f t="shared" si="28"/>
        <v>1</v>
      </c>
      <c r="C88" s="1">
        <f ca="1">OFFSET(控制台!$B$2364,MATCH(A88,控制台!$C$2364:$C$2414,1)-1,0)</f>
        <v>18</v>
      </c>
      <c r="D88" s="1">
        <f ca="1">IFERROR(OFFSET($U$8,MATCH(C88,$A$8:$A$57,0)-1,0),0)*控制台!$E$2355/控制台!$E$2356</f>
        <v>600</v>
      </c>
      <c r="E88" s="1">
        <f ca="1" t="shared" si="27"/>
        <v>600</v>
      </c>
      <c r="F88" s="5">
        <f ca="1" t="shared" si="29"/>
        <v>3946.5</v>
      </c>
    </row>
    <row r="89" spans="1:6">
      <c r="A89" s="10">
        <v>9</v>
      </c>
      <c r="B89" s="1">
        <f t="shared" si="28"/>
        <v>1</v>
      </c>
      <c r="C89" s="1">
        <f ca="1">OFFSET(控制台!$B$2364,MATCH(A89,控制台!$C$2364:$C$2414,1)-1,0)</f>
        <v>19</v>
      </c>
      <c r="D89" s="1">
        <f ca="1">IFERROR(OFFSET($U$8,MATCH(C89,$A$8:$A$57,0)-1,0),0)*控制台!$E$2355/控制台!$E$2356</f>
        <v>750</v>
      </c>
      <c r="E89" s="1">
        <f ca="1" t="shared" si="27"/>
        <v>750</v>
      </c>
      <c r="F89" s="5">
        <f ca="1" t="shared" si="29"/>
        <v>4696.5</v>
      </c>
    </row>
    <row r="90" spans="1:6">
      <c r="A90" s="10">
        <v>10</v>
      </c>
      <c r="B90" s="1">
        <f t="shared" si="28"/>
        <v>1</v>
      </c>
      <c r="C90" s="1">
        <f ca="1">OFFSET(控制台!$B$2364,MATCH(A90,控制台!$C$2364:$C$2414,1)-1,0)</f>
        <v>20</v>
      </c>
      <c r="D90" s="1">
        <f ca="1">IFERROR(OFFSET($U$8,MATCH(C90,$A$8:$A$57,0)-1,0),0)*控制台!$E$2355/控制台!$E$2356</f>
        <v>765</v>
      </c>
      <c r="E90" s="1">
        <f ca="1" t="shared" si="27"/>
        <v>765</v>
      </c>
      <c r="F90" s="5">
        <f ca="1" t="shared" si="29"/>
        <v>5461.5</v>
      </c>
    </row>
    <row r="91" spans="1:6">
      <c r="A91" s="10">
        <v>11</v>
      </c>
      <c r="B91" s="1">
        <f t="shared" si="28"/>
        <v>1</v>
      </c>
      <c r="C91" s="1">
        <f ca="1">OFFSET(控制台!$B$2364,MATCH(A91,控制台!$C$2364:$C$2414,1)-1,0)</f>
        <v>20</v>
      </c>
      <c r="D91" s="1">
        <f ca="1">IFERROR(OFFSET($U$8,MATCH(C91,$A$8:$A$57,0)-1,0),0)*控制台!$E$2355/控制台!$E$2356</f>
        <v>765</v>
      </c>
      <c r="E91" s="1">
        <f ca="1" t="shared" si="27"/>
        <v>765</v>
      </c>
      <c r="F91" s="5">
        <f ca="1" t="shared" si="29"/>
        <v>6226.5</v>
      </c>
    </row>
    <row r="92" spans="1:6">
      <c r="A92" s="10">
        <v>12</v>
      </c>
      <c r="B92" s="1">
        <f t="shared" si="28"/>
        <v>1</v>
      </c>
      <c r="C92" s="1">
        <f ca="1">OFFSET(控制台!$B$2364,MATCH(A92,控制台!$C$2364:$C$2414,1)-1,0)</f>
        <v>20</v>
      </c>
      <c r="D92" s="1">
        <f ca="1">IFERROR(OFFSET($U$8,MATCH(C92,$A$8:$A$57,0)-1,0),0)*控制台!$E$2355/控制台!$E$2356</f>
        <v>765</v>
      </c>
      <c r="E92" s="1">
        <f ca="1" t="shared" si="27"/>
        <v>765</v>
      </c>
      <c r="F92" s="5">
        <f ca="1" t="shared" si="29"/>
        <v>6991.5</v>
      </c>
    </row>
    <row r="93" spans="1:6">
      <c r="A93" s="10">
        <v>13</v>
      </c>
      <c r="B93" s="1">
        <f t="shared" si="28"/>
        <v>1</v>
      </c>
      <c r="C93" s="1">
        <f ca="1">OFFSET(控制台!$B$2364,MATCH(A93,控制台!$C$2364:$C$2414,1)-1,0)</f>
        <v>21</v>
      </c>
      <c r="D93" s="1">
        <f ca="1">IFERROR(OFFSET($U$8,MATCH(C93,$A$8:$A$57,0)-1,0),0)*控制台!$E$2355/控制台!$E$2356</f>
        <v>780</v>
      </c>
      <c r="E93" s="1">
        <f ca="1" t="shared" si="27"/>
        <v>780</v>
      </c>
      <c r="F93" s="5">
        <f ca="1" t="shared" si="29"/>
        <v>7771.5</v>
      </c>
    </row>
    <row r="94" spans="1:6">
      <c r="A94" s="10">
        <v>14</v>
      </c>
      <c r="B94" s="1">
        <f t="shared" si="28"/>
        <v>1</v>
      </c>
      <c r="C94" s="1">
        <f ca="1">OFFSET(控制台!$B$2364,MATCH(A94,控制台!$C$2364:$C$2414,1)-1,0)</f>
        <v>21</v>
      </c>
      <c r="D94" s="1">
        <f ca="1">IFERROR(OFFSET($U$8,MATCH(C94,$A$8:$A$57,0)-1,0),0)*控制台!$E$2355/控制台!$E$2356</f>
        <v>780</v>
      </c>
      <c r="E94" s="1">
        <f ca="1" t="shared" si="27"/>
        <v>780</v>
      </c>
      <c r="F94" s="5">
        <f ca="1" t="shared" si="29"/>
        <v>8551.5</v>
      </c>
    </row>
    <row r="95" spans="1:6">
      <c r="A95" s="10">
        <v>15</v>
      </c>
      <c r="B95" s="1">
        <f t="shared" si="28"/>
        <v>1</v>
      </c>
      <c r="C95" s="1">
        <f ca="1">OFFSET(控制台!$B$2364,MATCH(A95,控制台!$C$2364:$C$2414,1)-1,0)</f>
        <v>21</v>
      </c>
      <c r="D95" s="1">
        <f ca="1">IFERROR(OFFSET($U$8,MATCH(C95,$A$8:$A$57,0)-1,0),0)*控制台!$E$2355/控制台!$E$2356</f>
        <v>780</v>
      </c>
      <c r="E95" s="1">
        <f ca="1" t="shared" si="27"/>
        <v>780</v>
      </c>
      <c r="F95" s="5">
        <f ca="1" t="shared" si="29"/>
        <v>9331.5</v>
      </c>
    </row>
    <row r="96" spans="1:6">
      <c r="A96" s="10">
        <v>16</v>
      </c>
      <c r="B96" s="1">
        <f t="shared" si="28"/>
        <v>1</v>
      </c>
      <c r="C96" s="1">
        <f ca="1">OFFSET(控制台!$B$2364,MATCH(A96,控制台!$C$2364:$C$2414,1)-1,0)</f>
        <v>22</v>
      </c>
      <c r="D96" s="1">
        <f ca="1">IFERROR(OFFSET($U$8,MATCH(C96,$A$8:$A$57,0)-1,0),0)*控制台!$E$2355/控制台!$E$2356</f>
        <v>795</v>
      </c>
      <c r="E96" s="1">
        <f ca="1" t="shared" si="27"/>
        <v>795</v>
      </c>
      <c r="F96" s="5">
        <f ca="1" t="shared" si="29"/>
        <v>10126.5</v>
      </c>
    </row>
    <row r="97" spans="1:6">
      <c r="A97" s="10">
        <v>17</v>
      </c>
      <c r="B97" s="1">
        <f t="shared" si="28"/>
        <v>1</v>
      </c>
      <c r="C97" s="1">
        <f ca="1">OFFSET(控制台!$B$2364,MATCH(A97,控制台!$C$2364:$C$2414,1)-1,0)</f>
        <v>22</v>
      </c>
      <c r="D97" s="1">
        <f ca="1">IFERROR(OFFSET($U$8,MATCH(C97,$A$8:$A$57,0)-1,0),0)*控制台!$E$2355/控制台!$E$2356</f>
        <v>795</v>
      </c>
      <c r="E97" s="1">
        <f ca="1" t="shared" si="27"/>
        <v>795</v>
      </c>
      <c r="F97" s="5">
        <f ca="1" t="shared" si="29"/>
        <v>10921.5</v>
      </c>
    </row>
    <row r="98" spans="1:6">
      <c r="A98" s="10">
        <v>18</v>
      </c>
      <c r="B98" s="1">
        <f t="shared" si="28"/>
        <v>1</v>
      </c>
      <c r="C98" s="1">
        <f ca="1">OFFSET(控制台!$B$2364,MATCH(A98,控制台!$C$2364:$C$2414,1)-1,0)</f>
        <v>22</v>
      </c>
      <c r="D98" s="1">
        <f ca="1">IFERROR(OFFSET($U$8,MATCH(C98,$A$8:$A$57,0)-1,0),0)*控制台!$E$2355/控制台!$E$2356</f>
        <v>795</v>
      </c>
      <c r="E98" s="1">
        <f ca="1" t="shared" si="27"/>
        <v>795</v>
      </c>
      <c r="F98" s="5">
        <f ca="1" t="shared" si="29"/>
        <v>11716.5</v>
      </c>
    </row>
    <row r="99" spans="1:6">
      <c r="A99" s="10">
        <v>19</v>
      </c>
      <c r="B99" s="1">
        <f t="shared" si="28"/>
        <v>1</v>
      </c>
      <c r="C99" s="1">
        <f ca="1">OFFSET(控制台!$B$2364,MATCH(A99,控制台!$C$2364:$C$2414,1)-1,0)</f>
        <v>23</v>
      </c>
      <c r="D99" s="1">
        <f ca="1">IFERROR(OFFSET($U$8,MATCH(C99,$A$8:$A$57,0)-1,0),0)*控制台!$E$2355/控制台!$E$2356</f>
        <v>810</v>
      </c>
      <c r="E99" s="1">
        <f ca="1" t="shared" si="27"/>
        <v>810</v>
      </c>
      <c r="F99" s="5">
        <f ca="1" t="shared" si="29"/>
        <v>12526.5</v>
      </c>
    </row>
    <row r="100" spans="1:6">
      <c r="A100" s="10">
        <v>20</v>
      </c>
      <c r="B100" s="1">
        <f t="shared" si="28"/>
        <v>1</v>
      </c>
      <c r="C100" s="1">
        <f ca="1">OFFSET(控制台!$B$2364,MATCH(A100,控制台!$C$2364:$C$2414,1)-1,0)</f>
        <v>23</v>
      </c>
      <c r="D100" s="1">
        <f ca="1">IFERROR(OFFSET($U$8,MATCH(C100,$A$8:$A$57,0)-1,0),0)*控制台!$E$2355/控制台!$E$2356</f>
        <v>810</v>
      </c>
      <c r="E100" s="1">
        <f ca="1" t="shared" si="27"/>
        <v>810</v>
      </c>
      <c r="F100" s="5">
        <f ca="1" t="shared" si="29"/>
        <v>13336.5</v>
      </c>
    </row>
    <row r="101" spans="1:6">
      <c r="A101" s="10">
        <v>21</v>
      </c>
      <c r="B101" s="1">
        <f t="shared" si="28"/>
        <v>1</v>
      </c>
      <c r="C101" s="1">
        <f ca="1">OFFSET(控制台!$B$2364,MATCH(A101,控制台!$C$2364:$C$2414,1)-1,0)</f>
        <v>23</v>
      </c>
      <c r="D101" s="1">
        <f ca="1">IFERROR(OFFSET($U$8,MATCH(C101,$A$8:$A$57,0)-1,0),0)*控制台!$E$2355/控制台!$E$2356</f>
        <v>810</v>
      </c>
      <c r="E101" s="1">
        <f ca="1" t="shared" si="27"/>
        <v>810</v>
      </c>
      <c r="F101" s="5">
        <f ca="1" t="shared" si="29"/>
        <v>14146.5</v>
      </c>
    </row>
    <row r="102" spans="1:6">
      <c r="A102" s="10">
        <v>22</v>
      </c>
      <c r="B102" s="1">
        <f t="shared" si="28"/>
        <v>1</v>
      </c>
      <c r="C102" s="1">
        <f ca="1">OFFSET(控制台!$B$2364,MATCH(A102,控制台!$C$2364:$C$2414,1)-1,0)</f>
        <v>24</v>
      </c>
      <c r="D102" s="1">
        <f ca="1">IFERROR(OFFSET($U$8,MATCH(C102,$A$8:$A$57,0)-1,0),0)*控制台!$E$2355/控制台!$E$2356</f>
        <v>900</v>
      </c>
      <c r="E102" s="1">
        <f ca="1" t="shared" si="27"/>
        <v>900</v>
      </c>
      <c r="F102" s="5">
        <f ca="1" t="shared" si="29"/>
        <v>15046.5</v>
      </c>
    </row>
    <row r="103" spans="1:6">
      <c r="A103" s="10">
        <v>23</v>
      </c>
      <c r="B103" s="1">
        <f t="shared" si="28"/>
        <v>1</v>
      </c>
      <c r="C103" s="1">
        <f ca="1">OFFSET(控制台!$B$2364,MATCH(A103,控制台!$C$2364:$C$2414,1)-1,0)</f>
        <v>24</v>
      </c>
      <c r="D103" s="1">
        <f ca="1">IFERROR(OFFSET($U$8,MATCH(C103,$A$8:$A$57,0)-1,0),0)*控制台!$E$2355/控制台!$E$2356</f>
        <v>900</v>
      </c>
      <c r="E103" s="1">
        <f ca="1" t="shared" si="27"/>
        <v>900</v>
      </c>
      <c r="F103" s="5">
        <f ca="1" t="shared" si="29"/>
        <v>15946.5</v>
      </c>
    </row>
    <row r="104" spans="1:6">
      <c r="A104" s="10">
        <v>24</v>
      </c>
      <c r="B104" s="1">
        <f t="shared" si="28"/>
        <v>1</v>
      </c>
      <c r="C104" s="1">
        <f ca="1">OFFSET(控制台!$B$2364,MATCH(A104,控制台!$C$2364:$C$2414,1)-1,0)</f>
        <v>24</v>
      </c>
      <c r="D104" s="1">
        <f ca="1">IFERROR(OFFSET($U$8,MATCH(C104,$A$8:$A$57,0)-1,0),0)*控制台!$E$2355/控制台!$E$2356</f>
        <v>900</v>
      </c>
      <c r="E104" s="1">
        <f ca="1" t="shared" si="27"/>
        <v>900</v>
      </c>
      <c r="F104" s="5">
        <f ca="1" t="shared" si="29"/>
        <v>16846.5</v>
      </c>
    </row>
    <row r="105" spans="1:6">
      <c r="A105" s="10">
        <v>25</v>
      </c>
      <c r="B105" s="1">
        <f t="shared" si="28"/>
        <v>1</v>
      </c>
      <c r="C105" s="1">
        <f ca="1">OFFSET(控制台!$B$2364,MATCH(A105,控制台!$C$2364:$C$2414,1)-1,0)</f>
        <v>25</v>
      </c>
      <c r="D105" s="1">
        <f ca="1">IFERROR(OFFSET($U$8,MATCH(C105,$A$8:$A$57,0)-1,0),0)*控制台!$E$2355/控制台!$E$2356</f>
        <v>1050</v>
      </c>
      <c r="E105" s="1">
        <f ca="1" t="shared" si="27"/>
        <v>1050</v>
      </c>
      <c r="F105" s="5">
        <f ca="1" t="shared" si="29"/>
        <v>17896.5</v>
      </c>
    </row>
    <row r="106" spans="1:6">
      <c r="A106" s="10">
        <v>26</v>
      </c>
      <c r="B106" s="1">
        <f t="shared" si="28"/>
        <v>1</v>
      </c>
      <c r="C106" s="1">
        <f ca="1">OFFSET(控制台!$B$2364,MATCH(A106,控制台!$C$2364:$C$2414,1)-1,0)</f>
        <v>25</v>
      </c>
      <c r="D106" s="1">
        <f ca="1">IFERROR(OFFSET($U$8,MATCH(C106,$A$8:$A$57,0)-1,0),0)*控制台!$E$2355/控制台!$E$2356</f>
        <v>1050</v>
      </c>
      <c r="E106" s="1">
        <f ca="1" t="shared" si="27"/>
        <v>1050</v>
      </c>
      <c r="F106" s="5">
        <f ca="1" t="shared" si="29"/>
        <v>18946.5</v>
      </c>
    </row>
    <row r="107" spans="1:6">
      <c r="A107" s="10">
        <v>27</v>
      </c>
      <c r="B107" s="1">
        <f t="shared" si="28"/>
        <v>1</v>
      </c>
      <c r="C107" s="1">
        <f ca="1">OFFSET(控制台!$B$2364,MATCH(A107,控制台!$C$2364:$C$2414,1)-1,0)</f>
        <v>25</v>
      </c>
      <c r="D107" s="1">
        <f ca="1">IFERROR(OFFSET($U$8,MATCH(C107,$A$8:$A$57,0)-1,0),0)*控制台!$E$2355/控制台!$E$2356</f>
        <v>1050</v>
      </c>
      <c r="E107" s="1">
        <f ca="1" t="shared" si="27"/>
        <v>1050</v>
      </c>
      <c r="F107" s="5">
        <f ca="1" t="shared" si="29"/>
        <v>19996.5</v>
      </c>
    </row>
    <row r="108" spans="1:6">
      <c r="A108" s="10">
        <v>28</v>
      </c>
      <c r="B108" s="1">
        <f t="shared" si="28"/>
        <v>1</v>
      </c>
      <c r="C108" s="1">
        <f ca="1">OFFSET(控制台!$B$2364,MATCH(A108,控制台!$C$2364:$C$2414,1)-1,0)</f>
        <v>25</v>
      </c>
      <c r="D108" s="1">
        <f ca="1">IFERROR(OFFSET($U$8,MATCH(C108,$A$8:$A$57,0)-1,0),0)*控制台!$E$2355/控制台!$E$2356</f>
        <v>1050</v>
      </c>
      <c r="E108" s="1">
        <f ca="1" t="shared" si="27"/>
        <v>1050</v>
      </c>
      <c r="F108" s="5">
        <f ca="1" t="shared" si="29"/>
        <v>21046.5</v>
      </c>
    </row>
    <row r="109" spans="1:6">
      <c r="A109" s="10">
        <v>29</v>
      </c>
      <c r="B109" s="1">
        <f t="shared" si="28"/>
        <v>1</v>
      </c>
      <c r="C109" s="1">
        <f ca="1">OFFSET(控制台!$B$2364,MATCH(A109,控制台!$C$2364:$C$2414,1)-1,0)</f>
        <v>25</v>
      </c>
      <c r="D109" s="1">
        <f ca="1">IFERROR(OFFSET($U$8,MATCH(C109,$A$8:$A$57,0)-1,0),0)*控制台!$E$2355/控制台!$E$2356</f>
        <v>1050</v>
      </c>
      <c r="E109" s="1">
        <f ca="1" t="shared" si="27"/>
        <v>1050</v>
      </c>
      <c r="F109" s="5">
        <f ca="1" t="shared" si="29"/>
        <v>22096.5</v>
      </c>
    </row>
    <row r="110" spans="1:6">
      <c r="A110" s="10">
        <v>30</v>
      </c>
      <c r="B110" s="1">
        <f t="shared" si="28"/>
        <v>1</v>
      </c>
      <c r="C110" s="1">
        <f ca="1">OFFSET(控制台!$B$2364,MATCH(A110,控制台!$C$2364:$C$2414,1)-1,0)</f>
        <v>25</v>
      </c>
      <c r="D110" s="1">
        <f ca="1">IFERROR(OFFSET($U$8,MATCH(C110,$A$8:$A$57,0)-1,0),0)*控制台!$E$2355/控制台!$E$2356</f>
        <v>1050</v>
      </c>
      <c r="E110" s="1">
        <f ca="1" t="shared" si="27"/>
        <v>1050</v>
      </c>
      <c r="F110" s="5">
        <f ca="1" t="shared" si="29"/>
        <v>23146.5</v>
      </c>
    </row>
    <row r="111" spans="1:6">
      <c r="A111" s="11">
        <v>35</v>
      </c>
      <c r="B111" s="1">
        <f t="shared" si="28"/>
        <v>5</v>
      </c>
      <c r="C111" s="1">
        <f ca="1">OFFSET(控制台!$B$2364,MATCH(A111,控制台!$C$2364:$C$2414,1)-1,0)</f>
        <v>26</v>
      </c>
      <c r="D111" s="1">
        <f ca="1">IFERROR(OFFSET($U$8,MATCH(C111,$A$8:$A$57,0)-1,0),0)*控制台!$E$2355/控制台!$E$2356</f>
        <v>1650</v>
      </c>
      <c r="E111" s="1">
        <f ca="1" t="shared" si="27"/>
        <v>8250</v>
      </c>
      <c r="F111" s="5">
        <f ca="1" t="shared" si="29"/>
        <v>31396.5</v>
      </c>
    </row>
    <row r="112" spans="1:6">
      <c r="A112" s="11">
        <v>40</v>
      </c>
      <c r="B112" s="1">
        <f t="shared" si="28"/>
        <v>5</v>
      </c>
      <c r="C112" s="1">
        <f ca="1">OFFSET(控制台!$B$2364,MATCH(A112,控制台!$C$2364:$C$2414,1)-1,0)</f>
        <v>27</v>
      </c>
      <c r="D112" s="1">
        <f ca="1">IFERROR(OFFSET($U$8,MATCH(C112,$A$8:$A$57,0)-1,0),0)*控制台!$E$2355/控制台!$E$2356</f>
        <v>1665</v>
      </c>
      <c r="E112" s="1">
        <f ca="1" t="shared" si="27"/>
        <v>8325</v>
      </c>
      <c r="F112" s="5">
        <f ca="1" t="shared" si="29"/>
        <v>39721.5</v>
      </c>
    </row>
    <row r="113" spans="1:6">
      <c r="A113" s="11">
        <v>45</v>
      </c>
      <c r="B113" s="1">
        <f t="shared" si="28"/>
        <v>5</v>
      </c>
      <c r="C113" s="1">
        <f ca="1">OFFSET(控制台!$B$2364,MATCH(A113,控制台!$C$2364:$C$2414,1)-1,0)</f>
        <v>28</v>
      </c>
      <c r="D113" s="1">
        <f ca="1">IFERROR(OFFSET($U$8,MATCH(C113,$A$8:$A$57,0)-1,0),0)*控制台!$E$2355/控制台!$E$2356</f>
        <v>1680</v>
      </c>
      <c r="E113" s="1">
        <f ca="1" t="shared" si="27"/>
        <v>8400</v>
      </c>
      <c r="F113" s="5">
        <f ca="1" t="shared" si="29"/>
        <v>48121.5</v>
      </c>
    </row>
    <row r="114" spans="1:6">
      <c r="A114" s="11">
        <v>50</v>
      </c>
      <c r="B114" s="1">
        <f t="shared" si="28"/>
        <v>5</v>
      </c>
      <c r="C114" s="1">
        <f ca="1">OFFSET(控制台!$B$2364,MATCH(A114,控制台!$C$2364:$C$2414,1)-1,0)</f>
        <v>29</v>
      </c>
      <c r="D114" s="1">
        <f ca="1">IFERROR(OFFSET($U$8,MATCH(C114,$A$8:$A$57,0)-1,0),0)*控制台!$E$2355/控制台!$E$2356</f>
        <v>1695</v>
      </c>
      <c r="E114" s="1">
        <f ca="1" t="shared" si="27"/>
        <v>8475</v>
      </c>
      <c r="F114" s="5">
        <f ca="1" t="shared" si="29"/>
        <v>56596.5</v>
      </c>
    </row>
    <row r="115" spans="1:6">
      <c r="A115" s="11">
        <v>55</v>
      </c>
      <c r="B115" s="1">
        <f t="shared" si="28"/>
        <v>5</v>
      </c>
      <c r="C115" s="1">
        <f ca="1">OFFSET(控制台!$B$2364,MATCH(A115,控制台!$C$2364:$C$2414,1)-1,0)</f>
        <v>30</v>
      </c>
      <c r="D115" s="1">
        <f ca="1">IFERROR(OFFSET($U$8,MATCH(C115,$A$8:$A$57,0)-1,0),0)*控制台!$E$2355/控制台!$E$2356</f>
        <v>1710</v>
      </c>
      <c r="E115" s="1">
        <f ca="1" t="shared" si="27"/>
        <v>8550</v>
      </c>
      <c r="F115" s="5">
        <f ca="1" t="shared" si="29"/>
        <v>65146.5</v>
      </c>
    </row>
    <row r="116" spans="1:6">
      <c r="A116" s="11">
        <v>60</v>
      </c>
      <c r="B116" s="1">
        <f t="shared" si="28"/>
        <v>5</v>
      </c>
      <c r="C116" s="1">
        <f ca="1">OFFSET(控制台!$B$2364,MATCH(A116,控制台!$C$2364:$C$2414,1)-1,0)</f>
        <v>30</v>
      </c>
      <c r="D116" s="1">
        <f ca="1">IFERROR(OFFSET($U$8,MATCH(C116,$A$8:$A$57,0)-1,0),0)*控制台!$E$2355/控制台!$E$2356</f>
        <v>1710</v>
      </c>
      <c r="E116" s="1">
        <f ca="1" t="shared" si="27"/>
        <v>8550</v>
      </c>
      <c r="F116" s="5">
        <f ca="1" t="shared" si="29"/>
        <v>73696.5</v>
      </c>
    </row>
    <row r="117" spans="1:6">
      <c r="A117" s="11">
        <v>65</v>
      </c>
      <c r="B117" s="1">
        <f t="shared" si="28"/>
        <v>5</v>
      </c>
      <c r="C117" s="1">
        <f ca="1">OFFSET(控制台!$B$2364,MATCH(A117,控制台!$C$2364:$C$2414,1)-1,0)</f>
        <v>31</v>
      </c>
      <c r="D117" s="1">
        <f ca="1">IFERROR(OFFSET($U$8,MATCH(C117,$A$8:$A$57,0)-1,0),0)*控制台!$E$2355/控制台!$E$2356</f>
        <v>1800</v>
      </c>
      <c r="E117" s="1">
        <f ca="1" t="shared" si="27"/>
        <v>9000</v>
      </c>
      <c r="F117" s="5">
        <f ca="1" t="shared" si="29"/>
        <v>82696.5</v>
      </c>
    </row>
    <row r="118" spans="1:6">
      <c r="A118" s="11">
        <v>70</v>
      </c>
      <c r="B118" s="1">
        <f t="shared" si="28"/>
        <v>5</v>
      </c>
      <c r="C118" s="1">
        <f ca="1">OFFSET(控制台!$B$2364,MATCH(A118,控制台!$C$2364:$C$2414,1)-1,0)</f>
        <v>32</v>
      </c>
      <c r="D118" s="1">
        <f ca="1">IFERROR(OFFSET($U$8,MATCH(C118,$A$8:$A$57,0)-1,0),0)*控制台!$E$2355/控制台!$E$2356</f>
        <v>1815</v>
      </c>
      <c r="E118" s="1">
        <f ca="1" t="shared" si="27"/>
        <v>9075</v>
      </c>
      <c r="F118" s="5">
        <f ca="1" t="shared" si="29"/>
        <v>91771.5</v>
      </c>
    </row>
    <row r="119" spans="1:6">
      <c r="A119" s="11">
        <v>75</v>
      </c>
      <c r="B119" s="1">
        <f t="shared" si="28"/>
        <v>5</v>
      </c>
      <c r="C119" s="1">
        <f ca="1">OFFSET(控制台!$B$2364,MATCH(A119,控制台!$C$2364:$C$2414,1)-1,0)</f>
        <v>33</v>
      </c>
      <c r="D119" s="1">
        <f ca="1">IFERROR(OFFSET($U$8,MATCH(C119,$A$8:$A$57,0)-1,0),0)*控制台!$E$2355/控制台!$E$2356</f>
        <v>1830</v>
      </c>
      <c r="E119" s="1">
        <f ca="1" t="shared" si="27"/>
        <v>9150</v>
      </c>
      <c r="F119" s="5">
        <f ca="1" t="shared" si="29"/>
        <v>100921.5</v>
      </c>
    </row>
    <row r="120" spans="1:6">
      <c r="A120" s="11">
        <v>80</v>
      </c>
      <c r="B120" s="1">
        <f t="shared" si="28"/>
        <v>5</v>
      </c>
      <c r="C120" s="1">
        <f ca="1">OFFSET(控制台!$B$2364,MATCH(A120,控制台!$C$2364:$C$2414,1)-1,0)</f>
        <v>34</v>
      </c>
      <c r="D120" s="1">
        <f ca="1">IFERROR(OFFSET($U$8,MATCH(C120,$A$8:$A$57,0)-1,0),0)*控制台!$E$2355/控制台!$E$2356</f>
        <v>1890</v>
      </c>
      <c r="E120" s="1">
        <f ca="1" t="shared" si="27"/>
        <v>9450</v>
      </c>
      <c r="F120" s="5">
        <f ca="1" t="shared" si="29"/>
        <v>110371.5</v>
      </c>
    </row>
    <row r="121" spans="1:6">
      <c r="A121" s="11">
        <v>85</v>
      </c>
      <c r="B121" s="1">
        <f t="shared" si="28"/>
        <v>5</v>
      </c>
      <c r="C121" s="1">
        <f ca="1">OFFSET(控制台!$B$2364,MATCH(A121,控制台!$C$2364:$C$2414,1)-1,0)</f>
        <v>35</v>
      </c>
      <c r="D121" s="1">
        <f ca="1">IFERROR(OFFSET($U$8,MATCH(C121,$A$8:$A$57,0)-1,0),0)*控制台!$E$2355/控制台!$E$2356</f>
        <v>1935</v>
      </c>
      <c r="E121" s="1">
        <f ca="1" t="shared" si="27"/>
        <v>9675</v>
      </c>
      <c r="F121" s="5">
        <f ca="1" t="shared" si="29"/>
        <v>120046.5</v>
      </c>
    </row>
    <row r="122" spans="1:6">
      <c r="A122" s="11">
        <v>90</v>
      </c>
      <c r="B122" s="1">
        <f t="shared" si="28"/>
        <v>5</v>
      </c>
      <c r="C122" s="1">
        <f ca="1">OFFSET(控制台!$B$2364,MATCH(A122,控制台!$C$2364:$C$2414,1)-1,0)</f>
        <v>35</v>
      </c>
      <c r="D122" s="1">
        <f ca="1">IFERROR(OFFSET($U$8,MATCH(C122,$A$8:$A$57,0)-1,0),0)*控制台!$E$2355/控制台!$E$2356</f>
        <v>1935</v>
      </c>
      <c r="E122" s="1">
        <f ca="1" t="shared" si="27"/>
        <v>9675</v>
      </c>
      <c r="F122" s="5">
        <f ca="1" t="shared" si="29"/>
        <v>129721.5</v>
      </c>
    </row>
    <row r="123" spans="1:6">
      <c r="A123" s="11">
        <v>95</v>
      </c>
      <c r="B123" s="1">
        <f t="shared" si="28"/>
        <v>5</v>
      </c>
      <c r="C123" s="1">
        <f ca="1">OFFSET(控制台!$B$2364,MATCH(A123,控制台!$C$2364:$C$2414,1)-1,0)</f>
        <v>35</v>
      </c>
      <c r="D123" s="1">
        <f ca="1">IFERROR(OFFSET($U$8,MATCH(C123,$A$8:$A$57,0)-1,0),0)*控制台!$E$2355/控制台!$E$2356</f>
        <v>1935</v>
      </c>
      <c r="E123" s="1">
        <f ca="1" t="shared" si="27"/>
        <v>9675</v>
      </c>
      <c r="F123" s="5">
        <f ca="1" t="shared" si="29"/>
        <v>139396.5</v>
      </c>
    </row>
    <row r="124" spans="1:6">
      <c r="A124" s="11">
        <v>100</v>
      </c>
      <c r="B124" s="1">
        <f t="shared" si="28"/>
        <v>5</v>
      </c>
      <c r="C124" s="1">
        <f ca="1">OFFSET(控制台!$B$2364,MATCH(A124,控制台!$C$2364:$C$2414,1)-1,0)</f>
        <v>35</v>
      </c>
      <c r="D124" s="1">
        <f ca="1">IFERROR(OFFSET($U$8,MATCH(C124,$A$8:$A$57,0)-1,0),0)*控制台!$E$2355/控制台!$E$2356</f>
        <v>1935</v>
      </c>
      <c r="E124" s="1">
        <f ca="1" t="shared" si="27"/>
        <v>9675</v>
      </c>
      <c r="F124" s="5">
        <f ca="1" t="shared" si="29"/>
        <v>149071.5</v>
      </c>
    </row>
    <row r="125" spans="1:6">
      <c r="A125" s="11">
        <v>105</v>
      </c>
      <c r="B125" s="1">
        <f t="shared" si="28"/>
        <v>5</v>
      </c>
      <c r="C125" s="1">
        <f ca="1">OFFSET(控制台!$B$2364,MATCH(A125,控制台!$C$2364:$C$2414,1)-1,0)</f>
        <v>35</v>
      </c>
      <c r="D125" s="1">
        <f ca="1">IFERROR(OFFSET($U$8,MATCH(C125,$A$8:$A$57,0)-1,0),0)*控制台!$E$2355/控制台!$E$2356</f>
        <v>1935</v>
      </c>
      <c r="E125" s="1">
        <f ca="1" t="shared" si="27"/>
        <v>9675</v>
      </c>
      <c r="F125" s="5">
        <f ca="1" t="shared" si="29"/>
        <v>158746.5</v>
      </c>
    </row>
    <row r="126" spans="1:6">
      <c r="A126" s="11">
        <v>110</v>
      </c>
      <c r="B126" s="1">
        <f t="shared" si="28"/>
        <v>5</v>
      </c>
      <c r="C126" s="1">
        <f ca="1">OFFSET(控制台!$B$2364,MATCH(A126,控制台!$C$2364:$C$2414,1)-1,0)</f>
        <v>35</v>
      </c>
      <c r="D126" s="1">
        <f ca="1">IFERROR(OFFSET($U$8,MATCH(C126,$A$8:$A$57,0)-1,0),0)*控制台!$E$2355/控制台!$E$2356</f>
        <v>1935</v>
      </c>
      <c r="E126" s="1">
        <f ca="1" t="shared" si="27"/>
        <v>9675</v>
      </c>
      <c r="F126" s="5">
        <f ca="1" t="shared" si="29"/>
        <v>168421.5</v>
      </c>
    </row>
    <row r="127" spans="1:6">
      <c r="A127" s="11">
        <v>115</v>
      </c>
      <c r="B127" s="1">
        <f t="shared" si="28"/>
        <v>5</v>
      </c>
      <c r="C127" s="1">
        <f ca="1">OFFSET(控制台!$B$2364,MATCH(A127,控制台!$C$2364:$C$2414,1)-1,0)</f>
        <v>35</v>
      </c>
      <c r="D127" s="1">
        <f ca="1">IFERROR(OFFSET($U$8,MATCH(C127,$A$8:$A$57,0)-1,0),0)*控制台!$E$2355/控制台!$E$2356</f>
        <v>1935</v>
      </c>
      <c r="E127" s="1">
        <f ca="1" t="shared" si="27"/>
        <v>9675</v>
      </c>
      <c r="F127" s="5">
        <f ca="1" t="shared" si="29"/>
        <v>178096.5</v>
      </c>
    </row>
    <row r="128" spans="1:6">
      <c r="A128" s="11">
        <v>120</v>
      </c>
      <c r="B128" s="1">
        <f t="shared" si="28"/>
        <v>5</v>
      </c>
      <c r="C128" s="1">
        <f ca="1">OFFSET(控制台!$B$2364,MATCH(A128,控制台!$C$2364:$C$2414,1)-1,0)</f>
        <v>36</v>
      </c>
      <c r="D128" s="1">
        <f ca="1">IFERROR(OFFSET($U$8,MATCH(C128,$A$8:$A$57,0)-1,0),0)*控制台!$E$2355/控制台!$E$2356</f>
        <v>2625</v>
      </c>
      <c r="E128" s="1">
        <f ca="1" t="shared" si="27"/>
        <v>13125</v>
      </c>
      <c r="F128" s="5">
        <f ca="1" t="shared" si="29"/>
        <v>191221.5</v>
      </c>
    </row>
    <row r="129" spans="1:6">
      <c r="A129" s="12">
        <v>150</v>
      </c>
      <c r="B129" s="1">
        <f t="shared" si="28"/>
        <v>30</v>
      </c>
      <c r="C129" s="1">
        <f ca="1">OFFSET(控制台!$B$2364,MATCH(A129,控制台!$C$2364:$C$2414,1)-1,0)</f>
        <v>46</v>
      </c>
      <c r="D129" s="1">
        <f ca="1">IFERROR(OFFSET($U$8,MATCH(C129,$A$8:$A$57,0)-1,0),0)*控制台!$E$2355/控制台!$E$2356</f>
        <v>3375</v>
      </c>
      <c r="E129" s="1">
        <f ca="1" t="shared" ref="E129:E136" si="30">D129*B129</f>
        <v>101250</v>
      </c>
      <c r="F129" s="5">
        <f ca="1" t="shared" si="29"/>
        <v>292471.5</v>
      </c>
    </row>
    <row r="130" spans="1:6">
      <c r="A130" s="12">
        <v>180</v>
      </c>
      <c r="B130" s="1">
        <f t="shared" si="28"/>
        <v>30</v>
      </c>
      <c r="C130" s="1">
        <f ca="1">OFFSET(控制台!$B$2364,MATCH(A130,控制台!$C$2364:$C$2414,1)-1,0)</f>
        <v>50</v>
      </c>
      <c r="D130" s="1">
        <f ca="1">IFERROR(OFFSET($U$8,MATCH(C130,$A$8:$A$57,0)-1,0),0)*控制台!$E$2355/控制台!$E$2356</f>
        <v>3435</v>
      </c>
      <c r="E130" s="1">
        <f ca="1" t="shared" si="30"/>
        <v>103050</v>
      </c>
      <c r="F130" s="5">
        <f ca="1" t="shared" si="29"/>
        <v>395521.5</v>
      </c>
    </row>
    <row r="131" spans="1:6">
      <c r="A131" s="12">
        <v>210</v>
      </c>
      <c r="B131" s="1">
        <f t="shared" ref="B131:B136" si="31">A131-A130</f>
        <v>30</v>
      </c>
      <c r="C131" s="1">
        <f ca="1">OFFSET(控制台!$B$2364,MATCH(A131,控制台!$C$2364:$C$2414,1)-1,0)</f>
        <v>50</v>
      </c>
      <c r="D131" s="1">
        <f ca="1">IFERROR(OFFSET($U$8,MATCH(C131,$A$8:$A$57,0)-1,0),0)*控制台!$E$2355/控制台!$E$2356</f>
        <v>3435</v>
      </c>
      <c r="E131" s="1">
        <f ca="1" t="shared" si="30"/>
        <v>103050</v>
      </c>
      <c r="F131" s="5">
        <f ca="1" t="shared" ref="F131:F136" si="32">F130+E131</f>
        <v>498571.5</v>
      </c>
    </row>
    <row r="132" spans="1:6">
      <c r="A132" s="12">
        <v>240</v>
      </c>
      <c r="B132" s="1">
        <f t="shared" si="31"/>
        <v>30</v>
      </c>
      <c r="C132" s="1">
        <f ca="1">OFFSET(控制台!$B$2364,MATCH(A132,控制台!$C$2364:$C$2414,1)-1,0)</f>
        <v>50</v>
      </c>
      <c r="D132" s="1">
        <f ca="1">IFERROR(OFFSET($U$8,MATCH(C132,$A$8:$A$57,0)-1,0),0)*控制台!$E$2355/控制台!$E$2356</f>
        <v>3435</v>
      </c>
      <c r="E132" s="1">
        <f ca="1" t="shared" si="30"/>
        <v>103050</v>
      </c>
      <c r="F132" s="5">
        <f ca="1" t="shared" si="32"/>
        <v>601621.5</v>
      </c>
    </row>
    <row r="133" spans="1:6">
      <c r="A133" s="12">
        <v>270</v>
      </c>
      <c r="B133" s="1">
        <f t="shared" si="31"/>
        <v>30</v>
      </c>
      <c r="C133" s="1">
        <f ca="1">OFFSET(控制台!$B$2364,MATCH(A133,控制台!$C$2364:$C$2414,1)-1,0)</f>
        <v>50</v>
      </c>
      <c r="D133" s="1">
        <f ca="1">IFERROR(OFFSET($U$8,MATCH(C133,$A$8:$A$57,0)-1,0),0)*控制台!$E$2355/控制台!$E$2356</f>
        <v>3435</v>
      </c>
      <c r="E133" s="1">
        <f ca="1" t="shared" si="30"/>
        <v>103050</v>
      </c>
      <c r="F133" s="5">
        <f ca="1" t="shared" si="32"/>
        <v>704671.5</v>
      </c>
    </row>
    <row r="134" spans="1:6">
      <c r="A134" s="12">
        <v>300</v>
      </c>
      <c r="B134" s="1">
        <f t="shared" si="31"/>
        <v>30</v>
      </c>
      <c r="C134" s="1">
        <f ca="1">OFFSET(控制台!$B$2364,MATCH(A134,控制台!$C$2364:$C$2414,1)-1,0)</f>
        <v>50</v>
      </c>
      <c r="D134" s="1">
        <f ca="1">IFERROR(OFFSET($U$8,MATCH(C134,$A$8:$A$57,0)-1,0),0)*控制台!$E$2355/控制台!$E$2356</f>
        <v>3435</v>
      </c>
      <c r="E134" s="1">
        <f ca="1" t="shared" si="30"/>
        <v>103050</v>
      </c>
      <c r="F134" s="5">
        <f ca="1" t="shared" si="32"/>
        <v>807721.5</v>
      </c>
    </row>
    <row r="135" spans="1:6">
      <c r="A135" s="12">
        <v>330</v>
      </c>
      <c r="B135" s="1">
        <f t="shared" si="31"/>
        <v>30</v>
      </c>
      <c r="C135" s="1">
        <f ca="1">OFFSET(控制台!$B$2364,MATCH(A135,控制台!$C$2364:$C$2414,1)-1,0)</f>
        <v>50</v>
      </c>
      <c r="D135" s="1">
        <f ca="1">IFERROR(OFFSET($U$8,MATCH(C135,$A$8:$A$57,0)-1,0),0)*控制台!$E$2355/控制台!$E$2356</f>
        <v>3435</v>
      </c>
      <c r="E135" s="1">
        <f ca="1" t="shared" si="30"/>
        <v>103050</v>
      </c>
      <c r="F135" s="5">
        <f ca="1" t="shared" si="32"/>
        <v>910771.5</v>
      </c>
    </row>
    <row r="136" spans="1:6">
      <c r="A136" s="12">
        <v>360</v>
      </c>
      <c r="B136" s="1">
        <f t="shared" si="31"/>
        <v>30</v>
      </c>
      <c r="C136" s="1">
        <f ca="1">OFFSET(控制台!$B$2364,MATCH(A136,控制台!$C$2364:$C$2414,1)-1,0)</f>
        <v>50</v>
      </c>
      <c r="D136" s="1">
        <f ca="1">IFERROR(OFFSET($U$8,MATCH(C136,$A$8:$A$57,0)-1,0),0)*控制台!$E$2355/控制台!$E$2356</f>
        <v>3435</v>
      </c>
      <c r="E136" s="1">
        <f ca="1" t="shared" si="30"/>
        <v>103050</v>
      </c>
      <c r="F136" s="5">
        <f ca="1" t="shared" si="32"/>
        <v>1013821.5</v>
      </c>
    </row>
    <row r="138" s="2" customFormat="1" spans="1:1">
      <c r="A138" s="2" t="s">
        <v>2886</v>
      </c>
    </row>
    <row r="140" spans="1:2">
      <c r="A140" s="1">
        <v>1</v>
      </c>
      <c r="B140" s="1" t="s">
        <v>2887</v>
      </c>
    </row>
    <row r="141" spans="1:2">
      <c r="A141" s="1">
        <v>1</v>
      </c>
      <c r="B141" s="1" t="s">
        <v>2888</v>
      </c>
    </row>
    <row r="142" spans="1:2">
      <c r="A142" s="1">
        <v>1</v>
      </c>
      <c r="B142" s="1" t="s">
        <v>2889</v>
      </c>
    </row>
    <row r="143" spans="1:2">
      <c r="A143" s="1">
        <v>1</v>
      </c>
      <c r="B143" s="1" t="s">
        <v>2890</v>
      </c>
    </row>
    <row r="144" spans="1:2">
      <c r="A144" s="1">
        <v>1</v>
      </c>
      <c r="B144" s="1" t="s">
        <v>2891</v>
      </c>
    </row>
    <row r="145" spans="1:2">
      <c r="A145" s="1">
        <v>1</v>
      </c>
      <c r="B145" s="1" t="s">
        <v>2892</v>
      </c>
    </row>
    <row r="146" spans="1:2">
      <c r="A146" s="1">
        <v>1</v>
      </c>
      <c r="B146" s="1" t="s">
        <v>2893</v>
      </c>
    </row>
    <row r="147" spans="1:2">
      <c r="A147" s="1">
        <v>1</v>
      </c>
      <c r="B147" s="1" t="s">
        <v>2894</v>
      </c>
    </row>
    <row r="148" spans="1:2">
      <c r="A148" s="1">
        <v>1</v>
      </c>
      <c r="B148" s="1" t="s">
        <v>2895</v>
      </c>
    </row>
    <row r="149" spans="1:2">
      <c r="A149" s="1">
        <v>1</v>
      </c>
      <c r="B149" s="1" t="s">
        <v>2896</v>
      </c>
    </row>
    <row r="150" spans="1:2">
      <c r="A150" s="1">
        <v>1</v>
      </c>
      <c r="B150" s="1" t="s">
        <v>2897</v>
      </c>
    </row>
    <row r="151" spans="1:2">
      <c r="A151" s="1">
        <v>1</v>
      </c>
      <c r="B151" s="1" t="s">
        <v>2898</v>
      </c>
    </row>
    <row r="152" spans="1:2">
      <c r="A152" s="1">
        <v>1</v>
      </c>
      <c r="B152" s="1" t="s">
        <v>2899</v>
      </c>
    </row>
    <row r="153" spans="1:2">
      <c r="A153" s="1">
        <v>1</v>
      </c>
      <c r="B153" s="1" t="s">
        <v>2900</v>
      </c>
    </row>
    <row r="154" spans="1:2">
      <c r="A154" s="1">
        <v>1</v>
      </c>
      <c r="B154" s="1" t="s">
        <v>2901</v>
      </c>
    </row>
    <row r="155" spans="1:2">
      <c r="A155" s="1">
        <v>1</v>
      </c>
      <c r="B155" s="1" t="s">
        <v>2902</v>
      </c>
    </row>
    <row r="156" spans="1:2">
      <c r="A156" s="1">
        <v>1</v>
      </c>
      <c r="B156" s="1" t="s">
        <v>2903</v>
      </c>
    </row>
    <row r="157" spans="1:2">
      <c r="A157" s="1">
        <v>1</v>
      </c>
      <c r="B157" s="1" t="s">
        <v>2904</v>
      </c>
    </row>
    <row r="158" spans="1:2">
      <c r="A158" s="1">
        <v>1</v>
      </c>
      <c r="B158" s="1" t="s">
        <v>2905</v>
      </c>
    </row>
    <row r="159" spans="1:2">
      <c r="A159" s="1">
        <v>1</v>
      </c>
      <c r="B159" s="1" t="s">
        <v>2906</v>
      </c>
    </row>
    <row r="160" spans="1:2">
      <c r="A160" s="1">
        <v>1</v>
      </c>
      <c r="B160" s="1" t="s">
        <v>2907</v>
      </c>
    </row>
    <row r="161" spans="1:2">
      <c r="A161" s="1">
        <v>1</v>
      </c>
      <c r="B161" s="1" t="s">
        <v>2908</v>
      </c>
    </row>
    <row r="162" spans="1:2">
      <c r="A162" s="1">
        <v>1</v>
      </c>
      <c r="B162" s="1" t="s">
        <v>2909</v>
      </c>
    </row>
    <row r="163" spans="1:2">
      <c r="A163" s="1">
        <v>1</v>
      </c>
      <c r="B163" s="1" t="s">
        <v>2910</v>
      </c>
    </row>
    <row r="164" spans="1:2">
      <c r="A164" s="1">
        <v>1</v>
      </c>
      <c r="B164" s="1" t="s">
        <v>2911</v>
      </c>
    </row>
    <row r="165" spans="1:2">
      <c r="A165" s="1">
        <v>1</v>
      </c>
      <c r="B165" s="1" t="s">
        <v>2912</v>
      </c>
    </row>
    <row r="166" spans="1:2">
      <c r="A166" s="1">
        <v>1</v>
      </c>
      <c r="B166" s="1" t="s">
        <v>2913</v>
      </c>
    </row>
    <row r="167" spans="1:2">
      <c r="A167" s="1">
        <v>1</v>
      </c>
      <c r="B167" s="1" t="s">
        <v>2914</v>
      </c>
    </row>
    <row r="168" spans="1:2">
      <c r="A168" s="1">
        <v>1</v>
      </c>
      <c r="B168" s="1" t="s">
        <v>2915</v>
      </c>
    </row>
    <row r="169" spans="1:2">
      <c r="A169" s="1">
        <v>1</v>
      </c>
      <c r="B169" s="1" t="s">
        <v>2916</v>
      </c>
    </row>
    <row r="170" spans="1:2">
      <c r="A170" s="1">
        <v>1</v>
      </c>
      <c r="B170" s="1" t="s">
        <v>2917</v>
      </c>
    </row>
    <row r="171" spans="1:2">
      <c r="A171" s="1">
        <v>1</v>
      </c>
      <c r="B171" s="1" t="s">
        <v>2918</v>
      </c>
    </row>
    <row r="172" spans="1:2">
      <c r="A172" s="1">
        <v>1</v>
      </c>
      <c r="B172" s="1" t="s">
        <v>2919</v>
      </c>
    </row>
    <row r="173" spans="1:2">
      <c r="A173" s="1">
        <v>1</v>
      </c>
      <c r="B173" s="1" t="s">
        <v>2920</v>
      </c>
    </row>
    <row r="174" spans="1:2">
      <c r="A174" s="1">
        <v>1</v>
      </c>
      <c r="B174" s="1" t="s">
        <v>2921</v>
      </c>
    </row>
    <row r="175" spans="1:2">
      <c r="A175" s="1">
        <v>1</v>
      </c>
      <c r="B175" s="1" t="s">
        <v>2922</v>
      </c>
    </row>
    <row r="176" spans="1:2">
      <c r="A176" s="1">
        <v>1</v>
      </c>
      <c r="B176" s="1" t="s">
        <v>2923</v>
      </c>
    </row>
    <row r="177" spans="1:2">
      <c r="A177" s="1">
        <v>1</v>
      </c>
      <c r="B177" s="1" t="s">
        <v>2924</v>
      </c>
    </row>
    <row r="178" spans="1:2">
      <c r="A178" s="1">
        <v>1</v>
      </c>
      <c r="B178" s="1" t="s">
        <v>2925</v>
      </c>
    </row>
    <row r="179" spans="1:2">
      <c r="A179" s="1">
        <v>1</v>
      </c>
      <c r="B179" s="1" t="s">
        <v>2926</v>
      </c>
    </row>
  </sheetData>
  <conditionalFormatting sqref="O8:T57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58:T6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location="控制台_201_打野" display="返回控制台_打野"/>
  </hyperlinks>
  <pageMargins left="0.699305555555556" right="0.699305555555556" top="0.75" bottom="0.75" header="0.3" footer="0.3"/>
  <pageSetup paperSize="9" orientation="portrait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02">
    <tabColor theme="9" tint="0.599993896298105"/>
  </sheetPr>
  <dimension ref="A1:M126"/>
  <sheetViews>
    <sheetView zoomScale="85" zoomScaleNormal="85" workbookViewId="0">
      <selection activeCell="L23" sqref="L23"/>
    </sheetView>
  </sheetViews>
  <sheetFormatPr defaultColWidth="8.70967741935484" defaultRowHeight="13.1"/>
  <cols>
    <col min="1" max="8" width="9.62903225806452" style="1"/>
    <col min="9" max="9" width="9.62903225806452" style="5"/>
    <col min="10" max="10" width="9.62903225806452" style="4"/>
    <col min="11" max="11" width="9.62903225806452" style="1"/>
    <col min="12" max="12" width="9.62903225806452" style="5"/>
    <col min="13" max="16384" width="9.62903225806452" style="1"/>
  </cols>
  <sheetData>
    <row r="1" spans="1:12">
      <c r="A1" s="3" t="s">
        <v>2927</v>
      </c>
      <c r="E1" s="4"/>
      <c r="F1" s="5"/>
      <c r="G1" s="4"/>
      <c r="H1" s="5"/>
      <c r="I1" s="1"/>
      <c r="J1" s="1"/>
      <c r="K1" s="5"/>
      <c r="L1" s="1"/>
    </row>
    <row r="2" spans="5:12">
      <c r="E2" s="4"/>
      <c r="F2" s="5"/>
      <c r="G2" s="4"/>
      <c r="H2" s="5"/>
      <c r="I2" s="1"/>
      <c r="J2" s="1"/>
      <c r="K2" s="5"/>
      <c r="L2" s="1"/>
    </row>
    <row r="3" s="2" customFormat="1" spans="1:1">
      <c r="A3" s="2" t="s">
        <v>2875</v>
      </c>
    </row>
    <row r="4" spans="5:12">
      <c r="E4" s="4"/>
      <c r="F4" s="5"/>
      <c r="G4" s="4"/>
      <c r="H4" s="5"/>
      <c r="I4" s="1"/>
      <c r="J4" s="1"/>
      <c r="K4" s="5"/>
      <c r="L4" s="1"/>
    </row>
    <row r="5" spans="3:13">
      <c r="C5" s="1" t="s">
        <v>1871</v>
      </c>
      <c r="E5" s="4"/>
      <c r="F5" s="5"/>
      <c r="G5" s="4"/>
      <c r="H5" s="5"/>
      <c r="I5" s="1"/>
      <c r="J5" s="1" t="s">
        <v>1541</v>
      </c>
      <c r="K5" s="5"/>
      <c r="L5" s="1"/>
      <c r="M5" s="4" t="str">
        <f>CONCATENATE(C5,";",J5)</f>
        <v>rush_build_common_3m;ammunition</v>
      </c>
    </row>
    <row r="6" spans="1:13">
      <c r="A6" s="1" t="s">
        <v>687</v>
      </c>
      <c r="B6" s="1" t="s">
        <v>1316</v>
      </c>
      <c r="C6" s="1" t="s">
        <v>378</v>
      </c>
      <c r="D6" s="1" t="s">
        <v>2928</v>
      </c>
      <c r="E6" s="1" t="s">
        <v>805</v>
      </c>
      <c r="F6" s="1" t="s">
        <v>806</v>
      </c>
      <c r="G6" s="1" t="s">
        <v>2884</v>
      </c>
      <c r="H6" s="1" t="s">
        <v>2760</v>
      </c>
      <c r="I6" s="5" t="s">
        <v>864</v>
      </c>
      <c r="J6" s="1" t="s">
        <v>379</v>
      </c>
      <c r="K6" s="1" t="s">
        <v>2929</v>
      </c>
      <c r="L6" s="5" t="s">
        <v>1649</v>
      </c>
      <c r="M6" s="4" t="s">
        <v>2930</v>
      </c>
    </row>
    <row r="7" spans="1:13">
      <c r="A7" s="1">
        <v>1</v>
      </c>
      <c r="B7" s="1">
        <f>控制台!$E$2436*控制台!D2445</f>
        <v>86.4</v>
      </c>
      <c r="C7" s="1">
        <f>_xlfn.FLOOR.MATH(B7/3)</f>
        <v>28</v>
      </c>
      <c r="D7" s="1">
        <f t="shared" ref="D7:D19" si="0">C7*3</f>
        <v>84</v>
      </c>
      <c r="E7" s="1">
        <f ca="1">控制台!C2445</f>
        <v>1</v>
      </c>
      <c r="F7" s="1">
        <f ca="1">控制台!C2446</f>
        <v>6</v>
      </c>
      <c r="G7" s="1">
        <f ca="1">F7-E7</f>
        <v>5</v>
      </c>
      <c r="H7" s="1">
        <f ca="1">D7*控制台!$E$2432/控制台!$E$2433*G7</f>
        <v>2100</v>
      </c>
      <c r="I7" s="5">
        <f ca="1">H7</f>
        <v>2100</v>
      </c>
      <c r="J7" s="1">
        <f>_xlfn.FLOOR.MATH(控制台!F2445*控制台!$E$2439)</f>
        <v>16</v>
      </c>
      <c r="K7" s="1">
        <f ca="1">J7*控制台!$E$2432/控制台!$E$2433*G7</f>
        <v>400</v>
      </c>
      <c r="L7" s="5">
        <f ca="1">K7</f>
        <v>400</v>
      </c>
      <c r="M7" s="4" t="str">
        <f>CONCATENATE(C7,";",J7)</f>
        <v>28;16</v>
      </c>
    </row>
    <row r="8" spans="1:13">
      <c r="A8" s="1">
        <v>2</v>
      </c>
      <c r="B8" s="1">
        <f>控制台!$E$2436*控制台!D2446</f>
        <v>103.68</v>
      </c>
      <c r="C8" s="1">
        <f>_xlfn.FLOOR.MATH(B8/3)</f>
        <v>34</v>
      </c>
      <c r="D8" s="1">
        <f t="shared" si="0"/>
        <v>102</v>
      </c>
      <c r="E8" s="1">
        <f ca="1">控制台!C2446</f>
        <v>6</v>
      </c>
      <c r="F8" s="1">
        <f ca="1">控制台!C2447</f>
        <v>13</v>
      </c>
      <c r="G8" s="1">
        <f ca="1" t="shared" ref="G8:G19" si="1">F8-E8</f>
        <v>7</v>
      </c>
      <c r="H8" s="1">
        <f ca="1">D8*控制台!$E$2432/控制台!$E$2433*G8</f>
        <v>3570</v>
      </c>
      <c r="I8" s="5">
        <f ca="1">I7+H8</f>
        <v>5670</v>
      </c>
      <c r="J8" s="1">
        <f>_xlfn.FLOOR.MATH(控制台!F2446*控制台!$E$2439)</f>
        <v>20</v>
      </c>
      <c r="K8" s="1">
        <f ca="1">J8*控制台!$E$2432/控制台!$E$2433*G8</f>
        <v>700</v>
      </c>
      <c r="L8" s="5">
        <f ca="1">L7+K8</f>
        <v>1100</v>
      </c>
      <c r="M8" s="4" t="str">
        <f t="shared" ref="M8:M19" si="2">CONCATENATE(C8,";",J8)</f>
        <v>34;20</v>
      </c>
    </row>
    <row r="9" spans="1:13">
      <c r="A9" s="1">
        <v>3</v>
      </c>
      <c r="B9" s="1">
        <f>控制台!$E$2436*控制台!D2447</f>
        <v>138.24</v>
      </c>
      <c r="C9" s="1">
        <f>_xlfn.FLOOR.MATH(B9/3)</f>
        <v>46</v>
      </c>
      <c r="D9" s="1">
        <f t="shared" si="0"/>
        <v>138</v>
      </c>
      <c r="E9" s="1">
        <f ca="1">控制台!C2447</f>
        <v>13</v>
      </c>
      <c r="F9" s="1">
        <f ca="1">控制台!C2448</f>
        <v>35</v>
      </c>
      <c r="G9" s="1">
        <f ca="1" t="shared" si="1"/>
        <v>22</v>
      </c>
      <c r="H9" s="1">
        <f ca="1">D9*控制台!$E$2432/控制台!$E$2433*G9</f>
        <v>15180</v>
      </c>
      <c r="I9" s="5">
        <f ca="1" t="shared" ref="I9:I19" si="3">I8+H9</f>
        <v>20850</v>
      </c>
      <c r="J9" s="1">
        <f>_xlfn.FLOOR.MATH(控制台!F2447*控制台!$E$2439)</f>
        <v>26</v>
      </c>
      <c r="K9" s="1">
        <f ca="1">J9*控制台!$E$2432/控制台!$E$2433*G9</f>
        <v>2860</v>
      </c>
      <c r="L9" s="5">
        <f ca="1" t="shared" ref="L9:L19" si="4">L8+K9</f>
        <v>3960</v>
      </c>
      <c r="M9" s="4" t="str">
        <f t="shared" si="2"/>
        <v>46;26</v>
      </c>
    </row>
    <row r="10" spans="1:13">
      <c r="A10" s="1">
        <v>4</v>
      </c>
      <c r="B10" s="1">
        <f>控制台!$E$2436*控制台!D2448</f>
        <v>172.8</v>
      </c>
      <c r="C10" s="1">
        <f>_xlfn.FLOOR.MATH(B10/3)</f>
        <v>57</v>
      </c>
      <c r="D10" s="1">
        <f t="shared" si="0"/>
        <v>171</v>
      </c>
      <c r="E10" s="1">
        <f ca="1">控制台!C2448</f>
        <v>35</v>
      </c>
      <c r="F10" s="1">
        <f ca="1">控制台!C2449</f>
        <v>45</v>
      </c>
      <c r="G10" s="1">
        <f ca="1" t="shared" si="1"/>
        <v>10</v>
      </c>
      <c r="H10" s="1">
        <f ca="1">D10*控制台!$E$2432/控制台!$E$2433*G10</f>
        <v>8550</v>
      </c>
      <c r="I10" s="5">
        <f ca="1" t="shared" si="3"/>
        <v>29400</v>
      </c>
      <c r="J10" s="1">
        <f>_xlfn.FLOOR.MATH(控制台!F2448*控制台!$E$2439)</f>
        <v>33</v>
      </c>
      <c r="K10" s="1">
        <f ca="1">J10*控制台!$E$2432/控制台!$E$2433*G10</f>
        <v>1650</v>
      </c>
      <c r="L10" s="5">
        <f ca="1" t="shared" si="4"/>
        <v>5610</v>
      </c>
      <c r="M10" s="4" t="str">
        <f t="shared" si="2"/>
        <v>57;33</v>
      </c>
    </row>
    <row r="11" spans="1:13">
      <c r="A11" s="1">
        <v>5</v>
      </c>
      <c r="B11" s="1">
        <f>控制台!$E$2436*控制台!D2449</f>
        <v>207.36</v>
      </c>
      <c r="C11" s="1">
        <f>_xlfn.FLOOR.MATH(B11/3)</f>
        <v>69</v>
      </c>
      <c r="D11" s="1">
        <f t="shared" si="0"/>
        <v>207</v>
      </c>
      <c r="E11" s="1">
        <f ca="1">控制台!C2449</f>
        <v>45</v>
      </c>
      <c r="F11" s="1">
        <f ca="1">控制台!C2450</f>
        <v>55</v>
      </c>
      <c r="G11" s="1">
        <f ca="1" t="shared" si="1"/>
        <v>10</v>
      </c>
      <c r="H11" s="1">
        <f ca="1">D11*控制台!$E$2432/控制台!$E$2433*G11</f>
        <v>10350</v>
      </c>
      <c r="I11" s="5">
        <f ca="1" t="shared" si="3"/>
        <v>39750</v>
      </c>
      <c r="J11" s="1">
        <f>_xlfn.FLOOR.MATH(控制台!F2449*控制台!$E$2439)</f>
        <v>40</v>
      </c>
      <c r="K11" s="1">
        <f ca="1">J11*控制台!$E$2432/控制台!$E$2433*G11</f>
        <v>2000</v>
      </c>
      <c r="L11" s="5">
        <f ca="1" t="shared" si="4"/>
        <v>7610</v>
      </c>
      <c r="M11" s="4" t="str">
        <f t="shared" si="2"/>
        <v>69;40</v>
      </c>
    </row>
    <row r="12" spans="1:13">
      <c r="A12" s="1">
        <v>6</v>
      </c>
      <c r="B12" s="1">
        <f>控制台!$E$2436*控制台!D2450</f>
        <v>224.64</v>
      </c>
      <c r="C12" s="1">
        <f>_xlfn.FLOOR.MATH(B12/3)</f>
        <v>74</v>
      </c>
      <c r="D12" s="1">
        <f t="shared" si="0"/>
        <v>222</v>
      </c>
      <c r="E12" s="1">
        <f ca="1">控制台!C2450</f>
        <v>55</v>
      </c>
      <c r="F12" s="1">
        <f ca="1">控制台!C2451</f>
        <v>65</v>
      </c>
      <c r="G12" s="1">
        <f ca="1" t="shared" si="1"/>
        <v>10</v>
      </c>
      <c r="H12" s="1">
        <f ca="1">D12*控制台!$E$2432/控制台!$E$2433*G12</f>
        <v>11100</v>
      </c>
      <c r="I12" s="5">
        <f ca="1" t="shared" si="3"/>
        <v>50850</v>
      </c>
      <c r="J12" s="1">
        <f>_xlfn.FLOOR.MATH(控制台!F2450*控制台!$E$2439)</f>
        <v>43</v>
      </c>
      <c r="K12" s="1">
        <f ca="1">J12*控制台!$E$2432/控制台!$E$2433*G12</f>
        <v>2150</v>
      </c>
      <c r="L12" s="5">
        <f ca="1" t="shared" si="4"/>
        <v>9760</v>
      </c>
      <c r="M12" s="4" t="str">
        <f t="shared" si="2"/>
        <v>74;43</v>
      </c>
    </row>
    <row r="13" spans="1:13">
      <c r="A13" s="1">
        <v>7</v>
      </c>
      <c r="B13" s="1">
        <f>控制台!$E$2436*控制台!D2451</f>
        <v>241.92</v>
      </c>
      <c r="C13" s="1">
        <f>_xlfn.FLOOR.MATH(B13/3)</f>
        <v>80</v>
      </c>
      <c r="D13" s="1">
        <f t="shared" si="0"/>
        <v>240</v>
      </c>
      <c r="E13" s="1">
        <f ca="1">控制台!C2451</f>
        <v>65</v>
      </c>
      <c r="F13" s="1">
        <f ca="1">控制台!C2452</f>
        <v>75</v>
      </c>
      <c r="G13" s="1">
        <f ca="1" t="shared" si="1"/>
        <v>10</v>
      </c>
      <c r="H13" s="1">
        <f ca="1">D13*控制台!$E$2432/控制台!$E$2433*G13</f>
        <v>12000</v>
      </c>
      <c r="I13" s="5">
        <f ca="1" t="shared" si="3"/>
        <v>62850</v>
      </c>
      <c r="J13" s="1">
        <f>_xlfn.FLOOR.MATH(控制台!F2451*控制台!$E$2439)</f>
        <v>46</v>
      </c>
      <c r="K13" s="1">
        <f ca="1">J13*控制台!$E$2432/控制台!$E$2433*G13</f>
        <v>2300</v>
      </c>
      <c r="L13" s="5">
        <f ca="1" t="shared" si="4"/>
        <v>12060</v>
      </c>
      <c r="M13" s="4" t="str">
        <f t="shared" si="2"/>
        <v>80;46</v>
      </c>
    </row>
    <row r="14" spans="1:13">
      <c r="A14" s="1">
        <v>8</v>
      </c>
      <c r="B14" s="1">
        <f>控制台!$E$2436*控制台!D2452</f>
        <v>259.2</v>
      </c>
      <c r="C14" s="1">
        <f>_xlfn.FLOOR.MATH(B14/3)</f>
        <v>86</v>
      </c>
      <c r="D14" s="1">
        <f t="shared" si="0"/>
        <v>258</v>
      </c>
      <c r="E14" s="1">
        <f ca="1">控制台!C2452</f>
        <v>75</v>
      </c>
      <c r="F14" s="1">
        <f ca="1">控制台!C2453</f>
        <v>85</v>
      </c>
      <c r="G14" s="1">
        <f ca="1" t="shared" si="1"/>
        <v>10</v>
      </c>
      <c r="H14" s="1">
        <f ca="1">D14*控制台!$E$2432/控制台!$E$2433*G14</f>
        <v>12900</v>
      </c>
      <c r="I14" s="5">
        <f ca="1" t="shared" si="3"/>
        <v>75750</v>
      </c>
      <c r="J14" s="1">
        <f>_xlfn.FLOOR.MATH(控制台!F2452*控制台!$E$2439)</f>
        <v>50</v>
      </c>
      <c r="K14" s="1">
        <f ca="1">J14*控制台!$E$2432/控制台!$E$2433*G14</f>
        <v>2500</v>
      </c>
      <c r="L14" s="5">
        <f ca="1" t="shared" si="4"/>
        <v>14560</v>
      </c>
      <c r="M14" s="4" t="str">
        <f t="shared" si="2"/>
        <v>86;50</v>
      </c>
    </row>
    <row r="15" spans="1:13">
      <c r="A15" s="1">
        <v>9</v>
      </c>
      <c r="B15" s="1">
        <f>控制台!$E$2436*控制台!D2453</f>
        <v>276.48</v>
      </c>
      <c r="C15" s="1">
        <f>_xlfn.FLOOR.MATH(B15/3)</f>
        <v>92</v>
      </c>
      <c r="D15" s="1">
        <f t="shared" si="0"/>
        <v>276</v>
      </c>
      <c r="E15" s="1">
        <f ca="1">控制台!C2453</f>
        <v>85</v>
      </c>
      <c r="F15" s="1">
        <f>控制台!C2454</f>
        <v>124</v>
      </c>
      <c r="G15" s="1">
        <f ca="1" t="shared" si="1"/>
        <v>39</v>
      </c>
      <c r="H15" s="1">
        <f ca="1">D15*控制台!$E$2432/控制台!$E$2433*G15</f>
        <v>53820</v>
      </c>
      <c r="I15" s="5">
        <f ca="1" t="shared" si="3"/>
        <v>129570</v>
      </c>
      <c r="J15" s="1">
        <f>_xlfn.FLOOR.MATH(控制台!F2453*控制台!$E$2439)</f>
        <v>53</v>
      </c>
      <c r="K15" s="1">
        <f ca="1">J15*控制台!$E$2432/控制台!$E$2433*G15</f>
        <v>10335</v>
      </c>
      <c r="L15" s="5">
        <f ca="1" t="shared" si="4"/>
        <v>24895</v>
      </c>
      <c r="M15" s="4" t="str">
        <f t="shared" si="2"/>
        <v>92;53</v>
      </c>
    </row>
    <row r="16" spans="1:13">
      <c r="A16" s="1">
        <v>10</v>
      </c>
      <c r="B16" s="1">
        <f>控制台!$E$2436*控制台!D2454</f>
        <v>293.76</v>
      </c>
      <c r="C16" s="1">
        <f>_xlfn.FLOOR.MATH(B16/3)</f>
        <v>97</v>
      </c>
      <c r="D16" s="1">
        <f t="shared" si="0"/>
        <v>291</v>
      </c>
      <c r="E16" s="1">
        <f>控制台!C2454</f>
        <v>124</v>
      </c>
      <c r="F16" s="1">
        <f>控制台!C2455</f>
        <v>134</v>
      </c>
      <c r="G16" s="1">
        <f t="shared" si="1"/>
        <v>10</v>
      </c>
      <c r="H16" s="1">
        <f>D16*控制台!$E$2432/控制台!$E$2433*G16</f>
        <v>14550</v>
      </c>
      <c r="I16" s="5">
        <f ca="1" t="shared" si="3"/>
        <v>144120</v>
      </c>
      <c r="J16" s="1">
        <f>_xlfn.FLOOR.MATH(控制台!F2454*控制台!$E$2439)</f>
        <v>56</v>
      </c>
      <c r="K16" s="1">
        <f>J16*控制台!$E$2432/控制台!$E$2433*G16</f>
        <v>2800</v>
      </c>
      <c r="L16" s="5">
        <f ca="1" t="shared" si="4"/>
        <v>27695</v>
      </c>
      <c r="M16" s="4" t="str">
        <f t="shared" si="2"/>
        <v>97;56</v>
      </c>
    </row>
    <row r="17" spans="1:13">
      <c r="A17" s="1">
        <v>11</v>
      </c>
      <c r="B17" s="1">
        <f>控制台!$E$2436*控制台!D2455</f>
        <v>311.04</v>
      </c>
      <c r="C17" s="1">
        <f>_xlfn.FLOOR.MATH(B17/3)</f>
        <v>103</v>
      </c>
      <c r="D17" s="1">
        <f t="shared" si="0"/>
        <v>309</v>
      </c>
      <c r="E17" s="1">
        <f>控制台!C2455</f>
        <v>134</v>
      </c>
      <c r="F17" s="1">
        <f>控制台!C2456</f>
        <v>138</v>
      </c>
      <c r="G17" s="1">
        <f t="shared" si="1"/>
        <v>4</v>
      </c>
      <c r="H17" s="1">
        <f>D17*控制台!$E$2432/控制台!$E$2433*G17</f>
        <v>6180</v>
      </c>
      <c r="I17" s="5">
        <f ca="1" t="shared" si="3"/>
        <v>150300</v>
      </c>
      <c r="J17" s="1">
        <f>_xlfn.FLOOR.MATH(控制台!F2455*控制台!$E$2439)</f>
        <v>60</v>
      </c>
      <c r="K17" s="1">
        <f>J17*控制台!$E$2432/控制台!$E$2433*G17</f>
        <v>1200</v>
      </c>
      <c r="L17" s="5">
        <f ca="1" t="shared" si="4"/>
        <v>28895</v>
      </c>
      <c r="M17" s="4" t="str">
        <f t="shared" si="2"/>
        <v>103;60</v>
      </c>
    </row>
    <row r="18" spans="1:13">
      <c r="A18" s="1">
        <v>12</v>
      </c>
      <c r="B18" s="1">
        <f>控制台!$E$2436*控制台!D2456</f>
        <v>328.32</v>
      </c>
      <c r="C18" s="1">
        <f>_xlfn.FLOOR.MATH(B18/3)</f>
        <v>109</v>
      </c>
      <c r="D18" s="1">
        <f t="shared" si="0"/>
        <v>327</v>
      </c>
      <c r="E18" s="1">
        <f>控制台!C2456</f>
        <v>138</v>
      </c>
      <c r="F18" s="1">
        <f>控制台!C2457</f>
        <v>144</v>
      </c>
      <c r="G18" s="1">
        <f t="shared" si="1"/>
        <v>6</v>
      </c>
      <c r="H18" s="1">
        <f>D18*控制台!$E$2432/控制台!$E$2433*G18</f>
        <v>9810</v>
      </c>
      <c r="I18" s="5">
        <f ca="1" t="shared" si="3"/>
        <v>160110</v>
      </c>
      <c r="J18" s="1">
        <f>_xlfn.FLOOR.MATH(控制台!F2456*控制台!$E$2439)</f>
        <v>63</v>
      </c>
      <c r="K18" s="1">
        <f>J18*控制台!$E$2432/控制台!$E$2433*G18</f>
        <v>1890</v>
      </c>
      <c r="L18" s="5">
        <f ca="1" t="shared" si="4"/>
        <v>30785</v>
      </c>
      <c r="M18" s="4" t="str">
        <f t="shared" si="2"/>
        <v>109;63</v>
      </c>
    </row>
    <row r="19" spans="1:13">
      <c r="A19" s="1">
        <v>13</v>
      </c>
      <c r="B19" s="1">
        <f>控制台!$E$2436*控制台!D2457</f>
        <v>345.6</v>
      </c>
      <c r="C19" s="1">
        <f>_xlfn.FLOOR.MATH(B19/3)</f>
        <v>115</v>
      </c>
      <c r="D19" s="1">
        <f t="shared" si="0"/>
        <v>345</v>
      </c>
      <c r="E19" s="1">
        <f>控制台!C2457</f>
        <v>144</v>
      </c>
      <c r="F19" s="1">
        <f>控制台!C2458</f>
        <v>360</v>
      </c>
      <c r="G19" s="1">
        <f t="shared" si="1"/>
        <v>216</v>
      </c>
      <c r="H19" s="1">
        <f>D19*控制台!$E$2432/控制台!$E$2433*G19</f>
        <v>372600</v>
      </c>
      <c r="I19" s="5">
        <f ca="1" t="shared" si="3"/>
        <v>532710</v>
      </c>
      <c r="J19" s="1">
        <f>_xlfn.FLOOR.MATH(控制台!F2457*控制台!$E$2439)</f>
        <v>66</v>
      </c>
      <c r="K19" s="1">
        <f>J19*控制台!$E$2432/控制台!$E$2433*G19</f>
        <v>71280</v>
      </c>
      <c r="L19" s="5">
        <f ca="1" t="shared" si="4"/>
        <v>102065</v>
      </c>
      <c r="M19" s="4" t="str">
        <f t="shared" si="2"/>
        <v>115;66</v>
      </c>
    </row>
    <row r="20" spans="10:13">
      <c r="J20" s="1"/>
      <c r="M20" s="4"/>
    </row>
    <row r="21" s="2" customFormat="1" spans="1:1">
      <c r="A21" s="2" t="s">
        <v>2931</v>
      </c>
    </row>
    <row r="23" spans="1:5">
      <c r="A23" s="1" t="s">
        <v>687</v>
      </c>
      <c r="B23" s="4" t="s">
        <v>2059</v>
      </c>
      <c r="C23" s="4"/>
      <c r="D23" s="4"/>
      <c r="E23" s="4" t="s">
        <v>1740</v>
      </c>
    </row>
    <row r="24" spans="1:5">
      <c r="A24" s="1">
        <v>1</v>
      </c>
      <c r="B24" s="4" t="str">
        <f>$C$5</f>
        <v>rush_build_common_3m</v>
      </c>
      <c r="C24" s="4"/>
      <c r="D24" s="4"/>
      <c r="E24" s="4">
        <f ca="1">OFFSET($C$7,MATCH(A24,$A$7:$A$19,0)-1,MATCH(B24,$C$5:$J$5,0)-1)</f>
        <v>28</v>
      </c>
    </row>
    <row r="25" spans="1:5">
      <c r="A25" s="1">
        <v>1</v>
      </c>
      <c r="B25" s="4" t="str">
        <f>$J$5</f>
        <v>ammunition</v>
      </c>
      <c r="C25" s="4"/>
      <c r="D25" s="4"/>
      <c r="E25" s="4">
        <f ca="1" t="shared" ref="E25:E49" si="5">OFFSET($C$7,MATCH(A25,$A$7:$A$19,0)-1,MATCH(B25,$C$5:$J$5,0)-1)</f>
        <v>16</v>
      </c>
    </row>
    <row r="26" spans="1:5">
      <c r="A26" s="1">
        <v>2</v>
      </c>
      <c r="B26" s="4" t="str">
        <f>$C$5</f>
        <v>rush_build_common_3m</v>
      </c>
      <c r="C26" s="4"/>
      <c r="D26" s="4"/>
      <c r="E26" s="4">
        <f ca="1" t="shared" si="5"/>
        <v>34</v>
      </c>
    </row>
    <row r="27" spans="1:5">
      <c r="A27" s="1">
        <v>2</v>
      </c>
      <c r="B27" s="4" t="str">
        <f>$J$5</f>
        <v>ammunition</v>
      </c>
      <c r="C27" s="4"/>
      <c r="D27" s="4"/>
      <c r="E27" s="4">
        <f ca="1" t="shared" si="5"/>
        <v>20</v>
      </c>
    </row>
    <row r="28" spans="1:5">
      <c r="A28" s="1">
        <v>3</v>
      </c>
      <c r="B28" s="4" t="str">
        <f>$C$5</f>
        <v>rush_build_common_3m</v>
      </c>
      <c r="C28" s="4"/>
      <c r="D28" s="4"/>
      <c r="E28" s="4">
        <f ca="1" t="shared" si="5"/>
        <v>46</v>
      </c>
    </row>
    <row r="29" spans="1:5">
      <c r="A29" s="1">
        <v>3</v>
      </c>
      <c r="B29" s="4" t="str">
        <f>$J$5</f>
        <v>ammunition</v>
      </c>
      <c r="C29" s="4"/>
      <c r="D29" s="4"/>
      <c r="E29" s="4">
        <f ca="1" t="shared" si="5"/>
        <v>26</v>
      </c>
    </row>
    <row r="30" spans="1:5">
      <c r="A30" s="1">
        <v>4</v>
      </c>
      <c r="B30" s="4" t="str">
        <f>$C$5</f>
        <v>rush_build_common_3m</v>
      </c>
      <c r="C30" s="4"/>
      <c r="D30" s="4"/>
      <c r="E30" s="4">
        <f ca="1" t="shared" si="5"/>
        <v>57</v>
      </c>
    </row>
    <row r="31" spans="1:5">
      <c r="A31" s="1">
        <v>4</v>
      </c>
      <c r="B31" s="4" t="str">
        <f>$J$5</f>
        <v>ammunition</v>
      </c>
      <c r="C31" s="4"/>
      <c r="D31" s="4"/>
      <c r="E31" s="4">
        <f ca="1" t="shared" si="5"/>
        <v>33</v>
      </c>
    </row>
    <row r="32" spans="1:5">
      <c r="A32" s="1">
        <v>5</v>
      </c>
      <c r="B32" s="4" t="str">
        <f>$C$5</f>
        <v>rush_build_common_3m</v>
      </c>
      <c r="C32" s="4"/>
      <c r="D32" s="4"/>
      <c r="E32" s="4">
        <f ca="1" t="shared" si="5"/>
        <v>69</v>
      </c>
    </row>
    <row r="33" spans="1:5">
      <c r="A33" s="1">
        <v>5</v>
      </c>
      <c r="B33" s="4" t="str">
        <f>$J$5</f>
        <v>ammunition</v>
      </c>
      <c r="C33" s="4"/>
      <c r="D33" s="4"/>
      <c r="E33" s="4">
        <f ca="1" t="shared" si="5"/>
        <v>40</v>
      </c>
    </row>
    <row r="34" spans="1:5">
      <c r="A34" s="1">
        <v>6</v>
      </c>
      <c r="B34" s="4" t="str">
        <f>$C$5</f>
        <v>rush_build_common_3m</v>
      </c>
      <c r="C34" s="4"/>
      <c r="D34" s="4"/>
      <c r="E34" s="4">
        <f ca="1" t="shared" si="5"/>
        <v>74</v>
      </c>
    </row>
    <row r="35" spans="1:5">
      <c r="A35" s="1">
        <v>6</v>
      </c>
      <c r="B35" s="4" t="str">
        <f>$J$5</f>
        <v>ammunition</v>
      </c>
      <c r="C35" s="4"/>
      <c r="D35" s="4"/>
      <c r="E35" s="4">
        <f ca="1" t="shared" si="5"/>
        <v>43</v>
      </c>
    </row>
    <row r="36" spans="1:5">
      <c r="A36" s="1">
        <v>7</v>
      </c>
      <c r="B36" s="4" t="str">
        <f>$C$5</f>
        <v>rush_build_common_3m</v>
      </c>
      <c r="C36" s="4"/>
      <c r="D36" s="4"/>
      <c r="E36" s="4">
        <f ca="1" t="shared" si="5"/>
        <v>80</v>
      </c>
    </row>
    <row r="37" spans="1:5">
      <c r="A37" s="1">
        <v>7</v>
      </c>
      <c r="B37" s="4" t="str">
        <f>$J$5</f>
        <v>ammunition</v>
      </c>
      <c r="C37" s="4"/>
      <c r="D37" s="4"/>
      <c r="E37" s="4">
        <f ca="1" t="shared" si="5"/>
        <v>46</v>
      </c>
    </row>
    <row r="38" spans="1:5">
      <c r="A38" s="1">
        <v>8</v>
      </c>
      <c r="B38" s="4" t="str">
        <f>$C$5</f>
        <v>rush_build_common_3m</v>
      </c>
      <c r="C38" s="4"/>
      <c r="D38" s="4"/>
      <c r="E38" s="4">
        <f ca="1" t="shared" si="5"/>
        <v>86</v>
      </c>
    </row>
    <row r="39" spans="1:5">
      <c r="A39" s="1">
        <v>8</v>
      </c>
      <c r="B39" s="4" t="str">
        <f>$J$5</f>
        <v>ammunition</v>
      </c>
      <c r="C39" s="4"/>
      <c r="D39" s="4"/>
      <c r="E39" s="4">
        <f ca="1" t="shared" si="5"/>
        <v>50</v>
      </c>
    </row>
    <row r="40" spans="1:5">
      <c r="A40" s="1">
        <v>9</v>
      </c>
      <c r="B40" s="4" t="str">
        <f>$C$5</f>
        <v>rush_build_common_3m</v>
      </c>
      <c r="C40" s="4"/>
      <c r="D40" s="4"/>
      <c r="E40" s="4">
        <f ca="1" t="shared" si="5"/>
        <v>92</v>
      </c>
    </row>
    <row r="41" spans="1:5">
      <c r="A41" s="1">
        <v>9</v>
      </c>
      <c r="B41" s="4" t="str">
        <f>$J$5</f>
        <v>ammunition</v>
      </c>
      <c r="C41" s="4"/>
      <c r="D41" s="4"/>
      <c r="E41" s="4">
        <f ca="1" t="shared" si="5"/>
        <v>53</v>
      </c>
    </row>
    <row r="42" spans="1:5">
      <c r="A42" s="1">
        <v>10</v>
      </c>
      <c r="B42" s="4" t="str">
        <f>$C$5</f>
        <v>rush_build_common_3m</v>
      </c>
      <c r="C42" s="4"/>
      <c r="D42" s="4"/>
      <c r="E42" s="4">
        <f ca="1" t="shared" si="5"/>
        <v>97</v>
      </c>
    </row>
    <row r="43" spans="1:5">
      <c r="A43" s="1">
        <v>10</v>
      </c>
      <c r="B43" s="4" t="str">
        <f>$J$5</f>
        <v>ammunition</v>
      </c>
      <c r="C43" s="4"/>
      <c r="D43" s="4"/>
      <c r="E43" s="4">
        <f ca="1" t="shared" si="5"/>
        <v>56</v>
      </c>
    </row>
    <row r="44" spans="1:5">
      <c r="A44" s="1">
        <v>11</v>
      </c>
      <c r="B44" s="4" t="str">
        <f>$C$5</f>
        <v>rush_build_common_3m</v>
      </c>
      <c r="C44" s="4"/>
      <c r="D44" s="4"/>
      <c r="E44" s="4">
        <f ca="1" t="shared" si="5"/>
        <v>103</v>
      </c>
    </row>
    <row r="45" spans="1:5">
      <c r="A45" s="1">
        <v>11</v>
      </c>
      <c r="B45" s="4" t="str">
        <f>$J$5</f>
        <v>ammunition</v>
      </c>
      <c r="C45" s="4"/>
      <c r="D45" s="4"/>
      <c r="E45" s="4">
        <f ca="1" t="shared" si="5"/>
        <v>60</v>
      </c>
    </row>
    <row r="46" spans="1:5">
      <c r="A46" s="1">
        <v>12</v>
      </c>
      <c r="B46" s="4" t="str">
        <f>$C$5</f>
        <v>rush_build_common_3m</v>
      </c>
      <c r="C46" s="4"/>
      <c r="D46" s="4"/>
      <c r="E46" s="4">
        <f ca="1" t="shared" si="5"/>
        <v>109</v>
      </c>
    </row>
    <row r="47" spans="1:5">
      <c r="A47" s="1">
        <v>12</v>
      </c>
      <c r="B47" s="4" t="str">
        <f>$J$5</f>
        <v>ammunition</v>
      </c>
      <c r="C47" s="4"/>
      <c r="D47" s="4"/>
      <c r="E47" s="4">
        <f ca="1" t="shared" si="5"/>
        <v>63</v>
      </c>
    </row>
    <row r="48" spans="1:5">
      <c r="A48" s="1">
        <v>13</v>
      </c>
      <c r="B48" s="4" t="str">
        <f>$C$5</f>
        <v>rush_build_common_3m</v>
      </c>
      <c r="C48" s="4"/>
      <c r="D48" s="4"/>
      <c r="E48" s="4">
        <f ca="1" t="shared" si="5"/>
        <v>115</v>
      </c>
    </row>
    <row r="49" spans="1:5">
      <c r="A49" s="1">
        <v>13</v>
      </c>
      <c r="B49" s="4" t="str">
        <f>$J$5</f>
        <v>ammunition</v>
      </c>
      <c r="C49" s="4"/>
      <c r="D49" s="4"/>
      <c r="E49" s="4">
        <f ca="1" t="shared" si="5"/>
        <v>66</v>
      </c>
    </row>
    <row r="50" spans="2:5">
      <c r="B50" s="4"/>
      <c r="C50" s="4"/>
      <c r="D50" s="4"/>
      <c r="E50" s="4"/>
    </row>
    <row r="52" s="2" customFormat="1" spans="1:1">
      <c r="A52" s="2" t="s">
        <v>2885</v>
      </c>
    </row>
    <row r="54" spans="1:9">
      <c r="A54" s="1" t="s">
        <v>382</v>
      </c>
      <c r="B54" s="1" t="s">
        <v>2759</v>
      </c>
      <c r="C54" s="1" t="s">
        <v>687</v>
      </c>
      <c r="D54" s="1" t="s">
        <v>1391</v>
      </c>
      <c r="E54" s="1" t="s">
        <v>2760</v>
      </c>
      <c r="F54" s="5" t="s">
        <v>864</v>
      </c>
      <c r="G54" s="1" t="s">
        <v>2932</v>
      </c>
      <c r="H54" s="1" t="s">
        <v>2929</v>
      </c>
      <c r="I54" s="5" t="s">
        <v>1649</v>
      </c>
    </row>
    <row r="55" spans="1:9">
      <c r="A55" s="7">
        <v>0</v>
      </c>
      <c r="B55" s="1">
        <f>A55</f>
        <v>0</v>
      </c>
      <c r="C55" s="1">
        <f ca="1">OFFSET(控制台!$B$2444,MATCH(A55,控制台!$C$2444:$C$2457,1)-1,0)</f>
        <v>0</v>
      </c>
      <c r="D55" s="1">
        <f ca="1">IF(C55=0,0,OFFSET($D$7,MATCH(C55,$A$7:$A$19,0)-1,0))*控制台!$E$2432/控制台!$E$2433</f>
        <v>0</v>
      </c>
      <c r="E55" s="1">
        <f ca="1" t="shared" ref="E55:E118" si="6">D55*B55</f>
        <v>0</v>
      </c>
      <c r="F55" s="5">
        <f ca="1">E55</f>
        <v>0</v>
      </c>
      <c r="G55" s="1">
        <f ca="1">IF(C55=0,0,OFFSET($J$7,MATCH(C55,$A$7:$A$19,0)-1,0))*控制台!$E$2432/控制台!$E$2433</f>
        <v>0</v>
      </c>
      <c r="H55" s="1">
        <f ca="1" t="shared" ref="H55:H118" si="7">G55*B55</f>
        <v>0</v>
      </c>
      <c r="I55" s="5">
        <f ca="1">H55</f>
        <v>0</v>
      </c>
    </row>
    <row r="56" spans="1:9">
      <c r="A56" s="7">
        <v>0.1</v>
      </c>
      <c r="B56" s="1">
        <f>A56-A55</f>
        <v>0.1</v>
      </c>
      <c r="C56" s="1">
        <f ca="1">OFFSET(控制台!$B$2444,MATCH(A56,控制台!$C$2444:$C$2457,1)-1,0)</f>
        <v>0</v>
      </c>
      <c r="D56" s="1">
        <f ca="1">IF(C56=0,0,OFFSET($D$7,MATCH(C56,$A$7:$A$19,0)-1,0))*控制台!$E$2432/控制台!$E$2433</f>
        <v>0</v>
      </c>
      <c r="E56" s="1">
        <f ca="1" t="shared" si="6"/>
        <v>0</v>
      </c>
      <c r="F56" s="5">
        <f ca="1">F55+E56</f>
        <v>0</v>
      </c>
      <c r="G56" s="1">
        <f ca="1">IF(C56=0,0,OFFSET($J$7,MATCH(C56,$A$7:$A$19,0)-1,0))*控制台!$E$2432/控制台!$E$2433</f>
        <v>0</v>
      </c>
      <c r="H56" s="1">
        <f ca="1" t="shared" si="7"/>
        <v>0</v>
      </c>
      <c r="I56" s="5">
        <f ca="1">I55+H56</f>
        <v>0</v>
      </c>
    </row>
    <row r="57" spans="1:9">
      <c r="A57" s="7">
        <v>0.2</v>
      </c>
      <c r="B57" s="1">
        <f t="shared" ref="B57:B120" si="8">A57-A56</f>
        <v>0.1</v>
      </c>
      <c r="C57" s="1">
        <f ca="1">OFFSET(控制台!$B$2444,MATCH(A57,控制台!$C$2444:$C$2457,1)-1,0)</f>
        <v>0</v>
      </c>
      <c r="D57" s="1">
        <f ca="1">IF(C57=0,0,OFFSET($D$7,MATCH(C57,$A$7:$A$19,0)-1,0))*控制台!$E$2432/控制台!$E$2433</f>
        <v>0</v>
      </c>
      <c r="E57" s="1">
        <f ca="1" t="shared" si="6"/>
        <v>0</v>
      </c>
      <c r="F57" s="5">
        <f ca="1" t="shared" ref="F57:F120" si="9">F56+E57</f>
        <v>0</v>
      </c>
      <c r="G57" s="1">
        <f ca="1">IF(C57=0,0,OFFSET($J$7,MATCH(C57,$A$7:$A$19,0)-1,0))*控制台!$E$2432/控制台!$E$2433</f>
        <v>0</v>
      </c>
      <c r="H57" s="1">
        <f ca="1" t="shared" si="7"/>
        <v>0</v>
      </c>
      <c r="I57" s="5">
        <f ca="1" t="shared" ref="I57:I120" si="10">I56+H57</f>
        <v>0</v>
      </c>
    </row>
    <row r="58" spans="1:9">
      <c r="A58" s="7">
        <v>0.3</v>
      </c>
      <c r="B58" s="1">
        <f t="shared" si="8"/>
        <v>0.1</v>
      </c>
      <c r="C58" s="1">
        <f ca="1">OFFSET(控制台!$B$2444,MATCH(A58,控制台!$C$2444:$C$2457,1)-1,0)</f>
        <v>0</v>
      </c>
      <c r="D58" s="1">
        <f ca="1">IF(C58=0,0,OFFSET($D$7,MATCH(C58,$A$7:$A$19,0)-1,0))*控制台!$E$2432/控制台!$E$2433</f>
        <v>0</v>
      </c>
      <c r="E58" s="1">
        <f ca="1" t="shared" si="6"/>
        <v>0</v>
      </c>
      <c r="F58" s="5">
        <f ca="1" t="shared" si="9"/>
        <v>0</v>
      </c>
      <c r="G58" s="1">
        <f ca="1">IF(C58=0,0,OFFSET($J$7,MATCH(C58,$A$7:$A$19,0)-1,0))*控制台!$E$2432/控制台!$E$2433</f>
        <v>0</v>
      </c>
      <c r="H58" s="1">
        <f ca="1" t="shared" si="7"/>
        <v>0</v>
      </c>
      <c r="I58" s="5">
        <f ca="1" t="shared" si="10"/>
        <v>0</v>
      </c>
    </row>
    <row r="59" spans="1:9">
      <c r="A59" s="7">
        <v>0.4</v>
      </c>
      <c r="B59" s="1">
        <f t="shared" si="8"/>
        <v>0.1</v>
      </c>
      <c r="C59" s="1">
        <f ca="1">OFFSET(控制台!$B$2444,MATCH(A59,控制台!$C$2444:$C$2457,1)-1,0)</f>
        <v>0</v>
      </c>
      <c r="D59" s="1">
        <f ca="1">IF(C59=0,0,OFFSET($D$7,MATCH(C59,$A$7:$A$19,0)-1,0))*控制台!$E$2432/控制台!$E$2433</f>
        <v>0</v>
      </c>
      <c r="E59" s="1">
        <f ca="1" t="shared" si="6"/>
        <v>0</v>
      </c>
      <c r="F59" s="5">
        <f ca="1" t="shared" si="9"/>
        <v>0</v>
      </c>
      <c r="G59" s="1">
        <f ca="1">IF(C59=0,0,OFFSET($J$7,MATCH(C59,$A$7:$A$19,0)-1,0))*控制台!$E$2432/控制台!$E$2433</f>
        <v>0</v>
      </c>
      <c r="H59" s="1">
        <f ca="1" t="shared" si="7"/>
        <v>0</v>
      </c>
      <c r="I59" s="5">
        <f ca="1" t="shared" si="10"/>
        <v>0</v>
      </c>
    </row>
    <row r="60" spans="1:9">
      <c r="A60" s="7">
        <v>0.5</v>
      </c>
      <c r="B60" s="1">
        <f t="shared" si="8"/>
        <v>0.1</v>
      </c>
      <c r="C60" s="1">
        <f ca="1">OFFSET(控制台!$B$2444,MATCH(A60,控制台!$C$2444:$C$2457,1)-1,0)</f>
        <v>0</v>
      </c>
      <c r="D60" s="1">
        <f ca="1">IF(C60=0,0,OFFSET($D$7,MATCH(C60,$A$7:$A$19,0)-1,0))*控制台!$E$2432/控制台!$E$2433</f>
        <v>0</v>
      </c>
      <c r="E60" s="1">
        <f ca="1" t="shared" si="6"/>
        <v>0</v>
      </c>
      <c r="F60" s="5">
        <f ca="1" t="shared" si="9"/>
        <v>0</v>
      </c>
      <c r="G60" s="1">
        <f ca="1">IF(C60=0,0,OFFSET($J$7,MATCH(C60,$A$7:$A$19,0)-1,0))*控制台!$E$2432/控制台!$E$2433</f>
        <v>0</v>
      </c>
      <c r="H60" s="1">
        <f ca="1" t="shared" si="7"/>
        <v>0</v>
      </c>
      <c r="I60" s="5">
        <f ca="1" t="shared" si="10"/>
        <v>0</v>
      </c>
    </row>
    <row r="61" spans="1:9">
      <c r="A61" s="7">
        <v>0.6</v>
      </c>
      <c r="B61" s="1">
        <f t="shared" si="8"/>
        <v>0.1</v>
      </c>
      <c r="C61" s="1">
        <f ca="1">OFFSET(控制台!$B$2444,MATCH(A61,控制台!$C$2444:$C$2457,1)-1,0)</f>
        <v>0</v>
      </c>
      <c r="D61" s="1">
        <f ca="1">IF(C61=0,0,OFFSET($D$7,MATCH(C61,$A$7:$A$19,0)-1,0))*控制台!$E$2432/控制台!$E$2433</f>
        <v>0</v>
      </c>
      <c r="E61" s="1">
        <f ca="1" t="shared" si="6"/>
        <v>0</v>
      </c>
      <c r="F61" s="5">
        <f ca="1" t="shared" si="9"/>
        <v>0</v>
      </c>
      <c r="G61" s="1">
        <f ca="1">IF(C61=0,0,OFFSET($J$7,MATCH(C61,$A$7:$A$19,0)-1,0))*控制台!$E$2432/控制台!$E$2433</f>
        <v>0</v>
      </c>
      <c r="H61" s="1">
        <f ca="1" t="shared" si="7"/>
        <v>0</v>
      </c>
      <c r="I61" s="5">
        <f ca="1" t="shared" si="10"/>
        <v>0</v>
      </c>
    </row>
    <row r="62" spans="1:9">
      <c r="A62" s="7">
        <v>0.7</v>
      </c>
      <c r="B62" s="1">
        <f t="shared" si="8"/>
        <v>0.1</v>
      </c>
      <c r="C62" s="1">
        <f ca="1">OFFSET(控制台!$B$2444,MATCH(A62,控制台!$C$2444:$C$2457,1)-1,0)</f>
        <v>0</v>
      </c>
      <c r="D62" s="1">
        <f ca="1">IF(C62=0,0,OFFSET($D$7,MATCH(C62,$A$7:$A$19,0)-1,0))*控制台!$E$2432/控制台!$E$2433</f>
        <v>0</v>
      </c>
      <c r="E62" s="1">
        <f ca="1" t="shared" si="6"/>
        <v>0</v>
      </c>
      <c r="F62" s="5">
        <f ca="1" t="shared" si="9"/>
        <v>0</v>
      </c>
      <c r="G62" s="1">
        <f ca="1">IF(C62=0,0,OFFSET($J$7,MATCH(C62,$A$7:$A$19,0)-1,0))*控制台!$E$2432/控制台!$E$2433</f>
        <v>0</v>
      </c>
      <c r="H62" s="1">
        <f ca="1" t="shared" si="7"/>
        <v>0</v>
      </c>
      <c r="I62" s="5">
        <f ca="1" t="shared" si="10"/>
        <v>0</v>
      </c>
    </row>
    <row r="63" spans="1:9">
      <c r="A63" s="7">
        <v>0.8</v>
      </c>
      <c r="B63" s="1">
        <f t="shared" si="8"/>
        <v>0.1</v>
      </c>
      <c r="C63" s="1">
        <f ca="1">OFFSET(控制台!$B$2444,MATCH(A63,控制台!$C$2444:$C$2457,1)-1,0)</f>
        <v>0</v>
      </c>
      <c r="D63" s="1">
        <f ca="1">IF(C63=0,0,OFFSET($D$7,MATCH(C63,$A$7:$A$19,0)-1,0))*控制台!$E$2432/控制台!$E$2433</f>
        <v>0</v>
      </c>
      <c r="E63" s="1">
        <f ca="1" t="shared" si="6"/>
        <v>0</v>
      </c>
      <c r="F63" s="5">
        <f ca="1" t="shared" si="9"/>
        <v>0</v>
      </c>
      <c r="G63" s="1">
        <f ca="1">IF(C63=0,0,OFFSET($J$7,MATCH(C63,$A$7:$A$19,0)-1,0))*控制台!$E$2432/控制台!$E$2433</f>
        <v>0</v>
      </c>
      <c r="H63" s="1">
        <f ca="1" t="shared" si="7"/>
        <v>0</v>
      </c>
      <c r="I63" s="5">
        <f ca="1" t="shared" si="10"/>
        <v>0</v>
      </c>
    </row>
    <row r="64" spans="1:9">
      <c r="A64" s="7">
        <v>0.9</v>
      </c>
      <c r="B64" s="1">
        <f t="shared" si="8"/>
        <v>0.1</v>
      </c>
      <c r="C64" s="1">
        <f ca="1">OFFSET(控制台!$B$2444,MATCH(A64,控制台!$C$2444:$C$2457,1)-1,0)</f>
        <v>0</v>
      </c>
      <c r="D64" s="1">
        <f ca="1">IF(C64=0,0,OFFSET($D$7,MATCH(C64,$A$7:$A$19,0)-1,0))*控制台!$E$2432/控制台!$E$2433</f>
        <v>0</v>
      </c>
      <c r="E64" s="1">
        <f ca="1" t="shared" si="6"/>
        <v>0</v>
      </c>
      <c r="F64" s="5">
        <f ca="1" t="shared" si="9"/>
        <v>0</v>
      </c>
      <c r="G64" s="1">
        <f ca="1">IF(C64=0,0,OFFSET($J$7,MATCH(C64,$A$7:$A$19,0)-1,0))*控制台!$E$2432/控制台!$E$2433</f>
        <v>0</v>
      </c>
      <c r="H64" s="1">
        <f ca="1" t="shared" si="7"/>
        <v>0</v>
      </c>
      <c r="I64" s="5">
        <f ca="1" t="shared" si="10"/>
        <v>0</v>
      </c>
    </row>
    <row r="65" spans="1:9">
      <c r="A65" s="7">
        <v>1</v>
      </c>
      <c r="B65" s="1">
        <f t="shared" si="8"/>
        <v>0.1</v>
      </c>
      <c r="C65" s="1">
        <f ca="1">OFFSET(控制台!$B$2444,MATCH(A65,控制台!$C$2444:$C$2457,1)-1,0)</f>
        <v>1</v>
      </c>
      <c r="D65" s="1">
        <f ca="1">IF(C65=0,0,OFFSET($D$7,MATCH(C65,$A$7:$A$19,0)-1,0))*控制台!$E$2432/控制台!$E$2433</f>
        <v>420</v>
      </c>
      <c r="E65" s="1">
        <f ca="1" t="shared" si="6"/>
        <v>42</v>
      </c>
      <c r="F65" s="5">
        <f ca="1" t="shared" si="9"/>
        <v>42</v>
      </c>
      <c r="G65" s="1">
        <f ca="1">IF(C65=0,0,OFFSET($J$7,MATCH(C65,$A$7:$A$19,0)-1,0))*控制台!$E$2432/控制台!$E$2433</f>
        <v>80</v>
      </c>
      <c r="H65" s="1">
        <f ca="1" t="shared" si="7"/>
        <v>8</v>
      </c>
      <c r="I65" s="5">
        <f ca="1" t="shared" si="10"/>
        <v>8</v>
      </c>
    </row>
    <row r="66" spans="1:9">
      <c r="A66" s="9">
        <v>1.5</v>
      </c>
      <c r="B66" s="1">
        <f t="shared" si="8"/>
        <v>0.5</v>
      </c>
      <c r="C66" s="1">
        <f ca="1">OFFSET(控制台!$B$2444,MATCH(A66,控制台!$C$2444:$C$2457,1)-1,0)</f>
        <v>1</v>
      </c>
      <c r="D66" s="1">
        <f ca="1">IF(C66=0,0,OFFSET($D$7,MATCH(C66,$A$7:$A$19,0)-1,0))*控制台!$E$2432/控制台!$E$2433</f>
        <v>420</v>
      </c>
      <c r="E66" s="1">
        <f ca="1" t="shared" si="6"/>
        <v>210</v>
      </c>
      <c r="F66" s="5">
        <f ca="1" t="shared" si="9"/>
        <v>252</v>
      </c>
      <c r="G66" s="1">
        <f ca="1">IF(C66=0,0,OFFSET($J$7,MATCH(C66,$A$7:$A$19,0)-1,0))*控制台!$E$2432/控制台!$E$2433</f>
        <v>80</v>
      </c>
      <c r="H66" s="1">
        <f ca="1" t="shared" si="7"/>
        <v>40</v>
      </c>
      <c r="I66" s="5">
        <f ca="1" t="shared" si="10"/>
        <v>48</v>
      </c>
    </row>
    <row r="67" spans="1:9">
      <c r="A67" s="9">
        <v>2</v>
      </c>
      <c r="B67" s="1">
        <f t="shared" si="8"/>
        <v>0.5</v>
      </c>
      <c r="C67" s="1">
        <f ca="1">OFFSET(控制台!$B$2444,MATCH(A67,控制台!$C$2444:$C$2457,1)-1,0)</f>
        <v>1</v>
      </c>
      <c r="D67" s="1">
        <f ca="1">IF(C67=0,0,OFFSET($D$7,MATCH(C67,$A$7:$A$19,0)-1,0))*控制台!$E$2432/控制台!$E$2433</f>
        <v>420</v>
      </c>
      <c r="E67" s="1">
        <f ca="1" t="shared" si="6"/>
        <v>210</v>
      </c>
      <c r="F67" s="5">
        <f ca="1" t="shared" si="9"/>
        <v>462</v>
      </c>
      <c r="G67" s="1">
        <f ca="1">IF(C67=0,0,OFFSET($J$7,MATCH(C67,$A$7:$A$19,0)-1,0))*控制台!$E$2432/控制台!$E$2433</f>
        <v>80</v>
      </c>
      <c r="H67" s="1">
        <f ca="1" t="shared" si="7"/>
        <v>40</v>
      </c>
      <c r="I67" s="5">
        <f ca="1" t="shared" si="10"/>
        <v>88</v>
      </c>
    </row>
    <row r="68" spans="1:9">
      <c r="A68" s="9">
        <v>2.5</v>
      </c>
      <c r="B68" s="1">
        <f t="shared" si="8"/>
        <v>0.5</v>
      </c>
      <c r="C68" s="1">
        <f ca="1">OFFSET(控制台!$B$2444,MATCH(A68,控制台!$C$2444:$C$2457,1)-1,0)</f>
        <v>1</v>
      </c>
      <c r="D68" s="1">
        <f ca="1">IF(C68=0,0,OFFSET($D$7,MATCH(C68,$A$7:$A$19,0)-1,0))*控制台!$E$2432/控制台!$E$2433</f>
        <v>420</v>
      </c>
      <c r="E68" s="1">
        <f ca="1" t="shared" si="6"/>
        <v>210</v>
      </c>
      <c r="F68" s="5">
        <f ca="1" t="shared" si="9"/>
        <v>672</v>
      </c>
      <c r="G68" s="1">
        <f ca="1">IF(C68=0,0,OFFSET($J$7,MATCH(C68,$A$7:$A$19,0)-1,0))*控制台!$E$2432/控制台!$E$2433</f>
        <v>80</v>
      </c>
      <c r="H68" s="1">
        <f ca="1" t="shared" si="7"/>
        <v>40</v>
      </c>
      <c r="I68" s="5">
        <f ca="1" t="shared" si="10"/>
        <v>128</v>
      </c>
    </row>
    <row r="69" spans="1:9">
      <c r="A69" s="9">
        <v>3</v>
      </c>
      <c r="B69" s="1">
        <f t="shared" si="8"/>
        <v>0.5</v>
      </c>
      <c r="C69" s="1">
        <f ca="1">OFFSET(控制台!$B$2444,MATCH(A69,控制台!$C$2444:$C$2457,1)-1,0)</f>
        <v>1</v>
      </c>
      <c r="D69" s="1">
        <f ca="1">IF(C69=0,0,OFFSET($D$7,MATCH(C69,$A$7:$A$19,0)-1,0))*控制台!$E$2432/控制台!$E$2433</f>
        <v>420</v>
      </c>
      <c r="E69" s="1">
        <f ca="1" t="shared" si="6"/>
        <v>210</v>
      </c>
      <c r="F69" s="5">
        <f ca="1" t="shared" si="9"/>
        <v>882</v>
      </c>
      <c r="G69" s="1">
        <f ca="1">IF(C69=0,0,OFFSET($J$7,MATCH(C69,$A$7:$A$19,0)-1,0))*控制台!$E$2432/控制台!$E$2433</f>
        <v>80</v>
      </c>
      <c r="H69" s="1">
        <f ca="1" t="shared" si="7"/>
        <v>40</v>
      </c>
      <c r="I69" s="5">
        <f ca="1" t="shared" si="10"/>
        <v>168</v>
      </c>
    </row>
    <row r="70" spans="1:9">
      <c r="A70" s="9">
        <v>3.5</v>
      </c>
      <c r="B70" s="1">
        <f t="shared" si="8"/>
        <v>0.5</v>
      </c>
      <c r="C70" s="1">
        <f ca="1">OFFSET(控制台!$B$2444,MATCH(A70,控制台!$C$2444:$C$2457,1)-1,0)</f>
        <v>1</v>
      </c>
      <c r="D70" s="1">
        <f ca="1">IF(C70=0,0,OFFSET($D$7,MATCH(C70,$A$7:$A$19,0)-1,0))*控制台!$E$2432/控制台!$E$2433</f>
        <v>420</v>
      </c>
      <c r="E70" s="1">
        <f ca="1" t="shared" si="6"/>
        <v>210</v>
      </c>
      <c r="F70" s="5">
        <f ca="1" t="shared" si="9"/>
        <v>1092</v>
      </c>
      <c r="G70" s="1">
        <f ca="1">IF(C70=0,0,OFFSET($J$7,MATCH(C70,$A$7:$A$19,0)-1,0))*控制台!$E$2432/控制台!$E$2433</f>
        <v>80</v>
      </c>
      <c r="H70" s="1">
        <f ca="1" t="shared" si="7"/>
        <v>40</v>
      </c>
      <c r="I70" s="5">
        <f ca="1" t="shared" si="10"/>
        <v>208</v>
      </c>
    </row>
    <row r="71" spans="1:9">
      <c r="A71" s="9">
        <v>4</v>
      </c>
      <c r="B71" s="1">
        <f t="shared" si="8"/>
        <v>0.5</v>
      </c>
      <c r="C71" s="1">
        <f ca="1">OFFSET(控制台!$B$2444,MATCH(A71,控制台!$C$2444:$C$2457,1)-1,0)</f>
        <v>1</v>
      </c>
      <c r="D71" s="1">
        <f ca="1">IF(C71=0,0,OFFSET($D$7,MATCH(C71,$A$7:$A$19,0)-1,0))*控制台!$E$2432/控制台!$E$2433</f>
        <v>420</v>
      </c>
      <c r="E71" s="1">
        <f ca="1" t="shared" si="6"/>
        <v>210</v>
      </c>
      <c r="F71" s="5">
        <f ca="1" t="shared" si="9"/>
        <v>1302</v>
      </c>
      <c r="G71" s="1">
        <f ca="1">IF(C71=0,0,OFFSET($J$7,MATCH(C71,$A$7:$A$19,0)-1,0))*控制台!$E$2432/控制台!$E$2433</f>
        <v>80</v>
      </c>
      <c r="H71" s="1">
        <f ca="1" t="shared" si="7"/>
        <v>40</v>
      </c>
      <c r="I71" s="5">
        <f ca="1" t="shared" si="10"/>
        <v>248</v>
      </c>
    </row>
    <row r="72" spans="1:9">
      <c r="A72" s="9">
        <v>4.5</v>
      </c>
      <c r="B72" s="1">
        <f t="shared" si="8"/>
        <v>0.5</v>
      </c>
      <c r="C72" s="1">
        <f ca="1">OFFSET(控制台!$B$2444,MATCH(A72,控制台!$C$2444:$C$2457,1)-1,0)</f>
        <v>1</v>
      </c>
      <c r="D72" s="1">
        <f ca="1">IF(C72=0,0,OFFSET($D$7,MATCH(C72,$A$7:$A$19,0)-1,0))*控制台!$E$2432/控制台!$E$2433</f>
        <v>420</v>
      </c>
      <c r="E72" s="1">
        <f ca="1" t="shared" si="6"/>
        <v>210</v>
      </c>
      <c r="F72" s="5">
        <f ca="1" t="shared" si="9"/>
        <v>1512</v>
      </c>
      <c r="G72" s="1">
        <f ca="1">IF(C72=0,0,OFFSET($J$7,MATCH(C72,$A$7:$A$19,0)-1,0))*控制台!$E$2432/控制台!$E$2433</f>
        <v>80</v>
      </c>
      <c r="H72" s="1">
        <f ca="1" t="shared" si="7"/>
        <v>40</v>
      </c>
      <c r="I72" s="5">
        <f ca="1" t="shared" si="10"/>
        <v>288</v>
      </c>
    </row>
    <row r="73" spans="1:9">
      <c r="A73" s="9">
        <v>5</v>
      </c>
      <c r="B73" s="1">
        <f t="shared" si="8"/>
        <v>0.5</v>
      </c>
      <c r="C73" s="1">
        <f ca="1">OFFSET(控制台!$B$2444,MATCH(A73,控制台!$C$2444:$C$2457,1)-1,0)</f>
        <v>1</v>
      </c>
      <c r="D73" s="1">
        <f ca="1">IF(C73=0,0,OFFSET($D$7,MATCH(C73,$A$7:$A$19,0)-1,0))*控制台!$E$2432/控制台!$E$2433</f>
        <v>420</v>
      </c>
      <c r="E73" s="1">
        <f ca="1" t="shared" si="6"/>
        <v>210</v>
      </c>
      <c r="F73" s="5">
        <f ca="1" t="shared" si="9"/>
        <v>1722</v>
      </c>
      <c r="G73" s="1">
        <f ca="1">IF(C73=0,0,OFFSET($J$7,MATCH(C73,$A$7:$A$19,0)-1,0))*控制台!$E$2432/控制台!$E$2433</f>
        <v>80</v>
      </c>
      <c r="H73" s="1">
        <f ca="1" t="shared" si="7"/>
        <v>40</v>
      </c>
      <c r="I73" s="5">
        <f ca="1" t="shared" si="10"/>
        <v>328</v>
      </c>
    </row>
    <row r="74" spans="1:9">
      <c r="A74" s="9">
        <v>5.5</v>
      </c>
      <c r="B74" s="1">
        <f t="shared" si="8"/>
        <v>0.5</v>
      </c>
      <c r="C74" s="1">
        <f ca="1">OFFSET(控制台!$B$2444,MATCH(A74,控制台!$C$2444:$C$2457,1)-1,0)</f>
        <v>1</v>
      </c>
      <c r="D74" s="1">
        <f ca="1">IF(C74=0,0,OFFSET($D$7,MATCH(C74,$A$7:$A$19,0)-1,0))*控制台!$E$2432/控制台!$E$2433</f>
        <v>420</v>
      </c>
      <c r="E74" s="1">
        <f ca="1" t="shared" si="6"/>
        <v>210</v>
      </c>
      <c r="F74" s="5">
        <f ca="1" t="shared" si="9"/>
        <v>1932</v>
      </c>
      <c r="G74" s="1">
        <f ca="1">IF(C74=0,0,OFFSET($J$7,MATCH(C74,$A$7:$A$19,0)-1,0))*控制台!$E$2432/控制台!$E$2433</f>
        <v>80</v>
      </c>
      <c r="H74" s="1">
        <f ca="1" t="shared" si="7"/>
        <v>40</v>
      </c>
      <c r="I74" s="5">
        <f ca="1" t="shared" si="10"/>
        <v>368</v>
      </c>
    </row>
    <row r="75" spans="1:9">
      <c r="A75" s="9">
        <v>6</v>
      </c>
      <c r="B75" s="1">
        <f t="shared" si="8"/>
        <v>0.5</v>
      </c>
      <c r="C75" s="1">
        <f ca="1">OFFSET(控制台!$B$2444,MATCH(A75,控制台!$C$2444:$C$2457,1)-1,0)</f>
        <v>2</v>
      </c>
      <c r="D75" s="1">
        <f ca="1">IF(C75=0,0,OFFSET($D$7,MATCH(C75,$A$7:$A$19,0)-1,0))*控制台!$E$2432/控制台!$E$2433</f>
        <v>510</v>
      </c>
      <c r="E75" s="1">
        <f ca="1" t="shared" si="6"/>
        <v>255</v>
      </c>
      <c r="F75" s="5">
        <f ca="1" t="shared" si="9"/>
        <v>2187</v>
      </c>
      <c r="G75" s="1">
        <f ca="1">IF(C75=0,0,OFFSET($J$7,MATCH(C75,$A$7:$A$19,0)-1,0))*控制台!$E$2432/控制台!$E$2433</f>
        <v>100</v>
      </c>
      <c r="H75" s="1">
        <f ca="1" t="shared" si="7"/>
        <v>50</v>
      </c>
      <c r="I75" s="5">
        <f ca="1" t="shared" si="10"/>
        <v>418</v>
      </c>
    </row>
    <row r="76" spans="1:9">
      <c r="A76" s="9">
        <v>6.5</v>
      </c>
      <c r="B76" s="1">
        <f t="shared" si="8"/>
        <v>0.5</v>
      </c>
      <c r="C76" s="1">
        <f ca="1">OFFSET(控制台!$B$2444,MATCH(A76,控制台!$C$2444:$C$2457,1)-1,0)</f>
        <v>2</v>
      </c>
      <c r="D76" s="1">
        <f ca="1">IF(C76=0,0,OFFSET($D$7,MATCH(C76,$A$7:$A$19,0)-1,0))*控制台!$E$2432/控制台!$E$2433</f>
        <v>510</v>
      </c>
      <c r="E76" s="1">
        <f ca="1" t="shared" si="6"/>
        <v>255</v>
      </c>
      <c r="F76" s="5">
        <f ca="1" t="shared" si="9"/>
        <v>2442</v>
      </c>
      <c r="G76" s="1">
        <f ca="1">IF(C76=0,0,OFFSET($J$7,MATCH(C76,$A$7:$A$19,0)-1,0))*控制台!$E$2432/控制台!$E$2433</f>
        <v>100</v>
      </c>
      <c r="H76" s="1">
        <f ca="1" t="shared" si="7"/>
        <v>50</v>
      </c>
      <c r="I76" s="5">
        <f ca="1" t="shared" si="10"/>
        <v>468</v>
      </c>
    </row>
    <row r="77" spans="1:9">
      <c r="A77" s="9">
        <v>7</v>
      </c>
      <c r="B77" s="1">
        <f t="shared" si="8"/>
        <v>0.5</v>
      </c>
      <c r="C77" s="1">
        <f ca="1">OFFSET(控制台!$B$2444,MATCH(A77,控制台!$C$2444:$C$2457,1)-1,0)</f>
        <v>2</v>
      </c>
      <c r="D77" s="1">
        <f ca="1">IF(C77=0,0,OFFSET($D$7,MATCH(C77,$A$7:$A$19,0)-1,0))*控制台!$E$2432/控制台!$E$2433</f>
        <v>510</v>
      </c>
      <c r="E77" s="1">
        <f ca="1" t="shared" si="6"/>
        <v>255</v>
      </c>
      <c r="F77" s="5">
        <f ca="1" t="shared" si="9"/>
        <v>2697</v>
      </c>
      <c r="G77" s="1">
        <f ca="1">IF(C77=0,0,OFFSET($J$7,MATCH(C77,$A$7:$A$19,0)-1,0))*控制台!$E$2432/控制台!$E$2433</f>
        <v>100</v>
      </c>
      <c r="H77" s="1">
        <f ca="1" t="shared" si="7"/>
        <v>50</v>
      </c>
      <c r="I77" s="5">
        <f ca="1" t="shared" si="10"/>
        <v>518</v>
      </c>
    </row>
    <row r="78" spans="1:9">
      <c r="A78" s="10">
        <v>8</v>
      </c>
      <c r="B78" s="1">
        <f t="shared" si="8"/>
        <v>1</v>
      </c>
      <c r="C78" s="1">
        <f ca="1">OFFSET(控制台!$B$2444,MATCH(A78,控制台!$C$2444:$C$2457,1)-1,0)</f>
        <v>2</v>
      </c>
      <c r="D78" s="1">
        <f ca="1">IF(C78=0,0,OFFSET($D$7,MATCH(C78,$A$7:$A$19,0)-1,0))*控制台!$E$2432/控制台!$E$2433</f>
        <v>510</v>
      </c>
      <c r="E78" s="1">
        <f ca="1" t="shared" si="6"/>
        <v>510</v>
      </c>
      <c r="F78" s="5">
        <f ca="1" t="shared" si="9"/>
        <v>3207</v>
      </c>
      <c r="G78" s="1">
        <f ca="1">IF(C78=0,0,OFFSET($J$7,MATCH(C78,$A$7:$A$19,0)-1,0))*控制台!$E$2432/控制台!$E$2433</f>
        <v>100</v>
      </c>
      <c r="H78" s="1">
        <f ca="1" t="shared" si="7"/>
        <v>100</v>
      </c>
      <c r="I78" s="5">
        <f ca="1" t="shared" si="10"/>
        <v>618</v>
      </c>
    </row>
    <row r="79" spans="1:9">
      <c r="A79" s="10">
        <v>9</v>
      </c>
      <c r="B79" s="1">
        <f t="shared" si="8"/>
        <v>1</v>
      </c>
      <c r="C79" s="1">
        <f ca="1">OFFSET(控制台!$B$2444,MATCH(A79,控制台!$C$2444:$C$2457,1)-1,0)</f>
        <v>2</v>
      </c>
      <c r="D79" s="1">
        <f ca="1">IF(C79=0,0,OFFSET($D$7,MATCH(C79,$A$7:$A$19,0)-1,0))*控制台!$E$2432/控制台!$E$2433</f>
        <v>510</v>
      </c>
      <c r="E79" s="1">
        <f ca="1" t="shared" si="6"/>
        <v>510</v>
      </c>
      <c r="F79" s="5">
        <f ca="1" t="shared" si="9"/>
        <v>3717</v>
      </c>
      <c r="G79" s="1">
        <f ca="1">IF(C79=0,0,OFFSET($J$7,MATCH(C79,$A$7:$A$19,0)-1,0))*控制台!$E$2432/控制台!$E$2433</f>
        <v>100</v>
      </c>
      <c r="H79" s="1">
        <f ca="1" t="shared" si="7"/>
        <v>100</v>
      </c>
      <c r="I79" s="5">
        <f ca="1" t="shared" si="10"/>
        <v>718</v>
      </c>
    </row>
    <row r="80" spans="1:9">
      <c r="A80" s="10">
        <v>10</v>
      </c>
      <c r="B80" s="1">
        <f t="shared" si="8"/>
        <v>1</v>
      </c>
      <c r="C80" s="1">
        <f ca="1">OFFSET(控制台!$B$2444,MATCH(A80,控制台!$C$2444:$C$2457,1)-1,0)</f>
        <v>2</v>
      </c>
      <c r="D80" s="1">
        <f ca="1">IF(C80=0,0,OFFSET($D$7,MATCH(C80,$A$7:$A$19,0)-1,0))*控制台!$E$2432/控制台!$E$2433</f>
        <v>510</v>
      </c>
      <c r="E80" s="1">
        <f ca="1" t="shared" si="6"/>
        <v>510</v>
      </c>
      <c r="F80" s="5">
        <f ca="1" t="shared" si="9"/>
        <v>4227</v>
      </c>
      <c r="G80" s="1">
        <f ca="1">IF(C80=0,0,OFFSET($J$7,MATCH(C80,$A$7:$A$19,0)-1,0))*控制台!$E$2432/控制台!$E$2433</f>
        <v>100</v>
      </c>
      <c r="H80" s="1">
        <f ca="1" t="shared" si="7"/>
        <v>100</v>
      </c>
      <c r="I80" s="5">
        <f ca="1" t="shared" si="10"/>
        <v>818</v>
      </c>
    </row>
    <row r="81" spans="1:9">
      <c r="A81" s="10">
        <v>11</v>
      </c>
      <c r="B81" s="1">
        <f t="shared" si="8"/>
        <v>1</v>
      </c>
      <c r="C81" s="1">
        <f ca="1">OFFSET(控制台!$B$2444,MATCH(A81,控制台!$C$2444:$C$2457,1)-1,0)</f>
        <v>2</v>
      </c>
      <c r="D81" s="1">
        <f ca="1">IF(C81=0,0,OFFSET($D$7,MATCH(C81,$A$7:$A$19,0)-1,0))*控制台!$E$2432/控制台!$E$2433</f>
        <v>510</v>
      </c>
      <c r="E81" s="1">
        <f ca="1" t="shared" si="6"/>
        <v>510</v>
      </c>
      <c r="F81" s="5">
        <f ca="1" t="shared" si="9"/>
        <v>4737</v>
      </c>
      <c r="G81" s="1">
        <f ca="1">IF(C81=0,0,OFFSET($J$7,MATCH(C81,$A$7:$A$19,0)-1,0))*控制台!$E$2432/控制台!$E$2433</f>
        <v>100</v>
      </c>
      <c r="H81" s="1">
        <f ca="1" t="shared" si="7"/>
        <v>100</v>
      </c>
      <c r="I81" s="5">
        <f ca="1" t="shared" si="10"/>
        <v>918</v>
      </c>
    </row>
    <row r="82" spans="1:9">
      <c r="A82" s="10">
        <v>12</v>
      </c>
      <c r="B82" s="1">
        <f t="shared" si="8"/>
        <v>1</v>
      </c>
      <c r="C82" s="1">
        <f ca="1">OFFSET(控制台!$B$2444,MATCH(A82,控制台!$C$2444:$C$2457,1)-1,0)</f>
        <v>2</v>
      </c>
      <c r="D82" s="1">
        <f ca="1">IF(C82=0,0,OFFSET($D$7,MATCH(C82,$A$7:$A$19,0)-1,0))*控制台!$E$2432/控制台!$E$2433</f>
        <v>510</v>
      </c>
      <c r="E82" s="1">
        <f ca="1" t="shared" si="6"/>
        <v>510</v>
      </c>
      <c r="F82" s="5">
        <f ca="1" t="shared" si="9"/>
        <v>5247</v>
      </c>
      <c r="G82" s="1">
        <f ca="1">IF(C82=0,0,OFFSET($J$7,MATCH(C82,$A$7:$A$19,0)-1,0))*控制台!$E$2432/控制台!$E$2433</f>
        <v>100</v>
      </c>
      <c r="H82" s="1">
        <f ca="1" t="shared" si="7"/>
        <v>100</v>
      </c>
      <c r="I82" s="5">
        <f ca="1" t="shared" si="10"/>
        <v>1018</v>
      </c>
    </row>
    <row r="83" spans="1:9">
      <c r="A83" s="10">
        <v>13</v>
      </c>
      <c r="B83" s="1">
        <f t="shared" si="8"/>
        <v>1</v>
      </c>
      <c r="C83" s="1">
        <f ca="1">OFFSET(控制台!$B$2444,MATCH(A83,控制台!$C$2444:$C$2457,1)-1,0)</f>
        <v>3</v>
      </c>
      <c r="D83" s="1">
        <f ca="1">IF(C83=0,0,OFFSET($D$7,MATCH(C83,$A$7:$A$19,0)-1,0))*控制台!$E$2432/控制台!$E$2433</f>
        <v>690</v>
      </c>
      <c r="E83" s="1">
        <f ca="1" t="shared" si="6"/>
        <v>690</v>
      </c>
      <c r="F83" s="5">
        <f ca="1" t="shared" si="9"/>
        <v>5937</v>
      </c>
      <c r="G83" s="1">
        <f ca="1">IF(C83=0,0,OFFSET($J$7,MATCH(C83,$A$7:$A$19,0)-1,0))*控制台!$E$2432/控制台!$E$2433</f>
        <v>130</v>
      </c>
      <c r="H83" s="1">
        <f ca="1" t="shared" si="7"/>
        <v>130</v>
      </c>
      <c r="I83" s="5">
        <f ca="1" t="shared" si="10"/>
        <v>1148</v>
      </c>
    </row>
    <row r="84" spans="1:9">
      <c r="A84" s="10">
        <v>14</v>
      </c>
      <c r="B84" s="1">
        <f t="shared" si="8"/>
        <v>1</v>
      </c>
      <c r="C84" s="1">
        <f ca="1">OFFSET(控制台!$B$2444,MATCH(A84,控制台!$C$2444:$C$2457,1)-1,0)</f>
        <v>3</v>
      </c>
      <c r="D84" s="1">
        <f ca="1">IF(C84=0,0,OFFSET($D$7,MATCH(C84,$A$7:$A$19,0)-1,0))*控制台!$E$2432/控制台!$E$2433</f>
        <v>690</v>
      </c>
      <c r="E84" s="1">
        <f ca="1" t="shared" si="6"/>
        <v>690</v>
      </c>
      <c r="F84" s="5">
        <f ca="1" t="shared" si="9"/>
        <v>6627</v>
      </c>
      <c r="G84" s="1">
        <f ca="1">IF(C84=0,0,OFFSET($J$7,MATCH(C84,$A$7:$A$19,0)-1,0))*控制台!$E$2432/控制台!$E$2433</f>
        <v>130</v>
      </c>
      <c r="H84" s="1">
        <f ca="1" t="shared" si="7"/>
        <v>130</v>
      </c>
      <c r="I84" s="5">
        <f ca="1" t="shared" si="10"/>
        <v>1278</v>
      </c>
    </row>
    <row r="85" spans="1:9">
      <c r="A85" s="10">
        <v>15</v>
      </c>
      <c r="B85" s="1">
        <f t="shared" si="8"/>
        <v>1</v>
      </c>
      <c r="C85" s="1">
        <f ca="1">OFFSET(控制台!$B$2444,MATCH(A85,控制台!$C$2444:$C$2457,1)-1,0)</f>
        <v>3</v>
      </c>
      <c r="D85" s="1">
        <f ca="1">IF(C85=0,0,OFFSET($D$7,MATCH(C85,$A$7:$A$19,0)-1,0))*控制台!$E$2432/控制台!$E$2433</f>
        <v>690</v>
      </c>
      <c r="E85" s="1">
        <f ca="1" t="shared" si="6"/>
        <v>690</v>
      </c>
      <c r="F85" s="5">
        <f ca="1" t="shared" si="9"/>
        <v>7317</v>
      </c>
      <c r="G85" s="1">
        <f ca="1">IF(C85=0,0,OFFSET($J$7,MATCH(C85,$A$7:$A$19,0)-1,0))*控制台!$E$2432/控制台!$E$2433</f>
        <v>130</v>
      </c>
      <c r="H85" s="1">
        <f ca="1" t="shared" si="7"/>
        <v>130</v>
      </c>
      <c r="I85" s="5">
        <f ca="1" t="shared" si="10"/>
        <v>1408</v>
      </c>
    </row>
    <row r="86" spans="1:9">
      <c r="A86" s="10">
        <v>16</v>
      </c>
      <c r="B86" s="1">
        <f t="shared" si="8"/>
        <v>1</v>
      </c>
      <c r="C86" s="1">
        <f ca="1">OFFSET(控制台!$B$2444,MATCH(A86,控制台!$C$2444:$C$2457,1)-1,0)</f>
        <v>3</v>
      </c>
      <c r="D86" s="1">
        <f ca="1">IF(C86=0,0,OFFSET($D$7,MATCH(C86,$A$7:$A$19,0)-1,0))*控制台!$E$2432/控制台!$E$2433</f>
        <v>690</v>
      </c>
      <c r="E86" s="1">
        <f ca="1" t="shared" si="6"/>
        <v>690</v>
      </c>
      <c r="F86" s="5">
        <f ca="1" t="shared" si="9"/>
        <v>8007</v>
      </c>
      <c r="G86" s="1">
        <f ca="1">IF(C86=0,0,OFFSET($J$7,MATCH(C86,$A$7:$A$19,0)-1,0))*控制台!$E$2432/控制台!$E$2433</f>
        <v>130</v>
      </c>
      <c r="H86" s="1">
        <f ca="1" t="shared" si="7"/>
        <v>130</v>
      </c>
      <c r="I86" s="5">
        <f ca="1" t="shared" si="10"/>
        <v>1538</v>
      </c>
    </row>
    <row r="87" spans="1:9">
      <c r="A87" s="10">
        <v>17</v>
      </c>
      <c r="B87" s="1">
        <f t="shared" si="8"/>
        <v>1</v>
      </c>
      <c r="C87" s="1">
        <f ca="1">OFFSET(控制台!$B$2444,MATCH(A87,控制台!$C$2444:$C$2457,1)-1,0)</f>
        <v>3</v>
      </c>
      <c r="D87" s="1">
        <f ca="1">IF(C87=0,0,OFFSET($D$7,MATCH(C87,$A$7:$A$19,0)-1,0))*控制台!$E$2432/控制台!$E$2433</f>
        <v>690</v>
      </c>
      <c r="E87" s="1">
        <f ca="1" t="shared" si="6"/>
        <v>690</v>
      </c>
      <c r="F87" s="5">
        <f ca="1" t="shared" si="9"/>
        <v>8697</v>
      </c>
      <c r="G87" s="1">
        <f ca="1">IF(C87=0,0,OFFSET($J$7,MATCH(C87,$A$7:$A$19,0)-1,0))*控制台!$E$2432/控制台!$E$2433</f>
        <v>130</v>
      </c>
      <c r="H87" s="1">
        <f ca="1" t="shared" si="7"/>
        <v>130</v>
      </c>
      <c r="I87" s="5">
        <f ca="1" t="shared" si="10"/>
        <v>1668</v>
      </c>
    </row>
    <row r="88" spans="1:9">
      <c r="A88" s="10">
        <v>18</v>
      </c>
      <c r="B88" s="1">
        <f t="shared" si="8"/>
        <v>1</v>
      </c>
      <c r="C88" s="1">
        <f ca="1">OFFSET(控制台!$B$2444,MATCH(A88,控制台!$C$2444:$C$2457,1)-1,0)</f>
        <v>3</v>
      </c>
      <c r="D88" s="1">
        <f ca="1">IF(C88=0,0,OFFSET($D$7,MATCH(C88,$A$7:$A$19,0)-1,0))*控制台!$E$2432/控制台!$E$2433</f>
        <v>690</v>
      </c>
      <c r="E88" s="1">
        <f ca="1" t="shared" si="6"/>
        <v>690</v>
      </c>
      <c r="F88" s="5">
        <f ca="1" t="shared" si="9"/>
        <v>9387</v>
      </c>
      <c r="G88" s="1">
        <f ca="1">IF(C88=0,0,OFFSET($J$7,MATCH(C88,$A$7:$A$19,0)-1,0))*控制台!$E$2432/控制台!$E$2433</f>
        <v>130</v>
      </c>
      <c r="H88" s="1">
        <f ca="1" t="shared" si="7"/>
        <v>130</v>
      </c>
      <c r="I88" s="5">
        <f ca="1" t="shared" si="10"/>
        <v>1798</v>
      </c>
    </row>
    <row r="89" spans="1:9">
      <c r="A89" s="10">
        <v>19</v>
      </c>
      <c r="B89" s="1">
        <f t="shared" si="8"/>
        <v>1</v>
      </c>
      <c r="C89" s="1">
        <f ca="1">OFFSET(控制台!$B$2444,MATCH(A89,控制台!$C$2444:$C$2457,1)-1,0)</f>
        <v>3</v>
      </c>
      <c r="D89" s="1">
        <f ca="1">IF(C89=0,0,OFFSET($D$7,MATCH(C89,$A$7:$A$19,0)-1,0))*控制台!$E$2432/控制台!$E$2433</f>
        <v>690</v>
      </c>
      <c r="E89" s="1">
        <f ca="1" t="shared" si="6"/>
        <v>690</v>
      </c>
      <c r="F89" s="5">
        <f ca="1" t="shared" si="9"/>
        <v>10077</v>
      </c>
      <c r="G89" s="1">
        <f ca="1">IF(C89=0,0,OFFSET($J$7,MATCH(C89,$A$7:$A$19,0)-1,0))*控制台!$E$2432/控制台!$E$2433</f>
        <v>130</v>
      </c>
      <c r="H89" s="1">
        <f ca="1" t="shared" si="7"/>
        <v>130</v>
      </c>
      <c r="I89" s="5">
        <f ca="1" t="shared" si="10"/>
        <v>1928</v>
      </c>
    </row>
    <row r="90" spans="1:9">
      <c r="A90" s="10">
        <v>20</v>
      </c>
      <c r="B90" s="1">
        <f t="shared" si="8"/>
        <v>1</v>
      </c>
      <c r="C90" s="1">
        <f ca="1">OFFSET(控制台!$B$2444,MATCH(A90,控制台!$C$2444:$C$2457,1)-1,0)</f>
        <v>3</v>
      </c>
      <c r="D90" s="1">
        <f ca="1">IF(C90=0,0,OFFSET($D$7,MATCH(C90,$A$7:$A$19,0)-1,0))*控制台!$E$2432/控制台!$E$2433</f>
        <v>690</v>
      </c>
      <c r="E90" s="1">
        <f ca="1" t="shared" si="6"/>
        <v>690</v>
      </c>
      <c r="F90" s="5">
        <f ca="1" t="shared" si="9"/>
        <v>10767</v>
      </c>
      <c r="G90" s="1">
        <f ca="1">IF(C90=0,0,OFFSET($J$7,MATCH(C90,$A$7:$A$19,0)-1,0))*控制台!$E$2432/控制台!$E$2433</f>
        <v>130</v>
      </c>
      <c r="H90" s="1">
        <f ca="1" t="shared" si="7"/>
        <v>130</v>
      </c>
      <c r="I90" s="5">
        <f ca="1" t="shared" si="10"/>
        <v>2058</v>
      </c>
    </row>
    <row r="91" spans="1:9">
      <c r="A91" s="10">
        <v>21</v>
      </c>
      <c r="B91" s="1">
        <f t="shared" si="8"/>
        <v>1</v>
      </c>
      <c r="C91" s="1">
        <f ca="1">OFFSET(控制台!$B$2444,MATCH(A91,控制台!$C$2444:$C$2457,1)-1,0)</f>
        <v>3</v>
      </c>
      <c r="D91" s="1">
        <f ca="1">IF(C91=0,0,OFFSET($D$7,MATCH(C91,$A$7:$A$19,0)-1,0))*控制台!$E$2432/控制台!$E$2433</f>
        <v>690</v>
      </c>
      <c r="E91" s="1">
        <f ca="1" t="shared" si="6"/>
        <v>690</v>
      </c>
      <c r="F91" s="5">
        <f ca="1" t="shared" si="9"/>
        <v>11457</v>
      </c>
      <c r="G91" s="1">
        <f ca="1">IF(C91=0,0,OFFSET($J$7,MATCH(C91,$A$7:$A$19,0)-1,0))*控制台!$E$2432/控制台!$E$2433</f>
        <v>130</v>
      </c>
      <c r="H91" s="1">
        <f ca="1" t="shared" si="7"/>
        <v>130</v>
      </c>
      <c r="I91" s="5">
        <f ca="1" t="shared" si="10"/>
        <v>2188</v>
      </c>
    </row>
    <row r="92" spans="1:9">
      <c r="A92" s="10">
        <v>22</v>
      </c>
      <c r="B92" s="1">
        <f t="shared" si="8"/>
        <v>1</v>
      </c>
      <c r="C92" s="1">
        <f ca="1">OFFSET(控制台!$B$2444,MATCH(A92,控制台!$C$2444:$C$2457,1)-1,0)</f>
        <v>3</v>
      </c>
      <c r="D92" s="1">
        <f ca="1">IF(C92=0,0,OFFSET($D$7,MATCH(C92,$A$7:$A$19,0)-1,0))*控制台!$E$2432/控制台!$E$2433</f>
        <v>690</v>
      </c>
      <c r="E92" s="1">
        <f ca="1" t="shared" si="6"/>
        <v>690</v>
      </c>
      <c r="F92" s="5">
        <f ca="1" t="shared" si="9"/>
        <v>12147</v>
      </c>
      <c r="G92" s="1">
        <f ca="1">IF(C92=0,0,OFFSET($J$7,MATCH(C92,$A$7:$A$19,0)-1,0))*控制台!$E$2432/控制台!$E$2433</f>
        <v>130</v>
      </c>
      <c r="H92" s="1">
        <f ca="1" t="shared" si="7"/>
        <v>130</v>
      </c>
      <c r="I92" s="5">
        <f ca="1" t="shared" si="10"/>
        <v>2318</v>
      </c>
    </row>
    <row r="93" spans="1:9">
      <c r="A93" s="10">
        <v>23</v>
      </c>
      <c r="B93" s="1">
        <f t="shared" si="8"/>
        <v>1</v>
      </c>
      <c r="C93" s="1">
        <f ca="1">OFFSET(控制台!$B$2444,MATCH(A93,控制台!$C$2444:$C$2457,1)-1,0)</f>
        <v>3</v>
      </c>
      <c r="D93" s="1">
        <f ca="1">IF(C93=0,0,OFFSET($D$7,MATCH(C93,$A$7:$A$19,0)-1,0))*控制台!$E$2432/控制台!$E$2433</f>
        <v>690</v>
      </c>
      <c r="E93" s="1">
        <f ca="1" t="shared" si="6"/>
        <v>690</v>
      </c>
      <c r="F93" s="5">
        <f ca="1" t="shared" si="9"/>
        <v>12837</v>
      </c>
      <c r="G93" s="1">
        <f ca="1">IF(C93=0,0,OFFSET($J$7,MATCH(C93,$A$7:$A$19,0)-1,0))*控制台!$E$2432/控制台!$E$2433</f>
        <v>130</v>
      </c>
      <c r="H93" s="1">
        <f ca="1" t="shared" si="7"/>
        <v>130</v>
      </c>
      <c r="I93" s="5">
        <f ca="1" t="shared" si="10"/>
        <v>2448</v>
      </c>
    </row>
    <row r="94" spans="1:9">
      <c r="A94" s="10">
        <v>24</v>
      </c>
      <c r="B94" s="1">
        <f t="shared" si="8"/>
        <v>1</v>
      </c>
      <c r="C94" s="1">
        <f ca="1">OFFSET(控制台!$B$2444,MATCH(A94,控制台!$C$2444:$C$2457,1)-1,0)</f>
        <v>3</v>
      </c>
      <c r="D94" s="1">
        <f ca="1">IF(C94=0,0,OFFSET($D$7,MATCH(C94,$A$7:$A$19,0)-1,0))*控制台!$E$2432/控制台!$E$2433</f>
        <v>690</v>
      </c>
      <c r="E94" s="1">
        <f ca="1" t="shared" si="6"/>
        <v>690</v>
      </c>
      <c r="F94" s="5">
        <f ca="1" t="shared" si="9"/>
        <v>13527</v>
      </c>
      <c r="G94" s="1">
        <f ca="1">IF(C94=0,0,OFFSET($J$7,MATCH(C94,$A$7:$A$19,0)-1,0))*控制台!$E$2432/控制台!$E$2433</f>
        <v>130</v>
      </c>
      <c r="H94" s="1">
        <f ca="1" t="shared" si="7"/>
        <v>130</v>
      </c>
      <c r="I94" s="5">
        <f ca="1" t="shared" si="10"/>
        <v>2578</v>
      </c>
    </row>
    <row r="95" spans="1:9">
      <c r="A95" s="10">
        <v>25</v>
      </c>
      <c r="B95" s="1">
        <f t="shared" si="8"/>
        <v>1</v>
      </c>
      <c r="C95" s="1">
        <f ca="1">OFFSET(控制台!$B$2444,MATCH(A95,控制台!$C$2444:$C$2457,1)-1,0)</f>
        <v>3</v>
      </c>
      <c r="D95" s="1">
        <f ca="1">IF(C95=0,0,OFFSET($D$7,MATCH(C95,$A$7:$A$19,0)-1,0))*控制台!$E$2432/控制台!$E$2433</f>
        <v>690</v>
      </c>
      <c r="E95" s="1">
        <f ca="1" t="shared" si="6"/>
        <v>690</v>
      </c>
      <c r="F95" s="5">
        <f ca="1" t="shared" si="9"/>
        <v>14217</v>
      </c>
      <c r="G95" s="1">
        <f ca="1">IF(C95=0,0,OFFSET($J$7,MATCH(C95,$A$7:$A$19,0)-1,0))*控制台!$E$2432/控制台!$E$2433</f>
        <v>130</v>
      </c>
      <c r="H95" s="1">
        <f ca="1" t="shared" si="7"/>
        <v>130</v>
      </c>
      <c r="I95" s="5">
        <f ca="1" t="shared" si="10"/>
        <v>2708</v>
      </c>
    </row>
    <row r="96" spans="1:9">
      <c r="A96" s="10">
        <v>26</v>
      </c>
      <c r="B96" s="1">
        <f t="shared" si="8"/>
        <v>1</v>
      </c>
      <c r="C96" s="1">
        <f ca="1">OFFSET(控制台!$B$2444,MATCH(A96,控制台!$C$2444:$C$2457,1)-1,0)</f>
        <v>3</v>
      </c>
      <c r="D96" s="1">
        <f ca="1">IF(C96=0,0,OFFSET($D$7,MATCH(C96,$A$7:$A$19,0)-1,0))*控制台!$E$2432/控制台!$E$2433</f>
        <v>690</v>
      </c>
      <c r="E96" s="1">
        <f ca="1" t="shared" si="6"/>
        <v>690</v>
      </c>
      <c r="F96" s="5">
        <f ca="1" t="shared" si="9"/>
        <v>14907</v>
      </c>
      <c r="G96" s="1">
        <f ca="1">IF(C96=0,0,OFFSET($J$7,MATCH(C96,$A$7:$A$19,0)-1,0))*控制台!$E$2432/控制台!$E$2433</f>
        <v>130</v>
      </c>
      <c r="H96" s="1">
        <f ca="1" t="shared" si="7"/>
        <v>130</v>
      </c>
      <c r="I96" s="5">
        <f ca="1" t="shared" si="10"/>
        <v>2838</v>
      </c>
    </row>
    <row r="97" spans="1:9">
      <c r="A97" s="10">
        <v>27</v>
      </c>
      <c r="B97" s="1">
        <f t="shared" si="8"/>
        <v>1</v>
      </c>
      <c r="C97" s="1">
        <f ca="1">OFFSET(控制台!$B$2444,MATCH(A97,控制台!$C$2444:$C$2457,1)-1,0)</f>
        <v>3</v>
      </c>
      <c r="D97" s="1">
        <f ca="1">IF(C97=0,0,OFFSET($D$7,MATCH(C97,$A$7:$A$19,0)-1,0))*控制台!$E$2432/控制台!$E$2433</f>
        <v>690</v>
      </c>
      <c r="E97" s="1">
        <f ca="1" t="shared" si="6"/>
        <v>690</v>
      </c>
      <c r="F97" s="5">
        <f ca="1" t="shared" si="9"/>
        <v>15597</v>
      </c>
      <c r="G97" s="1">
        <f ca="1">IF(C97=0,0,OFFSET($J$7,MATCH(C97,$A$7:$A$19,0)-1,0))*控制台!$E$2432/控制台!$E$2433</f>
        <v>130</v>
      </c>
      <c r="H97" s="1">
        <f ca="1" t="shared" si="7"/>
        <v>130</v>
      </c>
      <c r="I97" s="5">
        <f ca="1" t="shared" si="10"/>
        <v>2968</v>
      </c>
    </row>
    <row r="98" spans="1:9">
      <c r="A98" s="10">
        <v>28</v>
      </c>
      <c r="B98" s="1">
        <f t="shared" si="8"/>
        <v>1</v>
      </c>
      <c r="C98" s="1">
        <f ca="1">OFFSET(控制台!$B$2444,MATCH(A98,控制台!$C$2444:$C$2457,1)-1,0)</f>
        <v>3</v>
      </c>
      <c r="D98" s="1">
        <f ca="1">IF(C98=0,0,OFFSET($D$7,MATCH(C98,$A$7:$A$19,0)-1,0))*控制台!$E$2432/控制台!$E$2433</f>
        <v>690</v>
      </c>
      <c r="E98" s="1">
        <f ca="1" t="shared" si="6"/>
        <v>690</v>
      </c>
      <c r="F98" s="5">
        <f ca="1" t="shared" si="9"/>
        <v>16287</v>
      </c>
      <c r="G98" s="1">
        <f ca="1">IF(C98=0,0,OFFSET($J$7,MATCH(C98,$A$7:$A$19,0)-1,0))*控制台!$E$2432/控制台!$E$2433</f>
        <v>130</v>
      </c>
      <c r="H98" s="1">
        <f ca="1" t="shared" si="7"/>
        <v>130</v>
      </c>
      <c r="I98" s="5">
        <f ca="1" t="shared" si="10"/>
        <v>3098</v>
      </c>
    </row>
    <row r="99" spans="1:9">
      <c r="A99" s="10">
        <v>29</v>
      </c>
      <c r="B99" s="1">
        <f t="shared" si="8"/>
        <v>1</v>
      </c>
      <c r="C99" s="1">
        <f ca="1">OFFSET(控制台!$B$2444,MATCH(A99,控制台!$C$2444:$C$2457,1)-1,0)</f>
        <v>3</v>
      </c>
      <c r="D99" s="1">
        <f ca="1">IF(C99=0,0,OFFSET($D$7,MATCH(C99,$A$7:$A$19,0)-1,0))*控制台!$E$2432/控制台!$E$2433</f>
        <v>690</v>
      </c>
      <c r="E99" s="1">
        <f ca="1" t="shared" si="6"/>
        <v>690</v>
      </c>
      <c r="F99" s="5">
        <f ca="1" t="shared" si="9"/>
        <v>16977</v>
      </c>
      <c r="G99" s="1">
        <f ca="1">IF(C99=0,0,OFFSET($J$7,MATCH(C99,$A$7:$A$19,0)-1,0))*控制台!$E$2432/控制台!$E$2433</f>
        <v>130</v>
      </c>
      <c r="H99" s="1">
        <f ca="1" t="shared" si="7"/>
        <v>130</v>
      </c>
      <c r="I99" s="5">
        <f ca="1" t="shared" si="10"/>
        <v>3228</v>
      </c>
    </row>
    <row r="100" spans="1:9">
      <c r="A100" s="10">
        <v>30</v>
      </c>
      <c r="B100" s="1">
        <f t="shared" si="8"/>
        <v>1</v>
      </c>
      <c r="C100" s="1">
        <f ca="1">OFFSET(控制台!$B$2444,MATCH(A100,控制台!$C$2444:$C$2457,1)-1,0)</f>
        <v>3</v>
      </c>
      <c r="D100" s="1">
        <f ca="1">IF(C100=0,0,OFFSET($D$7,MATCH(C100,$A$7:$A$19,0)-1,0))*控制台!$E$2432/控制台!$E$2433</f>
        <v>690</v>
      </c>
      <c r="E100" s="1">
        <f ca="1" t="shared" si="6"/>
        <v>690</v>
      </c>
      <c r="F100" s="5">
        <f ca="1" t="shared" si="9"/>
        <v>17667</v>
      </c>
      <c r="G100" s="1">
        <f ca="1">IF(C100=0,0,OFFSET($J$7,MATCH(C100,$A$7:$A$19,0)-1,0))*控制台!$E$2432/控制台!$E$2433</f>
        <v>130</v>
      </c>
      <c r="H100" s="1">
        <f ca="1" t="shared" si="7"/>
        <v>130</v>
      </c>
      <c r="I100" s="5">
        <f ca="1" t="shared" si="10"/>
        <v>3358</v>
      </c>
    </row>
    <row r="101" spans="1:9">
      <c r="A101" s="11">
        <v>35</v>
      </c>
      <c r="B101" s="1">
        <f t="shared" si="8"/>
        <v>5</v>
      </c>
      <c r="C101" s="1">
        <f ca="1">OFFSET(控制台!$B$2444,MATCH(A101,控制台!$C$2444:$C$2457,1)-1,0)</f>
        <v>4</v>
      </c>
      <c r="D101" s="1">
        <f ca="1">IF(C101=0,0,OFFSET($D$7,MATCH(C101,$A$7:$A$19,0)-1,0))*控制台!$E$2432/控制台!$E$2433</f>
        <v>855</v>
      </c>
      <c r="E101" s="1">
        <f ca="1" t="shared" si="6"/>
        <v>4275</v>
      </c>
      <c r="F101" s="5">
        <f ca="1" t="shared" si="9"/>
        <v>21942</v>
      </c>
      <c r="G101" s="1">
        <f ca="1">IF(C101=0,0,OFFSET($J$7,MATCH(C101,$A$7:$A$19,0)-1,0))*控制台!$E$2432/控制台!$E$2433</f>
        <v>165</v>
      </c>
      <c r="H101" s="1">
        <f ca="1" t="shared" si="7"/>
        <v>825</v>
      </c>
      <c r="I101" s="5">
        <f ca="1" t="shared" si="10"/>
        <v>4183</v>
      </c>
    </row>
    <row r="102" spans="1:9">
      <c r="A102" s="11">
        <v>40</v>
      </c>
      <c r="B102" s="1">
        <f t="shared" si="8"/>
        <v>5</v>
      </c>
      <c r="C102" s="1">
        <f ca="1">OFFSET(控制台!$B$2444,MATCH(A102,控制台!$C$2444:$C$2457,1)-1,0)</f>
        <v>4</v>
      </c>
      <c r="D102" s="1">
        <f ca="1">IF(C102=0,0,OFFSET($D$7,MATCH(C102,$A$7:$A$19,0)-1,0))*控制台!$E$2432/控制台!$E$2433</f>
        <v>855</v>
      </c>
      <c r="E102" s="1">
        <f ca="1" t="shared" si="6"/>
        <v>4275</v>
      </c>
      <c r="F102" s="5">
        <f ca="1" t="shared" si="9"/>
        <v>26217</v>
      </c>
      <c r="G102" s="1">
        <f ca="1">IF(C102=0,0,OFFSET($J$7,MATCH(C102,$A$7:$A$19,0)-1,0))*控制台!$E$2432/控制台!$E$2433</f>
        <v>165</v>
      </c>
      <c r="H102" s="1">
        <f ca="1" t="shared" si="7"/>
        <v>825</v>
      </c>
      <c r="I102" s="5">
        <f ca="1" t="shared" si="10"/>
        <v>5008</v>
      </c>
    </row>
    <row r="103" spans="1:9">
      <c r="A103" s="11">
        <v>45</v>
      </c>
      <c r="B103" s="1">
        <f t="shared" si="8"/>
        <v>5</v>
      </c>
      <c r="C103" s="1">
        <f ca="1">OFFSET(控制台!$B$2444,MATCH(A103,控制台!$C$2444:$C$2457,1)-1,0)</f>
        <v>5</v>
      </c>
      <c r="D103" s="1">
        <f ca="1">IF(C103=0,0,OFFSET($D$7,MATCH(C103,$A$7:$A$19,0)-1,0))*控制台!$E$2432/控制台!$E$2433</f>
        <v>1035</v>
      </c>
      <c r="E103" s="1">
        <f ca="1" t="shared" si="6"/>
        <v>5175</v>
      </c>
      <c r="F103" s="5">
        <f ca="1" t="shared" si="9"/>
        <v>31392</v>
      </c>
      <c r="G103" s="1">
        <f ca="1">IF(C103=0,0,OFFSET($J$7,MATCH(C103,$A$7:$A$19,0)-1,0))*控制台!$E$2432/控制台!$E$2433</f>
        <v>200</v>
      </c>
      <c r="H103" s="1">
        <f ca="1" t="shared" si="7"/>
        <v>1000</v>
      </c>
      <c r="I103" s="5">
        <f ca="1" t="shared" si="10"/>
        <v>6008</v>
      </c>
    </row>
    <row r="104" spans="1:9">
      <c r="A104" s="11">
        <v>50</v>
      </c>
      <c r="B104" s="1">
        <f t="shared" si="8"/>
        <v>5</v>
      </c>
      <c r="C104" s="1">
        <f ca="1">OFFSET(控制台!$B$2444,MATCH(A104,控制台!$C$2444:$C$2457,1)-1,0)</f>
        <v>5</v>
      </c>
      <c r="D104" s="1">
        <f ca="1">IF(C104=0,0,OFFSET($D$7,MATCH(C104,$A$7:$A$19,0)-1,0))*控制台!$E$2432/控制台!$E$2433</f>
        <v>1035</v>
      </c>
      <c r="E104" s="1">
        <f ca="1" t="shared" si="6"/>
        <v>5175</v>
      </c>
      <c r="F104" s="5">
        <f ca="1" t="shared" si="9"/>
        <v>36567</v>
      </c>
      <c r="G104" s="1">
        <f ca="1">IF(C104=0,0,OFFSET($J$7,MATCH(C104,$A$7:$A$19,0)-1,0))*控制台!$E$2432/控制台!$E$2433</f>
        <v>200</v>
      </c>
      <c r="H104" s="1">
        <f ca="1" t="shared" si="7"/>
        <v>1000</v>
      </c>
      <c r="I104" s="5">
        <f ca="1" t="shared" si="10"/>
        <v>7008</v>
      </c>
    </row>
    <row r="105" spans="1:9">
      <c r="A105" s="11">
        <v>55</v>
      </c>
      <c r="B105" s="1">
        <f t="shared" si="8"/>
        <v>5</v>
      </c>
      <c r="C105" s="1">
        <f ca="1">OFFSET(控制台!$B$2444,MATCH(A105,控制台!$C$2444:$C$2457,1)-1,0)</f>
        <v>6</v>
      </c>
      <c r="D105" s="1">
        <f ca="1">IF(C105=0,0,OFFSET($D$7,MATCH(C105,$A$7:$A$19,0)-1,0))*控制台!$E$2432/控制台!$E$2433</f>
        <v>1110</v>
      </c>
      <c r="E105" s="1">
        <f ca="1" t="shared" si="6"/>
        <v>5550</v>
      </c>
      <c r="F105" s="5">
        <f ca="1" t="shared" si="9"/>
        <v>42117</v>
      </c>
      <c r="G105" s="1">
        <f ca="1">IF(C105=0,0,OFFSET($J$7,MATCH(C105,$A$7:$A$19,0)-1,0))*控制台!$E$2432/控制台!$E$2433</f>
        <v>215</v>
      </c>
      <c r="H105" s="1">
        <f ca="1" t="shared" si="7"/>
        <v>1075</v>
      </c>
      <c r="I105" s="5">
        <f ca="1" t="shared" si="10"/>
        <v>8083</v>
      </c>
    </row>
    <row r="106" spans="1:9">
      <c r="A106" s="11">
        <v>60</v>
      </c>
      <c r="B106" s="1">
        <f t="shared" si="8"/>
        <v>5</v>
      </c>
      <c r="C106" s="1">
        <f ca="1">OFFSET(控制台!$B$2444,MATCH(A106,控制台!$C$2444:$C$2457,1)-1,0)</f>
        <v>6</v>
      </c>
      <c r="D106" s="1">
        <f ca="1">IF(C106=0,0,OFFSET($D$7,MATCH(C106,$A$7:$A$19,0)-1,0))*控制台!$E$2432/控制台!$E$2433</f>
        <v>1110</v>
      </c>
      <c r="E106" s="1">
        <f ca="1" t="shared" si="6"/>
        <v>5550</v>
      </c>
      <c r="F106" s="5">
        <f ca="1" t="shared" si="9"/>
        <v>47667</v>
      </c>
      <c r="G106" s="1">
        <f ca="1">IF(C106=0,0,OFFSET($J$7,MATCH(C106,$A$7:$A$19,0)-1,0))*控制台!$E$2432/控制台!$E$2433</f>
        <v>215</v>
      </c>
      <c r="H106" s="1">
        <f ca="1" t="shared" si="7"/>
        <v>1075</v>
      </c>
      <c r="I106" s="5">
        <f ca="1" t="shared" si="10"/>
        <v>9158</v>
      </c>
    </row>
    <row r="107" spans="1:9">
      <c r="A107" s="11">
        <v>65</v>
      </c>
      <c r="B107" s="1">
        <f t="shared" si="8"/>
        <v>5</v>
      </c>
      <c r="C107" s="1">
        <f ca="1">OFFSET(控制台!$B$2444,MATCH(A107,控制台!$C$2444:$C$2457,1)-1,0)</f>
        <v>7</v>
      </c>
      <c r="D107" s="1">
        <f ca="1">IF(C107=0,0,OFFSET($D$7,MATCH(C107,$A$7:$A$19,0)-1,0))*控制台!$E$2432/控制台!$E$2433</f>
        <v>1200</v>
      </c>
      <c r="E107" s="1">
        <f ca="1" t="shared" si="6"/>
        <v>6000</v>
      </c>
      <c r="F107" s="5">
        <f ca="1" t="shared" si="9"/>
        <v>53667</v>
      </c>
      <c r="G107" s="1">
        <f ca="1">IF(C107=0,0,OFFSET($J$7,MATCH(C107,$A$7:$A$19,0)-1,0))*控制台!$E$2432/控制台!$E$2433</f>
        <v>230</v>
      </c>
      <c r="H107" s="1">
        <f ca="1" t="shared" si="7"/>
        <v>1150</v>
      </c>
      <c r="I107" s="5">
        <f ca="1" t="shared" si="10"/>
        <v>10308</v>
      </c>
    </row>
    <row r="108" spans="1:9">
      <c r="A108" s="11">
        <v>70</v>
      </c>
      <c r="B108" s="1">
        <f t="shared" si="8"/>
        <v>5</v>
      </c>
      <c r="C108" s="1">
        <f ca="1">OFFSET(控制台!$B$2444,MATCH(A108,控制台!$C$2444:$C$2457,1)-1,0)</f>
        <v>7</v>
      </c>
      <c r="D108" s="1">
        <f ca="1">IF(C108=0,0,OFFSET($D$7,MATCH(C108,$A$7:$A$19,0)-1,0))*控制台!$E$2432/控制台!$E$2433</f>
        <v>1200</v>
      </c>
      <c r="E108" s="1">
        <f ca="1" t="shared" si="6"/>
        <v>6000</v>
      </c>
      <c r="F108" s="5">
        <f ca="1" t="shared" si="9"/>
        <v>59667</v>
      </c>
      <c r="G108" s="1">
        <f ca="1">IF(C108=0,0,OFFSET($J$7,MATCH(C108,$A$7:$A$19,0)-1,0))*控制台!$E$2432/控制台!$E$2433</f>
        <v>230</v>
      </c>
      <c r="H108" s="1">
        <f ca="1" t="shared" si="7"/>
        <v>1150</v>
      </c>
      <c r="I108" s="5">
        <f ca="1" t="shared" si="10"/>
        <v>11458</v>
      </c>
    </row>
    <row r="109" spans="1:9">
      <c r="A109" s="11">
        <v>75</v>
      </c>
      <c r="B109" s="1">
        <f t="shared" si="8"/>
        <v>5</v>
      </c>
      <c r="C109" s="1">
        <f ca="1">OFFSET(控制台!$B$2444,MATCH(A109,控制台!$C$2444:$C$2457,1)-1,0)</f>
        <v>8</v>
      </c>
      <c r="D109" s="1">
        <f ca="1">IF(C109=0,0,OFFSET($D$7,MATCH(C109,$A$7:$A$19,0)-1,0))*控制台!$E$2432/控制台!$E$2433</f>
        <v>1290</v>
      </c>
      <c r="E109" s="1">
        <f ca="1" t="shared" si="6"/>
        <v>6450</v>
      </c>
      <c r="F109" s="5">
        <f ca="1" t="shared" si="9"/>
        <v>66117</v>
      </c>
      <c r="G109" s="1">
        <f ca="1">IF(C109=0,0,OFFSET($J$7,MATCH(C109,$A$7:$A$19,0)-1,0))*控制台!$E$2432/控制台!$E$2433</f>
        <v>250</v>
      </c>
      <c r="H109" s="1">
        <f ca="1" t="shared" si="7"/>
        <v>1250</v>
      </c>
      <c r="I109" s="5">
        <f ca="1" t="shared" si="10"/>
        <v>12708</v>
      </c>
    </row>
    <row r="110" spans="1:9">
      <c r="A110" s="11">
        <v>80</v>
      </c>
      <c r="B110" s="1">
        <f t="shared" si="8"/>
        <v>5</v>
      </c>
      <c r="C110" s="1">
        <f ca="1">OFFSET(控制台!$B$2444,MATCH(A110,控制台!$C$2444:$C$2457,1)-1,0)</f>
        <v>8</v>
      </c>
      <c r="D110" s="1">
        <f ca="1">IF(C110=0,0,OFFSET($D$7,MATCH(C110,$A$7:$A$19,0)-1,0))*控制台!$E$2432/控制台!$E$2433</f>
        <v>1290</v>
      </c>
      <c r="E110" s="1">
        <f ca="1" t="shared" si="6"/>
        <v>6450</v>
      </c>
      <c r="F110" s="5">
        <f ca="1" t="shared" si="9"/>
        <v>72567</v>
      </c>
      <c r="G110" s="1">
        <f ca="1">IF(C110=0,0,OFFSET($J$7,MATCH(C110,$A$7:$A$19,0)-1,0))*控制台!$E$2432/控制台!$E$2433</f>
        <v>250</v>
      </c>
      <c r="H110" s="1">
        <f ca="1" t="shared" si="7"/>
        <v>1250</v>
      </c>
      <c r="I110" s="5">
        <f ca="1" t="shared" si="10"/>
        <v>13958</v>
      </c>
    </row>
    <row r="111" spans="1:9">
      <c r="A111" s="11">
        <v>85</v>
      </c>
      <c r="B111" s="1">
        <f t="shared" si="8"/>
        <v>5</v>
      </c>
      <c r="C111" s="1">
        <f ca="1">OFFSET(控制台!$B$2444,MATCH(A111,控制台!$C$2444:$C$2457,1)-1,0)</f>
        <v>9</v>
      </c>
      <c r="D111" s="1">
        <f ca="1">IF(C111=0,0,OFFSET($D$7,MATCH(C111,$A$7:$A$19,0)-1,0))*控制台!$E$2432/控制台!$E$2433</f>
        <v>1380</v>
      </c>
      <c r="E111" s="1">
        <f ca="1" t="shared" si="6"/>
        <v>6900</v>
      </c>
      <c r="F111" s="5">
        <f ca="1" t="shared" si="9"/>
        <v>79467</v>
      </c>
      <c r="G111" s="1">
        <f ca="1">IF(C111=0,0,OFFSET($J$7,MATCH(C111,$A$7:$A$19,0)-1,0))*控制台!$E$2432/控制台!$E$2433</f>
        <v>265</v>
      </c>
      <c r="H111" s="1">
        <f ca="1" t="shared" si="7"/>
        <v>1325</v>
      </c>
      <c r="I111" s="5">
        <f ca="1" t="shared" si="10"/>
        <v>15283</v>
      </c>
    </row>
    <row r="112" spans="1:9">
      <c r="A112" s="11">
        <v>90</v>
      </c>
      <c r="B112" s="1">
        <f t="shared" si="8"/>
        <v>5</v>
      </c>
      <c r="C112" s="1">
        <f ca="1">OFFSET(控制台!$B$2444,MATCH(A112,控制台!$C$2444:$C$2457,1)-1,0)</f>
        <v>9</v>
      </c>
      <c r="D112" s="1">
        <f ca="1">IF(C112=0,0,OFFSET($D$7,MATCH(C112,$A$7:$A$19,0)-1,0))*控制台!$E$2432/控制台!$E$2433</f>
        <v>1380</v>
      </c>
      <c r="E112" s="1">
        <f ca="1" t="shared" si="6"/>
        <v>6900</v>
      </c>
      <c r="F112" s="5">
        <f ca="1" t="shared" si="9"/>
        <v>86367</v>
      </c>
      <c r="G112" s="1">
        <f ca="1">IF(C112=0,0,OFFSET($J$7,MATCH(C112,$A$7:$A$19,0)-1,0))*控制台!$E$2432/控制台!$E$2433</f>
        <v>265</v>
      </c>
      <c r="H112" s="1">
        <f ca="1" t="shared" si="7"/>
        <v>1325</v>
      </c>
      <c r="I112" s="5">
        <f ca="1" t="shared" si="10"/>
        <v>16608</v>
      </c>
    </row>
    <row r="113" spans="1:9">
      <c r="A113" s="11">
        <v>95</v>
      </c>
      <c r="B113" s="1">
        <f t="shared" si="8"/>
        <v>5</v>
      </c>
      <c r="C113" s="1">
        <f ca="1">OFFSET(控制台!$B$2444,MATCH(A113,控制台!$C$2444:$C$2457,1)-1,0)</f>
        <v>9</v>
      </c>
      <c r="D113" s="1">
        <f ca="1">IF(C113=0,0,OFFSET($D$7,MATCH(C113,$A$7:$A$19,0)-1,0))*控制台!$E$2432/控制台!$E$2433</f>
        <v>1380</v>
      </c>
      <c r="E113" s="1">
        <f ca="1" t="shared" si="6"/>
        <v>6900</v>
      </c>
      <c r="F113" s="5">
        <f ca="1" t="shared" si="9"/>
        <v>93267</v>
      </c>
      <c r="G113" s="1">
        <f ca="1">IF(C113=0,0,OFFSET($J$7,MATCH(C113,$A$7:$A$19,0)-1,0))*控制台!$E$2432/控制台!$E$2433</f>
        <v>265</v>
      </c>
      <c r="H113" s="1">
        <f ca="1" t="shared" si="7"/>
        <v>1325</v>
      </c>
      <c r="I113" s="5">
        <f ca="1" t="shared" si="10"/>
        <v>17933</v>
      </c>
    </row>
    <row r="114" spans="1:9">
      <c r="A114" s="11">
        <v>100</v>
      </c>
      <c r="B114" s="1">
        <f t="shared" si="8"/>
        <v>5</v>
      </c>
      <c r="C114" s="1">
        <f ca="1">OFFSET(控制台!$B$2444,MATCH(A114,控制台!$C$2444:$C$2457,1)-1,0)</f>
        <v>9</v>
      </c>
      <c r="D114" s="1">
        <f ca="1">IF(C114=0,0,OFFSET($D$7,MATCH(C114,$A$7:$A$19,0)-1,0))*控制台!$E$2432/控制台!$E$2433</f>
        <v>1380</v>
      </c>
      <c r="E114" s="1">
        <f ca="1" t="shared" si="6"/>
        <v>6900</v>
      </c>
      <c r="F114" s="5">
        <f ca="1" t="shared" si="9"/>
        <v>100167</v>
      </c>
      <c r="G114" s="1">
        <f ca="1">IF(C114=0,0,OFFSET($J$7,MATCH(C114,$A$7:$A$19,0)-1,0))*控制台!$E$2432/控制台!$E$2433</f>
        <v>265</v>
      </c>
      <c r="H114" s="1">
        <f ca="1" t="shared" si="7"/>
        <v>1325</v>
      </c>
      <c r="I114" s="5">
        <f ca="1" t="shared" si="10"/>
        <v>19258</v>
      </c>
    </row>
    <row r="115" spans="1:9">
      <c r="A115" s="11">
        <v>105</v>
      </c>
      <c r="B115" s="1">
        <f t="shared" si="8"/>
        <v>5</v>
      </c>
      <c r="C115" s="1">
        <f ca="1">OFFSET(控制台!$B$2444,MATCH(A115,控制台!$C$2444:$C$2457,1)-1,0)</f>
        <v>9</v>
      </c>
      <c r="D115" s="1">
        <f ca="1">IF(C115=0,0,OFFSET($D$7,MATCH(C115,$A$7:$A$19,0)-1,0))*控制台!$E$2432/控制台!$E$2433</f>
        <v>1380</v>
      </c>
      <c r="E115" s="1">
        <f ca="1" t="shared" si="6"/>
        <v>6900</v>
      </c>
      <c r="F115" s="5">
        <f ca="1" t="shared" si="9"/>
        <v>107067</v>
      </c>
      <c r="G115" s="1">
        <f ca="1">IF(C115=0,0,OFFSET($J$7,MATCH(C115,$A$7:$A$19,0)-1,0))*控制台!$E$2432/控制台!$E$2433</f>
        <v>265</v>
      </c>
      <c r="H115" s="1">
        <f ca="1" t="shared" si="7"/>
        <v>1325</v>
      </c>
      <c r="I115" s="5">
        <f ca="1" t="shared" si="10"/>
        <v>20583</v>
      </c>
    </row>
    <row r="116" spans="1:9">
      <c r="A116" s="11">
        <v>110</v>
      </c>
      <c r="B116" s="1">
        <f t="shared" si="8"/>
        <v>5</v>
      </c>
      <c r="C116" s="1">
        <f ca="1">OFFSET(控制台!$B$2444,MATCH(A116,控制台!$C$2444:$C$2457,1)-1,0)</f>
        <v>9</v>
      </c>
      <c r="D116" s="1">
        <f ca="1">IF(C116=0,0,OFFSET($D$7,MATCH(C116,$A$7:$A$19,0)-1,0))*控制台!$E$2432/控制台!$E$2433</f>
        <v>1380</v>
      </c>
      <c r="E116" s="1">
        <f ca="1" t="shared" si="6"/>
        <v>6900</v>
      </c>
      <c r="F116" s="5">
        <f ca="1" t="shared" si="9"/>
        <v>113967</v>
      </c>
      <c r="G116" s="1">
        <f ca="1">IF(C116=0,0,OFFSET($J$7,MATCH(C116,$A$7:$A$19,0)-1,0))*控制台!$E$2432/控制台!$E$2433</f>
        <v>265</v>
      </c>
      <c r="H116" s="1">
        <f ca="1" t="shared" si="7"/>
        <v>1325</v>
      </c>
      <c r="I116" s="5">
        <f ca="1" t="shared" si="10"/>
        <v>21908</v>
      </c>
    </row>
    <row r="117" spans="1:9">
      <c r="A117" s="11">
        <v>115</v>
      </c>
      <c r="B117" s="1">
        <f t="shared" si="8"/>
        <v>5</v>
      </c>
      <c r="C117" s="1">
        <f ca="1">OFFSET(控制台!$B$2444,MATCH(A117,控制台!$C$2444:$C$2457,1)-1,0)</f>
        <v>9</v>
      </c>
      <c r="D117" s="1">
        <f ca="1">IF(C117=0,0,OFFSET($D$7,MATCH(C117,$A$7:$A$19,0)-1,0))*控制台!$E$2432/控制台!$E$2433</f>
        <v>1380</v>
      </c>
      <c r="E117" s="1">
        <f ca="1" t="shared" si="6"/>
        <v>6900</v>
      </c>
      <c r="F117" s="5">
        <f ca="1" t="shared" si="9"/>
        <v>120867</v>
      </c>
      <c r="G117" s="1">
        <f ca="1">IF(C117=0,0,OFFSET($J$7,MATCH(C117,$A$7:$A$19,0)-1,0))*控制台!$E$2432/控制台!$E$2433</f>
        <v>265</v>
      </c>
      <c r="H117" s="1">
        <f ca="1" t="shared" si="7"/>
        <v>1325</v>
      </c>
      <c r="I117" s="5">
        <f ca="1" t="shared" si="10"/>
        <v>23233</v>
      </c>
    </row>
    <row r="118" spans="1:9">
      <c r="A118" s="11">
        <v>120</v>
      </c>
      <c r="B118" s="1">
        <f t="shared" si="8"/>
        <v>5</v>
      </c>
      <c r="C118" s="1">
        <f ca="1">OFFSET(控制台!$B$2444,MATCH(A118,控制台!$C$2444:$C$2457,1)-1,0)</f>
        <v>9</v>
      </c>
      <c r="D118" s="1">
        <f ca="1">IF(C118=0,0,OFFSET($D$7,MATCH(C118,$A$7:$A$19,0)-1,0))*控制台!$E$2432/控制台!$E$2433</f>
        <v>1380</v>
      </c>
      <c r="E118" s="1">
        <f ca="1" t="shared" si="6"/>
        <v>6900</v>
      </c>
      <c r="F118" s="5">
        <f ca="1" t="shared" si="9"/>
        <v>127767</v>
      </c>
      <c r="G118" s="1">
        <f ca="1">IF(C118=0,0,OFFSET($J$7,MATCH(C118,$A$7:$A$19,0)-1,0))*控制台!$E$2432/控制台!$E$2433</f>
        <v>265</v>
      </c>
      <c r="H118" s="1">
        <f ca="1" t="shared" si="7"/>
        <v>1325</v>
      </c>
      <c r="I118" s="5">
        <f ca="1" t="shared" si="10"/>
        <v>24558</v>
      </c>
    </row>
    <row r="119" spans="1:9">
      <c r="A119" s="12">
        <v>150</v>
      </c>
      <c r="B119" s="1">
        <f t="shared" si="8"/>
        <v>30</v>
      </c>
      <c r="C119" s="1">
        <f ca="1">OFFSET(控制台!$B$2444,MATCH(A119,控制台!$C$2444:$C$2457,1)-1,0)</f>
        <v>13</v>
      </c>
      <c r="D119" s="1">
        <f ca="1">IF(C119=0,0,OFFSET($D$7,MATCH(C119,$A$7:$A$19,0)-1,0))*控制台!$E$2432/控制台!$E$2433</f>
        <v>1725</v>
      </c>
      <c r="E119" s="1">
        <f ca="1" t="shared" ref="E119:E126" si="11">D119*B119</f>
        <v>51750</v>
      </c>
      <c r="F119" s="5">
        <f ca="1" t="shared" si="9"/>
        <v>179517</v>
      </c>
      <c r="G119" s="1">
        <f ca="1">IF(C119=0,0,OFFSET($J$7,MATCH(C119,$A$7:$A$19,0)-1,0))*控制台!$E$2432/控制台!$E$2433</f>
        <v>330</v>
      </c>
      <c r="H119" s="1">
        <f ca="1" t="shared" ref="H119:H126" si="12">G119*B119</f>
        <v>9900</v>
      </c>
      <c r="I119" s="5">
        <f ca="1" t="shared" si="10"/>
        <v>34458</v>
      </c>
    </row>
    <row r="120" spans="1:9">
      <c r="A120" s="12">
        <v>180</v>
      </c>
      <c r="B120" s="1">
        <f t="shared" si="8"/>
        <v>30</v>
      </c>
      <c r="C120" s="1">
        <f ca="1">OFFSET(控制台!$B$2444,MATCH(A120,控制台!$C$2444:$C$2457,1)-1,0)</f>
        <v>13</v>
      </c>
      <c r="D120" s="1">
        <f ca="1">IF(C120=0,0,OFFSET($D$7,MATCH(C120,$A$7:$A$19,0)-1,0))*控制台!$E$2432/控制台!$E$2433</f>
        <v>1725</v>
      </c>
      <c r="E120" s="1">
        <f ca="1" t="shared" si="11"/>
        <v>51750</v>
      </c>
      <c r="F120" s="5">
        <f ca="1" t="shared" si="9"/>
        <v>231267</v>
      </c>
      <c r="G120" s="1">
        <f ca="1">IF(C120=0,0,OFFSET($J$7,MATCH(C120,$A$7:$A$19,0)-1,0))*控制台!$E$2432/控制台!$E$2433</f>
        <v>330</v>
      </c>
      <c r="H120" s="1">
        <f ca="1" t="shared" si="12"/>
        <v>9900</v>
      </c>
      <c r="I120" s="5">
        <f ca="1" t="shared" si="10"/>
        <v>44358</v>
      </c>
    </row>
    <row r="121" spans="1:9">
      <c r="A121" s="12">
        <v>210</v>
      </c>
      <c r="B121" s="1">
        <f t="shared" ref="B121:B126" si="13">A121-A120</f>
        <v>30</v>
      </c>
      <c r="C121" s="1">
        <f ca="1">OFFSET(控制台!$B$2444,MATCH(A121,控制台!$C$2444:$C$2457,1)-1,0)</f>
        <v>13</v>
      </c>
      <c r="D121" s="1">
        <f ca="1">IF(C121=0,0,OFFSET($D$7,MATCH(C121,$A$7:$A$19,0)-1,0))*控制台!$E$2432/控制台!$E$2433</f>
        <v>1725</v>
      </c>
      <c r="E121" s="1">
        <f ca="1" t="shared" si="11"/>
        <v>51750</v>
      </c>
      <c r="F121" s="5">
        <f ca="1" t="shared" ref="F121:F126" si="14">F120+E121</f>
        <v>283017</v>
      </c>
      <c r="G121" s="1">
        <f ca="1">IF(C121=0,0,OFFSET($J$7,MATCH(C121,$A$7:$A$19,0)-1,0))*控制台!$E$2432/控制台!$E$2433</f>
        <v>330</v>
      </c>
      <c r="H121" s="1">
        <f ca="1" t="shared" si="12"/>
        <v>9900</v>
      </c>
      <c r="I121" s="5">
        <f ca="1" t="shared" ref="I121:I126" si="15">I120+H121</f>
        <v>54258</v>
      </c>
    </row>
    <row r="122" spans="1:9">
      <c r="A122" s="12">
        <v>240</v>
      </c>
      <c r="B122" s="1">
        <f t="shared" si="13"/>
        <v>30</v>
      </c>
      <c r="C122" s="1">
        <f ca="1">OFFSET(控制台!$B$2444,MATCH(A122,控制台!$C$2444:$C$2457,1)-1,0)</f>
        <v>13</v>
      </c>
      <c r="D122" s="1">
        <f ca="1">IF(C122=0,0,OFFSET($D$7,MATCH(C122,$A$7:$A$19,0)-1,0))*控制台!$E$2432/控制台!$E$2433</f>
        <v>1725</v>
      </c>
      <c r="E122" s="1">
        <f ca="1" t="shared" si="11"/>
        <v>51750</v>
      </c>
      <c r="F122" s="5">
        <f ca="1" t="shared" si="14"/>
        <v>334767</v>
      </c>
      <c r="G122" s="1">
        <f ca="1">IF(C122=0,0,OFFSET($J$7,MATCH(C122,$A$7:$A$19,0)-1,0))*控制台!$E$2432/控制台!$E$2433</f>
        <v>330</v>
      </c>
      <c r="H122" s="1">
        <f ca="1" t="shared" si="12"/>
        <v>9900</v>
      </c>
      <c r="I122" s="5">
        <f ca="1" t="shared" si="15"/>
        <v>64158</v>
      </c>
    </row>
    <row r="123" spans="1:9">
      <c r="A123" s="12">
        <v>270</v>
      </c>
      <c r="B123" s="1">
        <f t="shared" si="13"/>
        <v>30</v>
      </c>
      <c r="C123" s="1">
        <f ca="1">OFFSET(控制台!$B$2444,MATCH(A123,控制台!$C$2444:$C$2457,1)-1,0)</f>
        <v>13</v>
      </c>
      <c r="D123" s="1">
        <f ca="1">IF(C123=0,0,OFFSET($D$7,MATCH(C123,$A$7:$A$19,0)-1,0))*控制台!$E$2432/控制台!$E$2433</f>
        <v>1725</v>
      </c>
      <c r="E123" s="1">
        <f ca="1" t="shared" si="11"/>
        <v>51750</v>
      </c>
      <c r="F123" s="5">
        <f ca="1" t="shared" si="14"/>
        <v>386517</v>
      </c>
      <c r="G123" s="1">
        <f ca="1">IF(C123=0,0,OFFSET($J$7,MATCH(C123,$A$7:$A$19,0)-1,0))*控制台!$E$2432/控制台!$E$2433</f>
        <v>330</v>
      </c>
      <c r="H123" s="1">
        <f ca="1" t="shared" si="12"/>
        <v>9900</v>
      </c>
      <c r="I123" s="5">
        <f ca="1" t="shared" si="15"/>
        <v>74058</v>
      </c>
    </row>
    <row r="124" spans="1:9">
      <c r="A124" s="12">
        <v>300</v>
      </c>
      <c r="B124" s="1">
        <f t="shared" si="13"/>
        <v>30</v>
      </c>
      <c r="C124" s="1">
        <f ca="1">OFFSET(控制台!$B$2444,MATCH(A124,控制台!$C$2444:$C$2457,1)-1,0)</f>
        <v>13</v>
      </c>
      <c r="D124" s="1">
        <f ca="1">IF(C124=0,0,OFFSET($D$7,MATCH(C124,$A$7:$A$19,0)-1,0))*控制台!$E$2432/控制台!$E$2433</f>
        <v>1725</v>
      </c>
      <c r="E124" s="1">
        <f ca="1" t="shared" si="11"/>
        <v>51750</v>
      </c>
      <c r="F124" s="5">
        <f ca="1" t="shared" si="14"/>
        <v>438267</v>
      </c>
      <c r="G124" s="1">
        <f ca="1">IF(C124=0,0,OFFSET($J$7,MATCH(C124,$A$7:$A$19,0)-1,0))*控制台!$E$2432/控制台!$E$2433</f>
        <v>330</v>
      </c>
      <c r="H124" s="1">
        <f ca="1" t="shared" si="12"/>
        <v>9900</v>
      </c>
      <c r="I124" s="5">
        <f ca="1" t="shared" si="15"/>
        <v>83958</v>
      </c>
    </row>
    <row r="125" spans="1:9">
      <c r="A125" s="12">
        <v>330</v>
      </c>
      <c r="B125" s="1">
        <f t="shared" si="13"/>
        <v>30</v>
      </c>
      <c r="C125" s="1">
        <f ca="1">OFFSET(控制台!$B$2444,MATCH(A125,控制台!$C$2444:$C$2457,1)-1,0)</f>
        <v>13</v>
      </c>
      <c r="D125" s="1">
        <f ca="1">IF(C125=0,0,OFFSET($D$7,MATCH(C125,$A$7:$A$19,0)-1,0))*控制台!$E$2432/控制台!$E$2433</f>
        <v>1725</v>
      </c>
      <c r="E125" s="1">
        <f ca="1" t="shared" si="11"/>
        <v>51750</v>
      </c>
      <c r="F125" s="5">
        <f ca="1" t="shared" si="14"/>
        <v>490017</v>
      </c>
      <c r="G125" s="1">
        <f ca="1">IF(C125=0,0,OFFSET($J$7,MATCH(C125,$A$7:$A$19,0)-1,0))*控制台!$E$2432/控制台!$E$2433</f>
        <v>330</v>
      </c>
      <c r="H125" s="1">
        <f ca="1" t="shared" si="12"/>
        <v>9900</v>
      </c>
      <c r="I125" s="5">
        <f ca="1" t="shared" si="15"/>
        <v>93858</v>
      </c>
    </row>
    <row r="126" spans="1:9">
      <c r="A126" s="12">
        <v>360</v>
      </c>
      <c r="B126" s="1">
        <f t="shared" si="13"/>
        <v>30</v>
      </c>
      <c r="C126" s="1">
        <f ca="1">OFFSET(控制台!$B$2444,MATCH(A126,控制台!$C$2444:$C$2457,1)-1,0)</f>
        <v>13</v>
      </c>
      <c r="D126" s="1">
        <f ca="1">IF(C126=0,0,OFFSET($D$7,MATCH(C126,$A$7:$A$19,0)-1,0))*控制台!$E$2432/控制台!$E$2433</f>
        <v>1725</v>
      </c>
      <c r="E126" s="1">
        <f ca="1" t="shared" si="11"/>
        <v>51750</v>
      </c>
      <c r="F126" s="5">
        <f ca="1" t="shared" si="14"/>
        <v>541767</v>
      </c>
      <c r="G126" s="1">
        <f ca="1">IF(C126=0,0,OFFSET($J$7,MATCH(C126,$A$7:$A$19,0)-1,0))*控制台!$E$2432/控制台!$E$2433</f>
        <v>330</v>
      </c>
      <c r="H126" s="1">
        <f ca="1" t="shared" si="12"/>
        <v>9900</v>
      </c>
      <c r="I126" s="5">
        <f ca="1" t="shared" si="15"/>
        <v>103758</v>
      </c>
    </row>
  </sheetData>
  <hyperlinks>
    <hyperlink ref="A1" location="控制台_202_黑鸦营地" display="返回控制台_黑鸦营地"/>
  </hyperlinks>
  <pageMargins left="0.699305555555556" right="0.699305555555556" top="0.75" bottom="0.75" header="0.3" footer="0.3"/>
  <pageSetup paperSize="9" orientation="portrait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03">
    <tabColor theme="9" tint="0.599993896298105"/>
  </sheetPr>
  <dimension ref="A1:K77"/>
  <sheetViews>
    <sheetView zoomScale="85" zoomScaleNormal="85" workbookViewId="0">
      <selection activeCell="L6" sqref="L6"/>
    </sheetView>
  </sheetViews>
  <sheetFormatPr defaultColWidth="8.70967741935484" defaultRowHeight="13.1"/>
  <cols>
    <col min="1" max="1" width="9.62903225806452" style="1" customWidth="1"/>
    <col min="2" max="2" width="9.25" style="1" customWidth="1"/>
    <col min="3" max="6" width="10.3790322580645" style="1" customWidth="1"/>
    <col min="7" max="9" width="9.25" style="1" customWidth="1"/>
    <col min="10" max="10" width="13.25" style="1" customWidth="1"/>
    <col min="11" max="11" width="14.5" style="5" customWidth="1"/>
    <col min="12" max="16384" width="9.62903225806452" style="1"/>
  </cols>
  <sheetData>
    <row r="1" spans="1:8">
      <c r="A1" s="3" t="s">
        <v>2933</v>
      </c>
      <c r="E1" s="4"/>
      <c r="F1" s="5"/>
      <c r="G1" s="4"/>
      <c r="H1" s="5"/>
    </row>
    <row r="2" spans="5:8">
      <c r="E2" s="4"/>
      <c r="F2" s="5"/>
      <c r="G2" s="4"/>
      <c r="H2" s="5"/>
    </row>
    <row r="3" s="2" customFormat="1" spans="1:1">
      <c r="A3" s="2" t="s">
        <v>2885</v>
      </c>
    </row>
    <row r="4" spans="5:8">
      <c r="E4" s="4"/>
      <c r="F4" s="5"/>
      <c r="G4" s="4"/>
      <c r="H4" s="5"/>
    </row>
    <row r="5" spans="1:11">
      <c r="A5" s="1" t="s">
        <v>382</v>
      </c>
      <c r="B5" s="1" t="s">
        <v>869</v>
      </c>
      <c r="C5" s="1" t="s">
        <v>805</v>
      </c>
      <c r="D5" s="1" t="s">
        <v>806</v>
      </c>
      <c r="E5" s="1" t="s">
        <v>2850</v>
      </c>
      <c r="F5" s="1" t="s">
        <v>2860</v>
      </c>
      <c r="G5" s="1" t="s">
        <v>1343</v>
      </c>
      <c r="H5" s="1" t="s">
        <v>2884</v>
      </c>
      <c r="I5" s="1" t="s">
        <v>1336</v>
      </c>
      <c r="J5" s="1" t="s">
        <v>2934</v>
      </c>
      <c r="K5" s="5" t="s">
        <v>863</v>
      </c>
    </row>
    <row r="6" spans="1:11">
      <c r="A6" s="7">
        <v>0</v>
      </c>
      <c r="B6" s="1">
        <f ca="1">控制台!C2494</f>
        <v>0</v>
      </c>
      <c r="C6" s="14">
        <f ca="1">OFFSET(控制台!$C$2570,MATCH(A6,控制台!$B$2570:$B$2583,1)-1,0)</f>
        <v>1.05</v>
      </c>
      <c r="D6" s="14">
        <f ca="1">OFFSET(控制台!$C$2570,MATCH(A6,控制台!$B$2570:$B$2583,1),0)</f>
        <v>1.1</v>
      </c>
      <c r="E6" s="1">
        <f ca="1">OFFSET(控制台!$B$2570,MATCH(A6,控制台!$B$2570:$B$2583,1)-1,0)</f>
        <v>0</v>
      </c>
      <c r="F6" s="1">
        <f ca="1">OFFSET(控制台!$B$2570,MATCH(A6,控制台!$B$2570:$B$2583,1),0)</f>
        <v>0.5</v>
      </c>
      <c r="G6" s="14">
        <f ca="1">IF(E6=F6,C6,Lerp_dyy(C6,D6,(A6-E6)/(F6-E6)))</f>
        <v>1.05</v>
      </c>
      <c r="H6" s="1">
        <f>A6</f>
        <v>0</v>
      </c>
      <c r="I6" s="1">
        <f>控制台!$E$2473*控制台!H2494</f>
        <v>1.5</v>
      </c>
      <c r="J6" s="1">
        <f ca="1">B6*G6*I6*控制台!$E$2477*3600*H6</f>
        <v>0</v>
      </c>
      <c r="K6" s="5">
        <f ca="1">J6</f>
        <v>0</v>
      </c>
    </row>
    <row r="7" spans="1:11">
      <c r="A7" s="7">
        <v>0.1</v>
      </c>
      <c r="B7" s="1">
        <f ca="1">控制台!C2495</f>
        <v>1</v>
      </c>
      <c r="C7" s="14">
        <f ca="1">OFFSET(控制台!$C$2570,MATCH(A7,控制台!$B$2570:$B$2583,1)-1,0)</f>
        <v>1.05</v>
      </c>
      <c r="D7" s="14">
        <f ca="1">OFFSET(控制台!$C$2570,MATCH(A7,控制台!$B$2570:$B$2583,1),0)</f>
        <v>1.1</v>
      </c>
      <c r="E7" s="1">
        <f ca="1">OFFSET(控制台!$B$2570,MATCH(A7,控制台!$B$2570:$B$2583,1)-1,0)</f>
        <v>0</v>
      </c>
      <c r="F7" s="1">
        <f ca="1">OFFSET(控制台!$B$2570,MATCH(A7,控制台!$B$2570:$B$2583,1),0)</f>
        <v>0.5</v>
      </c>
      <c r="G7" s="14">
        <f ca="1">IF(E7=F7,C7,Lerp_dyy(C7,D7,(A7-E7)/(F7-E7)))</f>
        <v>1.06</v>
      </c>
      <c r="H7" s="1">
        <f>A7-A6</f>
        <v>0.1</v>
      </c>
      <c r="I7" s="1">
        <f>控制台!$E$2473*控制台!H2495</f>
        <v>1.5</v>
      </c>
      <c r="J7" s="1">
        <f ca="1">B7*G7*I7*控制台!$E$2477*3600*H7</f>
        <v>21178.8</v>
      </c>
      <c r="K7" s="5">
        <f ca="1">K6+J7</f>
        <v>21178.8</v>
      </c>
    </row>
    <row r="8" spans="1:11">
      <c r="A8" s="7">
        <v>0.2</v>
      </c>
      <c r="B8" s="1">
        <f ca="1">控制台!C2496</f>
        <v>1</v>
      </c>
      <c r="C8" s="14">
        <f ca="1">OFFSET(控制台!$C$2570,MATCH(A8,控制台!$B$2570:$B$2583,1)-1,0)</f>
        <v>1.05</v>
      </c>
      <c r="D8" s="14">
        <f ca="1">OFFSET(控制台!$C$2570,MATCH(A8,控制台!$B$2570:$B$2583,1),0)</f>
        <v>1.1</v>
      </c>
      <c r="E8" s="1">
        <f ca="1">OFFSET(控制台!$B$2570,MATCH(A8,控制台!$B$2570:$B$2583,1)-1,0)</f>
        <v>0</v>
      </c>
      <c r="F8" s="1">
        <f ca="1">OFFSET(控制台!$B$2570,MATCH(A8,控制台!$B$2570:$B$2583,1),0)</f>
        <v>0.5</v>
      </c>
      <c r="G8" s="14">
        <f ca="1">IF(E8=F8,C8,Lerp_dyy(C8,D8,(A8-E8)/(F8-E8)))</f>
        <v>1.07</v>
      </c>
      <c r="H8" s="1">
        <f t="shared" ref="H8:H71" si="0">A8-A7</f>
        <v>0.1</v>
      </c>
      <c r="I8" s="1">
        <f>控制台!$E$2473*控制台!H2496</f>
        <v>1.5</v>
      </c>
      <c r="J8" s="1">
        <f ca="1">B8*G8*I8*控制台!$E$2477*3600*H8</f>
        <v>21378.6</v>
      </c>
      <c r="K8" s="5">
        <f ca="1" t="shared" ref="K8:K71" si="1">K7+J8</f>
        <v>42557.4</v>
      </c>
    </row>
    <row r="9" spans="1:11">
      <c r="A9" s="7">
        <v>0.3</v>
      </c>
      <c r="B9" s="1">
        <f ca="1">控制台!C2497</f>
        <v>1</v>
      </c>
      <c r="C9" s="14">
        <f ca="1">OFFSET(控制台!$C$2570,MATCH(A9,控制台!$B$2570:$B$2583,1)-1,0)</f>
        <v>1.05</v>
      </c>
      <c r="D9" s="14">
        <f ca="1">OFFSET(控制台!$C$2570,MATCH(A9,控制台!$B$2570:$B$2583,1),0)</f>
        <v>1.1</v>
      </c>
      <c r="E9" s="1">
        <f ca="1">OFFSET(控制台!$B$2570,MATCH(A9,控制台!$B$2570:$B$2583,1)-1,0)</f>
        <v>0</v>
      </c>
      <c r="F9" s="1">
        <f ca="1">OFFSET(控制台!$B$2570,MATCH(A9,控制台!$B$2570:$B$2583,1),0)</f>
        <v>0.5</v>
      </c>
      <c r="G9" s="14">
        <f ca="1">IF(E9=F9,C9,Lerp_dyy(C9,D9,(A9-E9)/(F9-E9)))</f>
        <v>1.08</v>
      </c>
      <c r="H9" s="1">
        <f t="shared" si="0"/>
        <v>0.1</v>
      </c>
      <c r="I9" s="1">
        <f>控制台!$E$2473*控制台!H2497</f>
        <v>1.5</v>
      </c>
      <c r="J9" s="1">
        <f ca="1">B9*G9*I9*控制台!$E$2477*3600*H9</f>
        <v>21578.4</v>
      </c>
      <c r="K9" s="5">
        <f ca="1" t="shared" si="1"/>
        <v>64135.8</v>
      </c>
    </row>
    <row r="10" spans="1:11">
      <c r="A10" s="7">
        <v>0.4</v>
      </c>
      <c r="B10" s="1">
        <f ca="1">控制台!C2498</f>
        <v>1</v>
      </c>
      <c r="C10" s="14">
        <f ca="1">OFFSET(控制台!$C$2570,MATCH(A10,控制台!$B$2570:$B$2583,1)-1,0)</f>
        <v>1.05</v>
      </c>
      <c r="D10" s="14">
        <f ca="1">OFFSET(控制台!$C$2570,MATCH(A10,控制台!$B$2570:$B$2583,1),0)</f>
        <v>1.1</v>
      </c>
      <c r="E10" s="1">
        <f ca="1">OFFSET(控制台!$B$2570,MATCH(A10,控制台!$B$2570:$B$2583,1)-1,0)</f>
        <v>0</v>
      </c>
      <c r="F10" s="1">
        <f ca="1">OFFSET(控制台!$B$2570,MATCH(A10,控制台!$B$2570:$B$2583,1),0)</f>
        <v>0.5</v>
      </c>
      <c r="G10" s="14">
        <f ca="1">IF(E10=F10,C10,Lerp_dyy(C10,D10,(A10-E10)/(F10-E10)))</f>
        <v>1.09</v>
      </c>
      <c r="H10" s="1">
        <f t="shared" si="0"/>
        <v>0.1</v>
      </c>
      <c r="I10" s="1">
        <f>控制台!$E$2473*控制台!H2498</f>
        <v>1.5</v>
      </c>
      <c r="J10" s="1">
        <f ca="1">B10*G10*I10*控制台!$E$2477*3600*H10</f>
        <v>21778.2</v>
      </c>
      <c r="K10" s="5">
        <f ca="1" t="shared" si="1"/>
        <v>85914</v>
      </c>
    </row>
    <row r="11" spans="1:11">
      <c r="A11" s="7">
        <v>0.5</v>
      </c>
      <c r="B11" s="1">
        <f ca="1">控制台!C2499</f>
        <v>1</v>
      </c>
      <c r="C11" s="14">
        <f ca="1">OFFSET(控制台!$C$2570,MATCH(A11,控制台!$B$2570:$B$2583,1)-1,0)</f>
        <v>1.1</v>
      </c>
      <c r="D11" s="14">
        <f ca="1">OFFSET(控制台!$C$2570,MATCH(A11,控制台!$B$2570:$B$2583,1),0)</f>
        <v>1.18</v>
      </c>
      <c r="E11" s="1">
        <f ca="1">OFFSET(控制台!$B$2570,MATCH(A11,控制台!$B$2570:$B$2583,1)-1,0)</f>
        <v>0.5</v>
      </c>
      <c r="F11" s="1">
        <f ca="1">OFFSET(控制台!$B$2570,MATCH(A11,控制台!$B$2570:$B$2583,1),0)</f>
        <v>1.5</v>
      </c>
      <c r="G11" s="14">
        <f ca="1">IF(E11=F11,C11,Lerp_dyy(C11,D11,(A11-E11)/(F11-E11)))</f>
        <v>1.1</v>
      </c>
      <c r="H11" s="1">
        <f t="shared" si="0"/>
        <v>0.1</v>
      </c>
      <c r="I11" s="1">
        <f>控制台!$E$2473*控制台!H2499</f>
        <v>1.5</v>
      </c>
      <c r="J11" s="1">
        <f ca="1">B11*G11*I11*控制台!$E$2477*3600*H11</f>
        <v>21978</v>
      </c>
      <c r="K11" s="5">
        <f ca="1" t="shared" si="1"/>
        <v>107892</v>
      </c>
    </row>
    <row r="12" spans="1:11">
      <c r="A12" s="7">
        <v>0.6</v>
      </c>
      <c r="B12" s="1">
        <f ca="1">控制台!C2500</f>
        <v>1</v>
      </c>
      <c r="C12" s="14">
        <f ca="1">OFFSET(控制台!$C$2570,MATCH(A12,控制台!$B$2570:$B$2583,1)-1,0)</f>
        <v>1.1</v>
      </c>
      <c r="D12" s="14">
        <f ca="1">OFFSET(控制台!$C$2570,MATCH(A12,控制台!$B$2570:$B$2583,1),0)</f>
        <v>1.18</v>
      </c>
      <c r="E12" s="1">
        <f ca="1">OFFSET(控制台!$B$2570,MATCH(A12,控制台!$B$2570:$B$2583,1)-1,0)</f>
        <v>0.5</v>
      </c>
      <c r="F12" s="1">
        <f ca="1">OFFSET(控制台!$B$2570,MATCH(A12,控制台!$B$2570:$B$2583,1),0)</f>
        <v>1.5</v>
      </c>
      <c r="G12" s="14">
        <f ca="1">IF(E12=F12,C12,Lerp_dyy(C12,D12,(A12-E12)/(F12-E12)))</f>
        <v>1.108</v>
      </c>
      <c r="H12" s="1">
        <f t="shared" si="0"/>
        <v>0.1</v>
      </c>
      <c r="I12" s="1">
        <f>控制台!$E$2473*控制台!H2500</f>
        <v>1.5</v>
      </c>
      <c r="J12" s="1">
        <f ca="1">B12*G12*I12*控制台!$E$2477*3600*H12</f>
        <v>22137.84</v>
      </c>
      <c r="K12" s="5">
        <f ca="1" t="shared" si="1"/>
        <v>130029.84</v>
      </c>
    </row>
    <row r="13" spans="1:11">
      <c r="A13" s="7">
        <v>0.7</v>
      </c>
      <c r="B13" s="1">
        <f ca="1">控制台!C2501</f>
        <v>1</v>
      </c>
      <c r="C13" s="14">
        <f ca="1">OFFSET(控制台!$C$2570,MATCH(A13,控制台!$B$2570:$B$2583,1)-1,0)</f>
        <v>1.1</v>
      </c>
      <c r="D13" s="14">
        <f ca="1">OFFSET(控制台!$C$2570,MATCH(A13,控制台!$B$2570:$B$2583,1),0)</f>
        <v>1.18</v>
      </c>
      <c r="E13" s="1">
        <f ca="1">OFFSET(控制台!$B$2570,MATCH(A13,控制台!$B$2570:$B$2583,1)-1,0)</f>
        <v>0.5</v>
      </c>
      <c r="F13" s="1">
        <f ca="1">OFFSET(控制台!$B$2570,MATCH(A13,控制台!$B$2570:$B$2583,1),0)</f>
        <v>1.5</v>
      </c>
      <c r="G13" s="14">
        <f ca="1">IF(E13=F13,C13,Lerp_dyy(C13,D13,(A13-E13)/(F13-E13)))</f>
        <v>1.116</v>
      </c>
      <c r="H13" s="1">
        <f t="shared" si="0"/>
        <v>0.1</v>
      </c>
      <c r="I13" s="1">
        <f>控制台!$E$2473*控制台!H2501</f>
        <v>1.5</v>
      </c>
      <c r="J13" s="1">
        <f ca="1">B13*G13*I13*控制台!$E$2477*3600*H13</f>
        <v>22297.68</v>
      </c>
      <c r="K13" s="5">
        <f ca="1" t="shared" si="1"/>
        <v>152327.52</v>
      </c>
    </row>
    <row r="14" spans="1:11">
      <c r="A14" s="7">
        <v>0.8</v>
      </c>
      <c r="B14" s="1">
        <f ca="1">控制台!C2502</f>
        <v>1</v>
      </c>
      <c r="C14" s="14">
        <f ca="1">OFFSET(控制台!$C$2570,MATCH(A14,控制台!$B$2570:$B$2583,1)-1,0)</f>
        <v>1.1</v>
      </c>
      <c r="D14" s="14">
        <f ca="1">OFFSET(控制台!$C$2570,MATCH(A14,控制台!$B$2570:$B$2583,1),0)</f>
        <v>1.18</v>
      </c>
      <c r="E14" s="1">
        <f ca="1">OFFSET(控制台!$B$2570,MATCH(A14,控制台!$B$2570:$B$2583,1)-1,0)</f>
        <v>0.5</v>
      </c>
      <c r="F14" s="1">
        <f ca="1">OFFSET(控制台!$B$2570,MATCH(A14,控制台!$B$2570:$B$2583,1),0)</f>
        <v>1.5</v>
      </c>
      <c r="G14" s="14">
        <f ca="1">IF(E14=F14,C14,Lerp_dyy(C14,D14,(A14-E14)/(F14-E14)))</f>
        <v>1.124</v>
      </c>
      <c r="H14" s="1">
        <f t="shared" si="0"/>
        <v>0.1</v>
      </c>
      <c r="I14" s="1">
        <f>控制台!$E$2473*控制台!H2502</f>
        <v>1.5</v>
      </c>
      <c r="J14" s="1">
        <f ca="1">B14*G14*I14*控制台!$E$2477*3600*H14</f>
        <v>22457.52</v>
      </c>
      <c r="K14" s="5">
        <f ca="1" t="shared" si="1"/>
        <v>174785.04</v>
      </c>
    </row>
    <row r="15" spans="1:11">
      <c r="A15" s="7">
        <v>0.9</v>
      </c>
      <c r="B15" s="1">
        <f ca="1">控制台!C2503</f>
        <v>1</v>
      </c>
      <c r="C15" s="14">
        <f ca="1">OFFSET(控制台!$C$2570,MATCH(A15,控制台!$B$2570:$B$2583,1)-1,0)</f>
        <v>1.1</v>
      </c>
      <c r="D15" s="14">
        <f ca="1">OFFSET(控制台!$C$2570,MATCH(A15,控制台!$B$2570:$B$2583,1),0)</f>
        <v>1.18</v>
      </c>
      <c r="E15" s="1">
        <f ca="1">OFFSET(控制台!$B$2570,MATCH(A15,控制台!$B$2570:$B$2583,1)-1,0)</f>
        <v>0.5</v>
      </c>
      <c r="F15" s="1">
        <f ca="1">OFFSET(控制台!$B$2570,MATCH(A15,控制台!$B$2570:$B$2583,1),0)</f>
        <v>1.5</v>
      </c>
      <c r="G15" s="14">
        <f ca="1">IF(E15=F15,C15,Lerp_dyy(C15,D15,(A15-E15)/(F15-E15)))</f>
        <v>1.132</v>
      </c>
      <c r="H15" s="1">
        <f t="shared" si="0"/>
        <v>0.1</v>
      </c>
      <c r="I15" s="1">
        <f>控制台!$E$2473*控制台!H2503</f>
        <v>1.5</v>
      </c>
      <c r="J15" s="1">
        <f ca="1">B15*G15*I15*控制台!$E$2477*3600*H15</f>
        <v>22617.36</v>
      </c>
      <c r="K15" s="5">
        <f ca="1" t="shared" si="1"/>
        <v>197402.4</v>
      </c>
    </row>
    <row r="16" spans="1:11">
      <c r="A16" s="7">
        <v>1</v>
      </c>
      <c r="B16" s="1">
        <f ca="1">控制台!C2504</f>
        <v>2</v>
      </c>
      <c r="C16" s="14">
        <f ca="1">OFFSET(控制台!$C$2570,MATCH(A16,控制台!$B$2570:$B$2583,1)-1,0)</f>
        <v>1.1</v>
      </c>
      <c r="D16" s="14">
        <f ca="1">OFFSET(控制台!$C$2570,MATCH(A16,控制台!$B$2570:$B$2583,1),0)</f>
        <v>1.18</v>
      </c>
      <c r="E16" s="1">
        <f ca="1">OFFSET(控制台!$B$2570,MATCH(A16,控制台!$B$2570:$B$2583,1)-1,0)</f>
        <v>0.5</v>
      </c>
      <c r="F16" s="1">
        <f ca="1">OFFSET(控制台!$B$2570,MATCH(A16,控制台!$B$2570:$B$2583,1),0)</f>
        <v>1.5</v>
      </c>
      <c r="G16" s="14">
        <f ca="1">IF(E16=F16,C16,Lerp_dyy(C16,D16,(A16-E16)/(F16-E16)))</f>
        <v>1.14</v>
      </c>
      <c r="H16" s="1">
        <f t="shared" si="0"/>
        <v>0.1</v>
      </c>
      <c r="I16" s="1">
        <f>控制台!$E$2473*控制台!H2504</f>
        <v>1.5</v>
      </c>
      <c r="J16" s="1">
        <f ca="1">B16*G16*I16*控制台!$E$2477*3600*H16</f>
        <v>45554.4</v>
      </c>
      <c r="K16" s="5">
        <f ca="1" t="shared" si="1"/>
        <v>242956.8</v>
      </c>
    </row>
    <row r="17" spans="1:11">
      <c r="A17" s="9">
        <v>1.5</v>
      </c>
      <c r="B17" s="1">
        <f ca="1">控制台!C2505</f>
        <v>2</v>
      </c>
      <c r="C17" s="14">
        <f ca="1">OFFSET(控制台!$C$2570,MATCH(A17,控制台!$B$2570:$B$2583,1)-1,0)</f>
        <v>1.18</v>
      </c>
      <c r="D17" s="14">
        <f ca="1">OFFSET(控制台!$C$2570,MATCH(A17,控制台!$B$2570:$B$2583,1),0)</f>
        <v>1.28</v>
      </c>
      <c r="E17" s="1">
        <f ca="1">OFFSET(控制台!$B$2570,MATCH(A17,控制台!$B$2570:$B$2583,1)-1,0)</f>
        <v>1.5</v>
      </c>
      <c r="F17" s="1">
        <f ca="1">OFFSET(控制台!$B$2570,MATCH(A17,控制台!$B$2570:$B$2583,1),0)</f>
        <v>2</v>
      </c>
      <c r="G17" s="14">
        <f ca="1">IF(E17=F17,C17,Lerp_dyy(C17,D17,(A17-E17)/(F17-E17)))</f>
        <v>1.18</v>
      </c>
      <c r="H17" s="1">
        <f t="shared" si="0"/>
        <v>0.5</v>
      </c>
      <c r="I17" s="1">
        <f>控制台!$E$2473*控制台!H2505</f>
        <v>3</v>
      </c>
      <c r="J17" s="1">
        <f ca="1">B17*G17*I17*控制台!$E$2477*3600*H17</f>
        <v>471528</v>
      </c>
      <c r="K17" s="5">
        <f ca="1" t="shared" si="1"/>
        <v>714484.8</v>
      </c>
    </row>
    <row r="18" spans="1:11">
      <c r="A18" s="9">
        <v>2</v>
      </c>
      <c r="B18" s="1">
        <f ca="1">控制台!C2506</f>
        <v>2</v>
      </c>
      <c r="C18" s="14">
        <f ca="1">OFFSET(控制台!$C$2570,MATCH(A18,控制台!$B$2570:$B$2583,1)-1,0)</f>
        <v>1.28</v>
      </c>
      <c r="D18" s="14">
        <f ca="1">OFFSET(控制台!$C$2570,MATCH(A18,控制台!$B$2570:$B$2583,1),0)</f>
        <v>1.33</v>
      </c>
      <c r="E18" s="1">
        <f ca="1">OFFSET(控制台!$B$2570,MATCH(A18,控制台!$B$2570:$B$2583,1)-1,0)</f>
        <v>2</v>
      </c>
      <c r="F18" s="1">
        <f ca="1">OFFSET(控制台!$B$2570,MATCH(A18,控制台!$B$2570:$B$2583,1),0)</f>
        <v>6</v>
      </c>
      <c r="G18" s="14">
        <f ca="1">IF(E18=F18,C18,Lerp_dyy(C18,D18,(A18-E18)/(F18-E18)))</f>
        <v>1.28</v>
      </c>
      <c r="H18" s="1">
        <f t="shared" si="0"/>
        <v>0.5</v>
      </c>
      <c r="I18" s="1">
        <f>控制台!$E$2473*控制台!H2506</f>
        <v>3</v>
      </c>
      <c r="J18" s="1">
        <f ca="1">B18*G18*I18*控制台!$E$2477*3600*H18</f>
        <v>511488</v>
      </c>
      <c r="K18" s="5">
        <f ca="1" t="shared" si="1"/>
        <v>1225972.8</v>
      </c>
    </row>
    <row r="19" spans="1:11">
      <c r="A19" s="9">
        <v>2.5</v>
      </c>
      <c r="B19" s="1">
        <f ca="1">控制台!C2507</f>
        <v>2</v>
      </c>
      <c r="C19" s="14">
        <f ca="1">OFFSET(控制台!$C$2570,MATCH(A19,控制台!$B$2570:$B$2583,1)-1,0)</f>
        <v>1.28</v>
      </c>
      <c r="D19" s="14">
        <f ca="1">OFFSET(控制台!$C$2570,MATCH(A19,控制台!$B$2570:$B$2583,1),0)</f>
        <v>1.33</v>
      </c>
      <c r="E19" s="1">
        <f ca="1">OFFSET(控制台!$B$2570,MATCH(A19,控制台!$B$2570:$B$2583,1)-1,0)</f>
        <v>2</v>
      </c>
      <c r="F19" s="1">
        <f ca="1">OFFSET(控制台!$B$2570,MATCH(A19,控制台!$B$2570:$B$2583,1),0)</f>
        <v>6</v>
      </c>
      <c r="G19" s="14">
        <f ca="1">IF(E19=F19,C19,Lerp_dyy(C19,D19,(A19-E19)/(F19-E19)))</f>
        <v>1.28625</v>
      </c>
      <c r="H19" s="1">
        <f t="shared" si="0"/>
        <v>0.5</v>
      </c>
      <c r="I19" s="1">
        <f>控制台!$E$2473*控制台!H2507</f>
        <v>4.5</v>
      </c>
      <c r="J19" s="1">
        <f ca="1">B19*G19*I19*控制台!$E$2477*3600*H19</f>
        <v>770978.25</v>
      </c>
      <c r="K19" s="5">
        <f ca="1" t="shared" si="1"/>
        <v>1996951.05</v>
      </c>
    </row>
    <row r="20" spans="1:11">
      <c r="A20" s="9">
        <v>3</v>
      </c>
      <c r="B20" s="1">
        <f ca="1">控制台!C2508</f>
        <v>2</v>
      </c>
      <c r="C20" s="14">
        <f ca="1">OFFSET(控制台!$C$2570,MATCH(A20,控制台!$B$2570:$B$2583,1)-1,0)</f>
        <v>1.28</v>
      </c>
      <c r="D20" s="14">
        <f ca="1">OFFSET(控制台!$C$2570,MATCH(A20,控制台!$B$2570:$B$2583,1),0)</f>
        <v>1.33</v>
      </c>
      <c r="E20" s="1">
        <f ca="1">OFFSET(控制台!$B$2570,MATCH(A20,控制台!$B$2570:$B$2583,1)-1,0)</f>
        <v>2</v>
      </c>
      <c r="F20" s="1">
        <f ca="1">OFFSET(控制台!$B$2570,MATCH(A20,控制台!$B$2570:$B$2583,1),0)</f>
        <v>6</v>
      </c>
      <c r="G20" s="14">
        <f ca="1">IF(E20=F20,C20,Lerp_dyy(C20,D20,(A20-E20)/(F20-E20)))</f>
        <v>1.2925</v>
      </c>
      <c r="H20" s="1">
        <f t="shared" si="0"/>
        <v>0.5</v>
      </c>
      <c r="I20" s="1">
        <f>控制台!$E$2473*控制台!H2508</f>
        <v>4.5</v>
      </c>
      <c r="J20" s="1">
        <f ca="1">B20*G20*I20*控制台!$E$2477*3600*H20</f>
        <v>774724.5</v>
      </c>
      <c r="K20" s="5">
        <f ca="1" t="shared" si="1"/>
        <v>2771675.55</v>
      </c>
    </row>
    <row r="21" spans="1:11">
      <c r="A21" s="9">
        <v>3.5</v>
      </c>
      <c r="B21" s="1">
        <f ca="1">控制台!C2509</f>
        <v>2</v>
      </c>
      <c r="C21" s="14">
        <f ca="1">OFFSET(控制台!$C$2570,MATCH(A21,控制台!$B$2570:$B$2583,1)-1,0)</f>
        <v>1.28</v>
      </c>
      <c r="D21" s="14">
        <f ca="1">OFFSET(控制台!$C$2570,MATCH(A21,控制台!$B$2570:$B$2583,1),0)</f>
        <v>1.33</v>
      </c>
      <c r="E21" s="1">
        <f ca="1">OFFSET(控制台!$B$2570,MATCH(A21,控制台!$B$2570:$B$2583,1)-1,0)</f>
        <v>2</v>
      </c>
      <c r="F21" s="1">
        <f ca="1">OFFSET(控制台!$B$2570,MATCH(A21,控制台!$B$2570:$B$2583,1),0)</f>
        <v>6</v>
      </c>
      <c r="G21" s="14">
        <f ca="1">IF(E21=F21,C21,Lerp_dyy(C21,D21,(A21-E21)/(F21-E21)))</f>
        <v>1.29875</v>
      </c>
      <c r="H21" s="1">
        <f t="shared" si="0"/>
        <v>0.5</v>
      </c>
      <c r="I21" s="1">
        <f>控制台!$E$2473*控制台!H2509</f>
        <v>6</v>
      </c>
      <c r="J21" s="1">
        <f ca="1">B21*G21*I21*控制台!$E$2477*3600*H21</f>
        <v>1037961</v>
      </c>
      <c r="K21" s="5">
        <f ca="1" t="shared" si="1"/>
        <v>3809636.55</v>
      </c>
    </row>
    <row r="22" spans="1:11">
      <c r="A22" s="9">
        <v>4</v>
      </c>
      <c r="B22" s="1">
        <f ca="1">控制台!C2510</f>
        <v>3</v>
      </c>
      <c r="C22" s="14">
        <f ca="1">OFFSET(控制台!$C$2570,MATCH(A22,控制台!$B$2570:$B$2583,1)-1,0)</f>
        <v>1.28</v>
      </c>
      <c r="D22" s="14">
        <f ca="1">OFFSET(控制台!$C$2570,MATCH(A22,控制台!$B$2570:$B$2583,1),0)</f>
        <v>1.33</v>
      </c>
      <c r="E22" s="1">
        <f ca="1">OFFSET(控制台!$B$2570,MATCH(A22,控制台!$B$2570:$B$2583,1)-1,0)</f>
        <v>2</v>
      </c>
      <c r="F22" s="1">
        <f ca="1">OFFSET(控制台!$B$2570,MATCH(A22,控制台!$B$2570:$B$2583,1),0)</f>
        <v>6</v>
      </c>
      <c r="G22" s="14">
        <f ca="1">IF(E22=F22,C22,Lerp_dyy(C22,D22,(A22-E22)/(F22-E22)))</f>
        <v>1.305</v>
      </c>
      <c r="H22" s="1">
        <f t="shared" si="0"/>
        <v>0.5</v>
      </c>
      <c r="I22" s="1">
        <f>控制台!$E$2473*控制台!H2510</f>
        <v>6</v>
      </c>
      <c r="J22" s="1">
        <f ca="1">B22*G22*I22*控制台!$E$2477*3600*H22</f>
        <v>1564434</v>
      </c>
      <c r="K22" s="5">
        <f ca="1" t="shared" si="1"/>
        <v>5374070.55</v>
      </c>
    </row>
    <row r="23" spans="1:11">
      <c r="A23" s="9">
        <v>4.5</v>
      </c>
      <c r="B23" s="1">
        <f ca="1">控制台!C2511</f>
        <v>3</v>
      </c>
      <c r="C23" s="14">
        <f ca="1">OFFSET(控制台!$C$2570,MATCH(A23,控制台!$B$2570:$B$2583,1)-1,0)</f>
        <v>1.28</v>
      </c>
      <c r="D23" s="14">
        <f ca="1">OFFSET(控制台!$C$2570,MATCH(A23,控制台!$B$2570:$B$2583,1),0)</f>
        <v>1.33</v>
      </c>
      <c r="E23" s="1">
        <f ca="1">OFFSET(控制台!$B$2570,MATCH(A23,控制台!$B$2570:$B$2583,1)-1,0)</f>
        <v>2</v>
      </c>
      <c r="F23" s="1">
        <f ca="1">OFFSET(控制台!$B$2570,MATCH(A23,控制台!$B$2570:$B$2583,1),0)</f>
        <v>6</v>
      </c>
      <c r="G23" s="14">
        <f ca="1">IF(E23=F23,C23,Lerp_dyy(C23,D23,(A23-E23)/(F23-E23)))</f>
        <v>1.31125</v>
      </c>
      <c r="H23" s="1">
        <f t="shared" si="0"/>
        <v>0.5</v>
      </c>
      <c r="I23" s="1">
        <f>控制台!$E$2473*控制台!H2511</f>
        <v>7.5</v>
      </c>
      <c r="J23" s="1">
        <f ca="1">B23*G23*I23*控制台!$E$2477*3600*H23</f>
        <v>1964908.125</v>
      </c>
      <c r="K23" s="5">
        <f ca="1" t="shared" si="1"/>
        <v>7338978.675</v>
      </c>
    </row>
    <row r="24" spans="1:11">
      <c r="A24" s="9">
        <v>5</v>
      </c>
      <c r="B24" s="1">
        <f ca="1">控制台!C2512</f>
        <v>3</v>
      </c>
      <c r="C24" s="14">
        <f ca="1">OFFSET(控制台!$C$2570,MATCH(A24,控制台!$B$2570:$B$2583,1)-1,0)</f>
        <v>1.28</v>
      </c>
      <c r="D24" s="14">
        <f ca="1">OFFSET(控制台!$C$2570,MATCH(A24,控制台!$B$2570:$B$2583,1),0)</f>
        <v>1.33</v>
      </c>
      <c r="E24" s="1">
        <f ca="1">OFFSET(控制台!$B$2570,MATCH(A24,控制台!$B$2570:$B$2583,1)-1,0)</f>
        <v>2</v>
      </c>
      <c r="F24" s="1">
        <f ca="1">OFFSET(控制台!$B$2570,MATCH(A24,控制台!$B$2570:$B$2583,1),0)</f>
        <v>6</v>
      </c>
      <c r="G24" s="14">
        <f ca="1">IF(E24=F24,C24,Lerp_dyy(C24,D24,(A24-E24)/(F24-E24)))</f>
        <v>1.3175</v>
      </c>
      <c r="H24" s="1">
        <f t="shared" si="0"/>
        <v>0.5</v>
      </c>
      <c r="I24" s="1">
        <f>控制台!$E$2473*控制台!H2512</f>
        <v>7.5</v>
      </c>
      <c r="J24" s="1">
        <f ca="1">B24*G24*I24*控制台!$E$2477*3600*H24</f>
        <v>1974273.75</v>
      </c>
      <c r="K24" s="5">
        <f ca="1" t="shared" si="1"/>
        <v>9313252.425</v>
      </c>
    </row>
    <row r="25" spans="1:11">
      <c r="A25" s="9">
        <v>5.5</v>
      </c>
      <c r="B25" s="1">
        <f ca="1">控制台!C2513</f>
        <v>3</v>
      </c>
      <c r="C25" s="14">
        <f ca="1">OFFSET(控制台!$C$2570,MATCH(A25,控制台!$B$2570:$B$2583,1)-1,0)</f>
        <v>1.28</v>
      </c>
      <c r="D25" s="14">
        <f ca="1">OFFSET(控制台!$C$2570,MATCH(A25,控制台!$B$2570:$B$2583,1),0)</f>
        <v>1.33</v>
      </c>
      <c r="E25" s="1">
        <f ca="1">OFFSET(控制台!$B$2570,MATCH(A25,控制台!$B$2570:$B$2583,1)-1,0)</f>
        <v>2</v>
      </c>
      <c r="F25" s="1">
        <f ca="1">OFFSET(控制台!$B$2570,MATCH(A25,控制台!$B$2570:$B$2583,1),0)</f>
        <v>6</v>
      </c>
      <c r="G25" s="14">
        <f ca="1">IF(E25=F25,C25,Lerp_dyy(C25,D25,(A25-E25)/(F25-E25)))</f>
        <v>1.32375</v>
      </c>
      <c r="H25" s="1">
        <f t="shared" si="0"/>
        <v>0.5</v>
      </c>
      <c r="I25" s="1">
        <f>控制台!$E$2473*控制台!H2513</f>
        <v>9</v>
      </c>
      <c r="J25" s="1">
        <f ca="1">B25*G25*I25*控制台!$E$2477*3600*H25</f>
        <v>2380367.25</v>
      </c>
      <c r="K25" s="5">
        <f ca="1" t="shared" si="1"/>
        <v>11693619.675</v>
      </c>
    </row>
    <row r="26" spans="1:11">
      <c r="A26" s="9">
        <v>6</v>
      </c>
      <c r="B26" s="1">
        <f ca="1">控制台!C2514</f>
        <v>3</v>
      </c>
      <c r="C26" s="14">
        <f ca="1">OFFSET(控制台!$C$2570,MATCH(A26,控制台!$B$2570:$B$2583,1)-1,0)</f>
        <v>1.33</v>
      </c>
      <c r="D26" s="14">
        <f ca="1">OFFSET(控制台!$C$2570,MATCH(A26,控制台!$B$2570:$B$2583,1),0)</f>
        <v>1.48</v>
      </c>
      <c r="E26" s="1">
        <f ca="1">OFFSET(控制台!$B$2570,MATCH(A26,控制台!$B$2570:$B$2583,1)-1,0)</f>
        <v>6</v>
      </c>
      <c r="F26" s="1">
        <f ca="1">OFFSET(控制台!$B$2570,MATCH(A26,控制台!$B$2570:$B$2583,1),0)</f>
        <v>8</v>
      </c>
      <c r="G26" s="14">
        <f ca="1">IF(E26=F26,C26,Lerp_dyy(C26,D26,(A26-E26)/(F26-E26)))</f>
        <v>1.33</v>
      </c>
      <c r="H26" s="1">
        <f t="shared" si="0"/>
        <v>0.5</v>
      </c>
      <c r="I26" s="1">
        <f>控制台!$E$2473*控制台!H2514</f>
        <v>9</v>
      </c>
      <c r="J26" s="1">
        <f ca="1">B26*G26*I26*控制台!$E$2477*3600*H26</f>
        <v>2391606</v>
      </c>
      <c r="K26" s="5">
        <f ca="1" t="shared" si="1"/>
        <v>14085225.675</v>
      </c>
    </row>
    <row r="27" spans="1:11">
      <c r="A27" s="9">
        <v>6.5</v>
      </c>
      <c r="B27" s="1">
        <f ca="1">控制台!C2515</f>
        <v>3</v>
      </c>
      <c r="C27" s="14">
        <f ca="1">OFFSET(控制台!$C$2570,MATCH(A27,控制台!$B$2570:$B$2583,1)-1,0)</f>
        <v>1.33</v>
      </c>
      <c r="D27" s="14">
        <f ca="1">OFFSET(控制台!$C$2570,MATCH(A27,控制台!$B$2570:$B$2583,1),0)</f>
        <v>1.48</v>
      </c>
      <c r="E27" s="1">
        <f ca="1">OFFSET(控制台!$B$2570,MATCH(A27,控制台!$B$2570:$B$2583,1)-1,0)</f>
        <v>6</v>
      </c>
      <c r="F27" s="1">
        <f ca="1">OFFSET(控制台!$B$2570,MATCH(A27,控制台!$B$2570:$B$2583,1),0)</f>
        <v>8</v>
      </c>
      <c r="G27" s="14">
        <f ca="1">IF(E27=F27,C27,Lerp_dyy(C27,D27,(A27-E27)/(F27-E27)))</f>
        <v>1.3675</v>
      </c>
      <c r="H27" s="1">
        <f t="shared" si="0"/>
        <v>0.5</v>
      </c>
      <c r="I27" s="1">
        <f>控制台!$E$2473*控制台!H2515</f>
        <v>10.5</v>
      </c>
      <c r="J27" s="1">
        <f ca="1">B27*G27*I27*控制台!$E$2477*3600*H27</f>
        <v>2868878.25</v>
      </c>
      <c r="K27" s="5">
        <f ca="1" t="shared" si="1"/>
        <v>16954103.925</v>
      </c>
    </row>
    <row r="28" spans="1:11">
      <c r="A28" s="9">
        <v>7</v>
      </c>
      <c r="B28" s="1">
        <f ca="1">控制台!C2516</f>
        <v>3</v>
      </c>
      <c r="C28" s="14">
        <f ca="1">OFFSET(控制台!$C$2570,MATCH(A28,控制台!$B$2570:$B$2583,1)-1,0)</f>
        <v>1.33</v>
      </c>
      <c r="D28" s="14">
        <f ca="1">OFFSET(控制台!$C$2570,MATCH(A28,控制台!$B$2570:$B$2583,1),0)</f>
        <v>1.48</v>
      </c>
      <c r="E28" s="1">
        <f ca="1">OFFSET(控制台!$B$2570,MATCH(A28,控制台!$B$2570:$B$2583,1)-1,0)</f>
        <v>6</v>
      </c>
      <c r="F28" s="1">
        <f ca="1">OFFSET(控制台!$B$2570,MATCH(A28,控制台!$B$2570:$B$2583,1),0)</f>
        <v>8</v>
      </c>
      <c r="G28" s="14">
        <f ca="1">IF(E28=F28,C28,Lerp_dyy(C28,D28,(A28-E28)/(F28-E28)))</f>
        <v>1.405</v>
      </c>
      <c r="H28" s="1">
        <f t="shared" si="0"/>
        <v>0.5</v>
      </c>
      <c r="I28" s="1">
        <f>控制台!$E$2473*控制台!H2516</f>
        <v>10.5</v>
      </c>
      <c r="J28" s="1">
        <f ca="1">B28*G28*I28*控制台!$E$2477*3600*H28</f>
        <v>2947549.5</v>
      </c>
      <c r="K28" s="5">
        <f ca="1" t="shared" si="1"/>
        <v>19901653.425</v>
      </c>
    </row>
    <row r="29" spans="1:11">
      <c r="A29" s="10">
        <v>8</v>
      </c>
      <c r="B29" s="1">
        <f ca="1">控制台!C2517</f>
        <v>3</v>
      </c>
      <c r="C29" s="14">
        <f ca="1">OFFSET(控制台!$C$2570,MATCH(A29,控制台!$B$2570:$B$2583,1)-1,0)</f>
        <v>1.48</v>
      </c>
      <c r="D29" s="14">
        <f ca="1">OFFSET(控制台!$C$2570,MATCH(A29,控制台!$B$2570:$B$2583,1),0)</f>
        <v>1.6</v>
      </c>
      <c r="E29" s="1">
        <f ca="1">OFFSET(控制台!$B$2570,MATCH(A29,控制台!$B$2570:$B$2583,1)-1,0)</f>
        <v>8</v>
      </c>
      <c r="F29" s="1">
        <f ca="1">OFFSET(控制台!$B$2570,MATCH(A29,控制台!$B$2570:$B$2583,1),0)</f>
        <v>10</v>
      </c>
      <c r="G29" s="14">
        <f ca="1">IF(E29=F29,C29,Lerp_dyy(C29,D29,(A29-E29)/(F29-E29)))</f>
        <v>1.48</v>
      </c>
      <c r="H29" s="1">
        <f t="shared" si="0"/>
        <v>1</v>
      </c>
      <c r="I29" s="1">
        <f>控制台!$E$2473*控制台!H2517</f>
        <v>12</v>
      </c>
      <c r="J29" s="1">
        <f ca="1">B29*G29*I29*控制台!$E$2477*3600*H29</f>
        <v>7096896</v>
      </c>
      <c r="K29" s="5">
        <f ca="1" t="shared" si="1"/>
        <v>26998549.425</v>
      </c>
    </row>
    <row r="30" spans="1:11">
      <c r="A30" s="10">
        <v>9</v>
      </c>
      <c r="B30" s="1">
        <f ca="1">控制台!C2518</f>
        <v>3</v>
      </c>
      <c r="C30" s="14">
        <f ca="1">OFFSET(控制台!$C$2570,MATCH(A30,控制台!$B$2570:$B$2583,1)-1,0)</f>
        <v>1.48</v>
      </c>
      <c r="D30" s="14">
        <f ca="1">OFFSET(控制台!$C$2570,MATCH(A30,控制台!$B$2570:$B$2583,1),0)</f>
        <v>1.6</v>
      </c>
      <c r="E30" s="1">
        <f ca="1">OFFSET(控制台!$B$2570,MATCH(A30,控制台!$B$2570:$B$2583,1)-1,0)</f>
        <v>8</v>
      </c>
      <c r="F30" s="1">
        <f ca="1">OFFSET(控制台!$B$2570,MATCH(A30,控制台!$B$2570:$B$2583,1),0)</f>
        <v>10</v>
      </c>
      <c r="G30" s="14">
        <f ca="1">IF(E30=F30,C30,Lerp_dyy(C30,D30,(A30-E30)/(F30-E30)))</f>
        <v>1.54</v>
      </c>
      <c r="H30" s="1">
        <f t="shared" si="0"/>
        <v>1</v>
      </c>
      <c r="I30" s="1">
        <f>控制台!$E$2473*控制台!H2518</f>
        <v>13.5</v>
      </c>
      <c r="J30" s="1">
        <f ca="1">B30*G30*I30*控制台!$E$2477*3600*H30</f>
        <v>8307684</v>
      </c>
      <c r="K30" s="5">
        <f ca="1" t="shared" si="1"/>
        <v>35306233.425</v>
      </c>
    </row>
    <row r="31" spans="1:11">
      <c r="A31" s="10">
        <v>10</v>
      </c>
      <c r="B31" s="1">
        <f ca="1">控制台!C2519</f>
        <v>3</v>
      </c>
      <c r="C31" s="14">
        <f ca="1">OFFSET(控制台!$C$2570,MATCH(A31,控制台!$B$2570:$B$2583,1)-1,0)</f>
        <v>1.6</v>
      </c>
      <c r="D31" s="14">
        <f ca="1">OFFSET(控制台!$C$2570,MATCH(A31,控制台!$B$2570:$B$2583,1),0)</f>
        <v>1.65</v>
      </c>
      <c r="E31" s="1">
        <f ca="1">OFFSET(控制台!$B$2570,MATCH(A31,控制台!$B$2570:$B$2583,1)-1,0)</f>
        <v>10</v>
      </c>
      <c r="F31" s="1">
        <f ca="1">OFFSET(控制台!$B$2570,MATCH(A31,控制台!$B$2570:$B$2583,1),0)</f>
        <v>20</v>
      </c>
      <c r="G31" s="14">
        <f ca="1">IF(E31=F31,C31,Lerp_dyy(C31,D31,(A31-E31)/(F31-E31)))</f>
        <v>1.6</v>
      </c>
      <c r="H31" s="1">
        <f t="shared" si="0"/>
        <v>1</v>
      </c>
      <c r="I31" s="1">
        <f>控制台!$E$2473*控制台!H2519</f>
        <v>15</v>
      </c>
      <c r="J31" s="1">
        <f ca="1">B31*G31*I31*控制台!$E$2477*3600*H31</f>
        <v>9590400</v>
      </c>
      <c r="K31" s="5">
        <f ca="1" t="shared" si="1"/>
        <v>44896633.425</v>
      </c>
    </row>
    <row r="32" spans="1:11">
      <c r="A32" s="10">
        <v>11</v>
      </c>
      <c r="B32" s="1">
        <f ca="1">控制台!C2520</f>
        <v>3</v>
      </c>
      <c r="C32" s="14">
        <f ca="1">OFFSET(控制台!$C$2570,MATCH(A32,控制台!$B$2570:$B$2583,1)-1,0)</f>
        <v>1.6</v>
      </c>
      <c r="D32" s="14">
        <f ca="1">OFFSET(控制台!$C$2570,MATCH(A32,控制台!$B$2570:$B$2583,1),0)</f>
        <v>1.65</v>
      </c>
      <c r="E32" s="1">
        <f ca="1">OFFSET(控制台!$B$2570,MATCH(A32,控制台!$B$2570:$B$2583,1)-1,0)</f>
        <v>10</v>
      </c>
      <c r="F32" s="1">
        <f ca="1">OFFSET(控制台!$B$2570,MATCH(A32,控制台!$B$2570:$B$2583,1),0)</f>
        <v>20</v>
      </c>
      <c r="G32" s="14">
        <f ca="1">IF(E32=F32,C32,Lerp_dyy(C32,D32,(A32-E32)/(F32-E32)))</f>
        <v>1.605</v>
      </c>
      <c r="H32" s="1">
        <f t="shared" si="0"/>
        <v>1</v>
      </c>
      <c r="I32" s="1">
        <f>控制台!$E$2473*控制台!H2520</f>
        <v>15</v>
      </c>
      <c r="J32" s="1">
        <f ca="1">B32*G32*I32*控制台!$E$2477*3600*H32</f>
        <v>9620370</v>
      </c>
      <c r="K32" s="5">
        <f ca="1" t="shared" si="1"/>
        <v>54517003.425</v>
      </c>
    </row>
    <row r="33" spans="1:11">
      <c r="A33" s="10">
        <v>12</v>
      </c>
      <c r="B33" s="1">
        <f ca="1">控制台!C2521</f>
        <v>3</v>
      </c>
      <c r="C33" s="14">
        <f ca="1">OFFSET(控制台!$C$2570,MATCH(A33,控制台!$B$2570:$B$2583,1)-1,0)</f>
        <v>1.6</v>
      </c>
      <c r="D33" s="14">
        <f ca="1">OFFSET(控制台!$C$2570,MATCH(A33,控制台!$B$2570:$B$2583,1),0)</f>
        <v>1.65</v>
      </c>
      <c r="E33" s="1">
        <f ca="1">OFFSET(控制台!$B$2570,MATCH(A33,控制台!$B$2570:$B$2583,1)-1,0)</f>
        <v>10</v>
      </c>
      <c r="F33" s="1">
        <f ca="1">OFFSET(控制台!$B$2570,MATCH(A33,控制台!$B$2570:$B$2583,1),0)</f>
        <v>20</v>
      </c>
      <c r="G33" s="14">
        <f ca="1">IF(E33=F33,C33,Lerp_dyy(C33,D33,(A33-E33)/(F33-E33)))</f>
        <v>1.61</v>
      </c>
      <c r="H33" s="1">
        <f t="shared" si="0"/>
        <v>1</v>
      </c>
      <c r="I33" s="1">
        <f>控制台!$E$2473*控制台!H2521</f>
        <v>15</v>
      </c>
      <c r="J33" s="1">
        <f ca="1">B33*G33*I33*控制台!$E$2477*3600*H33</f>
        <v>9650340</v>
      </c>
      <c r="K33" s="5">
        <f ca="1" t="shared" si="1"/>
        <v>64167343.425</v>
      </c>
    </row>
    <row r="34" spans="1:11">
      <c r="A34" s="10">
        <v>13</v>
      </c>
      <c r="B34" s="1">
        <f ca="1">控制台!C2522</f>
        <v>3</v>
      </c>
      <c r="C34" s="14">
        <f ca="1">OFFSET(控制台!$C$2570,MATCH(A34,控制台!$B$2570:$B$2583,1)-1,0)</f>
        <v>1.6</v>
      </c>
      <c r="D34" s="14">
        <f ca="1">OFFSET(控制台!$C$2570,MATCH(A34,控制台!$B$2570:$B$2583,1),0)</f>
        <v>1.65</v>
      </c>
      <c r="E34" s="1">
        <f ca="1">OFFSET(控制台!$B$2570,MATCH(A34,控制台!$B$2570:$B$2583,1)-1,0)</f>
        <v>10</v>
      </c>
      <c r="F34" s="1">
        <f ca="1">OFFSET(控制台!$B$2570,MATCH(A34,控制台!$B$2570:$B$2583,1),0)</f>
        <v>20</v>
      </c>
      <c r="G34" s="14">
        <f ca="1">IF(E34=F34,C34,Lerp_dyy(C34,D34,(A34-E34)/(F34-E34)))</f>
        <v>1.615</v>
      </c>
      <c r="H34" s="1">
        <f t="shared" si="0"/>
        <v>1</v>
      </c>
      <c r="I34" s="1">
        <f>控制台!$E$2473*控制台!H2522</f>
        <v>15</v>
      </c>
      <c r="J34" s="1">
        <f ca="1">B34*G34*I34*控制台!$E$2477*3600*H34</f>
        <v>9680310</v>
      </c>
      <c r="K34" s="5">
        <f ca="1" t="shared" si="1"/>
        <v>73847653.425</v>
      </c>
    </row>
    <row r="35" spans="1:11">
      <c r="A35" s="10">
        <v>14</v>
      </c>
      <c r="B35" s="1">
        <f ca="1">控制台!C2523</f>
        <v>4</v>
      </c>
      <c r="C35" s="14">
        <f ca="1">OFFSET(控制台!$C$2570,MATCH(A35,控制台!$B$2570:$B$2583,1)-1,0)</f>
        <v>1.6</v>
      </c>
      <c r="D35" s="14">
        <f ca="1">OFFSET(控制台!$C$2570,MATCH(A35,控制台!$B$2570:$B$2583,1),0)</f>
        <v>1.65</v>
      </c>
      <c r="E35" s="1">
        <f ca="1">OFFSET(控制台!$B$2570,MATCH(A35,控制台!$B$2570:$B$2583,1)-1,0)</f>
        <v>10</v>
      </c>
      <c r="F35" s="1">
        <f ca="1">OFFSET(控制台!$B$2570,MATCH(A35,控制台!$B$2570:$B$2583,1),0)</f>
        <v>20</v>
      </c>
      <c r="G35" s="14">
        <f ca="1">IF(E35=F35,C35,Lerp_dyy(C35,D35,(A35-E35)/(F35-E35)))</f>
        <v>1.62</v>
      </c>
      <c r="H35" s="1">
        <f t="shared" si="0"/>
        <v>1</v>
      </c>
      <c r="I35" s="1">
        <f>控制台!$E$2473*控制台!H2523</f>
        <v>15</v>
      </c>
      <c r="J35" s="1">
        <f ca="1">B35*G35*I35*控制台!$E$2477*3600*H35</f>
        <v>12947040</v>
      </c>
      <c r="K35" s="5">
        <f ca="1" t="shared" si="1"/>
        <v>86794693.425</v>
      </c>
    </row>
    <row r="36" spans="1:11">
      <c r="A36" s="10">
        <v>15</v>
      </c>
      <c r="B36" s="1">
        <f ca="1">控制台!C2524</f>
        <v>4</v>
      </c>
      <c r="C36" s="14">
        <f ca="1">OFFSET(控制台!$C$2570,MATCH(A36,控制台!$B$2570:$B$2583,1)-1,0)</f>
        <v>1.6</v>
      </c>
      <c r="D36" s="14">
        <f ca="1">OFFSET(控制台!$C$2570,MATCH(A36,控制台!$B$2570:$B$2583,1),0)</f>
        <v>1.65</v>
      </c>
      <c r="E36" s="1">
        <f ca="1">OFFSET(控制台!$B$2570,MATCH(A36,控制台!$B$2570:$B$2583,1)-1,0)</f>
        <v>10</v>
      </c>
      <c r="F36" s="1">
        <f ca="1">OFFSET(控制台!$B$2570,MATCH(A36,控制台!$B$2570:$B$2583,1),0)</f>
        <v>20</v>
      </c>
      <c r="G36" s="14">
        <f ca="1">IF(E36=F36,C36,Lerp_dyy(C36,D36,(A36-E36)/(F36-E36)))</f>
        <v>1.625</v>
      </c>
      <c r="H36" s="1">
        <f t="shared" si="0"/>
        <v>1</v>
      </c>
      <c r="I36" s="1">
        <f>控制台!$E$2473*控制台!H2524</f>
        <v>15</v>
      </c>
      <c r="J36" s="1">
        <f ca="1">B36*G36*I36*控制台!$E$2477*3600*H36</f>
        <v>12987000</v>
      </c>
      <c r="K36" s="5">
        <f ca="1" t="shared" si="1"/>
        <v>99781693.425</v>
      </c>
    </row>
    <row r="37" spans="1:11">
      <c r="A37" s="10">
        <v>16</v>
      </c>
      <c r="B37" s="1">
        <f ca="1">控制台!C2525</f>
        <v>4</v>
      </c>
      <c r="C37" s="14">
        <f ca="1">OFFSET(控制台!$C$2570,MATCH(A37,控制台!$B$2570:$B$2583,1)-1,0)</f>
        <v>1.6</v>
      </c>
      <c r="D37" s="14">
        <f ca="1">OFFSET(控制台!$C$2570,MATCH(A37,控制台!$B$2570:$B$2583,1),0)</f>
        <v>1.65</v>
      </c>
      <c r="E37" s="1">
        <f ca="1">OFFSET(控制台!$B$2570,MATCH(A37,控制台!$B$2570:$B$2583,1)-1,0)</f>
        <v>10</v>
      </c>
      <c r="F37" s="1">
        <f ca="1">OFFSET(控制台!$B$2570,MATCH(A37,控制台!$B$2570:$B$2583,1),0)</f>
        <v>20</v>
      </c>
      <c r="G37" s="14">
        <f ca="1">IF(E37=F37,C37,Lerp_dyy(C37,D37,(A37-E37)/(F37-E37)))</f>
        <v>1.63</v>
      </c>
      <c r="H37" s="1">
        <f t="shared" si="0"/>
        <v>1</v>
      </c>
      <c r="I37" s="1">
        <f>控制台!$E$2473*控制台!H2525</f>
        <v>15</v>
      </c>
      <c r="J37" s="1">
        <f ca="1">B37*G37*I37*控制台!$E$2477*3600*H37</f>
        <v>13026960</v>
      </c>
      <c r="K37" s="5">
        <f ca="1" t="shared" si="1"/>
        <v>112808653.425</v>
      </c>
    </row>
    <row r="38" spans="1:11">
      <c r="A38" s="10">
        <v>17</v>
      </c>
      <c r="B38" s="1">
        <f ca="1">控制台!C2526</f>
        <v>4</v>
      </c>
      <c r="C38" s="14">
        <f ca="1">OFFSET(控制台!$C$2570,MATCH(A38,控制台!$B$2570:$B$2583,1)-1,0)</f>
        <v>1.6</v>
      </c>
      <c r="D38" s="14">
        <f ca="1">OFFSET(控制台!$C$2570,MATCH(A38,控制台!$B$2570:$B$2583,1),0)</f>
        <v>1.65</v>
      </c>
      <c r="E38" s="1">
        <f ca="1">OFFSET(控制台!$B$2570,MATCH(A38,控制台!$B$2570:$B$2583,1)-1,0)</f>
        <v>10</v>
      </c>
      <c r="F38" s="1">
        <f ca="1">OFFSET(控制台!$B$2570,MATCH(A38,控制台!$B$2570:$B$2583,1),0)</f>
        <v>20</v>
      </c>
      <c r="G38" s="14">
        <f ca="1">IF(E38=F38,C38,Lerp_dyy(C38,D38,(A38-E38)/(F38-E38)))</f>
        <v>1.635</v>
      </c>
      <c r="H38" s="1">
        <f t="shared" si="0"/>
        <v>1</v>
      </c>
      <c r="I38" s="1">
        <f>控制台!$E$2473*控制台!H2526</f>
        <v>15</v>
      </c>
      <c r="J38" s="1">
        <f ca="1">B38*G38*I38*控制台!$E$2477*3600*H38</f>
        <v>13066920</v>
      </c>
      <c r="K38" s="5">
        <f ca="1" t="shared" si="1"/>
        <v>125875573.425</v>
      </c>
    </row>
    <row r="39" spans="1:11">
      <c r="A39" s="10">
        <v>18</v>
      </c>
      <c r="B39" s="1">
        <f ca="1">控制台!C2527</f>
        <v>4</v>
      </c>
      <c r="C39" s="14">
        <f ca="1">OFFSET(控制台!$C$2570,MATCH(A39,控制台!$B$2570:$B$2583,1)-1,0)</f>
        <v>1.6</v>
      </c>
      <c r="D39" s="14">
        <f ca="1">OFFSET(控制台!$C$2570,MATCH(A39,控制台!$B$2570:$B$2583,1),0)</f>
        <v>1.65</v>
      </c>
      <c r="E39" s="1">
        <f ca="1">OFFSET(控制台!$B$2570,MATCH(A39,控制台!$B$2570:$B$2583,1)-1,0)</f>
        <v>10</v>
      </c>
      <c r="F39" s="1">
        <f ca="1">OFFSET(控制台!$B$2570,MATCH(A39,控制台!$B$2570:$B$2583,1),0)</f>
        <v>20</v>
      </c>
      <c r="G39" s="14">
        <f ca="1">IF(E39=F39,C39,Lerp_dyy(C39,D39,(A39-E39)/(F39-E39)))</f>
        <v>1.64</v>
      </c>
      <c r="H39" s="1">
        <f t="shared" si="0"/>
        <v>1</v>
      </c>
      <c r="I39" s="1">
        <f>控制台!$E$2473*控制台!H2527</f>
        <v>15</v>
      </c>
      <c r="J39" s="1">
        <f ca="1">B39*G39*I39*控制台!$E$2477*3600*H39</f>
        <v>13106880</v>
      </c>
      <c r="K39" s="5">
        <f ca="1" t="shared" si="1"/>
        <v>138982453.425</v>
      </c>
    </row>
    <row r="40" spans="1:11">
      <c r="A40" s="10">
        <v>19</v>
      </c>
      <c r="B40" s="1">
        <f ca="1">控制台!C2528</f>
        <v>4</v>
      </c>
      <c r="C40" s="14">
        <f ca="1">OFFSET(控制台!$C$2570,MATCH(A40,控制台!$B$2570:$B$2583,1)-1,0)</f>
        <v>1.6</v>
      </c>
      <c r="D40" s="14">
        <f ca="1">OFFSET(控制台!$C$2570,MATCH(A40,控制台!$B$2570:$B$2583,1),0)</f>
        <v>1.65</v>
      </c>
      <c r="E40" s="1">
        <f ca="1">OFFSET(控制台!$B$2570,MATCH(A40,控制台!$B$2570:$B$2583,1)-1,0)</f>
        <v>10</v>
      </c>
      <c r="F40" s="1">
        <f ca="1">OFFSET(控制台!$B$2570,MATCH(A40,控制台!$B$2570:$B$2583,1),0)</f>
        <v>20</v>
      </c>
      <c r="G40" s="14">
        <f ca="1">IF(E40=F40,C40,Lerp_dyy(C40,D40,(A40-E40)/(F40-E40)))</f>
        <v>1.645</v>
      </c>
      <c r="H40" s="1">
        <f t="shared" si="0"/>
        <v>1</v>
      </c>
      <c r="I40" s="1">
        <f>控制台!$E$2473*控制台!H2528</f>
        <v>15</v>
      </c>
      <c r="J40" s="1">
        <f ca="1">B40*G40*I40*控制台!$E$2477*3600*H40</f>
        <v>13146840</v>
      </c>
      <c r="K40" s="5">
        <f ca="1" t="shared" si="1"/>
        <v>152129293.425</v>
      </c>
    </row>
    <row r="41" spans="1:11">
      <c r="A41" s="10">
        <v>20</v>
      </c>
      <c r="B41" s="1">
        <f ca="1">控制台!C2529</f>
        <v>4</v>
      </c>
      <c r="C41" s="14">
        <f ca="1">OFFSET(控制台!$C$2570,MATCH(A41,控制台!$B$2570:$B$2583,1)-1,0)</f>
        <v>1.65</v>
      </c>
      <c r="D41" s="14">
        <f ca="1">OFFSET(控制台!$C$2570,MATCH(A41,控制台!$B$2570:$B$2583,1),0)</f>
        <v>1.85</v>
      </c>
      <c r="E41" s="1">
        <f ca="1">OFFSET(控制台!$B$2570,MATCH(A41,控制台!$B$2570:$B$2583,1)-1,0)</f>
        <v>20</v>
      </c>
      <c r="F41" s="1">
        <f ca="1">OFFSET(控制台!$B$2570,MATCH(A41,控制台!$B$2570:$B$2583,1),0)</f>
        <v>24</v>
      </c>
      <c r="G41" s="14">
        <f ca="1">IF(E41=F41,C41,Lerp_dyy(C41,D41,(A41-E41)/(F41-E41)))</f>
        <v>1.65</v>
      </c>
      <c r="H41" s="1">
        <f t="shared" si="0"/>
        <v>1</v>
      </c>
      <c r="I41" s="1">
        <f>控制台!$E$2473*控制台!H2529</f>
        <v>15</v>
      </c>
      <c r="J41" s="1">
        <f ca="1">B41*G41*I41*控制台!$E$2477*3600*H41</f>
        <v>13186800</v>
      </c>
      <c r="K41" s="5">
        <f ca="1" t="shared" si="1"/>
        <v>165316093.425</v>
      </c>
    </row>
    <row r="42" spans="1:11">
      <c r="A42" s="10">
        <v>21</v>
      </c>
      <c r="B42" s="1">
        <f ca="1">控制台!C2530</f>
        <v>4</v>
      </c>
      <c r="C42" s="14">
        <f ca="1">OFFSET(控制台!$C$2570,MATCH(A42,控制台!$B$2570:$B$2583,1)-1,0)</f>
        <v>1.65</v>
      </c>
      <c r="D42" s="14">
        <f ca="1">OFFSET(控制台!$C$2570,MATCH(A42,控制台!$B$2570:$B$2583,1),0)</f>
        <v>1.85</v>
      </c>
      <c r="E42" s="1">
        <f ca="1">OFFSET(控制台!$B$2570,MATCH(A42,控制台!$B$2570:$B$2583,1)-1,0)</f>
        <v>20</v>
      </c>
      <c r="F42" s="1">
        <f ca="1">OFFSET(控制台!$B$2570,MATCH(A42,控制台!$B$2570:$B$2583,1),0)</f>
        <v>24</v>
      </c>
      <c r="G42" s="14">
        <f ca="1">IF(E42=F42,C42,Lerp_dyy(C42,D42,(A42-E42)/(F42-E42)))</f>
        <v>1.7</v>
      </c>
      <c r="H42" s="1">
        <f t="shared" si="0"/>
        <v>1</v>
      </c>
      <c r="I42" s="1">
        <f>控制台!$E$2473*控制台!H2530</f>
        <v>15</v>
      </c>
      <c r="J42" s="1">
        <f ca="1">B42*G42*I42*控制台!$E$2477*3600*H42</f>
        <v>13586400</v>
      </c>
      <c r="K42" s="5">
        <f ca="1" t="shared" si="1"/>
        <v>178902493.425</v>
      </c>
    </row>
    <row r="43" spans="1:11">
      <c r="A43" s="10">
        <v>22</v>
      </c>
      <c r="B43" s="1">
        <f ca="1">控制台!C2531</f>
        <v>4</v>
      </c>
      <c r="C43" s="14">
        <f ca="1">OFFSET(控制台!$C$2570,MATCH(A43,控制台!$B$2570:$B$2583,1)-1,0)</f>
        <v>1.65</v>
      </c>
      <c r="D43" s="14">
        <f ca="1">OFFSET(控制台!$C$2570,MATCH(A43,控制台!$B$2570:$B$2583,1),0)</f>
        <v>1.85</v>
      </c>
      <c r="E43" s="1">
        <f ca="1">OFFSET(控制台!$B$2570,MATCH(A43,控制台!$B$2570:$B$2583,1)-1,0)</f>
        <v>20</v>
      </c>
      <c r="F43" s="1">
        <f ca="1">OFFSET(控制台!$B$2570,MATCH(A43,控制台!$B$2570:$B$2583,1),0)</f>
        <v>24</v>
      </c>
      <c r="G43" s="14">
        <f ca="1">IF(E43=F43,C43,Lerp_dyy(C43,D43,(A43-E43)/(F43-E43)))</f>
        <v>1.75</v>
      </c>
      <c r="H43" s="1">
        <f t="shared" si="0"/>
        <v>1</v>
      </c>
      <c r="I43" s="1">
        <f>控制台!$E$2473*控制台!H2531</f>
        <v>15</v>
      </c>
      <c r="J43" s="1">
        <f ca="1">B43*G43*I43*控制台!$E$2477*3600*H43</f>
        <v>13986000</v>
      </c>
      <c r="K43" s="5">
        <f ca="1" t="shared" si="1"/>
        <v>192888493.425</v>
      </c>
    </row>
    <row r="44" spans="1:11">
      <c r="A44" s="10">
        <v>23</v>
      </c>
      <c r="B44" s="1">
        <f ca="1">控制台!C2532</f>
        <v>4</v>
      </c>
      <c r="C44" s="14">
        <f ca="1">OFFSET(控制台!$C$2570,MATCH(A44,控制台!$B$2570:$B$2583,1)-1,0)</f>
        <v>1.65</v>
      </c>
      <c r="D44" s="14">
        <f ca="1">OFFSET(控制台!$C$2570,MATCH(A44,控制台!$B$2570:$B$2583,1),0)</f>
        <v>1.85</v>
      </c>
      <c r="E44" s="1">
        <f ca="1">OFFSET(控制台!$B$2570,MATCH(A44,控制台!$B$2570:$B$2583,1)-1,0)</f>
        <v>20</v>
      </c>
      <c r="F44" s="1">
        <f ca="1">OFFSET(控制台!$B$2570,MATCH(A44,控制台!$B$2570:$B$2583,1),0)</f>
        <v>24</v>
      </c>
      <c r="G44" s="14">
        <f ca="1">IF(E44=F44,C44,Lerp_dyy(C44,D44,(A44-E44)/(F44-E44)))</f>
        <v>1.8</v>
      </c>
      <c r="H44" s="1">
        <f t="shared" si="0"/>
        <v>1</v>
      </c>
      <c r="I44" s="1">
        <f>控制台!$E$2473*控制台!H2532</f>
        <v>15</v>
      </c>
      <c r="J44" s="1">
        <f ca="1">B44*G44*I44*控制台!$E$2477*3600*H44</f>
        <v>14385600</v>
      </c>
      <c r="K44" s="5">
        <f ca="1" t="shared" si="1"/>
        <v>207274093.425</v>
      </c>
    </row>
    <row r="45" spans="1:11">
      <c r="A45" s="10">
        <v>24</v>
      </c>
      <c r="B45" s="1">
        <f ca="1">控制台!C2533</f>
        <v>4</v>
      </c>
      <c r="C45" s="14">
        <f ca="1">OFFSET(控制台!$C$2570,MATCH(A45,控制台!$B$2570:$B$2583,1)-1,0)</f>
        <v>1.85</v>
      </c>
      <c r="D45" s="14">
        <f ca="1">OFFSET(控制台!$C$2570,MATCH(A45,控制台!$B$2570:$B$2583,1),0)</f>
        <v>2.1</v>
      </c>
      <c r="E45" s="1">
        <f ca="1">OFFSET(控制台!$B$2570,MATCH(A45,控制台!$B$2570:$B$2583,1)-1,0)</f>
        <v>24</v>
      </c>
      <c r="F45" s="1">
        <f ca="1">OFFSET(控制台!$B$2570,MATCH(A45,控制台!$B$2570:$B$2583,1),0)</f>
        <v>45</v>
      </c>
      <c r="G45" s="14">
        <f ca="1">IF(E45=F45,C45,Lerp_dyy(C45,D45,(A45-E45)/(F45-E45)))</f>
        <v>1.85</v>
      </c>
      <c r="H45" s="1">
        <f t="shared" si="0"/>
        <v>1</v>
      </c>
      <c r="I45" s="1">
        <f>控制台!$E$2473*控制台!H2533</f>
        <v>15</v>
      </c>
      <c r="J45" s="1">
        <f ca="1">B45*G45*I45*控制台!$E$2477*3600*H45</f>
        <v>14785200</v>
      </c>
      <c r="K45" s="5">
        <f ca="1" t="shared" si="1"/>
        <v>222059293.425</v>
      </c>
    </row>
    <row r="46" spans="1:11">
      <c r="A46" s="10">
        <v>25</v>
      </c>
      <c r="B46" s="1">
        <f ca="1">控制台!C2534</f>
        <v>4</v>
      </c>
      <c r="C46" s="14">
        <f ca="1">OFFSET(控制台!$C$2570,MATCH(A46,控制台!$B$2570:$B$2583,1)-1,0)</f>
        <v>1.85</v>
      </c>
      <c r="D46" s="14">
        <f ca="1">OFFSET(控制台!$C$2570,MATCH(A46,控制台!$B$2570:$B$2583,1),0)</f>
        <v>2.1</v>
      </c>
      <c r="E46" s="1">
        <f ca="1">OFFSET(控制台!$B$2570,MATCH(A46,控制台!$B$2570:$B$2583,1)-1,0)</f>
        <v>24</v>
      </c>
      <c r="F46" s="1">
        <f ca="1">OFFSET(控制台!$B$2570,MATCH(A46,控制台!$B$2570:$B$2583,1),0)</f>
        <v>45</v>
      </c>
      <c r="G46" s="14">
        <f ca="1">IF(E46=F46,C46,Lerp_dyy(C46,D46,(A46-E46)/(F46-E46)))</f>
        <v>1.86190476190476</v>
      </c>
      <c r="H46" s="1">
        <f t="shared" si="0"/>
        <v>1</v>
      </c>
      <c r="I46" s="1">
        <f>控制台!$E$2473*控制台!H2534</f>
        <v>15</v>
      </c>
      <c r="J46" s="1">
        <f ca="1">B46*G46*I46*控制台!$E$2477*3600*H46</f>
        <v>14880342.8571428</v>
      </c>
      <c r="K46" s="5">
        <f ca="1" t="shared" si="1"/>
        <v>236939636.282143</v>
      </c>
    </row>
    <row r="47" spans="1:11">
      <c r="A47" s="10">
        <v>26</v>
      </c>
      <c r="B47" s="1">
        <f ca="1">控制台!C2535</f>
        <v>4</v>
      </c>
      <c r="C47" s="14">
        <f ca="1">OFFSET(控制台!$C$2570,MATCH(A47,控制台!$B$2570:$B$2583,1)-1,0)</f>
        <v>1.85</v>
      </c>
      <c r="D47" s="14">
        <f ca="1">OFFSET(控制台!$C$2570,MATCH(A47,控制台!$B$2570:$B$2583,1),0)</f>
        <v>2.1</v>
      </c>
      <c r="E47" s="1">
        <f ca="1">OFFSET(控制台!$B$2570,MATCH(A47,控制台!$B$2570:$B$2583,1)-1,0)</f>
        <v>24</v>
      </c>
      <c r="F47" s="1">
        <f ca="1">OFFSET(控制台!$B$2570,MATCH(A47,控制台!$B$2570:$B$2583,1),0)</f>
        <v>45</v>
      </c>
      <c r="G47" s="14">
        <f ca="1">IF(E47=F47,C47,Lerp_dyy(C47,D47,(A47-E47)/(F47-E47)))</f>
        <v>1.87380952380952</v>
      </c>
      <c r="H47" s="1">
        <f t="shared" si="0"/>
        <v>1</v>
      </c>
      <c r="I47" s="1">
        <f>控制台!$E$2473*控制台!H2535</f>
        <v>15</v>
      </c>
      <c r="J47" s="1">
        <f ca="1">B47*G47*I47*控制台!$E$2477*3600*H47</f>
        <v>14975485.7142857</v>
      </c>
      <c r="K47" s="5">
        <f ca="1" t="shared" si="1"/>
        <v>251915121.996428</v>
      </c>
    </row>
    <row r="48" spans="1:11">
      <c r="A48" s="10">
        <v>27</v>
      </c>
      <c r="B48" s="1">
        <f ca="1">控制台!C2536</f>
        <v>4</v>
      </c>
      <c r="C48" s="14">
        <f ca="1">OFFSET(控制台!$C$2570,MATCH(A48,控制台!$B$2570:$B$2583,1)-1,0)</f>
        <v>1.85</v>
      </c>
      <c r="D48" s="14">
        <f ca="1">OFFSET(控制台!$C$2570,MATCH(A48,控制台!$B$2570:$B$2583,1),0)</f>
        <v>2.1</v>
      </c>
      <c r="E48" s="1">
        <f ca="1">OFFSET(控制台!$B$2570,MATCH(A48,控制台!$B$2570:$B$2583,1)-1,0)</f>
        <v>24</v>
      </c>
      <c r="F48" s="1">
        <f ca="1">OFFSET(控制台!$B$2570,MATCH(A48,控制台!$B$2570:$B$2583,1),0)</f>
        <v>45</v>
      </c>
      <c r="G48" s="14">
        <f ca="1">IF(E48=F48,C48,Lerp_dyy(C48,D48,(A48-E48)/(F48-E48)))</f>
        <v>1.88571428571429</v>
      </c>
      <c r="H48" s="1">
        <f t="shared" si="0"/>
        <v>1</v>
      </c>
      <c r="I48" s="1">
        <f>控制台!$E$2473*控制台!H2536</f>
        <v>15</v>
      </c>
      <c r="J48" s="1">
        <f ca="1">B48*G48*I48*控制台!$E$2477*3600*H48</f>
        <v>15070628.5714286</v>
      </c>
      <c r="K48" s="5">
        <f ca="1" t="shared" si="1"/>
        <v>266985750.567857</v>
      </c>
    </row>
    <row r="49" spans="1:11">
      <c r="A49" s="10">
        <v>28</v>
      </c>
      <c r="B49" s="1">
        <f ca="1">控制台!C2537</f>
        <v>5</v>
      </c>
      <c r="C49" s="14">
        <f ca="1">OFFSET(控制台!$C$2570,MATCH(A49,控制台!$B$2570:$B$2583,1)-1,0)</f>
        <v>1.85</v>
      </c>
      <c r="D49" s="14">
        <f ca="1">OFFSET(控制台!$C$2570,MATCH(A49,控制台!$B$2570:$B$2583,1),0)</f>
        <v>2.1</v>
      </c>
      <c r="E49" s="1">
        <f ca="1">OFFSET(控制台!$B$2570,MATCH(A49,控制台!$B$2570:$B$2583,1)-1,0)</f>
        <v>24</v>
      </c>
      <c r="F49" s="1">
        <f ca="1">OFFSET(控制台!$B$2570,MATCH(A49,控制台!$B$2570:$B$2583,1),0)</f>
        <v>45</v>
      </c>
      <c r="G49" s="14">
        <f ca="1">IF(E49=F49,C49,Lerp_dyy(C49,D49,(A49-E49)/(F49-E49)))</f>
        <v>1.89761904761905</v>
      </c>
      <c r="H49" s="1">
        <f t="shared" si="0"/>
        <v>1</v>
      </c>
      <c r="I49" s="1">
        <f>控制台!$E$2473*控制台!H2537</f>
        <v>15</v>
      </c>
      <c r="J49" s="1">
        <f ca="1">B49*G49*I49*控制台!$E$2477*3600*H49</f>
        <v>18957214.2857143</v>
      </c>
      <c r="K49" s="5">
        <f ca="1" t="shared" si="1"/>
        <v>285942964.853571</v>
      </c>
    </row>
    <row r="50" spans="1:11">
      <c r="A50" s="10">
        <v>29</v>
      </c>
      <c r="B50" s="1">
        <f ca="1">控制台!C2538</f>
        <v>5</v>
      </c>
      <c r="C50" s="14">
        <f ca="1">OFFSET(控制台!$C$2570,MATCH(A50,控制台!$B$2570:$B$2583,1)-1,0)</f>
        <v>1.85</v>
      </c>
      <c r="D50" s="14">
        <f ca="1">OFFSET(控制台!$C$2570,MATCH(A50,控制台!$B$2570:$B$2583,1),0)</f>
        <v>2.1</v>
      </c>
      <c r="E50" s="1">
        <f ca="1">OFFSET(控制台!$B$2570,MATCH(A50,控制台!$B$2570:$B$2583,1)-1,0)</f>
        <v>24</v>
      </c>
      <c r="F50" s="1">
        <f ca="1">OFFSET(控制台!$B$2570,MATCH(A50,控制台!$B$2570:$B$2583,1),0)</f>
        <v>45</v>
      </c>
      <c r="G50" s="14">
        <f ca="1">IF(E50=F50,C50,Lerp_dyy(C50,D50,(A50-E50)/(F50-E50)))</f>
        <v>1.90952380952381</v>
      </c>
      <c r="H50" s="1">
        <f t="shared" si="0"/>
        <v>1</v>
      </c>
      <c r="I50" s="1">
        <f>控制台!$E$2473*控制台!H2538</f>
        <v>15</v>
      </c>
      <c r="J50" s="1">
        <f ca="1">B50*G50*I50*控制台!$E$2477*3600*H50</f>
        <v>19076142.8571429</v>
      </c>
      <c r="K50" s="5">
        <f ca="1" t="shared" si="1"/>
        <v>305019107.710714</v>
      </c>
    </row>
    <row r="51" spans="1:11">
      <c r="A51" s="10">
        <v>30</v>
      </c>
      <c r="B51" s="1">
        <f ca="1">控制台!C2539</f>
        <v>5</v>
      </c>
      <c r="C51" s="14">
        <f ca="1">OFFSET(控制台!$C$2570,MATCH(A51,控制台!$B$2570:$B$2583,1)-1,0)</f>
        <v>1.85</v>
      </c>
      <c r="D51" s="14">
        <f ca="1">OFFSET(控制台!$C$2570,MATCH(A51,控制台!$B$2570:$B$2583,1),0)</f>
        <v>2.1</v>
      </c>
      <c r="E51" s="1">
        <f ca="1">OFFSET(控制台!$B$2570,MATCH(A51,控制台!$B$2570:$B$2583,1)-1,0)</f>
        <v>24</v>
      </c>
      <c r="F51" s="1">
        <f ca="1">OFFSET(控制台!$B$2570,MATCH(A51,控制台!$B$2570:$B$2583,1),0)</f>
        <v>45</v>
      </c>
      <c r="G51" s="14">
        <f ca="1">IF(E51=F51,C51,Lerp_dyy(C51,D51,(A51-E51)/(F51-E51)))</f>
        <v>1.92142857142857</v>
      </c>
      <c r="H51" s="1">
        <f t="shared" si="0"/>
        <v>1</v>
      </c>
      <c r="I51" s="1">
        <f>控制台!$E$2473*控制台!H2539</f>
        <v>15</v>
      </c>
      <c r="J51" s="1">
        <f ca="1">B51*G51*I51*控制台!$E$2477*3600*H51</f>
        <v>19195071.4285714</v>
      </c>
      <c r="K51" s="5">
        <f ca="1" t="shared" si="1"/>
        <v>324214179.139286</v>
      </c>
    </row>
    <row r="52" spans="1:11">
      <c r="A52" s="11">
        <v>35</v>
      </c>
      <c r="B52" s="1">
        <f ca="1">控制台!C2540</f>
        <v>5</v>
      </c>
      <c r="C52" s="14">
        <f ca="1">OFFSET(控制台!$C$2570,MATCH(A52,控制台!$B$2570:$B$2583,1)-1,0)</f>
        <v>1.85</v>
      </c>
      <c r="D52" s="14">
        <f ca="1">OFFSET(控制台!$C$2570,MATCH(A52,控制台!$B$2570:$B$2583,1),0)</f>
        <v>2.1</v>
      </c>
      <c r="E52" s="1">
        <f ca="1">OFFSET(控制台!$B$2570,MATCH(A52,控制台!$B$2570:$B$2583,1)-1,0)</f>
        <v>24</v>
      </c>
      <c r="F52" s="1">
        <f ca="1">OFFSET(控制台!$B$2570,MATCH(A52,控制台!$B$2570:$B$2583,1),0)</f>
        <v>45</v>
      </c>
      <c r="G52" s="14">
        <f ca="1">IF(E52=F52,C52,Lerp_dyy(C52,D52,(A52-E52)/(F52-E52)))</f>
        <v>1.98095238095238</v>
      </c>
      <c r="H52" s="1">
        <f t="shared" si="0"/>
        <v>5</v>
      </c>
      <c r="I52" s="1">
        <f>控制台!$E$2473*控制台!H2540</f>
        <v>15</v>
      </c>
      <c r="J52" s="1">
        <f ca="1">B52*G52*I52*控制台!$E$2477*3600*H52</f>
        <v>98948571.4285714</v>
      </c>
      <c r="K52" s="5">
        <f ca="1" t="shared" si="1"/>
        <v>423162750.567857</v>
      </c>
    </row>
    <row r="53" spans="1:11">
      <c r="A53" s="11">
        <v>40</v>
      </c>
      <c r="B53" s="1">
        <f ca="1">控制台!C2541</f>
        <v>5</v>
      </c>
      <c r="C53" s="14">
        <f ca="1">OFFSET(控制台!$C$2570,MATCH(A53,控制台!$B$2570:$B$2583,1)-1,0)</f>
        <v>1.85</v>
      </c>
      <c r="D53" s="14">
        <f ca="1">OFFSET(控制台!$C$2570,MATCH(A53,控制台!$B$2570:$B$2583,1),0)</f>
        <v>2.1</v>
      </c>
      <c r="E53" s="1">
        <f ca="1">OFFSET(控制台!$B$2570,MATCH(A53,控制台!$B$2570:$B$2583,1)-1,0)</f>
        <v>24</v>
      </c>
      <c r="F53" s="1">
        <f ca="1">OFFSET(控制台!$B$2570,MATCH(A53,控制台!$B$2570:$B$2583,1),0)</f>
        <v>45</v>
      </c>
      <c r="G53" s="14">
        <f ca="1">IF(E53=F53,C53,Lerp_dyy(C53,D53,(A53-E53)/(F53-E53)))</f>
        <v>2.04047619047619</v>
      </c>
      <c r="H53" s="1">
        <f t="shared" si="0"/>
        <v>5</v>
      </c>
      <c r="I53" s="1">
        <f>控制台!$E$2473*控制台!H2541</f>
        <v>15</v>
      </c>
      <c r="J53" s="1">
        <f ca="1">B53*G53*I53*控制台!$E$2477*3600*H53</f>
        <v>101921785.714286</v>
      </c>
      <c r="K53" s="5">
        <f ca="1" t="shared" si="1"/>
        <v>525084536.282143</v>
      </c>
    </row>
    <row r="54" spans="1:11">
      <c r="A54" s="11">
        <v>45</v>
      </c>
      <c r="B54" s="1">
        <f ca="1">控制台!C2542</f>
        <v>5</v>
      </c>
      <c r="C54" s="14">
        <f ca="1">OFFSET(控制台!$C$2570,MATCH(A54,控制台!$B$2570:$B$2583,1)-1,0)</f>
        <v>2.1</v>
      </c>
      <c r="D54" s="14">
        <f ca="1">OFFSET(控制台!$C$2570,MATCH(A54,控制台!$B$2570:$B$2583,1),0)</f>
        <v>2.25</v>
      </c>
      <c r="E54" s="1">
        <f ca="1">OFFSET(控制台!$B$2570,MATCH(A54,控制台!$B$2570:$B$2583,1)-1,0)</f>
        <v>45</v>
      </c>
      <c r="F54" s="1">
        <f ca="1">OFFSET(控制台!$B$2570,MATCH(A54,控制台!$B$2570:$B$2583,1),0)</f>
        <v>60</v>
      </c>
      <c r="G54" s="14">
        <f ca="1">IF(E54=F54,C54,Lerp_dyy(C54,D54,(A54-E54)/(F54-E54)))</f>
        <v>2.1</v>
      </c>
      <c r="H54" s="1">
        <f t="shared" si="0"/>
        <v>5</v>
      </c>
      <c r="I54" s="1">
        <f>控制台!$E$2473*控制台!H2542</f>
        <v>15</v>
      </c>
      <c r="J54" s="1">
        <f ca="1">B54*G54*I54*控制台!$E$2477*3600*H54</f>
        <v>104895000</v>
      </c>
      <c r="K54" s="5">
        <f ca="1" t="shared" si="1"/>
        <v>629979536.282143</v>
      </c>
    </row>
    <row r="55" spans="1:11">
      <c r="A55" s="11">
        <v>50</v>
      </c>
      <c r="B55" s="1">
        <f ca="1">控制台!C2543</f>
        <v>5</v>
      </c>
      <c r="C55" s="14">
        <f ca="1">OFFSET(控制台!$C$2570,MATCH(A55,控制台!$B$2570:$B$2583,1)-1,0)</f>
        <v>2.1</v>
      </c>
      <c r="D55" s="14">
        <f ca="1">OFFSET(控制台!$C$2570,MATCH(A55,控制台!$B$2570:$B$2583,1),0)</f>
        <v>2.25</v>
      </c>
      <c r="E55" s="1">
        <f ca="1">OFFSET(控制台!$B$2570,MATCH(A55,控制台!$B$2570:$B$2583,1)-1,0)</f>
        <v>45</v>
      </c>
      <c r="F55" s="1">
        <f ca="1">OFFSET(控制台!$B$2570,MATCH(A55,控制台!$B$2570:$B$2583,1),0)</f>
        <v>60</v>
      </c>
      <c r="G55" s="14">
        <f ca="1">IF(E55=F55,C55,Lerp_dyy(C55,D55,(A55-E55)/(F55-E55)))</f>
        <v>2.15</v>
      </c>
      <c r="H55" s="1">
        <f t="shared" si="0"/>
        <v>5</v>
      </c>
      <c r="I55" s="1">
        <f>控制台!$E$2473*控制台!H2543</f>
        <v>15</v>
      </c>
      <c r="J55" s="1">
        <f ca="1">B55*G55*I55*控制台!$E$2477*3600*H55</f>
        <v>107392500</v>
      </c>
      <c r="K55" s="5">
        <f ca="1" t="shared" si="1"/>
        <v>737372036.282143</v>
      </c>
    </row>
    <row r="56" spans="1:11">
      <c r="A56" s="11">
        <v>55</v>
      </c>
      <c r="B56" s="1">
        <f ca="1">控制台!C2544</f>
        <v>5</v>
      </c>
      <c r="C56" s="14">
        <f ca="1">OFFSET(控制台!$C$2570,MATCH(A56,控制台!$B$2570:$B$2583,1)-1,0)</f>
        <v>2.1</v>
      </c>
      <c r="D56" s="14">
        <f ca="1">OFFSET(控制台!$C$2570,MATCH(A56,控制台!$B$2570:$B$2583,1),0)</f>
        <v>2.25</v>
      </c>
      <c r="E56" s="1">
        <f ca="1">OFFSET(控制台!$B$2570,MATCH(A56,控制台!$B$2570:$B$2583,1)-1,0)</f>
        <v>45</v>
      </c>
      <c r="F56" s="1">
        <f ca="1">OFFSET(控制台!$B$2570,MATCH(A56,控制台!$B$2570:$B$2583,1),0)</f>
        <v>60</v>
      </c>
      <c r="G56" s="14">
        <f ca="1">IF(E56=F56,C56,Lerp_dyy(C56,D56,(A56-E56)/(F56-E56)))</f>
        <v>2.2</v>
      </c>
      <c r="H56" s="1">
        <f t="shared" si="0"/>
        <v>5</v>
      </c>
      <c r="I56" s="1">
        <f>控制台!$E$2473*控制台!H2544</f>
        <v>15</v>
      </c>
      <c r="J56" s="1">
        <f ca="1">B56*G56*I56*控制台!$E$2477*3600*H56</f>
        <v>109890000</v>
      </c>
      <c r="K56" s="5">
        <f ca="1" t="shared" si="1"/>
        <v>847262036.282143</v>
      </c>
    </row>
    <row r="57" spans="1:11">
      <c r="A57" s="11">
        <v>60</v>
      </c>
      <c r="B57" s="1">
        <f ca="1">控制台!C2545</f>
        <v>5</v>
      </c>
      <c r="C57" s="14">
        <f ca="1">OFFSET(控制台!$C$2570,MATCH(A57,控制台!$B$2570:$B$2583,1)-1,0)</f>
        <v>2.25</v>
      </c>
      <c r="D57" s="14">
        <f ca="1">OFFSET(控制台!$C$2570,MATCH(A57,控制台!$B$2570:$B$2583,1),0)</f>
        <v>2.3</v>
      </c>
      <c r="E57" s="1">
        <f ca="1">OFFSET(控制台!$B$2570,MATCH(A57,控制台!$B$2570:$B$2583,1)-1,0)</f>
        <v>60</v>
      </c>
      <c r="F57" s="1">
        <f ca="1">OFFSET(控制台!$B$2570,MATCH(A57,控制台!$B$2570:$B$2583,1),0)</f>
        <v>90</v>
      </c>
      <c r="G57" s="14">
        <f ca="1">IF(E57=F57,C57,Lerp_dyy(C57,D57,(A57-E57)/(F57-E57)))</f>
        <v>2.25</v>
      </c>
      <c r="H57" s="1">
        <f t="shared" si="0"/>
        <v>5</v>
      </c>
      <c r="I57" s="1">
        <f>控制台!$E$2473*控制台!H2545</f>
        <v>15</v>
      </c>
      <c r="J57" s="1">
        <f ca="1">B57*G57*I57*控制台!$E$2477*3600*H57</f>
        <v>112387500</v>
      </c>
      <c r="K57" s="5">
        <f ca="1" t="shared" si="1"/>
        <v>959649536.282143</v>
      </c>
    </row>
    <row r="58" spans="1:11">
      <c r="A58" s="11">
        <v>65</v>
      </c>
      <c r="B58" s="1">
        <f ca="1">控制台!C2546</f>
        <v>5</v>
      </c>
      <c r="C58" s="14">
        <f ca="1">OFFSET(控制台!$C$2570,MATCH(A58,控制台!$B$2570:$B$2583,1)-1,0)</f>
        <v>2.25</v>
      </c>
      <c r="D58" s="14">
        <f ca="1">OFFSET(控制台!$C$2570,MATCH(A58,控制台!$B$2570:$B$2583,1),0)</f>
        <v>2.3</v>
      </c>
      <c r="E58" s="1">
        <f ca="1">OFFSET(控制台!$B$2570,MATCH(A58,控制台!$B$2570:$B$2583,1)-1,0)</f>
        <v>60</v>
      </c>
      <c r="F58" s="1">
        <f ca="1">OFFSET(控制台!$B$2570,MATCH(A58,控制台!$B$2570:$B$2583,1),0)</f>
        <v>90</v>
      </c>
      <c r="G58" s="14">
        <f ca="1">IF(E58=F58,C58,Lerp_dyy(C58,D58,(A58-E58)/(F58-E58)))</f>
        <v>2.25833333333333</v>
      </c>
      <c r="H58" s="1">
        <f t="shared" si="0"/>
        <v>5</v>
      </c>
      <c r="I58" s="1">
        <f>控制台!$E$2473*控制台!H2546</f>
        <v>15</v>
      </c>
      <c r="J58" s="1">
        <f ca="1">B58*G58*I58*控制台!$E$2477*3600*H58</f>
        <v>112803750</v>
      </c>
      <c r="K58" s="5">
        <f ca="1" t="shared" si="1"/>
        <v>1072453286.28214</v>
      </c>
    </row>
    <row r="59" spans="1:11">
      <c r="A59" s="11">
        <v>70</v>
      </c>
      <c r="B59" s="1">
        <f ca="1">控制台!C2547</f>
        <v>5</v>
      </c>
      <c r="C59" s="14">
        <f ca="1">OFFSET(控制台!$C$2570,MATCH(A59,控制台!$B$2570:$B$2583,1)-1,0)</f>
        <v>2.25</v>
      </c>
      <c r="D59" s="14">
        <f ca="1">OFFSET(控制台!$C$2570,MATCH(A59,控制台!$B$2570:$B$2583,1),0)</f>
        <v>2.3</v>
      </c>
      <c r="E59" s="1">
        <f ca="1">OFFSET(控制台!$B$2570,MATCH(A59,控制台!$B$2570:$B$2583,1)-1,0)</f>
        <v>60</v>
      </c>
      <c r="F59" s="1">
        <f ca="1">OFFSET(控制台!$B$2570,MATCH(A59,控制台!$B$2570:$B$2583,1),0)</f>
        <v>90</v>
      </c>
      <c r="G59" s="14">
        <f ca="1">IF(E59=F59,C59,Lerp_dyy(C59,D59,(A59-E59)/(F59-E59)))</f>
        <v>2.26666666666667</v>
      </c>
      <c r="H59" s="1">
        <f t="shared" si="0"/>
        <v>5</v>
      </c>
      <c r="I59" s="1">
        <f>控制台!$E$2473*控制台!H2547</f>
        <v>15</v>
      </c>
      <c r="J59" s="1">
        <f ca="1">B59*G59*I59*控制台!$E$2477*3600*H59</f>
        <v>113220000</v>
      </c>
      <c r="K59" s="5">
        <f ca="1" t="shared" si="1"/>
        <v>1185673286.28214</v>
      </c>
    </row>
    <row r="60" spans="1:11">
      <c r="A60" s="11">
        <v>75</v>
      </c>
      <c r="B60" s="1">
        <f ca="1">控制台!C2548</f>
        <v>5</v>
      </c>
      <c r="C60" s="14">
        <f ca="1">OFFSET(控制台!$C$2570,MATCH(A60,控制台!$B$2570:$B$2583,1)-1,0)</f>
        <v>2.25</v>
      </c>
      <c r="D60" s="14">
        <f ca="1">OFFSET(控制台!$C$2570,MATCH(A60,控制台!$B$2570:$B$2583,1),0)</f>
        <v>2.3</v>
      </c>
      <c r="E60" s="1">
        <f ca="1">OFFSET(控制台!$B$2570,MATCH(A60,控制台!$B$2570:$B$2583,1)-1,0)</f>
        <v>60</v>
      </c>
      <c r="F60" s="1">
        <f ca="1">OFFSET(控制台!$B$2570,MATCH(A60,控制台!$B$2570:$B$2583,1),0)</f>
        <v>90</v>
      </c>
      <c r="G60" s="14">
        <f ca="1">IF(E60=F60,C60,Lerp_dyy(C60,D60,(A60-E60)/(F60-E60)))</f>
        <v>2.275</v>
      </c>
      <c r="H60" s="1">
        <f t="shared" si="0"/>
        <v>5</v>
      </c>
      <c r="I60" s="1">
        <f>控制台!$E$2473*控制台!H2548</f>
        <v>15</v>
      </c>
      <c r="J60" s="1">
        <f ca="1">B60*G60*I60*控制台!$E$2477*3600*H60</f>
        <v>113636250</v>
      </c>
      <c r="K60" s="5">
        <f ca="1" t="shared" si="1"/>
        <v>1299309536.28214</v>
      </c>
    </row>
    <row r="61" spans="1:11">
      <c r="A61" s="11">
        <v>80</v>
      </c>
      <c r="B61" s="1">
        <f ca="1">控制台!C2549</f>
        <v>5</v>
      </c>
      <c r="C61" s="14">
        <f ca="1">OFFSET(控制台!$C$2570,MATCH(A61,控制台!$B$2570:$B$2583,1)-1,0)</f>
        <v>2.25</v>
      </c>
      <c r="D61" s="14">
        <f ca="1">OFFSET(控制台!$C$2570,MATCH(A61,控制台!$B$2570:$B$2583,1),0)</f>
        <v>2.3</v>
      </c>
      <c r="E61" s="1">
        <f ca="1">OFFSET(控制台!$B$2570,MATCH(A61,控制台!$B$2570:$B$2583,1)-1,0)</f>
        <v>60</v>
      </c>
      <c r="F61" s="1">
        <f ca="1">OFFSET(控制台!$B$2570,MATCH(A61,控制台!$B$2570:$B$2583,1),0)</f>
        <v>90</v>
      </c>
      <c r="G61" s="14">
        <f ca="1">IF(E61=F61,C61,Lerp_dyy(C61,D61,(A61-E61)/(F61-E61)))</f>
        <v>2.28333333333333</v>
      </c>
      <c r="H61" s="1">
        <f t="shared" si="0"/>
        <v>5</v>
      </c>
      <c r="I61" s="1">
        <f>控制台!$E$2473*控制台!H2549</f>
        <v>15</v>
      </c>
      <c r="J61" s="1">
        <f ca="1">B61*G61*I61*控制台!$E$2477*3600*H61</f>
        <v>114052500</v>
      </c>
      <c r="K61" s="5">
        <f ca="1" t="shared" si="1"/>
        <v>1413362036.28214</v>
      </c>
    </row>
    <row r="62" spans="1:11">
      <c r="A62" s="11">
        <v>85</v>
      </c>
      <c r="B62" s="1">
        <f ca="1">控制台!C2550</f>
        <v>5</v>
      </c>
      <c r="C62" s="14">
        <f ca="1">OFFSET(控制台!$C$2570,MATCH(A62,控制台!$B$2570:$B$2583,1)-1,0)</f>
        <v>2.25</v>
      </c>
      <c r="D62" s="14">
        <f ca="1">OFFSET(控制台!$C$2570,MATCH(A62,控制台!$B$2570:$B$2583,1),0)</f>
        <v>2.3</v>
      </c>
      <c r="E62" s="1">
        <f ca="1">OFFSET(控制台!$B$2570,MATCH(A62,控制台!$B$2570:$B$2583,1)-1,0)</f>
        <v>60</v>
      </c>
      <c r="F62" s="1">
        <f ca="1">OFFSET(控制台!$B$2570,MATCH(A62,控制台!$B$2570:$B$2583,1),0)</f>
        <v>90</v>
      </c>
      <c r="G62" s="14">
        <f ca="1">IF(E62=F62,C62,Lerp_dyy(C62,D62,(A62-E62)/(F62-E62)))</f>
        <v>2.29166666666667</v>
      </c>
      <c r="H62" s="1">
        <f t="shared" si="0"/>
        <v>5</v>
      </c>
      <c r="I62" s="1">
        <f>控制台!$E$2473*控制台!H2550</f>
        <v>15</v>
      </c>
      <c r="J62" s="1">
        <f ca="1">B62*G62*I62*控制台!$E$2477*3600*H62</f>
        <v>114468750</v>
      </c>
      <c r="K62" s="5">
        <f ca="1" t="shared" si="1"/>
        <v>1527830786.28214</v>
      </c>
    </row>
    <row r="63" spans="1:11">
      <c r="A63" s="11">
        <v>90</v>
      </c>
      <c r="B63" s="1">
        <f ca="1">控制台!C2551</f>
        <v>5</v>
      </c>
      <c r="C63" s="14">
        <f ca="1">OFFSET(控制台!$C$2570,MATCH(A63,控制台!$B$2570:$B$2583,1)-1,0)</f>
        <v>2.3</v>
      </c>
      <c r="D63" s="14">
        <f ca="1">OFFSET(控制台!$C$2570,MATCH(A63,控制台!$B$2570:$B$2583,1),0)</f>
        <v>2.8</v>
      </c>
      <c r="E63" s="1">
        <f ca="1">OFFSET(控制台!$B$2570,MATCH(A63,控制台!$B$2570:$B$2583,1)-1,0)</f>
        <v>90</v>
      </c>
      <c r="F63" s="1">
        <f ca="1">OFFSET(控制台!$B$2570,MATCH(A63,控制台!$B$2570:$B$2583,1),0)</f>
        <v>150</v>
      </c>
      <c r="G63" s="14">
        <f ca="1">IF(E63=F63,C63,Lerp_dyy(C63,D63,(A63-E63)/(F63-E63)))</f>
        <v>2.3</v>
      </c>
      <c r="H63" s="1">
        <f t="shared" si="0"/>
        <v>5</v>
      </c>
      <c r="I63" s="1">
        <f>控制台!$E$2473*控制台!H2551</f>
        <v>15</v>
      </c>
      <c r="J63" s="1">
        <f ca="1">B63*G63*I63*控制台!$E$2477*3600*H63</f>
        <v>114885000</v>
      </c>
      <c r="K63" s="5">
        <f ca="1" t="shared" si="1"/>
        <v>1642715786.28214</v>
      </c>
    </row>
    <row r="64" spans="1:11">
      <c r="A64" s="11">
        <v>95</v>
      </c>
      <c r="B64" s="1">
        <f ca="1">控制台!C2552</f>
        <v>5</v>
      </c>
      <c r="C64" s="14">
        <f ca="1">OFFSET(控制台!$C$2570,MATCH(A64,控制台!$B$2570:$B$2583,1)-1,0)</f>
        <v>2.3</v>
      </c>
      <c r="D64" s="14">
        <f ca="1">OFFSET(控制台!$C$2570,MATCH(A64,控制台!$B$2570:$B$2583,1),0)</f>
        <v>2.8</v>
      </c>
      <c r="E64" s="1">
        <f ca="1">OFFSET(控制台!$B$2570,MATCH(A64,控制台!$B$2570:$B$2583,1)-1,0)</f>
        <v>90</v>
      </c>
      <c r="F64" s="1">
        <f ca="1">OFFSET(控制台!$B$2570,MATCH(A64,控制台!$B$2570:$B$2583,1),0)</f>
        <v>150</v>
      </c>
      <c r="G64" s="14">
        <f ca="1">IF(E64=F64,C64,Lerp_dyy(C64,D64,(A64-E64)/(F64-E64)))</f>
        <v>2.34166666666667</v>
      </c>
      <c r="H64" s="1">
        <f t="shared" si="0"/>
        <v>5</v>
      </c>
      <c r="I64" s="1">
        <f>控制台!$E$2473*控制台!H2552</f>
        <v>15</v>
      </c>
      <c r="J64" s="1">
        <f ca="1">B64*G64*I64*控制台!$E$2477*3600*H64</f>
        <v>116966250</v>
      </c>
      <c r="K64" s="5">
        <f ca="1" t="shared" si="1"/>
        <v>1759682036.28214</v>
      </c>
    </row>
    <row r="65" spans="1:11">
      <c r="A65" s="11">
        <v>100</v>
      </c>
      <c r="B65" s="1">
        <f ca="1">控制台!C2553</f>
        <v>5</v>
      </c>
      <c r="C65" s="14">
        <f ca="1">OFFSET(控制台!$C$2570,MATCH(A65,控制台!$B$2570:$B$2583,1)-1,0)</f>
        <v>2.3</v>
      </c>
      <c r="D65" s="14">
        <f ca="1">OFFSET(控制台!$C$2570,MATCH(A65,控制台!$B$2570:$B$2583,1),0)</f>
        <v>2.8</v>
      </c>
      <c r="E65" s="1">
        <f ca="1">OFFSET(控制台!$B$2570,MATCH(A65,控制台!$B$2570:$B$2583,1)-1,0)</f>
        <v>90</v>
      </c>
      <c r="F65" s="1">
        <f ca="1">OFFSET(控制台!$B$2570,MATCH(A65,控制台!$B$2570:$B$2583,1),0)</f>
        <v>150</v>
      </c>
      <c r="G65" s="14">
        <f ca="1">IF(E65=F65,C65,Lerp_dyy(C65,D65,(A65-E65)/(F65-E65)))</f>
        <v>2.38333333333333</v>
      </c>
      <c r="H65" s="1">
        <f t="shared" si="0"/>
        <v>5</v>
      </c>
      <c r="I65" s="1">
        <f>控制台!$E$2473*控制台!H2553</f>
        <v>15</v>
      </c>
      <c r="J65" s="1">
        <f ca="1">B65*G65*I65*控制台!$E$2477*3600*H65</f>
        <v>119047500</v>
      </c>
      <c r="K65" s="5">
        <f ca="1" t="shared" si="1"/>
        <v>1878729536.28214</v>
      </c>
    </row>
    <row r="66" spans="1:11">
      <c r="A66" s="11">
        <v>105</v>
      </c>
      <c r="B66" s="1">
        <f ca="1">控制台!C2554</f>
        <v>5</v>
      </c>
      <c r="C66" s="14">
        <f ca="1">OFFSET(控制台!$C$2570,MATCH(A66,控制台!$B$2570:$B$2583,1)-1,0)</f>
        <v>2.3</v>
      </c>
      <c r="D66" s="14">
        <f ca="1">OFFSET(控制台!$C$2570,MATCH(A66,控制台!$B$2570:$B$2583,1),0)</f>
        <v>2.8</v>
      </c>
      <c r="E66" s="1">
        <f ca="1">OFFSET(控制台!$B$2570,MATCH(A66,控制台!$B$2570:$B$2583,1)-1,0)</f>
        <v>90</v>
      </c>
      <c r="F66" s="1">
        <f ca="1">OFFSET(控制台!$B$2570,MATCH(A66,控制台!$B$2570:$B$2583,1),0)</f>
        <v>150</v>
      </c>
      <c r="G66" s="14">
        <f ca="1">IF(E66=F66,C66,Lerp_dyy(C66,D66,(A66-E66)/(F66-E66)))</f>
        <v>2.425</v>
      </c>
      <c r="H66" s="1">
        <f t="shared" si="0"/>
        <v>5</v>
      </c>
      <c r="I66" s="1">
        <f>控制台!$E$2473*控制台!H2554</f>
        <v>15</v>
      </c>
      <c r="J66" s="1">
        <f ca="1">B66*G66*I66*控制台!$E$2477*3600*H66</f>
        <v>121128750</v>
      </c>
      <c r="K66" s="5">
        <f ca="1" t="shared" si="1"/>
        <v>1999858286.28214</v>
      </c>
    </row>
    <row r="67" spans="1:11">
      <c r="A67" s="11">
        <v>110</v>
      </c>
      <c r="B67" s="1">
        <f ca="1">控制台!C2555</f>
        <v>5</v>
      </c>
      <c r="C67" s="14">
        <f ca="1">OFFSET(控制台!$C$2570,MATCH(A67,控制台!$B$2570:$B$2583,1)-1,0)</f>
        <v>2.3</v>
      </c>
      <c r="D67" s="14">
        <f ca="1">OFFSET(控制台!$C$2570,MATCH(A67,控制台!$B$2570:$B$2583,1),0)</f>
        <v>2.8</v>
      </c>
      <c r="E67" s="1">
        <f ca="1">OFFSET(控制台!$B$2570,MATCH(A67,控制台!$B$2570:$B$2583,1)-1,0)</f>
        <v>90</v>
      </c>
      <c r="F67" s="1">
        <f ca="1">OFFSET(控制台!$B$2570,MATCH(A67,控制台!$B$2570:$B$2583,1),0)</f>
        <v>150</v>
      </c>
      <c r="G67" s="14">
        <f ca="1">IF(E67=F67,C67,Lerp_dyy(C67,D67,(A67-E67)/(F67-E67)))</f>
        <v>2.46666666666667</v>
      </c>
      <c r="H67" s="1">
        <f t="shared" si="0"/>
        <v>5</v>
      </c>
      <c r="I67" s="1">
        <f>控制台!$E$2473*控制台!H2555</f>
        <v>15</v>
      </c>
      <c r="J67" s="1">
        <f ca="1">B67*G67*I67*控制台!$E$2477*3600*H67</f>
        <v>123210000</v>
      </c>
      <c r="K67" s="5">
        <f ca="1" t="shared" si="1"/>
        <v>2123068286.28214</v>
      </c>
    </row>
    <row r="68" spans="1:11">
      <c r="A68" s="11">
        <v>115</v>
      </c>
      <c r="B68" s="1">
        <f ca="1">控制台!C2556</f>
        <v>5</v>
      </c>
      <c r="C68" s="14">
        <f ca="1">OFFSET(控制台!$C$2570,MATCH(A68,控制台!$B$2570:$B$2583,1)-1,0)</f>
        <v>2.3</v>
      </c>
      <c r="D68" s="14">
        <f ca="1">OFFSET(控制台!$C$2570,MATCH(A68,控制台!$B$2570:$B$2583,1),0)</f>
        <v>2.8</v>
      </c>
      <c r="E68" s="1">
        <f ca="1">OFFSET(控制台!$B$2570,MATCH(A68,控制台!$B$2570:$B$2583,1)-1,0)</f>
        <v>90</v>
      </c>
      <c r="F68" s="1">
        <f ca="1">OFFSET(控制台!$B$2570,MATCH(A68,控制台!$B$2570:$B$2583,1),0)</f>
        <v>150</v>
      </c>
      <c r="G68" s="14">
        <f ca="1">IF(E68=F68,C68,Lerp_dyy(C68,D68,(A68-E68)/(F68-E68)))</f>
        <v>2.50833333333333</v>
      </c>
      <c r="H68" s="1">
        <f t="shared" si="0"/>
        <v>5</v>
      </c>
      <c r="I68" s="1">
        <f>控制台!$E$2473*控制台!H2556</f>
        <v>15</v>
      </c>
      <c r="J68" s="1">
        <f ca="1">B68*G68*I68*控制台!$E$2477*3600*H68</f>
        <v>125291250</v>
      </c>
      <c r="K68" s="5">
        <f ca="1" t="shared" si="1"/>
        <v>2248359536.28214</v>
      </c>
    </row>
    <row r="69" spans="1:11">
      <c r="A69" s="11">
        <v>120</v>
      </c>
      <c r="B69" s="1">
        <f ca="1">控制台!C2557</f>
        <v>5</v>
      </c>
      <c r="C69" s="14">
        <f ca="1">OFFSET(控制台!$C$2570,MATCH(A69,控制台!$B$2570:$B$2583,1)-1,0)</f>
        <v>2.3</v>
      </c>
      <c r="D69" s="14">
        <f ca="1">OFFSET(控制台!$C$2570,MATCH(A69,控制台!$B$2570:$B$2583,1),0)</f>
        <v>2.8</v>
      </c>
      <c r="E69" s="1">
        <f ca="1">OFFSET(控制台!$B$2570,MATCH(A69,控制台!$B$2570:$B$2583,1)-1,0)</f>
        <v>90</v>
      </c>
      <c r="F69" s="1">
        <f ca="1">OFFSET(控制台!$B$2570,MATCH(A69,控制台!$B$2570:$B$2583,1),0)</f>
        <v>150</v>
      </c>
      <c r="G69" s="14">
        <f ca="1">IF(E69=F69,C69,Lerp_dyy(C69,D69,(A69-E69)/(F69-E69)))</f>
        <v>2.55</v>
      </c>
      <c r="H69" s="1">
        <f t="shared" si="0"/>
        <v>5</v>
      </c>
      <c r="I69" s="1">
        <f>控制台!$E$2473*控制台!H2557</f>
        <v>15</v>
      </c>
      <c r="J69" s="1">
        <f ca="1">B69*G69*I69*控制台!$E$2477*3600*H69</f>
        <v>127372500</v>
      </c>
      <c r="K69" s="5">
        <f ca="1" t="shared" si="1"/>
        <v>2375732036.28214</v>
      </c>
    </row>
    <row r="70" spans="1:11">
      <c r="A70" s="12">
        <v>150</v>
      </c>
      <c r="B70" s="1">
        <f ca="1">控制台!C2558</f>
        <v>5</v>
      </c>
      <c r="C70" s="14">
        <f ca="1">OFFSET(控制台!$C$2570,MATCH(A70,控制台!$B$2570:$B$2583,1)-1,0)</f>
        <v>2.8</v>
      </c>
      <c r="D70" s="14">
        <f ca="1">OFFSET(控制台!$C$2570,MATCH(A70,控制台!$B$2570:$B$2583,1),0)</f>
        <v>2.85</v>
      </c>
      <c r="E70" s="1">
        <f ca="1">OFFSET(控制台!$B$2570,MATCH(A70,控制台!$B$2570:$B$2583,1)-1,0)</f>
        <v>150</v>
      </c>
      <c r="F70" s="1">
        <f ca="1">OFFSET(控制台!$B$2570,MATCH(A70,控制台!$B$2570:$B$2583,1),0)</f>
        <v>360</v>
      </c>
      <c r="G70" s="14">
        <f ca="1">IF(E70=F70,C70,Lerp_dyy(C70,D70,(A70-E70)/(F70-E70)))</f>
        <v>2.8</v>
      </c>
      <c r="H70" s="1">
        <f t="shared" si="0"/>
        <v>30</v>
      </c>
      <c r="I70" s="1">
        <f>控制台!$E$2473*控制台!H2558</f>
        <v>15</v>
      </c>
      <c r="J70" s="1">
        <f ca="1">B70*G70*I70*控制台!$E$2477*3600*H70</f>
        <v>839160000</v>
      </c>
      <c r="K70" s="5">
        <f ca="1" t="shared" si="1"/>
        <v>3214892036.28214</v>
      </c>
    </row>
    <row r="71" spans="1:11">
      <c r="A71" s="12">
        <v>180</v>
      </c>
      <c r="B71" s="1">
        <f ca="1">控制台!C2559</f>
        <v>5</v>
      </c>
      <c r="C71" s="14">
        <f ca="1">OFFSET(控制台!$C$2570,MATCH(A71,控制台!$B$2570:$B$2583,1)-1,0)</f>
        <v>2.8</v>
      </c>
      <c r="D71" s="14">
        <f ca="1">OFFSET(控制台!$C$2570,MATCH(A71,控制台!$B$2570:$B$2583,1),0)</f>
        <v>2.85</v>
      </c>
      <c r="E71" s="1">
        <f ca="1">OFFSET(控制台!$B$2570,MATCH(A71,控制台!$B$2570:$B$2583,1)-1,0)</f>
        <v>150</v>
      </c>
      <c r="F71" s="1">
        <f ca="1">OFFSET(控制台!$B$2570,MATCH(A71,控制台!$B$2570:$B$2583,1),0)</f>
        <v>360</v>
      </c>
      <c r="G71" s="14">
        <f ca="1">IF(E71=F71,C71,Lerp_dyy(C71,D71,(A71-E71)/(F71-E71)))</f>
        <v>2.80714285714286</v>
      </c>
      <c r="H71" s="1">
        <f t="shared" si="0"/>
        <v>30</v>
      </c>
      <c r="I71" s="1">
        <f>控制台!$E$2473*控制台!H2559</f>
        <v>15</v>
      </c>
      <c r="J71" s="1">
        <f ca="1">B71*G71*I71*控制台!$E$2477*3600*H71</f>
        <v>841300714.285715</v>
      </c>
      <c r="K71" s="5">
        <f ca="1" t="shared" si="1"/>
        <v>4056192750.56786</v>
      </c>
    </row>
    <row r="72" spans="1:11">
      <c r="A72" s="12">
        <v>210</v>
      </c>
      <c r="B72" s="1">
        <f ca="1">控制台!C2560</f>
        <v>5</v>
      </c>
      <c r="C72" s="14">
        <f ca="1">OFFSET(控制台!$C$2570,MATCH(A72,控制台!$B$2570:$B$2583,1)-1,0)</f>
        <v>2.8</v>
      </c>
      <c r="D72" s="14">
        <f ca="1">OFFSET(控制台!$C$2570,MATCH(A72,控制台!$B$2570:$B$2583,1),0)</f>
        <v>2.85</v>
      </c>
      <c r="E72" s="1">
        <f ca="1">OFFSET(控制台!$B$2570,MATCH(A72,控制台!$B$2570:$B$2583,1)-1,0)</f>
        <v>150</v>
      </c>
      <c r="F72" s="1">
        <f ca="1">OFFSET(控制台!$B$2570,MATCH(A72,控制台!$B$2570:$B$2583,1),0)</f>
        <v>360</v>
      </c>
      <c r="G72" s="14">
        <f ca="1">IF(E72=F72,C72,Lerp_dyy(C72,D72,(A72-E72)/(F72-E72)))</f>
        <v>2.81428571428571</v>
      </c>
      <c r="H72" s="1">
        <f t="shared" ref="H72:H77" si="2">A72-A71</f>
        <v>30</v>
      </c>
      <c r="I72" s="1">
        <f>控制台!$E$2473*控制台!H2560</f>
        <v>15</v>
      </c>
      <c r="J72" s="1">
        <f ca="1">B72*G72*I72*控制台!$E$2477*3600*H72</f>
        <v>843441428.571427</v>
      </c>
      <c r="K72" s="5">
        <f ca="1" t="shared" ref="K72:K77" si="3">K71+J72</f>
        <v>4899634179.13929</v>
      </c>
    </row>
    <row r="73" spans="1:11">
      <c r="A73" s="12">
        <v>240</v>
      </c>
      <c r="B73" s="1">
        <f ca="1">控制台!C2561</f>
        <v>5</v>
      </c>
      <c r="C73" s="14">
        <f ca="1">OFFSET(控制台!$C$2570,MATCH(A73,控制台!$B$2570:$B$2583,1)-1,0)</f>
        <v>2.8</v>
      </c>
      <c r="D73" s="14">
        <f ca="1">OFFSET(控制台!$C$2570,MATCH(A73,控制台!$B$2570:$B$2583,1),0)</f>
        <v>2.85</v>
      </c>
      <c r="E73" s="1">
        <f ca="1">OFFSET(控制台!$B$2570,MATCH(A73,控制台!$B$2570:$B$2583,1)-1,0)</f>
        <v>150</v>
      </c>
      <c r="F73" s="1">
        <f ca="1">OFFSET(控制台!$B$2570,MATCH(A73,控制台!$B$2570:$B$2583,1),0)</f>
        <v>360</v>
      </c>
      <c r="G73" s="14">
        <f ca="1">IF(E73=F73,C73,Lerp_dyy(C73,D73,(A73-E73)/(F73-E73)))</f>
        <v>2.82142857142857</v>
      </c>
      <c r="H73" s="1">
        <f t="shared" si="2"/>
        <v>30</v>
      </c>
      <c r="I73" s="1">
        <f>控制台!$E$2473*控制台!H2561</f>
        <v>15</v>
      </c>
      <c r="J73" s="1">
        <f ca="1">B73*G73*I73*控制台!$E$2477*3600*H73</f>
        <v>845582142.857142</v>
      </c>
      <c r="K73" s="5">
        <f ca="1" t="shared" si="3"/>
        <v>5745216321.99643</v>
      </c>
    </row>
    <row r="74" spans="1:11">
      <c r="A74" s="12">
        <v>270</v>
      </c>
      <c r="B74" s="1">
        <f ca="1">控制台!C2562</f>
        <v>5</v>
      </c>
      <c r="C74" s="14">
        <f ca="1">OFFSET(控制台!$C$2570,MATCH(A74,控制台!$B$2570:$B$2583,1)-1,0)</f>
        <v>2.8</v>
      </c>
      <c r="D74" s="14">
        <f ca="1">OFFSET(控制台!$C$2570,MATCH(A74,控制台!$B$2570:$B$2583,1),0)</f>
        <v>2.85</v>
      </c>
      <c r="E74" s="1">
        <f ca="1">OFFSET(控制台!$B$2570,MATCH(A74,控制台!$B$2570:$B$2583,1)-1,0)</f>
        <v>150</v>
      </c>
      <c r="F74" s="1">
        <f ca="1">OFFSET(控制台!$B$2570,MATCH(A74,控制台!$B$2570:$B$2583,1),0)</f>
        <v>360</v>
      </c>
      <c r="G74" s="14">
        <f ca="1">IF(E74=F74,C74,Lerp_dyy(C74,D74,(A74-E74)/(F74-E74)))</f>
        <v>2.82857142857143</v>
      </c>
      <c r="H74" s="1">
        <f t="shared" si="2"/>
        <v>30</v>
      </c>
      <c r="I74" s="1">
        <f>控制台!$E$2473*控制台!H2562</f>
        <v>15</v>
      </c>
      <c r="J74" s="1">
        <f ca="1">B74*G74*I74*控制台!$E$2477*3600*H74</f>
        <v>847722857.142858</v>
      </c>
      <c r="K74" s="5">
        <f ca="1" t="shared" si="3"/>
        <v>6592939179.13929</v>
      </c>
    </row>
    <row r="75" spans="1:11">
      <c r="A75" s="12">
        <v>300</v>
      </c>
      <c r="B75" s="1">
        <f ca="1">控制台!C2563</f>
        <v>5</v>
      </c>
      <c r="C75" s="14">
        <f ca="1">OFFSET(控制台!$C$2570,MATCH(A75,控制台!$B$2570:$B$2583,1)-1,0)</f>
        <v>2.8</v>
      </c>
      <c r="D75" s="14">
        <f ca="1">OFFSET(控制台!$C$2570,MATCH(A75,控制台!$B$2570:$B$2583,1),0)</f>
        <v>2.85</v>
      </c>
      <c r="E75" s="1">
        <f ca="1">OFFSET(控制台!$B$2570,MATCH(A75,控制台!$B$2570:$B$2583,1)-1,0)</f>
        <v>150</v>
      </c>
      <c r="F75" s="1">
        <f ca="1">OFFSET(控制台!$B$2570,MATCH(A75,控制台!$B$2570:$B$2583,1),0)</f>
        <v>360</v>
      </c>
      <c r="G75" s="14">
        <f ca="1">IF(E75=F75,C75,Lerp_dyy(C75,D75,(A75-E75)/(F75-E75)))</f>
        <v>2.83571428571429</v>
      </c>
      <c r="H75" s="1">
        <f t="shared" si="2"/>
        <v>30</v>
      </c>
      <c r="I75" s="1">
        <f>控制台!$E$2473*控制台!H2563</f>
        <v>15</v>
      </c>
      <c r="J75" s="1">
        <f ca="1">B75*G75*I75*控制台!$E$2477*3600*H75</f>
        <v>849863571.428573</v>
      </c>
      <c r="K75" s="5">
        <f ca="1" t="shared" si="3"/>
        <v>7442802750.56786</v>
      </c>
    </row>
    <row r="76" spans="1:11">
      <c r="A76" s="12">
        <v>330</v>
      </c>
      <c r="B76" s="1">
        <f ca="1">控制台!C2564</f>
        <v>5</v>
      </c>
      <c r="C76" s="14">
        <f ca="1">OFFSET(控制台!$C$2570,MATCH(A76,控制台!$B$2570:$B$2583,1)-1,0)</f>
        <v>2.8</v>
      </c>
      <c r="D76" s="14">
        <f ca="1">OFFSET(控制台!$C$2570,MATCH(A76,控制台!$B$2570:$B$2583,1),0)</f>
        <v>2.85</v>
      </c>
      <c r="E76" s="1">
        <f ca="1">OFFSET(控制台!$B$2570,MATCH(A76,控制台!$B$2570:$B$2583,1)-1,0)</f>
        <v>150</v>
      </c>
      <c r="F76" s="1">
        <f ca="1">OFFSET(控制台!$B$2570,MATCH(A76,控制台!$B$2570:$B$2583,1),0)</f>
        <v>360</v>
      </c>
      <c r="G76" s="14">
        <f ca="1">IF(E76=F76,C76,Lerp_dyy(C76,D76,(A76-E76)/(F76-E76)))</f>
        <v>2.84285714285714</v>
      </c>
      <c r="H76" s="1">
        <f t="shared" si="2"/>
        <v>30</v>
      </c>
      <c r="I76" s="1">
        <f>控制台!$E$2473*控制台!H2564</f>
        <v>15</v>
      </c>
      <c r="J76" s="1">
        <f ca="1">B76*G76*I76*控制台!$E$2477*3600*H76</f>
        <v>852004285.714285</v>
      </c>
      <c r="K76" s="5">
        <f ca="1" t="shared" si="3"/>
        <v>8294807036.28214</v>
      </c>
    </row>
    <row r="77" spans="1:11">
      <c r="A77" s="12">
        <v>360</v>
      </c>
      <c r="B77" s="1">
        <f ca="1">控制台!C2565</f>
        <v>5</v>
      </c>
      <c r="C77" s="14">
        <f ca="1">OFFSET(控制台!$C$2570,MATCH(A77,控制台!$B$2570:$B$2583,1)-1,0)</f>
        <v>2.85</v>
      </c>
      <c r="D77" s="14">
        <f ca="1">OFFSET(控制台!$C$2570,MATCH(A77,控制台!$B$2570:$B$2583,1),0)</f>
        <v>0</v>
      </c>
      <c r="E77" s="1">
        <f ca="1">OFFSET(控制台!$B$2570,MATCH(A77,控制台!$B$2570:$B$2583,1)-1,0)</f>
        <v>360</v>
      </c>
      <c r="F77" s="1">
        <f ca="1">OFFSET(控制台!$B$2570,MATCH(A77,控制台!$B$2570:$B$2583,1),0)</f>
        <v>0</v>
      </c>
      <c r="G77" s="14">
        <f ca="1">IF(E77=F77,C77,Lerp_dyy(C77,D77,(A77-E77)/(F77-E77)))</f>
        <v>2.85</v>
      </c>
      <c r="H77" s="1">
        <f t="shared" si="2"/>
        <v>30</v>
      </c>
      <c r="I77" s="1">
        <f>控制台!$E$2473*控制台!H2565</f>
        <v>15</v>
      </c>
      <c r="J77" s="1">
        <f ca="1">B77*G77*I77*控制台!$E$2477*3600*H77</f>
        <v>854145000</v>
      </c>
      <c r="K77" s="5">
        <f ca="1" t="shared" si="3"/>
        <v>9148952036.28214</v>
      </c>
    </row>
  </sheetData>
  <hyperlinks>
    <hyperlink ref="A1" location="控制台_203_采集" display="返回控制台_采集"/>
  </hyperlinks>
  <pageMargins left="0.699305555555556" right="0.699305555555556" top="0.75" bottom="0.75" header="0.3" footer="0.3"/>
  <pageSetup paperSize="9" orientation="portrait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04">
    <tabColor theme="9" tint="0.599993896298105"/>
  </sheetPr>
  <dimension ref="A1:X77"/>
  <sheetViews>
    <sheetView zoomScale="85" zoomScaleNormal="85" workbookViewId="0">
      <selection activeCell="D17" sqref="D17"/>
    </sheetView>
  </sheetViews>
  <sheetFormatPr defaultColWidth="8.70967741935484" defaultRowHeight="13.1"/>
  <cols>
    <col min="1" max="16384" width="10.6290322580645" style="1"/>
  </cols>
  <sheetData>
    <row r="1" spans="1:11">
      <c r="A1" s="3" t="s">
        <v>2935</v>
      </c>
      <c r="E1" s="4"/>
      <c r="F1" s="5"/>
      <c r="G1" s="4"/>
      <c r="H1" s="5"/>
      <c r="K1" s="5"/>
    </row>
    <row r="2" spans="5:11">
      <c r="E2" s="4"/>
      <c r="F2" s="5"/>
      <c r="G2" s="4"/>
      <c r="H2" s="5"/>
      <c r="K2" s="5"/>
    </row>
    <row r="3" s="2" customFormat="1" spans="1:1">
      <c r="A3" s="2" t="s">
        <v>2885</v>
      </c>
    </row>
    <row r="4" spans="5:11">
      <c r="E4" s="4"/>
      <c r="F4" s="5"/>
      <c r="G4" s="4"/>
      <c r="H4" s="5"/>
      <c r="K4" s="5"/>
    </row>
    <row r="5" spans="1:24">
      <c r="A5" s="1" t="s">
        <v>382</v>
      </c>
      <c r="B5" s="1" t="s">
        <v>2759</v>
      </c>
      <c r="C5" s="1" t="s">
        <v>1361</v>
      </c>
      <c r="D5" s="1" t="s">
        <v>1379</v>
      </c>
      <c r="E5" s="1" t="s">
        <v>2936</v>
      </c>
      <c r="F5" s="5" t="s">
        <v>2937</v>
      </c>
      <c r="G5" s="1" t="s">
        <v>1382</v>
      </c>
      <c r="H5" s="1" t="s">
        <v>2938</v>
      </c>
      <c r="I5" s="5" t="s">
        <v>2863</v>
      </c>
      <c r="J5" s="1" t="s">
        <v>1390</v>
      </c>
      <c r="K5" s="1" t="s">
        <v>2934</v>
      </c>
      <c r="L5" s="5" t="s">
        <v>863</v>
      </c>
      <c r="M5" s="1" t="s">
        <v>1391</v>
      </c>
      <c r="N5" s="1" t="s">
        <v>2760</v>
      </c>
      <c r="O5" s="5" t="s">
        <v>864</v>
      </c>
      <c r="P5" s="1" t="s">
        <v>1392</v>
      </c>
      <c r="Q5" s="1" t="s">
        <v>1193</v>
      </c>
      <c r="R5" s="5" t="s">
        <v>1664</v>
      </c>
      <c r="S5" s="1" t="s">
        <v>1393</v>
      </c>
      <c r="T5" s="1" t="s">
        <v>2939</v>
      </c>
      <c r="U5" s="5" t="s">
        <v>2940</v>
      </c>
      <c r="V5" s="1" t="s">
        <v>1394</v>
      </c>
      <c r="W5" s="1" t="s">
        <v>2941</v>
      </c>
      <c r="X5" s="5" t="s">
        <v>1652</v>
      </c>
    </row>
    <row r="6" spans="1:24">
      <c r="A6" s="7">
        <v>0</v>
      </c>
      <c r="B6" s="1">
        <f>A6</f>
        <v>0</v>
      </c>
      <c r="C6" s="1">
        <f ca="1">OFFSET(控制台!$B$2625,MATCH(IF(A6&lt;7,MAX(0,A6-0.5),A6),控制台!$D$2625:$D$2630,1)-1,0)</f>
        <v>0</v>
      </c>
      <c r="D6" s="1">
        <f ca="1">IF(C6=0,0,OFFSET(控制台!$H$2641,MATCH(C6,控制台!$B$2641:$B$2645,0)-1,0)+OFFSET(控制台!$AA$2641,MATCH(C6,控制台!$B$2641:$B$2645,0)-1,0))</f>
        <v>0</v>
      </c>
      <c r="E6" s="1">
        <f ca="1" t="shared" ref="E6:E37" si="0">B6*D6</f>
        <v>0</v>
      </c>
      <c r="F6" s="5">
        <f ca="1">E6</f>
        <v>0</v>
      </c>
      <c r="G6" s="1">
        <f ca="1">IF(C6=0,0,OFFSET(控制台!$L$2641,MATCH(C6,控制台!$B$2641:$B$2645,0)-1,0))</f>
        <v>0</v>
      </c>
      <c r="H6" s="1">
        <f ca="1" t="shared" ref="H6:H37" si="1">G6*B6</f>
        <v>0</v>
      </c>
      <c r="I6" s="5">
        <f ca="1">H6</f>
        <v>0</v>
      </c>
      <c r="J6" s="1">
        <f ca="1">IF(C6&lt;3,0,OFFSET(控制台!$U$2641,MATCH(C6,控制台!$B$2641:$B$2645,0)-1,0))</f>
        <v>0</v>
      </c>
      <c r="K6" s="1">
        <f ca="1" t="shared" ref="K6:K37" si="2">J6*B6</f>
        <v>0</v>
      </c>
      <c r="L6" s="5">
        <f ca="1">K6</f>
        <v>0</v>
      </c>
      <c r="M6" s="1">
        <f ca="1">IF(C6&lt;3,0,OFFSET(控制台!$V$2641,MATCH(C6,控制台!$B$2641:$B$2645,0)-1,0))</f>
        <v>0</v>
      </c>
      <c r="N6" s="1">
        <f ca="1" t="shared" ref="N6:N37" si="3">M6*B6</f>
        <v>0</v>
      </c>
      <c r="O6" s="5">
        <f ca="1">N6</f>
        <v>0</v>
      </c>
      <c r="P6" s="1">
        <f ca="1">IF(C6&lt;3,0,OFFSET(控制台!$W$2641,MATCH(C6,控制台!$B$2641:$B$2645,0)-1,0))</f>
        <v>0</v>
      </c>
      <c r="Q6" s="1">
        <f ca="1" t="shared" ref="Q6:Q37" si="4">P6*B6</f>
        <v>0</v>
      </c>
      <c r="R6" s="5">
        <f ca="1">Q6</f>
        <v>0</v>
      </c>
      <c r="S6" s="1">
        <f ca="1">IF(C6&lt;3,0,OFFSET(控制台!$X$2641,MATCH(C6,控制台!$B$2641:$B$2645,0)-1,0))</f>
        <v>0</v>
      </c>
      <c r="T6" s="1">
        <f ca="1" t="shared" ref="T6:T37" si="5">S6*B6</f>
        <v>0</v>
      </c>
      <c r="U6" s="5">
        <f ca="1">T6</f>
        <v>0</v>
      </c>
      <c r="V6" s="1">
        <f ca="1">IF(C6&lt;3,0,OFFSET(控制台!$Y$2641,MATCH(C6,控制台!$B$2641:$B$2645,0)-1,0))</f>
        <v>0</v>
      </c>
      <c r="W6" s="1">
        <f ca="1" t="shared" ref="W6:W37" si="6">V6*B6</f>
        <v>0</v>
      </c>
      <c r="X6" s="5">
        <f ca="1">W6</f>
        <v>0</v>
      </c>
    </row>
    <row r="7" spans="1:24">
      <c r="A7" s="7">
        <v>0.1</v>
      </c>
      <c r="B7" s="1">
        <f>A7-A6</f>
        <v>0.1</v>
      </c>
      <c r="C7" s="1">
        <f ca="1">OFFSET(控制台!$B$2625,MATCH(IF(A7&lt;7,MAX(0,A7-0.5),A7),控制台!$D$2625:$D$2630,1)-1,0)</f>
        <v>0</v>
      </c>
      <c r="D7" s="1">
        <f ca="1">IF(C7=0,0,OFFSET(控制台!$H$2641,MATCH(C7,控制台!$B$2641:$B$2645,0)-1,0)+OFFSET(控制台!$AA$2641,MATCH(C7,控制台!$B$2641:$B$2645,0)-1,0))</f>
        <v>0</v>
      </c>
      <c r="E7" s="1">
        <f ca="1" t="shared" si="0"/>
        <v>0</v>
      </c>
      <c r="F7" s="5">
        <f ca="1">F6+E7</f>
        <v>0</v>
      </c>
      <c r="G7" s="1">
        <f ca="1">IF(C7=0,0,OFFSET(控制台!$L$2641,MATCH(C7,控制台!$B$2641:$B$2645,0)-1,0))</f>
        <v>0</v>
      </c>
      <c r="H7" s="1">
        <f ca="1" t="shared" si="1"/>
        <v>0</v>
      </c>
      <c r="I7" s="5">
        <f ca="1">I6+H7</f>
        <v>0</v>
      </c>
      <c r="J7" s="1">
        <f ca="1">IF(C7&lt;3,0,OFFSET(控制台!$U$2641,MATCH(C7,控制台!$B$2641:$B$2645,0)-1,0))</f>
        <v>0</v>
      </c>
      <c r="K7" s="1">
        <f ca="1" t="shared" si="2"/>
        <v>0</v>
      </c>
      <c r="L7" s="5">
        <f ca="1">L6+K7</f>
        <v>0</v>
      </c>
      <c r="M7" s="1">
        <f ca="1">IF(C7&lt;3,0,OFFSET(控制台!$V$2641,MATCH(C7,控制台!$B$2641:$B$2645,0)-1,0))</f>
        <v>0</v>
      </c>
      <c r="N7" s="1">
        <f ca="1" t="shared" si="3"/>
        <v>0</v>
      </c>
      <c r="O7" s="5">
        <f ca="1">O6+N7</f>
        <v>0</v>
      </c>
      <c r="P7" s="1">
        <f ca="1">IF(C7&lt;3,0,OFFSET(控制台!$W$2641,MATCH(C7,控制台!$B$2641:$B$2645,0)-1,0))</f>
        <v>0</v>
      </c>
      <c r="Q7" s="1">
        <f ca="1" t="shared" si="4"/>
        <v>0</v>
      </c>
      <c r="R7" s="5">
        <f ca="1">R6+Q7</f>
        <v>0</v>
      </c>
      <c r="S7" s="1">
        <f ca="1">IF(C7&lt;3,0,OFFSET(控制台!$X$2641,MATCH(C7,控制台!$B$2641:$B$2645,0)-1,0))</f>
        <v>0</v>
      </c>
      <c r="T7" s="1">
        <f ca="1" t="shared" si="5"/>
        <v>0</v>
      </c>
      <c r="U7" s="5">
        <f ca="1">U6+T7</f>
        <v>0</v>
      </c>
      <c r="V7" s="1">
        <f ca="1">IF(C7&lt;3,0,OFFSET(控制台!$Y$2641,MATCH(C7,控制台!$B$2641:$B$2645,0)-1,0))</f>
        <v>0</v>
      </c>
      <c r="W7" s="1">
        <f ca="1" t="shared" si="6"/>
        <v>0</v>
      </c>
      <c r="X7" s="5">
        <f ca="1">X6+W7</f>
        <v>0</v>
      </c>
    </row>
    <row r="8" spans="1:24">
      <c r="A8" s="7">
        <v>0.2</v>
      </c>
      <c r="B8" s="1">
        <f t="shared" ref="B8:B71" si="7">A8-A7</f>
        <v>0.1</v>
      </c>
      <c r="C8" s="1">
        <f ca="1">OFFSET(控制台!$B$2625,MATCH(IF(A8&lt;7,MAX(0,A8-0.5),A8),控制台!$D$2625:$D$2630,1)-1,0)</f>
        <v>0</v>
      </c>
      <c r="D8" s="1">
        <f ca="1">IF(C8=0,0,OFFSET(控制台!$H$2641,MATCH(C8,控制台!$B$2641:$B$2645,0)-1,0)+OFFSET(控制台!$AA$2641,MATCH(C8,控制台!$B$2641:$B$2645,0)-1,0))</f>
        <v>0</v>
      </c>
      <c r="E8" s="1">
        <f ca="1" t="shared" si="0"/>
        <v>0</v>
      </c>
      <c r="F8" s="5">
        <f ca="1" t="shared" ref="F8:F71" si="8">F7+E8</f>
        <v>0</v>
      </c>
      <c r="G8" s="1">
        <f ca="1">IF(C8=0,0,OFFSET(控制台!$L$2641,MATCH(C8,控制台!$B$2641:$B$2645,0)-1,0))</f>
        <v>0</v>
      </c>
      <c r="H8" s="1">
        <f ca="1" t="shared" si="1"/>
        <v>0</v>
      </c>
      <c r="I8" s="5">
        <f ca="1" t="shared" ref="I8:I71" si="9">I7+H8</f>
        <v>0</v>
      </c>
      <c r="J8" s="1">
        <f ca="1">IF(C8&lt;3,0,OFFSET(控制台!$U$2641,MATCH(C8,控制台!$B$2641:$B$2645,0)-1,0))</f>
        <v>0</v>
      </c>
      <c r="K8" s="1">
        <f ca="1" t="shared" si="2"/>
        <v>0</v>
      </c>
      <c r="L8" s="5">
        <f ca="1" t="shared" ref="L8:L71" si="10">L7+K8</f>
        <v>0</v>
      </c>
      <c r="M8" s="1">
        <f ca="1">IF(C8&lt;3,0,OFFSET(控制台!$V$2641,MATCH(C8,控制台!$B$2641:$B$2645,0)-1,0))</f>
        <v>0</v>
      </c>
      <c r="N8" s="1">
        <f ca="1" t="shared" si="3"/>
        <v>0</v>
      </c>
      <c r="O8" s="5">
        <f ca="1" t="shared" ref="O8:O71" si="11">O7+N8</f>
        <v>0</v>
      </c>
      <c r="P8" s="1">
        <f ca="1">IF(C8&lt;3,0,OFFSET(控制台!$W$2641,MATCH(C8,控制台!$B$2641:$B$2645,0)-1,0))</f>
        <v>0</v>
      </c>
      <c r="Q8" s="1">
        <f ca="1" t="shared" si="4"/>
        <v>0</v>
      </c>
      <c r="R8" s="5">
        <f ca="1" t="shared" ref="R8:R71" si="12">R7+Q8</f>
        <v>0</v>
      </c>
      <c r="S8" s="1">
        <f ca="1">IF(C8&lt;3,0,OFFSET(控制台!$X$2641,MATCH(C8,控制台!$B$2641:$B$2645,0)-1,0))</f>
        <v>0</v>
      </c>
      <c r="T8" s="1">
        <f ca="1" t="shared" si="5"/>
        <v>0</v>
      </c>
      <c r="U8" s="5">
        <f ca="1" t="shared" ref="U8:U71" si="13">U7+T8</f>
        <v>0</v>
      </c>
      <c r="V8" s="1">
        <f ca="1">IF(C8&lt;3,0,OFFSET(控制台!$Y$2641,MATCH(C8,控制台!$B$2641:$B$2645,0)-1,0))</f>
        <v>0</v>
      </c>
      <c r="W8" s="1">
        <f ca="1" t="shared" si="6"/>
        <v>0</v>
      </c>
      <c r="X8" s="5">
        <f ca="1" t="shared" ref="X8:X71" si="14">X7+W8</f>
        <v>0</v>
      </c>
    </row>
    <row r="9" spans="1:24">
      <c r="A9" s="7">
        <v>0.3</v>
      </c>
      <c r="B9" s="1">
        <f t="shared" si="7"/>
        <v>0.1</v>
      </c>
      <c r="C9" s="1">
        <f ca="1">OFFSET(控制台!$B$2625,MATCH(IF(A9&lt;7,MAX(0,A9-0.5),A9),控制台!$D$2625:$D$2630,1)-1,0)</f>
        <v>0</v>
      </c>
      <c r="D9" s="1">
        <f ca="1">IF(C9=0,0,OFFSET(控制台!$H$2641,MATCH(C9,控制台!$B$2641:$B$2645,0)-1,0)+OFFSET(控制台!$AA$2641,MATCH(C9,控制台!$B$2641:$B$2645,0)-1,0))</f>
        <v>0</v>
      </c>
      <c r="E9" s="1">
        <f ca="1" t="shared" si="0"/>
        <v>0</v>
      </c>
      <c r="F9" s="5">
        <f ca="1" t="shared" si="8"/>
        <v>0</v>
      </c>
      <c r="G9" s="1">
        <f ca="1">IF(C9=0,0,OFFSET(控制台!$L$2641,MATCH(C9,控制台!$B$2641:$B$2645,0)-1,0))</f>
        <v>0</v>
      </c>
      <c r="H9" s="1">
        <f ca="1" t="shared" si="1"/>
        <v>0</v>
      </c>
      <c r="I9" s="5">
        <f ca="1" t="shared" si="9"/>
        <v>0</v>
      </c>
      <c r="J9" s="1">
        <f ca="1">IF(C9&lt;3,0,OFFSET(控制台!$U$2641,MATCH(C9,控制台!$B$2641:$B$2645,0)-1,0))</f>
        <v>0</v>
      </c>
      <c r="K9" s="1">
        <f ca="1" t="shared" si="2"/>
        <v>0</v>
      </c>
      <c r="L9" s="5">
        <f ca="1" t="shared" si="10"/>
        <v>0</v>
      </c>
      <c r="M9" s="1">
        <f ca="1">IF(C9&lt;3,0,OFFSET(控制台!$V$2641,MATCH(C9,控制台!$B$2641:$B$2645,0)-1,0))</f>
        <v>0</v>
      </c>
      <c r="N9" s="1">
        <f ca="1" t="shared" si="3"/>
        <v>0</v>
      </c>
      <c r="O9" s="5">
        <f ca="1" t="shared" si="11"/>
        <v>0</v>
      </c>
      <c r="P9" s="1">
        <f ca="1">IF(C9&lt;3,0,OFFSET(控制台!$W$2641,MATCH(C9,控制台!$B$2641:$B$2645,0)-1,0))</f>
        <v>0</v>
      </c>
      <c r="Q9" s="1">
        <f ca="1" t="shared" si="4"/>
        <v>0</v>
      </c>
      <c r="R9" s="5">
        <f ca="1" t="shared" si="12"/>
        <v>0</v>
      </c>
      <c r="S9" s="1">
        <f ca="1">IF(C9&lt;3,0,OFFSET(控制台!$X$2641,MATCH(C9,控制台!$B$2641:$B$2645,0)-1,0))</f>
        <v>0</v>
      </c>
      <c r="T9" s="1">
        <f ca="1" t="shared" si="5"/>
        <v>0</v>
      </c>
      <c r="U9" s="5">
        <f ca="1" t="shared" si="13"/>
        <v>0</v>
      </c>
      <c r="V9" s="1">
        <f ca="1">IF(C9&lt;3,0,OFFSET(控制台!$Y$2641,MATCH(C9,控制台!$B$2641:$B$2645,0)-1,0))</f>
        <v>0</v>
      </c>
      <c r="W9" s="1">
        <f ca="1" t="shared" si="6"/>
        <v>0</v>
      </c>
      <c r="X9" s="5">
        <f ca="1" t="shared" si="14"/>
        <v>0</v>
      </c>
    </row>
    <row r="10" spans="1:24">
      <c r="A10" s="7">
        <v>0.4</v>
      </c>
      <c r="B10" s="1">
        <f t="shared" si="7"/>
        <v>0.1</v>
      </c>
      <c r="C10" s="1">
        <f ca="1">OFFSET(控制台!$B$2625,MATCH(IF(A10&lt;7,MAX(0,A10-0.5),A10),控制台!$D$2625:$D$2630,1)-1,0)</f>
        <v>0</v>
      </c>
      <c r="D10" s="1">
        <f ca="1">IF(C10=0,0,OFFSET(控制台!$H$2641,MATCH(C10,控制台!$B$2641:$B$2645,0)-1,0)+OFFSET(控制台!$AA$2641,MATCH(C10,控制台!$B$2641:$B$2645,0)-1,0))</f>
        <v>0</v>
      </c>
      <c r="E10" s="1">
        <f ca="1" t="shared" si="0"/>
        <v>0</v>
      </c>
      <c r="F10" s="5">
        <f ca="1" t="shared" si="8"/>
        <v>0</v>
      </c>
      <c r="G10" s="1">
        <f ca="1">IF(C10=0,0,OFFSET(控制台!$L$2641,MATCH(C10,控制台!$B$2641:$B$2645,0)-1,0))</f>
        <v>0</v>
      </c>
      <c r="H10" s="1">
        <f ca="1" t="shared" si="1"/>
        <v>0</v>
      </c>
      <c r="I10" s="5">
        <f ca="1" t="shared" si="9"/>
        <v>0</v>
      </c>
      <c r="J10" s="1">
        <f ca="1">IF(C10&lt;3,0,OFFSET(控制台!$U$2641,MATCH(C10,控制台!$B$2641:$B$2645,0)-1,0))</f>
        <v>0</v>
      </c>
      <c r="K10" s="1">
        <f ca="1" t="shared" si="2"/>
        <v>0</v>
      </c>
      <c r="L10" s="5">
        <f ca="1" t="shared" si="10"/>
        <v>0</v>
      </c>
      <c r="M10" s="1">
        <f ca="1">IF(C10&lt;3,0,OFFSET(控制台!$V$2641,MATCH(C10,控制台!$B$2641:$B$2645,0)-1,0))</f>
        <v>0</v>
      </c>
      <c r="N10" s="1">
        <f ca="1" t="shared" si="3"/>
        <v>0</v>
      </c>
      <c r="O10" s="5">
        <f ca="1" t="shared" si="11"/>
        <v>0</v>
      </c>
      <c r="P10" s="1">
        <f ca="1">IF(C10&lt;3,0,OFFSET(控制台!$W$2641,MATCH(C10,控制台!$B$2641:$B$2645,0)-1,0))</f>
        <v>0</v>
      </c>
      <c r="Q10" s="1">
        <f ca="1" t="shared" si="4"/>
        <v>0</v>
      </c>
      <c r="R10" s="5">
        <f ca="1" t="shared" si="12"/>
        <v>0</v>
      </c>
      <c r="S10" s="1">
        <f ca="1">IF(C10&lt;3,0,OFFSET(控制台!$X$2641,MATCH(C10,控制台!$B$2641:$B$2645,0)-1,0))</f>
        <v>0</v>
      </c>
      <c r="T10" s="1">
        <f ca="1" t="shared" si="5"/>
        <v>0</v>
      </c>
      <c r="U10" s="5">
        <f ca="1" t="shared" si="13"/>
        <v>0</v>
      </c>
      <c r="V10" s="1">
        <f ca="1">IF(C10&lt;3,0,OFFSET(控制台!$Y$2641,MATCH(C10,控制台!$B$2641:$B$2645,0)-1,0))</f>
        <v>0</v>
      </c>
      <c r="W10" s="1">
        <f ca="1" t="shared" si="6"/>
        <v>0</v>
      </c>
      <c r="X10" s="5">
        <f ca="1" t="shared" si="14"/>
        <v>0</v>
      </c>
    </row>
    <row r="11" spans="1:24">
      <c r="A11" s="7">
        <v>0.5</v>
      </c>
      <c r="B11" s="1">
        <f t="shared" si="7"/>
        <v>0.1</v>
      </c>
      <c r="C11" s="1">
        <f ca="1">OFFSET(控制台!$B$2625,MATCH(IF(A11&lt;7,MAX(0,A11-0.5),A11),控制台!$D$2625:$D$2630,1)-1,0)</f>
        <v>0</v>
      </c>
      <c r="D11" s="1">
        <f ca="1">IF(C11=0,0,OFFSET(控制台!$H$2641,MATCH(C11,控制台!$B$2641:$B$2645,0)-1,0)+OFFSET(控制台!$AA$2641,MATCH(C11,控制台!$B$2641:$B$2645,0)-1,0))</f>
        <v>0</v>
      </c>
      <c r="E11" s="1">
        <f ca="1" t="shared" si="0"/>
        <v>0</v>
      </c>
      <c r="F11" s="5">
        <f ca="1" t="shared" si="8"/>
        <v>0</v>
      </c>
      <c r="G11" s="1">
        <f ca="1">IF(C11=0,0,OFFSET(控制台!$L$2641,MATCH(C11,控制台!$B$2641:$B$2645,0)-1,0))</f>
        <v>0</v>
      </c>
      <c r="H11" s="1">
        <f ca="1" t="shared" si="1"/>
        <v>0</v>
      </c>
      <c r="I11" s="5">
        <f ca="1" t="shared" si="9"/>
        <v>0</v>
      </c>
      <c r="J11" s="1">
        <f ca="1">IF(C11&lt;3,0,OFFSET(控制台!$U$2641,MATCH(C11,控制台!$B$2641:$B$2645,0)-1,0))</f>
        <v>0</v>
      </c>
      <c r="K11" s="1">
        <f ca="1" t="shared" si="2"/>
        <v>0</v>
      </c>
      <c r="L11" s="5">
        <f ca="1" t="shared" si="10"/>
        <v>0</v>
      </c>
      <c r="M11" s="1">
        <f ca="1">IF(C11&lt;3,0,OFFSET(控制台!$V$2641,MATCH(C11,控制台!$B$2641:$B$2645,0)-1,0))</f>
        <v>0</v>
      </c>
      <c r="N11" s="1">
        <f ca="1" t="shared" si="3"/>
        <v>0</v>
      </c>
      <c r="O11" s="5">
        <f ca="1" t="shared" si="11"/>
        <v>0</v>
      </c>
      <c r="P11" s="1">
        <f ca="1">IF(C11&lt;3,0,OFFSET(控制台!$W$2641,MATCH(C11,控制台!$B$2641:$B$2645,0)-1,0))</f>
        <v>0</v>
      </c>
      <c r="Q11" s="1">
        <f ca="1" t="shared" si="4"/>
        <v>0</v>
      </c>
      <c r="R11" s="5">
        <f ca="1" t="shared" si="12"/>
        <v>0</v>
      </c>
      <c r="S11" s="1">
        <f ca="1">IF(C11&lt;3,0,OFFSET(控制台!$X$2641,MATCH(C11,控制台!$B$2641:$B$2645,0)-1,0))</f>
        <v>0</v>
      </c>
      <c r="T11" s="1">
        <f ca="1" t="shared" si="5"/>
        <v>0</v>
      </c>
      <c r="U11" s="5">
        <f ca="1" t="shared" si="13"/>
        <v>0</v>
      </c>
      <c r="V11" s="1">
        <f ca="1">IF(C11&lt;3,0,OFFSET(控制台!$Y$2641,MATCH(C11,控制台!$B$2641:$B$2645,0)-1,0))</f>
        <v>0</v>
      </c>
      <c r="W11" s="1">
        <f ca="1" t="shared" si="6"/>
        <v>0</v>
      </c>
      <c r="X11" s="5">
        <f ca="1" t="shared" si="14"/>
        <v>0</v>
      </c>
    </row>
    <row r="12" spans="1:24">
      <c r="A12" s="7">
        <v>0.6</v>
      </c>
      <c r="B12" s="1">
        <f t="shared" si="7"/>
        <v>0.1</v>
      </c>
      <c r="C12" s="1">
        <f ca="1">OFFSET(控制台!$B$2625,MATCH(IF(A12&lt;7,MAX(0,A12-0.5),A12),控制台!$D$2625:$D$2630,1)-1,0)</f>
        <v>0</v>
      </c>
      <c r="D12" s="1">
        <f ca="1">IF(C12=0,0,OFFSET(控制台!$H$2641,MATCH(C12,控制台!$B$2641:$B$2645,0)-1,0)+OFFSET(控制台!$AA$2641,MATCH(C12,控制台!$B$2641:$B$2645,0)-1,0))</f>
        <v>0</v>
      </c>
      <c r="E12" s="1">
        <f ca="1" t="shared" si="0"/>
        <v>0</v>
      </c>
      <c r="F12" s="5">
        <f ca="1" t="shared" si="8"/>
        <v>0</v>
      </c>
      <c r="G12" s="1">
        <f ca="1">IF(C12=0,0,OFFSET(控制台!$L$2641,MATCH(C12,控制台!$B$2641:$B$2645,0)-1,0))</f>
        <v>0</v>
      </c>
      <c r="H12" s="1">
        <f ca="1" t="shared" si="1"/>
        <v>0</v>
      </c>
      <c r="I12" s="5">
        <f ca="1" t="shared" si="9"/>
        <v>0</v>
      </c>
      <c r="J12" s="1">
        <f ca="1">IF(C12&lt;3,0,OFFSET(控制台!$U$2641,MATCH(C12,控制台!$B$2641:$B$2645,0)-1,0))</f>
        <v>0</v>
      </c>
      <c r="K12" s="1">
        <f ca="1" t="shared" si="2"/>
        <v>0</v>
      </c>
      <c r="L12" s="5">
        <f ca="1" t="shared" si="10"/>
        <v>0</v>
      </c>
      <c r="M12" s="1">
        <f ca="1">IF(C12&lt;3,0,OFFSET(控制台!$V$2641,MATCH(C12,控制台!$B$2641:$B$2645,0)-1,0))</f>
        <v>0</v>
      </c>
      <c r="N12" s="1">
        <f ca="1" t="shared" si="3"/>
        <v>0</v>
      </c>
      <c r="O12" s="5">
        <f ca="1" t="shared" si="11"/>
        <v>0</v>
      </c>
      <c r="P12" s="1">
        <f ca="1">IF(C12&lt;3,0,OFFSET(控制台!$W$2641,MATCH(C12,控制台!$B$2641:$B$2645,0)-1,0))</f>
        <v>0</v>
      </c>
      <c r="Q12" s="1">
        <f ca="1" t="shared" si="4"/>
        <v>0</v>
      </c>
      <c r="R12" s="5">
        <f ca="1" t="shared" si="12"/>
        <v>0</v>
      </c>
      <c r="S12" s="1">
        <f ca="1">IF(C12&lt;3,0,OFFSET(控制台!$X$2641,MATCH(C12,控制台!$B$2641:$B$2645,0)-1,0))</f>
        <v>0</v>
      </c>
      <c r="T12" s="1">
        <f ca="1" t="shared" si="5"/>
        <v>0</v>
      </c>
      <c r="U12" s="5">
        <f ca="1" t="shared" si="13"/>
        <v>0</v>
      </c>
      <c r="V12" s="1">
        <f ca="1">IF(C12&lt;3,0,OFFSET(控制台!$Y$2641,MATCH(C12,控制台!$B$2641:$B$2645,0)-1,0))</f>
        <v>0</v>
      </c>
      <c r="W12" s="1">
        <f ca="1" t="shared" si="6"/>
        <v>0</v>
      </c>
      <c r="X12" s="5">
        <f ca="1" t="shared" si="14"/>
        <v>0</v>
      </c>
    </row>
    <row r="13" spans="1:24">
      <c r="A13" s="7">
        <v>0.7</v>
      </c>
      <c r="B13" s="1">
        <f t="shared" si="7"/>
        <v>0.1</v>
      </c>
      <c r="C13" s="1">
        <f ca="1">OFFSET(控制台!$B$2625,MATCH(IF(A13&lt;7,MAX(0,A13-0.5),A13),控制台!$D$2625:$D$2630,1)-1,0)</f>
        <v>0</v>
      </c>
      <c r="D13" s="1">
        <f ca="1">IF(C13=0,0,OFFSET(控制台!$H$2641,MATCH(C13,控制台!$B$2641:$B$2645,0)-1,0)+OFFSET(控制台!$AA$2641,MATCH(C13,控制台!$B$2641:$B$2645,0)-1,0))</f>
        <v>0</v>
      </c>
      <c r="E13" s="1">
        <f ca="1" t="shared" si="0"/>
        <v>0</v>
      </c>
      <c r="F13" s="5">
        <f ca="1" t="shared" si="8"/>
        <v>0</v>
      </c>
      <c r="G13" s="1">
        <f ca="1">IF(C13=0,0,OFFSET(控制台!$L$2641,MATCH(C13,控制台!$B$2641:$B$2645,0)-1,0))</f>
        <v>0</v>
      </c>
      <c r="H13" s="1">
        <f ca="1" t="shared" si="1"/>
        <v>0</v>
      </c>
      <c r="I13" s="5">
        <f ca="1" t="shared" si="9"/>
        <v>0</v>
      </c>
      <c r="J13" s="1">
        <f ca="1">IF(C13&lt;3,0,OFFSET(控制台!$U$2641,MATCH(C13,控制台!$B$2641:$B$2645,0)-1,0))</f>
        <v>0</v>
      </c>
      <c r="K13" s="1">
        <f ca="1" t="shared" si="2"/>
        <v>0</v>
      </c>
      <c r="L13" s="5">
        <f ca="1" t="shared" si="10"/>
        <v>0</v>
      </c>
      <c r="M13" s="1">
        <f ca="1">IF(C13&lt;3,0,OFFSET(控制台!$V$2641,MATCH(C13,控制台!$B$2641:$B$2645,0)-1,0))</f>
        <v>0</v>
      </c>
      <c r="N13" s="1">
        <f ca="1" t="shared" si="3"/>
        <v>0</v>
      </c>
      <c r="O13" s="5">
        <f ca="1" t="shared" si="11"/>
        <v>0</v>
      </c>
      <c r="P13" s="1">
        <f ca="1">IF(C13&lt;3,0,OFFSET(控制台!$W$2641,MATCH(C13,控制台!$B$2641:$B$2645,0)-1,0))</f>
        <v>0</v>
      </c>
      <c r="Q13" s="1">
        <f ca="1" t="shared" si="4"/>
        <v>0</v>
      </c>
      <c r="R13" s="5">
        <f ca="1" t="shared" si="12"/>
        <v>0</v>
      </c>
      <c r="S13" s="1">
        <f ca="1">IF(C13&lt;3,0,OFFSET(控制台!$X$2641,MATCH(C13,控制台!$B$2641:$B$2645,0)-1,0))</f>
        <v>0</v>
      </c>
      <c r="T13" s="1">
        <f ca="1" t="shared" si="5"/>
        <v>0</v>
      </c>
      <c r="U13" s="5">
        <f ca="1" t="shared" si="13"/>
        <v>0</v>
      </c>
      <c r="V13" s="1">
        <f ca="1">IF(C13&lt;3,0,OFFSET(控制台!$Y$2641,MATCH(C13,控制台!$B$2641:$B$2645,0)-1,0))</f>
        <v>0</v>
      </c>
      <c r="W13" s="1">
        <f ca="1" t="shared" si="6"/>
        <v>0</v>
      </c>
      <c r="X13" s="5">
        <f ca="1" t="shared" si="14"/>
        <v>0</v>
      </c>
    </row>
    <row r="14" spans="1:24">
      <c r="A14" s="7">
        <v>0.8</v>
      </c>
      <c r="B14" s="1">
        <f t="shared" si="7"/>
        <v>0.1</v>
      </c>
      <c r="C14" s="1">
        <f ca="1">OFFSET(控制台!$B$2625,MATCH(IF(A14&lt;7,MAX(0,A14-0.5),A14),控制台!$D$2625:$D$2630,1)-1,0)</f>
        <v>0</v>
      </c>
      <c r="D14" s="1">
        <f ca="1">IF(C14=0,0,OFFSET(控制台!$H$2641,MATCH(C14,控制台!$B$2641:$B$2645,0)-1,0)+OFFSET(控制台!$AA$2641,MATCH(C14,控制台!$B$2641:$B$2645,0)-1,0))</f>
        <v>0</v>
      </c>
      <c r="E14" s="1">
        <f ca="1" t="shared" si="0"/>
        <v>0</v>
      </c>
      <c r="F14" s="5">
        <f ca="1" t="shared" si="8"/>
        <v>0</v>
      </c>
      <c r="G14" s="1">
        <f ca="1">IF(C14=0,0,OFFSET(控制台!$L$2641,MATCH(C14,控制台!$B$2641:$B$2645,0)-1,0))</f>
        <v>0</v>
      </c>
      <c r="H14" s="1">
        <f ca="1" t="shared" si="1"/>
        <v>0</v>
      </c>
      <c r="I14" s="5">
        <f ca="1" t="shared" si="9"/>
        <v>0</v>
      </c>
      <c r="J14" s="1">
        <f ca="1">IF(C14&lt;3,0,OFFSET(控制台!$U$2641,MATCH(C14,控制台!$B$2641:$B$2645,0)-1,0))</f>
        <v>0</v>
      </c>
      <c r="K14" s="1">
        <f ca="1" t="shared" si="2"/>
        <v>0</v>
      </c>
      <c r="L14" s="5">
        <f ca="1" t="shared" si="10"/>
        <v>0</v>
      </c>
      <c r="M14" s="1">
        <f ca="1">IF(C14&lt;3,0,OFFSET(控制台!$V$2641,MATCH(C14,控制台!$B$2641:$B$2645,0)-1,0))</f>
        <v>0</v>
      </c>
      <c r="N14" s="1">
        <f ca="1" t="shared" si="3"/>
        <v>0</v>
      </c>
      <c r="O14" s="5">
        <f ca="1" t="shared" si="11"/>
        <v>0</v>
      </c>
      <c r="P14" s="1">
        <f ca="1">IF(C14&lt;3,0,OFFSET(控制台!$W$2641,MATCH(C14,控制台!$B$2641:$B$2645,0)-1,0))</f>
        <v>0</v>
      </c>
      <c r="Q14" s="1">
        <f ca="1" t="shared" si="4"/>
        <v>0</v>
      </c>
      <c r="R14" s="5">
        <f ca="1" t="shared" si="12"/>
        <v>0</v>
      </c>
      <c r="S14" s="1">
        <f ca="1">IF(C14&lt;3,0,OFFSET(控制台!$X$2641,MATCH(C14,控制台!$B$2641:$B$2645,0)-1,0))</f>
        <v>0</v>
      </c>
      <c r="T14" s="1">
        <f ca="1" t="shared" si="5"/>
        <v>0</v>
      </c>
      <c r="U14" s="5">
        <f ca="1" t="shared" si="13"/>
        <v>0</v>
      </c>
      <c r="V14" s="1">
        <f ca="1">IF(C14&lt;3,0,OFFSET(控制台!$Y$2641,MATCH(C14,控制台!$B$2641:$B$2645,0)-1,0))</f>
        <v>0</v>
      </c>
      <c r="W14" s="1">
        <f ca="1" t="shared" si="6"/>
        <v>0</v>
      </c>
      <c r="X14" s="5">
        <f ca="1" t="shared" si="14"/>
        <v>0</v>
      </c>
    </row>
    <row r="15" spans="1:24">
      <c r="A15" s="7">
        <v>0.9</v>
      </c>
      <c r="B15" s="1">
        <f t="shared" si="7"/>
        <v>0.1</v>
      </c>
      <c r="C15" s="1">
        <f ca="1">OFFSET(控制台!$B$2625,MATCH(IF(A15&lt;7,MAX(0,A15-0.5),A15),控制台!$D$2625:$D$2630,1)-1,0)</f>
        <v>0</v>
      </c>
      <c r="D15" s="1">
        <f ca="1">IF(C15=0,0,OFFSET(控制台!$H$2641,MATCH(C15,控制台!$B$2641:$B$2645,0)-1,0)+OFFSET(控制台!$AA$2641,MATCH(C15,控制台!$B$2641:$B$2645,0)-1,0))</f>
        <v>0</v>
      </c>
      <c r="E15" s="1">
        <f ca="1" t="shared" si="0"/>
        <v>0</v>
      </c>
      <c r="F15" s="5">
        <f ca="1" t="shared" si="8"/>
        <v>0</v>
      </c>
      <c r="G15" s="1">
        <f ca="1">IF(C15=0,0,OFFSET(控制台!$L$2641,MATCH(C15,控制台!$B$2641:$B$2645,0)-1,0))</f>
        <v>0</v>
      </c>
      <c r="H15" s="1">
        <f ca="1" t="shared" si="1"/>
        <v>0</v>
      </c>
      <c r="I15" s="5">
        <f ca="1" t="shared" si="9"/>
        <v>0</v>
      </c>
      <c r="J15" s="1">
        <f ca="1">IF(C15&lt;3,0,OFFSET(控制台!$U$2641,MATCH(C15,控制台!$B$2641:$B$2645,0)-1,0))</f>
        <v>0</v>
      </c>
      <c r="K15" s="1">
        <f ca="1" t="shared" si="2"/>
        <v>0</v>
      </c>
      <c r="L15" s="5">
        <f ca="1" t="shared" si="10"/>
        <v>0</v>
      </c>
      <c r="M15" s="1">
        <f ca="1">IF(C15&lt;3,0,OFFSET(控制台!$V$2641,MATCH(C15,控制台!$B$2641:$B$2645,0)-1,0))</f>
        <v>0</v>
      </c>
      <c r="N15" s="1">
        <f ca="1" t="shared" si="3"/>
        <v>0</v>
      </c>
      <c r="O15" s="5">
        <f ca="1" t="shared" si="11"/>
        <v>0</v>
      </c>
      <c r="P15" s="1">
        <f ca="1">IF(C15&lt;3,0,OFFSET(控制台!$W$2641,MATCH(C15,控制台!$B$2641:$B$2645,0)-1,0))</f>
        <v>0</v>
      </c>
      <c r="Q15" s="1">
        <f ca="1" t="shared" si="4"/>
        <v>0</v>
      </c>
      <c r="R15" s="5">
        <f ca="1" t="shared" si="12"/>
        <v>0</v>
      </c>
      <c r="S15" s="1">
        <f ca="1">IF(C15&lt;3,0,OFFSET(控制台!$X$2641,MATCH(C15,控制台!$B$2641:$B$2645,0)-1,0))</f>
        <v>0</v>
      </c>
      <c r="T15" s="1">
        <f ca="1" t="shared" si="5"/>
        <v>0</v>
      </c>
      <c r="U15" s="5">
        <f ca="1" t="shared" si="13"/>
        <v>0</v>
      </c>
      <c r="V15" s="1">
        <f ca="1">IF(C15&lt;3,0,OFFSET(控制台!$Y$2641,MATCH(C15,控制台!$B$2641:$B$2645,0)-1,0))</f>
        <v>0</v>
      </c>
      <c r="W15" s="1">
        <f ca="1" t="shared" si="6"/>
        <v>0</v>
      </c>
      <c r="X15" s="5">
        <f ca="1" t="shared" si="14"/>
        <v>0</v>
      </c>
    </row>
    <row r="16" spans="1:24">
      <c r="A16" s="7">
        <v>1</v>
      </c>
      <c r="B16" s="1">
        <f t="shared" si="7"/>
        <v>0.1</v>
      </c>
      <c r="C16" s="1">
        <f ca="1">OFFSET(控制台!$B$2625,MATCH(IF(A16&lt;7,MAX(0,A16-0.5),A16),控制台!$D$2625:$D$2630,1)-1,0)</f>
        <v>0</v>
      </c>
      <c r="D16" s="1">
        <f ca="1">IF(C16=0,0,OFFSET(控制台!$H$2641,MATCH(C16,控制台!$B$2641:$B$2645,0)-1,0)+OFFSET(控制台!$AA$2641,MATCH(C16,控制台!$B$2641:$B$2645,0)-1,0))</f>
        <v>0</v>
      </c>
      <c r="E16" s="1">
        <f ca="1" t="shared" si="0"/>
        <v>0</v>
      </c>
      <c r="F16" s="5">
        <f ca="1" t="shared" si="8"/>
        <v>0</v>
      </c>
      <c r="G16" s="1">
        <f ca="1">IF(C16=0,0,OFFSET(控制台!$L$2641,MATCH(C16,控制台!$B$2641:$B$2645,0)-1,0))</f>
        <v>0</v>
      </c>
      <c r="H16" s="1">
        <f ca="1" t="shared" si="1"/>
        <v>0</v>
      </c>
      <c r="I16" s="5">
        <f ca="1" t="shared" si="9"/>
        <v>0</v>
      </c>
      <c r="J16" s="1">
        <f ca="1">IF(C16&lt;3,0,OFFSET(控制台!$U$2641,MATCH(C16,控制台!$B$2641:$B$2645,0)-1,0))</f>
        <v>0</v>
      </c>
      <c r="K16" s="1">
        <f ca="1" t="shared" si="2"/>
        <v>0</v>
      </c>
      <c r="L16" s="5">
        <f ca="1" t="shared" si="10"/>
        <v>0</v>
      </c>
      <c r="M16" s="1">
        <f ca="1">IF(C16&lt;3,0,OFFSET(控制台!$V$2641,MATCH(C16,控制台!$B$2641:$B$2645,0)-1,0))</f>
        <v>0</v>
      </c>
      <c r="N16" s="1">
        <f ca="1" t="shared" si="3"/>
        <v>0</v>
      </c>
      <c r="O16" s="5">
        <f ca="1" t="shared" si="11"/>
        <v>0</v>
      </c>
      <c r="P16" s="1">
        <f ca="1">IF(C16&lt;3,0,OFFSET(控制台!$W$2641,MATCH(C16,控制台!$B$2641:$B$2645,0)-1,0))</f>
        <v>0</v>
      </c>
      <c r="Q16" s="1">
        <f ca="1" t="shared" si="4"/>
        <v>0</v>
      </c>
      <c r="R16" s="5">
        <f ca="1" t="shared" si="12"/>
        <v>0</v>
      </c>
      <c r="S16" s="1">
        <f ca="1">IF(C16&lt;3,0,OFFSET(控制台!$X$2641,MATCH(C16,控制台!$B$2641:$B$2645,0)-1,0))</f>
        <v>0</v>
      </c>
      <c r="T16" s="1">
        <f ca="1" t="shared" si="5"/>
        <v>0</v>
      </c>
      <c r="U16" s="5">
        <f ca="1" t="shared" si="13"/>
        <v>0</v>
      </c>
      <c r="V16" s="1">
        <f ca="1">IF(C16&lt;3,0,OFFSET(控制台!$Y$2641,MATCH(C16,控制台!$B$2641:$B$2645,0)-1,0))</f>
        <v>0</v>
      </c>
      <c r="W16" s="1">
        <f ca="1" t="shared" si="6"/>
        <v>0</v>
      </c>
      <c r="X16" s="5">
        <f ca="1" t="shared" si="14"/>
        <v>0</v>
      </c>
    </row>
    <row r="17" spans="1:24">
      <c r="A17" s="9">
        <v>1.5</v>
      </c>
      <c r="B17" s="1">
        <f t="shared" si="7"/>
        <v>0.5</v>
      </c>
      <c r="C17" s="1">
        <f ca="1">OFFSET(控制台!$B$2625,MATCH(IF(A17&lt;7,MAX(0,A17-0.5),A17),控制台!$D$2625:$D$2630,1)-1,0)</f>
        <v>1</v>
      </c>
      <c r="D17" s="1">
        <f ca="1">IF(C17=0,0,OFFSET(控制台!$H$2641,MATCH(C17,控制台!$B$2641:$B$2645,0)-1,0)+OFFSET(控制台!$AA$2641,MATCH(C17,控制台!$B$2641:$B$2645,0)-1,0))</f>
        <v>592800</v>
      </c>
      <c r="E17" s="1">
        <f ca="1" t="shared" si="0"/>
        <v>296400</v>
      </c>
      <c r="F17" s="5">
        <f ca="1" t="shared" si="8"/>
        <v>296400</v>
      </c>
      <c r="G17" s="1">
        <f ca="1">IF(C17=0,0,OFFSET(控制台!$L$2641,MATCH(C17,控制台!$B$2641:$B$2645,0)-1,0))</f>
        <v>25920</v>
      </c>
      <c r="H17" s="1">
        <f ca="1" t="shared" si="1"/>
        <v>12960</v>
      </c>
      <c r="I17" s="5">
        <f ca="1" t="shared" si="9"/>
        <v>12960</v>
      </c>
      <c r="J17" s="1">
        <f ca="1">IF(C17&lt;3,0,OFFSET(控制台!$U$2641,MATCH(C17,控制台!$B$2641:$B$2645,0)-1,0))</f>
        <v>0</v>
      </c>
      <c r="K17" s="1">
        <f ca="1" t="shared" si="2"/>
        <v>0</v>
      </c>
      <c r="L17" s="5">
        <f ca="1" t="shared" si="10"/>
        <v>0</v>
      </c>
      <c r="M17" s="1">
        <f ca="1">IF(C17&lt;3,0,OFFSET(控制台!$V$2641,MATCH(C17,控制台!$B$2641:$B$2645,0)-1,0))</f>
        <v>0</v>
      </c>
      <c r="N17" s="1">
        <f ca="1" t="shared" si="3"/>
        <v>0</v>
      </c>
      <c r="O17" s="5">
        <f ca="1" t="shared" si="11"/>
        <v>0</v>
      </c>
      <c r="P17" s="1">
        <f ca="1">IF(C17&lt;3,0,OFFSET(控制台!$W$2641,MATCH(C17,控制台!$B$2641:$B$2645,0)-1,0))</f>
        <v>0</v>
      </c>
      <c r="Q17" s="1">
        <f ca="1" t="shared" si="4"/>
        <v>0</v>
      </c>
      <c r="R17" s="5">
        <f ca="1" t="shared" si="12"/>
        <v>0</v>
      </c>
      <c r="S17" s="1">
        <f ca="1">IF(C17&lt;3,0,OFFSET(控制台!$X$2641,MATCH(C17,控制台!$B$2641:$B$2645,0)-1,0))</f>
        <v>0</v>
      </c>
      <c r="T17" s="1">
        <f ca="1" t="shared" si="5"/>
        <v>0</v>
      </c>
      <c r="U17" s="5">
        <f ca="1" t="shared" si="13"/>
        <v>0</v>
      </c>
      <c r="V17" s="1">
        <f ca="1">IF(C17&lt;3,0,OFFSET(控制台!$Y$2641,MATCH(C17,控制台!$B$2641:$B$2645,0)-1,0))</f>
        <v>0</v>
      </c>
      <c r="W17" s="1">
        <f ca="1" t="shared" si="6"/>
        <v>0</v>
      </c>
      <c r="X17" s="5">
        <f ca="1" t="shared" si="14"/>
        <v>0</v>
      </c>
    </row>
    <row r="18" spans="1:24">
      <c r="A18" s="9">
        <v>2</v>
      </c>
      <c r="B18" s="1">
        <f t="shared" si="7"/>
        <v>0.5</v>
      </c>
      <c r="C18" s="1">
        <f ca="1">OFFSET(控制台!$B$2625,MATCH(IF(A18&lt;7,MAX(0,A18-0.5),A18),控制台!$D$2625:$D$2630,1)-1,0)</f>
        <v>2</v>
      </c>
      <c r="D18" s="1">
        <f ca="1">IF(C18=0,0,OFFSET(控制台!$H$2641,MATCH(C18,控制台!$B$2641:$B$2645,0)-1,0)+OFFSET(控制台!$AA$2641,MATCH(C18,控制台!$B$2641:$B$2645,0)-1,0))</f>
        <v>1185600</v>
      </c>
      <c r="E18" s="1">
        <f ca="1" t="shared" si="0"/>
        <v>592800</v>
      </c>
      <c r="F18" s="5">
        <f ca="1" t="shared" si="8"/>
        <v>889200</v>
      </c>
      <c r="G18" s="1">
        <f ca="1">IF(C18=0,0,OFFSET(控制台!$L$2641,MATCH(C18,控制台!$B$2641:$B$2645,0)-1,0))</f>
        <v>43200</v>
      </c>
      <c r="H18" s="1">
        <f ca="1" t="shared" si="1"/>
        <v>21600</v>
      </c>
      <c r="I18" s="5">
        <f ca="1" t="shared" si="9"/>
        <v>34560</v>
      </c>
      <c r="J18" s="1">
        <f ca="1">IF(C18&lt;3,0,OFFSET(控制台!$U$2641,MATCH(C18,控制台!$B$2641:$B$2645,0)-1,0))</f>
        <v>0</v>
      </c>
      <c r="K18" s="1">
        <f ca="1" t="shared" si="2"/>
        <v>0</v>
      </c>
      <c r="L18" s="5">
        <f ca="1" t="shared" si="10"/>
        <v>0</v>
      </c>
      <c r="M18" s="1">
        <f ca="1">IF(C18&lt;3,0,OFFSET(控制台!$V$2641,MATCH(C18,控制台!$B$2641:$B$2645,0)-1,0))</f>
        <v>0</v>
      </c>
      <c r="N18" s="1">
        <f ca="1" t="shared" si="3"/>
        <v>0</v>
      </c>
      <c r="O18" s="5">
        <f ca="1" t="shared" si="11"/>
        <v>0</v>
      </c>
      <c r="P18" s="1">
        <f ca="1">IF(C18&lt;3,0,OFFSET(控制台!$W$2641,MATCH(C18,控制台!$B$2641:$B$2645,0)-1,0))</f>
        <v>0</v>
      </c>
      <c r="Q18" s="1">
        <f ca="1" t="shared" si="4"/>
        <v>0</v>
      </c>
      <c r="R18" s="5">
        <f ca="1" t="shared" si="12"/>
        <v>0</v>
      </c>
      <c r="S18" s="1">
        <f ca="1">IF(C18&lt;3,0,OFFSET(控制台!$X$2641,MATCH(C18,控制台!$B$2641:$B$2645,0)-1,0))</f>
        <v>0</v>
      </c>
      <c r="T18" s="1">
        <f ca="1" t="shared" si="5"/>
        <v>0</v>
      </c>
      <c r="U18" s="5">
        <f ca="1" t="shared" si="13"/>
        <v>0</v>
      </c>
      <c r="V18" s="1">
        <f ca="1">IF(C18&lt;3,0,OFFSET(控制台!$Y$2641,MATCH(C18,控制台!$B$2641:$B$2645,0)-1,0))</f>
        <v>0</v>
      </c>
      <c r="W18" s="1">
        <f ca="1" t="shared" si="6"/>
        <v>0</v>
      </c>
      <c r="X18" s="5">
        <f ca="1" t="shared" si="14"/>
        <v>0</v>
      </c>
    </row>
    <row r="19" spans="1:24">
      <c r="A19" s="9">
        <v>2.5</v>
      </c>
      <c r="B19" s="1">
        <f t="shared" si="7"/>
        <v>0.5</v>
      </c>
      <c r="C19" s="1">
        <f ca="1">OFFSET(控制台!$B$2625,MATCH(IF(A19&lt;7,MAX(0,A19-0.5),A19),控制台!$D$2625:$D$2630,1)-1,0)</f>
        <v>2</v>
      </c>
      <c r="D19" s="1">
        <f ca="1">IF(C19=0,0,OFFSET(控制台!$H$2641,MATCH(C19,控制台!$B$2641:$B$2645,0)-1,0)+OFFSET(控制台!$AA$2641,MATCH(C19,控制台!$B$2641:$B$2645,0)-1,0))</f>
        <v>1185600</v>
      </c>
      <c r="E19" s="1">
        <f ca="1" t="shared" si="0"/>
        <v>592800</v>
      </c>
      <c r="F19" s="5">
        <f ca="1" t="shared" si="8"/>
        <v>1482000</v>
      </c>
      <c r="G19" s="1">
        <f ca="1">IF(C19=0,0,OFFSET(控制台!$L$2641,MATCH(C19,控制台!$B$2641:$B$2645,0)-1,0))</f>
        <v>43200</v>
      </c>
      <c r="H19" s="1">
        <f ca="1" t="shared" si="1"/>
        <v>21600</v>
      </c>
      <c r="I19" s="5">
        <f ca="1" t="shared" si="9"/>
        <v>56160</v>
      </c>
      <c r="J19" s="1">
        <f ca="1">IF(C19&lt;3,0,OFFSET(控制台!$U$2641,MATCH(C19,控制台!$B$2641:$B$2645,0)-1,0))</f>
        <v>0</v>
      </c>
      <c r="K19" s="1">
        <f ca="1" t="shared" si="2"/>
        <v>0</v>
      </c>
      <c r="L19" s="5">
        <f ca="1" t="shared" si="10"/>
        <v>0</v>
      </c>
      <c r="M19" s="1">
        <f ca="1">IF(C19&lt;3,0,OFFSET(控制台!$V$2641,MATCH(C19,控制台!$B$2641:$B$2645,0)-1,0))</f>
        <v>0</v>
      </c>
      <c r="N19" s="1">
        <f ca="1" t="shared" si="3"/>
        <v>0</v>
      </c>
      <c r="O19" s="5">
        <f ca="1" t="shared" si="11"/>
        <v>0</v>
      </c>
      <c r="P19" s="1">
        <f ca="1">IF(C19&lt;3,0,OFFSET(控制台!$W$2641,MATCH(C19,控制台!$B$2641:$B$2645,0)-1,0))</f>
        <v>0</v>
      </c>
      <c r="Q19" s="1">
        <f ca="1" t="shared" si="4"/>
        <v>0</v>
      </c>
      <c r="R19" s="5">
        <f ca="1" t="shared" si="12"/>
        <v>0</v>
      </c>
      <c r="S19" s="1">
        <f ca="1">IF(C19&lt;3,0,OFFSET(控制台!$X$2641,MATCH(C19,控制台!$B$2641:$B$2645,0)-1,0))</f>
        <v>0</v>
      </c>
      <c r="T19" s="1">
        <f ca="1" t="shared" si="5"/>
        <v>0</v>
      </c>
      <c r="U19" s="5">
        <f ca="1" t="shared" si="13"/>
        <v>0</v>
      </c>
      <c r="V19" s="1">
        <f ca="1">IF(C19&lt;3,0,OFFSET(控制台!$Y$2641,MATCH(C19,控制台!$B$2641:$B$2645,0)-1,0))</f>
        <v>0</v>
      </c>
      <c r="W19" s="1">
        <f ca="1" t="shared" si="6"/>
        <v>0</v>
      </c>
      <c r="X19" s="5">
        <f ca="1" t="shared" si="14"/>
        <v>0</v>
      </c>
    </row>
    <row r="20" spans="1:24">
      <c r="A20" s="9">
        <v>3</v>
      </c>
      <c r="B20" s="1">
        <f t="shared" si="7"/>
        <v>0.5</v>
      </c>
      <c r="C20" s="1">
        <f ca="1">OFFSET(控制台!$B$2625,MATCH(IF(A20&lt;7,MAX(0,A20-0.5),A20),控制台!$D$2625:$D$2630,1)-1,0)</f>
        <v>2</v>
      </c>
      <c r="D20" s="1">
        <f ca="1">IF(C20=0,0,OFFSET(控制台!$H$2641,MATCH(C20,控制台!$B$2641:$B$2645,0)-1,0)+OFFSET(控制台!$AA$2641,MATCH(C20,控制台!$B$2641:$B$2645,0)-1,0))</f>
        <v>1185600</v>
      </c>
      <c r="E20" s="1">
        <f ca="1" t="shared" si="0"/>
        <v>592800</v>
      </c>
      <c r="F20" s="5">
        <f ca="1" t="shared" si="8"/>
        <v>2074800</v>
      </c>
      <c r="G20" s="1">
        <f ca="1">IF(C20=0,0,OFFSET(控制台!$L$2641,MATCH(C20,控制台!$B$2641:$B$2645,0)-1,0))</f>
        <v>43200</v>
      </c>
      <c r="H20" s="1">
        <f ca="1" t="shared" si="1"/>
        <v>21600</v>
      </c>
      <c r="I20" s="5">
        <f ca="1" t="shared" si="9"/>
        <v>77760</v>
      </c>
      <c r="J20" s="1">
        <f ca="1">IF(C20&lt;3,0,OFFSET(控制台!$U$2641,MATCH(C20,控制台!$B$2641:$B$2645,0)-1,0))</f>
        <v>0</v>
      </c>
      <c r="K20" s="1">
        <f ca="1" t="shared" si="2"/>
        <v>0</v>
      </c>
      <c r="L20" s="5">
        <f ca="1" t="shared" si="10"/>
        <v>0</v>
      </c>
      <c r="M20" s="1">
        <f ca="1">IF(C20&lt;3,0,OFFSET(控制台!$V$2641,MATCH(C20,控制台!$B$2641:$B$2645,0)-1,0))</f>
        <v>0</v>
      </c>
      <c r="N20" s="1">
        <f ca="1" t="shared" si="3"/>
        <v>0</v>
      </c>
      <c r="O20" s="5">
        <f ca="1" t="shared" si="11"/>
        <v>0</v>
      </c>
      <c r="P20" s="1">
        <f ca="1">IF(C20&lt;3,0,OFFSET(控制台!$W$2641,MATCH(C20,控制台!$B$2641:$B$2645,0)-1,0))</f>
        <v>0</v>
      </c>
      <c r="Q20" s="1">
        <f ca="1" t="shared" si="4"/>
        <v>0</v>
      </c>
      <c r="R20" s="5">
        <f ca="1" t="shared" si="12"/>
        <v>0</v>
      </c>
      <c r="S20" s="1">
        <f ca="1">IF(C20&lt;3,0,OFFSET(控制台!$X$2641,MATCH(C20,控制台!$B$2641:$B$2645,0)-1,0))</f>
        <v>0</v>
      </c>
      <c r="T20" s="1">
        <f ca="1" t="shared" si="5"/>
        <v>0</v>
      </c>
      <c r="U20" s="5">
        <f ca="1" t="shared" si="13"/>
        <v>0</v>
      </c>
      <c r="V20" s="1">
        <f ca="1">IF(C20&lt;3,0,OFFSET(控制台!$Y$2641,MATCH(C20,控制台!$B$2641:$B$2645,0)-1,0))</f>
        <v>0</v>
      </c>
      <c r="W20" s="1">
        <f ca="1" t="shared" si="6"/>
        <v>0</v>
      </c>
      <c r="X20" s="5">
        <f ca="1" t="shared" si="14"/>
        <v>0</v>
      </c>
    </row>
    <row r="21" spans="1:24">
      <c r="A21" s="9">
        <v>3.5</v>
      </c>
      <c r="B21" s="1">
        <f t="shared" si="7"/>
        <v>0.5</v>
      </c>
      <c r="C21" s="1">
        <f ca="1">OFFSET(控制台!$B$2625,MATCH(IF(A21&lt;7,MAX(0,A21-0.5),A21),控制台!$D$2625:$D$2630,1)-1,0)</f>
        <v>2</v>
      </c>
      <c r="D21" s="1">
        <f ca="1">IF(C21=0,0,OFFSET(控制台!$H$2641,MATCH(C21,控制台!$B$2641:$B$2645,0)-1,0)+OFFSET(控制台!$AA$2641,MATCH(C21,控制台!$B$2641:$B$2645,0)-1,0))</f>
        <v>1185600</v>
      </c>
      <c r="E21" s="1">
        <f ca="1" t="shared" si="0"/>
        <v>592800</v>
      </c>
      <c r="F21" s="5">
        <f ca="1" t="shared" si="8"/>
        <v>2667600</v>
      </c>
      <c r="G21" s="1">
        <f ca="1">IF(C21=0,0,OFFSET(控制台!$L$2641,MATCH(C21,控制台!$B$2641:$B$2645,0)-1,0))</f>
        <v>43200</v>
      </c>
      <c r="H21" s="1">
        <f ca="1" t="shared" si="1"/>
        <v>21600</v>
      </c>
      <c r="I21" s="5">
        <f ca="1" t="shared" si="9"/>
        <v>99360</v>
      </c>
      <c r="J21" s="1">
        <f ca="1">IF(C21&lt;3,0,OFFSET(控制台!$U$2641,MATCH(C21,控制台!$B$2641:$B$2645,0)-1,0))</f>
        <v>0</v>
      </c>
      <c r="K21" s="1">
        <f ca="1" t="shared" si="2"/>
        <v>0</v>
      </c>
      <c r="L21" s="5">
        <f ca="1" t="shared" si="10"/>
        <v>0</v>
      </c>
      <c r="M21" s="1">
        <f ca="1">IF(C21&lt;3,0,OFFSET(控制台!$V$2641,MATCH(C21,控制台!$B$2641:$B$2645,0)-1,0))</f>
        <v>0</v>
      </c>
      <c r="N21" s="1">
        <f ca="1" t="shared" si="3"/>
        <v>0</v>
      </c>
      <c r="O21" s="5">
        <f ca="1" t="shared" si="11"/>
        <v>0</v>
      </c>
      <c r="P21" s="1">
        <f ca="1">IF(C21&lt;3,0,OFFSET(控制台!$W$2641,MATCH(C21,控制台!$B$2641:$B$2645,0)-1,0))</f>
        <v>0</v>
      </c>
      <c r="Q21" s="1">
        <f ca="1" t="shared" si="4"/>
        <v>0</v>
      </c>
      <c r="R21" s="5">
        <f ca="1" t="shared" si="12"/>
        <v>0</v>
      </c>
      <c r="S21" s="1">
        <f ca="1">IF(C21&lt;3,0,OFFSET(控制台!$X$2641,MATCH(C21,控制台!$B$2641:$B$2645,0)-1,0))</f>
        <v>0</v>
      </c>
      <c r="T21" s="1">
        <f ca="1" t="shared" si="5"/>
        <v>0</v>
      </c>
      <c r="U21" s="5">
        <f ca="1" t="shared" si="13"/>
        <v>0</v>
      </c>
      <c r="V21" s="1">
        <f ca="1">IF(C21&lt;3,0,OFFSET(控制台!$Y$2641,MATCH(C21,控制台!$B$2641:$B$2645,0)-1,0))</f>
        <v>0</v>
      </c>
      <c r="W21" s="1">
        <f ca="1" t="shared" si="6"/>
        <v>0</v>
      </c>
      <c r="X21" s="5">
        <f ca="1" t="shared" si="14"/>
        <v>0</v>
      </c>
    </row>
    <row r="22" spans="1:24">
      <c r="A22" s="9">
        <v>4</v>
      </c>
      <c r="B22" s="1">
        <f t="shared" si="7"/>
        <v>0.5</v>
      </c>
      <c r="C22" s="1">
        <f ca="1">OFFSET(控制台!$B$2625,MATCH(IF(A22&lt;7,MAX(0,A22-0.5),A22),控制台!$D$2625:$D$2630,1)-1,0)</f>
        <v>2</v>
      </c>
      <c r="D22" s="1">
        <f ca="1">IF(C22=0,0,OFFSET(控制台!$H$2641,MATCH(C22,控制台!$B$2641:$B$2645,0)-1,0)+OFFSET(控制台!$AA$2641,MATCH(C22,控制台!$B$2641:$B$2645,0)-1,0))</f>
        <v>1185600</v>
      </c>
      <c r="E22" s="1">
        <f ca="1" t="shared" si="0"/>
        <v>592800</v>
      </c>
      <c r="F22" s="5">
        <f ca="1" t="shared" si="8"/>
        <v>3260400</v>
      </c>
      <c r="G22" s="1">
        <f ca="1">IF(C22=0,0,OFFSET(控制台!$L$2641,MATCH(C22,控制台!$B$2641:$B$2645,0)-1,0))</f>
        <v>43200</v>
      </c>
      <c r="H22" s="1">
        <f ca="1" t="shared" si="1"/>
        <v>21600</v>
      </c>
      <c r="I22" s="5">
        <f ca="1" t="shared" si="9"/>
        <v>120960</v>
      </c>
      <c r="J22" s="1">
        <f ca="1">IF(C22&lt;3,0,OFFSET(控制台!$U$2641,MATCH(C22,控制台!$B$2641:$B$2645,0)-1,0))</f>
        <v>0</v>
      </c>
      <c r="K22" s="1">
        <f ca="1" t="shared" si="2"/>
        <v>0</v>
      </c>
      <c r="L22" s="5">
        <f ca="1" t="shared" si="10"/>
        <v>0</v>
      </c>
      <c r="M22" s="1">
        <f ca="1">IF(C22&lt;3,0,OFFSET(控制台!$V$2641,MATCH(C22,控制台!$B$2641:$B$2645,0)-1,0))</f>
        <v>0</v>
      </c>
      <c r="N22" s="1">
        <f ca="1" t="shared" si="3"/>
        <v>0</v>
      </c>
      <c r="O22" s="5">
        <f ca="1" t="shared" si="11"/>
        <v>0</v>
      </c>
      <c r="P22" s="1">
        <f ca="1">IF(C22&lt;3,0,OFFSET(控制台!$W$2641,MATCH(C22,控制台!$B$2641:$B$2645,0)-1,0))</f>
        <v>0</v>
      </c>
      <c r="Q22" s="1">
        <f ca="1" t="shared" si="4"/>
        <v>0</v>
      </c>
      <c r="R22" s="5">
        <f ca="1" t="shared" si="12"/>
        <v>0</v>
      </c>
      <c r="S22" s="1">
        <f ca="1">IF(C22&lt;3,0,OFFSET(控制台!$X$2641,MATCH(C22,控制台!$B$2641:$B$2645,0)-1,0))</f>
        <v>0</v>
      </c>
      <c r="T22" s="1">
        <f ca="1" t="shared" si="5"/>
        <v>0</v>
      </c>
      <c r="U22" s="5">
        <f ca="1" t="shared" si="13"/>
        <v>0</v>
      </c>
      <c r="V22" s="1">
        <f ca="1">IF(C22&lt;3,0,OFFSET(控制台!$Y$2641,MATCH(C22,控制台!$B$2641:$B$2645,0)-1,0))</f>
        <v>0</v>
      </c>
      <c r="W22" s="1">
        <f ca="1" t="shared" si="6"/>
        <v>0</v>
      </c>
      <c r="X22" s="5">
        <f ca="1" t="shared" si="14"/>
        <v>0</v>
      </c>
    </row>
    <row r="23" spans="1:24">
      <c r="A23" s="9">
        <v>4.5</v>
      </c>
      <c r="B23" s="1">
        <f t="shared" si="7"/>
        <v>0.5</v>
      </c>
      <c r="C23" s="1">
        <f ca="1">OFFSET(控制台!$B$2625,MATCH(IF(A23&lt;7,MAX(0,A23-0.5),A23),控制台!$D$2625:$D$2630,1)-1,0)</f>
        <v>2</v>
      </c>
      <c r="D23" s="1">
        <f ca="1">IF(C23=0,0,OFFSET(控制台!$H$2641,MATCH(C23,控制台!$B$2641:$B$2645,0)-1,0)+OFFSET(控制台!$AA$2641,MATCH(C23,控制台!$B$2641:$B$2645,0)-1,0))</f>
        <v>1185600</v>
      </c>
      <c r="E23" s="1">
        <f ca="1" t="shared" si="0"/>
        <v>592800</v>
      </c>
      <c r="F23" s="5">
        <f ca="1" t="shared" si="8"/>
        <v>3853200</v>
      </c>
      <c r="G23" s="1">
        <f ca="1">IF(C23=0,0,OFFSET(控制台!$L$2641,MATCH(C23,控制台!$B$2641:$B$2645,0)-1,0))</f>
        <v>43200</v>
      </c>
      <c r="H23" s="1">
        <f ca="1" t="shared" si="1"/>
        <v>21600</v>
      </c>
      <c r="I23" s="5">
        <f ca="1" t="shared" si="9"/>
        <v>142560</v>
      </c>
      <c r="J23" s="1">
        <f ca="1">IF(C23&lt;3,0,OFFSET(控制台!$U$2641,MATCH(C23,控制台!$B$2641:$B$2645,0)-1,0))</f>
        <v>0</v>
      </c>
      <c r="K23" s="1">
        <f ca="1" t="shared" si="2"/>
        <v>0</v>
      </c>
      <c r="L23" s="5">
        <f ca="1" t="shared" si="10"/>
        <v>0</v>
      </c>
      <c r="M23" s="1">
        <f ca="1">IF(C23&lt;3,0,OFFSET(控制台!$V$2641,MATCH(C23,控制台!$B$2641:$B$2645,0)-1,0))</f>
        <v>0</v>
      </c>
      <c r="N23" s="1">
        <f ca="1" t="shared" si="3"/>
        <v>0</v>
      </c>
      <c r="O23" s="5">
        <f ca="1" t="shared" si="11"/>
        <v>0</v>
      </c>
      <c r="P23" s="1">
        <f ca="1">IF(C23&lt;3,0,OFFSET(控制台!$W$2641,MATCH(C23,控制台!$B$2641:$B$2645,0)-1,0))</f>
        <v>0</v>
      </c>
      <c r="Q23" s="1">
        <f ca="1" t="shared" si="4"/>
        <v>0</v>
      </c>
      <c r="R23" s="5">
        <f ca="1" t="shared" si="12"/>
        <v>0</v>
      </c>
      <c r="S23" s="1">
        <f ca="1">IF(C23&lt;3,0,OFFSET(控制台!$X$2641,MATCH(C23,控制台!$B$2641:$B$2645,0)-1,0))</f>
        <v>0</v>
      </c>
      <c r="T23" s="1">
        <f ca="1" t="shared" si="5"/>
        <v>0</v>
      </c>
      <c r="U23" s="5">
        <f ca="1" t="shared" si="13"/>
        <v>0</v>
      </c>
      <c r="V23" s="1">
        <f ca="1">IF(C23&lt;3,0,OFFSET(控制台!$Y$2641,MATCH(C23,控制台!$B$2641:$B$2645,0)-1,0))</f>
        <v>0</v>
      </c>
      <c r="W23" s="1">
        <f ca="1" t="shared" si="6"/>
        <v>0</v>
      </c>
      <c r="X23" s="5">
        <f ca="1" t="shared" si="14"/>
        <v>0</v>
      </c>
    </row>
    <row r="24" spans="1:24">
      <c r="A24" s="9">
        <v>5</v>
      </c>
      <c r="B24" s="1">
        <f t="shared" si="7"/>
        <v>0.5</v>
      </c>
      <c r="C24" s="1">
        <f ca="1">OFFSET(控制台!$B$2625,MATCH(IF(A24&lt;7,MAX(0,A24-0.5),A24),控制台!$D$2625:$D$2630,1)-1,0)</f>
        <v>2</v>
      </c>
      <c r="D24" s="1">
        <f ca="1">IF(C24=0,0,OFFSET(控制台!$H$2641,MATCH(C24,控制台!$B$2641:$B$2645,0)-1,0)+OFFSET(控制台!$AA$2641,MATCH(C24,控制台!$B$2641:$B$2645,0)-1,0))</f>
        <v>1185600</v>
      </c>
      <c r="E24" s="1">
        <f ca="1" t="shared" si="0"/>
        <v>592800</v>
      </c>
      <c r="F24" s="5">
        <f ca="1" t="shared" si="8"/>
        <v>4446000</v>
      </c>
      <c r="G24" s="1">
        <f ca="1">IF(C24=0,0,OFFSET(控制台!$L$2641,MATCH(C24,控制台!$B$2641:$B$2645,0)-1,0))</f>
        <v>43200</v>
      </c>
      <c r="H24" s="1">
        <f ca="1" t="shared" si="1"/>
        <v>21600</v>
      </c>
      <c r="I24" s="5">
        <f ca="1" t="shared" si="9"/>
        <v>164160</v>
      </c>
      <c r="J24" s="1">
        <f ca="1">IF(C24&lt;3,0,OFFSET(控制台!$U$2641,MATCH(C24,控制台!$B$2641:$B$2645,0)-1,0))</f>
        <v>0</v>
      </c>
      <c r="K24" s="1">
        <f ca="1" t="shared" si="2"/>
        <v>0</v>
      </c>
      <c r="L24" s="5">
        <f ca="1" t="shared" si="10"/>
        <v>0</v>
      </c>
      <c r="M24" s="1">
        <f ca="1">IF(C24&lt;3,0,OFFSET(控制台!$V$2641,MATCH(C24,控制台!$B$2641:$B$2645,0)-1,0))</f>
        <v>0</v>
      </c>
      <c r="N24" s="1">
        <f ca="1" t="shared" si="3"/>
        <v>0</v>
      </c>
      <c r="O24" s="5">
        <f ca="1" t="shared" si="11"/>
        <v>0</v>
      </c>
      <c r="P24" s="1">
        <f ca="1">IF(C24&lt;3,0,OFFSET(控制台!$W$2641,MATCH(C24,控制台!$B$2641:$B$2645,0)-1,0))</f>
        <v>0</v>
      </c>
      <c r="Q24" s="1">
        <f ca="1" t="shared" si="4"/>
        <v>0</v>
      </c>
      <c r="R24" s="5">
        <f ca="1" t="shared" si="12"/>
        <v>0</v>
      </c>
      <c r="S24" s="1">
        <f ca="1">IF(C24&lt;3,0,OFFSET(控制台!$X$2641,MATCH(C24,控制台!$B$2641:$B$2645,0)-1,0))</f>
        <v>0</v>
      </c>
      <c r="T24" s="1">
        <f ca="1" t="shared" si="5"/>
        <v>0</v>
      </c>
      <c r="U24" s="5">
        <f ca="1" t="shared" si="13"/>
        <v>0</v>
      </c>
      <c r="V24" s="1">
        <f ca="1">IF(C24&lt;3,0,OFFSET(控制台!$Y$2641,MATCH(C24,控制台!$B$2641:$B$2645,0)-1,0))</f>
        <v>0</v>
      </c>
      <c r="W24" s="1">
        <f ca="1" t="shared" si="6"/>
        <v>0</v>
      </c>
      <c r="X24" s="5">
        <f ca="1" t="shared" si="14"/>
        <v>0</v>
      </c>
    </row>
    <row r="25" spans="1:24">
      <c r="A25" s="9">
        <v>5.5</v>
      </c>
      <c r="B25" s="1">
        <f t="shared" si="7"/>
        <v>0.5</v>
      </c>
      <c r="C25" s="1">
        <f ca="1">OFFSET(控制台!$B$2625,MATCH(IF(A25&lt;7,MAX(0,A25-0.5),A25),控制台!$D$2625:$D$2630,1)-1,0)</f>
        <v>2</v>
      </c>
      <c r="D25" s="1">
        <f ca="1">IF(C25=0,0,OFFSET(控制台!$H$2641,MATCH(C25,控制台!$B$2641:$B$2645,0)-1,0)+OFFSET(控制台!$AA$2641,MATCH(C25,控制台!$B$2641:$B$2645,0)-1,0))</f>
        <v>1185600</v>
      </c>
      <c r="E25" s="1">
        <f ca="1" t="shared" si="0"/>
        <v>592800</v>
      </c>
      <c r="F25" s="5">
        <f ca="1" t="shared" si="8"/>
        <v>5038800</v>
      </c>
      <c r="G25" s="1">
        <f ca="1">IF(C25=0,0,OFFSET(控制台!$L$2641,MATCH(C25,控制台!$B$2641:$B$2645,0)-1,0))</f>
        <v>43200</v>
      </c>
      <c r="H25" s="1">
        <f ca="1" t="shared" si="1"/>
        <v>21600</v>
      </c>
      <c r="I25" s="5">
        <f ca="1" t="shared" si="9"/>
        <v>185760</v>
      </c>
      <c r="J25" s="1">
        <f ca="1">IF(C25&lt;3,0,OFFSET(控制台!$U$2641,MATCH(C25,控制台!$B$2641:$B$2645,0)-1,0))</f>
        <v>0</v>
      </c>
      <c r="K25" s="1">
        <f ca="1" t="shared" si="2"/>
        <v>0</v>
      </c>
      <c r="L25" s="5">
        <f ca="1" t="shared" si="10"/>
        <v>0</v>
      </c>
      <c r="M25" s="1">
        <f ca="1">IF(C25&lt;3,0,OFFSET(控制台!$V$2641,MATCH(C25,控制台!$B$2641:$B$2645,0)-1,0))</f>
        <v>0</v>
      </c>
      <c r="N25" s="1">
        <f ca="1" t="shared" si="3"/>
        <v>0</v>
      </c>
      <c r="O25" s="5">
        <f ca="1" t="shared" si="11"/>
        <v>0</v>
      </c>
      <c r="P25" s="1">
        <f ca="1">IF(C25&lt;3,0,OFFSET(控制台!$W$2641,MATCH(C25,控制台!$B$2641:$B$2645,0)-1,0))</f>
        <v>0</v>
      </c>
      <c r="Q25" s="1">
        <f ca="1" t="shared" si="4"/>
        <v>0</v>
      </c>
      <c r="R25" s="5">
        <f ca="1" t="shared" si="12"/>
        <v>0</v>
      </c>
      <c r="S25" s="1">
        <f ca="1">IF(C25&lt;3,0,OFFSET(控制台!$X$2641,MATCH(C25,控制台!$B$2641:$B$2645,0)-1,0))</f>
        <v>0</v>
      </c>
      <c r="T25" s="1">
        <f ca="1" t="shared" si="5"/>
        <v>0</v>
      </c>
      <c r="U25" s="5">
        <f ca="1" t="shared" si="13"/>
        <v>0</v>
      </c>
      <c r="V25" s="1">
        <f ca="1">IF(C25&lt;3,0,OFFSET(控制台!$Y$2641,MATCH(C25,控制台!$B$2641:$B$2645,0)-1,0))</f>
        <v>0</v>
      </c>
      <c r="W25" s="1">
        <f ca="1" t="shared" si="6"/>
        <v>0</v>
      </c>
      <c r="X25" s="5">
        <f ca="1" t="shared" si="14"/>
        <v>0</v>
      </c>
    </row>
    <row r="26" spans="1:24">
      <c r="A26" s="9">
        <v>6</v>
      </c>
      <c r="B26" s="1">
        <f t="shared" si="7"/>
        <v>0.5</v>
      </c>
      <c r="C26" s="1">
        <f ca="1">OFFSET(控制台!$B$2625,MATCH(IF(A26&lt;7,MAX(0,A26-0.5),A26),控制台!$D$2625:$D$2630,1)-1,0)</f>
        <v>2</v>
      </c>
      <c r="D26" s="1">
        <f ca="1">IF(C26=0,0,OFFSET(控制台!$H$2641,MATCH(C26,控制台!$B$2641:$B$2645,0)-1,0)+OFFSET(控制台!$AA$2641,MATCH(C26,控制台!$B$2641:$B$2645,0)-1,0))</f>
        <v>1185600</v>
      </c>
      <c r="E26" s="1">
        <f ca="1" t="shared" si="0"/>
        <v>592800</v>
      </c>
      <c r="F26" s="5">
        <f ca="1" t="shared" si="8"/>
        <v>5631600</v>
      </c>
      <c r="G26" s="1">
        <f ca="1">IF(C26=0,0,OFFSET(控制台!$L$2641,MATCH(C26,控制台!$B$2641:$B$2645,0)-1,0))</f>
        <v>43200</v>
      </c>
      <c r="H26" s="1">
        <f ca="1" t="shared" si="1"/>
        <v>21600</v>
      </c>
      <c r="I26" s="5">
        <f ca="1" t="shared" si="9"/>
        <v>207360</v>
      </c>
      <c r="J26" s="1">
        <f ca="1">IF(C26&lt;3,0,OFFSET(控制台!$U$2641,MATCH(C26,控制台!$B$2641:$B$2645,0)-1,0))</f>
        <v>0</v>
      </c>
      <c r="K26" s="1">
        <f ca="1" t="shared" si="2"/>
        <v>0</v>
      </c>
      <c r="L26" s="5">
        <f ca="1" t="shared" si="10"/>
        <v>0</v>
      </c>
      <c r="M26" s="1">
        <f ca="1">IF(C26&lt;3,0,OFFSET(控制台!$V$2641,MATCH(C26,控制台!$B$2641:$B$2645,0)-1,0))</f>
        <v>0</v>
      </c>
      <c r="N26" s="1">
        <f ca="1" t="shared" si="3"/>
        <v>0</v>
      </c>
      <c r="O26" s="5">
        <f ca="1" t="shared" si="11"/>
        <v>0</v>
      </c>
      <c r="P26" s="1">
        <f ca="1">IF(C26&lt;3,0,OFFSET(控制台!$W$2641,MATCH(C26,控制台!$B$2641:$B$2645,0)-1,0))</f>
        <v>0</v>
      </c>
      <c r="Q26" s="1">
        <f ca="1" t="shared" si="4"/>
        <v>0</v>
      </c>
      <c r="R26" s="5">
        <f ca="1" t="shared" si="12"/>
        <v>0</v>
      </c>
      <c r="S26" s="1">
        <f ca="1">IF(C26&lt;3,0,OFFSET(控制台!$X$2641,MATCH(C26,控制台!$B$2641:$B$2645,0)-1,0))</f>
        <v>0</v>
      </c>
      <c r="T26" s="1">
        <f ca="1" t="shared" si="5"/>
        <v>0</v>
      </c>
      <c r="U26" s="5">
        <f ca="1" t="shared" si="13"/>
        <v>0</v>
      </c>
      <c r="V26" s="1">
        <f ca="1">IF(C26&lt;3,0,OFFSET(控制台!$Y$2641,MATCH(C26,控制台!$B$2641:$B$2645,0)-1,0))</f>
        <v>0</v>
      </c>
      <c r="W26" s="1">
        <f ca="1" t="shared" si="6"/>
        <v>0</v>
      </c>
      <c r="X26" s="5">
        <f ca="1" t="shared" si="14"/>
        <v>0</v>
      </c>
    </row>
    <row r="27" spans="1:24">
      <c r="A27" s="9">
        <v>6.5</v>
      </c>
      <c r="B27" s="1">
        <f t="shared" si="7"/>
        <v>0.5</v>
      </c>
      <c r="C27" s="1">
        <f ca="1">OFFSET(控制台!$B$2625,MATCH(IF(A27&lt;7,MAX(0,A27-0.5),A27),控制台!$D$2625:$D$2630,1)-1,0)</f>
        <v>2</v>
      </c>
      <c r="D27" s="1">
        <f ca="1">IF(C27=0,0,OFFSET(控制台!$H$2641,MATCH(C27,控制台!$B$2641:$B$2645,0)-1,0)+OFFSET(控制台!$AA$2641,MATCH(C27,控制台!$B$2641:$B$2645,0)-1,0))</f>
        <v>1185600</v>
      </c>
      <c r="E27" s="1">
        <f ca="1" t="shared" si="0"/>
        <v>592800</v>
      </c>
      <c r="F27" s="5">
        <f ca="1" t="shared" si="8"/>
        <v>6224400</v>
      </c>
      <c r="G27" s="1">
        <f ca="1">IF(C27=0,0,OFFSET(控制台!$L$2641,MATCH(C27,控制台!$B$2641:$B$2645,0)-1,0))</f>
        <v>43200</v>
      </c>
      <c r="H27" s="1">
        <f ca="1" t="shared" si="1"/>
        <v>21600</v>
      </c>
      <c r="I27" s="5">
        <f ca="1" t="shared" si="9"/>
        <v>228960</v>
      </c>
      <c r="J27" s="1">
        <f ca="1">IF(C27&lt;3,0,OFFSET(控制台!$U$2641,MATCH(C27,控制台!$B$2641:$B$2645,0)-1,0))</f>
        <v>0</v>
      </c>
      <c r="K27" s="1">
        <f ca="1" t="shared" si="2"/>
        <v>0</v>
      </c>
      <c r="L27" s="5">
        <f ca="1" t="shared" si="10"/>
        <v>0</v>
      </c>
      <c r="M27" s="1">
        <f ca="1">IF(C27&lt;3,0,OFFSET(控制台!$V$2641,MATCH(C27,控制台!$B$2641:$B$2645,0)-1,0))</f>
        <v>0</v>
      </c>
      <c r="N27" s="1">
        <f ca="1" t="shared" si="3"/>
        <v>0</v>
      </c>
      <c r="O27" s="5">
        <f ca="1" t="shared" si="11"/>
        <v>0</v>
      </c>
      <c r="P27" s="1">
        <f ca="1">IF(C27&lt;3,0,OFFSET(控制台!$W$2641,MATCH(C27,控制台!$B$2641:$B$2645,0)-1,0))</f>
        <v>0</v>
      </c>
      <c r="Q27" s="1">
        <f ca="1" t="shared" si="4"/>
        <v>0</v>
      </c>
      <c r="R27" s="5">
        <f ca="1" t="shared" si="12"/>
        <v>0</v>
      </c>
      <c r="S27" s="1">
        <f ca="1">IF(C27&lt;3,0,OFFSET(控制台!$X$2641,MATCH(C27,控制台!$B$2641:$B$2645,0)-1,0))</f>
        <v>0</v>
      </c>
      <c r="T27" s="1">
        <f ca="1" t="shared" si="5"/>
        <v>0</v>
      </c>
      <c r="U27" s="5">
        <f ca="1" t="shared" si="13"/>
        <v>0</v>
      </c>
      <c r="V27" s="1">
        <f ca="1">IF(C27&lt;3,0,OFFSET(控制台!$Y$2641,MATCH(C27,控制台!$B$2641:$B$2645,0)-1,0))</f>
        <v>0</v>
      </c>
      <c r="W27" s="1">
        <f ca="1" t="shared" si="6"/>
        <v>0</v>
      </c>
      <c r="X27" s="5">
        <f ca="1" t="shared" si="14"/>
        <v>0</v>
      </c>
    </row>
    <row r="28" spans="1:24">
      <c r="A28" s="9">
        <v>7</v>
      </c>
      <c r="B28" s="1">
        <f t="shared" si="7"/>
        <v>0.5</v>
      </c>
      <c r="C28" s="1">
        <f ca="1">OFFSET(控制台!$B$2625,MATCH(IF(A28&lt;7,MAX(0,A28-0.5),A28),控制台!$D$2625:$D$2630,1)-1,0)</f>
        <v>3</v>
      </c>
      <c r="D28" s="1">
        <f ca="1">IF(C28=0,0,OFFSET(控制台!$H$2641,MATCH(C28,控制台!$B$2641:$B$2645,0)-1,0)+OFFSET(控制台!$AA$2641,MATCH(C28,控制台!$B$2641:$B$2645,0)-1,0))</f>
        <v>1573600</v>
      </c>
      <c r="E28" s="1">
        <f ca="1" t="shared" si="0"/>
        <v>786800</v>
      </c>
      <c r="F28" s="5">
        <f ca="1" t="shared" si="8"/>
        <v>7011200</v>
      </c>
      <c r="G28" s="1">
        <f ca="1">IF(C28=0,0,OFFSET(控制台!$L$2641,MATCH(C28,控制台!$B$2641:$B$2645,0)-1,0))</f>
        <v>129600</v>
      </c>
      <c r="H28" s="1">
        <f ca="1" t="shared" si="1"/>
        <v>64800</v>
      </c>
      <c r="I28" s="5">
        <f ca="1" t="shared" si="9"/>
        <v>293760</v>
      </c>
      <c r="J28" s="1">
        <f ca="1">IF(C28&lt;3,0,OFFSET(控制台!$U$2641,MATCH(C28,控制台!$B$2641:$B$2645,0)-1,0))</f>
        <v>432000</v>
      </c>
      <c r="K28" s="1">
        <f ca="1" t="shared" si="2"/>
        <v>216000</v>
      </c>
      <c r="L28" s="5">
        <f ca="1" t="shared" si="10"/>
        <v>216000</v>
      </c>
      <c r="M28" s="1">
        <f ca="1">IF(C28&lt;3,0,OFFSET(控制台!$V$2641,MATCH(C28,控制台!$B$2641:$B$2645,0)-1,0))</f>
        <v>124.416</v>
      </c>
      <c r="N28" s="1">
        <f ca="1" t="shared" si="3"/>
        <v>62.208</v>
      </c>
      <c r="O28" s="5">
        <f ca="1" t="shared" si="11"/>
        <v>62.208</v>
      </c>
      <c r="P28" s="1">
        <f ca="1">IF(C28&lt;3,0,OFFSET(控制台!$W$2641,MATCH(C28,控制台!$B$2641:$B$2645,0)-1,0))</f>
        <v>0.72</v>
      </c>
      <c r="Q28" s="1">
        <f ca="1" t="shared" si="4"/>
        <v>0.36</v>
      </c>
      <c r="R28" s="5">
        <f ca="1" t="shared" si="12"/>
        <v>0.36</v>
      </c>
      <c r="S28" s="1">
        <f ca="1">IF(C28&lt;3,0,OFFSET(控制台!$X$2641,MATCH(C28,控制台!$B$2641:$B$2645,0)-1,0))</f>
        <v>16.56</v>
      </c>
      <c r="T28" s="1">
        <f ca="1" t="shared" si="5"/>
        <v>8.28</v>
      </c>
      <c r="U28" s="5">
        <f ca="1" t="shared" si="13"/>
        <v>8.28</v>
      </c>
      <c r="V28" s="1">
        <f ca="1">IF(C28&lt;3,0,OFFSET(控制台!$Y$2641,MATCH(C28,控制台!$B$2641:$B$2645,0)-1,0))</f>
        <v>216</v>
      </c>
      <c r="W28" s="1">
        <f ca="1" t="shared" si="6"/>
        <v>108</v>
      </c>
      <c r="X28" s="5">
        <f ca="1" t="shared" si="14"/>
        <v>108</v>
      </c>
    </row>
    <row r="29" spans="1:24">
      <c r="A29" s="10">
        <v>8</v>
      </c>
      <c r="B29" s="1">
        <f t="shared" si="7"/>
        <v>1</v>
      </c>
      <c r="C29" s="1">
        <f ca="1">OFFSET(控制台!$B$2625,MATCH(IF(A29&lt;7,MAX(0,A29-0.5),A29),控制台!$D$2625:$D$2630,1)-1,0)</f>
        <v>3</v>
      </c>
      <c r="D29" s="1">
        <f ca="1">IF(C29=0,0,OFFSET(控制台!$H$2641,MATCH(C29,控制台!$B$2641:$B$2645,0)-1,0)+OFFSET(控制台!$AA$2641,MATCH(C29,控制台!$B$2641:$B$2645,0)-1,0))</f>
        <v>1573600</v>
      </c>
      <c r="E29" s="1">
        <f ca="1" t="shared" si="0"/>
        <v>1573600</v>
      </c>
      <c r="F29" s="5">
        <f ca="1" t="shared" si="8"/>
        <v>8584800</v>
      </c>
      <c r="G29" s="1">
        <f ca="1">IF(C29=0,0,OFFSET(控制台!$L$2641,MATCH(C29,控制台!$B$2641:$B$2645,0)-1,0))</f>
        <v>129600</v>
      </c>
      <c r="H29" s="1">
        <f ca="1" t="shared" si="1"/>
        <v>129600</v>
      </c>
      <c r="I29" s="5">
        <f ca="1" t="shared" si="9"/>
        <v>423360</v>
      </c>
      <c r="J29" s="1">
        <f ca="1">IF(C29&lt;3,0,OFFSET(控制台!$U$2641,MATCH(C29,控制台!$B$2641:$B$2645,0)-1,0))</f>
        <v>432000</v>
      </c>
      <c r="K29" s="1">
        <f ca="1" t="shared" si="2"/>
        <v>432000</v>
      </c>
      <c r="L29" s="5">
        <f ca="1" t="shared" si="10"/>
        <v>648000</v>
      </c>
      <c r="M29" s="1">
        <f ca="1">IF(C29&lt;3,0,OFFSET(控制台!$V$2641,MATCH(C29,控制台!$B$2641:$B$2645,0)-1,0))</f>
        <v>124.416</v>
      </c>
      <c r="N29" s="1">
        <f ca="1" t="shared" si="3"/>
        <v>124.416</v>
      </c>
      <c r="O29" s="5">
        <f ca="1" t="shared" si="11"/>
        <v>186.624</v>
      </c>
      <c r="P29" s="1">
        <f ca="1">IF(C29&lt;3,0,OFFSET(控制台!$W$2641,MATCH(C29,控制台!$B$2641:$B$2645,0)-1,0))</f>
        <v>0.72</v>
      </c>
      <c r="Q29" s="1">
        <f ca="1" t="shared" si="4"/>
        <v>0.72</v>
      </c>
      <c r="R29" s="5">
        <f ca="1" t="shared" si="12"/>
        <v>1.08</v>
      </c>
      <c r="S29" s="1">
        <f ca="1">IF(C29&lt;3,0,OFFSET(控制台!$X$2641,MATCH(C29,控制台!$B$2641:$B$2645,0)-1,0))</f>
        <v>16.56</v>
      </c>
      <c r="T29" s="1">
        <f ca="1" t="shared" si="5"/>
        <v>16.56</v>
      </c>
      <c r="U29" s="5">
        <f ca="1" t="shared" si="13"/>
        <v>24.84</v>
      </c>
      <c r="V29" s="1">
        <f ca="1">IF(C29&lt;3,0,OFFSET(控制台!$Y$2641,MATCH(C29,控制台!$B$2641:$B$2645,0)-1,0))</f>
        <v>216</v>
      </c>
      <c r="W29" s="1">
        <f ca="1" t="shared" si="6"/>
        <v>216</v>
      </c>
      <c r="X29" s="5">
        <f ca="1" t="shared" si="14"/>
        <v>324</v>
      </c>
    </row>
    <row r="30" spans="1:24">
      <c r="A30" s="10">
        <v>9</v>
      </c>
      <c r="B30" s="1">
        <f t="shared" si="7"/>
        <v>1</v>
      </c>
      <c r="C30" s="1">
        <f ca="1">OFFSET(控制台!$B$2625,MATCH(IF(A30&lt;7,MAX(0,A30-0.5),A30),控制台!$D$2625:$D$2630,1)-1,0)</f>
        <v>3</v>
      </c>
      <c r="D30" s="1">
        <f ca="1">IF(C30=0,0,OFFSET(控制台!$H$2641,MATCH(C30,控制台!$B$2641:$B$2645,0)-1,0)+OFFSET(控制台!$AA$2641,MATCH(C30,控制台!$B$2641:$B$2645,0)-1,0))</f>
        <v>1573600</v>
      </c>
      <c r="E30" s="1">
        <f ca="1" t="shared" si="0"/>
        <v>1573600</v>
      </c>
      <c r="F30" s="5">
        <f ca="1" t="shared" si="8"/>
        <v>10158400</v>
      </c>
      <c r="G30" s="1">
        <f ca="1">IF(C30=0,0,OFFSET(控制台!$L$2641,MATCH(C30,控制台!$B$2641:$B$2645,0)-1,0))</f>
        <v>129600</v>
      </c>
      <c r="H30" s="1">
        <f ca="1" t="shared" si="1"/>
        <v>129600</v>
      </c>
      <c r="I30" s="5">
        <f ca="1" t="shared" si="9"/>
        <v>552960</v>
      </c>
      <c r="J30" s="1">
        <f ca="1">IF(C30&lt;3,0,OFFSET(控制台!$U$2641,MATCH(C30,控制台!$B$2641:$B$2645,0)-1,0))</f>
        <v>432000</v>
      </c>
      <c r="K30" s="1">
        <f ca="1" t="shared" si="2"/>
        <v>432000</v>
      </c>
      <c r="L30" s="5">
        <f ca="1" t="shared" si="10"/>
        <v>1080000</v>
      </c>
      <c r="M30" s="1">
        <f ca="1">IF(C30&lt;3,0,OFFSET(控制台!$V$2641,MATCH(C30,控制台!$B$2641:$B$2645,0)-1,0))</f>
        <v>124.416</v>
      </c>
      <c r="N30" s="1">
        <f ca="1" t="shared" si="3"/>
        <v>124.416</v>
      </c>
      <c r="O30" s="5">
        <f ca="1" t="shared" si="11"/>
        <v>311.04</v>
      </c>
      <c r="P30" s="1">
        <f ca="1">IF(C30&lt;3,0,OFFSET(控制台!$W$2641,MATCH(C30,控制台!$B$2641:$B$2645,0)-1,0))</f>
        <v>0.72</v>
      </c>
      <c r="Q30" s="1">
        <f ca="1" t="shared" si="4"/>
        <v>0.72</v>
      </c>
      <c r="R30" s="5">
        <f ca="1" t="shared" si="12"/>
        <v>1.8</v>
      </c>
      <c r="S30" s="1">
        <f ca="1">IF(C30&lt;3,0,OFFSET(控制台!$X$2641,MATCH(C30,控制台!$B$2641:$B$2645,0)-1,0))</f>
        <v>16.56</v>
      </c>
      <c r="T30" s="1">
        <f ca="1" t="shared" si="5"/>
        <v>16.56</v>
      </c>
      <c r="U30" s="5">
        <f ca="1" t="shared" si="13"/>
        <v>41.4</v>
      </c>
      <c r="V30" s="1">
        <f ca="1">IF(C30&lt;3,0,OFFSET(控制台!$Y$2641,MATCH(C30,控制台!$B$2641:$B$2645,0)-1,0))</f>
        <v>216</v>
      </c>
      <c r="W30" s="1">
        <f ca="1" t="shared" si="6"/>
        <v>216</v>
      </c>
      <c r="X30" s="5">
        <f ca="1" t="shared" si="14"/>
        <v>540</v>
      </c>
    </row>
    <row r="31" spans="1:24">
      <c r="A31" s="10">
        <v>10</v>
      </c>
      <c r="B31" s="1">
        <f t="shared" si="7"/>
        <v>1</v>
      </c>
      <c r="C31" s="1">
        <f ca="1">OFFSET(控制台!$B$2625,MATCH(IF(A31&lt;7,MAX(0,A31-0.5),A31),控制台!$D$2625:$D$2630,1)-1,0)</f>
        <v>3</v>
      </c>
      <c r="D31" s="1">
        <f ca="1">IF(C31=0,0,OFFSET(控制台!$H$2641,MATCH(C31,控制台!$B$2641:$B$2645,0)-1,0)+OFFSET(控制台!$AA$2641,MATCH(C31,控制台!$B$2641:$B$2645,0)-1,0))</f>
        <v>1573600</v>
      </c>
      <c r="E31" s="1">
        <f ca="1" t="shared" si="0"/>
        <v>1573600</v>
      </c>
      <c r="F31" s="5">
        <f ca="1" t="shared" si="8"/>
        <v>11732000</v>
      </c>
      <c r="G31" s="1">
        <f ca="1">IF(C31=0,0,OFFSET(控制台!$L$2641,MATCH(C31,控制台!$B$2641:$B$2645,0)-1,0))</f>
        <v>129600</v>
      </c>
      <c r="H31" s="1">
        <f ca="1" t="shared" si="1"/>
        <v>129600</v>
      </c>
      <c r="I31" s="5">
        <f ca="1" t="shared" si="9"/>
        <v>682560</v>
      </c>
      <c r="J31" s="1">
        <f ca="1">IF(C31&lt;3,0,OFFSET(控制台!$U$2641,MATCH(C31,控制台!$B$2641:$B$2645,0)-1,0))</f>
        <v>432000</v>
      </c>
      <c r="K31" s="1">
        <f ca="1" t="shared" si="2"/>
        <v>432000</v>
      </c>
      <c r="L31" s="5">
        <f ca="1" t="shared" si="10"/>
        <v>1512000</v>
      </c>
      <c r="M31" s="1">
        <f ca="1">IF(C31&lt;3,0,OFFSET(控制台!$V$2641,MATCH(C31,控制台!$B$2641:$B$2645,0)-1,0))</f>
        <v>124.416</v>
      </c>
      <c r="N31" s="1">
        <f ca="1" t="shared" si="3"/>
        <v>124.416</v>
      </c>
      <c r="O31" s="5">
        <f ca="1" t="shared" si="11"/>
        <v>435.456</v>
      </c>
      <c r="P31" s="1">
        <f ca="1">IF(C31&lt;3,0,OFFSET(控制台!$W$2641,MATCH(C31,控制台!$B$2641:$B$2645,0)-1,0))</f>
        <v>0.72</v>
      </c>
      <c r="Q31" s="1">
        <f ca="1" t="shared" si="4"/>
        <v>0.72</v>
      </c>
      <c r="R31" s="5">
        <f ca="1" t="shared" si="12"/>
        <v>2.52</v>
      </c>
      <c r="S31" s="1">
        <f ca="1">IF(C31&lt;3,0,OFFSET(控制台!$X$2641,MATCH(C31,控制台!$B$2641:$B$2645,0)-1,0))</f>
        <v>16.56</v>
      </c>
      <c r="T31" s="1">
        <f ca="1" t="shared" si="5"/>
        <v>16.56</v>
      </c>
      <c r="U31" s="5">
        <f ca="1" t="shared" si="13"/>
        <v>57.96</v>
      </c>
      <c r="V31" s="1">
        <f ca="1">IF(C31&lt;3,0,OFFSET(控制台!$Y$2641,MATCH(C31,控制台!$B$2641:$B$2645,0)-1,0))</f>
        <v>216</v>
      </c>
      <c r="W31" s="1">
        <f ca="1" t="shared" si="6"/>
        <v>216</v>
      </c>
      <c r="X31" s="5">
        <f ca="1" t="shared" si="14"/>
        <v>756</v>
      </c>
    </row>
    <row r="32" spans="1:24">
      <c r="A32" s="10">
        <v>11</v>
      </c>
      <c r="B32" s="1">
        <f t="shared" si="7"/>
        <v>1</v>
      </c>
      <c r="C32" s="1">
        <f ca="1">OFFSET(控制台!$B$2625,MATCH(IF(A32&lt;7,MAX(0,A32-0.5),A32),控制台!$D$2625:$D$2630,1)-1,0)</f>
        <v>3</v>
      </c>
      <c r="D32" s="1">
        <f ca="1">IF(C32=0,0,OFFSET(控制台!$H$2641,MATCH(C32,控制台!$B$2641:$B$2645,0)-1,0)+OFFSET(控制台!$AA$2641,MATCH(C32,控制台!$B$2641:$B$2645,0)-1,0))</f>
        <v>1573600</v>
      </c>
      <c r="E32" s="1">
        <f ca="1" t="shared" si="0"/>
        <v>1573600</v>
      </c>
      <c r="F32" s="5">
        <f ca="1" t="shared" si="8"/>
        <v>13305600</v>
      </c>
      <c r="G32" s="1">
        <f ca="1">IF(C32=0,0,OFFSET(控制台!$L$2641,MATCH(C32,控制台!$B$2641:$B$2645,0)-1,0))</f>
        <v>129600</v>
      </c>
      <c r="H32" s="1">
        <f ca="1" t="shared" si="1"/>
        <v>129600</v>
      </c>
      <c r="I32" s="5">
        <f ca="1" t="shared" si="9"/>
        <v>812160</v>
      </c>
      <c r="J32" s="1">
        <f ca="1">IF(C32&lt;3,0,OFFSET(控制台!$U$2641,MATCH(C32,控制台!$B$2641:$B$2645,0)-1,0))</f>
        <v>432000</v>
      </c>
      <c r="K32" s="1">
        <f ca="1" t="shared" si="2"/>
        <v>432000</v>
      </c>
      <c r="L32" s="5">
        <f ca="1" t="shared" si="10"/>
        <v>1944000</v>
      </c>
      <c r="M32" s="1">
        <f ca="1">IF(C32&lt;3,0,OFFSET(控制台!$V$2641,MATCH(C32,控制台!$B$2641:$B$2645,0)-1,0))</f>
        <v>124.416</v>
      </c>
      <c r="N32" s="1">
        <f ca="1" t="shared" si="3"/>
        <v>124.416</v>
      </c>
      <c r="O32" s="5">
        <f ca="1" t="shared" si="11"/>
        <v>559.872</v>
      </c>
      <c r="P32" s="1">
        <f ca="1">IF(C32&lt;3,0,OFFSET(控制台!$W$2641,MATCH(C32,控制台!$B$2641:$B$2645,0)-1,0))</f>
        <v>0.72</v>
      </c>
      <c r="Q32" s="1">
        <f ca="1" t="shared" si="4"/>
        <v>0.72</v>
      </c>
      <c r="R32" s="5">
        <f ca="1" t="shared" si="12"/>
        <v>3.24</v>
      </c>
      <c r="S32" s="1">
        <f ca="1">IF(C32&lt;3,0,OFFSET(控制台!$X$2641,MATCH(C32,控制台!$B$2641:$B$2645,0)-1,0))</f>
        <v>16.56</v>
      </c>
      <c r="T32" s="1">
        <f ca="1" t="shared" si="5"/>
        <v>16.56</v>
      </c>
      <c r="U32" s="5">
        <f ca="1" t="shared" si="13"/>
        <v>74.52</v>
      </c>
      <c r="V32" s="1">
        <f ca="1">IF(C32&lt;3,0,OFFSET(控制台!$Y$2641,MATCH(C32,控制台!$B$2641:$B$2645,0)-1,0))</f>
        <v>216</v>
      </c>
      <c r="W32" s="1">
        <f ca="1" t="shared" si="6"/>
        <v>216</v>
      </c>
      <c r="X32" s="5">
        <f ca="1" t="shared" si="14"/>
        <v>972</v>
      </c>
    </row>
    <row r="33" spans="1:24">
      <c r="A33" s="10">
        <v>12</v>
      </c>
      <c r="B33" s="1">
        <f t="shared" si="7"/>
        <v>1</v>
      </c>
      <c r="C33" s="1">
        <f ca="1">OFFSET(控制台!$B$2625,MATCH(IF(A33&lt;7,MAX(0,A33-0.5),A33),控制台!$D$2625:$D$2630,1)-1,0)</f>
        <v>3</v>
      </c>
      <c r="D33" s="1">
        <f ca="1">IF(C33=0,0,OFFSET(控制台!$H$2641,MATCH(C33,控制台!$B$2641:$B$2645,0)-1,0)+OFFSET(控制台!$AA$2641,MATCH(C33,控制台!$B$2641:$B$2645,0)-1,0))</f>
        <v>1573600</v>
      </c>
      <c r="E33" s="1">
        <f ca="1" t="shared" si="0"/>
        <v>1573600</v>
      </c>
      <c r="F33" s="5">
        <f ca="1" t="shared" si="8"/>
        <v>14879200</v>
      </c>
      <c r="G33" s="1">
        <f ca="1">IF(C33=0,0,OFFSET(控制台!$L$2641,MATCH(C33,控制台!$B$2641:$B$2645,0)-1,0))</f>
        <v>129600</v>
      </c>
      <c r="H33" s="1">
        <f ca="1" t="shared" si="1"/>
        <v>129600</v>
      </c>
      <c r="I33" s="5">
        <f ca="1" t="shared" si="9"/>
        <v>941760</v>
      </c>
      <c r="J33" s="1">
        <f ca="1">IF(C33&lt;3,0,OFFSET(控制台!$U$2641,MATCH(C33,控制台!$B$2641:$B$2645,0)-1,0))</f>
        <v>432000</v>
      </c>
      <c r="K33" s="1">
        <f ca="1" t="shared" si="2"/>
        <v>432000</v>
      </c>
      <c r="L33" s="5">
        <f ca="1" t="shared" si="10"/>
        <v>2376000</v>
      </c>
      <c r="M33" s="1">
        <f ca="1">IF(C33&lt;3,0,OFFSET(控制台!$V$2641,MATCH(C33,控制台!$B$2641:$B$2645,0)-1,0))</f>
        <v>124.416</v>
      </c>
      <c r="N33" s="1">
        <f ca="1" t="shared" si="3"/>
        <v>124.416</v>
      </c>
      <c r="O33" s="5">
        <f ca="1" t="shared" si="11"/>
        <v>684.288</v>
      </c>
      <c r="P33" s="1">
        <f ca="1">IF(C33&lt;3,0,OFFSET(控制台!$W$2641,MATCH(C33,控制台!$B$2641:$B$2645,0)-1,0))</f>
        <v>0.72</v>
      </c>
      <c r="Q33" s="1">
        <f ca="1" t="shared" si="4"/>
        <v>0.72</v>
      </c>
      <c r="R33" s="5">
        <f ca="1" t="shared" si="12"/>
        <v>3.96</v>
      </c>
      <c r="S33" s="1">
        <f ca="1">IF(C33&lt;3,0,OFFSET(控制台!$X$2641,MATCH(C33,控制台!$B$2641:$B$2645,0)-1,0))</f>
        <v>16.56</v>
      </c>
      <c r="T33" s="1">
        <f ca="1" t="shared" si="5"/>
        <v>16.56</v>
      </c>
      <c r="U33" s="5">
        <f ca="1" t="shared" si="13"/>
        <v>91.08</v>
      </c>
      <c r="V33" s="1">
        <f ca="1">IF(C33&lt;3,0,OFFSET(控制台!$Y$2641,MATCH(C33,控制台!$B$2641:$B$2645,0)-1,0))</f>
        <v>216</v>
      </c>
      <c r="W33" s="1">
        <f ca="1" t="shared" si="6"/>
        <v>216</v>
      </c>
      <c r="X33" s="5">
        <f ca="1" t="shared" si="14"/>
        <v>1188</v>
      </c>
    </row>
    <row r="34" spans="1:24">
      <c r="A34" s="10">
        <v>13</v>
      </c>
      <c r="B34" s="1">
        <f t="shared" si="7"/>
        <v>1</v>
      </c>
      <c r="C34" s="1">
        <f ca="1">OFFSET(控制台!$B$2625,MATCH(IF(A34&lt;7,MAX(0,A34-0.5),A34),控制台!$D$2625:$D$2630,1)-1,0)</f>
        <v>3</v>
      </c>
      <c r="D34" s="1">
        <f ca="1">IF(C34=0,0,OFFSET(控制台!$H$2641,MATCH(C34,控制台!$B$2641:$B$2645,0)-1,0)+OFFSET(控制台!$AA$2641,MATCH(C34,控制台!$B$2641:$B$2645,0)-1,0))</f>
        <v>1573600</v>
      </c>
      <c r="E34" s="1">
        <f ca="1" t="shared" si="0"/>
        <v>1573600</v>
      </c>
      <c r="F34" s="5">
        <f ca="1" t="shared" si="8"/>
        <v>16452800</v>
      </c>
      <c r="G34" s="1">
        <f ca="1">IF(C34=0,0,OFFSET(控制台!$L$2641,MATCH(C34,控制台!$B$2641:$B$2645,0)-1,0))</f>
        <v>129600</v>
      </c>
      <c r="H34" s="1">
        <f ca="1" t="shared" si="1"/>
        <v>129600</v>
      </c>
      <c r="I34" s="5">
        <f ca="1" t="shared" si="9"/>
        <v>1071360</v>
      </c>
      <c r="J34" s="1">
        <f ca="1">IF(C34&lt;3,0,OFFSET(控制台!$U$2641,MATCH(C34,控制台!$B$2641:$B$2645,0)-1,0))</f>
        <v>432000</v>
      </c>
      <c r="K34" s="1">
        <f ca="1" t="shared" si="2"/>
        <v>432000</v>
      </c>
      <c r="L34" s="5">
        <f ca="1" t="shared" si="10"/>
        <v>2808000</v>
      </c>
      <c r="M34" s="1">
        <f ca="1">IF(C34&lt;3,0,OFFSET(控制台!$V$2641,MATCH(C34,控制台!$B$2641:$B$2645,0)-1,0))</f>
        <v>124.416</v>
      </c>
      <c r="N34" s="1">
        <f ca="1" t="shared" si="3"/>
        <v>124.416</v>
      </c>
      <c r="O34" s="5">
        <f ca="1" t="shared" si="11"/>
        <v>808.704</v>
      </c>
      <c r="P34" s="1">
        <f ca="1">IF(C34&lt;3,0,OFFSET(控制台!$W$2641,MATCH(C34,控制台!$B$2641:$B$2645,0)-1,0))</f>
        <v>0.72</v>
      </c>
      <c r="Q34" s="1">
        <f ca="1" t="shared" si="4"/>
        <v>0.72</v>
      </c>
      <c r="R34" s="5">
        <f ca="1" t="shared" si="12"/>
        <v>4.68</v>
      </c>
      <c r="S34" s="1">
        <f ca="1">IF(C34&lt;3,0,OFFSET(控制台!$X$2641,MATCH(C34,控制台!$B$2641:$B$2645,0)-1,0))</f>
        <v>16.56</v>
      </c>
      <c r="T34" s="1">
        <f ca="1" t="shared" si="5"/>
        <v>16.56</v>
      </c>
      <c r="U34" s="5">
        <f ca="1" t="shared" si="13"/>
        <v>107.64</v>
      </c>
      <c r="V34" s="1">
        <f ca="1">IF(C34&lt;3,0,OFFSET(控制台!$Y$2641,MATCH(C34,控制台!$B$2641:$B$2645,0)-1,0))</f>
        <v>216</v>
      </c>
      <c r="W34" s="1">
        <f ca="1" t="shared" si="6"/>
        <v>216</v>
      </c>
      <c r="X34" s="5">
        <f ca="1" t="shared" si="14"/>
        <v>1404</v>
      </c>
    </row>
    <row r="35" spans="1:24">
      <c r="A35" s="10">
        <v>14</v>
      </c>
      <c r="B35" s="1">
        <f t="shared" si="7"/>
        <v>1</v>
      </c>
      <c r="C35" s="1">
        <f ca="1">OFFSET(控制台!$B$2625,MATCH(IF(A35&lt;7,MAX(0,A35-0.5),A35),控制台!$D$2625:$D$2630,1)-1,0)</f>
        <v>3</v>
      </c>
      <c r="D35" s="1">
        <f ca="1">IF(C35=0,0,OFFSET(控制台!$H$2641,MATCH(C35,控制台!$B$2641:$B$2645,0)-1,0)+OFFSET(控制台!$AA$2641,MATCH(C35,控制台!$B$2641:$B$2645,0)-1,0))</f>
        <v>1573600</v>
      </c>
      <c r="E35" s="1">
        <f ca="1" t="shared" si="0"/>
        <v>1573600</v>
      </c>
      <c r="F35" s="5">
        <f ca="1" t="shared" si="8"/>
        <v>18026400</v>
      </c>
      <c r="G35" s="1">
        <f ca="1">IF(C35=0,0,OFFSET(控制台!$L$2641,MATCH(C35,控制台!$B$2641:$B$2645,0)-1,0))</f>
        <v>129600</v>
      </c>
      <c r="H35" s="1">
        <f ca="1" t="shared" si="1"/>
        <v>129600</v>
      </c>
      <c r="I35" s="5">
        <f ca="1" t="shared" si="9"/>
        <v>1200960</v>
      </c>
      <c r="J35" s="1">
        <f ca="1">IF(C35&lt;3,0,OFFSET(控制台!$U$2641,MATCH(C35,控制台!$B$2641:$B$2645,0)-1,0))</f>
        <v>432000</v>
      </c>
      <c r="K35" s="1">
        <f ca="1" t="shared" si="2"/>
        <v>432000</v>
      </c>
      <c r="L35" s="5">
        <f ca="1" t="shared" si="10"/>
        <v>3240000</v>
      </c>
      <c r="M35" s="1">
        <f ca="1">IF(C35&lt;3,0,OFFSET(控制台!$V$2641,MATCH(C35,控制台!$B$2641:$B$2645,0)-1,0))</f>
        <v>124.416</v>
      </c>
      <c r="N35" s="1">
        <f ca="1" t="shared" si="3"/>
        <v>124.416</v>
      </c>
      <c r="O35" s="5">
        <f ca="1" t="shared" si="11"/>
        <v>933.12</v>
      </c>
      <c r="P35" s="1">
        <f ca="1">IF(C35&lt;3,0,OFFSET(控制台!$W$2641,MATCH(C35,控制台!$B$2641:$B$2645,0)-1,0))</f>
        <v>0.72</v>
      </c>
      <c r="Q35" s="1">
        <f ca="1" t="shared" si="4"/>
        <v>0.72</v>
      </c>
      <c r="R35" s="5">
        <f ca="1" t="shared" si="12"/>
        <v>5.4</v>
      </c>
      <c r="S35" s="1">
        <f ca="1">IF(C35&lt;3,0,OFFSET(控制台!$X$2641,MATCH(C35,控制台!$B$2641:$B$2645,0)-1,0))</f>
        <v>16.56</v>
      </c>
      <c r="T35" s="1">
        <f ca="1" t="shared" si="5"/>
        <v>16.56</v>
      </c>
      <c r="U35" s="5">
        <f ca="1" t="shared" si="13"/>
        <v>124.2</v>
      </c>
      <c r="V35" s="1">
        <f ca="1">IF(C35&lt;3,0,OFFSET(控制台!$Y$2641,MATCH(C35,控制台!$B$2641:$B$2645,0)-1,0))</f>
        <v>216</v>
      </c>
      <c r="W35" s="1">
        <f ca="1" t="shared" si="6"/>
        <v>216</v>
      </c>
      <c r="X35" s="5">
        <f ca="1" t="shared" si="14"/>
        <v>1620</v>
      </c>
    </row>
    <row r="36" spans="1:24">
      <c r="A36" s="10">
        <v>15</v>
      </c>
      <c r="B36" s="1">
        <f t="shared" si="7"/>
        <v>1</v>
      </c>
      <c r="C36" s="1">
        <f ca="1">OFFSET(控制台!$B$2625,MATCH(IF(A36&lt;7,MAX(0,A36-0.5),A36),控制台!$D$2625:$D$2630,1)-1,0)</f>
        <v>3</v>
      </c>
      <c r="D36" s="1">
        <f ca="1">IF(C36=0,0,OFFSET(控制台!$H$2641,MATCH(C36,控制台!$B$2641:$B$2645,0)-1,0)+OFFSET(控制台!$AA$2641,MATCH(C36,控制台!$B$2641:$B$2645,0)-1,0))</f>
        <v>1573600</v>
      </c>
      <c r="E36" s="1">
        <f ca="1" t="shared" si="0"/>
        <v>1573600</v>
      </c>
      <c r="F36" s="5">
        <f ca="1" t="shared" si="8"/>
        <v>19600000</v>
      </c>
      <c r="G36" s="1">
        <f ca="1">IF(C36=0,0,OFFSET(控制台!$L$2641,MATCH(C36,控制台!$B$2641:$B$2645,0)-1,0))</f>
        <v>129600</v>
      </c>
      <c r="H36" s="1">
        <f ca="1" t="shared" si="1"/>
        <v>129600</v>
      </c>
      <c r="I36" s="5">
        <f ca="1" t="shared" si="9"/>
        <v>1330560</v>
      </c>
      <c r="J36" s="1">
        <f ca="1">IF(C36&lt;3,0,OFFSET(控制台!$U$2641,MATCH(C36,控制台!$B$2641:$B$2645,0)-1,0))</f>
        <v>432000</v>
      </c>
      <c r="K36" s="1">
        <f ca="1" t="shared" si="2"/>
        <v>432000</v>
      </c>
      <c r="L36" s="5">
        <f ca="1" t="shared" si="10"/>
        <v>3672000</v>
      </c>
      <c r="M36" s="1">
        <f ca="1">IF(C36&lt;3,0,OFFSET(控制台!$V$2641,MATCH(C36,控制台!$B$2641:$B$2645,0)-1,0))</f>
        <v>124.416</v>
      </c>
      <c r="N36" s="1">
        <f ca="1" t="shared" si="3"/>
        <v>124.416</v>
      </c>
      <c r="O36" s="5">
        <f ca="1" t="shared" si="11"/>
        <v>1057.536</v>
      </c>
      <c r="P36" s="1">
        <f ca="1">IF(C36&lt;3,0,OFFSET(控制台!$W$2641,MATCH(C36,控制台!$B$2641:$B$2645,0)-1,0))</f>
        <v>0.72</v>
      </c>
      <c r="Q36" s="1">
        <f ca="1" t="shared" si="4"/>
        <v>0.72</v>
      </c>
      <c r="R36" s="5">
        <f ca="1" t="shared" si="12"/>
        <v>6.12</v>
      </c>
      <c r="S36" s="1">
        <f ca="1">IF(C36&lt;3,0,OFFSET(控制台!$X$2641,MATCH(C36,控制台!$B$2641:$B$2645,0)-1,0))</f>
        <v>16.56</v>
      </c>
      <c r="T36" s="1">
        <f ca="1" t="shared" si="5"/>
        <v>16.56</v>
      </c>
      <c r="U36" s="5">
        <f ca="1" t="shared" si="13"/>
        <v>140.76</v>
      </c>
      <c r="V36" s="1">
        <f ca="1">IF(C36&lt;3,0,OFFSET(控制台!$Y$2641,MATCH(C36,控制台!$B$2641:$B$2645,0)-1,0))</f>
        <v>216</v>
      </c>
      <c r="W36" s="1">
        <f ca="1" t="shared" si="6"/>
        <v>216</v>
      </c>
      <c r="X36" s="5">
        <f ca="1" t="shared" si="14"/>
        <v>1836</v>
      </c>
    </row>
    <row r="37" spans="1:24">
      <c r="A37" s="10">
        <v>16</v>
      </c>
      <c r="B37" s="1">
        <f t="shared" si="7"/>
        <v>1</v>
      </c>
      <c r="C37" s="1">
        <f ca="1">OFFSET(控制台!$B$2625,MATCH(IF(A37&lt;7,MAX(0,A37-0.5),A37),控制台!$D$2625:$D$2630,1)-1,0)</f>
        <v>3</v>
      </c>
      <c r="D37" s="1">
        <f ca="1">IF(C37=0,0,OFFSET(控制台!$H$2641,MATCH(C37,控制台!$B$2641:$B$2645,0)-1,0)+OFFSET(控制台!$AA$2641,MATCH(C37,控制台!$B$2641:$B$2645,0)-1,0))</f>
        <v>1573600</v>
      </c>
      <c r="E37" s="1">
        <f ca="1" t="shared" si="0"/>
        <v>1573600</v>
      </c>
      <c r="F37" s="5">
        <f ca="1" t="shared" si="8"/>
        <v>21173600</v>
      </c>
      <c r="G37" s="1">
        <f ca="1">IF(C37=0,0,OFFSET(控制台!$L$2641,MATCH(C37,控制台!$B$2641:$B$2645,0)-1,0))</f>
        <v>129600</v>
      </c>
      <c r="H37" s="1">
        <f ca="1" t="shared" si="1"/>
        <v>129600</v>
      </c>
      <c r="I37" s="5">
        <f ca="1" t="shared" si="9"/>
        <v>1460160</v>
      </c>
      <c r="J37" s="1">
        <f ca="1">IF(C37&lt;3,0,OFFSET(控制台!$U$2641,MATCH(C37,控制台!$B$2641:$B$2645,0)-1,0))</f>
        <v>432000</v>
      </c>
      <c r="K37" s="1">
        <f ca="1" t="shared" si="2"/>
        <v>432000</v>
      </c>
      <c r="L37" s="5">
        <f ca="1" t="shared" si="10"/>
        <v>4104000</v>
      </c>
      <c r="M37" s="1">
        <f ca="1">IF(C37&lt;3,0,OFFSET(控制台!$V$2641,MATCH(C37,控制台!$B$2641:$B$2645,0)-1,0))</f>
        <v>124.416</v>
      </c>
      <c r="N37" s="1">
        <f ca="1" t="shared" si="3"/>
        <v>124.416</v>
      </c>
      <c r="O37" s="5">
        <f ca="1" t="shared" si="11"/>
        <v>1181.952</v>
      </c>
      <c r="P37" s="1">
        <f ca="1">IF(C37&lt;3,0,OFFSET(控制台!$W$2641,MATCH(C37,控制台!$B$2641:$B$2645,0)-1,0))</f>
        <v>0.72</v>
      </c>
      <c r="Q37" s="1">
        <f ca="1" t="shared" si="4"/>
        <v>0.72</v>
      </c>
      <c r="R37" s="5">
        <f ca="1" t="shared" si="12"/>
        <v>6.84</v>
      </c>
      <c r="S37" s="1">
        <f ca="1">IF(C37&lt;3,0,OFFSET(控制台!$X$2641,MATCH(C37,控制台!$B$2641:$B$2645,0)-1,0))</f>
        <v>16.56</v>
      </c>
      <c r="T37" s="1">
        <f ca="1" t="shared" si="5"/>
        <v>16.56</v>
      </c>
      <c r="U37" s="5">
        <f ca="1" t="shared" si="13"/>
        <v>157.32</v>
      </c>
      <c r="V37" s="1">
        <f ca="1">IF(C37&lt;3,0,OFFSET(控制台!$Y$2641,MATCH(C37,控制台!$B$2641:$B$2645,0)-1,0))</f>
        <v>216</v>
      </c>
      <c r="W37" s="1">
        <f ca="1" t="shared" si="6"/>
        <v>216</v>
      </c>
      <c r="X37" s="5">
        <f ca="1" t="shared" si="14"/>
        <v>2052</v>
      </c>
    </row>
    <row r="38" spans="1:24">
      <c r="A38" s="10">
        <v>17</v>
      </c>
      <c r="B38" s="1">
        <f t="shared" si="7"/>
        <v>1</v>
      </c>
      <c r="C38" s="1">
        <f ca="1">OFFSET(控制台!$B$2625,MATCH(IF(A38&lt;7,MAX(0,A38-0.5),A38),控制台!$D$2625:$D$2630,1)-1,0)</f>
        <v>3</v>
      </c>
      <c r="D38" s="1">
        <f ca="1">IF(C38=0,0,OFFSET(控制台!$H$2641,MATCH(C38,控制台!$B$2641:$B$2645,0)-1,0)+OFFSET(控制台!$AA$2641,MATCH(C38,控制台!$B$2641:$B$2645,0)-1,0))</f>
        <v>1573600</v>
      </c>
      <c r="E38" s="1">
        <f ca="1" t="shared" ref="E38:E69" si="15">B38*D38</f>
        <v>1573600</v>
      </c>
      <c r="F38" s="5">
        <f ca="1" t="shared" si="8"/>
        <v>22747200</v>
      </c>
      <c r="G38" s="1">
        <f ca="1">IF(C38=0,0,OFFSET(控制台!$L$2641,MATCH(C38,控制台!$B$2641:$B$2645,0)-1,0))</f>
        <v>129600</v>
      </c>
      <c r="H38" s="1">
        <f ca="1" t="shared" ref="H38:H69" si="16">G38*B38</f>
        <v>129600</v>
      </c>
      <c r="I38" s="5">
        <f ca="1" t="shared" si="9"/>
        <v>1589760</v>
      </c>
      <c r="J38" s="1">
        <f ca="1">IF(C38&lt;3,0,OFFSET(控制台!$U$2641,MATCH(C38,控制台!$B$2641:$B$2645,0)-1,0))</f>
        <v>432000</v>
      </c>
      <c r="K38" s="1">
        <f ca="1" t="shared" ref="K38:K69" si="17">J38*B38</f>
        <v>432000</v>
      </c>
      <c r="L38" s="5">
        <f ca="1" t="shared" si="10"/>
        <v>4536000</v>
      </c>
      <c r="M38" s="1">
        <f ca="1">IF(C38&lt;3,0,OFFSET(控制台!$V$2641,MATCH(C38,控制台!$B$2641:$B$2645,0)-1,0))</f>
        <v>124.416</v>
      </c>
      <c r="N38" s="1">
        <f ca="1" t="shared" ref="N38:N69" si="18">M38*B38</f>
        <v>124.416</v>
      </c>
      <c r="O38" s="5">
        <f ca="1" t="shared" si="11"/>
        <v>1306.368</v>
      </c>
      <c r="P38" s="1">
        <f ca="1">IF(C38&lt;3,0,OFFSET(控制台!$W$2641,MATCH(C38,控制台!$B$2641:$B$2645,0)-1,0))</f>
        <v>0.72</v>
      </c>
      <c r="Q38" s="1">
        <f ca="1" t="shared" ref="Q38:Q69" si="19">P38*B38</f>
        <v>0.72</v>
      </c>
      <c r="R38" s="5">
        <f ca="1" t="shared" si="12"/>
        <v>7.56</v>
      </c>
      <c r="S38" s="1">
        <f ca="1">IF(C38&lt;3,0,OFFSET(控制台!$X$2641,MATCH(C38,控制台!$B$2641:$B$2645,0)-1,0))</f>
        <v>16.56</v>
      </c>
      <c r="T38" s="1">
        <f ca="1" t="shared" ref="T38:T69" si="20">S38*B38</f>
        <v>16.56</v>
      </c>
      <c r="U38" s="5">
        <f ca="1" t="shared" si="13"/>
        <v>173.88</v>
      </c>
      <c r="V38" s="1">
        <f ca="1">IF(C38&lt;3,0,OFFSET(控制台!$Y$2641,MATCH(C38,控制台!$B$2641:$B$2645,0)-1,0))</f>
        <v>216</v>
      </c>
      <c r="W38" s="1">
        <f ca="1" t="shared" ref="W38:W69" si="21">V38*B38</f>
        <v>216</v>
      </c>
      <c r="X38" s="5">
        <f ca="1" t="shared" si="14"/>
        <v>2268</v>
      </c>
    </row>
    <row r="39" spans="1:24">
      <c r="A39" s="10">
        <v>18</v>
      </c>
      <c r="B39" s="1">
        <f t="shared" si="7"/>
        <v>1</v>
      </c>
      <c r="C39" s="1">
        <f ca="1">OFFSET(控制台!$B$2625,MATCH(IF(A39&lt;7,MAX(0,A39-0.5),A39),控制台!$D$2625:$D$2630,1)-1,0)</f>
        <v>3</v>
      </c>
      <c r="D39" s="1">
        <f ca="1">IF(C39=0,0,OFFSET(控制台!$H$2641,MATCH(C39,控制台!$B$2641:$B$2645,0)-1,0)+OFFSET(控制台!$AA$2641,MATCH(C39,控制台!$B$2641:$B$2645,0)-1,0))</f>
        <v>1573600</v>
      </c>
      <c r="E39" s="1">
        <f ca="1" t="shared" si="15"/>
        <v>1573600</v>
      </c>
      <c r="F39" s="5">
        <f ca="1" t="shared" si="8"/>
        <v>24320800</v>
      </c>
      <c r="G39" s="1">
        <f ca="1">IF(C39=0,0,OFFSET(控制台!$L$2641,MATCH(C39,控制台!$B$2641:$B$2645,0)-1,0))</f>
        <v>129600</v>
      </c>
      <c r="H39" s="1">
        <f ca="1" t="shared" si="16"/>
        <v>129600</v>
      </c>
      <c r="I39" s="5">
        <f ca="1" t="shared" si="9"/>
        <v>1719360</v>
      </c>
      <c r="J39" s="1">
        <f ca="1">IF(C39&lt;3,0,OFFSET(控制台!$U$2641,MATCH(C39,控制台!$B$2641:$B$2645,0)-1,0))</f>
        <v>432000</v>
      </c>
      <c r="K39" s="1">
        <f ca="1" t="shared" si="17"/>
        <v>432000</v>
      </c>
      <c r="L39" s="5">
        <f ca="1" t="shared" si="10"/>
        <v>4968000</v>
      </c>
      <c r="M39" s="1">
        <f ca="1">IF(C39&lt;3,0,OFFSET(控制台!$V$2641,MATCH(C39,控制台!$B$2641:$B$2645,0)-1,0))</f>
        <v>124.416</v>
      </c>
      <c r="N39" s="1">
        <f ca="1" t="shared" si="18"/>
        <v>124.416</v>
      </c>
      <c r="O39" s="5">
        <f ca="1" t="shared" si="11"/>
        <v>1430.784</v>
      </c>
      <c r="P39" s="1">
        <f ca="1">IF(C39&lt;3,0,OFFSET(控制台!$W$2641,MATCH(C39,控制台!$B$2641:$B$2645,0)-1,0))</f>
        <v>0.72</v>
      </c>
      <c r="Q39" s="1">
        <f ca="1" t="shared" si="19"/>
        <v>0.72</v>
      </c>
      <c r="R39" s="5">
        <f ca="1" t="shared" si="12"/>
        <v>8.28</v>
      </c>
      <c r="S39" s="1">
        <f ca="1">IF(C39&lt;3,0,OFFSET(控制台!$X$2641,MATCH(C39,控制台!$B$2641:$B$2645,0)-1,0))</f>
        <v>16.56</v>
      </c>
      <c r="T39" s="1">
        <f ca="1" t="shared" si="20"/>
        <v>16.56</v>
      </c>
      <c r="U39" s="5">
        <f ca="1" t="shared" si="13"/>
        <v>190.44</v>
      </c>
      <c r="V39" s="1">
        <f ca="1">IF(C39&lt;3,0,OFFSET(控制台!$Y$2641,MATCH(C39,控制台!$B$2641:$B$2645,0)-1,0))</f>
        <v>216</v>
      </c>
      <c r="W39" s="1">
        <f ca="1" t="shared" si="21"/>
        <v>216</v>
      </c>
      <c r="X39" s="5">
        <f ca="1" t="shared" si="14"/>
        <v>2484</v>
      </c>
    </row>
    <row r="40" spans="1:24">
      <c r="A40" s="10">
        <v>19</v>
      </c>
      <c r="B40" s="1">
        <f t="shared" si="7"/>
        <v>1</v>
      </c>
      <c r="C40" s="1">
        <f ca="1">OFFSET(控制台!$B$2625,MATCH(IF(A40&lt;7,MAX(0,A40-0.5),A40),控制台!$D$2625:$D$2630,1)-1,0)</f>
        <v>3</v>
      </c>
      <c r="D40" s="1">
        <f ca="1">IF(C40=0,0,OFFSET(控制台!$H$2641,MATCH(C40,控制台!$B$2641:$B$2645,0)-1,0)+OFFSET(控制台!$AA$2641,MATCH(C40,控制台!$B$2641:$B$2645,0)-1,0))</f>
        <v>1573600</v>
      </c>
      <c r="E40" s="1">
        <f ca="1" t="shared" si="15"/>
        <v>1573600</v>
      </c>
      <c r="F40" s="5">
        <f ca="1" t="shared" si="8"/>
        <v>25894400</v>
      </c>
      <c r="G40" s="1">
        <f ca="1">IF(C40=0,0,OFFSET(控制台!$L$2641,MATCH(C40,控制台!$B$2641:$B$2645,0)-1,0))</f>
        <v>129600</v>
      </c>
      <c r="H40" s="1">
        <f ca="1" t="shared" si="16"/>
        <v>129600</v>
      </c>
      <c r="I40" s="5">
        <f ca="1" t="shared" si="9"/>
        <v>1848960</v>
      </c>
      <c r="J40" s="1">
        <f ca="1">IF(C40&lt;3,0,OFFSET(控制台!$U$2641,MATCH(C40,控制台!$B$2641:$B$2645,0)-1,0))</f>
        <v>432000</v>
      </c>
      <c r="K40" s="1">
        <f ca="1" t="shared" si="17"/>
        <v>432000</v>
      </c>
      <c r="L40" s="5">
        <f ca="1" t="shared" si="10"/>
        <v>5400000</v>
      </c>
      <c r="M40" s="1">
        <f ca="1">IF(C40&lt;3,0,OFFSET(控制台!$V$2641,MATCH(C40,控制台!$B$2641:$B$2645,0)-1,0))</f>
        <v>124.416</v>
      </c>
      <c r="N40" s="1">
        <f ca="1" t="shared" si="18"/>
        <v>124.416</v>
      </c>
      <c r="O40" s="5">
        <f ca="1" t="shared" si="11"/>
        <v>1555.2</v>
      </c>
      <c r="P40" s="1">
        <f ca="1">IF(C40&lt;3,0,OFFSET(控制台!$W$2641,MATCH(C40,控制台!$B$2641:$B$2645,0)-1,0))</f>
        <v>0.72</v>
      </c>
      <c r="Q40" s="1">
        <f ca="1" t="shared" si="19"/>
        <v>0.72</v>
      </c>
      <c r="R40" s="5">
        <f ca="1" t="shared" si="12"/>
        <v>9</v>
      </c>
      <c r="S40" s="1">
        <f ca="1">IF(C40&lt;3,0,OFFSET(控制台!$X$2641,MATCH(C40,控制台!$B$2641:$B$2645,0)-1,0))</f>
        <v>16.56</v>
      </c>
      <c r="T40" s="1">
        <f ca="1" t="shared" si="20"/>
        <v>16.56</v>
      </c>
      <c r="U40" s="5">
        <f ca="1" t="shared" si="13"/>
        <v>207</v>
      </c>
      <c r="V40" s="1">
        <f ca="1">IF(C40&lt;3,0,OFFSET(控制台!$Y$2641,MATCH(C40,控制台!$B$2641:$B$2645,0)-1,0))</f>
        <v>216</v>
      </c>
      <c r="W40" s="1">
        <f ca="1" t="shared" si="21"/>
        <v>216</v>
      </c>
      <c r="X40" s="5">
        <f ca="1" t="shared" si="14"/>
        <v>2700</v>
      </c>
    </row>
    <row r="41" spans="1:24">
      <c r="A41" s="10">
        <v>20</v>
      </c>
      <c r="B41" s="1">
        <f t="shared" si="7"/>
        <v>1</v>
      </c>
      <c r="C41" s="1">
        <f ca="1">OFFSET(控制台!$B$2625,MATCH(IF(A41&lt;7,MAX(0,A41-0.5),A41),控制台!$D$2625:$D$2630,1)-1,0)</f>
        <v>3</v>
      </c>
      <c r="D41" s="1">
        <f ca="1">IF(C41=0,0,OFFSET(控制台!$H$2641,MATCH(C41,控制台!$B$2641:$B$2645,0)-1,0)+OFFSET(控制台!$AA$2641,MATCH(C41,控制台!$B$2641:$B$2645,0)-1,0))</f>
        <v>1573600</v>
      </c>
      <c r="E41" s="1">
        <f ca="1" t="shared" si="15"/>
        <v>1573600</v>
      </c>
      <c r="F41" s="5">
        <f ca="1" t="shared" si="8"/>
        <v>27468000</v>
      </c>
      <c r="G41" s="1">
        <f ca="1">IF(C41=0,0,OFFSET(控制台!$L$2641,MATCH(C41,控制台!$B$2641:$B$2645,0)-1,0))</f>
        <v>129600</v>
      </c>
      <c r="H41" s="1">
        <f ca="1" t="shared" si="16"/>
        <v>129600</v>
      </c>
      <c r="I41" s="5">
        <f ca="1" t="shared" si="9"/>
        <v>1978560</v>
      </c>
      <c r="J41" s="1">
        <f ca="1">IF(C41&lt;3,0,OFFSET(控制台!$U$2641,MATCH(C41,控制台!$B$2641:$B$2645,0)-1,0))</f>
        <v>432000</v>
      </c>
      <c r="K41" s="1">
        <f ca="1" t="shared" si="17"/>
        <v>432000</v>
      </c>
      <c r="L41" s="5">
        <f ca="1" t="shared" si="10"/>
        <v>5832000</v>
      </c>
      <c r="M41" s="1">
        <f ca="1">IF(C41&lt;3,0,OFFSET(控制台!$V$2641,MATCH(C41,控制台!$B$2641:$B$2645,0)-1,0))</f>
        <v>124.416</v>
      </c>
      <c r="N41" s="1">
        <f ca="1" t="shared" si="18"/>
        <v>124.416</v>
      </c>
      <c r="O41" s="5">
        <f ca="1" t="shared" si="11"/>
        <v>1679.616</v>
      </c>
      <c r="P41" s="1">
        <f ca="1">IF(C41&lt;3,0,OFFSET(控制台!$W$2641,MATCH(C41,控制台!$B$2641:$B$2645,0)-1,0))</f>
        <v>0.72</v>
      </c>
      <c r="Q41" s="1">
        <f ca="1" t="shared" si="19"/>
        <v>0.72</v>
      </c>
      <c r="R41" s="5">
        <f ca="1" t="shared" si="12"/>
        <v>9.72</v>
      </c>
      <c r="S41" s="1">
        <f ca="1">IF(C41&lt;3,0,OFFSET(控制台!$X$2641,MATCH(C41,控制台!$B$2641:$B$2645,0)-1,0))</f>
        <v>16.56</v>
      </c>
      <c r="T41" s="1">
        <f ca="1" t="shared" si="20"/>
        <v>16.56</v>
      </c>
      <c r="U41" s="5">
        <f ca="1" t="shared" si="13"/>
        <v>223.56</v>
      </c>
      <c r="V41" s="1">
        <f ca="1">IF(C41&lt;3,0,OFFSET(控制台!$Y$2641,MATCH(C41,控制台!$B$2641:$B$2645,0)-1,0))</f>
        <v>216</v>
      </c>
      <c r="W41" s="1">
        <f ca="1" t="shared" si="21"/>
        <v>216</v>
      </c>
      <c r="X41" s="5">
        <f ca="1" t="shared" si="14"/>
        <v>2916</v>
      </c>
    </row>
    <row r="42" spans="1:24">
      <c r="A42" s="10">
        <v>21</v>
      </c>
      <c r="B42" s="1">
        <f t="shared" si="7"/>
        <v>1</v>
      </c>
      <c r="C42" s="1">
        <f ca="1">OFFSET(控制台!$B$2625,MATCH(IF(A42&lt;7,MAX(0,A42-0.5),A42),控制台!$D$2625:$D$2630,1)-1,0)</f>
        <v>3</v>
      </c>
      <c r="D42" s="1">
        <f ca="1">IF(C42=0,0,OFFSET(控制台!$H$2641,MATCH(C42,控制台!$B$2641:$B$2645,0)-1,0)+OFFSET(控制台!$AA$2641,MATCH(C42,控制台!$B$2641:$B$2645,0)-1,0))</f>
        <v>1573600</v>
      </c>
      <c r="E42" s="1">
        <f ca="1" t="shared" si="15"/>
        <v>1573600</v>
      </c>
      <c r="F42" s="5">
        <f ca="1" t="shared" si="8"/>
        <v>29041600</v>
      </c>
      <c r="G42" s="1">
        <f ca="1">IF(C42=0,0,OFFSET(控制台!$L$2641,MATCH(C42,控制台!$B$2641:$B$2645,0)-1,0))</f>
        <v>129600</v>
      </c>
      <c r="H42" s="1">
        <f ca="1" t="shared" si="16"/>
        <v>129600</v>
      </c>
      <c r="I42" s="5">
        <f ca="1" t="shared" si="9"/>
        <v>2108160</v>
      </c>
      <c r="J42" s="1">
        <f ca="1">IF(C42&lt;3,0,OFFSET(控制台!$U$2641,MATCH(C42,控制台!$B$2641:$B$2645,0)-1,0))</f>
        <v>432000</v>
      </c>
      <c r="K42" s="1">
        <f ca="1" t="shared" si="17"/>
        <v>432000</v>
      </c>
      <c r="L42" s="5">
        <f ca="1" t="shared" si="10"/>
        <v>6264000</v>
      </c>
      <c r="M42" s="1">
        <f ca="1">IF(C42&lt;3,0,OFFSET(控制台!$V$2641,MATCH(C42,控制台!$B$2641:$B$2645,0)-1,0))</f>
        <v>124.416</v>
      </c>
      <c r="N42" s="1">
        <f ca="1" t="shared" si="18"/>
        <v>124.416</v>
      </c>
      <c r="O42" s="5">
        <f ca="1" t="shared" si="11"/>
        <v>1804.032</v>
      </c>
      <c r="P42" s="1">
        <f ca="1">IF(C42&lt;3,0,OFFSET(控制台!$W$2641,MATCH(C42,控制台!$B$2641:$B$2645,0)-1,0))</f>
        <v>0.72</v>
      </c>
      <c r="Q42" s="1">
        <f ca="1" t="shared" si="19"/>
        <v>0.72</v>
      </c>
      <c r="R42" s="5">
        <f ca="1" t="shared" si="12"/>
        <v>10.44</v>
      </c>
      <c r="S42" s="1">
        <f ca="1">IF(C42&lt;3,0,OFFSET(控制台!$X$2641,MATCH(C42,控制台!$B$2641:$B$2645,0)-1,0))</f>
        <v>16.56</v>
      </c>
      <c r="T42" s="1">
        <f ca="1" t="shared" si="20"/>
        <v>16.56</v>
      </c>
      <c r="U42" s="5">
        <f ca="1" t="shared" si="13"/>
        <v>240.12</v>
      </c>
      <c r="V42" s="1">
        <f ca="1">IF(C42&lt;3,0,OFFSET(控制台!$Y$2641,MATCH(C42,控制台!$B$2641:$B$2645,0)-1,0))</f>
        <v>216</v>
      </c>
      <c r="W42" s="1">
        <f ca="1" t="shared" si="21"/>
        <v>216</v>
      </c>
      <c r="X42" s="5">
        <f ca="1" t="shared" si="14"/>
        <v>3132</v>
      </c>
    </row>
    <row r="43" spans="1:24">
      <c r="A43" s="10">
        <v>22</v>
      </c>
      <c r="B43" s="1">
        <f t="shared" si="7"/>
        <v>1</v>
      </c>
      <c r="C43" s="1">
        <f ca="1">OFFSET(控制台!$B$2625,MATCH(IF(A43&lt;7,MAX(0,A43-0.5),A43),控制台!$D$2625:$D$2630,1)-1,0)</f>
        <v>3</v>
      </c>
      <c r="D43" s="1">
        <f ca="1">IF(C43=0,0,OFFSET(控制台!$H$2641,MATCH(C43,控制台!$B$2641:$B$2645,0)-1,0)+OFFSET(控制台!$AA$2641,MATCH(C43,控制台!$B$2641:$B$2645,0)-1,0))</f>
        <v>1573600</v>
      </c>
      <c r="E43" s="1">
        <f ca="1" t="shared" si="15"/>
        <v>1573600</v>
      </c>
      <c r="F43" s="5">
        <f ca="1" t="shared" si="8"/>
        <v>30615200</v>
      </c>
      <c r="G43" s="1">
        <f ca="1">IF(C43=0,0,OFFSET(控制台!$L$2641,MATCH(C43,控制台!$B$2641:$B$2645,0)-1,0))</f>
        <v>129600</v>
      </c>
      <c r="H43" s="1">
        <f ca="1" t="shared" si="16"/>
        <v>129600</v>
      </c>
      <c r="I43" s="5">
        <f ca="1" t="shared" si="9"/>
        <v>2237760</v>
      </c>
      <c r="J43" s="1">
        <f ca="1">IF(C43&lt;3,0,OFFSET(控制台!$U$2641,MATCH(C43,控制台!$B$2641:$B$2645,0)-1,0))</f>
        <v>432000</v>
      </c>
      <c r="K43" s="1">
        <f ca="1" t="shared" si="17"/>
        <v>432000</v>
      </c>
      <c r="L43" s="5">
        <f ca="1" t="shared" si="10"/>
        <v>6696000</v>
      </c>
      <c r="M43" s="1">
        <f ca="1">IF(C43&lt;3,0,OFFSET(控制台!$V$2641,MATCH(C43,控制台!$B$2641:$B$2645,0)-1,0))</f>
        <v>124.416</v>
      </c>
      <c r="N43" s="1">
        <f ca="1" t="shared" si="18"/>
        <v>124.416</v>
      </c>
      <c r="O43" s="5">
        <f ca="1" t="shared" si="11"/>
        <v>1928.448</v>
      </c>
      <c r="P43" s="1">
        <f ca="1">IF(C43&lt;3,0,OFFSET(控制台!$W$2641,MATCH(C43,控制台!$B$2641:$B$2645,0)-1,0))</f>
        <v>0.72</v>
      </c>
      <c r="Q43" s="1">
        <f ca="1" t="shared" si="19"/>
        <v>0.72</v>
      </c>
      <c r="R43" s="5">
        <f ca="1" t="shared" si="12"/>
        <v>11.16</v>
      </c>
      <c r="S43" s="1">
        <f ca="1">IF(C43&lt;3,0,OFFSET(控制台!$X$2641,MATCH(C43,控制台!$B$2641:$B$2645,0)-1,0))</f>
        <v>16.56</v>
      </c>
      <c r="T43" s="1">
        <f ca="1" t="shared" si="20"/>
        <v>16.56</v>
      </c>
      <c r="U43" s="5">
        <f ca="1" t="shared" si="13"/>
        <v>256.68</v>
      </c>
      <c r="V43" s="1">
        <f ca="1">IF(C43&lt;3,0,OFFSET(控制台!$Y$2641,MATCH(C43,控制台!$B$2641:$B$2645,0)-1,0))</f>
        <v>216</v>
      </c>
      <c r="W43" s="1">
        <f ca="1" t="shared" si="21"/>
        <v>216</v>
      </c>
      <c r="X43" s="5">
        <f ca="1" t="shared" si="14"/>
        <v>3348</v>
      </c>
    </row>
    <row r="44" spans="1:24">
      <c r="A44" s="10">
        <v>23</v>
      </c>
      <c r="B44" s="1">
        <f t="shared" si="7"/>
        <v>1</v>
      </c>
      <c r="C44" s="1">
        <f ca="1">OFFSET(控制台!$B$2625,MATCH(IF(A44&lt;7,MAX(0,A44-0.5),A44),控制台!$D$2625:$D$2630,1)-1,0)</f>
        <v>3</v>
      </c>
      <c r="D44" s="1">
        <f ca="1">IF(C44=0,0,OFFSET(控制台!$H$2641,MATCH(C44,控制台!$B$2641:$B$2645,0)-1,0)+OFFSET(控制台!$AA$2641,MATCH(C44,控制台!$B$2641:$B$2645,0)-1,0))</f>
        <v>1573600</v>
      </c>
      <c r="E44" s="1">
        <f ca="1" t="shared" si="15"/>
        <v>1573600</v>
      </c>
      <c r="F44" s="5">
        <f ca="1" t="shared" si="8"/>
        <v>32188800</v>
      </c>
      <c r="G44" s="1">
        <f ca="1">IF(C44=0,0,OFFSET(控制台!$L$2641,MATCH(C44,控制台!$B$2641:$B$2645,0)-1,0))</f>
        <v>129600</v>
      </c>
      <c r="H44" s="1">
        <f ca="1" t="shared" si="16"/>
        <v>129600</v>
      </c>
      <c r="I44" s="5">
        <f ca="1" t="shared" si="9"/>
        <v>2367360</v>
      </c>
      <c r="J44" s="1">
        <f ca="1">IF(C44&lt;3,0,OFFSET(控制台!$U$2641,MATCH(C44,控制台!$B$2641:$B$2645,0)-1,0))</f>
        <v>432000</v>
      </c>
      <c r="K44" s="1">
        <f ca="1" t="shared" si="17"/>
        <v>432000</v>
      </c>
      <c r="L44" s="5">
        <f ca="1" t="shared" si="10"/>
        <v>7128000</v>
      </c>
      <c r="M44" s="1">
        <f ca="1">IF(C44&lt;3,0,OFFSET(控制台!$V$2641,MATCH(C44,控制台!$B$2641:$B$2645,0)-1,0))</f>
        <v>124.416</v>
      </c>
      <c r="N44" s="1">
        <f ca="1" t="shared" si="18"/>
        <v>124.416</v>
      </c>
      <c r="O44" s="5">
        <f ca="1" t="shared" si="11"/>
        <v>2052.864</v>
      </c>
      <c r="P44" s="1">
        <f ca="1">IF(C44&lt;3,0,OFFSET(控制台!$W$2641,MATCH(C44,控制台!$B$2641:$B$2645,0)-1,0))</f>
        <v>0.72</v>
      </c>
      <c r="Q44" s="1">
        <f ca="1" t="shared" si="19"/>
        <v>0.72</v>
      </c>
      <c r="R44" s="5">
        <f ca="1" t="shared" si="12"/>
        <v>11.88</v>
      </c>
      <c r="S44" s="1">
        <f ca="1">IF(C44&lt;3,0,OFFSET(控制台!$X$2641,MATCH(C44,控制台!$B$2641:$B$2645,0)-1,0))</f>
        <v>16.56</v>
      </c>
      <c r="T44" s="1">
        <f ca="1" t="shared" si="20"/>
        <v>16.56</v>
      </c>
      <c r="U44" s="5">
        <f ca="1" t="shared" si="13"/>
        <v>273.24</v>
      </c>
      <c r="V44" s="1">
        <f ca="1">IF(C44&lt;3,0,OFFSET(控制台!$Y$2641,MATCH(C44,控制台!$B$2641:$B$2645,0)-1,0))</f>
        <v>216</v>
      </c>
      <c r="W44" s="1">
        <f ca="1" t="shared" si="21"/>
        <v>216</v>
      </c>
      <c r="X44" s="5">
        <f ca="1" t="shared" si="14"/>
        <v>3564</v>
      </c>
    </row>
    <row r="45" spans="1:24">
      <c r="A45" s="10">
        <v>24</v>
      </c>
      <c r="B45" s="1">
        <f t="shared" si="7"/>
        <v>1</v>
      </c>
      <c r="C45" s="1">
        <f ca="1">OFFSET(控制台!$B$2625,MATCH(IF(A45&lt;7,MAX(0,A45-0.5),A45),控制台!$D$2625:$D$2630,1)-1,0)</f>
        <v>3</v>
      </c>
      <c r="D45" s="1">
        <f ca="1">IF(C45=0,0,OFFSET(控制台!$H$2641,MATCH(C45,控制台!$B$2641:$B$2645,0)-1,0)+OFFSET(控制台!$AA$2641,MATCH(C45,控制台!$B$2641:$B$2645,0)-1,0))</f>
        <v>1573600</v>
      </c>
      <c r="E45" s="1">
        <f ca="1" t="shared" si="15"/>
        <v>1573600</v>
      </c>
      <c r="F45" s="5">
        <f ca="1" t="shared" si="8"/>
        <v>33762400</v>
      </c>
      <c r="G45" s="1">
        <f ca="1">IF(C45=0,0,OFFSET(控制台!$L$2641,MATCH(C45,控制台!$B$2641:$B$2645,0)-1,0))</f>
        <v>129600</v>
      </c>
      <c r="H45" s="1">
        <f ca="1" t="shared" si="16"/>
        <v>129600</v>
      </c>
      <c r="I45" s="5">
        <f ca="1" t="shared" si="9"/>
        <v>2496960</v>
      </c>
      <c r="J45" s="1">
        <f ca="1">IF(C45&lt;3,0,OFFSET(控制台!$U$2641,MATCH(C45,控制台!$B$2641:$B$2645,0)-1,0))</f>
        <v>432000</v>
      </c>
      <c r="K45" s="1">
        <f ca="1" t="shared" si="17"/>
        <v>432000</v>
      </c>
      <c r="L45" s="5">
        <f ca="1" t="shared" si="10"/>
        <v>7560000</v>
      </c>
      <c r="M45" s="1">
        <f ca="1">IF(C45&lt;3,0,OFFSET(控制台!$V$2641,MATCH(C45,控制台!$B$2641:$B$2645,0)-1,0))</f>
        <v>124.416</v>
      </c>
      <c r="N45" s="1">
        <f ca="1" t="shared" si="18"/>
        <v>124.416</v>
      </c>
      <c r="O45" s="5">
        <f ca="1" t="shared" si="11"/>
        <v>2177.28</v>
      </c>
      <c r="P45" s="1">
        <f ca="1">IF(C45&lt;3,0,OFFSET(控制台!$W$2641,MATCH(C45,控制台!$B$2641:$B$2645,0)-1,0))</f>
        <v>0.72</v>
      </c>
      <c r="Q45" s="1">
        <f ca="1" t="shared" si="19"/>
        <v>0.72</v>
      </c>
      <c r="R45" s="5">
        <f ca="1" t="shared" si="12"/>
        <v>12.6</v>
      </c>
      <c r="S45" s="1">
        <f ca="1">IF(C45&lt;3,0,OFFSET(控制台!$X$2641,MATCH(C45,控制台!$B$2641:$B$2645,0)-1,0))</f>
        <v>16.56</v>
      </c>
      <c r="T45" s="1">
        <f ca="1" t="shared" si="20"/>
        <v>16.56</v>
      </c>
      <c r="U45" s="5">
        <f ca="1" t="shared" si="13"/>
        <v>289.8</v>
      </c>
      <c r="V45" s="1">
        <f ca="1">IF(C45&lt;3,0,OFFSET(控制台!$Y$2641,MATCH(C45,控制台!$B$2641:$B$2645,0)-1,0))</f>
        <v>216</v>
      </c>
      <c r="W45" s="1">
        <f ca="1" t="shared" si="21"/>
        <v>216</v>
      </c>
      <c r="X45" s="5">
        <f ca="1" t="shared" si="14"/>
        <v>3780</v>
      </c>
    </row>
    <row r="46" spans="1:24">
      <c r="A46" s="10">
        <v>25</v>
      </c>
      <c r="B46" s="1">
        <f t="shared" si="7"/>
        <v>1</v>
      </c>
      <c r="C46" s="1">
        <f ca="1">OFFSET(控制台!$B$2625,MATCH(IF(A46&lt;7,MAX(0,A46-0.5),A46),控制台!$D$2625:$D$2630,1)-1,0)</f>
        <v>3</v>
      </c>
      <c r="D46" s="1">
        <f ca="1">IF(C46=0,0,OFFSET(控制台!$H$2641,MATCH(C46,控制台!$B$2641:$B$2645,0)-1,0)+OFFSET(控制台!$AA$2641,MATCH(C46,控制台!$B$2641:$B$2645,0)-1,0))</f>
        <v>1573600</v>
      </c>
      <c r="E46" s="1">
        <f ca="1" t="shared" si="15"/>
        <v>1573600</v>
      </c>
      <c r="F46" s="5">
        <f ca="1" t="shared" si="8"/>
        <v>35336000</v>
      </c>
      <c r="G46" s="1">
        <f ca="1">IF(C46=0,0,OFFSET(控制台!$L$2641,MATCH(C46,控制台!$B$2641:$B$2645,0)-1,0))</f>
        <v>129600</v>
      </c>
      <c r="H46" s="1">
        <f ca="1" t="shared" si="16"/>
        <v>129600</v>
      </c>
      <c r="I46" s="5">
        <f ca="1" t="shared" si="9"/>
        <v>2626560</v>
      </c>
      <c r="J46" s="1">
        <f ca="1">IF(C46&lt;3,0,OFFSET(控制台!$U$2641,MATCH(C46,控制台!$B$2641:$B$2645,0)-1,0))</f>
        <v>432000</v>
      </c>
      <c r="K46" s="1">
        <f ca="1" t="shared" si="17"/>
        <v>432000</v>
      </c>
      <c r="L46" s="5">
        <f ca="1" t="shared" si="10"/>
        <v>7992000</v>
      </c>
      <c r="M46" s="1">
        <f ca="1">IF(C46&lt;3,0,OFFSET(控制台!$V$2641,MATCH(C46,控制台!$B$2641:$B$2645,0)-1,0))</f>
        <v>124.416</v>
      </c>
      <c r="N46" s="1">
        <f ca="1" t="shared" si="18"/>
        <v>124.416</v>
      </c>
      <c r="O46" s="5">
        <f ca="1" t="shared" si="11"/>
        <v>2301.696</v>
      </c>
      <c r="P46" s="1">
        <f ca="1">IF(C46&lt;3,0,OFFSET(控制台!$W$2641,MATCH(C46,控制台!$B$2641:$B$2645,0)-1,0))</f>
        <v>0.72</v>
      </c>
      <c r="Q46" s="1">
        <f ca="1" t="shared" si="19"/>
        <v>0.72</v>
      </c>
      <c r="R46" s="5">
        <f ca="1" t="shared" si="12"/>
        <v>13.32</v>
      </c>
      <c r="S46" s="1">
        <f ca="1">IF(C46&lt;3,0,OFFSET(控制台!$X$2641,MATCH(C46,控制台!$B$2641:$B$2645,0)-1,0))</f>
        <v>16.56</v>
      </c>
      <c r="T46" s="1">
        <f ca="1" t="shared" si="20"/>
        <v>16.56</v>
      </c>
      <c r="U46" s="5">
        <f ca="1" t="shared" si="13"/>
        <v>306.36</v>
      </c>
      <c r="V46" s="1">
        <f ca="1">IF(C46&lt;3,0,OFFSET(控制台!$Y$2641,MATCH(C46,控制台!$B$2641:$B$2645,0)-1,0))</f>
        <v>216</v>
      </c>
      <c r="W46" s="1">
        <f ca="1" t="shared" si="21"/>
        <v>216</v>
      </c>
      <c r="X46" s="5">
        <f ca="1" t="shared" si="14"/>
        <v>3996</v>
      </c>
    </row>
    <row r="47" spans="1:24">
      <c r="A47" s="10">
        <v>26</v>
      </c>
      <c r="B47" s="1">
        <f t="shared" si="7"/>
        <v>1</v>
      </c>
      <c r="C47" s="1">
        <f ca="1">OFFSET(控制台!$B$2625,MATCH(IF(A47&lt;7,MAX(0,A47-0.5),A47),控制台!$D$2625:$D$2630,1)-1,0)</f>
        <v>3</v>
      </c>
      <c r="D47" s="1">
        <f ca="1">IF(C47=0,0,OFFSET(控制台!$H$2641,MATCH(C47,控制台!$B$2641:$B$2645,0)-1,0)+OFFSET(控制台!$AA$2641,MATCH(C47,控制台!$B$2641:$B$2645,0)-1,0))</f>
        <v>1573600</v>
      </c>
      <c r="E47" s="1">
        <f ca="1" t="shared" si="15"/>
        <v>1573600</v>
      </c>
      <c r="F47" s="5">
        <f ca="1" t="shared" si="8"/>
        <v>36909600</v>
      </c>
      <c r="G47" s="1">
        <f ca="1">IF(C47=0,0,OFFSET(控制台!$L$2641,MATCH(C47,控制台!$B$2641:$B$2645,0)-1,0))</f>
        <v>129600</v>
      </c>
      <c r="H47" s="1">
        <f ca="1" t="shared" si="16"/>
        <v>129600</v>
      </c>
      <c r="I47" s="5">
        <f ca="1" t="shared" si="9"/>
        <v>2756160</v>
      </c>
      <c r="J47" s="1">
        <f ca="1">IF(C47&lt;3,0,OFFSET(控制台!$U$2641,MATCH(C47,控制台!$B$2641:$B$2645,0)-1,0))</f>
        <v>432000</v>
      </c>
      <c r="K47" s="1">
        <f ca="1" t="shared" si="17"/>
        <v>432000</v>
      </c>
      <c r="L47" s="5">
        <f ca="1" t="shared" si="10"/>
        <v>8424000</v>
      </c>
      <c r="M47" s="1">
        <f ca="1">IF(C47&lt;3,0,OFFSET(控制台!$V$2641,MATCH(C47,控制台!$B$2641:$B$2645,0)-1,0))</f>
        <v>124.416</v>
      </c>
      <c r="N47" s="1">
        <f ca="1" t="shared" si="18"/>
        <v>124.416</v>
      </c>
      <c r="O47" s="5">
        <f ca="1" t="shared" si="11"/>
        <v>2426.112</v>
      </c>
      <c r="P47" s="1">
        <f ca="1">IF(C47&lt;3,0,OFFSET(控制台!$W$2641,MATCH(C47,控制台!$B$2641:$B$2645,0)-1,0))</f>
        <v>0.72</v>
      </c>
      <c r="Q47" s="1">
        <f ca="1" t="shared" si="19"/>
        <v>0.72</v>
      </c>
      <c r="R47" s="5">
        <f ca="1" t="shared" si="12"/>
        <v>14.04</v>
      </c>
      <c r="S47" s="1">
        <f ca="1">IF(C47&lt;3,0,OFFSET(控制台!$X$2641,MATCH(C47,控制台!$B$2641:$B$2645,0)-1,0))</f>
        <v>16.56</v>
      </c>
      <c r="T47" s="1">
        <f ca="1" t="shared" si="20"/>
        <v>16.56</v>
      </c>
      <c r="U47" s="5">
        <f ca="1" t="shared" si="13"/>
        <v>322.92</v>
      </c>
      <c r="V47" s="1">
        <f ca="1">IF(C47&lt;3,0,OFFSET(控制台!$Y$2641,MATCH(C47,控制台!$B$2641:$B$2645,0)-1,0))</f>
        <v>216</v>
      </c>
      <c r="W47" s="1">
        <f ca="1" t="shared" si="21"/>
        <v>216</v>
      </c>
      <c r="X47" s="5">
        <f ca="1" t="shared" si="14"/>
        <v>4212</v>
      </c>
    </row>
    <row r="48" spans="1:24">
      <c r="A48" s="10">
        <v>27</v>
      </c>
      <c r="B48" s="1">
        <f t="shared" si="7"/>
        <v>1</v>
      </c>
      <c r="C48" s="1">
        <f ca="1">OFFSET(控制台!$B$2625,MATCH(IF(A48&lt;7,MAX(0,A48-0.5),A48),控制台!$D$2625:$D$2630,1)-1,0)</f>
        <v>3</v>
      </c>
      <c r="D48" s="1">
        <f ca="1">IF(C48=0,0,OFFSET(控制台!$H$2641,MATCH(C48,控制台!$B$2641:$B$2645,0)-1,0)+OFFSET(控制台!$AA$2641,MATCH(C48,控制台!$B$2641:$B$2645,0)-1,0))</f>
        <v>1573600</v>
      </c>
      <c r="E48" s="1">
        <f ca="1" t="shared" si="15"/>
        <v>1573600</v>
      </c>
      <c r="F48" s="5">
        <f ca="1" t="shared" si="8"/>
        <v>38483200</v>
      </c>
      <c r="G48" s="1">
        <f ca="1">IF(C48=0,0,OFFSET(控制台!$L$2641,MATCH(C48,控制台!$B$2641:$B$2645,0)-1,0))</f>
        <v>129600</v>
      </c>
      <c r="H48" s="1">
        <f ca="1" t="shared" si="16"/>
        <v>129600</v>
      </c>
      <c r="I48" s="5">
        <f ca="1" t="shared" si="9"/>
        <v>2885760</v>
      </c>
      <c r="J48" s="1">
        <f ca="1">IF(C48&lt;3,0,OFFSET(控制台!$U$2641,MATCH(C48,控制台!$B$2641:$B$2645,0)-1,0))</f>
        <v>432000</v>
      </c>
      <c r="K48" s="1">
        <f ca="1" t="shared" si="17"/>
        <v>432000</v>
      </c>
      <c r="L48" s="5">
        <f ca="1" t="shared" si="10"/>
        <v>8856000</v>
      </c>
      <c r="M48" s="1">
        <f ca="1">IF(C48&lt;3,0,OFFSET(控制台!$V$2641,MATCH(C48,控制台!$B$2641:$B$2645,0)-1,0))</f>
        <v>124.416</v>
      </c>
      <c r="N48" s="1">
        <f ca="1" t="shared" si="18"/>
        <v>124.416</v>
      </c>
      <c r="O48" s="5">
        <f ca="1" t="shared" si="11"/>
        <v>2550.528</v>
      </c>
      <c r="P48" s="1">
        <f ca="1">IF(C48&lt;3,0,OFFSET(控制台!$W$2641,MATCH(C48,控制台!$B$2641:$B$2645,0)-1,0))</f>
        <v>0.72</v>
      </c>
      <c r="Q48" s="1">
        <f ca="1" t="shared" si="19"/>
        <v>0.72</v>
      </c>
      <c r="R48" s="5">
        <f ca="1" t="shared" si="12"/>
        <v>14.76</v>
      </c>
      <c r="S48" s="1">
        <f ca="1">IF(C48&lt;3,0,OFFSET(控制台!$X$2641,MATCH(C48,控制台!$B$2641:$B$2645,0)-1,0))</f>
        <v>16.56</v>
      </c>
      <c r="T48" s="1">
        <f ca="1" t="shared" si="20"/>
        <v>16.56</v>
      </c>
      <c r="U48" s="5">
        <f ca="1" t="shared" si="13"/>
        <v>339.48</v>
      </c>
      <c r="V48" s="1">
        <f ca="1">IF(C48&lt;3,0,OFFSET(控制台!$Y$2641,MATCH(C48,控制台!$B$2641:$B$2645,0)-1,0))</f>
        <v>216</v>
      </c>
      <c r="W48" s="1">
        <f ca="1" t="shared" si="21"/>
        <v>216</v>
      </c>
      <c r="X48" s="5">
        <f ca="1" t="shared" si="14"/>
        <v>4428</v>
      </c>
    </row>
    <row r="49" spans="1:24">
      <c r="A49" s="10">
        <v>28</v>
      </c>
      <c r="B49" s="1">
        <f t="shared" si="7"/>
        <v>1</v>
      </c>
      <c r="C49" s="1">
        <f ca="1">OFFSET(控制台!$B$2625,MATCH(IF(A49&lt;7,MAX(0,A49-0.5),A49),控制台!$D$2625:$D$2630,1)-1,0)</f>
        <v>4</v>
      </c>
      <c r="D49" s="1">
        <f ca="1">IF(C49=0,0,OFFSET(控制台!$H$2641,MATCH(C49,控制台!$B$2641:$B$2645,0)-1,0)+OFFSET(控制台!$AA$2641,MATCH(C49,控制台!$B$2641:$B$2645,0)-1,0))</f>
        <v>1800000</v>
      </c>
      <c r="E49" s="1">
        <f ca="1" t="shared" si="15"/>
        <v>1800000</v>
      </c>
      <c r="F49" s="5">
        <f ca="1" t="shared" si="8"/>
        <v>40283200</v>
      </c>
      <c r="G49" s="1">
        <f ca="1">IF(C49=0,0,OFFSET(控制台!$L$2641,MATCH(C49,控制台!$B$2641:$B$2645,0)-1,0))</f>
        <v>216000</v>
      </c>
      <c r="H49" s="1">
        <f ca="1" t="shared" si="16"/>
        <v>216000</v>
      </c>
      <c r="I49" s="5">
        <f ca="1" t="shared" si="9"/>
        <v>3101760</v>
      </c>
      <c r="J49" s="1">
        <f ca="1">IF(C49&lt;3,0,OFFSET(控制台!$U$2641,MATCH(C49,控制台!$B$2641:$B$2645,0)-1,0))</f>
        <v>720000</v>
      </c>
      <c r="K49" s="1">
        <f ca="1" t="shared" si="17"/>
        <v>720000</v>
      </c>
      <c r="L49" s="5">
        <f ca="1" t="shared" si="10"/>
        <v>9576000</v>
      </c>
      <c r="M49" s="1">
        <f ca="1">IF(C49&lt;3,0,OFFSET(控制台!$V$2641,MATCH(C49,控制台!$B$2641:$B$2645,0)-1,0))</f>
        <v>207.36</v>
      </c>
      <c r="N49" s="1">
        <f ca="1" t="shared" si="18"/>
        <v>207.36</v>
      </c>
      <c r="O49" s="5">
        <f ca="1" t="shared" si="11"/>
        <v>2757.888</v>
      </c>
      <c r="P49" s="1">
        <f ca="1">IF(C49&lt;3,0,OFFSET(控制台!$W$2641,MATCH(C49,控制台!$B$2641:$B$2645,0)-1,0))</f>
        <v>1.2</v>
      </c>
      <c r="Q49" s="1">
        <f ca="1" t="shared" si="19"/>
        <v>1.2</v>
      </c>
      <c r="R49" s="5">
        <f ca="1" t="shared" si="12"/>
        <v>15.96</v>
      </c>
      <c r="S49" s="1">
        <f ca="1">IF(C49&lt;3,0,OFFSET(控制台!$X$2641,MATCH(C49,控制台!$B$2641:$B$2645,0)-1,0))</f>
        <v>27.6</v>
      </c>
      <c r="T49" s="1">
        <f ca="1" t="shared" si="20"/>
        <v>27.6</v>
      </c>
      <c r="U49" s="5">
        <f ca="1" t="shared" si="13"/>
        <v>367.08</v>
      </c>
      <c r="V49" s="1">
        <f ca="1">IF(C49&lt;3,0,OFFSET(控制台!$Y$2641,MATCH(C49,控制台!$B$2641:$B$2645,0)-1,0))</f>
        <v>360</v>
      </c>
      <c r="W49" s="1">
        <f ca="1" t="shared" si="21"/>
        <v>360</v>
      </c>
      <c r="X49" s="5">
        <f ca="1" t="shared" si="14"/>
        <v>4788</v>
      </c>
    </row>
    <row r="50" spans="1:24">
      <c r="A50" s="10">
        <v>29</v>
      </c>
      <c r="B50" s="1">
        <f t="shared" si="7"/>
        <v>1</v>
      </c>
      <c r="C50" s="1">
        <f ca="1">OFFSET(控制台!$B$2625,MATCH(IF(A50&lt;7,MAX(0,A50-0.5),A50),控制台!$D$2625:$D$2630,1)-1,0)</f>
        <v>4</v>
      </c>
      <c r="D50" s="1">
        <f ca="1">IF(C50=0,0,OFFSET(控制台!$H$2641,MATCH(C50,控制台!$B$2641:$B$2645,0)-1,0)+OFFSET(控制台!$AA$2641,MATCH(C50,控制台!$B$2641:$B$2645,0)-1,0))</f>
        <v>1800000</v>
      </c>
      <c r="E50" s="1">
        <f ca="1" t="shared" si="15"/>
        <v>1800000</v>
      </c>
      <c r="F50" s="5">
        <f ca="1" t="shared" si="8"/>
        <v>42083200</v>
      </c>
      <c r="G50" s="1">
        <f ca="1">IF(C50=0,0,OFFSET(控制台!$L$2641,MATCH(C50,控制台!$B$2641:$B$2645,0)-1,0))</f>
        <v>216000</v>
      </c>
      <c r="H50" s="1">
        <f ca="1" t="shared" si="16"/>
        <v>216000</v>
      </c>
      <c r="I50" s="5">
        <f ca="1" t="shared" si="9"/>
        <v>3317760</v>
      </c>
      <c r="J50" s="1">
        <f ca="1">IF(C50&lt;3,0,OFFSET(控制台!$U$2641,MATCH(C50,控制台!$B$2641:$B$2645,0)-1,0))</f>
        <v>720000</v>
      </c>
      <c r="K50" s="1">
        <f ca="1" t="shared" si="17"/>
        <v>720000</v>
      </c>
      <c r="L50" s="5">
        <f ca="1" t="shared" si="10"/>
        <v>10296000</v>
      </c>
      <c r="M50" s="1">
        <f ca="1">IF(C50&lt;3,0,OFFSET(控制台!$V$2641,MATCH(C50,控制台!$B$2641:$B$2645,0)-1,0))</f>
        <v>207.36</v>
      </c>
      <c r="N50" s="1">
        <f ca="1" t="shared" si="18"/>
        <v>207.36</v>
      </c>
      <c r="O50" s="5">
        <f ca="1" t="shared" si="11"/>
        <v>2965.248</v>
      </c>
      <c r="P50" s="1">
        <f ca="1">IF(C50&lt;3,0,OFFSET(控制台!$W$2641,MATCH(C50,控制台!$B$2641:$B$2645,0)-1,0))</f>
        <v>1.2</v>
      </c>
      <c r="Q50" s="1">
        <f ca="1" t="shared" si="19"/>
        <v>1.2</v>
      </c>
      <c r="R50" s="5">
        <f ca="1" t="shared" si="12"/>
        <v>17.16</v>
      </c>
      <c r="S50" s="1">
        <f ca="1">IF(C50&lt;3,0,OFFSET(控制台!$X$2641,MATCH(C50,控制台!$B$2641:$B$2645,0)-1,0))</f>
        <v>27.6</v>
      </c>
      <c r="T50" s="1">
        <f ca="1" t="shared" si="20"/>
        <v>27.6</v>
      </c>
      <c r="U50" s="5">
        <f ca="1" t="shared" si="13"/>
        <v>394.68</v>
      </c>
      <c r="V50" s="1">
        <f ca="1">IF(C50&lt;3,0,OFFSET(控制台!$Y$2641,MATCH(C50,控制台!$B$2641:$B$2645,0)-1,0))</f>
        <v>360</v>
      </c>
      <c r="W50" s="1">
        <f ca="1" t="shared" si="21"/>
        <v>360</v>
      </c>
      <c r="X50" s="5">
        <f ca="1" t="shared" si="14"/>
        <v>5148</v>
      </c>
    </row>
    <row r="51" spans="1:24">
      <c r="A51" s="10">
        <v>30</v>
      </c>
      <c r="B51" s="1">
        <f t="shared" si="7"/>
        <v>1</v>
      </c>
      <c r="C51" s="1">
        <f ca="1">OFFSET(控制台!$B$2625,MATCH(IF(A51&lt;7,MAX(0,A51-0.5),A51),控制台!$D$2625:$D$2630,1)-1,0)</f>
        <v>4</v>
      </c>
      <c r="D51" s="1">
        <f ca="1">IF(C51=0,0,OFFSET(控制台!$H$2641,MATCH(C51,控制台!$B$2641:$B$2645,0)-1,0)+OFFSET(控制台!$AA$2641,MATCH(C51,控制台!$B$2641:$B$2645,0)-1,0))</f>
        <v>1800000</v>
      </c>
      <c r="E51" s="1">
        <f ca="1" t="shared" si="15"/>
        <v>1800000</v>
      </c>
      <c r="F51" s="5">
        <f ca="1" t="shared" si="8"/>
        <v>43883200</v>
      </c>
      <c r="G51" s="1">
        <f ca="1">IF(C51=0,0,OFFSET(控制台!$L$2641,MATCH(C51,控制台!$B$2641:$B$2645,0)-1,0))</f>
        <v>216000</v>
      </c>
      <c r="H51" s="1">
        <f ca="1" t="shared" si="16"/>
        <v>216000</v>
      </c>
      <c r="I51" s="5">
        <f ca="1" t="shared" si="9"/>
        <v>3533760</v>
      </c>
      <c r="J51" s="1">
        <f ca="1">IF(C51&lt;3,0,OFFSET(控制台!$U$2641,MATCH(C51,控制台!$B$2641:$B$2645,0)-1,0))</f>
        <v>720000</v>
      </c>
      <c r="K51" s="1">
        <f ca="1" t="shared" si="17"/>
        <v>720000</v>
      </c>
      <c r="L51" s="5">
        <f ca="1" t="shared" si="10"/>
        <v>11016000</v>
      </c>
      <c r="M51" s="1">
        <f ca="1">IF(C51&lt;3,0,OFFSET(控制台!$V$2641,MATCH(C51,控制台!$B$2641:$B$2645,0)-1,0))</f>
        <v>207.36</v>
      </c>
      <c r="N51" s="1">
        <f ca="1" t="shared" si="18"/>
        <v>207.36</v>
      </c>
      <c r="O51" s="5">
        <f ca="1" t="shared" si="11"/>
        <v>3172.608</v>
      </c>
      <c r="P51" s="1">
        <f ca="1">IF(C51&lt;3,0,OFFSET(控制台!$W$2641,MATCH(C51,控制台!$B$2641:$B$2645,0)-1,0))</f>
        <v>1.2</v>
      </c>
      <c r="Q51" s="1">
        <f ca="1" t="shared" si="19"/>
        <v>1.2</v>
      </c>
      <c r="R51" s="5">
        <f ca="1" t="shared" si="12"/>
        <v>18.36</v>
      </c>
      <c r="S51" s="1">
        <f ca="1">IF(C51&lt;3,0,OFFSET(控制台!$X$2641,MATCH(C51,控制台!$B$2641:$B$2645,0)-1,0))</f>
        <v>27.6</v>
      </c>
      <c r="T51" s="1">
        <f ca="1" t="shared" si="20"/>
        <v>27.6</v>
      </c>
      <c r="U51" s="5">
        <f ca="1" t="shared" si="13"/>
        <v>422.28</v>
      </c>
      <c r="V51" s="1">
        <f ca="1">IF(C51&lt;3,0,OFFSET(控制台!$Y$2641,MATCH(C51,控制台!$B$2641:$B$2645,0)-1,0))</f>
        <v>360</v>
      </c>
      <c r="W51" s="1">
        <f ca="1" t="shared" si="21"/>
        <v>360</v>
      </c>
      <c r="X51" s="5">
        <f ca="1" t="shared" si="14"/>
        <v>5508</v>
      </c>
    </row>
    <row r="52" spans="1:24">
      <c r="A52" s="11">
        <v>35</v>
      </c>
      <c r="B52" s="1">
        <f t="shared" si="7"/>
        <v>5</v>
      </c>
      <c r="C52" s="1">
        <f ca="1">OFFSET(控制台!$B$2625,MATCH(IF(A52&lt;7,MAX(0,A52-0.5),A52),控制台!$D$2625:$D$2630,1)-1,0)</f>
        <v>4</v>
      </c>
      <c r="D52" s="1">
        <f ca="1">IF(C52=0,0,OFFSET(控制台!$H$2641,MATCH(C52,控制台!$B$2641:$B$2645,0)-1,0)+OFFSET(控制台!$AA$2641,MATCH(C52,控制台!$B$2641:$B$2645,0)-1,0))</f>
        <v>1800000</v>
      </c>
      <c r="E52" s="1">
        <f ca="1" t="shared" si="15"/>
        <v>9000000</v>
      </c>
      <c r="F52" s="5">
        <f ca="1" t="shared" si="8"/>
        <v>52883200</v>
      </c>
      <c r="G52" s="1">
        <f ca="1">IF(C52=0,0,OFFSET(控制台!$L$2641,MATCH(C52,控制台!$B$2641:$B$2645,0)-1,0))</f>
        <v>216000</v>
      </c>
      <c r="H52" s="1">
        <f ca="1" t="shared" si="16"/>
        <v>1080000</v>
      </c>
      <c r="I52" s="5">
        <f ca="1" t="shared" si="9"/>
        <v>4613760</v>
      </c>
      <c r="J52" s="1">
        <f ca="1">IF(C52&lt;3,0,OFFSET(控制台!$U$2641,MATCH(C52,控制台!$B$2641:$B$2645,0)-1,0))</f>
        <v>720000</v>
      </c>
      <c r="K52" s="1">
        <f ca="1" t="shared" si="17"/>
        <v>3600000</v>
      </c>
      <c r="L52" s="5">
        <f ca="1" t="shared" si="10"/>
        <v>14616000</v>
      </c>
      <c r="M52" s="1">
        <f ca="1">IF(C52&lt;3,0,OFFSET(控制台!$V$2641,MATCH(C52,控制台!$B$2641:$B$2645,0)-1,0))</f>
        <v>207.36</v>
      </c>
      <c r="N52" s="1">
        <f ca="1" t="shared" si="18"/>
        <v>1036.8</v>
      </c>
      <c r="O52" s="5">
        <f ca="1" t="shared" si="11"/>
        <v>4209.408</v>
      </c>
      <c r="P52" s="1">
        <f ca="1">IF(C52&lt;3,0,OFFSET(控制台!$W$2641,MATCH(C52,控制台!$B$2641:$B$2645,0)-1,0))</f>
        <v>1.2</v>
      </c>
      <c r="Q52" s="1">
        <f ca="1" t="shared" si="19"/>
        <v>6</v>
      </c>
      <c r="R52" s="5">
        <f ca="1" t="shared" si="12"/>
        <v>24.36</v>
      </c>
      <c r="S52" s="1">
        <f ca="1">IF(C52&lt;3,0,OFFSET(控制台!$X$2641,MATCH(C52,控制台!$B$2641:$B$2645,0)-1,0))</f>
        <v>27.6</v>
      </c>
      <c r="T52" s="1">
        <f ca="1" t="shared" si="20"/>
        <v>138</v>
      </c>
      <c r="U52" s="5">
        <f ca="1" t="shared" si="13"/>
        <v>560.28</v>
      </c>
      <c r="V52" s="1">
        <f ca="1">IF(C52&lt;3,0,OFFSET(控制台!$Y$2641,MATCH(C52,控制台!$B$2641:$B$2645,0)-1,0))</f>
        <v>360</v>
      </c>
      <c r="W52" s="1">
        <f ca="1" t="shared" si="21"/>
        <v>1800</v>
      </c>
      <c r="X52" s="5">
        <f ca="1" t="shared" si="14"/>
        <v>7308</v>
      </c>
    </row>
    <row r="53" spans="1:24">
      <c r="A53" s="11">
        <v>40</v>
      </c>
      <c r="B53" s="1">
        <f t="shared" si="7"/>
        <v>5</v>
      </c>
      <c r="C53" s="1">
        <f ca="1">OFFSET(控制台!$B$2625,MATCH(IF(A53&lt;7,MAX(0,A53-0.5),A53),控制台!$D$2625:$D$2630,1)-1,0)</f>
        <v>4</v>
      </c>
      <c r="D53" s="1">
        <f ca="1">IF(C53=0,0,OFFSET(控制台!$H$2641,MATCH(C53,控制台!$B$2641:$B$2645,0)-1,0)+OFFSET(控制台!$AA$2641,MATCH(C53,控制台!$B$2641:$B$2645,0)-1,0))</f>
        <v>1800000</v>
      </c>
      <c r="E53" s="1">
        <f ca="1" t="shared" si="15"/>
        <v>9000000</v>
      </c>
      <c r="F53" s="5">
        <f ca="1" t="shared" si="8"/>
        <v>61883200</v>
      </c>
      <c r="G53" s="1">
        <f ca="1">IF(C53=0,0,OFFSET(控制台!$L$2641,MATCH(C53,控制台!$B$2641:$B$2645,0)-1,0))</f>
        <v>216000</v>
      </c>
      <c r="H53" s="1">
        <f ca="1" t="shared" si="16"/>
        <v>1080000</v>
      </c>
      <c r="I53" s="5">
        <f ca="1" t="shared" si="9"/>
        <v>5693760</v>
      </c>
      <c r="J53" s="1">
        <f ca="1">IF(C53&lt;3,0,OFFSET(控制台!$U$2641,MATCH(C53,控制台!$B$2641:$B$2645,0)-1,0))</f>
        <v>720000</v>
      </c>
      <c r="K53" s="1">
        <f ca="1" t="shared" si="17"/>
        <v>3600000</v>
      </c>
      <c r="L53" s="5">
        <f ca="1" t="shared" si="10"/>
        <v>18216000</v>
      </c>
      <c r="M53" s="1">
        <f ca="1">IF(C53&lt;3,0,OFFSET(控制台!$V$2641,MATCH(C53,控制台!$B$2641:$B$2645,0)-1,0))</f>
        <v>207.36</v>
      </c>
      <c r="N53" s="1">
        <f ca="1" t="shared" si="18"/>
        <v>1036.8</v>
      </c>
      <c r="O53" s="5">
        <f ca="1" t="shared" si="11"/>
        <v>5246.208</v>
      </c>
      <c r="P53" s="1">
        <f ca="1">IF(C53&lt;3,0,OFFSET(控制台!$W$2641,MATCH(C53,控制台!$B$2641:$B$2645,0)-1,0))</f>
        <v>1.2</v>
      </c>
      <c r="Q53" s="1">
        <f ca="1" t="shared" si="19"/>
        <v>6</v>
      </c>
      <c r="R53" s="5">
        <f ca="1" t="shared" si="12"/>
        <v>30.36</v>
      </c>
      <c r="S53" s="1">
        <f ca="1">IF(C53&lt;3,0,OFFSET(控制台!$X$2641,MATCH(C53,控制台!$B$2641:$B$2645,0)-1,0))</f>
        <v>27.6</v>
      </c>
      <c r="T53" s="1">
        <f ca="1" t="shared" si="20"/>
        <v>138</v>
      </c>
      <c r="U53" s="5">
        <f ca="1" t="shared" si="13"/>
        <v>698.28</v>
      </c>
      <c r="V53" s="1">
        <f ca="1">IF(C53&lt;3,0,OFFSET(控制台!$Y$2641,MATCH(C53,控制台!$B$2641:$B$2645,0)-1,0))</f>
        <v>360</v>
      </c>
      <c r="W53" s="1">
        <f ca="1" t="shared" si="21"/>
        <v>1800</v>
      </c>
      <c r="X53" s="5">
        <f ca="1" t="shared" si="14"/>
        <v>9108</v>
      </c>
    </row>
    <row r="54" spans="1:24">
      <c r="A54" s="11">
        <v>45</v>
      </c>
      <c r="B54" s="1">
        <f t="shared" si="7"/>
        <v>5</v>
      </c>
      <c r="C54" s="1">
        <f ca="1">OFFSET(控制台!$B$2625,MATCH(IF(A54&lt;7,MAX(0,A54-0.5),A54),控制台!$D$2625:$D$2630,1)-1,0)</f>
        <v>4</v>
      </c>
      <c r="D54" s="1">
        <f ca="1">IF(C54=0,0,OFFSET(控制台!$H$2641,MATCH(C54,控制台!$B$2641:$B$2645,0)-1,0)+OFFSET(控制台!$AA$2641,MATCH(C54,控制台!$B$2641:$B$2645,0)-1,0))</f>
        <v>1800000</v>
      </c>
      <c r="E54" s="1">
        <f ca="1" t="shared" si="15"/>
        <v>9000000</v>
      </c>
      <c r="F54" s="5">
        <f ca="1" t="shared" si="8"/>
        <v>70883200</v>
      </c>
      <c r="G54" s="1">
        <f ca="1">IF(C54=0,0,OFFSET(控制台!$L$2641,MATCH(C54,控制台!$B$2641:$B$2645,0)-1,0))</f>
        <v>216000</v>
      </c>
      <c r="H54" s="1">
        <f ca="1" t="shared" si="16"/>
        <v>1080000</v>
      </c>
      <c r="I54" s="5">
        <f ca="1" t="shared" si="9"/>
        <v>6773760</v>
      </c>
      <c r="J54" s="1">
        <f ca="1">IF(C54&lt;3,0,OFFSET(控制台!$U$2641,MATCH(C54,控制台!$B$2641:$B$2645,0)-1,0))</f>
        <v>720000</v>
      </c>
      <c r="K54" s="1">
        <f ca="1" t="shared" si="17"/>
        <v>3600000</v>
      </c>
      <c r="L54" s="5">
        <f ca="1" t="shared" si="10"/>
        <v>21816000</v>
      </c>
      <c r="M54" s="1">
        <f ca="1">IF(C54&lt;3,0,OFFSET(控制台!$V$2641,MATCH(C54,控制台!$B$2641:$B$2645,0)-1,0))</f>
        <v>207.36</v>
      </c>
      <c r="N54" s="1">
        <f ca="1" t="shared" si="18"/>
        <v>1036.8</v>
      </c>
      <c r="O54" s="5">
        <f ca="1" t="shared" si="11"/>
        <v>6283.008</v>
      </c>
      <c r="P54" s="1">
        <f ca="1">IF(C54&lt;3,0,OFFSET(控制台!$W$2641,MATCH(C54,控制台!$B$2641:$B$2645,0)-1,0))</f>
        <v>1.2</v>
      </c>
      <c r="Q54" s="1">
        <f ca="1" t="shared" si="19"/>
        <v>6</v>
      </c>
      <c r="R54" s="5">
        <f ca="1" t="shared" si="12"/>
        <v>36.36</v>
      </c>
      <c r="S54" s="1">
        <f ca="1">IF(C54&lt;3,0,OFFSET(控制台!$X$2641,MATCH(C54,控制台!$B$2641:$B$2645,0)-1,0))</f>
        <v>27.6</v>
      </c>
      <c r="T54" s="1">
        <f ca="1" t="shared" si="20"/>
        <v>138</v>
      </c>
      <c r="U54" s="5">
        <f ca="1" t="shared" si="13"/>
        <v>836.28</v>
      </c>
      <c r="V54" s="1">
        <f ca="1">IF(C54&lt;3,0,OFFSET(控制台!$Y$2641,MATCH(C54,控制台!$B$2641:$B$2645,0)-1,0))</f>
        <v>360</v>
      </c>
      <c r="W54" s="1">
        <f ca="1" t="shared" si="21"/>
        <v>1800</v>
      </c>
      <c r="X54" s="5">
        <f ca="1" t="shared" si="14"/>
        <v>10908</v>
      </c>
    </row>
    <row r="55" spans="1:24">
      <c r="A55" s="11">
        <v>50</v>
      </c>
      <c r="B55" s="1">
        <f t="shared" si="7"/>
        <v>5</v>
      </c>
      <c r="C55" s="1">
        <f ca="1">OFFSET(控制台!$B$2625,MATCH(IF(A55&lt;7,MAX(0,A55-0.5),A55),控制台!$D$2625:$D$2630,1)-1,0)</f>
        <v>4</v>
      </c>
      <c r="D55" s="1">
        <f ca="1">IF(C55=0,0,OFFSET(控制台!$H$2641,MATCH(C55,控制台!$B$2641:$B$2645,0)-1,0)+OFFSET(控制台!$AA$2641,MATCH(C55,控制台!$B$2641:$B$2645,0)-1,0))</f>
        <v>1800000</v>
      </c>
      <c r="E55" s="1">
        <f ca="1" t="shared" si="15"/>
        <v>9000000</v>
      </c>
      <c r="F55" s="5">
        <f ca="1" t="shared" si="8"/>
        <v>79883200</v>
      </c>
      <c r="G55" s="1">
        <f ca="1">IF(C55=0,0,OFFSET(控制台!$L$2641,MATCH(C55,控制台!$B$2641:$B$2645,0)-1,0))</f>
        <v>216000</v>
      </c>
      <c r="H55" s="1">
        <f ca="1" t="shared" si="16"/>
        <v>1080000</v>
      </c>
      <c r="I55" s="5">
        <f ca="1" t="shared" si="9"/>
        <v>7853760</v>
      </c>
      <c r="J55" s="1">
        <f ca="1">IF(C55&lt;3,0,OFFSET(控制台!$U$2641,MATCH(C55,控制台!$B$2641:$B$2645,0)-1,0))</f>
        <v>720000</v>
      </c>
      <c r="K55" s="1">
        <f ca="1" t="shared" si="17"/>
        <v>3600000</v>
      </c>
      <c r="L55" s="5">
        <f ca="1" t="shared" si="10"/>
        <v>25416000</v>
      </c>
      <c r="M55" s="1">
        <f ca="1">IF(C55&lt;3,0,OFFSET(控制台!$V$2641,MATCH(C55,控制台!$B$2641:$B$2645,0)-1,0))</f>
        <v>207.36</v>
      </c>
      <c r="N55" s="1">
        <f ca="1" t="shared" si="18"/>
        <v>1036.8</v>
      </c>
      <c r="O55" s="5">
        <f ca="1" t="shared" si="11"/>
        <v>7319.808</v>
      </c>
      <c r="P55" s="1">
        <f ca="1">IF(C55&lt;3,0,OFFSET(控制台!$W$2641,MATCH(C55,控制台!$B$2641:$B$2645,0)-1,0))</f>
        <v>1.2</v>
      </c>
      <c r="Q55" s="1">
        <f ca="1" t="shared" si="19"/>
        <v>6</v>
      </c>
      <c r="R55" s="5">
        <f ca="1" t="shared" si="12"/>
        <v>42.36</v>
      </c>
      <c r="S55" s="1">
        <f ca="1">IF(C55&lt;3,0,OFFSET(控制台!$X$2641,MATCH(C55,控制台!$B$2641:$B$2645,0)-1,0))</f>
        <v>27.6</v>
      </c>
      <c r="T55" s="1">
        <f ca="1" t="shared" si="20"/>
        <v>138</v>
      </c>
      <c r="U55" s="5">
        <f ca="1" t="shared" si="13"/>
        <v>974.28</v>
      </c>
      <c r="V55" s="1">
        <f ca="1">IF(C55&lt;3,0,OFFSET(控制台!$Y$2641,MATCH(C55,控制台!$B$2641:$B$2645,0)-1,0))</f>
        <v>360</v>
      </c>
      <c r="W55" s="1">
        <f ca="1" t="shared" si="21"/>
        <v>1800</v>
      </c>
      <c r="X55" s="5">
        <f ca="1" t="shared" si="14"/>
        <v>12708</v>
      </c>
    </row>
    <row r="56" spans="1:24">
      <c r="A56" s="11">
        <v>55</v>
      </c>
      <c r="B56" s="1">
        <f t="shared" si="7"/>
        <v>5</v>
      </c>
      <c r="C56" s="1">
        <f ca="1">OFFSET(控制台!$B$2625,MATCH(IF(A56&lt;7,MAX(0,A56-0.5),A56),控制台!$D$2625:$D$2630,1)-1,0)</f>
        <v>4</v>
      </c>
      <c r="D56" s="1">
        <f ca="1">IF(C56=0,0,OFFSET(控制台!$H$2641,MATCH(C56,控制台!$B$2641:$B$2645,0)-1,0)+OFFSET(控制台!$AA$2641,MATCH(C56,控制台!$B$2641:$B$2645,0)-1,0))</f>
        <v>1800000</v>
      </c>
      <c r="E56" s="1">
        <f ca="1" t="shared" si="15"/>
        <v>9000000</v>
      </c>
      <c r="F56" s="5">
        <f ca="1" t="shared" si="8"/>
        <v>88883200</v>
      </c>
      <c r="G56" s="1">
        <f ca="1">IF(C56=0,0,OFFSET(控制台!$L$2641,MATCH(C56,控制台!$B$2641:$B$2645,0)-1,0))</f>
        <v>216000</v>
      </c>
      <c r="H56" s="1">
        <f ca="1" t="shared" si="16"/>
        <v>1080000</v>
      </c>
      <c r="I56" s="5">
        <f ca="1" t="shared" si="9"/>
        <v>8933760</v>
      </c>
      <c r="J56" s="1">
        <f ca="1">IF(C56&lt;3,0,OFFSET(控制台!$U$2641,MATCH(C56,控制台!$B$2641:$B$2645,0)-1,0))</f>
        <v>720000</v>
      </c>
      <c r="K56" s="1">
        <f ca="1" t="shared" si="17"/>
        <v>3600000</v>
      </c>
      <c r="L56" s="5">
        <f ca="1" t="shared" si="10"/>
        <v>29016000</v>
      </c>
      <c r="M56" s="1">
        <f ca="1">IF(C56&lt;3,0,OFFSET(控制台!$V$2641,MATCH(C56,控制台!$B$2641:$B$2645,0)-1,0))</f>
        <v>207.36</v>
      </c>
      <c r="N56" s="1">
        <f ca="1" t="shared" si="18"/>
        <v>1036.8</v>
      </c>
      <c r="O56" s="5">
        <f ca="1" t="shared" si="11"/>
        <v>8356.608</v>
      </c>
      <c r="P56" s="1">
        <f ca="1">IF(C56&lt;3,0,OFFSET(控制台!$W$2641,MATCH(C56,控制台!$B$2641:$B$2645,0)-1,0))</f>
        <v>1.2</v>
      </c>
      <c r="Q56" s="1">
        <f ca="1" t="shared" si="19"/>
        <v>6</v>
      </c>
      <c r="R56" s="5">
        <f ca="1" t="shared" si="12"/>
        <v>48.36</v>
      </c>
      <c r="S56" s="1">
        <f ca="1">IF(C56&lt;3,0,OFFSET(控制台!$X$2641,MATCH(C56,控制台!$B$2641:$B$2645,0)-1,0))</f>
        <v>27.6</v>
      </c>
      <c r="T56" s="1">
        <f ca="1" t="shared" si="20"/>
        <v>138</v>
      </c>
      <c r="U56" s="5">
        <f ca="1" t="shared" si="13"/>
        <v>1112.28</v>
      </c>
      <c r="V56" s="1">
        <f ca="1">IF(C56&lt;3,0,OFFSET(控制台!$Y$2641,MATCH(C56,控制台!$B$2641:$B$2645,0)-1,0))</f>
        <v>360</v>
      </c>
      <c r="W56" s="1">
        <f ca="1" t="shared" si="21"/>
        <v>1800</v>
      </c>
      <c r="X56" s="5">
        <f ca="1" t="shared" si="14"/>
        <v>14508</v>
      </c>
    </row>
    <row r="57" spans="1:24">
      <c r="A57" s="11">
        <v>60</v>
      </c>
      <c r="B57" s="1">
        <f t="shared" si="7"/>
        <v>5</v>
      </c>
      <c r="C57" s="1">
        <f ca="1">OFFSET(控制台!$B$2625,MATCH(IF(A57&lt;7,MAX(0,A57-0.5),A57),控制台!$D$2625:$D$2630,1)-1,0)</f>
        <v>4</v>
      </c>
      <c r="D57" s="1">
        <f ca="1">IF(C57=0,0,OFFSET(控制台!$H$2641,MATCH(C57,控制台!$B$2641:$B$2645,0)-1,0)+OFFSET(控制台!$AA$2641,MATCH(C57,控制台!$B$2641:$B$2645,0)-1,0))</f>
        <v>1800000</v>
      </c>
      <c r="E57" s="1">
        <f ca="1" t="shared" si="15"/>
        <v>9000000</v>
      </c>
      <c r="F57" s="5">
        <f ca="1" t="shared" si="8"/>
        <v>97883200</v>
      </c>
      <c r="G57" s="1">
        <f ca="1">IF(C57=0,0,OFFSET(控制台!$L$2641,MATCH(C57,控制台!$B$2641:$B$2645,0)-1,0))</f>
        <v>216000</v>
      </c>
      <c r="H57" s="1">
        <f ca="1" t="shared" si="16"/>
        <v>1080000</v>
      </c>
      <c r="I57" s="5">
        <f ca="1" t="shared" si="9"/>
        <v>10013760</v>
      </c>
      <c r="J57" s="1">
        <f ca="1">IF(C57&lt;3,0,OFFSET(控制台!$U$2641,MATCH(C57,控制台!$B$2641:$B$2645,0)-1,0))</f>
        <v>720000</v>
      </c>
      <c r="K57" s="1">
        <f ca="1" t="shared" si="17"/>
        <v>3600000</v>
      </c>
      <c r="L57" s="5">
        <f ca="1" t="shared" si="10"/>
        <v>32616000</v>
      </c>
      <c r="M57" s="1">
        <f ca="1">IF(C57&lt;3,0,OFFSET(控制台!$V$2641,MATCH(C57,控制台!$B$2641:$B$2645,0)-1,0))</f>
        <v>207.36</v>
      </c>
      <c r="N57" s="1">
        <f ca="1" t="shared" si="18"/>
        <v>1036.8</v>
      </c>
      <c r="O57" s="5">
        <f ca="1" t="shared" si="11"/>
        <v>9393.408</v>
      </c>
      <c r="P57" s="1">
        <f ca="1">IF(C57&lt;3,0,OFFSET(控制台!$W$2641,MATCH(C57,控制台!$B$2641:$B$2645,0)-1,0))</f>
        <v>1.2</v>
      </c>
      <c r="Q57" s="1">
        <f ca="1" t="shared" si="19"/>
        <v>6</v>
      </c>
      <c r="R57" s="5">
        <f ca="1" t="shared" si="12"/>
        <v>54.36</v>
      </c>
      <c r="S57" s="1">
        <f ca="1">IF(C57&lt;3,0,OFFSET(控制台!$X$2641,MATCH(C57,控制台!$B$2641:$B$2645,0)-1,0))</f>
        <v>27.6</v>
      </c>
      <c r="T57" s="1">
        <f ca="1" t="shared" si="20"/>
        <v>138</v>
      </c>
      <c r="U57" s="5">
        <f ca="1" t="shared" si="13"/>
        <v>1250.28</v>
      </c>
      <c r="V57" s="1">
        <f ca="1">IF(C57&lt;3,0,OFFSET(控制台!$Y$2641,MATCH(C57,控制台!$B$2641:$B$2645,0)-1,0))</f>
        <v>360</v>
      </c>
      <c r="W57" s="1">
        <f ca="1" t="shared" si="21"/>
        <v>1800</v>
      </c>
      <c r="X57" s="5">
        <f ca="1" t="shared" si="14"/>
        <v>16308</v>
      </c>
    </row>
    <row r="58" spans="1:24">
      <c r="A58" s="11">
        <v>65</v>
      </c>
      <c r="B58" s="1">
        <f t="shared" si="7"/>
        <v>5</v>
      </c>
      <c r="C58" s="1">
        <f ca="1">OFFSET(控制台!$B$2625,MATCH(IF(A58&lt;7,MAX(0,A58-0.5),A58),控制台!$D$2625:$D$2630,1)-1,0)</f>
        <v>4</v>
      </c>
      <c r="D58" s="1">
        <f ca="1">IF(C58=0,0,OFFSET(控制台!$H$2641,MATCH(C58,控制台!$B$2641:$B$2645,0)-1,0)+OFFSET(控制台!$AA$2641,MATCH(C58,控制台!$B$2641:$B$2645,0)-1,0))</f>
        <v>1800000</v>
      </c>
      <c r="E58" s="1">
        <f ca="1" t="shared" si="15"/>
        <v>9000000</v>
      </c>
      <c r="F58" s="5">
        <f ca="1" t="shared" si="8"/>
        <v>106883200</v>
      </c>
      <c r="G58" s="1">
        <f ca="1">IF(C58=0,0,OFFSET(控制台!$L$2641,MATCH(C58,控制台!$B$2641:$B$2645,0)-1,0))</f>
        <v>216000</v>
      </c>
      <c r="H58" s="1">
        <f ca="1" t="shared" si="16"/>
        <v>1080000</v>
      </c>
      <c r="I58" s="5">
        <f ca="1" t="shared" si="9"/>
        <v>11093760</v>
      </c>
      <c r="J58" s="1">
        <f ca="1">IF(C58&lt;3,0,OFFSET(控制台!$U$2641,MATCH(C58,控制台!$B$2641:$B$2645,0)-1,0))</f>
        <v>720000</v>
      </c>
      <c r="K58" s="1">
        <f ca="1" t="shared" si="17"/>
        <v>3600000</v>
      </c>
      <c r="L58" s="5">
        <f ca="1" t="shared" si="10"/>
        <v>36216000</v>
      </c>
      <c r="M58" s="1">
        <f ca="1">IF(C58&lt;3,0,OFFSET(控制台!$V$2641,MATCH(C58,控制台!$B$2641:$B$2645,0)-1,0))</f>
        <v>207.36</v>
      </c>
      <c r="N58" s="1">
        <f ca="1" t="shared" si="18"/>
        <v>1036.8</v>
      </c>
      <c r="O58" s="5">
        <f ca="1" t="shared" si="11"/>
        <v>10430.208</v>
      </c>
      <c r="P58" s="1">
        <f ca="1">IF(C58&lt;3,0,OFFSET(控制台!$W$2641,MATCH(C58,控制台!$B$2641:$B$2645,0)-1,0))</f>
        <v>1.2</v>
      </c>
      <c r="Q58" s="1">
        <f ca="1" t="shared" si="19"/>
        <v>6</v>
      </c>
      <c r="R58" s="5">
        <f ca="1" t="shared" si="12"/>
        <v>60.36</v>
      </c>
      <c r="S58" s="1">
        <f ca="1">IF(C58&lt;3,0,OFFSET(控制台!$X$2641,MATCH(C58,控制台!$B$2641:$B$2645,0)-1,0))</f>
        <v>27.6</v>
      </c>
      <c r="T58" s="1">
        <f ca="1" t="shared" si="20"/>
        <v>138</v>
      </c>
      <c r="U58" s="5">
        <f ca="1" t="shared" si="13"/>
        <v>1388.28</v>
      </c>
      <c r="V58" s="1">
        <f ca="1">IF(C58&lt;3,0,OFFSET(控制台!$Y$2641,MATCH(C58,控制台!$B$2641:$B$2645,0)-1,0))</f>
        <v>360</v>
      </c>
      <c r="W58" s="1">
        <f ca="1" t="shared" si="21"/>
        <v>1800</v>
      </c>
      <c r="X58" s="5">
        <f ca="1" t="shared" si="14"/>
        <v>18108</v>
      </c>
    </row>
    <row r="59" spans="1:24">
      <c r="A59" s="11">
        <v>70</v>
      </c>
      <c r="B59" s="1">
        <f t="shared" si="7"/>
        <v>5</v>
      </c>
      <c r="C59" s="1">
        <f ca="1">OFFSET(控制台!$B$2625,MATCH(IF(A59&lt;7,MAX(0,A59-0.5),A59),控制台!$D$2625:$D$2630,1)-1,0)</f>
        <v>4</v>
      </c>
      <c r="D59" s="1">
        <f ca="1">IF(C59=0,0,OFFSET(控制台!$H$2641,MATCH(C59,控制台!$B$2641:$B$2645,0)-1,0)+OFFSET(控制台!$AA$2641,MATCH(C59,控制台!$B$2641:$B$2645,0)-1,0))</f>
        <v>1800000</v>
      </c>
      <c r="E59" s="1">
        <f ca="1" t="shared" si="15"/>
        <v>9000000</v>
      </c>
      <c r="F59" s="5">
        <f ca="1" t="shared" si="8"/>
        <v>115883200</v>
      </c>
      <c r="G59" s="1">
        <f ca="1">IF(C59=0,0,OFFSET(控制台!$L$2641,MATCH(C59,控制台!$B$2641:$B$2645,0)-1,0))</f>
        <v>216000</v>
      </c>
      <c r="H59" s="1">
        <f ca="1" t="shared" si="16"/>
        <v>1080000</v>
      </c>
      <c r="I59" s="5">
        <f ca="1" t="shared" si="9"/>
        <v>12173760</v>
      </c>
      <c r="J59" s="1">
        <f ca="1">IF(C59&lt;3,0,OFFSET(控制台!$U$2641,MATCH(C59,控制台!$B$2641:$B$2645,0)-1,0))</f>
        <v>720000</v>
      </c>
      <c r="K59" s="1">
        <f ca="1" t="shared" si="17"/>
        <v>3600000</v>
      </c>
      <c r="L59" s="5">
        <f ca="1" t="shared" si="10"/>
        <v>39816000</v>
      </c>
      <c r="M59" s="1">
        <f ca="1">IF(C59&lt;3,0,OFFSET(控制台!$V$2641,MATCH(C59,控制台!$B$2641:$B$2645,0)-1,0))</f>
        <v>207.36</v>
      </c>
      <c r="N59" s="1">
        <f ca="1" t="shared" si="18"/>
        <v>1036.8</v>
      </c>
      <c r="O59" s="5">
        <f ca="1" t="shared" si="11"/>
        <v>11467.008</v>
      </c>
      <c r="P59" s="1">
        <f ca="1">IF(C59&lt;3,0,OFFSET(控制台!$W$2641,MATCH(C59,控制台!$B$2641:$B$2645,0)-1,0))</f>
        <v>1.2</v>
      </c>
      <c r="Q59" s="1">
        <f ca="1" t="shared" si="19"/>
        <v>6</v>
      </c>
      <c r="R59" s="5">
        <f ca="1" t="shared" si="12"/>
        <v>66.36</v>
      </c>
      <c r="S59" s="1">
        <f ca="1">IF(C59&lt;3,0,OFFSET(控制台!$X$2641,MATCH(C59,控制台!$B$2641:$B$2645,0)-1,0))</f>
        <v>27.6</v>
      </c>
      <c r="T59" s="1">
        <f ca="1" t="shared" si="20"/>
        <v>138</v>
      </c>
      <c r="U59" s="5">
        <f ca="1" t="shared" si="13"/>
        <v>1526.28</v>
      </c>
      <c r="V59" s="1">
        <f ca="1">IF(C59&lt;3,0,OFFSET(控制台!$Y$2641,MATCH(C59,控制台!$B$2641:$B$2645,0)-1,0))</f>
        <v>360</v>
      </c>
      <c r="W59" s="1">
        <f ca="1" t="shared" si="21"/>
        <v>1800</v>
      </c>
      <c r="X59" s="5">
        <f ca="1" t="shared" si="14"/>
        <v>19908</v>
      </c>
    </row>
    <row r="60" spans="1:24">
      <c r="A60" s="11">
        <v>75</v>
      </c>
      <c r="B60" s="1">
        <f t="shared" si="7"/>
        <v>5</v>
      </c>
      <c r="C60" s="1">
        <f ca="1">OFFSET(控制台!$B$2625,MATCH(IF(A60&lt;7,MAX(0,A60-0.5),A60),控制台!$D$2625:$D$2630,1)-1,0)</f>
        <v>4</v>
      </c>
      <c r="D60" s="1">
        <f ca="1">IF(C60=0,0,OFFSET(控制台!$H$2641,MATCH(C60,控制台!$B$2641:$B$2645,0)-1,0)+OFFSET(控制台!$AA$2641,MATCH(C60,控制台!$B$2641:$B$2645,0)-1,0))</f>
        <v>1800000</v>
      </c>
      <c r="E60" s="1">
        <f ca="1" t="shared" si="15"/>
        <v>9000000</v>
      </c>
      <c r="F60" s="5">
        <f ca="1" t="shared" si="8"/>
        <v>124883200</v>
      </c>
      <c r="G60" s="1">
        <f ca="1">IF(C60=0,0,OFFSET(控制台!$L$2641,MATCH(C60,控制台!$B$2641:$B$2645,0)-1,0))</f>
        <v>216000</v>
      </c>
      <c r="H60" s="1">
        <f ca="1" t="shared" si="16"/>
        <v>1080000</v>
      </c>
      <c r="I60" s="5">
        <f ca="1" t="shared" si="9"/>
        <v>13253760</v>
      </c>
      <c r="J60" s="1">
        <f ca="1">IF(C60&lt;3,0,OFFSET(控制台!$U$2641,MATCH(C60,控制台!$B$2641:$B$2645,0)-1,0))</f>
        <v>720000</v>
      </c>
      <c r="K60" s="1">
        <f ca="1" t="shared" si="17"/>
        <v>3600000</v>
      </c>
      <c r="L60" s="5">
        <f ca="1" t="shared" si="10"/>
        <v>43416000</v>
      </c>
      <c r="M60" s="1">
        <f ca="1">IF(C60&lt;3,0,OFFSET(控制台!$V$2641,MATCH(C60,控制台!$B$2641:$B$2645,0)-1,0))</f>
        <v>207.36</v>
      </c>
      <c r="N60" s="1">
        <f ca="1" t="shared" si="18"/>
        <v>1036.8</v>
      </c>
      <c r="O60" s="5">
        <f ca="1" t="shared" si="11"/>
        <v>12503.808</v>
      </c>
      <c r="P60" s="1">
        <f ca="1">IF(C60&lt;3,0,OFFSET(控制台!$W$2641,MATCH(C60,控制台!$B$2641:$B$2645,0)-1,0))</f>
        <v>1.2</v>
      </c>
      <c r="Q60" s="1">
        <f ca="1" t="shared" si="19"/>
        <v>6</v>
      </c>
      <c r="R60" s="5">
        <f ca="1" t="shared" si="12"/>
        <v>72.36</v>
      </c>
      <c r="S60" s="1">
        <f ca="1">IF(C60&lt;3,0,OFFSET(控制台!$X$2641,MATCH(C60,控制台!$B$2641:$B$2645,0)-1,0))</f>
        <v>27.6</v>
      </c>
      <c r="T60" s="1">
        <f ca="1" t="shared" si="20"/>
        <v>138</v>
      </c>
      <c r="U60" s="5">
        <f ca="1" t="shared" si="13"/>
        <v>1664.28</v>
      </c>
      <c r="V60" s="1">
        <f ca="1">IF(C60&lt;3,0,OFFSET(控制台!$Y$2641,MATCH(C60,控制台!$B$2641:$B$2645,0)-1,0))</f>
        <v>360</v>
      </c>
      <c r="W60" s="1">
        <f ca="1" t="shared" si="21"/>
        <v>1800</v>
      </c>
      <c r="X60" s="5">
        <f ca="1" t="shared" si="14"/>
        <v>21708</v>
      </c>
    </row>
    <row r="61" spans="1:24">
      <c r="A61" s="11">
        <v>80</v>
      </c>
      <c r="B61" s="1">
        <f t="shared" si="7"/>
        <v>5</v>
      </c>
      <c r="C61" s="1">
        <f ca="1">OFFSET(控制台!$B$2625,MATCH(IF(A61&lt;7,MAX(0,A61-0.5),A61),控制台!$D$2625:$D$2630,1)-1,0)</f>
        <v>4</v>
      </c>
      <c r="D61" s="1">
        <f ca="1">IF(C61=0,0,OFFSET(控制台!$H$2641,MATCH(C61,控制台!$B$2641:$B$2645,0)-1,0)+OFFSET(控制台!$AA$2641,MATCH(C61,控制台!$B$2641:$B$2645,0)-1,0))</f>
        <v>1800000</v>
      </c>
      <c r="E61" s="1">
        <f ca="1" t="shared" si="15"/>
        <v>9000000</v>
      </c>
      <c r="F61" s="5">
        <f ca="1" t="shared" si="8"/>
        <v>133883200</v>
      </c>
      <c r="G61" s="1">
        <f ca="1">IF(C61=0,0,OFFSET(控制台!$L$2641,MATCH(C61,控制台!$B$2641:$B$2645,0)-1,0))</f>
        <v>216000</v>
      </c>
      <c r="H61" s="1">
        <f ca="1" t="shared" si="16"/>
        <v>1080000</v>
      </c>
      <c r="I61" s="5">
        <f ca="1" t="shared" si="9"/>
        <v>14333760</v>
      </c>
      <c r="J61" s="1">
        <f ca="1">IF(C61&lt;3,0,OFFSET(控制台!$U$2641,MATCH(C61,控制台!$B$2641:$B$2645,0)-1,0))</f>
        <v>720000</v>
      </c>
      <c r="K61" s="1">
        <f ca="1" t="shared" si="17"/>
        <v>3600000</v>
      </c>
      <c r="L61" s="5">
        <f ca="1" t="shared" si="10"/>
        <v>47016000</v>
      </c>
      <c r="M61" s="1">
        <f ca="1">IF(C61&lt;3,0,OFFSET(控制台!$V$2641,MATCH(C61,控制台!$B$2641:$B$2645,0)-1,0))</f>
        <v>207.36</v>
      </c>
      <c r="N61" s="1">
        <f ca="1" t="shared" si="18"/>
        <v>1036.8</v>
      </c>
      <c r="O61" s="5">
        <f ca="1" t="shared" si="11"/>
        <v>13540.608</v>
      </c>
      <c r="P61" s="1">
        <f ca="1">IF(C61&lt;3,0,OFFSET(控制台!$W$2641,MATCH(C61,控制台!$B$2641:$B$2645,0)-1,0))</f>
        <v>1.2</v>
      </c>
      <c r="Q61" s="1">
        <f ca="1" t="shared" si="19"/>
        <v>6</v>
      </c>
      <c r="R61" s="5">
        <f ca="1" t="shared" si="12"/>
        <v>78.36</v>
      </c>
      <c r="S61" s="1">
        <f ca="1">IF(C61&lt;3,0,OFFSET(控制台!$X$2641,MATCH(C61,控制台!$B$2641:$B$2645,0)-1,0))</f>
        <v>27.6</v>
      </c>
      <c r="T61" s="1">
        <f ca="1" t="shared" si="20"/>
        <v>138</v>
      </c>
      <c r="U61" s="5">
        <f ca="1" t="shared" si="13"/>
        <v>1802.28</v>
      </c>
      <c r="V61" s="1">
        <f ca="1">IF(C61&lt;3,0,OFFSET(控制台!$Y$2641,MATCH(C61,控制台!$B$2641:$B$2645,0)-1,0))</f>
        <v>360</v>
      </c>
      <c r="W61" s="1">
        <f ca="1" t="shared" si="21"/>
        <v>1800</v>
      </c>
      <c r="X61" s="5">
        <f ca="1" t="shared" si="14"/>
        <v>23508</v>
      </c>
    </row>
    <row r="62" spans="1:24">
      <c r="A62" s="11">
        <v>85</v>
      </c>
      <c r="B62" s="1">
        <f t="shared" si="7"/>
        <v>5</v>
      </c>
      <c r="C62" s="1">
        <f ca="1">OFFSET(控制台!$B$2625,MATCH(IF(A62&lt;7,MAX(0,A62-0.5),A62),控制台!$D$2625:$D$2630,1)-1,0)</f>
        <v>4</v>
      </c>
      <c r="D62" s="1">
        <f ca="1">IF(C62=0,0,OFFSET(控制台!$H$2641,MATCH(C62,控制台!$B$2641:$B$2645,0)-1,0)+OFFSET(控制台!$AA$2641,MATCH(C62,控制台!$B$2641:$B$2645,0)-1,0))</f>
        <v>1800000</v>
      </c>
      <c r="E62" s="1">
        <f ca="1" t="shared" si="15"/>
        <v>9000000</v>
      </c>
      <c r="F62" s="5">
        <f ca="1" t="shared" si="8"/>
        <v>142883200</v>
      </c>
      <c r="G62" s="1">
        <f ca="1">IF(C62=0,0,OFFSET(控制台!$L$2641,MATCH(C62,控制台!$B$2641:$B$2645,0)-1,0))</f>
        <v>216000</v>
      </c>
      <c r="H62" s="1">
        <f ca="1" t="shared" si="16"/>
        <v>1080000</v>
      </c>
      <c r="I62" s="5">
        <f ca="1" t="shared" si="9"/>
        <v>15413760</v>
      </c>
      <c r="J62" s="1">
        <f ca="1">IF(C62&lt;3,0,OFFSET(控制台!$U$2641,MATCH(C62,控制台!$B$2641:$B$2645,0)-1,0))</f>
        <v>720000</v>
      </c>
      <c r="K62" s="1">
        <f ca="1" t="shared" si="17"/>
        <v>3600000</v>
      </c>
      <c r="L62" s="5">
        <f ca="1" t="shared" si="10"/>
        <v>50616000</v>
      </c>
      <c r="M62" s="1">
        <f ca="1">IF(C62&lt;3,0,OFFSET(控制台!$V$2641,MATCH(C62,控制台!$B$2641:$B$2645,0)-1,0))</f>
        <v>207.36</v>
      </c>
      <c r="N62" s="1">
        <f ca="1" t="shared" si="18"/>
        <v>1036.8</v>
      </c>
      <c r="O62" s="5">
        <f ca="1" t="shared" si="11"/>
        <v>14577.408</v>
      </c>
      <c r="P62" s="1">
        <f ca="1">IF(C62&lt;3,0,OFFSET(控制台!$W$2641,MATCH(C62,控制台!$B$2641:$B$2645,0)-1,0))</f>
        <v>1.2</v>
      </c>
      <c r="Q62" s="1">
        <f ca="1" t="shared" si="19"/>
        <v>6</v>
      </c>
      <c r="R62" s="5">
        <f ca="1" t="shared" si="12"/>
        <v>84.36</v>
      </c>
      <c r="S62" s="1">
        <f ca="1">IF(C62&lt;3,0,OFFSET(控制台!$X$2641,MATCH(C62,控制台!$B$2641:$B$2645,0)-1,0))</f>
        <v>27.6</v>
      </c>
      <c r="T62" s="1">
        <f ca="1" t="shared" si="20"/>
        <v>138</v>
      </c>
      <c r="U62" s="5">
        <f ca="1" t="shared" si="13"/>
        <v>1940.28</v>
      </c>
      <c r="V62" s="1">
        <f ca="1">IF(C62&lt;3,0,OFFSET(控制台!$Y$2641,MATCH(C62,控制台!$B$2641:$B$2645,0)-1,0))</f>
        <v>360</v>
      </c>
      <c r="W62" s="1">
        <f ca="1" t="shared" si="21"/>
        <v>1800</v>
      </c>
      <c r="X62" s="5">
        <f ca="1" t="shared" si="14"/>
        <v>25308</v>
      </c>
    </row>
    <row r="63" spans="1:24">
      <c r="A63" s="11">
        <v>90</v>
      </c>
      <c r="B63" s="1">
        <f t="shared" si="7"/>
        <v>5</v>
      </c>
      <c r="C63" s="1">
        <f ca="1">OFFSET(控制台!$B$2625,MATCH(IF(A63&lt;7,MAX(0,A63-0.5),A63),控制台!$D$2625:$D$2630,1)-1,0)</f>
        <v>4</v>
      </c>
      <c r="D63" s="1">
        <f ca="1">IF(C63=0,0,OFFSET(控制台!$H$2641,MATCH(C63,控制台!$B$2641:$B$2645,0)-1,0)+OFFSET(控制台!$AA$2641,MATCH(C63,控制台!$B$2641:$B$2645,0)-1,0))</f>
        <v>1800000</v>
      </c>
      <c r="E63" s="1">
        <f ca="1" t="shared" si="15"/>
        <v>9000000</v>
      </c>
      <c r="F63" s="5">
        <f ca="1" t="shared" si="8"/>
        <v>151883200</v>
      </c>
      <c r="G63" s="1">
        <f ca="1">IF(C63=0,0,OFFSET(控制台!$L$2641,MATCH(C63,控制台!$B$2641:$B$2645,0)-1,0))</f>
        <v>216000</v>
      </c>
      <c r="H63" s="1">
        <f ca="1" t="shared" si="16"/>
        <v>1080000</v>
      </c>
      <c r="I63" s="5">
        <f ca="1" t="shared" si="9"/>
        <v>16493760</v>
      </c>
      <c r="J63" s="1">
        <f ca="1">IF(C63&lt;3,0,OFFSET(控制台!$U$2641,MATCH(C63,控制台!$B$2641:$B$2645,0)-1,0))</f>
        <v>720000</v>
      </c>
      <c r="K63" s="1">
        <f ca="1" t="shared" si="17"/>
        <v>3600000</v>
      </c>
      <c r="L63" s="5">
        <f ca="1" t="shared" si="10"/>
        <v>54216000</v>
      </c>
      <c r="M63" s="1">
        <f ca="1">IF(C63&lt;3,0,OFFSET(控制台!$V$2641,MATCH(C63,控制台!$B$2641:$B$2645,0)-1,0))</f>
        <v>207.36</v>
      </c>
      <c r="N63" s="1">
        <f ca="1" t="shared" si="18"/>
        <v>1036.8</v>
      </c>
      <c r="O63" s="5">
        <f ca="1" t="shared" si="11"/>
        <v>15614.208</v>
      </c>
      <c r="P63" s="1">
        <f ca="1">IF(C63&lt;3,0,OFFSET(控制台!$W$2641,MATCH(C63,控制台!$B$2641:$B$2645,0)-1,0))</f>
        <v>1.2</v>
      </c>
      <c r="Q63" s="1">
        <f ca="1" t="shared" si="19"/>
        <v>6</v>
      </c>
      <c r="R63" s="5">
        <f ca="1" t="shared" si="12"/>
        <v>90.36</v>
      </c>
      <c r="S63" s="1">
        <f ca="1">IF(C63&lt;3,0,OFFSET(控制台!$X$2641,MATCH(C63,控制台!$B$2641:$B$2645,0)-1,0))</f>
        <v>27.6</v>
      </c>
      <c r="T63" s="1">
        <f ca="1" t="shared" si="20"/>
        <v>138</v>
      </c>
      <c r="U63" s="5">
        <f ca="1" t="shared" si="13"/>
        <v>2078.28</v>
      </c>
      <c r="V63" s="1">
        <f ca="1">IF(C63&lt;3,0,OFFSET(控制台!$Y$2641,MATCH(C63,控制台!$B$2641:$B$2645,0)-1,0))</f>
        <v>360</v>
      </c>
      <c r="W63" s="1">
        <f ca="1" t="shared" si="21"/>
        <v>1800</v>
      </c>
      <c r="X63" s="5">
        <f ca="1" t="shared" si="14"/>
        <v>27108</v>
      </c>
    </row>
    <row r="64" spans="1:24">
      <c r="A64" s="11">
        <v>95</v>
      </c>
      <c r="B64" s="1">
        <f t="shared" si="7"/>
        <v>5</v>
      </c>
      <c r="C64" s="1">
        <f ca="1">OFFSET(控制台!$B$2625,MATCH(IF(A64&lt;7,MAX(0,A64-0.5),A64),控制台!$D$2625:$D$2630,1)-1,0)</f>
        <v>5</v>
      </c>
      <c r="D64" s="1">
        <f ca="1">IF(C64=0,0,OFFSET(控制台!$H$2641,MATCH(C64,控制台!$B$2641:$B$2645,0)-1,0)+OFFSET(控制台!$AA$2641,MATCH(C64,控制台!$B$2641:$B$2645,0)-1,0))</f>
        <v>1994000</v>
      </c>
      <c r="E64" s="1">
        <f ca="1" t="shared" si="15"/>
        <v>9970000</v>
      </c>
      <c r="F64" s="5">
        <f ca="1" t="shared" si="8"/>
        <v>161853200</v>
      </c>
      <c r="G64" s="1">
        <f ca="1">IF(C64=0,0,OFFSET(控制台!$L$2641,MATCH(C64,控制台!$B$2641:$B$2645,0)-1,0))</f>
        <v>360000</v>
      </c>
      <c r="H64" s="1">
        <f ca="1" t="shared" si="16"/>
        <v>1800000</v>
      </c>
      <c r="I64" s="5">
        <f ca="1" t="shared" si="9"/>
        <v>18293760</v>
      </c>
      <c r="J64" s="1">
        <f ca="1">IF(C64&lt;3,0,OFFSET(控制台!$U$2641,MATCH(C64,控制台!$B$2641:$B$2645,0)-1,0))</f>
        <v>1200000</v>
      </c>
      <c r="K64" s="1">
        <f ca="1" t="shared" si="17"/>
        <v>6000000</v>
      </c>
      <c r="L64" s="5">
        <f ca="1" t="shared" si="10"/>
        <v>60216000</v>
      </c>
      <c r="M64" s="1">
        <f ca="1">IF(C64&lt;3,0,OFFSET(控制台!$V$2641,MATCH(C64,控制台!$B$2641:$B$2645,0)-1,0))</f>
        <v>345.6</v>
      </c>
      <c r="N64" s="1">
        <f ca="1" t="shared" si="18"/>
        <v>1728</v>
      </c>
      <c r="O64" s="5">
        <f ca="1" t="shared" si="11"/>
        <v>17342.208</v>
      </c>
      <c r="P64" s="1">
        <f ca="1">IF(C64&lt;3,0,OFFSET(控制台!$W$2641,MATCH(C64,控制台!$B$2641:$B$2645,0)-1,0))</f>
        <v>2</v>
      </c>
      <c r="Q64" s="1">
        <f ca="1" t="shared" si="19"/>
        <v>10</v>
      </c>
      <c r="R64" s="5">
        <f ca="1" t="shared" si="12"/>
        <v>100.36</v>
      </c>
      <c r="S64" s="1">
        <f ca="1">IF(C64&lt;3,0,OFFSET(控制台!$X$2641,MATCH(C64,控制台!$B$2641:$B$2645,0)-1,0))</f>
        <v>46</v>
      </c>
      <c r="T64" s="1">
        <f ca="1" t="shared" si="20"/>
        <v>230</v>
      </c>
      <c r="U64" s="5">
        <f ca="1" t="shared" si="13"/>
        <v>2308.28</v>
      </c>
      <c r="V64" s="1">
        <f ca="1">IF(C64&lt;3,0,OFFSET(控制台!$Y$2641,MATCH(C64,控制台!$B$2641:$B$2645,0)-1,0))</f>
        <v>600</v>
      </c>
      <c r="W64" s="1">
        <f ca="1" t="shared" si="21"/>
        <v>3000</v>
      </c>
      <c r="X64" s="5">
        <f ca="1" t="shared" si="14"/>
        <v>30108</v>
      </c>
    </row>
    <row r="65" spans="1:24">
      <c r="A65" s="11">
        <v>100</v>
      </c>
      <c r="B65" s="1">
        <f t="shared" si="7"/>
        <v>5</v>
      </c>
      <c r="C65" s="1">
        <f ca="1">OFFSET(控制台!$B$2625,MATCH(IF(A65&lt;7,MAX(0,A65-0.5),A65),控制台!$D$2625:$D$2630,1)-1,0)</f>
        <v>5</v>
      </c>
      <c r="D65" s="1">
        <f ca="1">IF(C65=0,0,OFFSET(控制台!$H$2641,MATCH(C65,控制台!$B$2641:$B$2645,0)-1,0)+OFFSET(控制台!$AA$2641,MATCH(C65,控制台!$B$2641:$B$2645,0)-1,0))</f>
        <v>1994000</v>
      </c>
      <c r="E65" s="1">
        <f ca="1" t="shared" si="15"/>
        <v>9970000</v>
      </c>
      <c r="F65" s="5">
        <f ca="1" t="shared" si="8"/>
        <v>171823200</v>
      </c>
      <c r="G65" s="1">
        <f ca="1">IF(C65=0,0,OFFSET(控制台!$L$2641,MATCH(C65,控制台!$B$2641:$B$2645,0)-1,0))</f>
        <v>360000</v>
      </c>
      <c r="H65" s="1">
        <f ca="1" t="shared" si="16"/>
        <v>1800000</v>
      </c>
      <c r="I65" s="5">
        <f ca="1" t="shared" si="9"/>
        <v>20093760</v>
      </c>
      <c r="J65" s="1">
        <f ca="1">IF(C65&lt;3,0,OFFSET(控制台!$U$2641,MATCH(C65,控制台!$B$2641:$B$2645,0)-1,0))</f>
        <v>1200000</v>
      </c>
      <c r="K65" s="1">
        <f ca="1" t="shared" si="17"/>
        <v>6000000</v>
      </c>
      <c r="L65" s="5">
        <f ca="1" t="shared" si="10"/>
        <v>66216000</v>
      </c>
      <c r="M65" s="1">
        <f ca="1">IF(C65&lt;3,0,OFFSET(控制台!$V$2641,MATCH(C65,控制台!$B$2641:$B$2645,0)-1,0))</f>
        <v>345.6</v>
      </c>
      <c r="N65" s="1">
        <f ca="1" t="shared" si="18"/>
        <v>1728</v>
      </c>
      <c r="O65" s="5">
        <f ca="1" t="shared" si="11"/>
        <v>19070.208</v>
      </c>
      <c r="P65" s="1">
        <f ca="1">IF(C65&lt;3,0,OFFSET(控制台!$W$2641,MATCH(C65,控制台!$B$2641:$B$2645,0)-1,0))</f>
        <v>2</v>
      </c>
      <c r="Q65" s="1">
        <f ca="1" t="shared" si="19"/>
        <v>10</v>
      </c>
      <c r="R65" s="5">
        <f ca="1" t="shared" si="12"/>
        <v>110.36</v>
      </c>
      <c r="S65" s="1">
        <f ca="1">IF(C65&lt;3,0,OFFSET(控制台!$X$2641,MATCH(C65,控制台!$B$2641:$B$2645,0)-1,0))</f>
        <v>46</v>
      </c>
      <c r="T65" s="1">
        <f ca="1" t="shared" si="20"/>
        <v>230</v>
      </c>
      <c r="U65" s="5">
        <f ca="1" t="shared" si="13"/>
        <v>2538.28</v>
      </c>
      <c r="V65" s="1">
        <f ca="1">IF(C65&lt;3,0,OFFSET(控制台!$Y$2641,MATCH(C65,控制台!$B$2641:$B$2645,0)-1,0))</f>
        <v>600</v>
      </c>
      <c r="W65" s="1">
        <f ca="1" t="shared" si="21"/>
        <v>3000</v>
      </c>
      <c r="X65" s="5">
        <f ca="1" t="shared" si="14"/>
        <v>33108</v>
      </c>
    </row>
    <row r="66" spans="1:24">
      <c r="A66" s="11">
        <v>105</v>
      </c>
      <c r="B66" s="1">
        <f t="shared" si="7"/>
        <v>5</v>
      </c>
      <c r="C66" s="1">
        <f ca="1">OFFSET(控制台!$B$2625,MATCH(IF(A66&lt;7,MAX(0,A66-0.5),A66),控制台!$D$2625:$D$2630,1)-1,0)</f>
        <v>5</v>
      </c>
      <c r="D66" s="1">
        <f ca="1">IF(C66=0,0,OFFSET(控制台!$H$2641,MATCH(C66,控制台!$B$2641:$B$2645,0)-1,0)+OFFSET(控制台!$AA$2641,MATCH(C66,控制台!$B$2641:$B$2645,0)-1,0))</f>
        <v>1994000</v>
      </c>
      <c r="E66" s="1">
        <f ca="1" t="shared" si="15"/>
        <v>9970000</v>
      </c>
      <c r="F66" s="5">
        <f ca="1" t="shared" si="8"/>
        <v>181793200</v>
      </c>
      <c r="G66" s="1">
        <f ca="1">IF(C66=0,0,OFFSET(控制台!$L$2641,MATCH(C66,控制台!$B$2641:$B$2645,0)-1,0))</f>
        <v>360000</v>
      </c>
      <c r="H66" s="1">
        <f ca="1" t="shared" si="16"/>
        <v>1800000</v>
      </c>
      <c r="I66" s="5">
        <f ca="1" t="shared" si="9"/>
        <v>21893760</v>
      </c>
      <c r="J66" s="1">
        <f ca="1">IF(C66&lt;3,0,OFFSET(控制台!$U$2641,MATCH(C66,控制台!$B$2641:$B$2645,0)-1,0))</f>
        <v>1200000</v>
      </c>
      <c r="K66" s="1">
        <f ca="1" t="shared" si="17"/>
        <v>6000000</v>
      </c>
      <c r="L66" s="5">
        <f ca="1" t="shared" si="10"/>
        <v>72216000</v>
      </c>
      <c r="M66" s="1">
        <f ca="1">IF(C66&lt;3,0,OFFSET(控制台!$V$2641,MATCH(C66,控制台!$B$2641:$B$2645,0)-1,0))</f>
        <v>345.6</v>
      </c>
      <c r="N66" s="1">
        <f ca="1" t="shared" si="18"/>
        <v>1728</v>
      </c>
      <c r="O66" s="5">
        <f ca="1" t="shared" si="11"/>
        <v>20798.208</v>
      </c>
      <c r="P66" s="1">
        <f ca="1">IF(C66&lt;3,0,OFFSET(控制台!$W$2641,MATCH(C66,控制台!$B$2641:$B$2645,0)-1,0))</f>
        <v>2</v>
      </c>
      <c r="Q66" s="1">
        <f ca="1" t="shared" si="19"/>
        <v>10</v>
      </c>
      <c r="R66" s="5">
        <f ca="1" t="shared" si="12"/>
        <v>120.36</v>
      </c>
      <c r="S66" s="1">
        <f ca="1">IF(C66&lt;3,0,OFFSET(控制台!$X$2641,MATCH(C66,控制台!$B$2641:$B$2645,0)-1,0))</f>
        <v>46</v>
      </c>
      <c r="T66" s="1">
        <f ca="1" t="shared" si="20"/>
        <v>230</v>
      </c>
      <c r="U66" s="5">
        <f ca="1" t="shared" si="13"/>
        <v>2768.28</v>
      </c>
      <c r="V66" s="1">
        <f ca="1">IF(C66&lt;3,0,OFFSET(控制台!$Y$2641,MATCH(C66,控制台!$B$2641:$B$2645,0)-1,0))</f>
        <v>600</v>
      </c>
      <c r="W66" s="1">
        <f ca="1" t="shared" si="21"/>
        <v>3000</v>
      </c>
      <c r="X66" s="5">
        <f ca="1" t="shared" si="14"/>
        <v>36108</v>
      </c>
    </row>
    <row r="67" spans="1:24">
      <c r="A67" s="11">
        <v>110</v>
      </c>
      <c r="B67" s="1">
        <f t="shared" si="7"/>
        <v>5</v>
      </c>
      <c r="C67" s="1">
        <f ca="1">OFFSET(控制台!$B$2625,MATCH(IF(A67&lt;7,MAX(0,A67-0.5),A67),控制台!$D$2625:$D$2630,1)-1,0)</f>
        <v>5</v>
      </c>
      <c r="D67" s="1">
        <f ca="1">IF(C67=0,0,OFFSET(控制台!$H$2641,MATCH(C67,控制台!$B$2641:$B$2645,0)-1,0)+OFFSET(控制台!$AA$2641,MATCH(C67,控制台!$B$2641:$B$2645,0)-1,0))</f>
        <v>1994000</v>
      </c>
      <c r="E67" s="1">
        <f ca="1" t="shared" si="15"/>
        <v>9970000</v>
      </c>
      <c r="F67" s="5">
        <f ca="1" t="shared" si="8"/>
        <v>191763200</v>
      </c>
      <c r="G67" s="1">
        <f ca="1">IF(C67=0,0,OFFSET(控制台!$L$2641,MATCH(C67,控制台!$B$2641:$B$2645,0)-1,0))</f>
        <v>360000</v>
      </c>
      <c r="H67" s="1">
        <f ca="1" t="shared" si="16"/>
        <v>1800000</v>
      </c>
      <c r="I67" s="5">
        <f ca="1" t="shared" si="9"/>
        <v>23693760</v>
      </c>
      <c r="J67" s="1">
        <f ca="1">IF(C67&lt;3,0,OFFSET(控制台!$U$2641,MATCH(C67,控制台!$B$2641:$B$2645,0)-1,0))</f>
        <v>1200000</v>
      </c>
      <c r="K67" s="1">
        <f ca="1" t="shared" si="17"/>
        <v>6000000</v>
      </c>
      <c r="L67" s="5">
        <f ca="1" t="shared" si="10"/>
        <v>78216000</v>
      </c>
      <c r="M67" s="1">
        <f ca="1">IF(C67&lt;3,0,OFFSET(控制台!$V$2641,MATCH(C67,控制台!$B$2641:$B$2645,0)-1,0))</f>
        <v>345.6</v>
      </c>
      <c r="N67" s="1">
        <f ca="1" t="shared" si="18"/>
        <v>1728</v>
      </c>
      <c r="O67" s="5">
        <f ca="1" t="shared" si="11"/>
        <v>22526.208</v>
      </c>
      <c r="P67" s="1">
        <f ca="1">IF(C67&lt;3,0,OFFSET(控制台!$W$2641,MATCH(C67,控制台!$B$2641:$B$2645,0)-1,0))</f>
        <v>2</v>
      </c>
      <c r="Q67" s="1">
        <f ca="1" t="shared" si="19"/>
        <v>10</v>
      </c>
      <c r="R67" s="5">
        <f ca="1" t="shared" si="12"/>
        <v>130.36</v>
      </c>
      <c r="S67" s="1">
        <f ca="1">IF(C67&lt;3,0,OFFSET(控制台!$X$2641,MATCH(C67,控制台!$B$2641:$B$2645,0)-1,0))</f>
        <v>46</v>
      </c>
      <c r="T67" s="1">
        <f ca="1" t="shared" si="20"/>
        <v>230</v>
      </c>
      <c r="U67" s="5">
        <f ca="1" t="shared" si="13"/>
        <v>2998.28</v>
      </c>
      <c r="V67" s="1">
        <f ca="1">IF(C67&lt;3,0,OFFSET(控制台!$Y$2641,MATCH(C67,控制台!$B$2641:$B$2645,0)-1,0))</f>
        <v>600</v>
      </c>
      <c r="W67" s="1">
        <f ca="1" t="shared" si="21"/>
        <v>3000</v>
      </c>
      <c r="X67" s="5">
        <f ca="1" t="shared" si="14"/>
        <v>39108</v>
      </c>
    </row>
    <row r="68" spans="1:24">
      <c r="A68" s="11">
        <v>115</v>
      </c>
      <c r="B68" s="1">
        <f t="shared" si="7"/>
        <v>5</v>
      </c>
      <c r="C68" s="1">
        <f ca="1">OFFSET(控制台!$B$2625,MATCH(IF(A68&lt;7,MAX(0,A68-0.5),A68),控制台!$D$2625:$D$2630,1)-1,0)</f>
        <v>5</v>
      </c>
      <c r="D68" s="1">
        <f ca="1">IF(C68=0,0,OFFSET(控制台!$H$2641,MATCH(C68,控制台!$B$2641:$B$2645,0)-1,0)+OFFSET(控制台!$AA$2641,MATCH(C68,控制台!$B$2641:$B$2645,0)-1,0))</f>
        <v>1994000</v>
      </c>
      <c r="E68" s="1">
        <f ca="1" t="shared" si="15"/>
        <v>9970000</v>
      </c>
      <c r="F68" s="5">
        <f ca="1" t="shared" si="8"/>
        <v>201733200</v>
      </c>
      <c r="G68" s="1">
        <f ca="1">IF(C68=0,0,OFFSET(控制台!$L$2641,MATCH(C68,控制台!$B$2641:$B$2645,0)-1,0))</f>
        <v>360000</v>
      </c>
      <c r="H68" s="1">
        <f ca="1" t="shared" si="16"/>
        <v>1800000</v>
      </c>
      <c r="I68" s="5">
        <f ca="1" t="shared" si="9"/>
        <v>25493760</v>
      </c>
      <c r="J68" s="1">
        <f ca="1">IF(C68&lt;3,0,OFFSET(控制台!$U$2641,MATCH(C68,控制台!$B$2641:$B$2645,0)-1,0))</f>
        <v>1200000</v>
      </c>
      <c r="K68" s="1">
        <f ca="1" t="shared" si="17"/>
        <v>6000000</v>
      </c>
      <c r="L68" s="5">
        <f ca="1" t="shared" si="10"/>
        <v>84216000</v>
      </c>
      <c r="M68" s="1">
        <f ca="1">IF(C68&lt;3,0,OFFSET(控制台!$V$2641,MATCH(C68,控制台!$B$2641:$B$2645,0)-1,0))</f>
        <v>345.6</v>
      </c>
      <c r="N68" s="1">
        <f ca="1" t="shared" si="18"/>
        <v>1728</v>
      </c>
      <c r="O68" s="5">
        <f ca="1" t="shared" si="11"/>
        <v>24254.208</v>
      </c>
      <c r="P68" s="1">
        <f ca="1">IF(C68&lt;3,0,OFFSET(控制台!$W$2641,MATCH(C68,控制台!$B$2641:$B$2645,0)-1,0))</f>
        <v>2</v>
      </c>
      <c r="Q68" s="1">
        <f ca="1" t="shared" si="19"/>
        <v>10</v>
      </c>
      <c r="R68" s="5">
        <f ca="1" t="shared" si="12"/>
        <v>140.36</v>
      </c>
      <c r="S68" s="1">
        <f ca="1">IF(C68&lt;3,0,OFFSET(控制台!$X$2641,MATCH(C68,控制台!$B$2641:$B$2645,0)-1,0))</f>
        <v>46</v>
      </c>
      <c r="T68" s="1">
        <f ca="1" t="shared" si="20"/>
        <v>230</v>
      </c>
      <c r="U68" s="5">
        <f ca="1" t="shared" si="13"/>
        <v>3228.28</v>
      </c>
      <c r="V68" s="1">
        <f ca="1">IF(C68&lt;3,0,OFFSET(控制台!$Y$2641,MATCH(C68,控制台!$B$2641:$B$2645,0)-1,0))</f>
        <v>600</v>
      </c>
      <c r="W68" s="1">
        <f ca="1" t="shared" si="21"/>
        <v>3000</v>
      </c>
      <c r="X68" s="5">
        <f ca="1" t="shared" si="14"/>
        <v>42108</v>
      </c>
    </row>
    <row r="69" spans="1:24">
      <c r="A69" s="11">
        <v>120</v>
      </c>
      <c r="B69" s="1">
        <f t="shared" si="7"/>
        <v>5</v>
      </c>
      <c r="C69" s="1">
        <f ca="1">OFFSET(控制台!$B$2625,MATCH(IF(A69&lt;7,MAX(0,A69-0.5),A69),控制台!$D$2625:$D$2630,1)-1,0)</f>
        <v>5</v>
      </c>
      <c r="D69" s="1">
        <f ca="1">IF(C69=0,0,OFFSET(控制台!$H$2641,MATCH(C69,控制台!$B$2641:$B$2645,0)-1,0)+OFFSET(控制台!$AA$2641,MATCH(C69,控制台!$B$2641:$B$2645,0)-1,0))</f>
        <v>1994000</v>
      </c>
      <c r="E69" s="1">
        <f ca="1" t="shared" si="15"/>
        <v>9970000</v>
      </c>
      <c r="F69" s="5">
        <f ca="1" t="shared" si="8"/>
        <v>211703200</v>
      </c>
      <c r="G69" s="1">
        <f ca="1">IF(C69=0,0,OFFSET(控制台!$L$2641,MATCH(C69,控制台!$B$2641:$B$2645,0)-1,0))</f>
        <v>360000</v>
      </c>
      <c r="H69" s="1">
        <f ca="1" t="shared" si="16"/>
        <v>1800000</v>
      </c>
      <c r="I69" s="5">
        <f ca="1" t="shared" si="9"/>
        <v>27293760</v>
      </c>
      <c r="J69" s="1">
        <f ca="1">IF(C69&lt;3,0,OFFSET(控制台!$U$2641,MATCH(C69,控制台!$B$2641:$B$2645,0)-1,0))</f>
        <v>1200000</v>
      </c>
      <c r="K69" s="1">
        <f ca="1" t="shared" si="17"/>
        <v>6000000</v>
      </c>
      <c r="L69" s="5">
        <f ca="1" t="shared" si="10"/>
        <v>90216000</v>
      </c>
      <c r="M69" s="1">
        <f ca="1">IF(C69&lt;3,0,OFFSET(控制台!$V$2641,MATCH(C69,控制台!$B$2641:$B$2645,0)-1,0))</f>
        <v>345.6</v>
      </c>
      <c r="N69" s="1">
        <f ca="1" t="shared" si="18"/>
        <v>1728</v>
      </c>
      <c r="O69" s="5">
        <f ca="1" t="shared" si="11"/>
        <v>25982.208</v>
      </c>
      <c r="P69" s="1">
        <f ca="1">IF(C69&lt;3,0,OFFSET(控制台!$W$2641,MATCH(C69,控制台!$B$2641:$B$2645,0)-1,0))</f>
        <v>2</v>
      </c>
      <c r="Q69" s="1">
        <f ca="1" t="shared" si="19"/>
        <v>10</v>
      </c>
      <c r="R69" s="5">
        <f ca="1" t="shared" si="12"/>
        <v>150.36</v>
      </c>
      <c r="S69" s="1">
        <f ca="1">IF(C69&lt;3,0,OFFSET(控制台!$X$2641,MATCH(C69,控制台!$B$2641:$B$2645,0)-1,0))</f>
        <v>46</v>
      </c>
      <c r="T69" s="1">
        <f ca="1" t="shared" si="20"/>
        <v>230</v>
      </c>
      <c r="U69" s="5">
        <f ca="1" t="shared" si="13"/>
        <v>3458.28</v>
      </c>
      <c r="V69" s="1">
        <f ca="1">IF(C69&lt;3,0,OFFSET(控制台!$Y$2641,MATCH(C69,控制台!$B$2641:$B$2645,0)-1,0))</f>
        <v>600</v>
      </c>
      <c r="W69" s="1">
        <f ca="1" t="shared" si="21"/>
        <v>3000</v>
      </c>
      <c r="X69" s="5">
        <f ca="1" t="shared" si="14"/>
        <v>45108</v>
      </c>
    </row>
    <row r="70" spans="1:24">
      <c r="A70" s="12">
        <v>150</v>
      </c>
      <c r="B70" s="1">
        <f t="shared" si="7"/>
        <v>30</v>
      </c>
      <c r="C70" s="1">
        <f ca="1">OFFSET(控制台!$B$2625,MATCH(IF(A70&lt;7,MAX(0,A70-0.5),A70),控制台!$D$2625:$D$2630,1)-1,0)</f>
        <v>5</v>
      </c>
      <c r="D70" s="1">
        <f ca="1">IF(C70=0,0,OFFSET(控制台!$H$2641,MATCH(C70,控制台!$B$2641:$B$2645,0)-1,0)+OFFSET(控制台!$AA$2641,MATCH(C70,控制台!$B$2641:$B$2645,0)-1,0))</f>
        <v>1994000</v>
      </c>
      <c r="E70" s="1">
        <f ca="1" t="shared" ref="E70:E77" si="22">B70*D70</f>
        <v>59820000</v>
      </c>
      <c r="F70" s="5">
        <f ca="1" t="shared" si="8"/>
        <v>271523200</v>
      </c>
      <c r="G70" s="1">
        <f ca="1">IF(C70=0,0,OFFSET(控制台!$L$2641,MATCH(C70,控制台!$B$2641:$B$2645,0)-1,0))</f>
        <v>360000</v>
      </c>
      <c r="H70" s="1">
        <f ca="1" t="shared" ref="H70:H77" si="23">G70*B70</f>
        <v>10800000</v>
      </c>
      <c r="I70" s="5">
        <f ca="1" t="shared" si="9"/>
        <v>38093760</v>
      </c>
      <c r="J70" s="1">
        <f ca="1">IF(C70&lt;3,0,OFFSET(控制台!$U$2641,MATCH(C70,控制台!$B$2641:$B$2645,0)-1,0))</f>
        <v>1200000</v>
      </c>
      <c r="K70" s="1">
        <f ca="1" t="shared" ref="K70:K77" si="24">J70*B70</f>
        <v>36000000</v>
      </c>
      <c r="L70" s="5">
        <f ca="1" t="shared" si="10"/>
        <v>126216000</v>
      </c>
      <c r="M70" s="1">
        <f ca="1">IF(C70&lt;3,0,OFFSET(控制台!$V$2641,MATCH(C70,控制台!$B$2641:$B$2645,0)-1,0))</f>
        <v>345.6</v>
      </c>
      <c r="N70" s="1">
        <f ca="1" t="shared" ref="N70:N77" si="25">M70*B70</f>
        <v>10368</v>
      </c>
      <c r="O70" s="5">
        <f ca="1" t="shared" si="11"/>
        <v>36350.208</v>
      </c>
      <c r="P70" s="1">
        <f ca="1">IF(C70&lt;3,0,OFFSET(控制台!$W$2641,MATCH(C70,控制台!$B$2641:$B$2645,0)-1,0))</f>
        <v>2</v>
      </c>
      <c r="Q70" s="1">
        <f ca="1" t="shared" ref="Q70:Q77" si="26">P70*B70</f>
        <v>60</v>
      </c>
      <c r="R70" s="5">
        <f ca="1" t="shared" si="12"/>
        <v>210.36</v>
      </c>
      <c r="S70" s="1">
        <f ca="1">IF(C70&lt;3,0,OFFSET(控制台!$X$2641,MATCH(C70,控制台!$B$2641:$B$2645,0)-1,0))</f>
        <v>46</v>
      </c>
      <c r="T70" s="1">
        <f ca="1" t="shared" ref="T70:T77" si="27">S70*B70</f>
        <v>1380</v>
      </c>
      <c r="U70" s="5">
        <f ca="1" t="shared" si="13"/>
        <v>4838.28</v>
      </c>
      <c r="V70" s="1">
        <f ca="1">IF(C70&lt;3,0,OFFSET(控制台!$Y$2641,MATCH(C70,控制台!$B$2641:$B$2645,0)-1,0))</f>
        <v>600</v>
      </c>
      <c r="W70" s="1">
        <f ca="1" t="shared" ref="W70:W77" si="28">V70*B70</f>
        <v>18000</v>
      </c>
      <c r="X70" s="5">
        <f ca="1" t="shared" si="14"/>
        <v>63108</v>
      </c>
    </row>
    <row r="71" spans="1:24">
      <c r="A71" s="12">
        <v>180</v>
      </c>
      <c r="B71" s="1">
        <f t="shared" si="7"/>
        <v>30</v>
      </c>
      <c r="C71" s="1">
        <f ca="1">OFFSET(控制台!$B$2625,MATCH(IF(A71&lt;7,MAX(0,A71-0.5),A71),控制台!$D$2625:$D$2630,1)-1,0)</f>
        <v>5</v>
      </c>
      <c r="D71" s="1">
        <f ca="1">IF(C71=0,0,OFFSET(控制台!$H$2641,MATCH(C71,控制台!$B$2641:$B$2645,0)-1,0)+OFFSET(控制台!$AA$2641,MATCH(C71,控制台!$B$2641:$B$2645,0)-1,0))</f>
        <v>1994000</v>
      </c>
      <c r="E71" s="1">
        <f ca="1" t="shared" si="22"/>
        <v>59820000</v>
      </c>
      <c r="F71" s="5">
        <f ca="1" t="shared" si="8"/>
        <v>331343200</v>
      </c>
      <c r="G71" s="1">
        <f ca="1">IF(C71=0,0,OFFSET(控制台!$L$2641,MATCH(C71,控制台!$B$2641:$B$2645,0)-1,0))</f>
        <v>360000</v>
      </c>
      <c r="H71" s="1">
        <f ca="1" t="shared" si="23"/>
        <v>10800000</v>
      </c>
      <c r="I71" s="5">
        <f ca="1" t="shared" si="9"/>
        <v>48893760</v>
      </c>
      <c r="J71" s="1">
        <f ca="1">IF(C71&lt;3,0,OFFSET(控制台!$U$2641,MATCH(C71,控制台!$B$2641:$B$2645,0)-1,0))</f>
        <v>1200000</v>
      </c>
      <c r="K71" s="1">
        <f ca="1" t="shared" si="24"/>
        <v>36000000</v>
      </c>
      <c r="L71" s="5">
        <f ca="1" t="shared" si="10"/>
        <v>162216000</v>
      </c>
      <c r="M71" s="1">
        <f ca="1">IF(C71&lt;3,0,OFFSET(控制台!$V$2641,MATCH(C71,控制台!$B$2641:$B$2645,0)-1,0))</f>
        <v>345.6</v>
      </c>
      <c r="N71" s="1">
        <f ca="1" t="shared" si="25"/>
        <v>10368</v>
      </c>
      <c r="O71" s="5">
        <f ca="1" t="shared" si="11"/>
        <v>46718.208</v>
      </c>
      <c r="P71" s="1">
        <f ca="1">IF(C71&lt;3,0,OFFSET(控制台!$W$2641,MATCH(C71,控制台!$B$2641:$B$2645,0)-1,0))</f>
        <v>2</v>
      </c>
      <c r="Q71" s="1">
        <f ca="1" t="shared" si="26"/>
        <v>60</v>
      </c>
      <c r="R71" s="5">
        <f ca="1" t="shared" si="12"/>
        <v>270.36</v>
      </c>
      <c r="S71" s="1">
        <f ca="1">IF(C71&lt;3,0,OFFSET(控制台!$X$2641,MATCH(C71,控制台!$B$2641:$B$2645,0)-1,0))</f>
        <v>46</v>
      </c>
      <c r="T71" s="1">
        <f ca="1" t="shared" si="27"/>
        <v>1380</v>
      </c>
      <c r="U71" s="5">
        <f ca="1" t="shared" si="13"/>
        <v>6218.28</v>
      </c>
      <c r="V71" s="1">
        <f ca="1">IF(C71&lt;3,0,OFFSET(控制台!$Y$2641,MATCH(C71,控制台!$B$2641:$B$2645,0)-1,0))</f>
        <v>600</v>
      </c>
      <c r="W71" s="1">
        <f ca="1" t="shared" si="28"/>
        <v>18000</v>
      </c>
      <c r="X71" s="5">
        <f ca="1" t="shared" si="14"/>
        <v>81108</v>
      </c>
    </row>
    <row r="72" spans="1:24">
      <c r="A72" s="12">
        <v>210</v>
      </c>
      <c r="B72" s="1">
        <f t="shared" ref="B72:B77" si="29">A72-A71</f>
        <v>30</v>
      </c>
      <c r="C72" s="1">
        <f ca="1">OFFSET(控制台!$B$2625,MATCH(IF(A72&lt;7,MAX(0,A72-0.5),A72),控制台!$D$2625:$D$2630,1)-1,0)</f>
        <v>5</v>
      </c>
      <c r="D72" s="1">
        <f ca="1">IF(C72=0,0,OFFSET(控制台!$H$2641,MATCH(C72,控制台!$B$2641:$B$2645,0)-1,0)+OFFSET(控制台!$AA$2641,MATCH(C72,控制台!$B$2641:$B$2645,0)-1,0))</f>
        <v>1994000</v>
      </c>
      <c r="E72" s="1">
        <f ca="1" t="shared" si="22"/>
        <v>59820000</v>
      </c>
      <c r="F72" s="5">
        <f ca="1" t="shared" ref="F72:F77" si="30">F71+E72</f>
        <v>391163200</v>
      </c>
      <c r="G72" s="1">
        <f ca="1">IF(C72=0,0,OFFSET(控制台!$L$2641,MATCH(C72,控制台!$B$2641:$B$2645,0)-1,0))</f>
        <v>360000</v>
      </c>
      <c r="H72" s="1">
        <f ca="1" t="shared" si="23"/>
        <v>10800000</v>
      </c>
      <c r="I72" s="5">
        <f ca="1" t="shared" ref="I72:I77" si="31">I71+H72</f>
        <v>59693760</v>
      </c>
      <c r="J72" s="1">
        <f ca="1">IF(C72&lt;3,0,OFFSET(控制台!$U$2641,MATCH(C72,控制台!$B$2641:$B$2645,0)-1,0))</f>
        <v>1200000</v>
      </c>
      <c r="K72" s="1">
        <f ca="1" t="shared" si="24"/>
        <v>36000000</v>
      </c>
      <c r="L72" s="5">
        <f ca="1" t="shared" ref="L72:L77" si="32">L71+K72</f>
        <v>198216000</v>
      </c>
      <c r="M72" s="1">
        <f ca="1">IF(C72&lt;3,0,OFFSET(控制台!$V$2641,MATCH(C72,控制台!$B$2641:$B$2645,0)-1,0))</f>
        <v>345.6</v>
      </c>
      <c r="N72" s="1">
        <f ca="1" t="shared" si="25"/>
        <v>10368</v>
      </c>
      <c r="O72" s="5">
        <f ca="1" t="shared" ref="O72:O77" si="33">O71+N72</f>
        <v>57086.208</v>
      </c>
      <c r="P72" s="1">
        <f ca="1">IF(C72&lt;3,0,OFFSET(控制台!$W$2641,MATCH(C72,控制台!$B$2641:$B$2645,0)-1,0))</f>
        <v>2</v>
      </c>
      <c r="Q72" s="1">
        <f ca="1" t="shared" si="26"/>
        <v>60</v>
      </c>
      <c r="R72" s="5">
        <f ca="1" t="shared" ref="R72:R77" si="34">R71+Q72</f>
        <v>330.36</v>
      </c>
      <c r="S72" s="1">
        <f ca="1">IF(C72&lt;3,0,OFFSET(控制台!$X$2641,MATCH(C72,控制台!$B$2641:$B$2645,0)-1,0))</f>
        <v>46</v>
      </c>
      <c r="T72" s="1">
        <f ca="1" t="shared" si="27"/>
        <v>1380</v>
      </c>
      <c r="U72" s="5">
        <f ca="1" t="shared" ref="U72:U77" si="35">U71+T72</f>
        <v>7598.28</v>
      </c>
      <c r="V72" s="1">
        <f ca="1">IF(C72&lt;3,0,OFFSET(控制台!$Y$2641,MATCH(C72,控制台!$B$2641:$B$2645,0)-1,0))</f>
        <v>600</v>
      </c>
      <c r="W72" s="1">
        <f ca="1" t="shared" si="28"/>
        <v>18000</v>
      </c>
      <c r="X72" s="5">
        <f ca="1" t="shared" ref="X72:X77" si="36">X71+W72</f>
        <v>99108</v>
      </c>
    </row>
    <row r="73" spans="1:24">
      <c r="A73" s="12">
        <v>240</v>
      </c>
      <c r="B73" s="1">
        <f t="shared" si="29"/>
        <v>30</v>
      </c>
      <c r="C73" s="1">
        <f ca="1">OFFSET(控制台!$B$2625,MATCH(IF(A73&lt;7,MAX(0,A73-0.5),A73),控制台!$D$2625:$D$2630,1)-1,0)</f>
        <v>5</v>
      </c>
      <c r="D73" s="1">
        <f ca="1">IF(C73=0,0,OFFSET(控制台!$H$2641,MATCH(C73,控制台!$B$2641:$B$2645,0)-1,0)+OFFSET(控制台!$AA$2641,MATCH(C73,控制台!$B$2641:$B$2645,0)-1,0))</f>
        <v>1994000</v>
      </c>
      <c r="E73" s="1">
        <f ca="1" t="shared" si="22"/>
        <v>59820000</v>
      </c>
      <c r="F73" s="5">
        <f ca="1" t="shared" si="30"/>
        <v>450983200</v>
      </c>
      <c r="G73" s="1">
        <f ca="1">IF(C73=0,0,OFFSET(控制台!$L$2641,MATCH(C73,控制台!$B$2641:$B$2645,0)-1,0))</f>
        <v>360000</v>
      </c>
      <c r="H73" s="1">
        <f ca="1" t="shared" si="23"/>
        <v>10800000</v>
      </c>
      <c r="I73" s="5">
        <f ca="1" t="shared" si="31"/>
        <v>70493760</v>
      </c>
      <c r="J73" s="1">
        <f ca="1">IF(C73&lt;3,0,OFFSET(控制台!$U$2641,MATCH(C73,控制台!$B$2641:$B$2645,0)-1,0))</f>
        <v>1200000</v>
      </c>
      <c r="K73" s="1">
        <f ca="1" t="shared" si="24"/>
        <v>36000000</v>
      </c>
      <c r="L73" s="5">
        <f ca="1" t="shared" si="32"/>
        <v>234216000</v>
      </c>
      <c r="M73" s="1">
        <f ca="1">IF(C73&lt;3,0,OFFSET(控制台!$V$2641,MATCH(C73,控制台!$B$2641:$B$2645,0)-1,0))</f>
        <v>345.6</v>
      </c>
      <c r="N73" s="1">
        <f ca="1" t="shared" si="25"/>
        <v>10368</v>
      </c>
      <c r="O73" s="5">
        <f ca="1" t="shared" si="33"/>
        <v>67454.208</v>
      </c>
      <c r="P73" s="1">
        <f ca="1">IF(C73&lt;3,0,OFFSET(控制台!$W$2641,MATCH(C73,控制台!$B$2641:$B$2645,0)-1,0))</f>
        <v>2</v>
      </c>
      <c r="Q73" s="1">
        <f ca="1" t="shared" si="26"/>
        <v>60</v>
      </c>
      <c r="R73" s="5">
        <f ca="1" t="shared" si="34"/>
        <v>390.36</v>
      </c>
      <c r="S73" s="1">
        <f ca="1">IF(C73&lt;3,0,OFFSET(控制台!$X$2641,MATCH(C73,控制台!$B$2641:$B$2645,0)-1,0))</f>
        <v>46</v>
      </c>
      <c r="T73" s="1">
        <f ca="1" t="shared" si="27"/>
        <v>1380</v>
      </c>
      <c r="U73" s="5">
        <f ca="1" t="shared" si="35"/>
        <v>8978.28</v>
      </c>
      <c r="V73" s="1">
        <f ca="1">IF(C73&lt;3,0,OFFSET(控制台!$Y$2641,MATCH(C73,控制台!$B$2641:$B$2645,0)-1,0))</f>
        <v>600</v>
      </c>
      <c r="W73" s="1">
        <f ca="1" t="shared" si="28"/>
        <v>18000</v>
      </c>
      <c r="X73" s="5">
        <f ca="1" t="shared" si="36"/>
        <v>117108</v>
      </c>
    </row>
    <row r="74" spans="1:24">
      <c r="A74" s="12">
        <v>270</v>
      </c>
      <c r="B74" s="1">
        <f t="shared" si="29"/>
        <v>30</v>
      </c>
      <c r="C74" s="1">
        <f ca="1">OFFSET(控制台!$B$2625,MATCH(IF(A74&lt;7,MAX(0,A74-0.5),A74),控制台!$D$2625:$D$2630,1)-1,0)</f>
        <v>5</v>
      </c>
      <c r="D74" s="1">
        <f ca="1">IF(C74=0,0,OFFSET(控制台!$H$2641,MATCH(C74,控制台!$B$2641:$B$2645,0)-1,0)+OFFSET(控制台!$AA$2641,MATCH(C74,控制台!$B$2641:$B$2645,0)-1,0))</f>
        <v>1994000</v>
      </c>
      <c r="E74" s="1">
        <f ca="1" t="shared" si="22"/>
        <v>59820000</v>
      </c>
      <c r="F74" s="5">
        <f ca="1" t="shared" si="30"/>
        <v>510803200</v>
      </c>
      <c r="G74" s="1">
        <f ca="1">IF(C74=0,0,OFFSET(控制台!$L$2641,MATCH(C74,控制台!$B$2641:$B$2645,0)-1,0))</f>
        <v>360000</v>
      </c>
      <c r="H74" s="1">
        <f ca="1" t="shared" si="23"/>
        <v>10800000</v>
      </c>
      <c r="I74" s="5">
        <f ca="1" t="shared" si="31"/>
        <v>81293760</v>
      </c>
      <c r="J74" s="1">
        <f ca="1">IF(C74&lt;3,0,OFFSET(控制台!$U$2641,MATCH(C74,控制台!$B$2641:$B$2645,0)-1,0))</f>
        <v>1200000</v>
      </c>
      <c r="K74" s="1">
        <f ca="1" t="shared" si="24"/>
        <v>36000000</v>
      </c>
      <c r="L74" s="5">
        <f ca="1" t="shared" si="32"/>
        <v>270216000</v>
      </c>
      <c r="M74" s="1">
        <f ca="1">IF(C74&lt;3,0,OFFSET(控制台!$V$2641,MATCH(C74,控制台!$B$2641:$B$2645,0)-1,0))</f>
        <v>345.6</v>
      </c>
      <c r="N74" s="1">
        <f ca="1" t="shared" si="25"/>
        <v>10368</v>
      </c>
      <c r="O74" s="5">
        <f ca="1" t="shared" si="33"/>
        <v>77822.208</v>
      </c>
      <c r="P74" s="1">
        <f ca="1">IF(C74&lt;3,0,OFFSET(控制台!$W$2641,MATCH(C74,控制台!$B$2641:$B$2645,0)-1,0))</f>
        <v>2</v>
      </c>
      <c r="Q74" s="1">
        <f ca="1" t="shared" si="26"/>
        <v>60</v>
      </c>
      <c r="R74" s="5">
        <f ca="1" t="shared" si="34"/>
        <v>450.36</v>
      </c>
      <c r="S74" s="1">
        <f ca="1">IF(C74&lt;3,0,OFFSET(控制台!$X$2641,MATCH(C74,控制台!$B$2641:$B$2645,0)-1,0))</f>
        <v>46</v>
      </c>
      <c r="T74" s="1">
        <f ca="1" t="shared" si="27"/>
        <v>1380</v>
      </c>
      <c r="U74" s="5">
        <f ca="1" t="shared" si="35"/>
        <v>10358.28</v>
      </c>
      <c r="V74" s="1">
        <f ca="1">IF(C74&lt;3,0,OFFSET(控制台!$Y$2641,MATCH(C74,控制台!$B$2641:$B$2645,0)-1,0))</f>
        <v>600</v>
      </c>
      <c r="W74" s="1">
        <f ca="1" t="shared" si="28"/>
        <v>18000</v>
      </c>
      <c r="X74" s="5">
        <f ca="1" t="shared" si="36"/>
        <v>135108</v>
      </c>
    </row>
    <row r="75" spans="1:24">
      <c r="A75" s="12">
        <v>300</v>
      </c>
      <c r="B75" s="1">
        <f t="shared" si="29"/>
        <v>30</v>
      </c>
      <c r="C75" s="1">
        <f ca="1">OFFSET(控制台!$B$2625,MATCH(IF(A75&lt;7,MAX(0,A75-0.5),A75),控制台!$D$2625:$D$2630,1)-1,0)</f>
        <v>5</v>
      </c>
      <c r="D75" s="1">
        <f ca="1">IF(C75=0,0,OFFSET(控制台!$H$2641,MATCH(C75,控制台!$B$2641:$B$2645,0)-1,0)+OFFSET(控制台!$AA$2641,MATCH(C75,控制台!$B$2641:$B$2645,0)-1,0))</f>
        <v>1994000</v>
      </c>
      <c r="E75" s="1">
        <f ca="1" t="shared" si="22"/>
        <v>59820000</v>
      </c>
      <c r="F75" s="5">
        <f ca="1" t="shared" si="30"/>
        <v>570623200</v>
      </c>
      <c r="G75" s="1">
        <f ca="1">IF(C75=0,0,OFFSET(控制台!$L$2641,MATCH(C75,控制台!$B$2641:$B$2645,0)-1,0))</f>
        <v>360000</v>
      </c>
      <c r="H75" s="1">
        <f ca="1" t="shared" si="23"/>
        <v>10800000</v>
      </c>
      <c r="I75" s="5">
        <f ca="1" t="shared" si="31"/>
        <v>92093760</v>
      </c>
      <c r="J75" s="1">
        <f ca="1">IF(C75&lt;3,0,OFFSET(控制台!$U$2641,MATCH(C75,控制台!$B$2641:$B$2645,0)-1,0))</f>
        <v>1200000</v>
      </c>
      <c r="K75" s="1">
        <f ca="1" t="shared" si="24"/>
        <v>36000000</v>
      </c>
      <c r="L75" s="5">
        <f ca="1" t="shared" si="32"/>
        <v>306216000</v>
      </c>
      <c r="M75" s="1">
        <f ca="1">IF(C75&lt;3,0,OFFSET(控制台!$V$2641,MATCH(C75,控制台!$B$2641:$B$2645,0)-1,0))</f>
        <v>345.6</v>
      </c>
      <c r="N75" s="1">
        <f ca="1" t="shared" si="25"/>
        <v>10368</v>
      </c>
      <c r="O75" s="5">
        <f ca="1" t="shared" si="33"/>
        <v>88190.208</v>
      </c>
      <c r="P75" s="1">
        <f ca="1">IF(C75&lt;3,0,OFFSET(控制台!$W$2641,MATCH(C75,控制台!$B$2641:$B$2645,0)-1,0))</f>
        <v>2</v>
      </c>
      <c r="Q75" s="1">
        <f ca="1" t="shared" si="26"/>
        <v>60</v>
      </c>
      <c r="R75" s="5">
        <f ca="1" t="shared" si="34"/>
        <v>510.36</v>
      </c>
      <c r="S75" s="1">
        <f ca="1">IF(C75&lt;3,0,OFFSET(控制台!$X$2641,MATCH(C75,控制台!$B$2641:$B$2645,0)-1,0))</f>
        <v>46</v>
      </c>
      <c r="T75" s="1">
        <f ca="1" t="shared" si="27"/>
        <v>1380</v>
      </c>
      <c r="U75" s="5">
        <f ca="1" t="shared" si="35"/>
        <v>11738.28</v>
      </c>
      <c r="V75" s="1">
        <f ca="1">IF(C75&lt;3,0,OFFSET(控制台!$Y$2641,MATCH(C75,控制台!$B$2641:$B$2645,0)-1,0))</f>
        <v>600</v>
      </c>
      <c r="W75" s="1">
        <f ca="1" t="shared" si="28"/>
        <v>18000</v>
      </c>
      <c r="X75" s="5">
        <f ca="1" t="shared" si="36"/>
        <v>153108</v>
      </c>
    </row>
    <row r="76" spans="1:24">
      <c r="A76" s="12">
        <v>330</v>
      </c>
      <c r="B76" s="1">
        <f t="shared" si="29"/>
        <v>30</v>
      </c>
      <c r="C76" s="1">
        <f ca="1">OFFSET(控制台!$B$2625,MATCH(IF(A76&lt;7,MAX(0,A76-0.5),A76),控制台!$D$2625:$D$2630,1)-1,0)</f>
        <v>5</v>
      </c>
      <c r="D76" s="1">
        <f ca="1">IF(C76=0,0,OFFSET(控制台!$H$2641,MATCH(C76,控制台!$B$2641:$B$2645,0)-1,0)+OFFSET(控制台!$AA$2641,MATCH(C76,控制台!$B$2641:$B$2645,0)-1,0))</f>
        <v>1994000</v>
      </c>
      <c r="E76" s="1">
        <f ca="1" t="shared" si="22"/>
        <v>59820000</v>
      </c>
      <c r="F76" s="5">
        <f ca="1" t="shared" si="30"/>
        <v>630443200</v>
      </c>
      <c r="G76" s="1">
        <f ca="1">IF(C76=0,0,OFFSET(控制台!$L$2641,MATCH(C76,控制台!$B$2641:$B$2645,0)-1,0))</f>
        <v>360000</v>
      </c>
      <c r="H76" s="1">
        <f ca="1" t="shared" si="23"/>
        <v>10800000</v>
      </c>
      <c r="I76" s="5">
        <f ca="1" t="shared" si="31"/>
        <v>102893760</v>
      </c>
      <c r="J76" s="1">
        <f ca="1">IF(C76&lt;3,0,OFFSET(控制台!$U$2641,MATCH(C76,控制台!$B$2641:$B$2645,0)-1,0))</f>
        <v>1200000</v>
      </c>
      <c r="K76" s="1">
        <f ca="1" t="shared" si="24"/>
        <v>36000000</v>
      </c>
      <c r="L76" s="5">
        <f ca="1" t="shared" si="32"/>
        <v>342216000</v>
      </c>
      <c r="M76" s="1">
        <f ca="1">IF(C76&lt;3,0,OFFSET(控制台!$V$2641,MATCH(C76,控制台!$B$2641:$B$2645,0)-1,0))</f>
        <v>345.6</v>
      </c>
      <c r="N76" s="1">
        <f ca="1" t="shared" si="25"/>
        <v>10368</v>
      </c>
      <c r="O76" s="5">
        <f ca="1" t="shared" si="33"/>
        <v>98558.208</v>
      </c>
      <c r="P76" s="1">
        <f ca="1">IF(C76&lt;3,0,OFFSET(控制台!$W$2641,MATCH(C76,控制台!$B$2641:$B$2645,0)-1,0))</f>
        <v>2</v>
      </c>
      <c r="Q76" s="1">
        <f ca="1" t="shared" si="26"/>
        <v>60</v>
      </c>
      <c r="R76" s="5">
        <f ca="1" t="shared" si="34"/>
        <v>570.36</v>
      </c>
      <c r="S76" s="1">
        <f ca="1">IF(C76&lt;3,0,OFFSET(控制台!$X$2641,MATCH(C76,控制台!$B$2641:$B$2645,0)-1,0))</f>
        <v>46</v>
      </c>
      <c r="T76" s="1">
        <f ca="1" t="shared" si="27"/>
        <v>1380</v>
      </c>
      <c r="U76" s="5">
        <f ca="1" t="shared" si="35"/>
        <v>13118.28</v>
      </c>
      <c r="V76" s="1">
        <f ca="1">IF(C76&lt;3,0,OFFSET(控制台!$Y$2641,MATCH(C76,控制台!$B$2641:$B$2645,0)-1,0))</f>
        <v>600</v>
      </c>
      <c r="W76" s="1">
        <f ca="1" t="shared" si="28"/>
        <v>18000</v>
      </c>
      <c r="X76" s="5">
        <f ca="1" t="shared" si="36"/>
        <v>171108</v>
      </c>
    </row>
    <row r="77" spans="1:24">
      <c r="A77" s="12">
        <v>360</v>
      </c>
      <c r="B77" s="1">
        <f t="shared" si="29"/>
        <v>30</v>
      </c>
      <c r="C77" s="1">
        <f ca="1">OFFSET(控制台!$B$2625,MATCH(IF(A77&lt;7,MAX(0,A77-0.5),A77),控制台!$D$2625:$D$2630,1)-1,0)</f>
        <v>5</v>
      </c>
      <c r="D77" s="1">
        <f ca="1">IF(C77=0,0,OFFSET(控制台!$H$2641,MATCH(C77,控制台!$B$2641:$B$2645,0)-1,0)+OFFSET(控制台!$AA$2641,MATCH(C77,控制台!$B$2641:$B$2645,0)-1,0))</f>
        <v>1994000</v>
      </c>
      <c r="E77" s="1">
        <f ca="1" t="shared" si="22"/>
        <v>59820000</v>
      </c>
      <c r="F77" s="5">
        <f ca="1" t="shared" si="30"/>
        <v>690263200</v>
      </c>
      <c r="G77" s="1">
        <f ca="1">IF(C77=0,0,OFFSET(控制台!$L$2641,MATCH(C77,控制台!$B$2641:$B$2645,0)-1,0))</f>
        <v>360000</v>
      </c>
      <c r="H77" s="1">
        <f ca="1" t="shared" si="23"/>
        <v>10800000</v>
      </c>
      <c r="I77" s="5">
        <f ca="1" t="shared" si="31"/>
        <v>113693760</v>
      </c>
      <c r="J77" s="1">
        <f ca="1">IF(C77&lt;3,0,OFFSET(控制台!$U$2641,MATCH(C77,控制台!$B$2641:$B$2645,0)-1,0))</f>
        <v>1200000</v>
      </c>
      <c r="K77" s="1">
        <f ca="1" t="shared" si="24"/>
        <v>36000000</v>
      </c>
      <c r="L77" s="5">
        <f ca="1" t="shared" si="32"/>
        <v>378216000</v>
      </c>
      <c r="M77" s="1">
        <f ca="1">IF(C77&lt;3,0,OFFSET(控制台!$V$2641,MATCH(C77,控制台!$B$2641:$B$2645,0)-1,0))</f>
        <v>345.6</v>
      </c>
      <c r="N77" s="1">
        <f ca="1" t="shared" si="25"/>
        <v>10368</v>
      </c>
      <c r="O77" s="5">
        <f ca="1" t="shared" si="33"/>
        <v>108926.208</v>
      </c>
      <c r="P77" s="1">
        <f ca="1">IF(C77&lt;3,0,OFFSET(控制台!$W$2641,MATCH(C77,控制台!$B$2641:$B$2645,0)-1,0))</f>
        <v>2</v>
      </c>
      <c r="Q77" s="1">
        <f ca="1" t="shared" si="26"/>
        <v>60</v>
      </c>
      <c r="R77" s="5">
        <f ca="1" t="shared" si="34"/>
        <v>630.36</v>
      </c>
      <c r="S77" s="1">
        <f ca="1">IF(C77&lt;3,0,OFFSET(控制台!$X$2641,MATCH(C77,控制台!$B$2641:$B$2645,0)-1,0))</f>
        <v>46</v>
      </c>
      <c r="T77" s="1">
        <f ca="1" t="shared" si="27"/>
        <v>1380</v>
      </c>
      <c r="U77" s="5">
        <f ca="1" t="shared" si="35"/>
        <v>14498.28</v>
      </c>
      <c r="V77" s="1">
        <f ca="1">IF(C77&lt;3,0,OFFSET(控制台!$Y$2641,MATCH(C77,控制台!$B$2641:$B$2645,0)-1,0))</f>
        <v>600</v>
      </c>
      <c r="W77" s="1">
        <f ca="1" t="shared" si="28"/>
        <v>18000</v>
      </c>
      <c r="X77" s="5">
        <f ca="1" t="shared" si="36"/>
        <v>189108</v>
      </c>
    </row>
  </sheetData>
  <hyperlinks>
    <hyperlink ref="A1" location="控制台_204_军官任务" display="返回控制台_军官任务"/>
  </hyperlinks>
  <pageMargins left="0.699305555555556" right="0.699305555555556" top="0.75" bottom="0.75" header="0.3" footer="0.3"/>
  <pageSetup paperSize="9" orientation="portrait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05">
    <tabColor theme="9" tint="0.599993896298105"/>
  </sheetPr>
  <dimension ref="A1:Q77"/>
  <sheetViews>
    <sheetView workbookViewId="0">
      <selection activeCell="A1" sqref="A1"/>
    </sheetView>
  </sheetViews>
  <sheetFormatPr defaultColWidth="8.70967741935484" defaultRowHeight="13.1"/>
  <cols>
    <col min="1" max="1" width="9.62903225806452" style="1" customWidth="1"/>
    <col min="2" max="2" width="9.37903225806452" style="1" customWidth="1"/>
    <col min="3" max="3" width="9.62903225806452" style="1" customWidth="1"/>
    <col min="4" max="4" width="10.8790322580645" style="1" customWidth="1"/>
    <col min="5" max="5" width="12.1290322580645" style="1" customWidth="1"/>
    <col min="6" max="14" width="9.75" style="1" customWidth="1"/>
    <col min="15" max="16384" width="9.62903225806452" style="1"/>
  </cols>
  <sheetData>
    <row r="1" spans="1:11">
      <c r="A1" s="3" t="s">
        <v>2942</v>
      </c>
      <c r="E1" s="4"/>
      <c r="F1" s="5"/>
      <c r="G1" s="4"/>
      <c r="H1" s="5"/>
      <c r="K1" s="5"/>
    </row>
    <row r="2" spans="5:11">
      <c r="E2" s="4"/>
      <c r="F2" s="5"/>
      <c r="G2" s="4"/>
      <c r="H2" s="5"/>
      <c r="K2" s="5"/>
    </row>
    <row r="3" s="2" customFormat="1" spans="1:1">
      <c r="A3" s="2" t="s">
        <v>2885</v>
      </c>
    </row>
    <row r="4" spans="5:11">
      <c r="E4" s="4"/>
      <c r="F4" s="5"/>
      <c r="G4" s="4"/>
      <c r="H4" s="5"/>
      <c r="K4" s="5"/>
    </row>
    <row r="5" spans="1:17">
      <c r="A5" s="1" t="s">
        <v>382</v>
      </c>
      <c r="B5" s="1" t="s">
        <v>2759</v>
      </c>
      <c r="C5" s="1" t="s">
        <v>1390</v>
      </c>
      <c r="D5" s="1" t="s">
        <v>2934</v>
      </c>
      <c r="E5" s="5" t="s">
        <v>863</v>
      </c>
      <c r="F5" s="1" t="s">
        <v>1391</v>
      </c>
      <c r="G5" s="1" t="s">
        <v>2760</v>
      </c>
      <c r="H5" s="5" t="s">
        <v>864</v>
      </c>
      <c r="I5" s="1" t="s">
        <v>1392</v>
      </c>
      <c r="J5" s="1" t="s">
        <v>1193</v>
      </c>
      <c r="K5" s="5" t="s">
        <v>1664</v>
      </c>
      <c r="L5" s="1" t="s">
        <v>1393</v>
      </c>
      <c r="M5" s="1" t="s">
        <v>2939</v>
      </c>
      <c r="N5" s="5" t="s">
        <v>2940</v>
      </c>
      <c r="O5" s="1" t="s">
        <v>2943</v>
      </c>
      <c r="P5" s="1" t="s">
        <v>2944</v>
      </c>
      <c r="Q5" s="5" t="s">
        <v>1662</v>
      </c>
    </row>
    <row r="6" spans="1:17">
      <c r="A6" s="7">
        <v>0</v>
      </c>
      <c r="B6" s="1">
        <f>A6</f>
        <v>0</v>
      </c>
      <c r="C6" s="1">
        <f>控制台!$E$2709</f>
        <v>1200000</v>
      </c>
      <c r="D6" s="1">
        <f>B6*C6</f>
        <v>0</v>
      </c>
      <c r="E6" s="5">
        <f>D6</f>
        <v>0</v>
      </c>
      <c r="F6" s="1">
        <f>控制台!$E$2713</f>
        <v>460.8</v>
      </c>
      <c r="G6" s="1">
        <f>F6*B6</f>
        <v>0</v>
      </c>
      <c r="H6" s="5">
        <f>G6</f>
        <v>0</v>
      </c>
      <c r="I6" s="18">
        <f>控制台!$E$2717</f>
        <v>2</v>
      </c>
      <c r="J6" s="1">
        <f>I6*B6</f>
        <v>0</v>
      </c>
      <c r="K6" s="5">
        <f>J6</f>
        <v>0</v>
      </c>
      <c r="L6" s="19">
        <f>控制台!$E$2721</f>
        <v>180</v>
      </c>
      <c r="M6" s="1">
        <f>L6*B6</f>
        <v>0</v>
      </c>
      <c r="N6" s="5">
        <f>M6</f>
        <v>0</v>
      </c>
      <c r="O6" s="19">
        <f>控制台!$E$2725</f>
        <v>90</v>
      </c>
      <c r="P6" s="1">
        <f>O6*B6</f>
        <v>0</v>
      </c>
      <c r="Q6" s="5">
        <f>P6</f>
        <v>0</v>
      </c>
    </row>
    <row r="7" spans="1:17">
      <c r="A7" s="7">
        <v>0.1</v>
      </c>
      <c r="B7" s="1">
        <f>A7-A6</f>
        <v>0.1</v>
      </c>
      <c r="C7" s="1">
        <f>控制台!$E$2709</f>
        <v>1200000</v>
      </c>
      <c r="D7" s="1">
        <f t="shared" ref="D7:D70" si="0">B7*C7</f>
        <v>120000</v>
      </c>
      <c r="E7" s="5">
        <f>E6+D7</f>
        <v>120000</v>
      </c>
      <c r="F7" s="1">
        <f>控制台!$E$2713</f>
        <v>460.8</v>
      </c>
      <c r="G7" s="1">
        <f t="shared" ref="G7:G70" si="1">F7*B7</f>
        <v>46.08</v>
      </c>
      <c r="H7" s="5">
        <f>H6+G7</f>
        <v>46.08</v>
      </c>
      <c r="I7" s="18">
        <f>控制台!$E$2717</f>
        <v>2</v>
      </c>
      <c r="J7" s="1">
        <f t="shared" ref="J7:J70" si="2">I7*B7</f>
        <v>0.2</v>
      </c>
      <c r="K7" s="5">
        <f>K6+J7</f>
        <v>0.2</v>
      </c>
      <c r="L7" s="19">
        <f>控制台!$E$2721</f>
        <v>180</v>
      </c>
      <c r="M7" s="1">
        <f t="shared" ref="M7:M70" si="3">L7*B7</f>
        <v>18</v>
      </c>
      <c r="N7" s="5">
        <f>N6+M7</f>
        <v>18</v>
      </c>
      <c r="O7" s="19">
        <f>控制台!$E$2725</f>
        <v>90</v>
      </c>
      <c r="P7" s="1">
        <f t="shared" ref="P7:P70" si="4">O7*B7</f>
        <v>9</v>
      </c>
      <c r="Q7" s="5">
        <f>Q6+P7</f>
        <v>9</v>
      </c>
    </row>
    <row r="8" spans="1:17">
      <c r="A8" s="7">
        <v>0.2</v>
      </c>
      <c r="B8" s="1">
        <f t="shared" ref="B8:B71" si="5">A8-A7</f>
        <v>0.1</v>
      </c>
      <c r="C8" s="1">
        <f>控制台!$E$2709</f>
        <v>1200000</v>
      </c>
      <c r="D8" s="1">
        <f t="shared" si="0"/>
        <v>120000</v>
      </c>
      <c r="E8" s="5">
        <f t="shared" ref="E8:E71" si="6">E7+D8</f>
        <v>240000</v>
      </c>
      <c r="F8" s="1">
        <f>控制台!$E$2713</f>
        <v>460.8</v>
      </c>
      <c r="G8" s="1">
        <f t="shared" si="1"/>
        <v>46.08</v>
      </c>
      <c r="H8" s="5">
        <f t="shared" ref="H8:H71" si="7">H7+G8</f>
        <v>92.16</v>
      </c>
      <c r="I8" s="18">
        <f>控制台!$E$2717</f>
        <v>2</v>
      </c>
      <c r="J8" s="1">
        <f t="shared" si="2"/>
        <v>0.2</v>
      </c>
      <c r="K8" s="5">
        <f t="shared" ref="K8:K71" si="8">K7+J8</f>
        <v>0.4</v>
      </c>
      <c r="L8" s="19">
        <f>控制台!$E$2721</f>
        <v>180</v>
      </c>
      <c r="M8" s="1">
        <f t="shared" si="3"/>
        <v>18</v>
      </c>
      <c r="N8" s="5">
        <f t="shared" ref="N8:N71" si="9">N7+M8</f>
        <v>36</v>
      </c>
      <c r="O8" s="19">
        <f>控制台!$E$2725</f>
        <v>90</v>
      </c>
      <c r="P8" s="1">
        <f t="shared" si="4"/>
        <v>9</v>
      </c>
      <c r="Q8" s="5">
        <f t="shared" ref="Q8:Q71" si="10">Q7+P8</f>
        <v>18</v>
      </c>
    </row>
    <row r="9" spans="1:17">
      <c r="A9" s="7">
        <v>0.3</v>
      </c>
      <c r="B9" s="1">
        <f t="shared" si="5"/>
        <v>0.1</v>
      </c>
      <c r="C9" s="1">
        <f>控制台!$E$2709</f>
        <v>1200000</v>
      </c>
      <c r="D9" s="1">
        <f t="shared" si="0"/>
        <v>120000</v>
      </c>
      <c r="E9" s="5">
        <f t="shared" si="6"/>
        <v>360000</v>
      </c>
      <c r="F9" s="1">
        <f>控制台!$E$2713</f>
        <v>460.8</v>
      </c>
      <c r="G9" s="1">
        <f t="shared" si="1"/>
        <v>46.08</v>
      </c>
      <c r="H9" s="5">
        <f t="shared" si="7"/>
        <v>138.24</v>
      </c>
      <c r="I9" s="18">
        <f>控制台!$E$2717</f>
        <v>2</v>
      </c>
      <c r="J9" s="1">
        <f t="shared" si="2"/>
        <v>0.2</v>
      </c>
      <c r="K9" s="5">
        <f t="shared" si="8"/>
        <v>0.6</v>
      </c>
      <c r="L9" s="19">
        <f>控制台!$E$2721</f>
        <v>180</v>
      </c>
      <c r="M9" s="1">
        <f t="shared" si="3"/>
        <v>18</v>
      </c>
      <c r="N9" s="5">
        <f t="shared" si="9"/>
        <v>54</v>
      </c>
      <c r="O9" s="19">
        <f>控制台!$E$2725</f>
        <v>90</v>
      </c>
      <c r="P9" s="1">
        <f t="shared" si="4"/>
        <v>9</v>
      </c>
      <c r="Q9" s="5">
        <f t="shared" si="10"/>
        <v>27</v>
      </c>
    </row>
    <row r="10" spans="1:17">
      <c r="A10" s="7">
        <v>0.4</v>
      </c>
      <c r="B10" s="1">
        <f t="shared" si="5"/>
        <v>0.1</v>
      </c>
      <c r="C10" s="1">
        <f>控制台!$E$2709</f>
        <v>1200000</v>
      </c>
      <c r="D10" s="1">
        <f t="shared" si="0"/>
        <v>120000</v>
      </c>
      <c r="E10" s="5">
        <f t="shared" si="6"/>
        <v>480000</v>
      </c>
      <c r="F10" s="1">
        <f>控制台!$E$2713</f>
        <v>460.8</v>
      </c>
      <c r="G10" s="1">
        <f t="shared" si="1"/>
        <v>46.08</v>
      </c>
      <c r="H10" s="5">
        <f t="shared" si="7"/>
        <v>184.32</v>
      </c>
      <c r="I10" s="18">
        <f>控制台!$E$2717</f>
        <v>2</v>
      </c>
      <c r="J10" s="1">
        <f t="shared" si="2"/>
        <v>0.2</v>
      </c>
      <c r="K10" s="5">
        <f t="shared" si="8"/>
        <v>0.8</v>
      </c>
      <c r="L10" s="19">
        <f>控制台!$E$2721</f>
        <v>180</v>
      </c>
      <c r="M10" s="1">
        <f t="shared" si="3"/>
        <v>18</v>
      </c>
      <c r="N10" s="5">
        <f t="shared" si="9"/>
        <v>72</v>
      </c>
      <c r="O10" s="19">
        <f>控制台!$E$2725</f>
        <v>90</v>
      </c>
      <c r="P10" s="1">
        <f t="shared" si="4"/>
        <v>9</v>
      </c>
      <c r="Q10" s="5">
        <f t="shared" si="10"/>
        <v>36</v>
      </c>
    </row>
    <row r="11" spans="1:17">
      <c r="A11" s="7">
        <v>0.5</v>
      </c>
      <c r="B11" s="1">
        <f t="shared" si="5"/>
        <v>0.1</v>
      </c>
      <c r="C11" s="1">
        <f>控制台!$E$2709</f>
        <v>1200000</v>
      </c>
      <c r="D11" s="1">
        <f t="shared" si="0"/>
        <v>120000</v>
      </c>
      <c r="E11" s="5">
        <f t="shared" si="6"/>
        <v>600000</v>
      </c>
      <c r="F11" s="1">
        <f>控制台!$E$2713</f>
        <v>460.8</v>
      </c>
      <c r="G11" s="1">
        <f t="shared" si="1"/>
        <v>46.08</v>
      </c>
      <c r="H11" s="5">
        <f t="shared" si="7"/>
        <v>230.4</v>
      </c>
      <c r="I11" s="18">
        <f>控制台!$E$2717</f>
        <v>2</v>
      </c>
      <c r="J11" s="1">
        <f t="shared" si="2"/>
        <v>0.2</v>
      </c>
      <c r="K11" s="5">
        <f t="shared" si="8"/>
        <v>1</v>
      </c>
      <c r="L11" s="19">
        <f>控制台!$E$2721</f>
        <v>180</v>
      </c>
      <c r="M11" s="1">
        <f t="shared" si="3"/>
        <v>18</v>
      </c>
      <c r="N11" s="5">
        <f t="shared" si="9"/>
        <v>90</v>
      </c>
      <c r="O11" s="19">
        <f>控制台!$E$2725</f>
        <v>90</v>
      </c>
      <c r="P11" s="1">
        <f t="shared" si="4"/>
        <v>9</v>
      </c>
      <c r="Q11" s="5">
        <f t="shared" si="10"/>
        <v>45</v>
      </c>
    </row>
    <row r="12" spans="1:17">
      <c r="A12" s="7">
        <v>0.6</v>
      </c>
      <c r="B12" s="1">
        <f t="shared" si="5"/>
        <v>0.1</v>
      </c>
      <c r="C12" s="1">
        <f>控制台!$E$2709</f>
        <v>1200000</v>
      </c>
      <c r="D12" s="1">
        <f t="shared" si="0"/>
        <v>120000</v>
      </c>
      <c r="E12" s="5">
        <f t="shared" si="6"/>
        <v>720000</v>
      </c>
      <c r="F12" s="1">
        <f>控制台!$E$2713</f>
        <v>460.8</v>
      </c>
      <c r="G12" s="1">
        <f t="shared" si="1"/>
        <v>46.08</v>
      </c>
      <c r="H12" s="5">
        <f t="shared" si="7"/>
        <v>276.48</v>
      </c>
      <c r="I12" s="18">
        <f>控制台!$E$2717</f>
        <v>2</v>
      </c>
      <c r="J12" s="1">
        <f t="shared" si="2"/>
        <v>0.2</v>
      </c>
      <c r="K12" s="5">
        <f t="shared" si="8"/>
        <v>1.2</v>
      </c>
      <c r="L12" s="19">
        <f>控制台!$E$2721</f>
        <v>180</v>
      </c>
      <c r="M12" s="1">
        <f t="shared" si="3"/>
        <v>18</v>
      </c>
      <c r="N12" s="5">
        <f t="shared" si="9"/>
        <v>108</v>
      </c>
      <c r="O12" s="19">
        <f>控制台!$E$2725</f>
        <v>90</v>
      </c>
      <c r="P12" s="1">
        <f t="shared" si="4"/>
        <v>9</v>
      </c>
      <c r="Q12" s="5">
        <f t="shared" si="10"/>
        <v>54</v>
      </c>
    </row>
    <row r="13" spans="1:17">
      <c r="A13" s="7">
        <v>0.7</v>
      </c>
      <c r="B13" s="1">
        <f t="shared" si="5"/>
        <v>0.1</v>
      </c>
      <c r="C13" s="1">
        <f>控制台!$E$2709</f>
        <v>1200000</v>
      </c>
      <c r="D13" s="1">
        <f t="shared" si="0"/>
        <v>120000</v>
      </c>
      <c r="E13" s="5">
        <f t="shared" si="6"/>
        <v>840000</v>
      </c>
      <c r="F13" s="1">
        <f>控制台!$E$2713</f>
        <v>460.8</v>
      </c>
      <c r="G13" s="1">
        <f t="shared" si="1"/>
        <v>46.08</v>
      </c>
      <c r="H13" s="5">
        <f t="shared" si="7"/>
        <v>322.56</v>
      </c>
      <c r="I13" s="18">
        <f>控制台!$E$2717</f>
        <v>2</v>
      </c>
      <c r="J13" s="1">
        <f t="shared" si="2"/>
        <v>0.2</v>
      </c>
      <c r="K13" s="5">
        <f t="shared" si="8"/>
        <v>1.4</v>
      </c>
      <c r="L13" s="19">
        <f>控制台!$E$2721</f>
        <v>180</v>
      </c>
      <c r="M13" s="1">
        <f t="shared" si="3"/>
        <v>18</v>
      </c>
      <c r="N13" s="5">
        <f t="shared" si="9"/>
        <v>126</v>
      </c>
      <c r="O13" s="19">
        <f>控制台!$E$2725</f>
        <v>90</v>
      </c>
      <c r="P13" s="1">
        <f t="shared" si="4"/>
        <v>9</v>
      </c>
      <c r="Q13" s="5">
        <f t="shared" si="10"/>
        <v>63</v>
      </c>
    </row>
    <row r="14" spans="1:17">
      <c r="A14" s="7">
        <v>0.8</v>
      </c>
      <c r="B14" s="1">
        <f t="shared" si="5"/>
        <v>0.1</v>
      </c>
      <c r="C14" s="1">
        <f>控制台!$E$2709</f>
        <v>1200000</v>
      </c>
      <c r="D14" s="1">
        <f t="shared" si="0"/>
        <v>120000</v>
      </c>
      <c r="E14" s="5">
        <f t="shared" si="6"/>
        <v>960000</v>
      </c>
      <c r="F14" s="1">
        <f>控制台!$E$2713</f>
        <v>460.8</v>
      </c>
      <c r="G14" s="1">
        <f t="shared" si="1"/>
        <v>46.08</v>
      </c>
      <c r="H14" s="5">
        <f t="shared" si="7"/>
        <v>368.64</v>
      </c>
      <c r="I14" s="18">
        <f>控制台!$E$2717</f>
        <v>2</v>
      </c>
      <c r="J14" s="1">
        <f t="shared" si="2"/>
        <v>0.2</v>
      </c>
      <c r="K14" s="5">
        <f t="shared" si="8"/>
        <v>1.6</v>
      </c>
      <c r="L14" s="19">
        <f>控制台!$E$2721</f>
        <v>180</v>
      </c>
      <c r="M14" s="1">
        <f t="shared" si="3"/>
        <v>18</v>
      </c>
      <c r="N14" s="5">
        <f t="shared" si="9"/>
        <v>144</v>
      </c>
      <c r="O14" s="19">
        <f>控制台!$E$2725</f>
        <v>90</v>
      </c>
      <c r="P14" s="1">
        <f t="shared" si="4"/>
        <v>9.00000000000001</v>
      </c>
      <c r="Q14" s="5">
        <f t="shared" si="10"/>
        <v>72</v>
      </c>
    </row>
    <row r="15" spans="1:17">
      <c r="A15" s="7">
        <v>0.9</v>
      </c>
      <c r="B15" s="1">
        <f t="shared" si="5"/>
        <v>0.1</v>
      </c>
      <c r="C15" s="1">
        <f>控制台!$E$2709</f>
        <v>1200000</v>
      </c>
      <c r="D15" s="1">
        <f t="shared" si="0"/>
        <v>120000</v>
      </c>
      <c r="E15" s="5">
        <f t="shared" si="6"/>
        <v>1080000</v>
      </c>
      <c r="F15" s="1">
        <f>控制台!$E$2713</f>
        <v>460.8</v>
      </c>
      <c r="G15" s="1">
        <f t="shared" si="1"/>
        <v>46.08</v>
      </c>
      <c r="H15" s="5">
        <f t="shared" si="7"/>
        <v>414.72</v>
      </c>
      <c r="I15" s="18">
        <f>控制台!$E$2717</f>
        <v>2</v>
      </c>
      <c r="J15" s="1">
        <f t="shared" si="2"/>
        <v>0.2</v>
      </c>
      <c r="K15" s="5">
        <f t="shared" si="8"/>
        <v>1.8</v>
      </c>
      <c r="L15" s="19">
        <f>控制台!$E$2721</f>
        <v>180</v>
      </c>
      <c r="M15" s="1">
        <f t="shared" si="3"/>
        <v>18</v>
      </c>
      <c r="N15" s="5">
        <f t="shared" si="9"/>
        <v>162</v>
      </c>
      <c r="O15" s="19">
        <f>控制台!$E$2725</f>
        <v>90</v>
      </c>
      <c r="P15" s="1">
        <f t="shared" si="4"/>
        <v>9</v>
      </c>
      <c r="Q15" s="5">
        <f t="shared" si="10"/>
        <v>81</v>
      </c>
    </row>
    <row r="16" spans="1:17">
      <c r="A16" s="7">
        <v>1</v>
      </c>
      <c r="B16" s="1">
        <f t="shared" si="5"/>
        <v>0.1</v>
      </c>
      <c r="C16" s="1">
        <f>控制台!$E$2709</f>
        <v>1200000</v>
      </c>
      <c r="D16" s="1">
        <f t="shared" si="0"/>
        <v>120000</v>
      </c>
      <c r="E16" s="5">
        <f t="shared" si="6"/>
        <v>1200000</v>
      </c>
      <c r="F16" s="1">
        <f>控制台!$E$2713</f>
        <v>460.8</v>
      </c>
      <c r="G16" s="1">
        <f t="shared" si="1"/>
        <v>46.08</v>
      </c>
      <c r="H16" s="5">
        <f t="shared" si="7"/>
        <v>460.8</v>
      </c>
      <c r="I16" s="18">
        <f>控制台!$E$2717</f>
        <v>2</v>
      </c>
      <c r="J16" s="1">
        <f t="shared" si="2"/>
        <v>0.2</v>
      </c>
      <c r="K16" s="5">
        <f t="shared" si="8"/>
        <v>2</v>
      </c>
      <c r="L16" s="19">
        <f>控制台!$E$2721</f>
        <v>180</v>
      </c>
      <c r="M16" s="1">
        <f t="shared" si="3"/>
        <v>18</v>
      </c>
      <c r="N16" s="5">
        <f t="shared" si="9"/>
        <v>180</v>
      </c>
      <c r="O16" s="19">
        <f>控制台!$E$2725</f>
        <v>90</v>
      </c>
      <c r="P16" s="1">
        <f t="shared" si="4"/>
        <v>9</v>
      </c>
      <c r="Q16" s="5">
        <f t="shared" si="10"/>
        <v>90</v>
      </c>
    </row>
    <row r="17" spans="1:17">
      <c r="A17" s="9">
        <v>1.5</v>
      </c>
      <c r="B17" s="1">
        <f t="shared" si="5"/>
        <v>0.5</v>
      </c>
      <c r="C17" s="1">
        <f>控制台!$E$2709</f>
        <v>1200000</v>
      </c>
      <c r="D17" s="1">
        <f t="shared" si="0"/>
        <v>600000</v>
      </c>
      <c r="E17" s="5">
        <f t="shared" si="6"/>
        <v>1800000</v>
      </c>
      <c r="F17" s="1">
        <f>控制台!$E$2713</f>
        <v>460.8</v>
      </c>
      <c r="G17" s="1">
        <f t="shared" si="1"/>
        <v>230.4</v>
      </c>
      <c r="H17" s="5">
        <f t="shared" si="7"/>
        <v>691.2</v>
      </c>
      <c r="I17" s="18">
        <f>控制台!$E$2717</f>
        <v>2</v>
      </c>
      <c r="J17" s="1">
        <f t="shared" si="2"/>
        <v>1</v>
      </c>
      <c r="K17" s="5">
        <f t="shared" si="8"/>
        <v>3</v>
      </c>
      <c r="L17" s="19">
        <f>控制台!$E$2721</f>
        <v>180</v>
      </c>
      <c r="M17" s="1">
        <f t="shared" si="3"/>
        <v>90</v>
      </c>
      <c r="N17" s="5">
        <f t="shared" si="9"/>
        <v>270</v>
      </c>
      <c r="O17" s="19">
        <f>控制台!$E$2725</f>
        <v>90</v>
      </c>
      <c r="P17" s="1">
        <f t="shared" si="4"/>
        <v>45</v>
      </c>
      <c r="Q17" s="5">
        <f t="shared" si="10"/>
        <v>135</v>
      </c>
    </row>
    <row r="18" spans="1:17">
      <c r="A18" s="9">
        <v>2</v>
      </c>
      <c r="B18" s="1">
        <f t="shared" si="5"/>
        <v>0.5</v>
      </c>
      <c r="C18" s="1">
        <f>控制台!$E$2709</f>
        <v>1200000</v>
      </c>
      <c r="D18" s="1">
        <f t="shared" si="0"/>
        <v>600000</v>
      </c>
      <c r="E18" s="5">
        <f t="shared" si="6"/>
        <v>2400000</v>
      </c>
      <c r="F18" s="1">
        <f>控制台!$E$2713</f>
        <v>460.8</v>
      </c>
      <c r="G18" s="1">
        <f t="shared" si="1"/>
        <v>230.4</v>
      </c>
      <c r="H18" s="5">
        <f t="shared" si="7"/>
        <v>921.6</v>
      </c>
      <c r="I18" s="18">
        <f>控制台!$E$2717</f>
        <v>2</v>
      </c>
      <c r="J18" s="1">
        <f t="shared" si="2"/>
        <v>1</v>
      </c>
      <c r="K18" s="5">
        <f t="shared" si="8"/>
        <v>4</v>
      </c>
      <c r="L18" s="19">
        <f>控制台!$E$2721</f>
        <v>180</v>
      </c>
      <c r="M18" s="1">
        <f t="shared" si="3"/>
        <v>90</v>
      </c>
      <c r="N18" s="5">
        <f t="shared" si="9"/>
        <v>360</v>
      </c>
      <c r="O18" s="19">
        <f>控制台!$E$2725</f>
        <v>90</v>
      </c>
      <c r="P18" s="1">
        <f t="shared" si="4"/>
        <v>45</v>
      </c>
      <c r="Q18" s="5">
        <f t="shared" si="10"/>
        <v>180</v>
      </c>
    </row>
    <row r="19" spans="1:17">
      <c r="A19" s="9">
        <v>2.5</v>
      </c>
      <c r="B19" s="1">
        <f t="shared" si="5"/>
        <v>0.5</v>
      </c>
      <c r="C19" s="1">
        <f>控制台!$E$2709</f>
        <v>1200000</v>
      </c>
      <c r="D19" s="1">
        <f t="shared" si="0"/>
        <v>600000</v>
      </c>
      <c r="E19" s="5">
        <f t="shared" si="6"/>
        <v>3000000</v>
      </c>
      <c r="F19" s="1">
        <f>控制台!$E$2713</f>
        <v>460.8</v>
      </c>
      <c r="G19" s="1">
        <f t="shared" si="1"/>
        <v>230.4</v>
      </c>
      <c r="H19" s="5">
        <f t="shared" si="7"/>
        <v>1152</v>
      </c>
      <c r="I19" s="18">
        <f>控制台!$E$2717</f>
        <v>2</v>
      </c>
      <c r="J19" s="1">
        <f t="shared" si="2"/>
        <v>1</v>
      </c>
      <c r="K19" s="5">
        <f t="shared" si="8"/>
        <v>5</v>
      </c>
      <c r="L19" s="19">
        <f>控制台!$E$2721</f>
        <v>180</v>
      </c>
      <c r="M19" s="1">
        <f t="shared" si="3"/>
        <v>90</v>
      </c>
      <c r="N19" s="5">
        <f t="shared" si="9"/>
        <v>450</v>
      </c>
      <c r="O19" s="19">
        <f>控制台!$E$2725</f>
        <v>90</v>
      </c>
      <c r="P19" s="1">
        <f t="shared" si="4"/>
        <v>45</v>
      </c>
      <c r="Q19" s="5">
        <f t="shared" si="10"/>
        <v>225</v>
      </c>
    </row>
    <row r="20" spans="1:17">
      <c r="A20" s="9">
        <v>3</v>
      </c>
      <c r="B20" s="1">
        <f t="shared" si="5"/>
        <v>0.5</v>
      </c>
      <c r="C20" s="1">
        <f>控制台!$E$2709</f>
        <v>1200000</v>
      </c>
      <c r="D20" s="1">
        <f t="shared" si="0"/>
        <v>600000</v>
      </c>
      <c r="E20" s="5">
        <f t="shared" si="6"/>
        <v>3600000</v>
      </c>
      <c r="F20" s="1">
        <f>控制台!$E$2713</f>
        <v>460.8</v>
      </c>
      <c r="G20" s="1">
        <f t="shared" si="1"/>
        <v>230.4</v>
      </c>
      <c r="H20" s="5">
        <f t="shared" si="7"/>
        <v>1382.4</v>
      </c>
      <c r="I20" s="18">
        <f>控制台!$E$2717</f>
        <v>2</v>
      </c>
      <c r="J20" s="1">
        <f t="shared" si="2"/>
        <v>1</v>
      </c>
      <c r="K20" s="5">
        <f t="shared" si="8"/>
        <v>6</v>
      </c>
      <c r="L20" s="19">
        <f>控制台!$E$2721</f>
        <v>180</v>
      </c>
      <c r="M20" s="1">
        <f t="shared" si="3"/>
        <v>90</v>
      </c>
      <c r="N20" s="5">
        <f t="shared" si="9"/>
        <v>540</v>
      </c>
      <c r="O20" s="19">
        <f>控制台!$E$2725</f>
        <v>90</v>
      </c>
      <c r="P20" s="1">
        <f t="shared" si="4"/>
        <v>45</v>
      </c>
      <c r="Q20" s="5">
        <f t="shared" si="10"/>
        <v>270</v>
      </c>
    </row>
    <row r="21" spans="1:17">
      <c r="A21" s="9">
        <v>3.5</v>
      </c>
      <c r="B21" s="1">
        <f t="shared" si="5"/>
        <v>0.5</v>
      </c>
      <c r="C21" s="1">
        <f>控制台!$E$2709</f>
        <v>1200000</v>
      </c>
      <c r="D21" s="1">
        <f t="shared" si="0"/>
        <v>600000</v>
      </c>
      <c r="E21" s="5">
        <f t="shared" si="6"/>
        <v>4200000</v>
      </c>
      <c r="F21" s="1">
        <f>控制台!$E$2713</f>
        <v>460.8</v>
      </c>
      <c r="G21" s="1">
        <f t="shared" si="1"/>
        <v>230.4</v>
      </c>
      <c r="H21" s="5">
        <f t="shared" si="7"/>
        <v>1612.8</v>
      </c>
      <c r="I21" s="18">
        <f>控制台!$E$2717</f>
        <v>2</v>
      </c>
      <c r="J21" s="1">
        <f t="shared" si="2"/>
        <v>1</v>
      </c>
      <c r="K21" s="5">
        <f t="shared" si="8"/>
        <v>7</v>
      </c>
      <c r="L21" s="19">
        <f>控制台!$E$2721</f>
        <v>180</v>
      </c>
      <c r="M21" s="1">
        <f t="shared" si="3"/>
        <v>90</v>
      </c>
      <c r="N21" s="5">
        <f t="shared" si="9"/>
        <v>630</v>
      </c>
      <c r="O21" s="19">
        <f>控制台!$E$2725</f>
        <v>90</v>
      </c>
      <c r="P21" s="1">
        <f t="shared" si="4"/>
        <v>45</v>
      </c>
      <c r="Q21" s="5">
        <f t="shared" si="10"/>
        <v>315</v>
      </c>
    </row>
    <row r="22" spans="1:17">
      <c r="A22" s="9">
        <v>4</v>
      </c>
      <c r="B22" s="1">
        <f t="shared" si="5"/>
        <v>0.5</v>
      </c>
      <c r="C22" s="1">
        <f>控制台!$E$2709</f>
        <v>1200000</v>
      </c>
      <c r="D22" s="1">
        <f t="shared" si="0"/>
        <v>600000</v>
      </c>
      <c r="E22" s="5">
        <f t="shared" si="6"/>
        <v>4800000</v>
      </c>
      <c r="F22" s="1">
        <f>控制台!$E$2713</f>
        <v>460.8</v>
      </c>
      <c r="G22" s="1">
        <f t="shared" si="1"/>
        <v>230.4</v>
      </c>
      <c r="H22" s="5">
        <f t="shared" si="7"/>
        <v>1843.2</v>
      </c>
      <c r="I22" s="18">
        <f>控制台!$E$2717</f>
        <v>2</v>
      </c>
      <c r="J22" s="1">
        <f t="shared" si="2"/>
        <v>1</v>
      </c>
      <c r="K22" s="5">
        <f t="shared" si="8"/>
        <v>8</v>
      </c>
      <c r="L22" s="19">
        <f>控制台!$E$2721</f>
        <v>180</v>
      </c>
      <c r="M22" s="1">
        <f t="shared" si="3"/>
        <v>90</v>
      </c>
      <c r="N22" s="5">
        <f t="shared" si="9"/>
        <v>720</v>
      </c>
      <c r="O22" s="19">
        <f>控制台!$E$2725</f>
        <v>90</v>
      </c>
      <c r="P22" s="1">
        <f t="shared" si="4"/>
        <v>45</v>
      </c>
      <c r="Q22" s="5">
        <f t="shared" si="10"/>
        <v>360</v>
      </c>
    </row>
    <row r="23" spans="1:17">
      <c r="A23" s="9">
        <v>4.5</v>
      </c>
      <c r="B23" s="1">
        <f t="shared" si="5"/>
        <v>0.5</v>
      </c>
      <c r="C23" s="1">
        <f>控制台!$E$2709</f>
        <v>1200000</v>
      </c>
      <c r="D23" s="1">
        <f t="shared" si="0"/>
        <v>600000</v>
      </c>
      <c r="E23" s="5">
        <f t="shared" si="6"/>
        <v>5400000</v>
      </c>
      <c r="F23" s="1">
        <f>控制台!$E$2713</f>
        <v>460.8</v>
      </c>
      <c r="G23" s="1">
        <f t="shared" si="1"/>
        <v>230.4</v>
      </c>
      <c r="H23" s="5">
        <f t="shared" si="7"/>
        <v>2073.6</v>
      </c>
      <c r="I23" s="18">
        <f>控制台!$E$2717</f>
        <v>2</v>
      </c>
      <c r="J23" s="1">
        <f t="shared" si="2"/>
        <v>1</v>
      </c>
      <c r="K23" s="5">
        <f t="shared" si="8"/>
        <v>9</v>
      </c>
      <c r="L23" s="19">
        <f>控制台!$E$2721</f>
        <v>180</v>
      </c>
      <c r="M23" s="1">
        <f t="shared" si="3"/>
        <v>90</v>
      </c>
      <c r="N23" s="5">
        <f t="shared" si="9"/>
        <v>810</v>
      </c>
      <c r="O23" s="19">
        <f>控制台!$E$2725</f>
        <v>90</v>
      </c>
      <c r="P23" s="1">
        <f t="shared" si="4"/>
        <v>45</v>
      </c>
      <c r="Q23" s="5">
        <f t="shared" si="10"/>
        <v>405</v>
      </c>
    </row>
    <row r="24" spans="1:17">
      <c r="A24" s="9">
        <v>5</v>
      </c>
      <c r="B24" s="1">
        <f t="shared" si="5"/>
        <v>0.5</v>
      </c>
      <c r="C24" s="1">
        <f>控制台!$E$2709</f>
        <v>1200000</v>
      </c>
      <c r="D24" s="1">
        <f t="shared" si="0"/>
        <v>600000</v>
      </c>
      <c r="E24" s="5">
        <f t="shared" si="6"/>
        <v>6000000</v>
      </c>
      <c r="F24" s="1">
        <f>控制台!$E$2713</f>
        <v>460.8</v>
      </c>
      <c r="G24" s="1">
        <f t="shared" si="1"/>
        <v>230.4</v>
      </c>
      <c r="H24" s="5">
        <f t="shared" si="7"/>
        <v>2304</v>
      </c>
      <c r="I24" s="18">
        <f>控制台!$E$2717</f>
        <v>2</v>
      </c>
      <c r="J24" s="1">
        <f t="shared" si="2"/>
        <v>1</v>
      </c>
      <c r="K24" s="5">
        <f t="shared" si="8"/>
        <v>10</v>
      </c>
      <c r="L24" s="19">
        <f>控制台!$E$2721</f>
        <v>180</v>
      </c>
      <c r="M24" s="1">
        <f t="shared" si="3"/>
        <v>90</v>
      </c>
      <c r="N24" s="5">
        <f t="shared" si="9"/>
        <v>900</v>
      </c>
      <c r="O24" s="19">
        <f>控制台!$E$2725</f>
        <v>90</v>
      </c>
      <c r="P24" s="1">
        <f t="shared" si="4"/>
        <v>45</v>
      </c>
      <c r="Q24" s="5">
        <f t="shared" si="10"/>
        <v>450</v>
      </c>
    </row>
    <row r="25" spans="1:17">
      <c r="A25" s="9">
        <v>5.5</v>
      </c>
      <c r="B25" s="1">
        <f t="shared" si="5"/>
        <v>0.5</v>
      </c>
      <c r="C25" s="1">
        <f>控制台!$E$2709</f>
        <v>1200000</v>
      </c>
      <c r="D25" s="1">
        <f t="shared" si="0"/>
        <v>600000</v>
      </c>
      <c r="E25" s="5">
        <f t="shared" si="6"/>
        <v>6600000</v>
      </c>
      <c r="F25" s="1">
        <f>控制台!$E$2713</f>
        <v>460.8</v>
      </c>
      <c r="G25" s="1">
        <f t="shared" si="1"/>
        <v>230.4</v>
      </c>
      <c r="H25" s="5">
        <f t="shared" si="7"/>
        <v>2534.4</v>
      </c>
      <c r="I25" s="18">
        <f>控制台!$E$2717</f>
        <v>2</v>
      </c>
      <c r="J25" s="1">
        <f t="shared" si="2"/>
        <v>1</v>
      </c>
      <c r="K25" s="5">
        <f t="shared" si="8"/>
        <v>11</v>
      </c>
      <c r="L25" s="19">
        <f>控制台!$E$2721</f>
        <v>180</v>
      </c>
      <c r="M25" s="1">
        <f t="shared" si="3"/>
        <v>90</v>
      </c>
      <c r="N25" s="5">
        <f t="shared" si="9"/>
        <v>990</v>
      </c>
      <c r="O25" s="19">
        <f>控制台!$E$2725</f>
        <v>90</v>
      </c>
      <c r="P25" s="1">
        <f t="shared" si="4"/>
        <v>45</v>
      </c>
      <c r="Q25" s="5">
        <f t="shared" si="10"/>
        <v>495</v>
      </c>
    </row>
    <row r="26" spans="1:17">
      <c r="A26" s="9">
        <v>6</v>
      </c>
      <c r="B26" s="1">
        <f t="shared" si="5"/>
        <v>0.5</v>
      </c>
      <c r="C26" s="1">
        <f>控制台!$E$2709</f>
        <v>1200000</v>
      </c>
      <c r="D26" s="1">
        <f t="shared" si="0"/>
        <v>600000</v>
      </c>
      <c r="E26" s="5">
        <f t="shared" si="6"/>
        <v>7200000</v>
      </c>
      <c r="F26" s="1">
        <f>控制台!$E$2713</f>
        <v>460.8</v>
      </c>
      <c r="G26" s="1">
        <f t="shared" si="1"/>
        <v>230.4</v>
      </c>
      <c r="H26" s="5">
        <f t="shared" si="7"/>
        <v>2764.8</v>
      </c>
      <c r="I26" s="18">
        <f>控制台!$E$2717</f>
        <v>2</v>
      </c>
      <c r="J26" s="1">
        <f t="shared" si="2"/>
        <v>1</v>
      </c>
      <c r="K26" s="5">
        <f t="shared" si="8"/>
        <v>12</v>
      </c>
      <c r="L26" s="19">
        <f>控制台!$E$2721</f>
        <v>180</v>
      </c>
      <c r="M26" s="1">
        <f t="shared" si="3"/>
        <v>90</v>
      </c>
      <c r="N26" s="5">
        <f t="shared" si="9"/>
        <v>1080</v>
      </c>
      <c r="O26" s="19">
        <f>控制台!$E$2725</f>
        <v>90</v>
      </c>
      <c r="P26" s="1">
        <f t="shared" si="4"/>
        <v>45</v>
      </c>
      <c r="Q26" s="5">
        <f t="shared" si="10"/>
        <v>540</v>
      </c>
    </row>
    <row r="27" spans="1:17">
      <c r="A27" s="9">
        <v>6.5</v>
      </c>
      <c r="B27" s="1">
        <f t="shared" si="5"/>
        <v>0.5</v>
      </c>
      <c r="C27" s="1">
        <f>控制台!$E$2709</f>
        <v>1200000</v>
      </c>
      <c r="D27" s="1">
        <f t="shared" si="0"/>
        <v>600000</v>
      </c>
      <c r="E27" s="5">
        <f t="shared" si="6"/>
        <v>7800000</v>
      </c>
      <c r="F27" s="1">
        <f>控制台!$E$2713</f>
        <v>460.8</v>
      </c>
      <c r="G27" s="1">
        <f t="shared" si="1"/>
        <v>230.4</v>
      </c>
      <c r="H27" s="5">
        <f t="shared" si="7"/>
        <v>2995.2</v>
      </c>
      <c r="I27" s="18">
        <f>控制台!$E$2717</f>
        <v>2</v>
      </c>
      <c r="J27" s="1">
        <f t="shared" si="2"/>
        <v>1</v>
      </c>
      <c r="K27" s="5">
        <f t="shared" si="8"/>
        <v>13</v>
      </c>
      <c r="L27" s="19">
        <f>控制台!$E$2721</f>
        <v>180</v>
      </c>
      <c r="M27" s="1">
        <f t="shared" si="3"/>
        <v>90</v>
      </c>
      <c r="N27" s="5">
        <f t="shared" si="9"/>
        <v>1170</v>
      </c>
      <c r="O27" s="19">
        <f>控制台!$E$2725</f>
        <v>90</v>
      </c>
      <c r="P27" s="1">
        <f t="shared" si="4"/>
        <v>45</v>
      </c>
      <c r="Q27" s="5">
        <f t="shared" si="10"/>
        <v>585</v>
      </c>
    </row>
    <row r="28" spans="1:17">
      <c r="A28" s="9">
        <v>7</v>
      </c>
      <c r="B28" s="1">
        <f t="shared" si="5"/>
        <v>0.5</v>
      </c>
      <c r="C28" s="1">
        <f>控制台!$E$2709</f>
        <v>1200000</v>
      </c>
      <c r="D28" s="1">
        <f t="shared" si="0"/>
        <v>600000</v>
      </c>
      <c r="E28" s="5">
        <f t="shared" si="6"/>
        <v>8400000</v>
      </c>
      <c r="F28" s="1">
        <f>控制台!$E$2713</f>
        <v>460.8</v>
      </c>
      <c r="G28" s="1">
        <f t="shared" si="1"/>
        <v>230.4</v>
      </c>
      <c r="H28" s="5">
        <f t="shared" si="7"/>
        <v>3225.6</v>
      </c>
      <c r="I28" s="18">
        <f>控制台!$E$2717</f>
        <v>2</v>
      </c>
      <c r="J28" s="1">
        <f t="shared" si="2"/>
        <v>1</v>
      </c>
      <c r="K28" s="5">
        <f t="shared" si="8"/>
        <v>14</v>
      </c>
      <c r="L28" s="19">
        <f>控制台!$E$2721</f>
        <v>180</v>
      </c>
      <c r="M28" s="1">
        <f t="shared" si="3"/>
        <v>90</v>
      </c>
      <c r="N28" s="5">
        <f t="shared" si="9"/>
        <v>1260</v>
      </c>
      <c r="O28" s="19">
        <f>控制台!$E$2725</f>
        <v>90</v>
      </c>
      <c r="P28" s="1">
        <f t="shared" si="4"/>
        <v>45</v>
      </c>
      <c r="Q28" s="5">
        <f t="shared" si="10"/>
        <v>630</v>
      </c>
    </row>
    <row r="29" spans="1:17">
      <c r="A29" s="10">
        <v>8</v>
      </c>
      <c r="B29" s="1">
        <f t="shared" si="5"/>
        <v>1</v>
      </c>
      <c r="C29" s="1">
        <f>控制台!$E$2709</f>
        <v>1200000</v>
      </c>
      <c r="D29" s="1">
        <f t="shared" si="0"/>
        <v>1200000</v>
      </c>
      <c r="E29" s="5">
        <f t="shared" si="6"/>
        <v>9600000</v>
      </c>
      <c r="F29" s="1">
        <f>控制台!$E$2713</f>
        <v>460.8</v>
      </c>
      <c r="G29" s="1">
        <f t="shared" si="1"/>
        <v>460.8</v>
      </c>
      <c r="H29" s="5">
        <f t="shared" si="7"/>
        <v>3686.4</v>
      </c>
      <c r="I29" s="18">
        <f>控制台!$E$2717</f>
        <v>2</v>
      </c>
      <c r="J29" s="1">
        <f t="shared" si="2"/>
        <v>2</v>
      </c>
      <c r="K29" s="5">
        <f t="shared" si="8"/>
        <v>16</v>
      </c>
      <c r="L29" s="19">
        <f>控制台!$E$2721</f>
        <v>180</v>
      </c>
      <c r="M29" s="1">
        <f t="shared" si="3"/>
        <v>180</v>
      </c>
      <c r="N29" s="5">
        <f t="shared" si="9"/>
        <v>1440</v>
      </c>
      <c r="O29" s="19">
        <f>控制台!$E$2725</f>
        <v>90</v>
      </c>
      <c r="P29" s="1">
        <f t="shared" si="4"/>
        <v>90</v>
      </c>
      <c r="Q29" s="5">
        <f t="shared" si="10"/>
        <v>720</v>
      </c>
    </row>
    <row r="30" spans="1:17">
      <c r="A30" s="10">
        <v>9</v>
      </c>
      <c r="B30" s="1">
        <f t="shared" si="5"/>
        <v>1</v>
      </c>
      <c r="C30" s="1">
        <f>控制台!$E$2709</f>
        <v>1200000</v>
      </c>
      <c r="D30" s="1">
        <f t="shared" si="0"/>
        <v>1200000</v>
      </c>
      <c r="E30" s="5">
        <f t="shared" si="6"/>
        <v>10800000</v>
      </c>
      <c r="F30" s="1">
        <f>控制台!$E$2713</f>
        <v>460.8</v>
      </c>
      <c r="G30" s="1">
        <f t="shared" si="1"/>
        <v>460.8</v>
      </c>
      <c r="H30" s="5">
        <f t="shared" si="7"/>
        <v>4147.2</v>
      </c>
      <c r="I30" s="18">
        <f>控制台!$E$2717</f>
        <v>2</v>
      </c>
      <c r="J30" s="1">
        <f t="shared" si="2"/>
        <v>2</v>
      </c>
      <c r="K30" s="5">
        <f t="shared" si="8"/>
        <v>18</v>
      </c>
      <c r="L30" s="19">
        <f>控制台!$E$2721</f>
        <v>180</v>
      </c>
      <c r="M30" s="1">
        <f t="shared" si="3"/>
        <v>180</v>
      </c>
      <c r="N30" s="5">
        <f t="shared" si="9"/>
        <v>1620</v>
      </c>
      <c r="O30" s="19">
        <f>控制台!$E$2725</f>
        <v>90</v>
      </c>
      <c r="P30" s="1">
        <f t="shared" si="4"/>
        <v>90</v>
      </c>
      <c r="Q30" s="5">
        <f t="shared" si="10"/>
        <v>810</v>
      </c>
    </row>
    <row r="31" spans="1:17">
      <c r="A31" s="10">
        <v>10</v>
      </c>
      <c r="B31" s="1">
        <f t="shared" si="5"/>
        <v>1</v>
      </c>
      <c r="C31" s="1">
        <f>控制台!$E$2709</f>
        <v>1200000</v>
      </c>
      <c r="D31" s="1">
        <f t="shared" si="0"/>
        <v>1200000</v>
      </c>
      <c r="E31" s="5">
        <f t="shared" si="6"/>
        <v>12000000</v>
      </c>
      <c r="F31" s="1">
        <f>控制台!$E$2713</f>
        <v>460.8</v>
      </c>
      <c r="G31" s="1">
        <f t="shared" si="1"/>
        <v>460.8</v>
      </c>
      <c r="H31" s="5">
        <f t="shared" si="7"/>
        <v>4608</v>
      </c>
      <c r="I31" s="18">
        <f>控制台!$E$2717</f>
        <v>2</v>
      </c>
      <c r="J31" s="1">
        <f t="shared" si="2"/>
        <v>2</v>
      </c>
      <c r="K31" s="5">
        <f t="shared" si="8"/>
        <v>20</v>
      </c>
      <c r="L31" s="19">
        <f>控制台!$E$2721</f>
        <v>180</v>
      </c>
      <c r="M31" s="1">
        <f t="shared" si="3"/>
        <v>180</v>
      </c>
      <c r="N31" s="5">
        <f t="shared" si="9"/>
        <v>1800</v>
      </c>
      <c r="O31" s="19">
        <f>控制台!$E$2725</f>
        <v>90</v>
      </c>
      <c r="P31" s="1">
        <f t="shared" si="4"/>
        <v>90</v>
      </c>
      <c r="Q31" s="5">
        <f t="shared" si="10"/>
        <v>900</v>
      </c>
    </row>
    <row r="32" spans="1:17">
      <c r="A32" s="10">
        <v>11</v>
      </c>
      <c r="B32" s="1">
        <f t="shared" si="5"/>
        <v>1</v>
      </c>
      <c r="C32" s="1">
        <f>控制台!$E$2709</f>
        <v>1200000</v>
      </c>
      <c r="D32" s="1">
        <f t="shared" si="0"/>
        <v>1200000</v>
      </c>
      <c r="E32" s="5">
        <f t="shared" si="6"/>
        <v>13200000</v>
      </c>
      <c r="F32" s="1">
        <f>控制台!$E$2713</f>
        <v>460.8</v>
      </c>
      <c r="G32" s="1">
        <f t="shared" si="1"/>
        <v>460.8</v>
      </c>
      <c r="H32" s="5">
        <f t="shared" si="7"/>
        <v>5068.8</v>
      </c>
      <c r="I32" s="18">
        <f>控制台!$E$2717</f>
        <v>2</v>
      </c>
      <c r="J32" s="1">
        <f t="shared" si="2"/>
        <v>2</v>
      </c>
      <c r="K32" s="5">
        <f t="shared" si="8"/>
        <v>22</v>
      </c>
      <c r="L32" s="19">
        <f>控制台!$E$2721</f>
        <v>180</v>
      </c>
      <c r="M32" s="1">
        <f t="shared" si="3"/>
        <v>180</v>
      </c>
      <c r="N32" s="5">
        <f t="shared" si="9"/>
        <v>1980</v>
      </c>
      <c r="O32" s="19">
        <f>控制台!$E$2725</f>
        <v>90</v>
      </c>
      <c r="P32" s="1">
        <f t="shared" si="4"/>
        <v>90</v>
      </c>
      <c r="Q32" s="5">
        <f t="shared" si="10"/>
        <v>990</v>
      </c>
    </row>
    <row r="33" spans="1:17">
      <c r="A33" s="10">
        <v>12</v>
      </c>
      <c r="B33" s="1">
        <f t="shared" si="5"/>
        <v>1</v>
      </c>
      <c r="C33" s="1">
        <f>控制台!$E$2709</f>
        <v>1200000</v>
      </c>
      <c r="D33" s="1">
        <f t="shared" si="0"/>
        <v>1200000</v>
      </c>
      <c r="E33" s="5">
        <f t="shared" si="6"/>
        <v>14400000</v>
      </c>
      <c r="F33" s="1">
        <f>控制台!$E$2713</f>
        <v>460.8</v>
      </c>
      <c r="G33" s="1">
        <f t="shared" si="1"/>
        <v>460.8</v>
      </c>
      <c r="H33" s="5">
        <f t="shared" si="7"/>
        <v>5529.6</v>
      </c>
      <c r="I33" s="18">
        <f>控制台!$E$2717</f>
        <v>2</v>
      </c>
      <c r="J33" s="1">
        <f t="shared" si="2"/>
        <v>2</v>
      </c>
      <c r="K33" s="5">
        <f t="shared" si="8"/>
        <v>24</v>
      </c>
      <c r="L33" s="19">
        <f>控制台!$E$2721</f>
        <v>180</v>
      </c>
      <c r="M33" s="1">
        <f t="shared" si="3"/>
        <v>180</v>
      </c>
      <c r="N33" s="5">
        <f t="shared" si="9"/>
        <v>2160</v>
      </c>
      <c r="O33" s="19">
        <f>控制台!$E$2725</f>
        <v>90</v>
      </c>
      <c r="P33" s="1">
        <f t="shared" si="4"/>
        <v>90</v>
      </c>
      <c r="Q33" s="5">
        <f t="shared" si="10"/>
        <v>1080</v>
      </c>
    </row>
    <row r="34" spans="1:17">
      <c r="A34" s="10">
        <v>13</v>
      </c>
      <c r="B34" s="1">
        <f t="shared" si="5"/>
        <v>1</v>
      </c>
      <c r="C34" s="1">
        <f>控制台!$E$2709</f>
        <v>1200000</v>
      </c>
      <c r="D34" s="1">
        <f t="shared" si="0"/>
        <v>1200000</v>
      </c>
      <c r="E34" s="5">
        <f t="shared" si="6"/>
        <v>15600000</v>
      </c>
      <c r="F34" s="1">
        <f>控制台!$E$2713</f>
        <v>460.8</v>
      </c>
      <c r="G34" s="1">
        <f t="shared" si="1"/>
        <v>460.8</v>
      </c>
      <c r="H34" s="5">
        <f t="shared" si="7"/>
        <v>5990.4</v>
      </c>
      <c r="I34" s="18">
        <f>控制台!$E$2717</f>
        <v>2</v>
      </c>
      <c r="J34" s="1">
        <f t="shared" si="2"/>
        <v>2</v>
      </c>
      <c r="K34" s="5">
        <f t="shared" si="8"/>
        <v>26</v>
      </c>
      <c r="L34" s="19">
        <f>控制台!$E$2721</f>
        <v>180</v>
      </c>
      <c r="M34" s="1">
        <f t="shared" si="3"/>
        <v>180</v>
      </c>
      <c r="N34" s="5">
        <f t="shared" si="9"/>
        <v>2340</v>
      </c>
      <c r="O34" s="19">
        <f>控制台!$E$2725</f>
        <v>90</v>
      </c>
      <c r="P34" s="1">
        <f t="shared" si="4"/>
        <v>90</v>
      </c>
      <c r="Q34" s="5">
        <f t="shared" si="10"/>
        <v>1170</v>
      </c>
    </row>
    <row r="35" spans="1:17">
      <c r="A35" s="10">
        <v>14</v>
      </c>
      <c r="B35" s="1">
        <f t="shared" si="5"/>
        <v>1</v>
      </c>
      <c r="C35" s="1">
        <f>控制台!$E$2709</f>
        <v>1200000</v>
      </c>
      <c r="D35" s="1">
        <f t="shared" si="0"/>
        <v>1200000</v>
      </c>
      <c r="E35" s="5">
        <f t="shared" si="6"/>
        <v>16800000</v>
      </c>
      <c r="F35" s="1">
        <f>控制台!$E$2713</f>
        <v>460.8</v>
      </c>
      <c r="G35" s="1">
        <f t="shared" si="1"/>
        <v>460.8</v>
      </c>
      <c r="H35" s="5">
        <f t="shared" si="7"/>
        <v>6451.2</v>
      </c>
      <c r="I35" s="18">
        <f>控制台!$E$2717</f>
        <v>2</v>
      </c>
      <c r="J35" s="1">
        <f t="shared" si="2"/>
        <v>2</v>
      </c>
      <c r="K35" s="5">
        <f t="shared" si="8"/>
        <v>28</v>
      </c>
      <c r="L35" s="19">
        <f>控制台!$E$2721</f>
        <v>180</v>
      </c>
      <c r="M35" s="1">
        <f t="shared" si="3"/>
        <v>180</v>
      </c>
      <c r="N35" s="5">
        <f t="shared" si="9"/>
        <v>2520</v>
      </c>
      <c r="O35" s="19">
        <f>控制台!$E$2725</f>
        <v>90</v>
      </c>
      <c r="P35" s="1">
        <f t="shared" si="4"/>
        <v>90</v>
      </c>
      <c r="Q35" s="5">
        <f t="shared" si="10"/>
        <v>1260</v>
      </c>
    </row>
    <row r="36" spans="1:17">
      <c r="A36" s="10">
        <v>15</v>
      </c>
      <c r="B36" s="1">
        <f t="shared" si="5"/>
        <v>1</v>
      </c>
      <c r="C36" s="1">
        <f>控制台!$E$2709</f>
        <v>1200000</v>
      </c>
      <c r="D36" s="1">
        <f t="shared" si="0"/>
        <v>1200000</v>
      </c>
      <c r="E36" s="5">
        <f t="shared" si="6"/>
        <v>18000000</v>
      </c>
      <c r="F36" s="1">
        <f>控制台!$E$2713</f>
        <v>460.8</v>
      </c>
      <c r="G36" s="1">
        <f t="shared" si="1"/>
        <v>460.8</v>
      </c>
      <c r="H36" s="5">
        <f t="shared" si="7"/>
        <v>6912</v>
      </c>
      <c r="I36" s="18">
        <f>控制台!$E$2717</f>
        <v>2</v>
      </c>
      <c r="J36" s="1">
        <f t="shared" si="2"/>
        <v>2</v>
      </c>
      <c r="K36" s="5">
        <f t="shared" si="8"/>
        <v>30</v>
      </c>
      <c r="L36" s="19">
        <f>控制台!$E$2721</f>
        <v>180</v>
      </c>
      <c r="M36" s="1">
        <f t="shared" si="3"/>
        <v>180</v>
      </c>
      <c r="N36" s="5">
        <f t="shared" si="9"/>
        <v>2700</v>
      </c>
      <c r="O36" s="19">
        <f>控制台!$E$2725</f>
        <v>90</v>
      </c>
      <c r="P36" s="1">
        <f t="shared" si="4"/>
        <v>90</v>
      </c>
      <c r="Q36" s="5">
        <f t="shared" si="10"/>
        <v>1350</v>
      </c>
    </row>
    <row r="37" spans="1:17">
      <c r="A37" s="10">
        <v>16</v>
      </c>
      <c r="B37" s="1">
        <f t="shared" si="5"/>
        <v>1</v>
      </c>
      <c r="C37" s="1">
        <f>控制台!$E$2709</f>
        <v>1200000</v>
      </c>
      <c r="D37" s="1">
        <f t="shared" si="0"/>
        <v>1200000</v>
      </c>
      <c r="E37" s="5">
        <f t="shared" si="6"/>
        <v>19200000</v>
      </c>
      <c r="F37" s="1">
        <f>控制台!$E$2713</f>
        <v>460.8</v>
      </c>
      <c r="G37" s="1">
        <f t="shared" si="1"/>
        <v>460.8</v>
      </c>
      <c r="H37" s="5">
        <f t="shared" si="7"/>
        <v>7372.8</v>
      </c>
      <c r="I37" s="18">
        <f>控制台!$E$2717</f>
        <v>2</v>
      </c>
      <c r="J37" s="1">
        <f t="shared" si="2"/>
        <v>2</v>
      </c>
      <c r="K37" s="5">
        <f t="shared" si="8"/>
        <v>32</v>
      </c>
      <c r="L37" s="19">
        <f>控制台!$E$2721</f>
        <v>180</v>
      </c>
      <c r="M37" s="1">
        <f t="shared" si="3"/>
        <v>180</v>
      </c>
      <c r="N37" s="5">
        <f t="shared" si="9"/>
        <v>2880</v>
      </c>
      <c r="O37" s="19">
        <f>控制台!$E$2725</f>
        <v>90</v>
      </c>
      <c r="P37" s="1">
        <f t="shared" si="4"/>
        <v>90</v>
      </c>
      <c r="Q37" s="5">
        <f t="shared" si="10"/>
        <v>1440</v>
      </c>
    </row>
    <row r="38" spans="1:17">
      <c r="A38" s="10">
        <v>17</v>
      </c>
      <c r="B38" s="1">
        <f t="shared" si="5"/>
        <v>1</v>
      </c>
      <c r="C38" s="1">
        <f>控制台!$E$2709</f>
        <v>1200000</v>
      </c>
      <c r="D38" s="1">
        <f t="shared" si="0"/>
        <v>1200000</v>
      </c>
      <c r="E38" s="5">
        <f t="shared" si="6"/>
        <v>20400000</v>
      </c>
      <c r="F38" s="1">
        <f>控制台!$E$2713</f>
        <v>460.8</v>
      </c>
      <c r="G38" s="1">
        <f t="shared" si="1"/>
        <v>460.8</v>
      </c>
      <c r="H38" s="5">
        <f t="shared" si="7"/>
        <v>7833.6</v>
      </c>
      <c r="I38" s="18">
        <f>控制台!$E$2717</f>
        <v>2</v>
      </c>
      <c r="J38" s="1">
        <f t="shared" si="2"/>
        <v>2</v>
      </c>
      <c r="K38" s="5">
        <f t="shared" si="8"/>
        <v>34</v>
      </c>
      <c r="L38" s="19">
        <f>控制台!$E$2721</f>
        <v>180</v>
      </c>
      <c r="M38" s="1">
        <f t="shared" si="3"/>
        <v>180</v>
      </c>
      <c r="N38" s="5">
        <f t="shared" si="9"/>
        <v>3060</v>
      </c>
      <c r="O38" s="19">
        <f>控制台!$E$2725</f>
        <v>90</v>
      </c>
      <c r="P38" s="1">
        <f t="shared" si="4"/>
        <v>90</v>
      </c>
      <c r="Q38" s="5">
        <f t="shared" si="10"/>
        <v>1530</v>
      </c>
    </row>
    <row r="39" spans="1:17">
      <c r="A39" s="10">
        <v>18</v>
      </c>
      <c r="B39" s="1">
        <f t="shared" si="5"/>
        <v>1</v>
      </c>
      <c r="C39" s="1">
        <f>控制台!$E$2709</f>
        <v>1200000</v>
      </c>
      <c r="D39" s="1">
        <f t="shared" si="0"/>
        <v>1200000</v>
      </c>
      <c r="E39" s="5">
        <f t="shared" si="6"/>
        <v>21600000</v>
      </c>
      <c r="F39" s="1">
        <f>控制台!$E$2713</f>
        <v>460.8</v>
      </c>
      <c r="G39" s="1">
        <f t="shared" si="1"/>
        <v>460.8</v>
      </c>
      <c r="H39" s="5">
        <f t="shared" si="7"/>
        <v>8294.4</v>
      </c>
      <c r="I39" s="18">
        <f>控制台!$E$2717</f>
        <v>2</v>
      </c>
      <c r="J39" s="1">
        <f t="shared" si="2"/>
        <v>2</v>
      </c>
      <c r="K39" s="5">
        <f t="shared" si="8"/>
        <v>36</v>
      </c>
      <c r="L39" s="19">
        <f>控制台!$E$2721</f>
        <v>180</v>
      </c>
      <c r="M39" s="1">
        <f t="shared" si="3"/>
        <v>180</v>
      </c>
      <c r="N39" s="5">
        <f t="shared" si="9"/>
        <v>3240</v>
      </c>
      <c r="O39" s="19">
        <f>控制台!$E$2725</f>
        <v>90</v>
      </c>
      <c r="P39" s="1">
        <f t="shared" si="4"/>
        <v>90</v>
      </c>
      <c r="Q39" s="5">
        <f t="shared" si="10"/>
        <v>1620</v>
      </c>
    </row>
    <row r="40" spans="1:17">
      <c r="A40" s="10">
        <v>19</v>
      </c>
      <c r="B40" s="1">
        <f t="shared" si="5"/>
        <v>1</v>
      </c>
      <c r="C40" s="1">
        <f>控制台!$E$2709</f>
        <v>1200000</v>
      </c>
      <c r="D40" s="1">
        <f t="shared" si="0"/>
        <v>1200000</v>
      </c>
      <c r="E40" s="5">
        <f t="shared" si="6"/>
        <v>22800000</v>
      </c>
      <c r="F40" s="1">
        <f>控制台!$E$2713</f>
        <v>460.8</v>
      </c>
      <c r="G40" s="1">
        <f t="shared" si="1"/>
        <v>460.8</v>
      </c>
      <c r="H40" s="5">
        <f t="shared" si="7"/>
        <v>8755.2</v>
      </c>
      <c r="I40" s="18">
        <f>控制台!$E$2717</f>
        <v>2</v>
      </c>
      <c r="J40" s="1">
        <f t="shared" si="2"/>
        <v>2</v>
      </c>
      <c r="K40" s="5">
        <f t="shared" si="8"/>
        <v>38</v>
      </c>
      <c r="L40" s="19">
        <f>控制台!$E$2721</f>
        <v>180</v>
      </c>
      <c r="M40" s="1">
        <f t="shared" si="3"/>
        <v>180</v>
      </c>
      <c r="N40" s="5">
        <f t="shared" si="9"/>
        <v>3420</v>
      </c>
      <c r="O40" s="19">
        <f>控制台!$E$2725</f>
        <v>90</v>
      </c>
      <c r="P40" s="1">
        <f t="shared" si="4"/>
        <v>90</v>
      </c>
      <c r="Q40" s="5">
        <f t="shared" si="10"/>
        <v>1710</v>
      </c>
    </row>
    <row r="41" spans="1:17">
      <c r="A41" s="10">
        <v>20</v>
      </c>
      <c r="B41" s="1">
        <f t="shared" si="5"/>
        <v>1</v>
      </c>
      <c r="C41" s="1">
        <f>控制台!$E$2709</f>
        <v>1200000</v>
      </c>
      <c r="D41" s="1">
        <f t="shared" si="0"/>
        <v>1200000</v>
      </c>
      <c r="E41" s="5">
        <f t="shared" si="6"/>
        <v>24000000</v>
      </c>
      <c r="F41" s="1">
        <f>控制台!$E$2713</f>
        <v>460.8</v>
      </c>
      <c r="G41" s="1">
        <f t="shared" si="1"/>
        <v>460.8</v>
      </c>
      <c r="H41" s="5">
        <f t="shared" si="7"/>
        <v>9216</v>
      </c>
      <c r="I41" s="18">
        <f>控制台!$E$2717</f>
        <v>2</v>
      </c>
      <c r="J41" s="1">
        <f t="shared" si="2"/>
        <v>2</v>
      </c>
      <c r="K41" s="5">
        <f t="shared" si="8"/>
        <v>40</v>
      </c>
      <c r="L41" s="19">
        <f>控制台!$E$2721</f>
        <v>180</v>
      </c>
      <c r="M41" s="1">
        <f t="shared" si="3"/>
        <v>180</v>
      </c>
      <c r="N41" s="5">
        <f t="shared" si="9"/>
        <v>3600</v>
      </c>
      <c r="O41" s="19">
        <f>控制台!$E$2725</f>
        <v>90</v>
      </c>
      <c r="P41" s="1">
        <f t="shared" si="4"/>
        <v>90</v>
      </c>
      <c r="Q41" s="5">
        <f t="shared" si="10"/>
        <v>1800</v>
      </c>
    </row>
    <row r="42" spans="1:17">
      <c r="A42" s="10">
        <v>21</v>
      </c>
      <c r="B42" s="1">
        <f t="shared" si="5"/>
        <v>1</v>
      </c>
      <c r="C42" s="1">
        <f>控制台!$E$2709</f>
        <v>1200000</v>
      </c>
      <c r="D42" s="1">
        <f t="shared" si="0"/>
        <v>1200000</v>
      </c>
      <c r="E42" s="5">
        <f t="shared" si="6"/>
        <v>25200000</v>
      </c>
      <c r="F42" s="1">
        <f>控制台!$E$2713</f>
        <v>460.8</v>
      </c>
      <c r="G42" s="1">
        <f t="shared" si="1"/>
        <v>460.8</v>
      </c>
      <c r="H42" s="5">
        <f t="shared" si="7"/>
        <v>9676.8</v>
      </c>
      <c r="I42" s="18">
        <f>控制台!$E$2717</f>
        <v>2</v>
      </c>
      <c r="J42" s="1">
        <f t="shared" si="2"/>
        <v>2</v>
      </c>
      <c r="K42" s="5">
        <f t="shared" si="8"/>
        <v>42</v>
      </c>
      <c r="L42" s="19">
        <f>控制台!$E$2721</f>
        <v>180</v>
      </c>
      <c r="M42" s="1">
        <f t="shared" si="3"/>
        <v>180</v>
      </c>
      <c r="N42" s="5">
        <f t="shared" si="9"/>
        <v>3780</v>
      </c>
      <c r="O42" s="19">
        <f>控制台!$E$2725</f>
        <v>90</v>
      </c>
      <c r="P42" s="1">
        <f t="shared" si="4"/>
        <v>90</v>
      </c>
      <c r="Q42" s="5">
        <f t="shared" si="10"/>
        <v>1890</v>
      </c>
    </row>
    <row r="43" spans="1:17">
      <c r="A43" s="10">
        <v>22</v>
      </c>
      <c r="B43" s="1">
        <f t="shared" si="5"/>
        <v>1</v>
      </c>
      <c r="C43" s="1">
        <f>控制台!$E$2709</f>
        <v>1200000</v>
      </c>
      <c r="D43" s="1">
        <f t="shared" si="0"/>
        <v>1200000</v>
      </c>
      <c r="E43" s="5">
        <f t="shared" si="6"/>
        <v>26400000</v>
      </c>
      <c r="F43" s="1">
        <f>控制台!$E$2713</f>
        <v>460.8</v>
      </c>
      <c r="G43" s="1">
        <f t="shared" si="1"/>
        <v>460.8</v>
      </c>
      <c r="H43" s="5">
        <f t="shared" si="7"/>
        <v>10137.6</v>
      </c>
      <c r="I43" s="18">
        <f>控制台!$E$2717</f>
        <v>2</v>
      </c>
      <c r="J43" s="1">
        <f t="shared" si="2"/>
        <v>2</v>
      </c>
      <c r="K43" s="5">
        <f t="shared" si="8"/>
        <v>44</v>
      </c>
      <c r="L43" s="19">
        <f>控制台!$E$2721</f>
        <v>180</v>
      </c>
      <c r="M43" s="1">
        <f t="shared" si="3"/>
        <v>180</v>
      </c>
      <c r="N43" s="5">
        <f t="shared" si="9"/>
        <v>3960</v>
      </c>
      <c r="O43" s="19">
        <f>控制台!$E$2725</f>
        <v>90</v>
      </c>
      <c r="P43" s="1">
        <f t="shared" si="4"/>
        <v>90</v>
      </c>
      <c r="Q43" s="5">
        <f t="shared" si="10"/>
        <v>1980</v>
      </c>
    </row>
    <row r="44" spans="1:17">
      <c r="A44" s="10">
        <v>23</v>
      </c>
      <c r="B44" s="1">
        <f t="shared" si="5"/>
        <v>1</v>
      </c>
      <c r="C44" s="1">
        <f>控制台!$E$2709</f>
        <v>1200000</v>
      </c>
      <c r="D44" s="1">
        <f t="shared" si="0"/>
        <v>1200000</v>
      </c>
      <c r="E44" s="5">
        <f t="shared" si="6"/>
        <v>27600000</v>
      </c>
      <c r="F44" s="1">
        <f>控制台!$E$2713</f>
        <v>460.8</v>
      </c>
      <c r="G44" s="1">
        <f t="shared" si="1"/>
        <v>460.8</v>
      </c>
      <c r="H44" s="5">
        <f t="shared" si="7"/>
        <v>10598.4</v>
      </c>
      <c r="I44" s="18">
        <f>控制台!$E$2717</f>
        <v>2</v>
      </c>
      <c r="J44" s="1">
        <f t="shared" si="2"/>
        <v>2</v>
      </c>
      <c r="K44" s="5">
        <f t="shared" si="8"/>
        <v>46</v>
      </c>
      <c r="L44" s="19">
        <f>控制台!$E$2721</f>
        <v>180</v>
      </c>
      <c r="M44" s="1">
        <f t="shared" si="3"/>
        <v>180</v>
      </c>
      <c r="N44" s="5">
        <f t="shared" si="9"/>
        <v>4140</v>
      </c>
      <c r="O44" s="19">
        <f>控制台!$E$2725</f>
        <v>90</v>
      </c>
      <c r="P44" s="1">
        <f t="shared" si="4"/>
        <v>90</v>
      </c>
      <c r="Q44" s="5">
        <f t="shared" si="10"/>
        <v>2070</v>
      </c>
    </row>
    <row r="45" spans="1:17">
      <c r="A45" s="10">
        <v>24</v>
      </c>
      <c r="B45" s="1">
        <f t="shared" si="5"/>
        <v>1</v>
      </c>
      <c r="C45" s="1">
        <f>控制台!$E$2709</f>
        <v>1200000</v>
      </c>
      <c r="D45" s="1">
        <f t="shared" si="0"/>
        <v>1200000</v>
      </c>
      <c r="E45" s="5">
        <f t="shared" si="6"/>
        <v>28800000</v>
      </c>
      <c r="F45" s="1">
        <f>控制台!$E$2713</f>
        <v>460.8</v>
      </c>
      <c r="G45" s="1">
        <f t="shared" si="1"/>
        <v>460.8</v>
      </c>
      <c r="H45" s="5">
        <f t="shared" si="7"/>
        <v>11059.2</v>
      </c>
      <c r="I45" s="18">
        <f>控制台!$E$2717</f>
        <v>2</v>
      </c>
      <c r="J45" s="1">
        <f t="shared" si="2"/>
        <v>2</v>
      </c>
      <c r="K45" s="5">
        <f t="shared" si="8"/>
        <v>48</v>
      </c>
      <c r="L45" s="19">
        <f>控制台!$E$2721</f>
        <v>180</v>
      </c>
      <c r="M45" s="1">
        <f t="shared" si="3"/>
        <v>180</v>
      </c>
      <c r="N45" s="5">
        <f t="shared" si="9"/>
        <v>4320</v>
      </c>
      <c r="O45" s="19">
        <f>控制台!$E$2725</f>
        <v>90</v>
      </c>
      <c r="P45" s="1">
        <f t="shared" si="4"/>
        <v>90</v>
      </c>
      <c r="Q45" s="5">
        <f t="shared" si="10"/>
        <v>2160</v>
      </c>
    </row>
    <row r="46" spans="1:17">
      <c r="A46" s="10">
        <v>25</v>
      </c>
      <c r="B46" s="1">
        <f t="shared" si="5"/>
        <v>1</v>
      </c>
      <c r="C46" s="1">
        <f>控制台!$E$2709</f>
        <v>1200000</v>
      </c>
      <c r="D46" s="1">
        <f t="shared" si="0"/>
        <v>1200000</v>
      </c>
      <c r="E46" s="5">
        <f t="shared" si="6"/>
        <v>30000000</v>
      </c>
      <c r="F46" s="1">
        <f>控制台!$E$2713</f>
        <v>460.8</v>
      </c>
      <c r="G46" s="1">
        <f t="shared" si="1"/>
        <v>460.8</v>
      </c>
      <c r="H46" s="5">
        <f t="shared" si="7"/>
        <v>11520</v>
      </c>
      <c r="I46" s="18">
        <f>控制台!$E$2717</f>
        <v>2</v>
      </c>
      <c r="J46" s="1">
        <f t="shared" si="2"/>
        <v>2</v>
      </c>
      <c r="K46" s="5">
        <f t="shared" si="8"/>
        <v>50</v>
      </c>
      <c r="L46" s="19">
        <f>控制台!$E$2721</f>
        <v>180</v>
      </c>
      <c r="M46" s="1">
        <f t="shared" si="3"/>
        <v>180</v>
      </c>
      <c r="N46" s="5">
        <f t="shared" si="9"/>
        <v>4500</v>
      </c>
      <c r="O46" s="19">
        <f>控制台!$E$2725</f>
        <v>90</v>
      </c>
      <c r="P46" s="1">
        <f t="shared" si="4"/>
        <v>90</v>
      </c>
      <c r="Q46" s="5">
        <f t="shared" si="10"/>
        <v>2250</v>
      </c>
    </row>
    <row r="47" spans="1:17">
      <c r="A47" s="10">
        <v>26</v>
      </c>
      <c r="B47" s="1">
        <f t="shared" si="5"/>
        <v>1</v>
      </c>
      <c r="C47" s="1">
        <f>控制台!$E$2709</f>
        <v>1200000</v>
      </c>
      <c r="D47" s="1">
        <f t="shared" si="0"/>
        <v>1200000</v>
      </c>
      <c r="E47" s="5">
        <f t="shared" si="6"/>
        <v>31200000</v>
      </c>
      <c r="F47" s="1">
        <f>控制台!$E$2713</f>
        <v>460.8</v>
      </c>
      <c r="G47" s="1">
        <f t="shared" si="1"/>
        <v>460.8</v>
      </c>
      <c r="H47" s="5">
        <f t="shared" si="7"/>
        <v>11980.8</v>
      </c>
      <c r="I47" s="18">
        <f>控制台!$E$2717</f>
        <v>2</v>
      </c>
      <c r="J47" s="1">
        <f t="shared" si="2"/>
        <v>2</v>
      </c>
      <c r="K47" s="5">
        <f t="shared" si="8"/>
        <v>52</v>
      </c>
      <c r="L47" s="19">
        <f>控制台!$E$2721</f>
        <v>180</v>
      </c>
      <c r="M47" s="1">
        <f t="shared" si="3"/>
        <v>180</v>
      </c>
      <c r="N47" s="5">
        <f t="shared" si="9"/>
        <v>4680</v>
      </c>
      <c r="O47" s="19">
        <f>控制台!$E$2725</f>
        <v>90</v>
      </c>
      <c r="P47" s="1">
        <f t="shared" si="4"/>
        <v>90</v>
      </c>
      <c r="Q47" s="5">
        <f t="shared" si="10"/>
        <v>2340</v>
      </c>
    </row>
    <row r="48" spans="1:17">
      <c r="A48" s="10">
        <v>27</v>
      </c>
      <c r="B48" s="1">
        <f t="shared" si="5"/>
        <v>1</v>
      </c>
      <c r="C48" s="1">
        <f>控制台!$E$2709</f>
        <v>1200000</v>
      </c>
      <c r="D48" s="1">
        <f t="shared" si="0"/>
        <v>1200000</v>
      </c>
      <c r="E48" s="5">
        <f t="shared" si="6"/>
        <v>32400000</v>
      </c>
      <c r="F48" s="1">
        <f>控制台!$E$2713</f>
        <v>460.8</v>
      </c>
      <c r="G48" s="1">
        <f t="shared" si="1"/>
        <v>460.8</v>
      </c>
      <c r="H48" s="5">
        <f t="shared" si="7"/>
        <v>12441.6</v>
      </c>
      <c r="I48" s="18">
        <f>控制台!$E$2717</f>
        <v>2</v>
      </c>
      <c r="J48" s="1">
        <f t="shared" si="2"/>
        <v>2</v>
      </c>
      <c r="K48" s="5">
        <f t="shared" si="8"/>
        <v>54</v>
      </c>
      <c r="L48" s="19">
        <f>控制台!$E$2721</f>
        <v>180</v>
      </c>
      <c r="M48" s="1">
        <f t="shared" si="3"/>
        <v>180</v>
      </c>
      <c r="N48" s="5">
        <f t="shared" si="9"/>
        <v>4860</v>
      </c>
      <c r="O48" s="19">
        <f>控制台!$E$2725</f>
        <v>90</v>
      </c>
      <c r="P48" s="1">
        <f t="shared" si="4"/>
        <v>90</v>
      </c>
      <c r="Q48" s="5">
        <f t="shared" si="10"/>
        <v>2430</v>
      </c>
    </row>
    <row r="49" spans="1:17">
      <c r="A49" s="10">
        <v>28</v>
      </c>
      <c r="B49" s="1">
        <f t="shared" si="5"/>
        <v>1</v>
      </c>
      <c r="C49" s="1">
        <f>控制台!$E$2709</f>
        <v>1200000</v>
      </c>
      <c r="D49" s="1">
        <f t="shared" si="0"/>
        <v>1200000</v>
      </c>
      <c r="E49" s="5">
        <f t="shared" si="6"/>
        <v>33600000</v>
      </c>
      <c r="F49" s="1">
        <f>控制台!$E$2713</f>
        <v>460.8</v>
      </c>
      <c r="G49" s="1">
        <f t="shared" si="1"/>
        <v>460.8</v>
      </c>
      <c r="H49" s="5">
        <f t="shared" si="7"/>
        <v>12902.4</v>
      </c>
      <c r="I49" s="18">
        <f>控制台!$E$2717</f>
        <v>2</v>
      </c>
      <c r="J49" s="1">
        <f t="shared" si="2"/>
        <v>2</v>
      </c>
      <c r="K49" s="5">
        <f t="shared" si="8"/>
        <v>56</v>
      </c>
      <c r="L49" s="19">
        <f>控制台!$E$2721</f>
        <v>180</v>
      </c>
      <c r="M49" s="1">
        <f t="shared" si="3"/>
        <v>180</v>
      </c>
      <c r="N49" s="5">
        <f t="shared" si="9"/>
        <v>5040</v>
      </c>
      <c r="O49" s="19">
        <f>控制台!$E$2725</f>
        <v>90</v>
      </c>
      <c r="P49" s="1">
        <f t="shared" si="4"/>
        <v>90</v>
      </c>
      <c r="Q49" s="5">
        <f t="shared" si="10"/>
        <v>2520</v>
      </c>
    </row>
    <row r="50" spans="1:17">
      <c r="A50" s="10">
        <v>29</v>
      </c>
      <c r="B50" s="1">
        <f t="shared" si="5"/>
        <v>1</v>
      </c>
      <c r="C50" s="1">
        <f>控制台!$E$2709</f>
        <v>1200000</v>
      </c>
      <c r="D50" s="1">
        <f t="shared" si="0"/>
        <v>1200000</v>
      </c>
      <c r="E50" s="5">
        <f t="shared" si="6"/>
        <v>34800000</v>
      </c>
      <c r="F50" s="1">
        <f>控制台!$E$2713</f>
        <v>460.8</v>
      </c>
      <c r="G50" s="1">
        <f t="shared" si="1"/>
        <v>460.8</v>
      </c>
      <c r="H50" s="5">
        <f t="shared" si="7"/>
        <v>13363.2</v>
      </c>
      <c r="I50" s="18">
        <f>控制台!$E$2717</f>
        <v>2</v>
      </c>
      <c r="J50" s="1">
        <f t="shared" si="2"/>
        <v>2</v>
      </c>
      <c r="K50" s="5">
        <f t="shared" si="8"/>
        <v>58</v>
      </c>
      <c r="L50" s="19">
        <f>控制台!$E$2721</f>
        <v>180</v>
      </c>
      <c r="M50" s="1">
        <f t="shared" si="3"/>
        <v>180</v>
      </c>
      <c r="N50" s="5">
        <f t="shared" si="9"/>
        <v>5220</v>
      </c>
      <c r="O50" s="19">
        <f>控制台!$E$2725</f>
        <v>90</v>
      </c>
      <c r="P50" s="1">
        <f t="shared" si="4"/>
        <v>90</v>
      </c>
      <c r="Q50" s="5">
        <f t="shared" si="10"/>
        <v>2610</v>
      </c>
    </row>
    <row r="51" spans="1:17">
      <c r="A51" s="10">
        <v>30</v>
      </c>
      <c r="B51" s="1">
        <f t="shared" si="5"/>
        <v>1</v>
      </c>
      <c r="C51" s="1">
        <f>控制台!$E$2709</f>
        <v>1200000</v>
      </c>
      <c r="D51" s="1">
        <f t="shared" si="0"/>
        <v>1200000</v>
      </c>
      <c r="E51" s="5">
        <f t="shared" si="6"/>
        <v>36000000</v>
      </c>
      <c r="F51" s="1">
        <f>控制台!$E$2713</f>
        <v>460.8</v>
      </c>
      <c r="G51" s="1">
        <f t="shared" si="1"/>
        <v>460.8</v>
      </c>
      <c r="H51" s="5">
        <f t="shared" si="7"/>
        <v>13824</v>
      </c>
      <c r="I51" s="18">
        <f>控制台!$E$2717</f>
        <v>2</v>
      </c>
      <c r="J51" s="1">
        <f t="shared" si="2"/>
        <v>2</v>
      </c>
      <c r="K51" s="5">
        <f t="shared" si="8"/>
        <v>60</v>
      </c>
      <c r="L51" s="19">
        <f>控制台!$E$2721</f>
        <v>180</v>
      </c>
      <c r="M51" s="1">
        <f t="shared" si="3"/>
        <v>180</v>
      </c>
      <c r="N51" s="5">
        <f t="shared" si="9"/>
        <v>5400</v>
      </c>
      <c r="O51" s="19">
        <f>控制台!$E$2725</f>
        <v>90</v>
      </c>
      <c r="P51" s="1">
        <f t="shared" si="4"/>
        <v>90</v>
      </c>
      <c r="Q51" s="5">
        <f t="shared" si="10"/>
        <v>2700</v>
      </c>
    </row>
    <row r="52" spans="1:17">
      <c r="A52" s="11">
        <v>35</v>
      </c>
      <c r="B52" s="1">
        <f t="shared" si="5"/>
        <v>5</v>
      </c>
      <c r="C52" s="1">
        <f>控制台!$E$2709</f>
        <v>1200000</v>
      </c>
      <c r="D52" s="1">
        <f t="shared" si="0"/>
        <v>6000000</v>
      </c>
      <c r="E52" s="5">
        <f t="shared" si="6"/>
        <v>42000000</v>
      </c>
      <c r="F52" s="1">
        <f>控制台!$E$2713</f>
        <v>460.8</v>
      </c>
      <c r="G52" s="1">
        <f t="shared" si="1"/>
        <v>2304</v>
      </c>
      <c r="H52" s="5">
        <f t="shared" si="7"/>
        <v>16128</v>
      </c>
      <c r="I52" s="18">
        <f>控制台!$E$2717</f>
        <v>2</v>
      </c>
      <c r="J52" s="1">
        <f t="shared" si="2"/>
        <v>10</v>
      </c>
      <c r="K52" s="5">
        <f t="shared" si="8"/>
        <v>70</v>
      </c>
      <c r="L52" s="19">
        <f>控制台!$E$2721</f>
        <v>180</v>
      </c>
      <c r="M52" s="1">
        <f t="shared" si="3"/>
        <v>900</v>
      </c>
      <c r="N52" s="5">
        <f t="shared" si="9"/>
        <v>6300</v>
      </c>
      <c r="O52" s="19">
        <f>控制台!$E$2725</f>
        <v>90</v>
      </c>
      <c r="P52" s="1">
        <f t="shared" si="4"/>
        <v>450</v>
      </c>
      <c r="Q52" s="5">
        <f t="shared" si="10"/>
        <v>3150</v>
      </c>
    </row>
    <row r="53" spans="1:17">
      <c r="A53" s="11">
        <v>40</v>
      </c>
      <c r="B53" s="1">
        <f t="shared" si="5"/>
        <v>5</v>
      </c>
      <c r="C53" s="1">
        <f>控制台!$E$2709</f>
        <v>1200000</v>
      </c>
      <c r="D53" s="1">
        <f t="shared" si="0"/>
        <v>6000000</v>
      </c>
      <c r="E53" s="5">
        <f t="shared" si="6"/>
        <v>48000000</v>
      </c>
      <c r="F53" s="1">
        <f>控制台!$E$2713</f>
        <v>460.8</v>
      </c>
      <c r="G53" s="1">
        <f t="shared" si="1"/>
        <v>2304</v>
      </c>
      <c r="H53" s="5">
        <f t="shared" si="7"/>
        <v>18432</v>
      </c>
      <c r="I53" s="18">
        <f>控制台!$E$2717</f>
        <v>2</v>
      </c>
      <c r="J53" s="1">
        <f t="shared" si="2"/>
        <v>10</v>
      </c>
      <c r="K53" s="5">
        <f t="shared" si="8"/>
        <v>80</v>
      </c>
      <c r="L53" s="19">
        <f>控制台!$E$2721</f>
        <v>180</v>
      </c>
      <c r="M53" s="1">
        <f t="shared" si="3"/>
        <v>900</v>
      </c>
      <c r="N53" s="5">
        <f t="shared" si="9"/>
        <v>7200</v>
      </c>
      <c r="O53" s="19">
        <f>控制台!$E$2725</f>
        <v>90</v>
      </c>
      <c r="P53" s="1">
        <f t="shared" si="4"/>
        <v>450</v>
      </c>
      <c r="Q53" s="5">
        <f t="shared" si="10"/>
        <v>3600</v>
      </c>
    </row>
    <row r="54" spans="1:17">
      <c r="A54" s="11">
        <v>45</v>
      </c>
      <c r="B54" s="1">
        <f t="shared" si="5"/>
        <v>5</v>
      </c>
      <c r="C54" s="1">
        <f>控制台!$E$2709</f>
        <v>1200000</v>
      </c>
      <c r="D54" s="1">
        <f t="shared" si="0"/>
        <v>6000000</v>
      </c>
      <c r="E54" s="5">
        <f t="shared" si="6"/>
        <v>54000000</v>
      </c>
      <c r="F54" s="1">
        <f>控制台!$E$2713</f>
        <v>460.8</v>
      </c>
      <c r="G54" s="1">
        <f t="shared" si="1"/>
        <v>2304</v>
      </c>
      <c r="H54" s="5">
        <f t="shared" si="7"/>
        <v>20736</v>
      </c>
      <c r="I54" s="18">
        <f>控制台!$E$2717</f>
        <v>2</v>
      </c>
      <c r="J54" s="1">
        <f t="shared" si="2"/>
        <v>10</v>
      </c>
      <c r="K54" s="5">
        <f t="shared" si="8"/>
        <v>90</v>
      </c>
      <c r="L54" s="19">
        <f>控制台!$E$2721</f>
        <v>180</v>
      </c>
      <c r="M54" s="1">
        <f t="shared" si="3"/>
        <v>900</v>
      </c>
      <c r="N54" s="5">
        <f t="shared" si="9"/>
        <v>8100</v>
      </c>
      <c r="O54" s="19">
        <f>控制台!$E$2725</f>
        <v>90</v>
      </c>
      <c r="P54" s="1">
        <f t="shared" si="4"/>
        <v>450</v>
      </c>
      <c r="Q54" s="5">
        <f t="shared" si="10"/>
        <v>4050</v>
      </c>
    </row>
    <row r="55" spans="1:17">
      <c r="A55" s="11">
        <v>50</v>
      </c>
      <c r="B55" s="1">
        <f t="shared" si="5"/>
        <v>5</v>
      </c>
      <c r="C55" s="1">
        <f>控制台!$E$2709</f>
        <v>1200000</v>
      </c>
      <c r="D55" s="1">
        <f t="shared" si="0"/>
        <v>6000000</v>
      </c>
      <c r="E55" s="5">
        <f t="shared" si="6"/>
        <v>60000000</v>
      </c>
      <c r="F55" s="1">
        <f>控制台!$E$2713</f>
        <v>460.8</v>
      </c>
      <c r="G55" s="1">
        <f t="shared" si="1"/>
        <v>2304</v>
      </c>
      <c r="H55" s="5">
        <f t="shared" si="7"/>
        <v>23040</v>
      </c>
      <c r="I55" s="18">
        <f>控制台!$E$2717</f>
        <v>2</v>
      </c>
      <c r="J55" s="1">
        <f t="shared" si="2"/>
        <v>10</v>
      </c>
      <c r="K55" s="5">
        <f t="shared" si="8"/>
        <v>100</v>
      </c>
      <c r="L55" s="19">
        <f>控制台!$E$2721</f>
        <v>180</v>
      </c>
      <c r="M55" s="1">
        <f t="shared" si="3"/>
        <v>900</v>
      </c>
      <c r="N55" s="5">
        <f t="shared" si="9"/>
        <v>9000</v>
      </c>
      <c r="O55" s="19">
        <f>控制台!$E$2725</f>
        <v>90</v>
      </c>
      <c r="P55" s="1">
        <f t="shared" si="4"/>
        <v>450</v>
      </c>
      <c r="Q55" s="5">
        <f t="shared" si="10"/>
        <v>4500</v>
      </c>
    </row>
    <row r="56" spans="1:17">
      <c r="A56" s="11">
        <v>55</v>
      </c>
      <c r="B56" s="1">
        <f t="shared" si="5"/>
        <v>5</v>
      </c>
      <c r="C56" s="1">
        <f>控制台!$E$2709</f>
        <v>1200000</v>
      </c>
      <c r="D56" s="1">
        <f t="shared" si="0"/>
        <v>6000000</v>
      </c>
      <c r="E56" s="5">
        <f t="shared" si="6"/>
        <v>66000000</v>
      </c>
      <c r="F56" s="1">
        <f>控制台!$E$2713</f>
        <v>460.8</v>
      </c>
      <c r="G56" s="1">
        <f t="shared" si="1"/>
        <v>2304</v>
      </c>
      <c r="H56" s="5">
        <f t="shared" si="7"/>
        <v>25344</v>
      </c>
      <c r="I56" s="18">
        <f>控制台!$E$2717</f>
        <v>2</v>
      </c>
      <c r="J56" s="1">
        <f t="shared" si="2"/>
        <v>10</v>
      </c>
      <c r="K56" s="5">
        <f t="shared" si="8"/>
        <v>110</v>
      </c>
      <c r="L56" s="19">
        <f>控制台!$E$2721</f>
        <v>180</v>
      </c>
      <c r="M56" s="1">
        <f t="shared" si="3"/>
        <v>900</v>
      </c>
      <c r="N56" s="5">
        <f t="shared" si="9"/>
        <v>9900</v>
      </c>
      <c r="O56" s="19">
        <f>控制台!$E$2725</f>
        <v>90</v>
      </c>
      <c r="P56" s="1">
        <f t="shared" si="4"/>
        <v>450</v>
      </c>
      <c r="Q56" s="5">
        <f t="shared" si="10"/>
        <v>4950</v>
      </c>
    </row>
    <row r="57" spans="1:17">
      <c r="A57" s="11">
        <v>60</v>
      </c>
      <c r="B57" s="1">
        <f t="shared" si="5"/>
        <v>5</v>
      </c>
      <c r="C57" s="1">
        <f>控制台!$E$2709</f>
        <v>1200000</v>
      </c>
      <c r="D57" s="1">
        <f t="shared" si="0"/>
        <v>6000000</v>
      </c>
      <c r="E57" s="5">
        <f t="shared" si="6"/>
        <v>72000000</v>
      </c>
      <c r="F57" s="1">
        <f>控制台!$E$2713</f>
        <v>460.8</v>
      </c>
      <c r="G57" s="1">
        <f t="shared" si="1"/>
        <v>2304</v>
      </c>
      <c r="H57" s="5">
        <f t="shared" si="7"/>
        <v>27648</v>
      </c>
      <c r="I57" s="18">
        <f>控制台!$E$2717</f>
        <v>2</v>
      </c>
      <c r="J57" s="1">
        <f t="shared" si="2"/>
        <v>10</v>
      </c>
      <c r="K57" s="5">
        <f t="shared" si="8"/>
        <v>120</v>
      </c>
      <c r="L57" s="19">
        <f>控制台!$E$2721</f>
        <v>180</v>
      </c>
      <c r="M57" s="1">
        <f t="shared" si="3"/>
        <v>900</v>
      </c>
      <c r="N57" s="5">
        <f t="shared" si="9"/>
        <v>10800</v>
      </c>
      <c r="O57" s="19">
        <f>控制台!$E$2725</f>
        <v>90</v>
      </c>
      <c r="P57" s="1">
        <f t="shared" si="4"/>
        <v>450</v>
      </c>
      <c r="Q57" s="5">
        <f t="shared" si="10"/>
        <v>5400</v>
      </c>
    </row>
    <row r="58" spans="1:17">
      <c r="A58" s="11">
        <v>65</v>
      </c>
      <c r="B58" s="1">
        <f t="shared" si="5"/>
        <v>5</v>
      </c>
      <c r="C58" s="1">
        <f>控制台!$E$2709</f>
        <v>1200000</v>
      </c>
      <c r="D58" s="1">
        <f t="shared" si="0"/>
        <v>6000000</v>
      </c>
      <c r="E58" s="5">
        <f t="shared" si="6"/>
        <v>78000000</v>
      </c>
      <c r="F58" s="1">
        <f>控制台!$E$2713</f>
        <v>460.8</v>
      </c>
      <c r="G58" s="1">
        <f t="shared" si="1"/>
        <v>2304</v>
      </c>
      <c r="H58" s="5">
        <f t="shared" si="7"/>
        <v>29952</v>
      </c>
      <c r="I58" s="18">
        <f>控制台!$E$2717</f>
        <v>2</v>
      </c>
      <c r="J58" s="1">
        <f t="shared" si="2"/>
        <v>10</v>
      </c>
      <c r="K58" s="5">
        <f t="shared" si="8"/>
        <v>130</v>
      </c>
      <c r="L58" s="19">
        <f>控制台!$E$2721</f>
        <v>180</v>
      </c>
      <c r="M58" s="1">
        <f t="shared" si="3"/>
        <v>900</v>
      </c>
      <c r="N58" s="5">
        <f t="shared" si="9"/>
        <v>11700</v>
      </c>
      <c r="O58" s="19">
        <f>控制台!$E$2725</f>
        <v>90</v>
      </c>
      <c r="P58" s="1">
        <f t="shared" si="4"/>
        <v>450</v>
      </c>
      <c r="Q58" s="5">
        <f t="shared" si="10"/>
        <v>5850</v>
      </c>
    </row>
    <row r="59" spans="1:17">
      <c r="A59" s="11">
        <v>70</v>
      </c>
      <c r="B59" s="1">
        <f t="shared" si="5"/>
        <v>5</v>
      </c>
      <c r="C59" s="1">
        <f>控制台!$E$2709</f>
        <v>1200000</v>
      </c>
      <c r="D59" s="1">
        <f t="shared" si="0"/>
        <v>6000000</v>
      </c>
      <c r="E59" s="5">
        <f t="shared" si="6"/>
        <v>84000000</v>
      </c>
      <c r="F59" s="1">
        <f>控制台!$E$2713</f>
        <v>460.8</v>
      </c>
      <c r="G59" s="1">
        <f t="shared" si="1"/>
        <v>2304</v>
      </c>
      <c r="H59" s="5">
        <f t="shared" si="7"/>
        <v>32256</v>
      </c>
      <c r="I59" s="18">
        <f>控制台!$E$2717</f>
        <v>2</v>
      </c>
      <c r="J59" s="1">
        <f t="shared" si="2"/>
        <v>10</v>
      </c>
      <c r="K59" s="5">
        <f t="shared" si="8"/>
        <v>140</v>
      </c>
      <c r="L59" s="19">
        <f>控制台!$E$2721</f>
        <v>180</v>
      </c>
      <c r="M59" s="1">
        <f t="shared" si="3"/>
        <v>900</v>
      </c>
      <c r="N59" s="5">
        <f t="shared" si="9"/>
        <v>12600</v>
      </c>
      <c r="O59" s="19">
        <f>控制台!$E$2725</f>
        <v>90</v>
      </c>
      <c r="P59" s="1">
        <f t="shared" si="4"/>
        <v>450</v>
      </c>
      <c r="Q59" s="5">
        <f t="shared" si="10"/>
        <v>6300</v>
      </c>
    </row>
    <row r="60" spans="1:17">
      <c r="A60" s="11">
        <v>75</v>
      </c>
      <c r="B60" s="1">
        <f t="shared" si="5"/>
        <v>5</v>
      </c>
      <c r="C60" s="1">
        <f>控制台!$E$2709</f>
        <v>1200000</v>
      </c>
      <c r="D60" s="1">
        <f t="shared" si="0"/>
        <v>6000000</v>
      </c>
      <c r="E60" s="5">
        <f t="shared" si="6"/>
        <v>90000000</v>
      </c>
      <c r="F60" s="1">
        <f>控制台!$E$2713</f>
        <v>460.8</v>
      </c>
      <c r="G60" s="1">
        <f t="shared" si="1"/>
        <v>2304</v>
      </c>
      <c r="H60" s="5">
        <f t="shared" si="7"/>
        <v>34560</v>
      </c>
      <c r="I60" s="18">
        <f>控制台!$E$2717</f>
        <v>2</v>
      </c>
      <c r="J60" s="1">
        <f t="shared" si="2"/>
        <v>10</v>
      </c>
      <c r="K60" s="5">
        <f t="shared" si="8"/>
        <v>150</v>
      </c>
      <c r="L60" s="19">
        <f>控制台!$E$2721</f>
        <v>180</v>
      </c>
      <c r="M60" s="1">
        <f t="shared" si="3"/>
        <v>900</v>
      </c>
      <c r="N60" s="5">
        <f t="shared" si="9"/>
        <v>13500</v>
      </c>
      <c r="O60" s="19">
        <f>控制台!$E$2725</f>
        <v>90</v>
      </c>
      <c r="P60" s="1">
        <f t="shared" si="4"/>
        <v>450</v>
      </c>
      <c r="Q60" s="5">
        <f t="shared" si="10"/>
        <v>6750</v>
      </c>
    </row>
    <row r="61" spans="1:17">
      <c r="A61" s="11">
        <v>80</v>
      </c>
      <c r="B61" s="1">
        <f t="shared" si="5"/>
        <v>5</v>
      </c>
      <c r="C61" s="1">
        <f>控制台!$E$2709</f>
        <v>1200000</v>
      </c>
      <c r="D61" s="1">
        <f t="shared" si="0"/>
        <v>6000000</v>
      </c>
      <c r="E61" s="5">
        <f t="shared" si="6"/>
        <v>96000000</v>
      </c>
      <c r="F61" s="1">
        <f>控制台!$E$2713</f>
        <v>460.8</v>
      </c>
      <c r="G61" s="1">
        <f t="shared" si="1"/>
        <v>2304</v>
      </c>
      <c r="H61" s="5">
        <f t="shared" si="7"/>
        <v>36864</v>
      </c>
      <c r="I61" s="18">
        <f>控制台!$E$2717</f>
        <v>2</v>
      </c>
      <c r="J61" s="1">
        <f t="shared" si="2"/>
        <v>10</v>
      </c>
      <c r="K61" s="5">
        <f t="shared" si="8"/>
        <v>160</v>
      </c>
      <c r="L61" s="19">
        <f>控制台!$E$2721</f>
        <v>180</v>
      </c>
      <c r="M61" s="1">
        <f t="shared" si="3"/>
        <v>900</v>
      </c>
      <c r="N61" s="5">
        <f t="shared" si="9"/>
        <v>14400</v>
      </c>
      <c r="O61" s="19">
        <f>控制台!$E$2725</f>
        <v>90</v>
      </c>
      <c r="P61" s="1">
        <f t="shared" si="4"/>
        <v>450</v>
      </c>
      <c r="Q61" s="5">
        <f t="shared" si="10"/>
        <v>7200</v>
      </c>
    </row>
    <row r="62" spans="1:17">
      <c r="A62" s="11">
        <v>85</v>
      </c>
      <c r="B62" s="1">
        <f t="shared" si="5"/>
        <v>5</v>
      </c>
      <c r="C62" s="1">
        <f>控制台!$E$2709</f>
        <v>1200000</v>
      </c>
      <c r="D62" s="1">
        <f t="shared" si="0"/>
        <v>6000000</v>
      </c>
      <c r="E62" s="5">
        <f t="shared" si="6"/>
        <v>102000000</v>
      </c>
      <c r="F62" s="1">
        <f>控制台!$E$2713</f>
        <v>460.8</v>
      </c>
      <c r="G62" s="1">
        <f t="shared" si="1"/>
        <v>2304</v>
      </c>
      <c r="H62" s="5">
        <f t="shared" si="7"/>
        <v>39168</v>
      </c>
      <c r="I62" s="18">
        <f>控制台!$E$2717</f>
        <v>2</v>
      </c>
      <c r="J62" s="1">
        <f t="shared" si="2"/>
        <v>10</v>
      </c>
      <c r="K62" s="5">
        <f t="shared" si="8"/>
        <v>170</v>
      </c>
      <c r="L62" s="19">
        <f>控制台!$E$2721</f>
        <v>180</v>
      </c>
      <c r="M62" s="1">
        <f t="shared" si="3"/>
        <v>900</v>
      </c>
      <c r="N62" s="5">
        <f t="shared" si="9"/>
        <v>15300</v>
      </c>
      <c r="O62" s="19">
        <f>控制台!$E$2725</f>
        <v>90</v>
      </c>
      <c r="P62" s="1">
        <f t="shared" si="4"/>
        <v>450</v>
      </c>
      <c r="Q62" s="5">
        <f t="shared" si="10"/>
        <v>7650</v>
      </c>
    </row>
    <row r="63" spans="1:17">
      <c r="A63" s="11">
        <v>90</v>
      </c>
      <c r="B63" s="1">
        <f t="shared" si="5"/>
        <v>5</v>
      </c>
      <c r="C63" s="1">
        <f>控制台!$E$2709</f>
        <v>1200000</v>
      </c>
      <c r="D63" s="1">
        <f t="shared" si="0"/>
        <v>6000000</v>
      </c>
      <c r="E63" s="5">
        <f t="shared" si="6"/>
        <v>108000000</v>
      </c>
      <c r="F63" s="1">
        <f>控制台!$E$2713</f>
        <v>460.8</v>
      </c>
      <c r="G63" s="1">
        <f t="shared" si="1"/>
        <v>2304</v>
      </c>
      <c r="H63" s="5">
        <f t="shared" si="7"/>
        <v>41472</v>
      </c>
      <c r="I63" s="18">
        <f>控制台!$E$2717</f>
        <v>2</v>
      </c>
      <c r="J63" s="1">
        <f t="shared" si="2"/>
        <v>10</v>
      </c>
      <c r="K63" s="5">
        <f t="shared" si="8"/>
        <v>180</v>
      </c>
      <c r="L63" s="19">
        <f>控制台!$E$2721</f>
        <v>180</v>
      </c>
      <c r="M63" s="1">
        <f t="shared" si="3"/>
        <v>900</v>
      </c>
      <c r="N63" s="5">
        <f t="shared" si="9"/>
        <v>16200</v>
      </c>
      <c r="O63" s="19">
        <f>控制台!$E$2725</f>
        <v>90</v>
      </c>
      <c r="P63" s="1">
        <f t="shared" si="4"/>
        <v>450</v>
      </c>
      <c r="Q63" s="5">
        <f t="shared" si="10"/>
        <v>8100</v>
      </c>
    </row>
    <row r="64" spans="1:17">
      <c r="A64" s="11">
        <v>95</v>
      </c>
      <c r="B64" s="1">
        <f t="shared" si="5"/>
        <v>5</v>
      </c>
      <c r="C64" s="1">
        <f>控制台!$E$2709</f>
        <v>1200000</v>
      </c>
      <c r="D64" s="1">
        <f t="shared" si="0"/>
        <v>6000000</v>
      </c>
      <c r="E64" s="5">
        <f t="shared" si="6"/>
        <v>114000000</v>
      </c>
      <c r="F64" s="1">
        <f>控制台!$E$2713</f>
        <v>460.8</v>
      </c>
      <c r="G64" s="1">
        <f t="shared" si="1"/>
        <v>2304</v>
      </c>
      <c r="H64" s="5">
        <f t="shared" si="7"/>
        <v>43776</v>
      </c>
      <c r="I64" s="18">
        <f>控制台!$E$2717</f>
        <v>2</v>
      </c>
      <c r="J64" s="1">
        <f t="shared" si="2"/>
        <v>10</v>
      </c>
      <c r="K64" s="5">
        <f t="shared" si="8"/>
        <v>190</v>
      </c>
      <c r="L64" s="19">
        <f>控制台!$E$2721</f>
        <v>180</v>
      </c>
      <c r="M64" s="1">
        <f t="shared" si="3"/>
        <v>900</v>
      </c>
      <c r="N64" s="5">
        <f t="shared" si="9"/>
        <v>17100</v>
      </c>
      <c r="O64" s="19">
        <f>控制台!$E$2725</f>
        <v>90</v>
      </c>
      <c r="P64" s="1">
        <f t="shared" si="4"/>
        <v>450</v>
      </c>
      <c r="Q64" s="5">
        <f t="shared" si="10"/>
        <v>8550</v>
      </c>
    </row>
    <row r="65" spans="1:17">
      <c r="A65" s="11">
        <v>100</v>
      </c>
      <c r="B65" s="1">
        <f t="shared" si="5"/>
        <v>5</v>
      </c>
      <c r="C65" s="1">
        <f>控制台!$E$2709</f>
        <v>1200000</v>
      </c>
      <c r="D65" s="1">
        <f t="shared" si="0"/>
        <v>6000000</v>
      </c>
      <c r="E65" s="5">
        <f t="shared" si="6"/>
        <v>120000000</v>
      </c>
      <c r="F65" s="1">
        <f>控制台!$E$2713</f>
        <v>460.8</v>
      </c>
      <c r="G65" s="1">
        <f t="shared" si="1"/>
        <v>2304</v>
      </c>
      <c r="H65" s="5">
        <f t="shared" si="7"/>
        <v>46080</v>
      </c>
      <c r="I65" s="18">
        <f>控制台!$E$2717</f>
        <v>2</v>
      </c>
      <c r="J65" s="1">
        <f t="shared" si="2"/>
        <v>10</v>
      </c>
      <c r="K65" s="5">
        <f t="shared" si="8"/>
        <v>200</v>
      </c>
      <c r="L65" s="19">
        <f>控制台!$E$2721</f>
        <v>180</v>
      </c>
      <c r="M65" s="1">
        <f t="shared" si="3"/>
        <v>900</v>
      </c>
      <c r="N65" s="5">
        <f t="shared" si="9"/>
        <v>18000</v>
      </c>
      <c r="O65" s="19">
        <f>控制台!$E$2725</f>
        <v>90</v>
      </c>
      <c r="P65" s="1">
        <f t="shared" si="4"/>
        <v>450</v>
      </c>
      <c r="Q65" s="5">
        <f t="shared" si="10"/>
        <v>9000</v>
      </c>
    </row>
    <row r="66" spans="1:17">
      <c r="A66" s="11">
        <v>105</v>
      </c>
      <c r="B66" s="1">
        <f t="shared" si="5"/>
        <v>5</v>
      </c>
      <c r="C66" s="1">
        <f>控制台!$E$2709</f>
        <v>1200000</v>
      </c>
      <c r="D66" s="1">
        <f t="shared" si="0"/>
        <v>6000000</v>
      </c>
      <c r="E66" s="5">
        <f t="shared" si="6"/>
        <v>126000000</v>
      </c>
      <c r="F66" s="1">
        <f>控制台!$E$2713</f>
        <v>460.8</v>
      </c>
      <c r="G66" s="1">
        <f t="shared" si="1"/>
        <v>2304</v>
      </c>
      <c r="H66" s="5">
        <f t="shared" si="7"/>
        <v>48384</v>
      </c>
      <c r="I66" s="18">
        <f>控制台!$E$2717</f>
        <v>2</v>
      </c>
      <c r="J66" s="1">
        <f t="shared" si="2"/>
        <v>10</v>
      </c>
      <c r="K66" s="5">
        <f t="shared" si="8"/>
        <v>210</v>
      </c>
      <c r="L66" s="19">
        <f>控制台!$E$2721</f>
        <v>180</v>
      </c>
      <c r="M66" s="1">
        <f t="shared" si="3"/>
        <v>900</v>
      </c>
      <c r="N66" s="5">
        <f t="shared" si="9"/>
        <v>18900</v>
      </c>
      <c r="O66" s="19">
        <f>控制台!$E$2725</f>
        <v>90</v>
      </c>
      <c r="P66" s="1">
        <f t="shared" si="4"/>
        <v>450</v>
      </c>
      <c r="Q66" s="5">
        <f t="shared" si="10"/>
        <v>9450</v>
      </c>
    </row>
    <row r="67" spans="1:17">
      <c r="A67" s="11">
        <v>110</v>
      </c>
      <c r="B67" s="1">
        <f t="shared" si="5"/>
        <v>5</v>
      </c>
      <c r="C67" s="1">
        <f>控制台!$E$2709</f>
        <v>1200000</v>
      </c>
      <c r="D67" s="1">
        <f t="shared" si="0"/>
        <v>6000000</v>
      </c>
      <c r="E67" s="5">
        <f t="shared" si="6"/>
        <v>132000000</v>
      </c>
      <c r="F67" s="1">
        <f>控制台!$E$2713</f>
        <v>460.8</v>
      </c>
      <c r="G67" s="1">
        <f t="shared" si="1"/>
        <v>2304</v>
      </c>
      <c r="H67" s="5">
        <f t="shared" si="7"/>
        <v>50688</v>
      </c>
      <c r="I67" s="18">
        <f>控制台!$E$2717</f>
        <v>2</v>
      </c>
      <c r="J67" s="1">
        <f t="shared" si="2"/>
        <v>10</v>
      </c>
      <c r="K67" s="5">
        <f t="shared" si="8"/>
        <v>220</v>
      </c>
      <c r="L67" s="19">
        <f>控制台!$E$2721</f>
        <v>180</v>
      </c>
      <c r="M67" s="1">
        <f t="shared" si="3"/>
        <v>900</v>
      </c>
      <c r="N67" s="5">
        <f t="shared" si="9"/>
        <v>19800</v>
      </c>
      <c r="O67" s="19">
        <f>控制台!$E$2725</f>
        <v>90</v>
      </c>
      <c r="P67" s="1">
        <f t="shared" si="4"/>
        <v>450</v>
      </c>
      <c r="Q67" s="5">
        <f t="shared" si="10"/>
        <v>9900</v>
      </c>
    </row>
    <row r="68" spans="1:17">
      <c r="A68" s="11">
        <v>115</v>
      </c>
      <c r="B68" s="1">
        <f t="shared" si="5"/>
        <v>5</v>
      </c>
      <c r="C68" s="1">
        <f>控制台!$E$2709</f>
        <v>1200000</v>
      </c>
      <c r="D68" s="1">
        <f t="shared" si="0"/>
        <v>6000000</v>
      </c>
      <c r="E68" s="5">
        <f t="shared" si="6"/>
        <v>138000000</v>
      </c>
      <c r="F68" s="1">
        <f>控制台!$E$2713</f>
        <v>460.8</v>
      </c>
      <c r="G68" s="1">
        <f t="shared" si="1"/>
        <v>2304</v>
      </c>
      <c r="H68" s="5">
        <f t="shared" si="7"/>
        <v>52992</v>
      </c>
      <c r="I68" s="18">
        <f>控制台!$E$2717</f>
        <v>2</v>
      </c>
      <c r="J68" s="1">
        <f t="shared" si="2"/>
        <v>10</v>
      </c>
      <c r="K68" s="5">
        <f t="shared" si="8"/>
        <v>230</v>
      </c>
      <c r="L68" s="19">
        <f>控制台!$E$2721</f>
        <v>180</v>
      </c>
      <c r="M68" s="1">
        <f t="shared" si="3"/>
        <v>900</v>
      </c>
      <c r="N68" s="5">
        <f t="shared" si="9"/>
        <v>20700</v>
      </c>
      <c r="O68" s="19">
        <f>控制台!$E$2725</f>
        <v>90</v>
      </c>
      <c r="P68" s="1">
        <f t="shared" si="4"/>
        <v>450</v>
      </c>
      <c r="Q68" s="5">
        <f t="shared" si="10"/>
        <v>10350</v>
      </c>
    </row>
    <row r="69" spans="1:17">
      <c r="A69" s="11">
        <v>120</v>
      </c>
      <c r="B69" s="1">
        <f t="shared" si="5"/>
        <v>5</v>
      </c>
      <c r="C69" s="1">
        <f>控制台!$E$2709</f>
        <v>1200000</v>
      </c>
      <c r="D69" s="1">
        <f t="shared" si="0"/>
        <v>6000000</v>
      </c>
      <c r="E69" s="5">
        <f t="shared" si="6"/>
        <v>144000000</v>
      </c>
      <c r="F69" s="1">
        <f>控制台!$E$2713</f>
        <v>460.8</v>
      </c>
      <c r="G69" s="1">
        <f t="shared" si="1"/>
        <v>2304</v>
      </c>
      <c r="H69" s="5">
        <f t="shared" si="7"/>
        <v>55296</v>
      </c>
      <c r="I69" s="18">
        <f>控制台!$E$2717</f>
        <v>2</v>
      </c>
      <c r="J69" s="1">
        <f t="shared" si="2"/>
        <v>10</v>
      </c>
      <c r="K69" s="5">
        <f t="shared" si="8"/>
        <v>240</v>
      </c>
      <c r="L69" s="19">
        <f>控制台!$E$2721</f>
        <v>180</v>
      </c>
      <c r="M69" s="1">
        <f t="shared" si="3"/>
        <v>900</v>
      </c>
      <c r="N69" s="5">
        <f t="shared" si="9"/>
        <v>21600</v>
      </c>
      <c r="O69" s="19">
        <f>控制台!$E$2725</f>
        <v>90</v>
      </c>
      <c r="P69" s="1">
        <f t="shared" si="4"/>
        <v>450</v>
      </c>
      <c r="Q69" s="5">
        <f t="shared" si="10"/>
        <v>10800</v>
      </c>
    </row>
    <row r="70" spans="1:17">
      <c r="A70" s="12">
        <v>150</v>
      </c>
      <c r="B70" s="1">
        <f t="shared" si="5"/>
        <v>30</v>
      </c>
      <c r="C70" s="1">
        <f>控制台!$E$2709</f>
        <v>1200000</v>
      </c>
      <c r="D70" s="1">
        <f t="shared" si="0"/>
        <v>36000000</v>
      </c>
      <c r="E70" s="5">
        <f t="shared" si="6"/>
        <v>180000000</v>
      </c>
      <c r="F70" s="1">
        <f>控制台!$E$2713</f>
        <v>460.8</v>
      </c>
      <c r="G70" s="1">
        <f t="shared" si="1"/>
        <v>13824</v>
      </c>
      <c r="H70" s="5">
        <f t="shared" si="7"/>
        <v>69120</v>
      </c>
      <c r="I70" s="18">
        <f>控制台!$E$2717</f>
        <v>2</v>
      </c>
      <c r="J70" s="1">
        <f t="shared" si="2"/>
        <v>60</v>
      </c>
      <c r="K70" s="5">
        <f t="shared" si="8"/>
        <v>300</v>
      </c>
      <c r="L70" s="19">
        <f>控制台!$E$2721</f>
        <v>180</v>
      </c>
      <c r="M70" s="1">
        <f t="shared" si="3"/>
        <v>5400</v>
      </c>
      <c r="N70" s="5">
        <f t="shared" si="9"/>
        <v>27000</v>
      </c>
      <c r="O70" s="19">
        <f>控制台!$E$2725</f>
        <v>90</v>
      </c>
      <c r="P70" s="1">
        <f t="shared" si="4"/>
        <v>2700</v>
      </c>
      <c r="Q70" s="5">
        <f t="shared" si="10"/>
        <v>13500</v>
      </c>
    </row>
    <row r="71" spans="1:17">
      <c r="A71" s="12">
        <v>180</v>
      </c>
      <c r="B71" s="1">
        <f t="shared" si="5"/>
        <v>30</v>
      </c>
      <c r="C71" s="1">
        <f>控制台!$E$2709</f>
        <v>1200000</v>
      </c>
      <c r="D71" s="1">
        <f t="shared" ref="D71:D77" si="11">B71*C71</f>
        <v>36000000</v>
      </c>
      <c r="E71" s="5">
        <f t="shared" si="6"/>
        <v>216000000</v>
      </c>
      <c r="F71" s="1">
        <f>控制台!$E$2713</f>
        <v>460.8</v>
      </c>
      <c r="G71" s="1">
        <f t="shared" ref="G71:G77" si="12">F71*B71</f>
        <v>13824</v>
      </c>
      <c r="H71" s="5">
        <f t="shared" si="7"/>
        <v>82944</v>
      </c>
      <c r="I71" s="18">
        <f>控制台!$E$2717</f>
        <v>2</v>
      </c>
      <c r="J71" s="1">
        <f t="shared" ref="J71:J77" si="13">I71*B71</f>
        <v>60</v>
      </c>
      <c r="K71" s="5">
        <f t="shared" si="8"/>
        <v>360</v>
      </c>
      <c r="L71" s="19">
        <f>控制台!$E$2721</f>
        <v>180</v>
      </c>
      <c r="M71" s="1">
        <f t="shared" ref="M71:M77" si="14">L71*B71</f>
        <v>5400</v>
      </c>
      <c r="N71" s="5">
        <f t="shared" si="9"/>
        <v>32400</v>
      </c>
      <c r="O71" s="19">
        <f>控制台!$E$2725</f>
        <v>90</v>
      </c>
      <c r="P71" s="1">
        <f t="shared" ref="P71:P77" si="15">O71*B71</f>
        <v>2700</v>
      </c>
      <c r="Q71" s="5">
        <f t="shared" si="10"/>
        <v>16200</v>
      </c>
    </row>
    <row r="72" spans="1:17">
      <c r="A72" s="12">
        <v>210</v>
      </c>
      <c r="B72" s="1">
        <f t="shared" ref="B72:B77" si="16">A72-A71</f>
        <v>30</v>
      </c>
      <c r="C72" s="1">
        <f>控制台!$E$2709</f>
        <v>1200000</v>
      </c>
      <c r="D72" s="1">
        <f t="shared" si="11"/>
        <v>36000000</v>
      </c>
      <c r="E72" s="5">
        <f t="shared" ref="E72:E77" si="17">E71+D72</f>
        <v>252000000</v>
      </c>
      <c r="F72" s="1">
        <f>控制台!$E$2713</f>
        <v>460.8</v>
      </c>
      <c r="G72" s="1">
        <f t="shared" si="12"/>
        <v>13824</v>
      </c>
      <c r="H72" s="5">
        <f t="shared" ref="H72:H77" si="18">H71+G72</f>
        <v>96768</v>
      </c>
      <c r="I72" s="18">
        <f>控制台!$E$2717</f>
        <v>2</v>
      </c>
      <c r="J72" s="1">
        <f t="shared" si="13"/>
        <v>60</v>
      </c>
      <c r="K72" s="5">
        <f t="shared" ref="K72:K77" si="19">K71+J72</f>
        <v>420</v>
      </c>
      <c r="L72" s="19">
        <f>控制台!$E$2721</f>
        <v>180</v>
      </c>
      <c r="M72" s="1">
        <f t="shared" si="14"/>
        <v>5400</v>
      </c>
      <c r="N72" s="5">
        <f t="shared" ref="N72:N77" si="20">N71+M72</f>
        <v>37800</v>
      </c>
      <c r="O72" s="19">
        <f>控制台!$E$2725</f>
        <v>90</v>
      </c>
      <c r="P72" s="1">
        <f t="shared" si="15"/>
        <v>2700</v>
      </c>
      <c r="Q72" s="5">
        <f t="shared" ref="Q72:Q77" si="21">Q71+P72</f>
        <v>18900</v>
      </c>
    </row>
    <row r="73" spans="1:17">
      <c r="A73" s="12">
        <v>240</v>
      </c>
      <c r="B73" s="1">
        <f t="shared" si="16"/>
        <v>30</v>
      </c>
      <c r="C73" s="1">
        <f>控制台!$E$2709</f>
        <v>1200000</v>
      </c>
      <c r="D73" s="1">
        <f t="shared" si="11"/>
        <v>36000000</v>
      </c>
      <c r="E73" s="5">
        <f t="shared" si="17"/>
        <v>288000000</v>
      </c>
      <c r="F73" s="1">
        <f>控制台!$E$2713</f>
        <v>460.8</v>
      </c>
      <c r="G73" s="1">
        <f t="shared" si="12"/>
        <v>13824</v>
      </c>
      <c r="H73" s="5">
        <f t="shared" si="18"/>
        <v>110592</v>
      </c>
      <c r="I73" s="18">
        <f>控制台!$E$2717</f>
        <v>2</v>
      </c>
      <c r="J73" s="1">
        <f t="shared" si="13"/>
        <v>60</v>
      </c>
      <c r="K73" s="5">
        <f t="shared" si="19"/>
        <v>480</v>
      </c>
      <c r="L73" s="19">
        <f>控制台!$E$2721</f>
        <v>180</v>
      </c>
      <c r="M73" s="1">
        <f t="shared" si="14"/>
        <v>5400</v>
      </c>
      <c r="N73" s="5">
        <f t="shared" si="20"/>
        <v>43200</v>
      </c>
      <c r="O73" s="19">
        <f>控制台!$E$2725</f>
        <v>90</v>
      </c>
      <c r="P73" s="1">
        <f t="shared" si="15"/>
        <v>2700</v>
      </c>
      <c r="Q73" s="5">
        <f t="shared" si="21"/>
        <v>21600</v>
      </c>
    </row>
    <row r="74" spans="1:17">
      <c r="A74" s="12">
        <v>270</v>
      </c>
      <c r="B74" s="1">
        <f t="shared" si="16"/>
        <v>30</v>
      </c>
      <c r="C74" s="1">
        <f>控制台!$E$2709</f>
        <v>1200000</v>
      </c>
      <c r="D74" s="1">
        <f t="shared" si="11"/>
        <v>36000000</v>
      </c>
      <c r="E74" s="5">
        <f t="shared" si="17"/>
        <v>324000000</v>
      </c>
      <c r="F74" s="1">
        <f>控制台!$E$2713</f>
        <v>460.8</v>
      </c>
      <c r="G74" s="1">
        <f t="shared" si="12"/>
        <v>13824</v>
      </c>
      <c r="H74" s="5">
        <f t="shared" si="18"/>
        <v>124416</v>
      </c>
      <c r="I74" s="18">
        <f>控制台!$E$2717</f>
        <v>2</v>
      </c>
      <c r="J74" s="1">
        <f t="shared" si="13"/>
        <v>60</v>
      </c>
      <c r="K74" s="5">
        <f t="shared" si="19"/>
        <v>540</v>
      </c>
      <c r="L74" s="19">
        <f>控制台!$E$2721</f>
        <v>180</v>
      </c>
      <c r="M74" s="1">
        <f t="shared" si="14"/>
        <v>5400</v>
      </c>
      <c r="N74" s="5">
        <f t="shared" si="20"/>
        <v>48600</v>
      </c>
      <c r="O74" s="19">
        <f>控制台!$E$2725</f>
        <v>90</v>
      </c>
      <c r="P74" s="1">
        <f t="shared" si="15"/>
        <v>2700</v>
      </c>
      <c r="Q74" s="5">
        <f t="shared" si="21"/>
        <v>24300</v>
      </c>
    </row>
    <row r="75" spans="1:17">
      <c r="A75" s="12">
        <v>300</v>
      </c>
      <c r="B75" s="1">
        <f t="shared" si="16"/>
        <v>30</v>
      </c>
      <c r="C75" s="1">
        <f>控制台!$E$2709</f>
        <v>1200000</v>
      </c>
      <c r="D75" s="1">
        <f t="shared" si="11"/>
        <v>36000000</v>
      </c>
      <c r="E75" s="5">
        <f t="shared" si="17"/>
        <v>360000000</v>
      </c>
      <c r="F75" s="1">
        <f>控制台!$E$2713</f>
        <v>460.8</v>
      </c>
      <c r="G75" s="1">
        <f t="shared" si="12"/>
        <v>13824</v>
      </c>
      <c r="H75" s="5">
        <f t="shared" si="18"/>
        <v>138240</v>
      </c>
      <c r="I75" s="18">
        <f>控制台!$E$2717</f>
        <v>2</v>
      </c>
      <c r="J75" s="1">
        <f t="shared" si="13"/>
        <v>60</v>
      </c>
      <c r="K75" s="5">
        <f t="shared" si="19"/>
        <v>600</v>
      </c>
      <c r="L75" s="19">
        <f>控制台!$E$2721</f>
        <v>180</v>
      </c>
      <c r="M75" s="1">
        <f t="shared" si="14"/>
        <v>5400</v>
      </c>
      <c r="N75" s="5">
        <f t="shared" si="20"/>
        <v>54000</v>
      </c>
      <c r="O75" s="19">
        <f>控制台!$E$2725</f>
        <v>90</v>
      </c>
      <c r="P75" s="1">
        <f t="shared" si="15"/>
        <v>2700</v>
      </c>
      <c r="Q75" s="5">
        <f t="shared" si="21"/>
        <v>27000</v>
      </c>
    </row>
    <row r="76" spans="1:17">
      <c r="A76" s="12">
        <v>330</v>
      </c>
      <c r="B76" s="1">
        <f t="shared" si="16"/>
        <v>30</v>
      </c>
      <c r="C76" s="1">
        <f>控制台!$E$2709</f>
        <v>1200000</v>
      </c>
      <c r="D76" s="1">
        <f t="shared" si="11"/>
        <v>36000000</v>
      </c>
      <c r="E76" s="5">
        <f t="shared" si="17"/>
        <v>396000000</v>
      </c>
      <c r="F76" s="1">
        <f>控制台!$E$2713</f>
        <v>460.8</v>
      </c>
      <c r="G76" s="1">
        <f t="shared" si="12"/>
        <v>13824</v>
      </c>
      <c r="H76" s="5">
        <f t="shared" si="18"/>
        <v>152064</v>
      </c>
      <c r="I76" s="18">
        <f>控制台!$E$2717</f>
        <v>2</v>
      </c>
      <c r="J76" s="1">
        <f t="shared" si="13"/>
        <v>60</v>
      </c>
      <c r="K76" s="5">
        <f t="shared" si="19"/>
        <v>660</v>
      </c>
      <c r="L76" s="19">
        <f>控制台!$E$2721</f>
        <v>180</v>
      </c>
      <c r="M76" s="1">
        <f t="shared" si="14"/>
        <v>5400</v>
      </c>
      <c r="N76" s="5">
        <f t="shared" si="20"/>
        <v>59400</v>
      </c>
      <c r="O76" s="19">
        <f>控制台!$E$2725</f>
        <v>90</v>
      </c>
      <c r="P76" s="1">
        <f t="shared" si="15"/>
        <v>2700</v>
      </c>
      <c r="Q76" s="5">
        <f t="shared" si="21"/>
        <v>29700</v>
      </c>
    </row>
    <row r="77" spans="1:17">
      <c r="A77" s="12">
        <v>360</v>
      </c>
      <c r="B77" s="1">
        <f t="shared" si="16"/>
        <v>30</v>
      </c>
      <c r="C77" s="1">
        <f>控制台!$E$2709</f>
        <v>1200000</v>
      </c>
      <c r="D77" s="1">
        <f t="shared" si="11"/>
        <v>36000000</v>
      </c>
      <c r="E77" s="5">
        <f t="shared" si="17"/>
        <v>432000000</v>
      </c>
      <c r="F77" s="1">
        <f>控制台!$E$2713</f>
        <v>460.8</v>
      </c>
      <c r="G77" s="1">
        <f t="shared" si="12"/>
        <v>13824</v>
      </c>
      <c r="H77" s="5">
        <f t="shared" si="18"/>
        <v>165888</v>
      </c>
      <c r="I77" s="18">
        <f>控制台!$E$2717</f>
        <v>2</v>
      </c>
      <c r="J77" s="1">
        <f t="shared" si="13"/>
        <v>60</v>
      </c>
      <c r="K77" s="5">
        <f t="shared" si="19"/>
        <v>720</v>
      </c>
      <c r="L77" s="19">
        <f>控制台!$E$2721</f>
        <v>180</v>
      </c>
      <c r="M77" s="1">
        <f t="shared" si="14"/>
        <v>5400</v>
      </c>
      <c r="N77" s="5">
        <f t="shared" si="20"/>
        <v>64800</v>
      </c>
      <c r="O77" s="19">
        <f>控制台!$E$2725</f>
        <v>90</v>
      </c>
      <c r="P77" s="1">
        <f t="shared" si="15"/>
        <v>2700</v>
      </c>
      <c r="Q77" s="5">
        <f t="shared" si="21"/>
        <v>32400</v>
      </c>
    </row>
  </sheetData>
  <hyperlinks>
    <hyperlink ref="A1" location="控制台_205_每日任务" display="返回控制台_每日任务"/>
  </hyperlinks>
  <pageMargins left="0.699305555555556" right="0.699305555555556" top="0.75" bottom="0.75" header="0.3" footer="0.3"/>
  <pageSetup paperSize="9" orientation="portrait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06">
    <tabColor theme="9" tint="0.599993896298105"/>
  </sheetPr>
  <dimension ref="A1:BN196"/>
  <sheetViews>
    <sheetView zoomScale="85" zoomScaleNormal="85" workbookViewId="0">
      <selection activeCell="J7" sqref="J7"/>
    </sheetView>
  </sheetViews>
  <sheetFormatPr defaultColWidth="8.70967741935484" defaultRowHeight="13.1"/>
  <cols>
    <col min="1" max="11" width="10.6290322580645" style="1"/>
    <col min="12" max="12" width="10.6290322580645" style="5"/>
    <col min="13" max="13" width="10.6290322580645" style="1"/>
    <col min="14" max="14" width="10.6290322580645" style="5"/>
    <col min="15" max="17" width="10.6290322580645" style="1" customWidth="1"/>
    <col min="18" max="18" width="10.6290322580645" style="4" customWidth="1"/>
    <col min="19" max="20" width="10.6290322580645" style="1" customWidth="1"/>
    <col min="21" max="21" width="10.6290322580645" style="5" customWidth="1"/>
    <col min="22" max="59" width="10.6290322580645" style="1" customWidth="1"/>
    <col min="60" max="16384" width="10.6290322580645" style="1"/>
  </cols>
  <sheetData>
    <row r="1" spans="1:21">
      <c r="A1" s="3" t="s">
        <v>2945</v>
      </c>
      <c r="E1" s="4"/>
      <c r="F1" s="5"/>
      <c r="G1" s="4"/>
      <c r="H1" s="5"/>
      <c r="K1" s="5"/>
      <c r="L1" s="1"/>
      <c r="N1" s="1"/>
      <c r="R1" s="1"/>
      <c r="U1" s="1"/>
    </row>
    <row r="2" spans="5:21">
      <c r="E2" s="4"/>
      <c r="F2" s="5"/>
      <c r="G2" s="4"/>
      <c r="H2" s="5"/>
      <c r="K2" s="5"/>
      <c r="L2" s="1"/>
      <c r="N2" s="1"/>
      <c r="R2" s="1"/>
      <c r="U2" s="1"/>
    </row>
    <row r="3" s="2" customFormat="1" spans="1:1">
      <c r="A3" s="2" t="s">
        <v>2875</v>
      </c>
    </row>
    <row r="4" spans="5:21">
      <c r="E4" s="4"/>
      <c r="F4" s="5"/>
      <c r="G4" s="4"/>
      <c r="H4" s="5"/>
      <c r="K4" s="5"/>
      <c r="L4" s="1"/>
      <c r="N4" s="1"/>
      <c r="R4" s="1"/>
      <c r="U4" s="1"/>
    </row>
    <row r="5" spans="1:66">
      <c r="A5" s="1" t="s">
        <v>2660</v>
      </c>
      <c r="B5" s="1" t="s">
        <v>1477</v>
      </c>
      <c r="C5" s="1" t="s">
        <v>2946</v>
      </c>
      <c r="D5" s="1" t="s">
        <v>805</v>
      </c>
      <c r="E5" s="1" t="s">
        <v>806</v>
      </c>
      <c r="F5" s="1" t="s">
        <v>2947</v>
      </c>
      <c r="G5" s="4" t="s">
        <v>2948</v>
      </c>
      <c r="H5" s="1" t="s">
        <v>2949</v>
      </c>
      <c r="I5" s="1" t="s">
        <v>805</v>
      </c>
      <c r="J5" s="1" t="s">
        <v>806</v>
      </c>
      <c r="K5" s="1" t="s">
        <v>2884</v>
      </c>
      <c r="L5" s="5" t="s">
        <v>382</v>
      </c>
      <c r="M5" s="1" t="s">
        <v>2950</v>
      </c>
      <c r="N5" s="5" t="s">
        <v>2852</v>
      </c>
      <c r="O5" s="1" t="s">
        <v>805</v>
      </c>
      <c r="P5" s="1" t="s">
        <v>806</v>
      </c>
      <c r="Q5" s="1" t="s">
        <v>2932</v>
      </c>
      <c r="R5" s="4" t="s">
        <v>2951</v>
      </c>
      <c r="S5" s="1" t="s">
        <v>2952</v>
      </c>
      <c r="T5" s="1" t="s">
        <v>2929</v>
      </c>
      <c r="U5" s="5" t="s">
        <v>1649</v>
      </c>
      <c r="V5" s="1" t="s">
        <v>805</v>
      </c>
      <c r="W5" s="1" t="s">
        <v>806</v>
      </c>
      <c r="X5" s="1" t="s">
        <v>2953</v>
      </c>
      <c r="Y5" s="4" t="s">
        <v>2954</v>
      </c>
      <c r="Z5" s="1" t="s">
        <v>2955</v>
      </c>
      <c r="AA5" s="1" t="s">
        <v>2956</v>
      </c>
      <c r="AB5" s="5" t="s">
        <v>2957</v>
      </c>
      <c r="AC5" s="5" t="s">
        <v>1664</v>
      </c>
      <c r="AD5" s="5" t="s">
        <v>2940</v>
      </c>
      <c r="AE5" s="1" t="s">
        <v>805</v>
      </c>
      <c r="AF5" s="1" t="s">
        <v>806</v>
      </c>
      <c r="AG5" s="1" t="s">
        <v>1394</v>
      </c>
      <c r="AH5" s="1" t="s">
        <v>2941</v>
      </c>
      <c r="AI5" s="5" t="s">
        <v>1652</v>
      </c>
      <c r="AJ5" s="1" t="s">
        <v>805</v>
      </c>
      <c r="AK5" s="1" t="s">
        <v>806</v>
      </c>
      <c r="AL5" s="1" t="s">
        <v>2958</v>
      </c>
      <c r="AM5" s="4" t="s">
        <v>2959</v>
      </c>
      <c r="AN5" s="1" t="s">
        <v>2960</v>
      </c>
      <c r="AO5" s="1" t="s">
        <v>2961</v>
      </c>
      <c r="AP5" s="5" t="s">
        <v>1518</v>
      </c>
      <c r="AQ5" s="1" t="s">
        <v>805</v>
      </c>
      <c r="AR5" s="1" t="s">
        <v>806</v>
      </c>
      <c r="AS5" s="1" t="s">
        <v>2962</v>
      </c>
      <c r="AT5" s="4" t="s">
        <v>2963</v>
      </c>
      <c r="AU5" s="1" t="s">
        <v>2964</v>
      </c>
      <c r="AV5" s="1" t="s">
        <v>2965</v>
      </c>
      <c r="AW5" s="5" t="s">
        <v>2966</v>
      </c>
      <c r="AX5" s="1" t="s">
        <v>805</v>
      </c>
      <c r="AY5" s="1" t="s">
        <v>806</v>
      </c>
      <c r="AZ5" s="1" t="s">
        <v>2967</v>
      </c>
      <c r="BA5" s="4" t="s">
        <v>2968</v>
      </c>
      <c r="BB5" s="1" t="s">
        <v>2969</v>
      </c>
      <c r="BC5" s="1" t="s">
        <v>2970</v>
      </c>
      <c r="BD5" s="5" t="s">
        <v>1659</v>
      </c>
      <c r="BE5" s="1" t="s">
        <v>2971</v>
      </c>
      <c r="BF5" s="1" t="s">
        <v>2944</v>
      </c>
      <c r="BG5" s="5" t="s">
        <v>1662</v>
      </c>
      <c r="BH5" s="1" t="s">
        <v>805</v>
      </c>
      <c r="BI5" s="1" t="s">
        <v>806</v>
      </c>
      <c r="BJ5" s="1" t="s">
        <v>2972</v>
      </c>
      <c r="BK5" s="4" t="s">
        <v>2973</v>
      </c>
      <c r="BL5" s="1" t="s">
        <v>2974</v>
      </c>
      <c r="BM5" s="1" t="s">
        <v>2975</v>
      </c>
      <c r="BN5" s="5" t="s">
        <v>1520</v>
      </c>
    </row>
    <row r="6" spans="1:66">
      <c r="A6" s="1">
        <f>B6*100+C6</f>
        <v>101</v>
      </c>
      <c r="B6" s="1">
        <v>1</v>
      </c>
      <c r="C6" s="1">
        <v>1</v>
      </c>
      <c r="D6" s="1">
        <f ca="1">OFFSET(控制台!$D$2798,MATCH(B6,控制台!$B$2798:$B$2809,0)-2,0)*控制台!$E$2751</f>
        <v>500000</v>
      </c>
      <c r="E6" s="1">
        <f ca="1">OFFSET(控制台!$D$2798,MATCH(B6,控制台!$B$2798:$B$2809,0)-1,0)*控制台!$E$2751</f>
        <v>1000000</v>
      </c>
      <c r="F6" s="1">
        <f ca="1">Lerp_dyy(D6,E6,C6/5)</f>
        <v>600000</v>
      </c>
      <c r="G6" s="4">
        <f ca="1">_xlfn.FLOOR.MATH(F6/24/3600*控制台!$E$2784)-控制台!$E$2814</f>
        <v>61</v>
      </c>
      <c r="H6" s="1">
        <f ca="1">G6*6*60*24</f>
        <v>527040</v>
      </c>
      <c r="I6" s="1">
        <f ca="1">IF(B6=1,0,OFFSET(控制台!$B$865,MATCH(B6-1,控制台!$G$865:$G$936,0)-1,0))</f>
        <v>0</v>
      </c>
      <c r="J6" s="1">
        <f ca="1">OFFSET(控制台!$B$865,MATCH(B6,控制台!$G$865:$G$936,0)-1,0)</f>
        <v>1</v>
      </c>
      <c r="K6" s="1">
        <f ca="1">(J6-I6)/5</f>
        <v>0.2</v>
      </c>
      <c r="L6" s="5">
        <f ca="1">Lerp_dyy(I6,J6,C6/5)</f>
        <v>0.2</v>
      </c>
      <c r="M6" s="1">
        <f ca="1">H6*K6</f>
        <v>105408</v>
      </c>
      <c r="N6" s="5">
        <f ca="1">M6</f>
        <v>105408</v>
      </c>
      <c r="O6" s="1">
        <f ca="1">OFFSET(控制台!$F$2798,MATCH(B6,控制台!$B$2798:$B$2809,0)-2,0)*控制台!$E$2755</f>
        <v>300</v>
      </c>
      <c r="P6" s="1">
        <f ca="1">OFFSET(控制台!$F$2798,MATCH(B6,控制台!$B$2798:$B$2809,0)-1,0)*控制台!$E$2755</f>
        <v>600</v>
      </c>
      <c r="Q6" s="1">
        <f ca="1">Lerp_dyy(O6,P6,C6/5)</f>
        <v>360</v>
      </c>
      <c r="R6" s="4">
        <f ca="1">_xlfn.FLOOR.MATH(Q6/24/3600*控制台!$E$2785)</f>
        <v>7</v>
      </c>
      <c r="S6" s="1">
        <f ca="1">R6*2*24</f>
        <v>336</v>
      </c>
      <c r="T6" s="1">
        <f ca="1">S6*K6</f>
        <v>67.2</v>
      </c>
      <c r="U6" s="5">
        <f ca="1">T6</f>
        <v>67.2</v>
      </c>
      <c r="V6" s="1">
        <f ca="1">OFFSET(控制台!$I$2798,MATCH(B6,控制台!$B$2798:$B$2809,0)-2,0)*控制台!$E$2791</f>
        <v>0</v>
      </c>
      <c r="W6" s="1">
        <f ca="1">OFFSET(控制台!$I$2798,MATCH(B6,控制台!$B$2798:$B$2809,0)-1,0)*控制台!$E$2791</f>
        <v>156.25</v>
      </c>
      <c r="X6" s="1">
        <f ca="1">Lerp_dyy(V6,W6,C6/5)</f>
        <v>31.25</v>
      </c>
      <c r="Y6" s="4">
        <f ca="1">_xlfn.FLOOR.MATH(X6)</f>
        <v>31</v>
      </c>
      <c r="Z6" s="1">
        <f ca="1">Y6*12/10000</f>
        <v>0.0372</v>
      </c>
      <c r="AA6" s="1">
        <f ca="1" t="shared" ref="AA6:AA32" si="0">Z6*K6</f>
        <v>0.00744</v>
      </c>
      <c r="AB6" s="5">
        <f ca="1">AA6</f>
        <v>0.00744</v>
      </c>
      <c r="AC6" s="5">
        <f ca="1">AB6*控制台!$E$4819</f>
        <v>0.005952</v>
      </c>
      <c r="AD6" s="5">
        <f ca="1">AB6*控制台!$E$4820</f>
        <v>0.136152</v>
      </c>
      <c r="AE6" s="1">
        <f ca="1">OFFSET(控制台!$L$2798,MATCH(B6,控制台!$B$2798:$B$2809,0)-2,0)*控制台!$E$2763</f>
        <v>0</v>
      </c>
      <c r="AF6" s="1">
        <f ca="1">OFFSET(控制台!$L$2798,MATCH(B6,控制台!$B$2798:$B$2809,0)-1,0)*控制台!$E$2763</f>
        <v>0</v>
      </c>
      <c r="AG6" s="1">
        <f ca="1">Lerp_dyy(AE6,AF6,C6/5)</f>
        <v>0</v>
      </c>
      <c r="AH6" s="1">
        <f ca="1">AG6*K6</f>
        <v>0</v>
      </c>
      <c r="AI6" s="5">
        <f ca="1">AH6</f>
        <v>0</v>
      </c>
      <c r="AJ6" s="1">
        <f ca="1">OFFSET(控制台!$P$2798,MATCH(B6,控制台!$B$2798:$B$2809,0)-2,0)</f>
        <v>50</v>
      </c>
      <c r="AK6" s="1">
        <f ca="1">OFFSET(控制台!$P$2798,MATCH(B6,控制台!$B$2798:$B$2809,0)-1,0)</f>
        <v>300</v>
      </c>
      <c r="AL6" s="1">
        <f ca="1">Lerp_dyy(AJ6,AK6,C6/5)</f>
        <v>100</v>
      </c>
      <c r="AM6" s="4">
        <f ca="1">_xlfn.FLOOR.MATH(AL6/24/3600*控制台!$E$2785)</f>
        <v>2</v>
      </c>
      <c r="AN6" s="1">
        <f ca="1">AM6*2*24</f>
        <v>96</v>
      </c>
      <c r="AO6" s="1">
        <f ca="1">AN6*K6</f>
        <v>19.2</v>
      </c>
      <c r="AP6" s="5">
        <f ca="1">AO6</f>
        <v>19.2</v>
      </c>
      <c r="AQ6" s="1">
        <f ca="1">OFFSET(控制台!$V$2798,MATCH(B6,控制台!$B$2798:$B$2809,0)-2,0)*控制台!$E$2771</f>
        <v>0</v>
      </c>
      <c r="AR6" s="1">
        <f ca="1">OFFSET(控制台!$V$2798,MATCH(B6,控制台!$B$2798:$B$2809,0)-1,0)*控制台!$E$2771</f>
        <v>0</v>
      </c>
      <c r="AS6" s="1">
        <f ca="1">Lerp_dyy(AQ6,AR6,C6/5)</f>
        <v>0</v>
      </c>
      <c r="AT6" s="4">
        <f ca="1">MAX(_xlfn.FLOOR.MATH(AS6/24/3600*控制台!$E$2784)-控制台!$J$2814,0)</f>
        <v>0</v>
      </c>
      <c r="AU6" s="1">
        <f ca="1">AT6*6*60*24</f>
        <v>0</v>
      </c>
      <c r="AV6" s="1">
        <f ca="1">AU6*K6</f>
        <v>0</v>
      </c>
      <c r="AW6" s="5">
        <f ca="1">AV6</f>
        <v>0</v>
      </c>
      <c r="AX6" s="1">
        <f ca="1">OFFSET(控制台!$X$2798,MATCH(B6,控制台!$B$2798:$B$2809,0)-2,0)*控制台!$E$2775</f>
        <v>0</v>
      </c>
      <c r="AY6" s="1">
        <f ca="1">OFFSET(控制台!$X$2798,MATCH(B6,控制台!$B$2798:$B$2809,0)-1,0)*控制台!$E$2775</f>
        <v>0</v>
      </c>
      <c r="AZ6" s="1">
        <f ca="1">Lerp_dyy(AX6,AY6,C6/5)</f>
        <v>0</v>
      </c>
      <c r="BA6" s="4">
        <f ca="1">_xlfn.FLOOR.MATH(AZ6/24/3600*控制台!$E$2785)</f>
        <v>0</v>
      </c>
      <c r="BB6" s="1">
        <f ca="1">BA6*2*24</f>
        <v>0</v>
      </c>
      <c r="BC6" s="1">
        <f ca="1">BB6*K6</f>
        <v>0</v>
      </c>
      <c r="BD6" s="5">
        <f ca="1">BC6</f>
        <v>0</v>
      </c>
      <c r="BE6" s="1">
        <f ca="1">OFFSET(控制台!$AA$2798,MATCH(B6,控制台!$B$2798:$B$2809,0)-1,0)</f>
        <v>0</v>
      </c>
      <c r="BF6" s="1">
        <f ca="1" t="shared" ref="BF6:BF37" si="1">L6*BE6</f>
        <v>0</v>
      </c>
      <c r="BG6" s="5">
        <f ca="1">BF6</f>
        <v>0</v>
      </c>
      <c r="BH6" s="1">
        <f ca="1">OFFSET(控制台!$AD$2798,MATCH(B6,控制台!$B$2798:$B$2809,0)-2,0)</f>
        <v>40</v>
      </c>
      <c r="BI6" s="1">
        <f ca="1">OFFSET(控制台!$AD$2798,MATCH(B6,控制台!$B$2798:$B$2809,0)-1,0)</f>
        <v>80</v>
      </c>
      <c r="BJ6" s="1">
        <f ca="1">Lerp_dyy(BH6,BI6,C6/5)</f>
        <v>48</v>
      </c>
      <c r="BK6" s="4">
        <f ca="1">_xlfn.FLOOR.MATH(BJ6/24/3600*控制台!$E$2785)</f>
        <v>1</v>
      </c>
      <c r="BL6" s="1">
        <f ca="1">BK6*2*24</f>
        <v>48</v>
      </c>
      <c r="BM6" s="1">
        <f ca="1">BL6*K6</f>
        <v>9.6</v>
      </c>
      <c r="BN6" s="5">
        <f ca="1">BM6</f>
        <v>9.6</v>
      </c>
    </row>
    <row r="7" spans="1:66">
      <c r="A7" s="1">
        <f t="shared" ref="A7:A65" si="2">B7*100+C7</f>
        <v>102</v>
      </c>
      <c r="B7" s="1">
        <v>1</v>
      </c>
      <c r="C7" s="1">
        <v>2</v>
      </c>
      <c r="D7" s="1">
        <f ca="1">OFFSET(控制台!$D$2798,MATCH(B7,控制台!$B$2798:$B$2809,0)-2,0)*控制台!$E$2751</f>
        <v>500000</v>
      </c>
      <c r="E7" s="1">
        <f ca="1">OFFSET(控制台!$D$2798,MATCH(B7,控制台!$B$2798:$B$2809,0)-1,0)*控制台!$E$2751</f>
        <v>1000000</v>
      </c>
      <c r="F7" s="1">
        <f ca="1">Lerp_dyy(D7,E7,C7/5)</f>
        <v>700000</v>
      </c>
      <c r="G7" s="4">
        <f ca="1">_xlfn.FLOOR.MATH(F7/24/3600*控制台!$E$2784)-控制台!$E$2814</f>
        <v>73</v>
      </c>
      <c r="H7" s="1">
        <f ca="1" t="shared" ref="H7:H65" si="3">G7*6*60*24</f>
        <v>630720</v>
      </c>
      <c r="I7" s="1">
        <f ca="1">IF(B7=1,0,OFFSET(控制台!$B$865,MATCH(B7-1,控制台!$G$865:$G$936,0)-1,0))</f>
        <v>0</v>
      </c>
      <c r="J7" s="1">
        <f ca="1">OFFSET(控制台!$B$865,MATCH(B7,控制台!$G$865:$G$936,0)-1,0)</f>
        <v>1</v>
      </c>
      <c r="K7" s="1">
        <f ca="1" t="shared" ref="K7:K10" si="4">(J7-I7)/5</f>
        <v>0.2</v>
      </c>
      <c r="L7" s="5">
        <f ca="1">Lerp_dyy(I7,J7,C7/5)</f>
        <v>0.4</v>
      </c>
      <c r="M7" s="1">
        <f ca="1" t="shared" ref="M7:M65" si="5">H7*K7</f>
        <v>126144</v>
      </c>
      <c r="N7" s="5">
        <f ca="1">N6+M7</f>
        <v>231552</v>
      </c>
      <c r="O7" s="1">
        <f ca="1">OFFSET(控制台!$F$2798,MATCH(B7,控制台!$B$2798:$B$2809,0)-2,0)*控制台!$E$2755</f>
        <v>300</v>
      </c>
      <c r="P7" s="1">
        <f ca="1">OFFSET(控制台!$F$2798,MATCH(B7,控制台!$B$2798:$B$2809,0)-1,0)*控制台!$E$2755</f>
        <v>600</v>
      </c>
      <c r="Q7" s="1">
        <f ca="1">Lerp_dyy(O7,P7,C7/5)</f>
        <v>420</v>
      </c>
      <c r="R7" s="4">
        <f ca="1">_xlfn.FLOOR.MATH(Q7/24/3600*控制台!$E$2785)</f>
        <v>8</v>
      </c>
      <c r="S7" s="1">
        <f ca="1" t="shared" ref="S7:S65" si="6">R7*2*24</f>
        <v>384</v>
      </c>
      <c r="T7" s="1">
        <f ca="1" t="shared" ref="T7:T65" si="7">S7*K7</f>
        <v>76.8</v>
      </c>
      <c r="U7" s="5">
        <f ca="1">U6+T7</f>
        <v>144</v>
      </c>
      <c r="V7" s="1">
        <f ca="1">OFFSET(控制台!$I$2798,MATCH(B7,控制台!$B$2798:$B$2809,0)-2,0)*控制台!$E$2791</f>
        <v>0</v>
      </c>
      <c r="W7" s="1">
        <f ca="1">OFFSET(控制台!$I$2798,MATCH(B7,控制台!$B$2798:$B$2809,0)-1,0)*控制台!$E$2791</f>
        <v>156.25</v>
      </c>
      <c r="X7" s="1">
        <f ca="1">Lerp_dyy(V7,W7,C7/5)</f>
        <v>62.5</v>
      </c>
      <c r="Y7" s="4">
        <f ca="1">_xlfn.FLOOR.MATH(X7)</f>
        <v>62</v>
      </c>
      <c r="Z7" s="1">
        <f ca="1" t="shared" ref="Z7:Z65" si="8">Y7*12/10000</f>
        <v>0.0744</v>
      </c>
      <c r="AA7" s="1">
        <f ca="1" t="shared" si="0"/>
        <v>0.01488</v>
      </c>
      <c r="AB7" s="5">
        <f ca="1">AA7+AB6</f>
        <v>0.02232</v>
      </c>
      <c r="AC7" s="5">
        <f ca="1">AB7*控制台!$E$4819</f>
        <v>0.017856</v>
      </c>
      <c r="AD7" s="5">
        <f ca="1">AB7*控制台!$E$4820</f>
        <v>0.408456</v>
      </c>
      <c r="AE7" s="1">
        <f ca="1">OFFSET(控制台!$L$2798,MATCH(B7,控制台!$B$2798:$B$2809,0)-2,0)*控制台!$E$2763</f>
        <v>0</v>
      </c>
      <c r="AF7" s="1">
        <f ca="1">OFFSET(控制台!$L$2798,MATCH(B7,控制台!$B$2798:$B$2809,0)-1,0)*控制台!$E$2763</f>
        <v>0</v>
      </c>
      <c r="AG7" s="1">
        <f ca="1">Lerp_dyy(AE7,AF7,C7/5)</f>
        <v>0</v>
      </c>
      <c r="AH7" s="1">
        <f ca="1" t="shared" ref="AH7:AH65" si="9">AG7*K7</f>
        <v>0</v>
      </c>
      <c r="AI7" s="5">
        <f ca="1">AI6+AH7</f>
        <v>0</v>
      </c>
      <c r="AJ7" s="1">
        <f ca="1">OFFSET(控制台!$P$2798,MATCH(B7,控制台!$B$2798:$B$2809,0)-2,0)</f>
        <v>50</v>
      </c>
      <c r="AK7" s="1">
        <f ca="1">OFFSET(控制台!$P$2798,MATCH(B7,控制台!$B$2798:$B$2809,0)-1,0)</f>
        <v>300</v>
      </c>
      <c r="AL7" s="1">
        <f ca="1">Lerp_dyy(AJ7,AK7,C7/5)</f>
        <v>150</v>
      </c>
      <c r="AM7" s="4">
        <f ca="1">_xlfn.FLOOR.MATH(AL7/24/3600*控制台!$E$2785)</f>
        <v>3</v>
      </c>
      <c r="AN7" s="1">
        <f ca="1" t="shared" ref="AN7:AN65" si="10">AM7*2*24</f>
        <v>144</v>
      </c>
      <c r="AO7" s="1">
        <f ca="1" t="shared" ref="AO7:AO65" si="11">AN7*K7</f>
        <v>28.8</v>
      </c>
      <c r="AP7" s="5">
        <f ca="1">AP6+AO7</f>
        <v>48</v>
      </c>
      <c r="AQ7" s="1">
        <f ca="1">OFFSET(控制台!$V$2798,MATCH(B7,控制台!$B$2798:$B$2809,0)-2,0)*控制台!$E$2771</f>
        <v>0</v>
      </c>
      <c r="AR7" s="1">
        <f ca="1">OFFSET(控制台!$V$2798,MATCH(B7,控制台!$B$2798:$B$2809,0)-1,0)*控制台!$E$2771</f>
        <v>0</v>
      </c>
      <c r="AS7" s="1">
        <f ca="1">Lerp_dyy(AQ7,AR7,C7/5)</f>
        <v>0</v>
      </c>
      <c r="AT7" s="4">
        <f ca="1">MAX(_xlfn.FLOOR.MATH(AS7/24/3600*控制台!$E$2784)-控制台!$J$2814,0)</f>
        <v>0</v>
      </c>
      <c r="AU7" s="1">
        <f ca="1" t="shared" ref="AU7:AU70" si="12">AT7*6*60*24</f>
        <v>0</v>
      </c>
      <c r="AV7" s="1">
        <f ca="1" t="shared" ref="AV7:AV70" si="13">AU7*K7</f>
        <v>0</v>
      </c>
      <c r="AW7" s="5">
        <f ca="1">AW6+AV7</f>
        <v>0</v>
      </c>
      <c r="AX7" s="1">
        <f ca="1">OFFSET(控制台!$X$2798,MATCH(B7,控制台!$B$2798:$B$2809,0)-2,0)*控制台!$E$2775</f>
        <v>0</v>
      </c>
      <c r="AY7" s="1">
        <f ca="1">OFFSET(控制台!$X$2798,MATCH(B7,控制台!$B$2798:$B$2809,0)-1,0)*控制台!$E$2775</f>
        <v>0</v>
      </c>
      <c r="AZ7" s="1">
        <f ca="1">Lerp_dyy(AX7,AY7,C7/5)</f>
        <v>0</v>
      </c>
      <c r="BA7" s="4">
        <f ca="1">_xlfn.FLOOR.MATH(AZ7/24/3600*控制台!$E$2785)</f>
        <v>0</v>
      </c>
      <c r="BB7" s="1">
        <f ca="1" t="shared" ref="BB7:BB70" si="14">BA7*2*24</f>
        <v>0</v>
      </c>
      <c r="BC7" s="1">
        <f ca="1" t="shared" ref="BC7:BC70" si="15">BB7*K7</f>
        <v>0</v>
      </c>
      <c r="BD7" s="5">
        <f ca="1">BD6+BC7</f>
        <v>0</v>
      </c>
      <c r="BE7" s="1">
        <f ca="1">OFFSET(控制台!$AA$2798,MATCH(B7,控制台!$B$2798:$B$2809,0)-1,0)</f>
        <v>0</v>
      </c>
      <c r="BF7" s="1">
        <f ca="1" t="shared" si="1"/>
        <v>0</v>
      </c>
      <c r="BG7" s="5">
        <f ca="1">BG6+BF7</f>
        <v>0</v>
      </c>
      <c r="BH7" s="1">
        <f ca="1">OFFSET(控制台!$AD$2798,MATCH(B7,控制台!$B$2798:$B$2809,0)-2,0)</f>
        <v>40</v>
      </c>
      <c r="BI7" s="1">
        <f ca="1">OFFSET(控制台!$AD$2798,MATCH(B7,控制台!$B$2798:$B$2809,0)-1,0)</f>
        <v>80</v>
      </c>
      <c r="BJ7" s="1">
        <f ca="1">Lerp_dyy(BH7,BI7,C7/5)</f>
        <v>56</v>
      </c>
      <c r="BK7" s="4">
        <f ca="1">_xlfn.FLOOR.MATH(BJ7/24/3600*控制台!$E$2785)</f>
        <v>1</v>
      </c>
      <c r="BL7" s="1">
        <f ca="1" t="shared" ref="BL7:BL70" si="16">BK7*2*24</f>
        <v>48</v>
      </c>
      <c r="BM7" s="1">
        <f ca="1" t="shared" ref="BM7:BM70" si="17">BL7*K7</f>
        <v>9.6</v>
      </c>
      <c r="BN7" s="5">
        <f ca="1">BN6+BM7</f>
        <v>19.2</v>
      </c>
    </row>
    <row r="8" spans="1:66">
      <c r="A8" s="1">
        <f t="shared" si="2"/>
        <v>103</v>
      </c>
      <c r="B8" s="1">
        <v>1</v>
      </c>
      <c r="C8" s="1">
        <v>3</v>
      </c>
      <c r="D8" s="1">
        <f ca="1">OFFSET(控制台!$D$2798,MATCH(B8,控制台!$B$2798:$B$2809,0)-2,0)*控制台!$E$2751</f>
        <v>500000</v>
      </c>
      <c r="E8" s="1">
        <f ca="1">OFFSET(控制台!$D$2798,MATCH(B8,控制台!$B$2798:$B$2809,0)-1,0)*控制台!$E$2751</f>
        <v>1000000</v>
      </c>
      <c r="F8" s="1">
        <f ca="1">Lerp_dyy(D8,E8,C8/5)</f>
        <v>800000</v>
      </c>
      <c r="G8" s="4">
        <f ca="1">_xlfn.FLOOR.MATH(F8/24/3600*控制台!$E$2784)-控制台!$E$2814</f>
        <v>84</v>
      </c>
      <c r="H8" s="1">
        <f ca="1" t="shared" si="3"/>
        <v>725760</v>
      </c>
      <c r="I8" s="1">
        <f ca="1">IF(B8=1,0,OFFSET(控制台!$B$865,MATCH(B8-1,控制台!$G$865:$G$936,0)-1,0))</f>
        <v>0</v>
      </c>
      <c r="J8" s="1">
        <f ca="1">OFFSET(控制台!$B$865,MATCH(B8,控制台!$G$865:$G$936,0)-1,0)</f>
        <v>1</v>
      </c>
      <c r="K8" s="1">
        <f ca="1" t="shared" si="4"/>
        <v>0.2</v>
      </c>
      <c r="L8" s="5">
        <f ca="1">Lerp_dyy(I8,J8,C8/5)</f>
        <v>0.6</v>
      </c>
      <c r="M8" s="1">
        <f ca="1" t="shared" si="5"/>
        <v>145152</v>
      </c>
      <c r="N8" s="5">
        <f ca="1" t="shared" ref="N8:N71" si="18">N7+M8</f>
        <v>376704</v>
      </c>
      <c r="O8" s="1">
        <f ca="1">OFFSET(控制台!$F$2798,MATCH(B8,控制台!$B$2798:$B$2809,0)-2,0)*控制台!$E$2755</f>
        <v>300</v>
      </c>
      <c r="P8" s="1">
        <f ca="1">OFFSET(控制台!$F$2798,MATCH(B8,控制台!$B$2798:$B$2809,0)-1,0)*控制台!$E$2755</f>
        <v>600</v>
      </c>
      <c r="Q8" s="1">
        <f ca="1">Lerp_dyy(O8,P8,C8/5)</f>
        <v>480</v>
      </c>
      <c r="R8" s="4">
        <f ca="1">_xlfn.FLOOR.MATH(Q8/24/3600*控制台!$E$2785)</f>
        <v>10</v>
      </c>
      <c r="S8" s="1">
        <f ca="1" t="shared" si="6"/>
        <v>480</v>
      </c>
      <c r="T8" s="1">
        <f ca="1" t="shared" si="7"/>
        <v>96</v>
      </c>
      <c r="U8" s="5">
        <f ca="1" t="shared" ref="U8:U71" si="19">U7+T8</f>
        <v>240</v>
      </c>
      <c r="V8" s="1">
        <f ca="1">OFFSET(控制台!$I$2798,MATCH(B8,控制台!$B$2798:$B$2809,0)-2,0)*控制台!$E$2791</f>
        <v>0</v>
      </c>
      <c r="W8" s="1">
        <f ca="1">OFFSET(控制台!$I$2798,MATCH(B8,控制台!$B$2798:$B$2809,0)-1,0)*控制台!$E$2791</f>
        <v>156.25</v>
      </c>
      <c r="X8" s="1">
        <f ca="1">Lerp_dyy(V8,W8,C8/5)</f>
        <v>93.75</v>
      </c>
      <c r="Y8" s="4">
        <f ca="1">_xlfn.FLOOR.MATH(X8)</f>
        <v>93</v>
      </c>
      <c r="Z8" s="1">
        <f ca="1" t="shared" si="8"/>
        <v>0.1116</v>
      </c>
      <c r="AA8" s="1">
        <f ca="1" t="shared" si="0"/>
        <v>0.02232</v>
      </c>
      <c r="AB8" s="5">
        <f ca="1" t="shared" ref="AB8:AB10" si="20">AA8+AB7</f>
        <v>0.04464</v>
      </c>
      <c r="AC8" s="5">
        <f ca="1">AB8*控制台!$E$4819</f>
        <v>0.035712</v>
      </c>
      <c r="AD8" s="5">
        <f ca="1">AB8*控制台!$E$4820</f>
        <v>0.816912</v>
      </c>
      <c r="AE8" s="1">
        <f ca="1">OFFSET(控制台!$L$2798,MATCH(B8,控制台!$B$2798:$B$2809,0)-2,0)*控制台!$E$2763</f>
        <v>0</v>
      </c>
      <c r="AF8" s="1">
        <f ca="1">OFFSET(控制台!$L$2798,MATCH(B8,控制台!$B$2798:$B$2809,0)-1,0)*控制台!$E$2763</f>
        <v>0</v>
      </c>
      <c r="AG8" s="1">
        <f ca="1">Lerp_dyy(AE8,AF8,C8/5)</f>
        <v>0</v>
      </c>
      <c r="AH8" s="1">
        <f ca="1" t="shared" si="9"/>
        <v>0</v>
      </c>
      <c r="AI8" s="5">
        <f ca="1" t="shared" ref="AI8:AI71" si="21">AI7+AH8</f>
        <v>0</v>
      </c>
      <c r="AJ8" s="1">
        <f ca="1">OFFSET(控制台!$P$2798,MATCH(B8,控制台!$B$2798:$B$2809,0)-2,0)</f>
        <v>50</v>
      </c>
      <c r="AK8" s="1">
        <f ca="1">OFFSET(控制台!$P$2798,MATCH(B8,控制台!$B$2798:$B$2809,0)-1,0)</f>
        <v>300</v>
      </c>
      <c r="AL8" s="1">
        <f ca="1">Lerp_dyy(AJ8,AK8,C8/5)</f>
        <v>200</v>
      </c>
      <c r="AM8" s="4">
        <f ca="1">_xlfn.FLOOR.MATH(AL8/24/3600*控制台!$E$2785)</f>
        <v>4</v>
      </c>
      <c r="AN8" s="1">
        <f ca="1" t="shared" si="10"/>
        <v>192</v>
      </c>
      <c r="AO8" s="1">
        <f ca="1" t="shared" si="11"/>
        <v>38.4</v>
      </c>
      <c r="AP8" s="5">
        <f ca="1" t="shared" ref="AP8:AP71" si="22">AP7+AO8</f>
        <v>86.4</v>
      </c>
      <c r="AQ8" s="1">
        <f ca="1">OFFSET(控制台!$V$2798,MATCH(B8,控制台!$B$2798:$B$2809,0)-2,0)*控制台!$E$2771</f>
        <v>0</v>
      </c>
      <c r="AR8" s="1">
        <f ca="1">OFFSET(控制台!$V$2798,MATCH(B8,控制台!$B$2798:$B$2809,0)-1,0)*控制台!$E$2771</f>
        <v>0</v>
      </c>
      <c r="AS8" s="1">
        <f ca="1">Lerp_dyy(AQ8,AR8,C8/5)</f>
        <v>0</v>
      </c>
      <c r="AT8" s="4">
        <f ca="1">MAX(_xlfn.FLOOR.MATH(AS8/24/3600*控制台!$E$2784)-控制台!$J$2814,0)</f>
        <v>0</v>
      </c>
      <c r="AU8" s="1">
        <f ca="1" t="shared" si="12"/>
        <v>0</v>
      </c>
      <c r="AV8" s="1">
        <f ca="1" t="shared" si="13"/>
        <v>0</v>
      </c>
      <c r="AW8" s="5">
        <f ca="1" t="shared" ref="AW8:AW71" si="23">AW7+AV8</f>
        <v>0</v>
      </c>
      <c r="AX8" s="1">
        <f ca="1">OFFSET(控制台!$X$2798,MATCH(B8,控制台!$B$2798:$B$2809,0)-2,0)*控制台!$E$2775</f>
        <v>0</v>
      </c>
      <c r="AY8" s="1">
        <f ca="1">OFFSET(控制台!$X$2798,MATCH(B8,控制台!$B$2798:$B$2809,0)-1,0)*控制台!$E$2775</f>
        <v>0</v>
      </c>
      <c r="AZ8" s="1">
        <f ca="1">Lerp_dyy(AX8,AY8,C8/5)</f>
        <v>0</v>
      </c>
      <c r="BA8" s="4">
        <f ca="1">_xlfn.FLOOR.MATH(AZ8/24/3600*控制台!$E$2785)</f>
        <v>0</v>
      </c>
      <c r="BB8" s="1">
        <f ca="1" t="shared" si="14"/>
        <v>0</v>
      </c>
      <c r="BC8" s="1">
        <f ca="1" t="shared" si="15"/>
        <v>0</v>
      </c>
      <c r="BD8" s="5">
        <f ca="1" t="shared" ref="BD8:BD71" si="24">BD7+BC8</f>
        <v>0</v>
      </c>
      <c r="BE8" s="1">
        <f ca="1">OFFSET(控制台!$AA$2798,MATCH(B8,控制台!$B$2798:$B$2809,0)-1,0)</f>
        <v>0</v>
      </c>
      <c r="BF8" s="1">
        <f ca="1" t="shared" si="1"/>
        <v>0</v>
      </c>
      <c r="BG8" s="5">
        <f ca="1" t="shared" ref="BG8:BG71" si="25">BG7+BF8</f>
        <v>0</v>
      </c>
      <c r="BH8" s="1">
        <f ca="1">OFFSET(控制台!$AD$2798,MATCH(B8,控制台!$B$2798:$B$2809,0)-2,0)</f>
        <v>40</v>
      </c>
      <c r="BI8" s="1">
        <f ca="1">OFFSET(控制台!$AD$2798,MATCH(B8,控制台!$B$2798:$B$2809,0)-1,0)</f>
        <v>80</v>
      </c>
      <c r="BJ8" s="1">
        <f ca="1">Lerp_dyy(BH8,BI8,C8/5)</f>
        <v>64</v>
      </c>
      <c r="BK8" s="4">
        <f ca="1">_xlfn.FLOOR.MATH(BJ8/24/3600*控制台!$E$2785)</f>
        <v>1</v>
      </c>
      <c r="BL8" s="1">
        <f ca="1" t="shared" si="16"/>
        <v>48</v>
      </c>
      <c r="BM8" s="1">
        <f ca="1" t="shared" si="17"/>
        <v>9.6</v>
      </c>
      <c r="BN8" s="5">
        <f ca="1" t="shared" ref="BN8:BN71" si="26">BN7+BM8</f>
        <v>28.8</v>
      </c>
    </row>
    <row r="9" spans="1:66">
      <c r="A9" s="1">
        <f t="shared" si="2"/>
        <v>104</v>
      </c>
      <c r="B9" s="1">
        <v>1</v>
      </c>
      <c r="C9" s="1">
        <v>4</v>
      </c>
      <c r="D9" s="1">
        <f ca="1">OFFSET(控制台!$D$2798,MATCH(B9,控制台!$B$2798:$B$2809,0)-2,0)*控制台!$E$2751</f>
        <v>500000</v>
      </c>
      <c r="E9" s="1">
        <f ca="1">OFFSET(控制台!$D$2798,MATCH(B9,控制台!$B$2798:$B$2809,0)-1,0)*控制台!$E$2751</f>
        <v>1000000</v>
      </c>
      <c r="F9" s="1">
        <f ca="1">Lerp_dyy(D9,E9,C9/5)</f>
        <v>900000</v>
      </c>
      <c r="G9" s="4">
        <f ca="1">_xlfn.FLOOR.MATH(F9/24/3600*控制台!$E$2784)-控制台!$E$2814</f>
        <v>96</v>
      </c>
      <c r="H9" s="1">
        <f ca="1" t="shared" si="3"/>
        <v>829440</v>
      </c>
      <c r="I9" s="1">
        <f ca="1">IF(B9=1,0,OFFSET(控制台!$B$865,MATCH(B9-1,控制台!$G$865:$G$936,0)-1,0))</f>
        <v>0</v>
      </c>
      <c r="J9" s="1">
        <f ca="1">OFFSET(控制台!$B$865,MATCH(B9,控制台!$G$865:$G$936,0)-1,0)</f>
        <v>1</v>
      </c>
      <c r="K9" s="1">
        <f ca="1" t="shared" si="4"/>
        <v>0.2</v>
      </c>
      <c r="L9" s="5">
        <f ca="1">Lerp_dyy(I9,J9,C9/5)</f>
        <v>0.8</v>
      </c>
      <c r="M9" s="1">
        <f ca="1" t="shared" si="5"/>
        <v>165888</v>
      </c>
      <c r="N9" s="5">
        <f ca="1" t="shared" si="18"/>
        <v>542592</v>
      </c>
      <c r="O9" s="1">
        <f ca="1">OFFSET(控制台!$F$2798,MATCH(B9,控制台!$B$2798:$B$2809,0)-2,0)*控制台!$E$2755</f>
        <v>300</v>
      </c>
      <c r="P9" s="1">
        <f ca="1">OFFSET(控制台!$F$2798,MATCH(B9,控制台!$B$2798:$B$2809,0)-1,0)*控制台!$E$2755</f>
        <v>600</v>
      </c>
      <c r="Q9" s="1">
        <f ca="1">Lerp_dyy(O9,P9,C9/5)</f>
        <v>540</v>
      </c>
      <c r="R9" s="4">
        <f ca="1">_xlfn.FLOOR.MATH(Q9/24/3600*控制台!$E$2785)</f>
        <v>11</v>
      </c>
      <c r="S9" s="1">
        <f ca="1" t="shared" si="6"/>
        <v>528</v>
      </c>
      <c r="T9" s="1">
        <f ca="1" t="shared" si="7"/>
        <v>105.6</v>
      </c>
      <c r="U9" s="5">
        <f ca="1" t="shared" si="19"/>
        <v>345.6</v>
      </c>
      <c r="V9" s="1">
        <f ca="1">OFFSET(控制台!$I$2798,MATCH(B9,控制台!$B$2798:$B$2809,0)-2,0)*控制台!$E$2791</f>
        <v>0</v>
      </c>
      <c r="W9" s="1">
        <f ca="1">OFFSET(控制台!$I$2798,MATCH(B9,控制台!$B$2798:$B$2809,0)-1,0)*控制台!$E$2791</f>
        <v>156.25</v>
      </c>
      <c r="X9" s="1">
        <f ca="1">Lerp_dyy(V9,W9,C9/5)</f>
        <v>125</v>
      </c>
      <c r="Y9" s="4">
        <f ca="1">_xlfn.FLOOR.MATH(X9)</f>
        <v>125</v>
      </c>
      <c r="Z9" s="1">
        <f ca="1" t="shared" si="8"/>
        <v>0.15</v>
      </c>
      <c r="AA9" s="1">
        <f ca="1" t="shared" si="0"/>
        <v>0.03</v>
      </c>
      <c r="AB9" s="5">
        <f ca="1" t="shared" si="20"/>
        <v>0.07464</v>
      </c>
      <c r="AC9" s="5">
        <f ca="1">AB9*控制台!$E$4819</f>
        <v>0.059712</v>
      </c>
      <c r="AD9" s="5">
        <f ca="1">AB9*控制台!$E$4820</f>
        <v>1.365912</v>
      </c>
      <c r="AE9" s="1">
        <f ca="1">OFFSET(控制台!$L$2798,MATCH(B9,控制台!$B$2798:$B$2809,0)-2,0)*控制台!$E$2763</f>
        <v>0</v>
      </c>
      <c r="AF9" s="1">
        <f ca="1">OFFSET(控制台!$L$2798,MATCH(B9,控制台!$B$2798:$B$2809,0)-1,0)*控制台!$E$2763</f>
        <v>0</v>
      </c>
      <c r="AG9" s="1">
        <f ca="1">Lerp_dyy(AE9,AF9,C9/5)</f>
        <v>0</v>
      </c>
      <c r="AH9" s="1">
        <f ca="1" t="shared" si="9"/>
        <v>0</v>
      </c>
      <c r="AI9" s="5">
        <f ca="1" t="shared" si="21"/>
        <v>0</v>
      </c>
      <c r="AJ9" s="1">
        <f ca="1">OFFSET(控制台!$P$2798,MATCH(B9,控制台!$B$2798:$B$2809,0)-2,0)</f>
        <v>50</v>
      </c>
      <c r="AK9" s="1">
        <f ca="1">OFFSET(控制台!$P$2798,MATCH(B9,控制台!$B$2798:$B$2809,0)-1,0)</f>
        <v>300</v>
      </c>
      <c r="AL9" s="1">
        <f ca="1">Lerp_dyy(AJ9,AK9,C9/5)</f>
        <v>250</v>
      </c>
      <c r="AM9" s="4">
        <f ca="1">_xlfn.FLOOR.MATH(AL9/24/3600*控制台!$E$2785)</f>
        <v>5</v>
      </c>
      <c r="AN9" s="1">
        <f ca="1" t="shared" si="10"/>
        <v>240</v>
      </c>
      <c r="AO9" s="1">
        <f ca="1" t="shared" si="11"/>
        <v>48</v>
      </c>
      <c r="AP9" s="5">
        <f ca="1" t="shared" si="22"/>
        <v>134.4</v>
      </c>
      <c r="AQ9" s="1">
        <f ca="1">OFFSET(控制台!$V$2798,MATCH(B9,控制台!$B$2798:$B$2809,0)-2,0)*控制台!$E$2771</f>
        <v>0</v>
      </c>
      <c r="AR9" s="1">
        <f ca="1">OFFSET(控制台!$V$2798,MATCH(B9,控制台!$B$2798:$B$2809,0)-1,0)*控制台!$E$2771</f>
        <v>0</v>
      </c>
      <c r="AS9" s="1">
        <f ca="1">Lerp_dyy(AQ9,AR9,C9/5)</f>
        <v>0</v>
      </c>
      <c r="AT9" s="4">
        <f ca="1">MAX(_xlfn.FLOOR.MATH(AS9/24/3600*控制台!$E$2784)-控制台!$J$2814,0)</f>
        <v>0</v>
      </c>
      <c r="AU9" s="1">
        <f ca="1" t="shared" si="12"/>
        <v>0</v>
      </c>
      <c r="AV9" s="1">
        <f ca="1" t="shared" si="13"/>
        <v>0</v>
      </c>
      <c r="AW9" s="5">
        <f ca="1" t="shared" si="23"/>
        <v>0</v>
      </c>
      <c r="AX9" s="1">
        <f ca="1">OFFSET(控制台!$X$2798,MATCH(B9,控制台!$B$2798:$B$2809,0)-2,0)*控制台!$E$2775</f>
        <v>0</v>
      </c>
      <c r="AY9" s="1">
        <f ca="1">OFFSET(控制台!$X$2798,MATCH(B9,控制台!$B$2798:$B$2809,0)-1,0)*控制台!$E$2775</f>
        <v>0</v>
      </c>
      <c r="AZ9" s="1">
        <f ca="1">Lerp_dyy(AX9,AY9,C9/5)</f>
        <v>0</v>
      </c>
      <c r="BA9" s="4">
        <f ca="1">_xlfn.FLOOR.MATH(AZ9/24/3600*控制台!$E$2785)</f>
        <v>0</v>
      </c>
      <c r="BB9" s="1">
        <f ca="1" t="shared" si="14"/>
        <v>0</v>
      </c>
      <c r="BC9" s="1">
        <f ca="1" t="shared" si="15"/>
        <v>0</v>
      </c>
      <c r="BD9" s="5">
        <f ca="1" t="shared" si="24"/>
        <v>0</v>
      </c>
      <c r="BE9" s="1">
        <f ca="1">OFFSET(控制台!$AA$2798,MATCH(B9,控制台!$B$2798:$B$2809,0)-1,0)</f>
        <v>0</v>
      </c>
      <c r="BF9" s="1">
        <f ca="1" t="shared" si="1"/>
        <v>0</v>
      </c>
      <c r="BG9" s="5">
        <f ca="1" t="shared" si="25"/>
        <v>0</v>
      </c>
      <c r="BH9" s="1">
        <f ca="1">OFFSET(控制台!$AD$2798,MATCH(B9,控制台!$B$2798:$B$2809,0)-2,0)</f>
        <v>40</v>
      </c>
      <c r="BI9" s="1">
        <f ca="1">OFFSET(控制台!$AD$2798,MATCH(B9,控制台!$B$2798:$B$2809,0)-1,0)</f>
        <v>80</v>
      </c>
      <c r="BJ9" s="1">
        <f ca="1">Lerp_dyy(BH9,BI9,C9/5)</f>
        <v>72</v>
      </c>
      <c r="BK9" s="4">
        <f ca="1">_xlfn.FLOOR.MATH(BJ9/24/3600*控制台!$E$2785)</f>
        <v>1</v>
      </c>
      <c r="BL9" s="1">
        <f ca="1" t="shared" si="16"/>
        <v>48</v>
      </c>
      <c r="BM9" s="1">
        <f ca="1" t="shared" si="17"/>
        <v>9.6</v>
      </c>
      <c r="BN9" s="5">
        <f ca="1" t="shared" si="26"/>
        <v>38.4</v>
      </c>
    </row>
    <row r="10" spans="1:66">
      <c r="A10" s="1">
        <f t="shared" si="2"/>
        <v>105</v>
      </c>
      <c r="B10" s="1">
        <v>1</v>
      </c>
      <c r="C10" s="1">
        <v>5</v>
      </c>
      <c r="D10" s="1">
        <f ca="1">OFFSET(控制台!$D$2798,MATCH(B10,控制台!$B$2798:$B$2809,0)-2,0)*控制台!$E$2751</f>
        <v>500000</v>
      </c>
      <c r="E10" s="1">
        <f ca="1">OFFSET(控制台!$D$2798,MATCH(B10,控制台!$B$2798:$B$2809,0)-1,0)*控制台!$E$2751</f>
        <v>1000000</v>
      </c>
      <c r="F10" s="1">
        <f ca="1">Lerp_dyy(D10,E10,C10/5)</f>
        <v>1000000</v>
      </c>
      <c r="G10" s="4">
        <f ca="1">_xlfn.FLOOR.MATH(F10/24/3600*控制台!$E$2784)-控制台!$E$2814</f>
        <v>107</v>
      </c>
      <c r="H10" s="1">
        <f ca="1" t="shared" si="3"/>
        <v>924480</v>
      </c>
      <c r="I10" s="1">
        <f ca="1">IF(B10=1,0,OFFSET(控制台!$B$865,MATCH(B10-1,控制台!$G$865:$G$936,0)-1,0))</f>
        <v>0</v>
      </c>
      <c r="J10" s="1">
        <f ca="1">OFFSET(控制台!$B$865,MATCH(B10,控制台!$G$865:$G$936,0)-1,0)</f>
        <v>1</v>
      </c>
      <c r="K10" s="1">
        <f ca="1" t="shared" si="4"/>
        <v>0.2</v>
      </c>
      <c r="L10" s="5">
        <f ca="1">Lerp_dyy(I10,J10,C10/5)</f>
        <v>1</v>
      </c>
      <c r="M10" s="1">
        <f ca="1" t="shared" si="5"/>
        <v>184896</v>
      </c>
      <c r="N10" s="5">
        <f ca="1" t="shared" si="18"/>
        <v>727488</v>
      </c>
      <c r="O10" s="1">
        <f ca="1">OFFSET(控制台!$F$2798,MATCH(B10,控制台!$B$2798:$B$2809,0)-2,0)*控制台!$E$2755</f>
        <v>300</v>
      </c>
      <c r="P10" s="1">
        <f ca="1">OFFSET(控制台!$F$2798,MATCH(B10,控制台!$B$2798:$B$2809,0)-1,0)*控制台!$E$2755</f>
        <v>600</v>
      </c>
      <c r="Q10" s="1">
        <f ca="1">Lerp_dyy(O10,P10,C10/5)</f>
        <v>600</v>
      </c>
      <c r="R10" s="4">
        <f ca="1">_xlfn.FLOOR.MATH(Q10/24/3600*控制台!$E$2785)</f>
        <v>12</v>
      </c>
      <c r="S10" s="1">
        <f ca="1" t="shared" si="6"/>
        <v>576</v>
      </c>
      <c r="T10" s="1">
        <f ca="1" t="shared" si="7"/>
        <v>115.2</v>
      </c>
      <c r="U10" s="5">
        <f ca="1" t="shared" si="19"/>
        <v>460.8</v>
      </c>
      <c r="V10" s="1">
        <f ca="1">OFFSET(控制台!$I$2798,MATCH(B10,控制台!$B$2798:$B$2809,0)-2,0)*控制台!$E$2791</f>
        <v>0</v>
      </c>
      <c r="W10" s="1">
        <f ca="1">OFFSET(控制台!$I$2798,MATCH(B10,控制台!$B$2798:$B$2809,0)-1,0)*控制台!$E$2791</f>
        <v>156.25</v>
      </c>
      <c r="X10" s="1">
        <f ca="1">Lerp_dyy(V10,W10,C10/5)</f>
        <v>156.25</v>
      </c>
      <c r="Y10" s="4">
        <f ca="1">_xlfn.FLOOR.MATH(X10)</f>
        <v>156</v>
      </c>
      <c r="Z10" s="1">
        <f ca="1" t="shared" si="8"/>
        <v>0.1872</v>
      </c>
      <c r="AA10" s="1">
        <f ca="1" t="shared" si="0"/>
        <v>0.03744</v>
      </c>
      <c r="AB10" s="5">
        <f ca="1" t="shared" si="20"/>
        <v>0.11208</v>
      </c>
      <c r="AC10" s="5">
        <f ca="1">AB10*控制台!$E$4819</f>
        <v>0.089664</v>
      </c>
      <c r="AD10" s="5">
        <f ca="1">AB10*控制台!$E$4820</f>
        <v>2.051064</v>
      </c>
      <c r="AE10" s="1">
        <f ca="1">OFFSET(控制台!$L$2798,MATCH(B10,控制台!$B$2798:$B$2809,0)-2,0)*控制台!$E$2763</f>
        <v>0</v>
      </c>
      <c r="AF10" s="1">
        <f ca="1">OFFSET(控制台!$L$2798,MATCH(B10,控制台!$B$2798:$B$2809,0)-1,0)*控制台!$E$2763</f>
        <v>0</v>
      </c>
      <c r="AG10" s="1">
        <f ca="1">Lerp_dyy(AE10,AF10,C10/5)</f>
        <v>0</v>
      </c>
      <c r="AH10" s="1">
        <f ca="1" t="shared" si="9"/>
        <v>0</v>
      </c>
      <c r="AI10" s="5">
        <f ca="1" t="shared" si="21"/>
        <v>0</v>
      </c>
      <c r="AJ10" s="1">
        <f ca="1">OFFSET(控制台!$P$2798,MATCH(B10,控制台!$B$2798:$B$2809,0)-2,0)</f>
        <v>50</v>
      </c>
      <c r="AK10" s="1">
        <f ca="1">OFFSET(控制台!$P$2798,MATCH(B10,控制台!$B$2798:$B$2809,0)-1,0)</f>
        <v>300</v>
      </c>
      <c r="AL10" s="1">
        <f ca="1">Lerp_dyy(AJ10,AK10,C10/5)</f>
        <v>300</v>
      </c>
      <c r="AM10" s="4">
        <f ca="1">_xlfn.FLOOR.MATH(AL10/24/3600*控制台!$E$2785)</f>
        <v>6</v>
      </c>
      <c r="AN10" s="1">
        <f ca="1" t="shared" si="10"/>
        <v>288</v>
      </c>
      <c r="AO10" s="1">
        <f ca="1" t="shared" si="11"/>
        <v>57.6</v>
      </c>
      <c r="AP10" s="5">
        <f ca="1" t="shared" si="22"/>
        <v>192</v>
      </c>
      <c r="AQ10" s="1">
        <f ca="1">OFFSET(控制台!$V$2798,MATCH(B10,控制台!$B$2798:$B$2809,0)-2,0)*控制台!$E$2771</f>
        <v>0</v>
      </c>
      <c r="AR10" s="1">
        <f ca="1">OFFSET(控制台!$V$2798,MATCH(B10,控制台!$B$2798:$B$2809,0)-1,0)*控制台!$E$2771</f>
        <v>0</v>
      </c>
      <c r="AS10" s="1">
        <f ca="1">Lerp_dyy(AQ10,AR10,C10/5)</f>
        <v>0</v>
      </c>
      <c r="AT10" s="4">
        <f ca="1">MAX(_xlfn.FLOOR.MATH(AS10/24/3600*控制台!$E$2784)-控制台!$J$2814,0)</f>
        <v>0</v>
      </c>
      <c r="AU10" s="1">
        <f ca="1" t="shared" si="12"/>
        <v>0</v>
      </c>
      <c r="AV10" s="1">
        <f ca="1" t="shared" si="13"/>
        <v>0</v>
      </c>
      <c r="AW10" s="5">
        <f ca="1" t="shared" si="23"/>
        <v>0</v>
      </c>
      <c r="AX10" s="1">
        <f ca="1">OFFSET(控制台!$X$2798,MATCH(B10,控制台!$B$2798:$B$2809,0)-2,0)*控制台!$E$2775</f>
        <v>0</v>
      </c>
      <c r="AY10" s="1">
        <f ca="1">OFFSET(控制台!$X$2798,MATCH(B10,控制台!$B$2798:$B$2809,0)-1,0)*控制台!$E$2775</f>
        <v>0</v>
      </c>
      <c r="AZ10" s="1">
        <f ca="1">Lerp_dyy(AX10,AY10,C10/5)</f>
        <v>0</v>
      </c>
      <c r="BA10" s="4">
        <f ca="1">_xlfn.FLOOR.MATH(AZ10/24/3600*控制台!$E$2785)</f>
        <v>0</v>
      </c>
      <c r="BB10" s="1">
        <f ca="1" t="shared" si="14"/>
        <v>0</v>
      </c>
      <c r="BC10" s="1">
        <f ca="1" t="shared" si="15"/>
        <v>0</v>
      </c>
      <c r="BD10" s="5">
        <f ca="1" t="shared" si="24"/>
        <v>0</v>
      </c>
      <c r="BE10" s="1">
        <f ca="1">OFFSET(控制台!$AA$2798,MATCH(B10,控制台!$B$2798:$B$2809,0)-1,0)</f>
        <v>0</v>
      </c>
      <c r="BF10" s="1">
        <f ca="1" t="shared" si="1"/>
        <v>0</v>
      </c>
      <c r="BG10" s="5">
        <f ca="1" t="shared" si="25"/>
        <v>0</v>
      </c>
      <c r="BH10" s="1">
        <f ca="1">OFFSET(控制台!$AD$2798,MATCH(B10,控制台!$B$2798:$B$2809,0)-2,0)</f>
        <v>40</v>
      </c>
      <c r="BI10" s="1">
        <f ca="1">OFFSET(控制台!$AD$2798,MATCH(B10,控制台!$B$2798:$B$2809,0)-1,0)</f>
        <v>80</v>
      </c>
      <c r="BJ10" s="1">
        <f ca="1">Lerp_dyy(BH10,BI10,C10/5)</f>
        <v>80</v>
      </c>
      <c r="BK10" s="4">
        <f ca="1">_xlfn.FLOOR.MATH(BJ10/24/3600*控制台!$E$2785)</f>
        <v>1</v>
      </c>
      <c r="BL10" s="1">
        <f ca="1" t="shared" si="16"/>
        <v>48</v>
      </c>
      <c r="BM10" s="1">
        <f ca="1" t="shared" si="17"/>
        <v>9.6</v>
      </c>
      <c r="BN10" s="5">
        <f ca="1" t="shared" si="26"/>
        <v>48</v>
      </c>
    </row>
    <row r="11" s="15" customFormat="1" spans="1:66">
      <c r="A11" s="15">
        <f t="shared" si="2"/>
        <v>201</v>
      </c>
      <c r="B11" s="15">
        <v>2</v>
      </c>
      <c r="C11" s="15">
        <v>1</v>
      </c>
      <c r="D11" s="15">
        <f ca="1">OFFSET(控制台!$D$2798,MATCH(B11,控制台!$B$2798:$B$2809,0)-2,0)*控制台!$E$2751</f>
        <v>1000000</v>
      </c>
      <c r="E11" s="15">
        <f ca="1">OFFSET(控制台!$D$2798,MATCH(B11,控制台!$B$2798:$B$2809,0)-1,0)*控制台!$E$2751</f>
        <v>1500000</v>
      </c>
      <c r="F11" s="15">
        <f ca="1">Lerp_dyy(D11,E11,C11/10)</f>
        <v>1050000</v>
      </c>
      <c r="G11" s="16">
        <f ca="1">_xlfn.FLOOR.MATH(F11/24/3600*控制台!$E$2784)-控制台!$E$2814</f>
        <v>113</v>
      </c>
      <c r="H11" s="15">
        <f ca="1" t="shared" si="3"/>
        <v>976320</v>
      </c>
      <c r="I11" s="15">
        <f ca="1">IF(B11=1,0,OFFSET(控制台!$B$865,MATCH(B11-1,控制台!$G$865:$G$936,0)-1,0))</f>
        <v>1</v>
      </c>
      <c r="J11" s="15">
        <f ca="1">OFFSET(控制台!$B$865,MATCH(B11,控制台!$G$865:$G$936,0)-1,0)</f>
        <v>5</v>
      </c>
      <c r="K11" s="15">
        <f ca="1" t="shared" ref="K11:K65" si="27">(J11-I11)/10</f>
        <v>0.4</v>
      </c>
      <c r="L11" s="17">
        <f ca="1">Lerp_dyy(I11,J11,C11/10)</f>
        <v>1.4</v>
      </c>
      <c r="M11" s="15">
        <f ca="1" t="shared" si="5"/>
        <v>390528</v>
      </c>
      <c r="N11" s="17">
        <f ca="1" t="shared" si="18"/>
        <v>1118016</v>
      </c>
      <c r="O11" s="15">
        <f ca="1">OFFSET(控制台!$F$2798,MATCH(B11,控制台!$B$2798:$B$2809,0)-2,0)*控制台!$E$2755</f>
        <v>600</v>
      </c>
      <c r="P11" s="15">
        <f ca="1">OFFSET(控制台!$F$2798,MATCH(B11,控制台!$B$2798:$B$2809,0)-1,0)*控制台!$E$2755</f>
        <v>900</v>
      </c>
      <c r="Q11" s="15">
        <f ca="1">Lerp_dyy(O11,P11,C11/10)</f>
        <v>630</v>
      </c>
      <c r="R11" s="16">
        <f ca="1">_xlfn.FLOOR.MATH(Q11/24/3600*控制台!$E$2785)</f>
        <v>13</v>
      </c>
      <c r="S11" s="15">
        <f ca="1" t="shared" si="6"/>
        <v>624</v>
      </c>
      <c r="T11" s="15">
        <f ca="1" t="shared" si="7"/>
        <v>249.6</v>
      </c>
      <c r="U11" s="17">
        <f ca="1" t="shared" si="19"/>
        <v>710.4</v>
      </c>
      <c r="V11" s="15">
        <f ca="1">OFFSET(控制台!$I$2798,MATCH(B11,控制台!$B$2798:$B$2809,0)-2,0)*控制台!$E$2791</f>
        <v>156.25</v>
      </c>
      <c r="W11" s="15">
        <f ca="1">OFFSET(控制台!$I$2798,MATCH(B11,控制台!$B$2798:$B$2809,0)-1,0)*控制台!$E$2791</f>
        <v>312.5</v>
      </c>
      <c r="X11" s="15">
        <f ca="1">Lerp_dyy(V11,W11,C11/10)</f>
        <v>171.875</v>
      </c>
      <c r="Y11" s="16">
        <f ca="1">_xlfn.FLOOR.MATH(X11)</f>
        <v>171</v>
      </c>
      <c r="Z11" s="15">
        <f ca="1" t="shared" si="8"/>
        <v>0.2052</v>
      </c>
      <c r="AA11" s="15">
        <f ca="1" t="shared" si="0"/>
        <v>0.08208</v>
      </c>
      <c r="AB11" s="17">
        <f ca="1" t="shared" ref="AB11:AB74" si="28">AA11+AB10</f>
        <v>0.19416</v>
      </c>
      <c r="AC11" s="17">
        <f ca="1">AB11*控制台!$E$4819</f>
        <v>0.155328</v>
      </c>
      <c r="AD11" s="17">
        <f ca="1">AB11*控制台!$E$4820</f>
        <v>3.553128</v>
      </c>
      <c r="AE11" s="15">
        <f ca="1">OFFSET(控制台!$L$2798,MATCH(B11,控制台!$B$2798:$B$2809,0)-2,0)*控制台!$E$2763</f>
        <v>0</v>
      </c>
      <c r="AF11" s="15">
        <f ca="1">OFFSET(控制台!$L$2798,MATCH(B11,控制台!$B$2798:$B$2809,0)-1,0)*控制台!$E$2763</f>
        <v>150</v>
      </c>
      <c r="AG11" s="15">
        <f ca="1">Lerp_dyy(AE11,AF11,C11/10)</f>
        <v>15</v>
      </c>
      <c r="AH11" s="15">
        <f ca="1" t="shared" si="9"/>
        <v>6</v>
      </c>
      <c r="AI11" s="17">
        <f ca="1" t="shared" si="21"/>
        <v>6</v>
      </c>
      <c r="AJ11" s="15">
        <f ca="1">OFFSET(控制台!$P$2798,MATCH(B11,控制台!$B$2798:$B$2809,0)-2,0)</f>
        <v>300</v>
      </c>
      <c r="AK11" s="15">
        <f ca="1">OFFSET(控制台!$P$2798,MATCH(B11,控制台!$B$2798:$B$2809,0)-1,0)</f>
        <v>500</v>
      </c>
      <c r="AL11" s="15">
        <f ca="1">Lerp_dyy(AJ11,AK11,C11/10)</f>
        <v>320</v>
      </c>
      <c r="AM11" s="16">
        <f ca="1">_xlfn.FLOOR.MATH(AL11/24/3600*控制台!$E$2785)</f>
        <v>6</v>
      </c>
      <c r="AN11" s="15">
        <f ca="1" t="shared" si="10"/>
        <v>288</v>
      </c>
      <c r="AO11" s="15">
        <f ca="1" t="shared" si="11"/>
        <v>115.2</v>
      </c>
      <c r="AP11" s="17">
        <f ca="1" t="shared" si="22"/>
        <v>307.2</v>
      </c>
      <c r="AQ11" s="15">
        <f ca="1">OFFSET(控制台!$V$2798,MATCH(B11,控制台!$B$2798:$B$2809,0)-2,0)*控制台!$E$2771</f>
        <v>0</v>
      </c>
      <c r="AR11" s="15">
        <f ca="1">OFFSET(控制台!$V$2798,MATCH(B11,控制台!$B$2798:$B$2809,0)-1,0)*控制台!$E$2771</f>
        <v>750000</v>
      </c>
      <c r="AS11" s="15">
        <f ca="1">Lerp_dyy(AQ11,AR11,C11/10)</f>
        <v>75000</v>
      </c>
      <c r="AT11" s="16">
        <f ca="1">MAX(_xlfn.FLOOR.MATH(AS11/24/3600*控制台!$E$2784)-控制台!$J$2814,0)</f>
        <v>4</v>
      </c>
      <c r="AU11" s="15">
        <f ca="1" t="shared" si="12"/>
        <v>34560</v>
      </c>
      <c r="AV11" s="15">
        <f ca="1" t="shared" si="13"/>
        <v>13824</v>
      </c>
      <c r="AW11" s="17">
        <f ca="1" t="shared" si="23"/>
        <v>13824</v>
      </c>
      <c r="AX11" s="15">
        <f ca="1">OFFSET(控制台!$X$2798,MATCH(B11,控制台!$B$2798:$B$2809,0)-2,0)*控制台!$E$2775</f>
        <v>0</v>
      </c>
      <c r="AY11" s="15">
        <f ca="1">OFFSET(控制台!$X$2798,MATCH(B11,控制台!$B$2798:$B$2809,0)-1,0)*控制台!$E$2775</f>
        <v>450</v>
      </c>
      <c r="AZ11" s="15">
        <f ca="1">Lerp_dyy(AX11,AY11,C11/10)</f>
        <v>45</v>
      </c>
      <c r="BA11" s="16">
        <f ca="1">_xlfn.FLOOR.MATH(AZ11/24/3600*控制台!$E$2785)</f>
        <v>0</v>
      </c>
      <c r="BB11" s="15">
        <f ca="1" t="shared" si="14"/>
        <v>0</v>
      </c>
      <c r="BC11" s="15">
        <f ca="1" t="shared" si="15"/>
        <v>0</v>
      </c>
      <c r="BD11" s="17">
        <f ca="1" t="shared" si="24"/>
        <v>0</v>
      </c>
      <c r="BE11" s="1">
        <f ca="1">OFFSET(控制台!$AA$2798,MATCH(B11,控制台!$B$2798:$B$2809,0)-1,0)</f>
        <v>0</v>
      </c>
      <c r="BF11" s="1">
        <f ca="1" t="shared" si="1"/>
        <v>0</v>
      </c>
      <c r="BG11" s="17">
        <f ca="1" t="shared" si="25"/>
        <v>0</v>
      </c>
      <c r="BH11" s="15">
        <f ca="1">OFFSET(控制台!$AD$2798,MATCH(B11,控制台!$B$2798:$B$2809,0)-2,0)</f>
        <v>80</v>
      </c>
      <c r="BI11" s="15">
        <f ca="1">OFFSET(控制台!$AD$2798,MATCH(B11,控制台!$B$2798:$B$2809,0)-1,0)</f>
        <v>160</v>
      </c>
      <c r="BJ11" s="15">
        <f ca="1">Lerp_dyy(BH11,BI11,C11/10)</f>
        <v>88</v>
      </c>
      <c r="BK11" s="16">
        <f ca="1">_xlfn.FLOOR.MATH(BJ11/24/3600*控制台!$E$2785)</f>
        <v>1</v>
      </c>
      <c r="BL11" s="15">
        <f ca="1" t="shared" si="16"/>
        <v>48</v>
      </c>
      <c r="BM11" s="15">
        <f ca="1" t="shared" si="17"/>
        <v>19.2</v>
      </c>
      <c r="BN11" s="17">
        <f ca="1" t="shared" si="26"/>
        <v>67.2</v>
      </c>
    </row>
    <row r="12" s="15" customFormat="1" spans="1:66">
      <c r="A12" s="15">
        <f t="shared" si="2"/>
        <v>202</v>
      </c>
      <c r="B12" s="15">
        <v>2</v>
      </c>
      <c r="C12" s="15">
        <v>2</v>
      </c>
      <c r="D12" s="15">
        <f ca="1">OFFSET(控制台!$D$2798,MATCH(B12,控制台!$B$2798:$B$2809,0)-2,0)*控制台!$E$2751</f>
        <v>1000000</v>
      </c>
      <c r="E12" s="15">
        <f ca="1">OFFSET(控制台!$D$2798,MATCH(B12,控制台!$B$2798:$B$2809,0)-1,0)*控制台!$E$2751</f>
        <v>1500000</v>
      </c>
      <c r="F12" s="15">
        <f ca="1">Lerp_dyy(D12,E12,C12/10)</f>
        <v>1100000</v>
      </c>
      <c r="G12" s="16">
        <f ca="1">_xlfn.FLOOR.MATH(F12/24/3600*控制台!$E$2784)-控制台!$E$2814</f>
        <v>119</v>
      </c>
      <c r="H12" s="15">
        <f ca="1" t="shared" si="3"/>
        <v>1028160</v>
      </c>
      <c r="I12" s="15">
        <f ca="1">IF(B12=1,0,OFFSET(控制台!$B$865,MATCH(B12-1,控制台!$G$865:$G$936,0)-1,0))</f>
        <v>1</v>
      </c>
      <c r="J12" s="15">
        <f ca="1">OFFSET(控制台!$B$865,MATCH(B12,控制台!$G$865:$G$936,0)-1,0)</f>
        <v>5</v>
      </c>
      <c r="K12" s="15">
        <f ca="1" t="shared" si="27"/>
        <v>0.4</v>
      </c>
      <c r="L12" s="17">
        <f ca="1">Lerp_dyy(I12,J12,C12/10)</f>
        <v>1.8</v>
      </c>
      <c r="M12" s="15">
        <f ca="1" t="shared" si="5"/>
        <v>411264</v>
      </c>
      <c r="N12" s="17">
        <f ca="1" t="shared" si="18"/>
        <v>1529280</v>
      </c>
      <c r="O12" s="15">
        <f ca="1">OFFSET(控制台!$F$2798,MATCH(B12,控制台!$B$2798:$B$2809,0)-2,0)*控制台!$E$2755</f>
        <v>600</v>
      </c>
      <c r="P12" s="15">
        <f ca="1">OFFSET(控制台!$F$2798,MATCH(B12,控制台!$B$2798:$B$2809,0)-1,0)*控制台!$E$2755</f>
        <v>900</v>
      </c>
      <c r="Q12" s="15">
        <f ca="1">Lerp_dyy(O12,P12,C12/10)</f>
        <v>660</v>
      </c>
      <c r="R12" s="16">
        <f ca="1">_xlfn.FLOOR.MATH(Q12/24/3600*控制台!$E$2785)</f>
        <v>13</v>
      </c>
      <c r="S12" s="15">
        <f ca="1" t="shared" si="6"/>
        <v>624</v>
      </c>
      <c r="T12" s="15">
        <f ca="1" t="shared" si="7"/>
        <v>249.6</v>
      </c>
      <c r="U12" s="17">
        <f ca="1" t="shared" si="19"/>
        <v>960</v>
      </c>
      <c r="V12" s="15">
        <f ca="1">OFFSET(控制台!$I$2798,MATCH(B12,控制台!$B$2798:$B$2809,0)-2,0)*控制台!$E$2791</f>
        <v>156.25</v>
      </c>
      <c r="W12" s="15">
        <f ca="1">OFFSET(控制台!$I$2798,MATCH(B12,控制台!$B$2798:$B$2809,0)-1,0)*控制台!$E$2791</f>
        <v>312.5</v>
      </c>
      <c r="X12" s="15">
        <f ca="1">Lerp_dyy(V12,W12,C12/10)</f>
        <v>187.5</v>
      </c>
      <c r="Y12" s="16">
        <f ca="1">_xlfn.FLOOR.MATH(X12)</f>
        <v>187</v>
      </c>
      <c r="Z12" s="15">
        <f ca="1" t="shared" si="8"/>
        <v>0.2244</v>
      </c>
      <c r="AA12" s="15">
        <f ca="1" t="shared" si="0"/>
        <v>0.08976</v>
      </c>
      <c r="AB12" s="17">
        <f ca="1" t="shared" si="28"/>
        <v>0.28392</v>
      </c>
      <c r="AC12" s="17">
        <f ca="1">AB12*控制台!$E$4819</f>
        <v>0.227136</v>
      </c>
      <c r="AD12" s="17">
        <f ca="1">AB12*控制台!$E$4820</f>
        <v>5.195736</v>
      </c>
      <c r="AE12" s="15">
        <f ca="1">OFFSET(控制台!$L$2798,MATCH(B12,控制台!$B$2798:$B$2809,0)-2,0)*控制台!$E$2763</f>
        <v>0</v>
      </c>
      <c r="AF12" s="15">
        <f ca="1">OFFSET(控制台!$L$2798,MATCH(B12,控制台!$B$2798:$B$2809,0)-1,0)*控制台!$E$2763</f>
        <v>150</v>
      </c>
      <c r="AG12" s="15">
        <f ca="1">Lerp_dyy(AE12,AF12,C12/10)</f>
        <v>30</v>
      </c>
      <c r="AH12" s="15">
        <f ca="1" t="shared" si="9"/>
        <v>12</v>
      </c>
      <c r="AI12" s="17">
        <f ca="1" t="shared" si="21"/>
        <v>18</v>
      </c>
      <c r="AJ12" s="15">
        <f ca="1">OFFSET(控制台!$P$2798,MATCH(B12,控制台!$B$2798:$B$2809,0)-2,0)</f>
        <v>300</v>
      </c>
      <c r="AK12" s="15">
        <f ca="1">OFFSET(控制台!$P$2798,MATCH(B12,控制台!$B$2798:$B$2809,0)-1,0)</f>
        <v>500</v>
      </c>
      <c r="AL12" s="15">
        <f ca="1">Lerp_dyy(AJ12,AK12,C12/10)</f>
        <v>340</v>
      </c>
      <c r="AM12" s="16">
        <f ca="1">_xlfn.FLOOR.MATH(AL12/24/3600*控制台!$E$2785)</f>
        <v>7</v>
      </c>
      <c r="AN12" s="15">
        <f ca="1" t="shared" si="10"/>
        <v>336</v>
      </c>
      <c r="AO12" s="15">
        <f ca="1" t="shared" si="11"/>
        <v>134.4</v>
      </c>
      <c r="AP12" s="17">
        <f ca="1" t="shared" si="22"/>
        <v>441.6</v>
      </c>
      <c r="AQ12" s="15">
        <f ca="1">OFFSET(控制台!$V$2798,MATCH(B12,控制台!$B$2798:$B$2809,0)-2,0)*控制台!$E$2771</f>
        <v>0</v>
      </c>
      <c r="AR12" s="15">
        <f ca="1">OFFSET(控制台!$V$2798,MATCH(B12,控制台!$B$2798:$B$2809,0)-1,0)*控制台!$E$2771</f>
        <v>750000</v>
      </c>
      <c r="AS12" s="15">
        <f ca="1">Lerp_dyy(AQ12,AR12,C12/10)</f>
        <v>150000</v>
      </c>
      <c r="AT12" s="16">
        <f ca="1">MAX(_xlfn.FLOOR.MATH(AS12/24/3600*控制台!$E$2784)-控制台!$J$2814,0)</f>
        <v>13</v>
      </c>
      <c r="AU12" s="15">
        <f ca="1" t="shared" si="12"/>
        <v>112320</v>
      </c>
      <c r="AV12" s="15">
        <f ca="1" t="shared" si="13"/>
        <v>44928</v>
      </c>
      <c r="AW12" s="17">
        <f ca="1" t="shared" si="23"/>
        <v>58752</v>
      </c>
      <c r="AX12" s="15">
        <f ca="1">OFFSET(控制台!$X$2798,MATCH(B12,控制台!$B$2798:$B$2809,0)-2,0)*控制台!$E$2775</f>
        <v>0</v>
      </c>
      <c r="AY12" s="15">
        <f ca="1">OFFSET(控制台!$X$2798,MATCH(B12,控制台!$B$2798:$B$2809,0)-1,0)*控制台!$E$2775</f>
        <v>450</v>
      </c>
      <c r="AZ12" s="15">
        <f ca="1">Lerp_dyy(AX12,AY12,C12/10)</f>
        <v>90</v>
      </c>
      <c r="BA12" s="16">
        <f ca="1">_xlfn.FLOOR.MATH(AZ12/24/3600*控制台!$E$2785)</f>
        <v>1</v>
      </c>
      <c r="BB12" s="15">
        <f ca="1" t="shared" si="14"/>
        <v>48</v>
      </c>
      <c r="BC12" s="15">
        <f ca="1" t="shared" si="15"/>
        <v>19.2</v>
      </c>
      <c r="BD12" s="17">
        <f ca="1" t="shared" si="24"/>
        <v>19.2</v>
      </c>
      <c r="BE12" s="1">
        <f ca="1">OFFSET(控制台!$AA$2798,MATCH(B12,控制台!$B$2798:$B$2809,0)-1,0)</f>
        <v>0</v>
      </c>
      <c r="BF12" s="1">
        <f ca="1" t="shared" si="1"/>
        <v>0</v>
      </c>
      <c r="BG12" s="17">
        <f ca="1" t="shared" si="25"/>
        <v>0</v>
      </c>
      <c r="BH12" s="15">
        <f ca="1">OFFSET(控制台!$AD$2798,MATCH(B12,控制台!$B$2798:$B$2809,0)-2,0)</f>
        <v>80</v>
      </c>
      <c r="BI12" s="15">
        <f ca="1">OFFSET(控制台!$AD$2798,MATCH(B12,控制台!$B$2798:$B$2809,0)-1,0)</f>
        <v>160</v>
      </c>
      <c r="BJ12" s="15">
        <f ca="1">Lerp_dyy(BH12,BI12,C12/10)</f>
        <v>96</v>
      </c>
      <c r="BK12" s="16">
        <f ca="1">_xlfn.FLOOR.MATH(BJ12/24/3600*控制台!$E$2785)</f>
        <v>2</v>
      </c>
      <c r="BL12" s="15">
        <f ca="1" t="shared" si="16"/>
        <v>96</v>
      </c>
      <c r="BM12" s="15">
        <f ca="1" t="shared" si="17"/>
        <v>38.4</v>
      </c>
      <c r="BN12" s="17">
        <f ca="1" t="shared" si="26"/>
        <v>105.6</v>
      </c>
    </row>
    <row r="13" s="15" customFormat="1" spans="1:66">
      <c r="A13" s="15">
        <f t="shared" si="2"/>
        <v>203</v>
      </c>
      <c r="B13" s="15">
        <v>2</v>
      </c>
      <c r="C13" s="15">
        <v>3</v>
      </c>
      <c r="D13" s="15">
        <f ca="1">OFFSET(控制台!$D$2798,MATCH(B13,控制台!$B$2798:$B$2809,0)-2,0)*控制台!$E$2751</f>
        <v>1000000</v>
      </c>
      <c r="E13" s="15">
        <f ca="1">OFFSET(控制台!$D$2798,MATCH(B13,控制台!$B$2798:$B$2809,0)-1,0)*控制台!$E$2751</f>
        <v>1500000</v>
      </c>
      <c r="F13" s="15">
        <f ca="1">Lerp_dyy(D13,E13,C13/10)</f>
        <v>1150000</v>
      </c>
      <c r="G13" s="16">
        <f ca="1">_xlfn.FLOOR.MATH(F13/24/3600*控制台!$E$2784)-控制台!$E$2814</f>
        <v>125</v>
      </c>
      <c r="H13" s="15">
        <f ca="1" t="shared" si="3"/>
        <v>1080000</v>
      </c>
      <c r="I13" s="15">
        <f ca="1">IF(B13=1,0,OFFSET(控制台!$B$865,MATCH(B13-1,控制台!$G$865:$G$936,0)-1,0))</f>
        <v>1</v>
      </c>
      <c r="J13" s="15">
        <f ca="1">OFFSET(控制台!$B$865,MATCH(B13,控制台!$G$865:$G$936,0)-1,0)</f>
        <v>5</v>
      </c>
      <c r="K13" s="15">
        <f ca="1" t="shared" si="27"/>
        <v>0.4</v>
      </c>
      <c r="L13" s="17">
        <f ca="1">Lerp_dyy(I13,J13,C13/10)</f>
        <v>2.2</v>
      </c>
      <c r="M13" s="15">
        <f ca="1" t="shared" si="5"/>
        <v>432000</v>
      </c>
      <c r="N13" s="17">
        <f ca="1" t="shared" si="18"/>
        <v>1961280</v>
      </c>
      <c r="O13" s="15">
        <f ca="1">OFFSET(控制台!$F$2798,MATCH(B13,控制台!$B$2798:$B$2809,0)-2,0)*控制台!$E$2755</f>
        <v>600</v>
      </c>
      <c r="P13" s="15">
        <f ca="1">OFFSET(控制台!$F$2798,MATCH(B13,控制台!$B$2798:$B$2809,0)-1,0)*控制台!$E$2755</f>
        <v>900</v>
      </c>
      <c r="Q13" s="15">
        <f ca="1">Lerp_dyy(O13,P13,C13/10)</f>
        <v>690</v>
      </c>
      <c r="R13" s="16">
        <f ca="1">_xlfn.FLOOR.MATH(Q13/24/3600*控制台!$E$2785)</f>
        <v>14</v>
      </c>
      <c r="S13" s="15">
        <f ca="1" t="shared" si="6"/>
        <v>672</v>
      </c>
      <c r="T13" s="15">
        <f ca="1" t="shared" si="7"/>
        <v>268.8</v>
      </c>
      <c r="U13" s="17">
        <f ca="1" t="shared" si="19"/>
        <v>1228.8</v>
      </c>
      <c r="V13" s="15">
        <f ca="1">OFFSET(控制台!$I$2798,MATCH(B13,控制台!$B$2798:$B$2809,0)-2,0)*控制台!$E$2791</f>
        <v>156.25</v>
      </c>
      <c r="W13" s="15">
        <f ca="1">OFFSET(控制台!$I$2798,MATCH(B13,控制台!$B$2798:$B$2809,0)-1,0)*控制台!$E$2791</f>
        <v>312.5</v>
      </c>
      <c r="X13" s="15">
        <f ca="1">Lerp_dyy(V13,W13,C13/10)</f>
        <v>203.125</v>
      </c>
      <c r="Y13" s="16">
        <f ca="1">_xlfn.FLOOR.MATH(X13)</f>
        <v>203</v>
      </c>
      <c r="Z13" s="15">
        <f ca="1" t="shared" si="8"/>
        <v>0.2436</v>
      </c>
      <c r="AA13" s="15">
        <f ca="1" t="shared" si="0"/>
        <v>0.09744</v>
      </c>
      <c r="AB13" s="17">
        <f ca="1" t="shared" si="28"/>
        <v>0.38136</v>
      </c>
      <c r="AC13" s="17">
        <f ca="1">AB13*控制台!$E$4819</f>
        <v>0.305088</v>
      </c>
      <c r="AD13" s="17">
        <f ca="1">AB13*控制台!$E$4820</f>
        <v>6.978888</v>
      </c>
      <c r="AE13" s="15">
        <f ca="1">OFFSET(控制台!$L$2798,MATCH(B13,控制台!$B$2798:$B$2809,0)-2,0)*控制台!$E$2763</f>
        <v>0</v>
      </c>
      <c r="AF13" s="15">
        <f ca="1">OFFSET(控制台!$L$2798,MATCH(B13,控制台!$B$2798:$B$2809,0)-1,0)*控制台!$E$2763</f>
        <v>150</v>
      </c>
      <c r="AG13" s="15">
        <f ca="1">Lerp_dyy(AE13,AF13,C13/10)</f>
        <v>45</v>
      </c>
      <c r="AH13" s="15">
        <f ca="1" t="shared" si="9"/>
        <v>18</v>
      </c>
      <c r="AI13" s="17">
        <f ca="1" t="shared" si="21"/>
        <v>36</v>
      </c>
      <c r="AJ13" s="15">
        <f ca="1">OFFSET(控制台!$P$2798,MATCH(B13,控制台!$B$2798:$B$2809,0)-2,0)</f>
        <v>300</v>
      </c>
      <c r="AK13" s="15">
        <f ca="1">OFFSET(控制台!$P$2798,MATCH(B13,控制台!$B$2798:$B$2809,0)-1,0)</f>
        <v>500</v>
      </c>
      <c r="AL13" s="15">
        <f ca="1">Lerp_dyy(AJ13,AK13,C13/10)</f>
        <v>360</v>
      </c>
      <c r="AM13" s="16">
        <f ca="1">_xlfn.FLOOR.MATH(AL13/24/3600*控制台!$E$2785)</f>
        <v>7</v>
      </c>
      <c r="AN13" s="15">
        <f ca="1" t="shared" si="10"/>
        <v>336</v>
      </c>
      <c r="AO13" s="15">
        <f ca="1" t="shared" si="11"/>
        <v>134.4</v>
      </c>
      <c r="AP13" s="17">
        <f ca="1" t="shared" si="22"/>
        <v>576</v>
      </c>
      <c r="AQ13" s="15">
        <f ca="1">OFFSET(控制台!$V$2798,MATCH(B13,控制台!$B$2798:$B$2809,0)-2,0)*控制台!$E$2771</f>
        <v>0</v>
      </c>
      <c r="AR13" s="15">
        <f ca="1">OFFSET(控制台!$V$2798,MATCH(B13,控制台!$B$2798:$B$2809,0)-1,0)*控制台!$E$2771</f>
        <v>750000</v>
      </c>
      <c r="AS13" s="15">
        <f ca="1">Lerp_dyy(AQ13,AR13,C13/10)</f>
        <v>225000</v>
      </c>
      <c r="AT13" s="16">
        <f ca="1">MAX(_xlfn.FLOOR.MATH(AS13/24/3600*控制台!$E$2784)-控制台!$J$2814,0)</f>
        <v>22</v>
      </c>
      <c r="AU13" s="15">
        <f ca="1" t="shared" si="12"/>
        <v>190080</v>
      </c>
      <c r="AV13" s="15">
        <f ca="1" t="shared" si="13"/>
        <v>76032</v>
      </c>
      <c r="AW13" s="17">
        <f ca="1" t="shared" si="23"/>
        <v>134784</v>
      </c>
      <c r="AX13" s="15">
        <f ca="1">OFFSET(控制台!$X$2798,MATCH(B13,控制台!$B$2798:$B$2809,0)-2,0)*控制台!$E$2775</f>
        <v>0</v>
      </c>
      <c r="AY13" s="15">
        <f ca="1">OFFSET(控制台!$X$2798,MATCH(B13,控制台!$B$2798:$B$2809,0)-1,0)*控制台!$E$2775</f>
        <v>450</v>
      </c>
      <c r="AZ13" s="15">
        <f ca="1">Lerp_dyy(AX13,AY13,C13/10)</f>
        <v>135</v>
      </c>
      <c r="BA13" s="16">
        <f ca="1">_xlfn.FLOOR.MATH(AZ13/24/3600*控制台!$E$2785)</f>
        <v>2</v>
      </c>
      <c r="BB13" s="15">
        <f ca="1" t="shared" si="14"/>
        <v>96</v>
      </c>
      <c r="BC13" s="15">
        <f ca="1" t="shared" si="15"/>
        <v>38.4</v>
      </c>
      <c r="BD13" s="17">
        <f ca="1" t="shared" si="24"/>
        <v>57.6</v>
      </c>
      <c r="BE13" s="1">
        <f ca="1">OFFSET(控制台!$AA$2798,MATCH(B13,控制台!$B$2798:$B$2809,0)-1,0)</f>
        <v>0</v>
      </c>
      <c r="BF13" s="1">
        <f ca="1" t="shared" si="1"/>
        <v>0</v>
      </c>
      <c r="BG13" s="17">
        <f ca="1" t="shared" si="25"/>
        <v>0</v>
      </c>
      <c r="BH13" s="15">
        <f ca="1">OFFSET(控制台!$AD$2798,MATCH(B13,控制台!$B$2798:$B$2809,0)-2,0)</f>
        <v>80</v>
      </c>
      <c r="BI13" s="15">
        <f ca="1">OFFSET(控制台!$AD$2798,MATCH(B13,控制台!$B$2798:$B$2809,0)-1,0)</f>
        <v>160</v>
      </c>
      <c r="BJ13" s="15">
        <f ca="1">Lerp_dyy(BH13,BI13,C13/10)</f>
        <v>104</v>
      </c>
      <c r="BK13" s="16">
        <f ca="1">_xlfn.FLOOR.MATH(BJ13/24/3600*控制台!$E$2785)</f>
        <v>2</v>
      </c>
      <c r="BL13" s="15">
        <f ca="1" t="shared" si="16"/>
        <v>96</v>
      </c>
      <c r="BM13" s="15">
        <f ca="1" t="shared" si="17"/>
        <v>38.4</v>
      </c>
      <c r="BN13" s="17">
        <f ca="1" t="shared" si="26"/>
        <v>144</v>
      </c>
    </row>
    <row r="14" s="15" customFormat="1" spans="1:66">
      <c r="A14" s="15">
        <f t="shared" si="2"/>
        <v>204</v>
      </c>
      <c r="B14" s="15">
        <v>2</v>
      </c>
      <c r="C14" s="15">
        <v>4</v>
      </c>
      <c r="D14" s="15">
        <f ca="1">OFFSET(控制台!$D$2798,MATCH(B14,控制台!$B$2798:$B$2809,0)-2,0)*控制台!$E$2751</f>
        <v>1000000</v>
      </c>
      <c r="E14" s="15">
        <f ca="1">OFFSET(控制台!$D$2798,MATCH(B14,控制台!$B$2798:$B$2809,0)-1,0)*控制台!$E$2751</f>
        <v>1500000</v>
      </c>
      <c r="F14" s="15">
        <f ca="1">Lerp_dyy(D14,E14,C14/10)</f>
        <v>1200000</v>
      </c>
      <c r="G14" s="16">
        <f ca="1">_xlfn.FLOOR.MATH(F14/24/3600*控制台!$E$2784)-控制台!$E$2814</f>
        <v>130</v>
      </c>
      <c r="H14" s="15">
        <f ca="1" t="shared" si="3"/>
        <v>1123200</v>
      </c>
      <c r="I14" s="15">
        <f ca="1">IF(B14=1,0,OFFSET(控制台!$B$865,MATCH(B14-1,控制台!$G$865:$G$936,0)-1,0))</f>
        <v>1</v>
      </c>
      <c r="J14" s="15">
        <f ca="1">OFFSET(控制台!$B$865,MATCH(B14,控制台!$G$865:$G$936,0)-1,0)</f>
        <v>5</v>
      </c>
      <c r="K14" s="15">
        <f ca="1" t="shared" si="27"/>
        <v>0.4</v>
      </c>
      <c r="L14" s="17">
        <f ca="1">Lerp_dyy(I14,J14,C14/10)</f>
        <v>2.6</v>
      </c>
      <c r="M14" s="15">
        <f ca="1" t="shared" si="5"/>
        <v>449280</v>
      </c>
      <c r="N14" s="17">
        <f ca="1" t="shared" si="18"/>
        <v>2410560</v>
      </c>
      <c r="O14" s="15">
        <f ca="1">OFFSET(控制台!$F$2798,MATCH(B14,控制台!$B$2798:$B$2809,0)-2,0)*控制台!$E$2755</f>
        <v>600</v>
      </c>
      <c r="P14" s="15">
        <f ca="1">OFFSET(控制台!$F$2798,MATCH(B14,控制台!$B$2798:$B$2809,0)-1,0)*控制台!$E$2755</f>
        <v>900</v>
      </c>
      <c r="Q14" s="15">
        <f ca="1">Lerp_dyy(O14,P14,C14/10)</f>
        <v>720</v>
      </c>
      <c r="R14" s="16">
        <f ca="1">_xlfn.FLOOR.MATH(Q14/24/3600*控制台!$E$2785)</f>
        <v>15</v>
      </c>
      <c r="S14" s="15">
        <f ca="1" t="shared" si="6"/>
        <v>720</v>
      </c>
      <c r="T14" s="15">
        <f ca="1" t="shared" si="7"/>
        <v>288</v>
      </c>
      <c r="U14" s="17">
        <f ca="1" t="shared" si="19"/>
        <v>1516.8</v>
      </c>
      <c r="V14" s="15">
        <f ca="1">OFFSET(控制台!$I$2798,MATCH(B14,控制台!$B$2798:$B$2809,0)-2,0)*控制台!$E$2791</f>
        <v>156.25</v>
      </c>
      <c r="W14" s="15">
        <f ca="1">OFFSET(控制台!$I$2798,MATCH(B14,控制台!$B$2798:$B$2809,0)-1,0)*控制台!$E$2791</f>
        <v>312.5</v>
      </c>
      <c r="X14" s="15">
        <f ca="1">Lerp_dyy(V14,W14,C14/10)</f>
        <v>218.75</v>
      </c>
      <c r="Y14" s="16">
        <f ca="1">_xlfn.FLOOR.MATH(X14)</f>
        <v>218</v>
      </c>
      <c r="Z14" s="15">
        <f ca="1" t="shared" si="8"/>
        <v>0.2616</v>
      </c>
      <c r="AA14" s="15">
        <f ca="1" t="shared" si="0"/>
        <v>0.10464</v>
      </c>
      <c r="AB14" s="17">
        <f ca="1" t="shared" si="28"/>
        <v>0.486</v>
      </c>
      <c r="AC14" s="17">
        <f ca="1">AB14*控制台!$E$4819</f>
        <v>0.3888</v>
      </c>
      <c r="AD14" s="17">
        <f ca="1">AB14*控制台!$E$4820</f>
        <v>8.8938</v>
      </c>
      <c r="AE14" s="15">
        <f ca="1">OFFSET(控制台!$L$2798,MATCH(B14,控制台!$B$2798:$B$2809,0)-2,0)*控制台!$E$2763</f>
        <v>0</v>
      </c>
      <c r="AF14" s="15">
        <f ca="1">OFFSET(控制台!$L$2798,MATCH(B14,控制台!$B$2798:$B$2809,0)-1,0)*控制台!$E$2763</f>
        <v>150</v>
      </c>
      <c r="AG14" s="15">
        <f ca="1">Lerp_dyy(AE14,AF14,C14/10)</f>
        <v>60</v>
      </c>
      <c r="AH14" s="15">
        <f ca="1" t="shared" si="9"/>
        <v>24</v>
      </c>
      <c r="AI14" s="17">
        <f ca="1" t="shared" si="21"/>
        <v>60</v>
      </c>
      <c r="AJ14" s="15">
        <f ca="1">OFFSET(控制台!$P$2798,MATCH(B14,控制台!$B$2798:$B$2809,0)-2,0)</f>
        <v>300</v>
      </c>
      <c r="AK14" s="15">
        <f ca="1">OFFSET(控制台!$P$2798,MATCH(B14,控制台!$B$2798:$B$2809,0)-1,0)</f>
        <v>500</v>
      </c>
      <c r="AL14" s="15">
        <f ca="1">Lerp_dyy(AJ14,AK14,C14/10)</f>
        <v>380</v>
      </c>
      <c r="AM14" s="16">
        <f ca="1">_xlfn.FLOOR.MATH(AL14/24/3600*控制台!$E$2785)</f>
        <v>7</v>
      </c>
      <c r="AN14" s="15">
        <f ca="1" t="shared" si="10"/>
        <v>336</v>
      </c>
      <c r="AO14" s="15">
        <f ca="1" t="shared" si="11"/>
        <v>134.4</v>
      </c>
      <c r="AP14" s="17">
        <f ca="1" t="shared" si="22"/>
        <v>710.4</v>
      </c>
      <c r="AQ14" s="15">
        <f ca="1">OFFSET(控制台!$V$2798,MATCH(B14,控制台!$B$2798:$B$2809,0)-2,0)*控制台!$E$2771</f>
        <v>0</v>
      </c>
      <c r="AR14" s="15">
        <f ca="1">OFFSET(控制台!$V$2798,MATCH(B14,控制台!$B$2798:$B$2809,0)-1,0)*控制台!$E$2771</f>
        <v>750000</v>
      </c>
      <c r="AS14" s="15">
        <f ca="1">Lerp_dyy(AQ14,AR14,C14/10)</f>
        <v>300000</v>
      </c>
      <c r="AT14" s="16">
        <f ca="1">MAX(_xlfn.FLOOR.MATH(AS14/24/3600*控制台!$E$2784)-控制台!$J$2814,0)</f>
        <v>30</v>
      </c>
      <c r="AU14" s="15">
        <f ca="1" t="shared" si="12"/>
        <v>259200</v>
      </c>
      <c r="AV14" s="15">
        <f ca="1" t="shared" si="13"/>
        <v>103680</v>
      </c>
      <c r="AW14" s="17">
        <f ca="1" t="shared" si="23"/>
        <v>238464</v>
      </c>
      <c r="AX14" s="15">
        <f ca="1">OFFSET(控制台!$X$2798,MATCH(B14,控制台!$B$2798:$B$2809,0)-2,0)*控制台!$E$2775</f>
        <v>0</v>
      </c>
      <c r="AY14" s="15">
        <f ca="1">OFFSET(控制台!$X$2798,MATCH(B14,控制台!$B$2798:$B$2809,0)-1,0)*控制台!$E$2775</f>
        <v>450</v>
      </c>
      <c r="AZ14" s="15">
        <f ca="1">Lerp_dyy(AX14,AY14,C14/10)</f>
        <v>180</v>
      </c>
      <c r="BA14" s="16">
        <f ca="1">_xlfn.FLOOR.MATH(AZ14/24/3600*控制台!$E$2785)</f>
        <v>3</v>
      </c>
      <c r="BB14" s="15">
        <f ca="1" t="shared" si="14"/>
        <v>144</v>
      </c>
      <c r="BC14" s="15">
        <f ca="1" t="shared" si="15"/>
        <v>57.6</v>
      </c>
      <c r="BD14" s="17">
        <f ca="1" t="shared" si="24"/>
        <v>115.2</v>
      </c>
      <c r="BE14" s="1">
        <f ca="1">OFFSET(控制台!$AA$2798,MATCH(B14,控制台!$B$2798:$B$2809,0)-1,0)</f>
        <v>0</v>
      </c>
      <c r="BF14" s="1">
        <f ca="1" t="shared" si="1"/>
        <v>0</v>
      </c>
      <c r="BG14" s="17">
        <f ca="1" t="shared" si="25"/>
        <v>0</v>
      </c>
      <c r="BH14" s="15">
        <f ca="1">OFFSET(控制台!$AD$2798,MATCH(B14,控制台!$B$2798:$B$2809,0)-2,0)</f>
        <v>80</v>
      </c>
      <c r="BI14" s="15">
        <f ca="1">OFFSET(控制台!$AD$2798,MATCH(B14,控制台!$B$2798:$B$2809,0)-1,0)</f>
        <v>160</v>
      </c>
      <c r="BJ14" s="15">
        <f ca="1">Lerp_dyy(BH14,BI14,C14/10)</f>
        <v>112</v>
      </c>
      <c r="BK14" s="16">
        <f ca="1">_xlfn.FLOOR.MATH(BJ14/24/3600*控制台!$E$2785)</f>
        <v>2</v>
      </c>
      <c r="BL14" s="15">
        <f ca="1" t="shared" si="16"/>
        <v>96</v>
      </c>
      <c r="BM14" s="15">
        <f ca="1" t="shared" si="17"/>
        <v>38.4</v>
      </c>
      <c r="BN14" s="17">
        <f ca="1" t="shared" si="26"/>
        <v>182.4</v>
      </c>
    </row>
    <row r="15" s="15" customFormat="1" spans="1:66">
      <c r="A15" s="15">
        <f t="shared" si="2"/>
        <v>205</v>
      </c>
      <c r="B15" s="15">
        <v>2</v>
      </c>
      <c r="C15" s="15">
        <v>5</v>
      </c>
      <c r="D15" s="15">
        <f ca="1">OFFSET(控制台!$D$2798,MATCH(B15,控制台!$B$2798:$B$2809,0)-2,0)*控制台!$E$2751</f>
        <v>1000000</v>
      </c>
      <c r="E15" s="15">
        <f ca="1">OFFSET(控制台!$D$2798,MATCH(B15,控制台!$B$2798:$B$2809,0)-1,0)*控制台!$E$2751</f>
        <v>1500000</v>
      </c>
      <c r="F15" s="15">
        <f ca="1">Lerp_dyy(D15,E15,C15/10)</f>
        <v>1250000</v>
      </c>
      <c r="G15" s="16">
        <f ca="1">_xlfn.FLOOR.MATH(F15/24/3600*控制台!$E$2784)-控制台!$E$2814</f>
        <v>136</v>
      </c>
      <c r="H15" s="15">
        <f ca="1" t="shared" si="3"/>
        <v>1175040</v>
      </c>
      <c r="I15" s="15">
        <f ca="1">IF(B15=1,0,OFFSET(控制台!$B$865,MATCH(B15-1,控制台!$G$865:$G$936,0)-1,0))</f>
        <v>1</v>
      </c>
      <c r="J15" s="15">
        <f ca="1">OFFSET(控制台!$B$865,MATCH(B15,控制台!$G$865:$G$936,0)-1,0)</f>
        <v>5</v>
      </c>
      <c r="K15" s="15">
        <f ca="1" t="shared" si="27"/>
        <v>0.4</v>
      </c>
      <c r="L15" s="17">
        <f ca="1">Lerp_dyy(I15,J15,C15/10)</f>
        <v>3</v>
      </c>
      <c r="M15" s="15">
        <f ca="1" t="shared" si="5"/>
        <v>470016</v>
      </c>
      <c r="N15" s="17">
        <f ca="1" t="shared" si="18"/>
        <v>2880576</v>
      </c>
      <c r="O15" s="15">
        <f ca="1">OFFSET(控制台!$F$2798,MATCH(B15,控制台!$B$2798:$B$2809,0)-2,0)*控制台!$E$2755</f>
        <v>600</v>
      </c>
      <c r="P15" s="15">
        <f ca="1">OFFSET(控制台!$F$2798,MATCH(B15,控制台!$B$2798:$B$2809,0)-1,0)*控制台!$E$2755</f>
        <v>900</v>
      </c>
      <c r="Q15" s="15">
        <f ca="1">Lerp_dyy(O15,P15,C15/10)</f>
        <v>750</v>
      </c>
      <c r="R15" s="16">
        <f ca="1">_xlfn.FLOOR.MATH(Q15/24/3600*控制台!$E$2785)</f>
        <v>15</v>
      </c>
      <c r="S15" s="15">
        <f ca="1" t="shared" si="6"/>
        <v>720</v>
      </c>
      <c r="T15" s="15">
        <f ca="1" t="shared" si="7"/>
        <v>288</v>
      </c>
      <c r="U15" s="17">
        <f ca="1" t="shared" si="19"/>
        <v>1804.8</v>
      </c>
      <c r="V15" s="15">
        <f ca="1">OFFSET(控制台!$I$2798,MATCH(B15,控制台!$B$2798:$B$2809,0)-2,0)*控制台!$E$2791</f>
        <v>156.25</v>
      </c>
      <c r="W15" s="15">
        <f ca="1">OFFSET(控制台!$I$2798,MATCH(B15,控制台!$B$2798:$B$2809,0)-1,0)*控制台!$E$2791</f>
        <v>312.5</v>
      </c>
      <c r="X15" s="15">
        <f ca="1">Lerp_dyy(V15,W15,C15/10)</f>
        <v>234.375</v>
      </c>
      <c r="Y15" s="16">
        <f ca="1">_xlfn.FLOOR.MATH(X15)</f>
        <v>234</v>
      </c>
      <c r="Z15" s="15">
        <f ca="1" t="shared" si="8"/>
        <v>0.2808</v>
      </c>
      <c r="AA15" s="15">
        <f ca="1" t="shared" si="0"/>
        <v>0.11232</v>
      </c>
      <c r="AB15" s="17">
        <f ca="1" t="shared" si="28"/>
        <v>0.59832</v>
      </c>
      <c r="AC15" s="17">
        <f ca="1">AB15*控制台!$E$4819</f>
        <v>0.478656</v>
      </c>
      <c r="AD15" s="17">
        <f ca="1">AB15*控制台!$E$4820</f>
        <v>10.949256</v>
      </c>
      <c r="AE15" s="15">
        <f ca="1">OFFSET(控制台!$L$2798,MATCH(B15,控制台!$B$2798:$B$2809,0)-2,0)*控制台!$E$2763</f>
        <v>0</v>
      </c>
      <c r="AF15" s="15">
        <f ca="1">OFFSET(控制台!$L$2798,MATCH(B15,控制台!$B$2798:$B$2809,0)-1,0)*控制台!$E$2763</f>
        <v>150</v>
      </c>
      <c r="AG15" s="15">
        <f ca="1">Lerp_dyy(AE15,AF15,C15/10)</f>
        <v>75</v>
      </c>
      <c r="AH15" s="15">
        <f ca="1" t="shared" si="9"/>
        <v>30</v>
      </c>
      <c r="AI15" s="17">
        <f ca="1" t="shared" si="21"/>
        <v>90</v>
      </c>
      <c r="AJ15" s="15">
        <f ca="1">OFFSET(控制台!$P$2798,MATCH(B15,控制台!$B$2798:$B$2809,0)-2,0)</f>
        <v>300</v>
      </c>
      <c r="AK15" s="15">
        <f ca="1">OFFSET(控制台!$P$2798,MATCH(B15,控制台!$B$2798:$B$2809,0)-1,0)</f>
        <v>500</v>
      </c>
      <c r="AL15" s="15">
        <f ca="1">Lerp_dyy(AJ15,AK15,C15/10)</f>
        <v>400</v>
      </c>
      <c r="AM15" s="16">
        <f ca="1">_xlfn.FLOOR.MATH(AL15/24/3600*控制台!$E$2785)</f>
        <v>8</v>
      </c>
      <c r="AN15" s="15">
        <f ca="1" t="shared" si="10"/>
        <v>384</v>
      </c>
      <c r="AO15" s="15">
        <f ca="1" t="shared" si="11"/>
        <v>153.6</v>
      </c>
      <c r="AP15" s="17">
        <f ca="1" t="shared" si="22"/>
        <v>864</v>
      </c>
      <c r="AQ15" s="15">
        <f ca="1">OFFSET(控制台!$V$2798,MATCH(B15,控制台!$B$2798:$B$2809,0)-2,0)*控制台!$E$2771</f>
        <v>0</v>
      </c>
      <c r="AR15" s="15">
        <f ca="1">OFFSET(控制台!$V$2798,MATCH(B15,控制台!$B$2798:$B$2809,0)-1,0)*控制台!$E$2771</f>
        <v>750000</v>
      </c>
      <c r="AS15" s="15">
        <f ca="1">Lerp_dyy(AQ15,AR15,C15/10)</f>
        <v>375000</v>
      </c>
      <c r="AT15" s="16">
        <f ca="1">MAX(_xlfn.FLOOR.MATH(AS15/24/3600*控制台!$E$2784)-控制台!$J$2814,0)</f>
        <v>39</v>
      </c>
      <c r="AU15" s="15">
        <f ca="1" t="shared" si="12"/>
        <v>336960</v>
      </c>
      <c r="AV15" s="15">
        <f ca="1" t="shared" si="13"/>
        <v>134784</v>
      </c>
      <c r="AW15" s="17">
        <f ca="1" t="shared" si="23"/>
        <v>373248</v>
      </c>
      <c r="AX15" s="15">
        <f ca="1">OFFSET(控制台!$X$2798,MATCH(B15,控制台!$B$2798:$B$2809,0)-2,0)*控制台!$E$2775</f>
        <v>0</v>
      </c>
      <c r="AY15" s="15">
        <f ca="1">OFFSET(控制台!$X$2798,MATCH(B15,控制台!$B$2798:$B$2809,0)-1,0)*控制台!$E$2775</f>
        <v>450</v>
      </c>
      <c r="AZ15" s="15">
        <f ca="1">Lerp_dyy(AX15,AY15,C15/10)</f>
        <v>225</v>
      </c>
      <c r="BA15" s="16">
        <f ca="1">_xlfn.FLOOR.MATH(AZ15/24/3600*控制台!$E$2785)</f>
        <v>4</v>
      </c>
      <c r="BB15" s="15">
        <f ca="1" t="shared" si="14"/>
        <v>192</v>
      </c>
      <c r="BC15" s="15">
        <f ca="1" t="shared" si="15"/>
        <v>76.8</v>
      </c>
      <c r="BD15" s="17">
        <f ca="1" t="shared" si="24"/>
        <v>192</v>
      </c>
      <c r="BE15" s="1">
        <f ca="1">OFFSET(控制台!$AA$2798,MATCH(B15,控制台!$B$2798:$B$2809,0)-1,0)</f>
        <v>0</v>
      </c>
      <c r="BF15" s="1">
        <f ca="1" t="shared" si="1"/>
        <v>0</v>
      </c>
      <c r="BG15" s="17">
        <f ca="1" t="shared" si="25"/>
        <v>0</v>
      </c>
      <c r="BH15" s="15">
        <f ca="1">OFFSET(控制台!$AD$2798,MATCH(B15,控制台!$B$2798:$B$2809,0)-2,0)</f>
        <v>80</v>
      </c>
      <c r="BI15" s="15">
        <f ca="1">OFFSET(控制台!$AD$2798,MATCH(B15,控制台!$B$2798:$B$2809,0)-1,0)</f>
        <v>160</v>
      </c>
      <c r="BJ15" s="15">
        <f ca="1">Lerp_dyy(BH15,BI15,C15/10)</f>
        <v>120</v>
      </c>
      <c r="BK15" s="16">
        <f ca="1">_xlfn.FLOOR.MATH(BJ15/24/3600*控制台!$E$2785)</f>
        <v>2</v>
      </c>
      <c r="BL15" s="15">
        <f ca="1" t="shared" si="16"/>
        <v>96</v>
      </c>
      <c r="BM15" s="15">
        <f ca="1" t="shared" si="17"/>
        <v>38.4</v>
      </c>
      <c r="BN15" s="17">
        <f ca="1" t="shared" si="26"/>
        <v>220.8</v>
      </c>
    </row>
    <row r="16" s="15" customFormat="1" spans="1:66">
      <c r="A16" s="15">
        <f t="shared" si="2"/>
        <v>206</v>
      </c>
      <c r="B16" s="15">
        <v>2</v>
      </c>
      <c r="C16" s="15">
        <v>6</v>
      </c>
      <c r="D16" s="15">
        <f ca="1">OFFSET(控制台!$D$2798,MATCH(B16,控制台!$B$2798:$B$2809,0)-2,0)*控制台!$E$2751</f>
        <v>1000000</v>
      </c>
      <c r="E16" s="15">
        <f ca="1">OFFSET(控制台!$D$2798,MATCH(B16,控制台!$B$2798:$B$2809,0)-1,0)*控制台!$E$2751</f>
        <v>1500000</v>
      </c>
      <c r="F16" s="15">
        <f ca="1">Lerp_dyy(D16,E16,C16/10)</f>
        <v>1300000</v>
      </c>
      <c r="G16" s="16">
        <f ca="1">_xlfn.FLOOR.MATH(F16/24/3600*控制台!$E$2784)-控制台!$E$2814</f>
        <v>142</v>
      </c>
      <c r="H16" s="15">
        <f ca="1" t="shared" si="3"/>
        <v>1226880</v>
      </c>
      <c r="I16" s="15">
        <f ca="1">IF(B16=1,0,OFFSET(控制台!$B$865,MATCH(B16-1,控制台!$G$865:$G$936,0)-1,0))</f>
        <v>1</v>
      </c>
      <c r="J16" s="15">
        <f ca="1">OFFSET(控制台!$B$865,MATCH(B16,控制台!$G$865:$G$936,0)-1,0)</f>
        <v>5</v>
      </c>
      <c r="K16" s="15">
        <f ca="1" t="shared" si="27"/>
        <v>0.4</v>
      </c>
      <c r="L16" s="17">
        <f ca="1">Lerp_dyy(I16,J16,C16/10)</f>
        <v>3.4</v>
      </c>
      <c r="M16" s="15">
        <f ca="1" t="shared" si="5"/>
        <v>490752</v>
      </c>
      <c r="N16" s="17">
        <f ca="1" t="shared" si="18"/>
        <v>3371328</v>
      </c>
      <c r="O16" s="15">
        <f ca="1">OFFSET(控制台!$F$2798,MATCH(B16,控制台!$B$2798:$B$2809,0)-2,0)*控制台!$E$2755</f>
        <v>600</v>
      </c>
      <c r="P16" s="15">
        <f ca="1">OFFSET(控制台!$F$2798,MATCH(B16,控制台!$B$2798:$B$2809,0)-1,0)*控制台!$E$2755</f>
        <v>900</v>
      </c>
      <c r="Q16" s="15">
        <f ca="1">Lerp_dyy(O16,P16,C16/10)</f>
        <v>780</v>
      </c>
      <c r="R16" s="16">
        <f ca="1">_xlfn.FLOOR.MATH(Q16/24/3600*控制台!$E$2785)</f>
        <v>16</v>
      </c>
      <c r="S16" s="15">
        <f ca="1" t="shared" si="6"/>
        <v>768</v>
      </c>
      <c r="T16" s="15">
        <f ca="1" t="shared" si="7"/>
        <v>307.2</v>
      </c>
      <c r="U16" s="17">
        <f ca="1" t="shared" si="19"/>
        <v>2112</v>
      </c>
      <c r="V16" s="15">
        <f ca="1">OFFSET(控制台!$I$2798,MATCH(B16,控制台!$B$2798:$B$2809,0)-2,0)*控制台!$E$2791</f>
        <v>156.25</v>
      </c>
      <c r="W16" s="15">
        <f ca="1">OFFSET(控制台!$I$2798,MATCH(B16,控制台!$B$2798:$B$2809,0)-1,0)*控制台!$E$2791</f>
        <v>312.5</v>
      </c>
      <c r="X16" s="15">
        <f ca="1">Lerp_dyy(V16,W16,C16/10)</f>
        <v>250</v>
      </c>
      <c r="Y16" s="16">
        <f ca="1">_xlfn.FLOOR.MATH(X16)</f>
        <v>250</v>
      </c>
      <c r="Z16" s="15">
        <f ca="1" t="shared" si="8"/>
        <v>0.3</v>
      </c>
      <c r="AA16" s="15">
        <f ca="1" t="shared" si="0"/>
        <v>0.12</v>
      </c>
      <c r="AB16" s="17">
        <f ca="1" t="shared" si="28"/>
        <v>0.71832</v>
      </c>
      <c r="AC16" s="17">
        <f ca="1">AB16*控制台!$E$4819</f>
        <v>0.574656</v>
      </c>
      <c r="AD16" s="17">
        <f ca="1">AB16*控制台!$E$4820</f>
        <v>13.145256</v>
      </c>
      <c r="AE16" s="15">
        <f ca="1">OFFSET(控制台!$L$2798,MATCH(B16,控制台!$B$2798:$B$2809,0)-2,0)*控制台!$E$2763</f>
        <v>0</v>
      </c>
      <c r="AF16" s="15">
        <f ca="1">OFFSET(控制台!$L$2798,MATCH(B16,控制台!$B$2798:$B$2809,0)-1,0)*控制台!$E$2763</f>
        <v>150</v>
      </c>
      <c r="AG16" s="15">
        <f ca="1">Lerp_dyy(AE16,AF16,C16/10)</f>
        <v>90</v>
      </c>
      <c r="AH16" s="15">
        <f ca="1" t="shared" si="9"/>
        <v>36</v>
      </c>
      <c r="AI16" s="17">
        <f ca="1" t="shared" si="21"/>
        <v>126</v>
      </c>
      <c r="AJ16" s="15">
        <f ca="1">OFFSET(控制台!$P$2798,MATCH(B16,控制台!$B$2798:$B$2809,0)-2,0)</f>
        <v>300</v>
      </c>
      <c r="AK16" s="15">
        <f ca="1">OFFSET(控制台!$P$2798,MATCH(B16,控制台!$B$2798:$B$2809,0)-1,0)</f>
        <v>500</v>
      </c>
      <c r="AL16" s="15">
        <f ca="1">Lerp_dyy(AJ16,AK16,C16/10)</f>
        <v>420</v>
      </c>
      <c r="AM16" s="16">
        <f ca="1">_xlfn.FLOOR.MATH(AL16/24/3600*控制台!$E$2785)</f>
        <v>8</v>
      </c>
      <c r="AN16" s="15">
        <f ca="1" t="shared" si="10"/>
        <v>384</v>
      </c>
      <c r="AO16" s="15">
        <f ca="1" t="shared" si="11"/>
        <v>153.6</v>
      </c>
      <c r="AP16" s="17">
        <f ca="1" t="shared" si="22"/>
        <v>1017.6</v>
      </c>
      <c r="AQ16" s="15">
        <f ca="1">OFFSET(控制台!$V$2798,MATCH(B16,控制台!$B$2798:$B$2809,0)-2,0)*控制台!$E$2771</f>
        <v>0</v>
      </c>
      <c r="AR16" s="15">
        <f ca="1">OFFSET(控制台!$V$2798,MATCH(B16,控制台!$B$2798:$B$2809,0)-1,0)*控制台!$E$2771</f>
        <v>750000</v>
      </c>
      <c r="AS16" s="15">
        <f ca="1">Lerp_dyy(AQ16,AR16,C16/10)</f>
        <v>450000</v>
      </c>
      <c r="AT16" s="16">
        <f ca="1">MAX(_xlfn.FLOOR.MATH(AS16/24/3600*控制台!$E$2784)-控制台!$J$2814,0)</f>
        <v>48</v>
      </c>
      <c r="AU16" s="15">
        <f ca="1" t="shared" si="12"/>
        <v>414720</v>
      </c>
      <c r="AV16" s="15">
        <f ca="1" t="shared" si="13"/>
        <v>165888</v>
      </c>
      <c r="AW16" s="17">
        <f ca="1" t="shared" si="23"/>
        <v>539136</v>
      </c>
      <c r="AX16" s="15">
        <f ca="1">OFFSET(控制台!$X$2798,MATCH(B16,控制台!$B$2798:$B$2809,0)-2,0)*控制台!$E$2775</f>
        <v>0</v>
      </c>
      <c r="AY16" s="15">
        <f ca="1">OFFSET(控制台!$X$2798,MATCH(B16,控制台!$B$2798:$B$2809,0)-1,0)*控制台!$E$2775</f>
        <v>450</v>
      </c>
      <c r="AZ16" s="15">
        <f ca="1">Lerp_dyy(AX16,AY16,C16/10)</f>
        <v>270</v>
      </c>
      <c r="BA16" s="16">
        <f ca="1">_xlfn.FLOOR.MATH(AZ16/24/3600*控制台!$E$2785)</f>
        <v>5</v>
      </c>
      <c r="BB16" s="15">
        <f ca="1" t="shared" si="14"/>
        <v>240</v>
      </c>
      <c r="BC16" s="15">
        <f ca="1" t="shared" si="15"/>
        <v>96</v>
      </c>
      <c r="BD16" s="17">
        <f ca="1" t="shared" si="24"/>
        <v>288</v>
      </c>
      <c r="BE16" s="1">
        <f ca="1">OFFSET(控制台!$AA$2798,MATCH(B16,控制台!$B$2798:$B$2809,0)-1,0)</f>
        <v>0</v>
      </c>
      <c r="BF16" s="1">
        <f ca="1" t="shared" si="1"/>
        <v>0</v>
      </c>
      <c r="BG16" s="17">
        <f ca="1" t="shared" si="25"/>
        <v>0</v>
      </c>
      <c r="BH16" s="15">
        <f ca="1">OFFSET(控制台!$AD$2798,MATCH(B16,控制台!$B$2798:$B$2809,0)-2,0)</f>
        <v>80</v>
      </c>
      <c r="BI16" s="15">
        <f ca="1">OFFSET(控制台!$AD$2798,MATCH(B16,控制台!$B$2798:$B$2809,0)-1,0)</f>
        <v>160</v>
      </c>
      <c r="BJ16" s="15">
        <f ca="1">Lerp_dyy(BH16,BI16,C16/10)</f>
        <v>128</v>
      </c>
      <c r="BK16" s="16">
        <f ca="1">_xlfn.FLOOR.MATH(BJ16/24/3600*控制台!$E$2785)</f>
        <v>2</v>
      </c>
      <c r="BL16" s="15">
        <f ca="1" t="shared" si="16"/>
        <v>96</v>
      </c>
      <c r="BM16" s="15">
        <f ca="1" t="shared" si="17"/>
        <v>38.4</v>
      </c>
      <c r="BN16" s="17">
        <f ca="1" t="shared" si="26"/>
        <v>259.2</v>
      </c>
    </row>
    <row r="17" s="15" customFormat="1" spans="1:66">
      <c r="A17" s="15">
        <f t="shared" si="2"/>
        <v>207</v>
      </c>
      <c r="B17" s="15">
        <v>2</v>
      </c>
      <c r="C17" s="15">
        <v>7</v>
      </c>
      <c r="D17" s="15">
        <f ca="1">OFFSET(控制台!$D$2798,MATCH(B17,控制台!$B$2798:$B$2809,0)-2,0)*控制台!$E$2751</f>
        <v>1000000</v>
      </c>
      <c r="E17" s="15">
        <f ca="1">OFFSET(控制台!$D$2798,MATCH(B17,控制台!$B$2798:$B$2809,0)-1,0)*控制台!$E$2751</f>
        <v>1500000</v>
      </c>
      <c r="F17" s="15">
        <f ca="1">Lerp_dyy(D17,E17,C17/10)</f>
        <v>1350000</v>
      </c>
      <c r="G17" s="16">
        <f ca="1">_xlfn.FLOOR.MATH(F17/24/3600*控制台!$E$2784)-控制台!$E$2814</f>
        <v>148</v>
      </c>
      <c r="H17" s="15">
        <f ca="1" t="shared" si="3"/>
        <v>1278720</v>
      </c>
      <c r="I17" s="15">
        <f ca="1">IF(B17=1,0,OFFSET(控制台!$B$865,MATCH(B17-1,控制台!$G$865:$G$936,0)-1,0))</f>
        <v>1</v>
      </c>
      <c r="J17" s="15">
        <f ca="1">OFFSET(控制台!$B$865,MATCH(B17,控制台!$G$865:$G$936,0)-1,0)</f>
        <v>5</v>
      </c>
      <c r="K17" s="15">
        <f ca="1" t="shared" si="27"/>
        <v>0.4</v>
      </c>
      <c r="L17" s="17">
        <f ca="1">Lerp_dyy(I17,J17,C17/10)</f>
        <v>3.8</v>
      </c>
      <c r="M17" s="15">
        <f ca="1" t="shared" si="5"/>
        <v>511488</v>
      </c>
      <c r="N17" s="17">
        <f ca="1" t="shared" si="18"/>
        <v>3882816</v>
      </c>
      <c r="O17" s="15">
        <f ca="1">OFFSET(控制台!$F$2798,MATCH(B17,控制台!$B$2798:$B$2809,0)-2,0)*控制台!$E$2755</f>
        <v>600</v>
      </c>
      <c r="P17" s="15">
        <f ca="1">OFFSET(控制台!$F$2798,MATCH(B17,控制台!$B$2798:$B$2809,0)-1,0)*控制台!$E$2755</f>
        <v>900</v>
      </c>
      <c r="Q17" s="15">
        <f ca="1">Lerp_dyy(O17,P17,C17/10)</f>
        <v>810</v>
      </c>
      <c r="R17" s="16">
        <f ca="1">_xlfn.FLOOR.MATH(Q17/24/3600*控制台!$E$2785)</f>
        <v>16</v>
      </c>
      <c r="S17" s="15">
        <f ca="1" t="shared" si="6"/>
        <v>768</v>
      </c>
      <c r="T17" s="15">
        <f ca="1" t="shared" si="7"/>
        <v>307.2</v>
      </c>
      <c r="U17" s="17">
        <f ca="1" t="shared" si="19"/>
        <v>2419.2</v>
      </c>
      <c r="V17" s="15">
        <f ca="1">OFFSET(控制台!$I$2798,MATCH(B17,控制台!$B$2798:$B$2809,0)-2,0)*控制台!$E$2791</f>
        <v>156.25</v>
      </c>
      <c r="W17" s="15">
        <f ca="1">OFFSET(控制台!$I$2798,MATCH(B17,控制台!$B$2798:$B$2809,0)-1,0)*控制台!$E$2791</f>
        <v>312.5</v>
      </c>
      <c r="X17" s="15">
        <f ca="1">Lerp_dyy(V17,W17,C17/10)</f>
        <v>265.625</v>
      </c>
      <c r="Y17" s="16">
        <f ca="1">_xlfn.FLOOR.MATH(X17)</f>
        <v>265</v>
      </c>
      <c r="Z17" s="15">
        <f ca="1" t="shared" si="8"/>
        <v>0.318</v>
      </c>
      <c r="AA17" s="15">
        <f ca="1" t="shared" si="0"/>
        <v>0.1272</v>
      </c>
      <c r="AB17" s="17">
        <f ca="1" t="shared" si="28"/>
        <v>0.84552</v>
      </c>
      <c r="AC17" s="17">
        <f ca="1">AB17*控制台!$E$4819</f>
        <v>0.676416</v>
      </c>
      <c r="AD17" s="17">
        <f ca="1">AB17*控制台!$E$4820</f>
        <v>15.473016</v>
      </c>
      <c r="AE17" s="15">
        <f ca="1">OFFSET(控制台!$L$2798,MATCH(B17,控制台!$B$2798:$B$2809,0)-2,0)*控制台!$E$2763</f>
        <v>0</v>
      </c>
      <c r="AF17" s="15">
        <f ca="1">OFFSET(控制台!$L$2798,MATCH(B17,控制台!$B$2798:$B$2809,0)-1,0)*控制台!$E$2763</f>
        <v>150</v>
      </c>
      <c r="AG17" s="15">
        <f ca="1">Lerp_dyy(AE17,AF17,C17/10)</f>
        <v>105</v>
      </c>
      <c r="AH17" s="15">
        <f ca="1" t="shared" si="9"/>
        <v>42</v>
      </c>
      <c r="AI17" s="17">
        <f ca="1" t="shared" si="21"/>
        <v>168</v>
      </c>
      <c r="AJ17" s="15">
        <f ca="1">OFFSET(控制台!$P$2798,MATCH(B17,控制台!$B$2798:$B$2809,0)-2,0)</f>
        <v>300</v>
      </c>
      <c r="AK17" s="15">
        <f ca="1">OFFSET(控制台!$P$2798,MATCH(B17,控制台!$B$2798:$B$2809,0)-1,0)</f>
        <v>500</v>
      </c>
      <c r="AL17" s="15">
        <f ca="1">Lerp_dyy(AJ17,AK17,C17/10)</f>
        <v>440</v>
      </c>
      <c r="AM17" s="16">
        <f ca="1">_xlfn.FLOOR.MATH(AL17/24/3600*控制台!$E$2785)</f>
        <v>9</v>
      </c>
      <c r="AN17" s="15">
        <f ca="1" t="shared" si="10"/>
        <v>432</v>
      </c>
      <c r="AO17" s="15">
        <f ca="1" t="shared" si="11"/>
        <v>172.8</v>
      </c>
      <c r="AP17" s="17">
        <f ca="1" t="shared" si="22"/>
        <v>1190.4</v>
      </c>
      <c r="AQ17" s="15">
        <f ca="1">OFFSET(控制台!$V$2798,MATCH(B17,控制台!$B$2798:$B$2809,0)-2,0)*控制台!$E$2771</f>
        <v>0</v>
      </c>
      <c r="AR17" s="15">
        <f ca="1">OFFSET(控制台!$V$2798,MATCH(B17,控制台!$B$2798:$B$2809,0)-1,0)*控制台!$E$2771</f>
        <v>750000</v>
      </c>
      <c r="AS17" s="15">
        <f ca="1">Lerp_dyy(AQ17,AR17,C17/10)</f>
        <v>525000</v>
      </c>
      <c r="AT17" s="16">
        <f ca="1">MAX(_xlfn.FLOOR.MATH(AS17/24/3600*控制台!$E$2784)-控制台!$J$2814,0)</f>
        <v>56</v>
      </c>
      <c r="AU17" s="15">
        <f ca="1" t="shared" si="12"/>
        <v>483840</v>
      </c>
      <c r="AV17" s="15">
        <f ca="1" t="shared" si="13"/>
        <v>193536</v>
      </c>
      <c r="AW17" s="17">
        <f ca="1" t="shared" si="23"/>
        <v>732672</v>
      </c>
      <c r="AX17" s="15">
        <f ca="1">OFFSET(控制台!$X$2798,MATCH(B17,控制台!$B$2798:$B$2809,0)-2,0)*控制台!$E$2775</f>
        <v>0</v>
      </c>
      <c r="AY17" s="15">
        <f ca="1">OFFSET(控制台!$X$2798,MATCH(B17,控制台!$B$2798:$B$2809,0)-1,0)*控制台!$E$2775</f>
        <v>450</v>
      </c>
      <c r="AZ17" s="15">
        <f ca="1">Lerp_dyy(AX17,AY17,C17/10)</f>
        <v>315</v>
      </c>
      <c r="BA17" s="16">
        <f ca="1">_xlfn.FLOOR.MATH(AZ17/24/3600*控制台!$E$2785)</f>
        <v>6</v>
      </c>
      <c r="BB17" s="15">
        <f ca="1" t="shared" si="14"/>
        <v>288</v>
      </c>
      <c r="BC17" s="15">
        <f ca="1" t="shared" si="15"/>
        <v>115.2</v>
      </c>
      <c r="BD17" s="17">
        <f ca="1" t="shared" si="24"/>
        <v>403.2</v>
      </c>
      <c r="BE17" s="1">
        <f ca="1">OFFSET(控制台!$AA$2798,MATCH(B17,控制台!$B$2798:$B$2809,0)-1,0)</f>
        <v>0</v>
      </c>
      <c r="BF17" s="1">
        <f ca="1" t="shared" si="1"/>
        <v>0</v>
      </c>
      <c r="BG17" s="17">
        <f ca="1" t="shared" si="25"/>
        <v>0</v>
      </c>
      <c r="BH17" s="15">
        <f ca="1">OFFSET(控制台!$AD$2798,MATCH(B17,控制台!$B$2798:$B$2809,0)-2,0)</f>
        <v>80</v>
      </c>
      <c r="BI17" s="15">
        <f ca="1">OFFSET(控制台!$AD$2798,MATCH(B17,控制台!$B$2798:$B$2809,0)-1,0)</f>
        <v>160</v>
      </c>
      <c r="BJ17" s="15">
        <f ca="1">Lerp_dyy(BH17,BI17,C17/10)</f>
        <v>136</v>
      </c>
      <c r="BK17" s="16">
        <f ca="1">_xlfn.FLOOR.MATH(BJ17/24/3600*控制台!$E$2785)</f>
        <v>2</v>
      </c>
      <c r="BL17" s="15">
        <f ca="1" t="shared" si="16"/>
        <v>96</v>
      </c>
      <c r="BM17" s="15">
        <f ca="1" t="shared" si="17"/>
        <v>38.4</v>
      </c>
      <c r="BN17" s="17">
        <f ca="1" t="shared" si="26"/>
        <v>297.6</v>
      </c>
    </row>
    <row r="18" s="15" customFormat="1" spans="1:66">
      <c r="A18" s="15">
        <f t="shared" si="2"/>
        <v>208</v>
      </c>
      <c r="B18" s="15">
        <v>2</v>
      </c>
      <c r="C18" s="15">
        <v>8</v>
      </c>
      <c r="D18" s="15">
        <f ca="1">OFFSET(控制台!$D$2798,MATCH(B18,控制台!$B$2798:$B$2809,0)-2,0)*控制台!$E$2751</f>
        <v>1000000</v>
      </c>
      <c r="E18" s="15">
        <f ca="1">OFFSET(控制台!$D$2798,MATCH(B18,控制台!$B$2798:$B$2809,0)-1,0)*控制台!$E$2751</f>
        <v>1500000</v>
      </c>
      <c r="F18" s="15">
        <f ca="1">Lerp_dyy(D18,E18,C18/10)</f>
        <v>1400000</v>
      </c>
      <c r="G18" s="16">
        <f ca="1">_xlfn.FLOOR.MATH(F18/24/3600*控制台!$E$2784)-控制台!$E$2814</f>
        <v>154</v>
      </c>
      <c r="H18" s="15">
        <f ca="1" t="shared" si="3"/>
        <v>1330560</v>
      </c>
      <c r="I18" s="15">
        <f ca="1">IF(B18=1,0,OFFSET(控制台!$B$865,MATCH(B18-1,控制台!$G$865:$G$936,0)-1,0))</f>
        <v>1</v>
      </c>
      <c r="J18" s="15">
        <f ca="1">OFFSET(控制台!$B$865,MATCH(B18,控制台!$G$865:$G$936,0)-1,0)</f>
        <v>5</v>
      </c>
      <c r="K18" s="15">
        <f ca="1" t="shared" si="27"/>
        <v>0.4</v>
      </c>
      <c r="L18" s="17">
        <f ca="1">Lerp_dyy(I18,J18,C18/10)</f>
        <v>4.2</v>
      </c>
      <c r="M18" s="15">
        <f ca="1" t="shared" si="5"/>
        <v>532224</v>
      </c>
      <c r="N18" s="17">
        <f ca="1" t="shared" si="18"/>
        <v>4415040</v>
      </c>
      <c r="O18" s="15">
        <f ca="1">OFFSET(控制台!$F$2798,MATCH(B18,控制台!$B$2798:$B$2809,0)-2,0)*控制台!$E$2755</f>
        <v>600</v>
      </c>
      <c r="P18" s="15">
        <f ca="1">OFFSET(控制台!$F$2798,MATCH(B18,控制台!$B$2798:$B$2809,0)-1,0)*控制台!$E$2755</f>
        <v>900</v>
      </c>
      <c r="Q18" s="15">
        <f ca="1">Lerp_dyy(O18,P18,C18/10)</f>
        <v>840</v>
      </c>
      <c r="R18" s="16">
        <f ca="1">_xlfn.FLOOR.MATH(Q18/24/3600*控制台!$E$2785)</f>
        <v>17</v>
      </c>
      <c r="S18" s="15">
        <f ca="1" t="shared" si="6"/>
        <v>816</v>
      </c>
      <c r="T18" s="15">
        <f ca="1" t="shared" si="7"/>
        <v>326.4</v>
      </c>
      <c r="U18" s="17">
        <f ca="1" t="shared" si="19"/>
        <v>2745.6</v>
      </c>
      <c r="V18" s="15">
        <f ca="1">OFFSET(控制台!$I$2798,MATCH(B18,控制台!$B$2798:$B$2809,0)-2,0)*控制台!$E$2791</f>
        <v>156.25</v>
      </c>
      <c r="W18" s="15">
        <f ca="1">OFFSET(控制台!$I$2798,MATCH(B18,控制台!$B$2798:$B$2809,0)-1,0)*控制台!$E$2791</f>
        <v>312.5</v>
      </c>
      <c r="X18" s="15">
        <f ca="1">Lerp_dyy(V18,W18,C18/10)</f>
        <v>281.25</v>
      </c>
      <c r="Y18" s="16">
        <f ca="1">_xlfn.FLOOR.MATH(X18)</f>
        <v>281</v>
      </c>
      <c r="Z18" s="15">
        <f ca="1" t="shared" si="8"/>
        <v>0.3372</v>
      </c>
      <c r="AA18" s="15">
        <f ca="1" t="shared" si="0"/>
        <v>0.13488</v>
      </c>
      <c r="AB18" s="17">
        <f ca="1" t="shared" si="28"/>
        <v>0.9804</v>
      </c>
      <c r="AC18" s="17">
        <f ca="1">AB18*控制台!$E$4819</f>
        <v>0.78432</v>
      </c>
      <c r="AD18" s="17">
        <f ca="1">AB18*控制台!$E$4820</f>
        <v>17.94132</v>
      </c>
      <c r="AE18" s="15">
        <f ca="1">OFFSET(控制台!$L$2798,MATCH(B18,控制台!$B$2798:$B$2809,0)-2,0)*控制台!$E$2763</f>
        <v>0</v>
      </c>
      <c r="AF18" s="15">
        <f ca="1">OFFSET(控制台!$L$2798,MATCH(B18,控制台!$B$2798:$B$2809,0)-1,0)*控制台!$E$2763</f>
        <v>150</v>
      </c>
      <c r="AG18" s="15">
        <f ca="1">Lerp_dyy(AE18,AF18,C18/10)</f>
        <v>120</v>
      </c>
      <c r="AH18" s="15">
        <f ca="1" t="shared" si="9"/>
        <v>48</v>
      </c>
      <c r="AI18" s="17">
        <f ca="1" t="shared" si="21"/>
        <v>216</v>
      </c>
      <c r="AJ18" s="15">
        <f ca="1">OFFSET(控制台!$P$2798,MATCH(B18,控制台!$B$2798:$B$2809,0)-2,0)</f>
        <v>300</v>
      </c>
      <c r="AK18" s="15">
        <f ca="1">OFFSET(控制台!$P$2798,MATCH(B18,控制台!$B$2798:$B$2809,0)-1,0)</f>
        <v>500</v>
      </c>
      <c r="AL18" s="15">
        <f ca="1">Lerp_dyy(AJ18,AK18,C18/10)</f>
        <v>460</v>
      </c>
      <c r="AM18" s="16">
        <f ca="1">_xlfn.FLOOR.MATH(AL18/24/3600*控制台!$E$2785)</f>
        <v>9</v>
      </c>
      <c r="AN18" s="15">
        <f ca="1" t="shared" si="10"/>
        <v>432</v>
      </c>
      <c r="AO18" s="15">
        <f ca="1" t="shared" si="11"/>
        <v>172.8</v>
      </c>
      <c r="AP18" s="17">
        <f ca="1" t="shared" si="22"/>
        <v>1363.2</v>
      </c>
      <c r="AQ18" s="15">
        <f ca="1">OFFSET(控制台!$V$2798,MATCH(B18,控制台!$B$2798:$B$2809,0)-2,0)*控制台!$E$2771</f>
        <v>0</v>
      </c>
      <c r="AR18" s="15">
        <f ca="1">OFFSET(控制台!$V$2798,MATCH(B18,控制台!$B$2798:$B$2809,0)-1,0)*控制台!$E$2771</f>
        <v>750000</v>
      </c>
      <c r="AS18" s="15">
        <f ca="1">Lerp_dyy(AQ18,AR18,C18/10)</f>
        <v>600000</v>
      </c>
      <c r="AT18" s="16">
        <f ca="1">MAX(_xlfn.FLOOR.MATH(AS18/24/3600*控制台!$E$2784)-控制台!$J$2814,0)</f>
        <v>65</v>
      </c>
      <c r="AU18" s="15">
        <f ca="1" t="shared" si="12"/>
        <v>561600</v>
      </c>
      <c r="AV18" s="15">
        <f ca="1" t="shared" si="13"/>
        <v>224640</v>
      </c>
      <c r="AW18" s="17">
        <f ca="1" t="shared" si="23"/>
        <v>957312</v>
      </c>
      <c r="AX18" s="15">
        <f ca="1">OFFSET(控制台!$X$2798,MATCH(B18,控制台!$B$2798:$B$2809,0)-2,0)*控制台!$E$2775</f>
        <v>0</v>
      </c>
      <c r="AY18" s="15">
        <f ca="1">OFFSET(控制台!$X$2798,MATCH(B18,控制台!$B$2798:$B$2809,0)-1,0)*控制台!$E$2775</f>
        <v>450</v>
      </c>
      <c r="AZ18" s="15">
        <f ca="1">Lerp_dyy(AX18,AY18,C18/10)</f>
        <v>360</v>
      </c>
      <c r="BA18" s="16">
        <f ca="1">_xlfn.FLOOR.MATH(AZ18/24/3600*控制台!$E$2785)</f>
        <v>7</v>
      </c>
      <c r="BB18" s="15">
        <f ca="1" t="shared" si="14"/>
        <v>336</v>
      </c>
      <c r="BC18" s="15">
        <f ca="1" t="shared" si="15"/>
        <v>134.4</v>
      </c>
      <c r="BD18" s="17">
        <f ca="1" t="shared" si="24"/>
        <v>537.6</v>
      </c>
      <c r="BE18" s="1">
        <f ca="1">OFFSET(控制台!$AA$2798,MATCH(B18,控制台!$B$2798:$B$2809,0)-1,0)</f>
        <v>0</v>
      </c>
      <c r="BF18" s="1">
        <f ca="1" t="shared" si="1"/>
        <v>0</v>
      </c>
      <c r="BG18" s="17">
        <f ca="1" t="shared" si="25"/>
        <v>0</v>
      </c>
      <c r="BH18" s="15">
        <f ca="1">OFFSET(控制台!$AD$2798,MATCH(B18,控制台!$B$2798:$B$2809,0)-2,0)</f>
        <v>80</v>
      </c>
      <c r="BI18" s="15">
        <f ca="1">OFFSET(控制台!$AD$2798,MATCH(B18,控制台!$B$2798:$B$2809,0)-1,0)</f>
        <v>160</v>
      </c>
      <c r="BJ18" s="15">
        <f ca="1">Lerp_dyy(BH18,BI18,C18/10)</f>
        <v>144</v>
      </c>
      <c r="BK18" s="16">
        <f ca="1">_xlfn.FLOOR.MATH(BJ18/24/3600*控制台!$E$2785)</f>
        <v>3</v>
      </c>
      <c r="BL18" s="15">
        <f ca="1" t="shared" si="16"/>
        <v>144</v>
      </c>
      <c r="BM18" s="15">
        <f ca="1" t="shared" si="17"/>
        <v>57.6</v>
      </c>
      <c r="BN18" s="17">
        <f ca="1" t="shared" si="26"/>
        <v>355.2</v>
      </c>
    </row>
    <row r="19" s="15" customFormat="1" spans="1:66">
      <c r="A19" s="15">
        <f t="shared" si="2"/>
        <v>209</v>
      </c>
      <c r="B19" s="15">
        <v>2</v>
      </c>
      <c r="C19" s="15">
        <v>9</v>
      </c>
      <c r="D19" s="15">
        <f ca="1">OFFSET(控制台!$D$2798,MATCH(B19,控制台!$B$2798:$B$2809,0)-2,0)*控制台!$E$2751</f>
        <v>1000000</v>
      </c>
      <c r="E19" s="15">
        <f ca="1">OFFSET(控制台!$D$2798,MATCH(B19,控制台!$B$2798:$B$2809,0)-1,0)*控制台!$E$2751</f>
        <v>1500000</v>
      </c>
      <c r="F19" s="15">
        <f ca="1">Lerp_dyy(D19,E19,C19/10)</f>
        <v>1450000</v>
      </c>
      <c r="G19" s="16">
        <f ca="1">_xlfn.FLOOR.MATH(F19/24/3600*控制台!$E$2784)-控制台!$E$2814</f>
        <v>159</v>
      </c>
      <c r="H19" s="15">
        <f ca="1" t="shared" si="3"/>
        <v>1373760</v>
      </c>
      <c r="I19" s="15">
        <f ca="1">IF(B19=1,0,OFFSET(控制台!$B$865,MATCH(B19-1,控制台!$G$865:$G$936,0)-1,0))</f>
        <v>1</v>
      </c>
      <c r="J19" s="15">
        <f ca="1">OFFSET(控制台!$B$865,MATCH(B19,控制台!$G$865:$G$936,0)-1,0)</f>
        <v>5</v>
      </c>
      <c r="K19" s="15">
        <f ca="1" t="shared" si="27"/>
        <v>0.4</v>
      </c>
      <c r="L19" s="17">
        <f ca="1">Lerp_dyy(I19,J19,C19/10)</f>
        <v>4.6</v>
      </c>
      <c r="M19" s="15">
        <f ca="1" t="shared" si="5"/>
        <v>549504</v>
      </c>
      <c r="N19" s="17">
        <f ca="1" t="shared" si="18"/>
        <v>4964544</v>
      </c>
      <c r="O19" s="15">
        <f ca="1">OFFSET(控制台!$F$2798,MATCH(B19,控制台!$B$2798:$B$2809,0)-2,0)*控制台!$E$2755</f>
        <v>600</v>
      </c>
      <c r="P19" s="15">
        <f ca="1">OFFSET(控制台!$F$2798,MATCH(B19,控制台!$B$2798:$B$2809,0)-1,0)*控制台!$E$2755</f>
        <v>900</v>
      </c>
      <c r="Q19" s="15">
        <f ca="1">Lerp_dyy(O19,P19,C19/10)</f>
        <v>870</v>
      </c>
      <c r="R19" s="16">
        <f ca="1">_xlfn.FLOOR.MATH(Q19/24/3600*控制台!$E$2785)</f>
        <v>18</v>
      </c>
      <c r="S19" s="15">
        <f ca="1" t="shared" si="6"/>
        <v>864</v>
      </c>
      <c r="T19" s="15">
        <f ca="1" t="shared" si="7"/>
        <v>345.6</v>
      </c>
      <c r="U19" s="17">
        <f ca="1" t="shared" si="19"/>
        <v>3091.2</v>
      </c>
      <c r="V19" s="15">
        <f ca="1">OFFSET(控制台!$I$2798,MATCH(B19,控制台!$B$2798:$B$2809,0)-2,0)*控制台!$E$2791</f>
        <v>156.25</v>
      </c>
      <c r="W19" s="15">
        <f ca="1">OFFSET(控制台!$I$2798,MATCH(B19,控制台!$B$2798:$B$2809,0)-1,0)*控制台!$E$2791</f>
        <v>312.5</v>
      </c>
      <c r="X19" s="15">
        <f ca="1">Lerp_dyy(V19,W19,C19/10)</f>
        <v>296.875</v>
      </c>
      <c r="Y19" s="16">
        <f ca="1">_xlfn.FLOOR.MATH(X19)</f>
        <v>296</v>
      </c>
      <c r="Z19" s="15">
        <f ca="1" t="shared" si="8"/>
        <v>0.3552</v>
      </c>
      <c r="AA19" s="15">
        <f ca="1" t="shared" si="0"/>
        <v>0.14208</v>
      </c>
      <c r="AB19" s="17">
        <f ca="1" t="shared" si="28"/>
        <v>1.12248</v>
      </c>
      <c r="AC19" s="17">
        <f ca="1">AB19*控制台!$E$4819</f>
        <v>0.897984</v>
      </c>
      <c r="AD19" s="17">
        <f ca="1">AB19*控制台!$E$4820</f>
        <v>20.541384</v>
      </c>
      <c r="AE19" s="15">
        <f ca="1">OFFSET(控制台!$L$2798,MATCH(B19,控制台!$B$2798:$B$2809,0)-2,0)*控制台!$E$2763</f>
        <v>0</v>
      </c>
      <c r="AF19" s="15">
        <f ca="1">OFFSET(控制台!$L$2798,MATCH(B19,控制台!$B$2798:$B$2809,0)-1,0)*控制台!$E$2763</f>
        <v>150</v>
      </c>
      <c r="AG19" s="15">
        <f ca="1">Lerp_dyy(AE19,AF19,C19/10)</f>
        <v>135</v>
      </c>
      <c r="AH19" s="15">
        <f ca="1" t="shared" si="9"/>
        <v>54</v>
      </c>
      <c r="AI19" s="17">
        <f ca="1" t="shared" si="21"/>
        <v>270</v>
      </c>
      <c r="AJ19" s="15">
        <f ca="1">OFFSET(控制台!$P$2798,MATCH(B19,控制台!$B$2798:$B$2809,0)-2,0)</f>
        <v>300</v>
      </c>
      <c r="AK19" s="15">
        <f ca="1">OFFSET(控制台!$P$2798,MATCH(B19,控制台!$B$2798:$B$2809,0)-1,0)</f>
        <v>500</v>
      </c>
      <c r="AL19" s="15">
        <f ca="1">Lerp_dyy(AJ19,AK19,C19/10)</f>
        <v>480</v>
      </c>
      <c r="AM19" s="16">
        <f ca="1">_xlfn.FLOOR.MATH(AL19/24/3600*控制台!$E$2785)</f>
        <v>10</v>
      </c>
      <c r="AN19" s="15">
        <f ca="1" t="shared" si="10"/>
        <v>480</v>
      </c>
      <c r="AO19" s="15">
        <f ca="1" t="shared" si="11"/>
        <v>192</v>
      </c>
      <c r="AP19" s="17">
        <f ca="1" t="shared" si="22"/>
        <v>1555.2</v>
      </c>
      <c r="AQ19" s="15">
        <f ca="1">OFFSET(控制台!$V$2798,MATCH(B19,控制台!$B$2798:$B$2809,0)-2,0)*控制台!$E$2771</f>
        <v>0</v>
      </c>
      <c r="AR19" s="15">
        <f ca="1">OFFSET(控制台!$V$2798,MATCH(B19,控制台!$B$2798:$B$2809,0)-1,0)*控制台!$E$2771</f>
        <v>750000</v>
      </c>
      <c r="AS19" s="15">
        <f ca="1">Lerp_dyy(AQ19,AR19,C19/10)</f>
        <v>675000</v>
      </c>
      <c r="AT19" s="16">
        <f ca="1">MAX(_xlfn.FLOOR.MATH(AS19/24/3600*控制台!$E$2784)-控制台!$J$2814,0)</f>
        <v>74</v>
      </c>
      <c r="AU19" s="15">
        <f ca="1" t="shared" si="12"/>
        <v>639360</v>
      </c>
      <c r="AV19" s="15">
        <f ca="1" t="shared" si="13"/>
        <v>255744</v>
      </c>
      <c r="AW19" s="17">
        <f ca="1" t="shared" si="23"/>
        <v>1213056</v>
      </c>
      <c r="AX19" s="15">
        <f ca="1">OFFSET(控制台!$X$2798,MATCH(B19,控制台!$B$2798:$B$2809,0)-2,0)*控制台!$E$2775</f>
        <v>0</v>
      </c>
      <c r="AY19" s="15">
        <f ca="1">OFFSET(控制台!$X$2798,MATCH(B19,控制台!$B$2798:$B$2809,0)-1,0)*控制台!$E$2775</f>
        <v>450</v>
      </c>
      <c r="AZ19" s="15">
        <f ca="1">Lerp_dyy(AX19,AY19,C19/10)</f>
        <v>405</v>
      </c>
      <c r="BA19" s="16">
        <f ca="1">_xlfn.FLOOR.MATH(AZ19/24/3600*控制台!$E$2785)</f>
        <v>8</v>
      </c>
      <c r="BB19" s="15">
        <f ca="1" t="shared" si="14"/>
        <v>384</v>
      </c>
      <c r="BC19" s="15">
        <f ca="1" t="shared" si="15"/>
        <v>153.6</v>
      </c>
      <c r="BD19" s="17">
        <f ca="1" t="shared" si="24"/>
        <v>691.2</v>
      </c>
      <c r="BE19" s="1">
        <f ca="1">OFFSET(控制台!$AA$2798,MATCH(B19,控制台!$B$2798:$B$2809,0)-1,0)</f>
        <v>0</v>
      </c>
      <c r="BF19" s="1">
        <f ca="1" t="shared" si="1"/>
        <v>0</v>
      </c>
      <c r="BG19" s="17">
        <f ca="1" t="shared" si="25"/>
        <v>0</v>
      </c>
      <c r="BH19" s="15">
        <f ca="1">OFFSET(控制台!$AD$2798,MATCH(B19,控制台!$B$2798:$B$2809,0)-2,0)</f>
        <v>80</v>
      </c>
      <c r="BI19" s="15">
        <f ca="1">OFFSET(控制台!$AD$2798,MATCH(B19,控制台!$B$2798:$B$2809,0)-1,0)</f>
        <v>160</v>
      </c>
      <c r="BJ19" s="15">
        <f ca="1">Lerp_dyy(BH19,BI19,C19/10)</f>
        <v>152</v>
      </c>
      <c r="BK19" s="16">
        <f ca="1">_xlfn.FLOOR.MATH(BJ19/24/3600*控制台!$E$2785)</f>
        <v>3</v>
      </c>
      <c r="BL19" s="15">
        <f ca="1" t="shared" si="16"/>
        <v>144</v>
      </c>
      <c r="BM19" s="15">
        <f ca="1" t="shared" si="17"/>
        <v>57.6</v>
      </c>
      <c r="BN19" s="17">
        <f ca="1" t="shared" si="26"/>
        <v>412.8</v>
      </c>
    </row>
    <row r="20" s="15" customFormat="1" spans="1:66">
      <c r="A20" s="15">
        <f t="shared" si="2"/>
        <v>210</v>
      </c>
      <c r="B20" s="15">
        <v>2</v>
      </c>
      <c r="C20" s="15">
        <v>10</v>
      </c>
      <c r="D20" s="15">
        <f ca="1">OFFSET(控制台!$D$2798,MATCH(B20,控制台!$B$2798:$B$2809,0)-2,0)*控制台!$E$2751</f>
        <v>1000000</v>
      </c>
      <c r="E20" s="15">
        <f ca="1">OFFSET(控制台!$D$2798,MATCH(B20,控制台!$B$2798:$B$2809,0)-1,0)*控制台!$E$2751</f>
        <v>1500000</v>
      </c>
      <c r="F20" s="15">
        <f ca="1">Lerp_dyy(D20,E20,C20/10)</f>
        <v>1500000</v>
      </c>
      <c r="G20" s="16">
        <f ca="1">_xlfn.FLOOR.MATH(F20/24/3600*控制台!$E$2784)-控制台!$E$2814</f>
        <v>165</v>
      </c>
      <c r="H20" s="15">
        <f ca="1" t="shared" si="3"/>
        <v>1425600</v>
      </c>
      <c r="I20" s="15">
        <f ca="1">IF(B20=1,0,OFFSET(控制台!$B$865,MATCH(B20-1,控制台!$G$865:$G$936,0)-1,0))</f>
        <v>1</v>
      </c>
      <c r="J20" s="15">
        <f ca="1">OFFSET(控制台!$B$865,MATCH(B20,控制台!$G$865:$G$936,0)-1,0)</f>
        <v>5</v>
      </c>
      <c r="K20" s="15">
        <f ca="1" t="shared" si="27"/>
        <v>0.4</v>
      </c>
      <c r="L20" s="17">
        <f ca="1">Lerp_dyy(I20,J20,C20/10)</f>
        <v>5</v>
      </c>
      <c r="M20" s="15">
        <f ca="1" t="shared" si="5"/>
        <v>570240</v>
      </c>
      <c r="N20" s="17">
        <f ca="1" t="shared" si="18"/>
        <v>5534784</v>
      </c>
      <c r="O20" s="15">
        <f ca="1">OFFSET(控制台!$F$2798,MATCH(B20,控制台!$B$2798:$B$2809,0)-2,0)*控制台!$E$2755</f>
        <v>600</v>
      </c>
      <c r="P20" s="15">
        <f ca="1">OFFSET(控制台!$F$2798,MATCH(B20,控制台!$B$2798:$B$2809,0)-1,0)*控制台!$E$2755</f>
        <v>900</v>
      </c>
      <c r="Q20" s="15">
        <f ca="1">Lerp_dyy(O20,P20,C20/10)</f>
        <v>900</v>
      </c>
      <c r="R20" s="16">
        <f ca="1">_xlfn.FLOOR.MATH(Q20/24/3600*控制台!$E$2785)</f>
        <v>18</v>
      </c>
      <c r="S20" s="15">
        <f ca="1" t="shared" si="6"/>
        <v>864</v>
      </c>
      <c r="T20" s="15">
        <f ca="1" t="shared" si="7"/>
        <v>345.6</v>
      </c>
      <c r="U20" s="17">
        <f ca="1" t="shared" si="19"/>
        <v>3436.8</v>
      </c>
      <c r="V20" s="15">
        <f ca="1">OFFSET(控制台!$I$2798,MATCH(B20,控制台!$B$2798:$B$2809,0)-2,0)*控制台!$E$2791</f>
        <v>156.25</v>
      </c>
      <c r="W20" s="15">
        <f ca="1">OFFSET(控制台!$I$2798,MATCH(B20,控制台!$B$2798:$B$2809,0)-1,0)*控制台!$E$2791</f>
        <v>312.5</v>
      </c>
      <c r="X20" s="15">
        <f ca="1">Lerp_dyy(V20,W20,C20/10)</f>
        <v>312.5</v>
      </c>
      <c r="Y20" s="16">
        <f ca="1">_xlfn.FLOOR.MATH(X20)</f>
        <v>312</v>
      </c>
      <c r="Z20" s="15">
        <f ca="1" t="shared" si="8"/>
        <v>0.3744</v>
      </c>
      <c r="AA20" s="15">
        <f ca="1" t="shared" si="0"/>
        <v>0.14976</v>
      </c>
      <c r="AB20" s="17">
        <f ca="1" t="shared" si="28"/>
        <v>1.27224</v>
      </c>
      <c r="AC20" s="17">
        <f ca="1">AB20*控制台!$E$4819</f>
        <v>1.017792</v>
      </c>
      <c r="AD20" s="17">
        <f ca="1">AB20*控制台!$E$4820</f>
        <v>23.281992</v>
      </c>
      <c r="AE20" s="15">
        <f ca="1">OFFSET(控制台!$L$2798,MATCH(B20,控制台!$B$2798:$B$2809,0)-2,0)*控制台!$E$2763</f>
        <v>0</v>
      </c>
      <c r="AF20" s="15">
        <f ca="1">OFFSET(控制台!$L$2798,MATCH(B20,控制台!$B$2798:$B$2809,0)-1,0)*控制台!$E$2763</f>
        <v>150</v>
      </c>
      <c r="AG20" s="15">
        <f ca="1">Lerp_dyy(AE20,AF20,C20/10)</f>
        <v>150</v>
      </c>
      <c r="AH20" s="15">
        <f ca="1" t="shared" si="9"/>
        <v>60</v>
      </c>
      <c r="AI20" s="17">
        <f ca="1" t="shared" si="21"/>
        <v>330</v>
      </c>
      <c r="AJ20" s="15">
        <f ca="1">OFFSET(控制台!$P$2798,MATCH(B20,控制台!$B$2798:$B$2809,0)-2,0)</f>
        <v>300</v>
      </c>
      <c r="AK20" s="15">
        <f ca="1">OFFSET(控制台!$P$2798,MATCH(B20,控制台!$B$2798:$B$2809,0)-1,0)</f>
        <v>500</v>
      </c>
      <c r="AL20" s="15">
        <f ca="1">Lerp_dyy(AJ20,AK20,C20/10)</f>
        <v>500</v>
      </c>
      <c r="AM20" s="16">
        <f ca="1">_xlfn.FLOOR.MATH(AL20/24/3600*控制台!$E$2785)</f>
        <v>10</v>
      </c>
      <c r="AN20" s="15">
        <f ca="1" t="shared" si="10"/>
        <v>480</v>
      </c>
      <c r="AO20" s="15">
        <f ca="1" t="shared" si="11"/>
        <v>192</v>
      </c>
      <c r="AP20" s="17">
        <f ca="1" t="shared" si="22"/>
        <v>1747.2</v>
      </c>
      <c r="AQ20" s="15">
        <f ca="1">OFFSET(控制台!$V$2798,MATCH(B20,控制台!$B$2798:$B$2809,0)-2,0)*控制台!$E$2771</f>
        <v>0</v>
      </c>
      <c r="AR20" s="15">
        <f ca="1">OFFSET(控制台!$V$2798,MATCH(B20,控制台!$B$2798:$B$2809,0)-1,0)*控制台!$E$2771</f>
        <v>750000</v>
      </c>
      <c r="AS20" s="15">
        <f ca="1">Lerp_dyy(AQ20,AR20,C20/10)</f>
        <v>750000</v>
      </c>
      <c r="AT20" s="16">
        <f ca="1">MAX(_xlfn.FLOOR.MATH(AS20/24/3600*控制台!$E$2784)-控制台!$J$2814,0)</f>
        <v>82</v>
      </c>
      <c r="AU20" s="15">
        <f ca="1" t="shared" si="12"/>
        <v>708480</v>
      </c>
      <c r="AV20" s="15">
        <f ca="1" t="shared" si="13"/>
        <v>283392</v>
      </c>
      <c r="AW20" s="17">
        <f ca="1" t="shared" si="23"/>
        <v>1496448</v>
      </c>
      <c r="AX20" s="15">
        <f ca="1">OFFSET(控制台!$X$2798,MATCH(B20,控制台!$B$2798:$B$2809,0)-2,0)*控制台!$E$2775</f>
        <v>0</v>
      </c>
      <c r="AY20" s="15">
        <f ca="1">OFFSET(控制台!$X$2798,MATCH(B20,控制台!$B$2798:$B$2809,0)-1,0)*控制台!$E$2775</f>
        <v>450</v>
      </c>
      <c r="AZ20" s="15">
        <f ca="1">Lerp_dyy(AX20,AY20,C20/10)</f>
        <v>450</v>
      </c>
      <c r="BA20" s="16">
        <f ca="1">_xlfn.FLOOR.MATH(AZ20/24/3600*控制台!$E$2785)</f>
        <v>9</v>
      </c>
      <c r="BB20" s="15">
        <f ca="1" t="shared" si="14"/>
        <v>432</v>
      </c>
      <c r="BC20" s="15">
        <f ca="1" t="shared" si="15"/>
        <v>172.8</v>
      </c>
      <c r="BD20" s="17">
        <f ca="1" t="shared" si="24"/>
        <v>864</v>
      </c>
      <c r="BE20" s="1">
        <f ca="1">OFFSET(控制台!$AA$2798,MATCH(B20,控制台!$B$2798:$B$2809,0)-1,0)</f>
        <v>0</v>
      </c>
      <c r="BF20" s="1">
        <f ca="1" t="shared" si="1"/>
        <v>0</v>
      </c>
      <c r="BG20" s="17">
        <f ca="1" t="shared" si="25"/>
        <v>0</v>
      </c>
      <c r="BH20" s="15">
        <f ca="1">OFFSET(控制台!$AD$2798,MATCH(B20,控制台!$B$2798:$B$2809,0)-2,0)</f>
        <v>80</v>
      </c>
      <c r="BI20" s="15">
        <f ca="1">OFFSET(控制台!$AD$2798,MATCH(B20,控制台!$B$2798:$B$2809,0)-1,0)</f>
        <v>160</v>
      </c>
      <c r="BJ20" s="15">
        <f ca="1">Lerp_dyy(BH20,BI20,C20/10)</f>
        <v>160</v>
      </c>
      <c r="BK20" s="16">
        <f ca="1">_xlfn.FLOOR.MATH(BJ20/24/3600*控制台!$E$2785)</f>
        <v>3</v>
      </c>
      <c r="BL20" s="15">
        <f ca="1" t="shared" si="16"/>
        <v>144</v>
      </c>
      <c r="BM20" s="15">
        <f ca="1" t="shared" si="17"/>
        <v>57.6</v>
      </c>
      <c r="BN20" s="17">
        <f ca="1" t="shared" si="26"/>
        <v>470.4</v>
      </c>
    </row>
    <row r="21" spans="1:66">
      <c r="A21" s="1">
        <f t="shared" si="2"/>
        <v>301</v>
      </c>
      <c r="B21" s="1">
        <v>3</v>
      </c>
      <c r="C21" s="1">
        <v>1</v>
      </c>
      <c r="D21" s="1">
        <f ca="1">OFFSET(控制台!$D$2798,MATCH(B21,控制台!$B$2798:$B$2809,0)-2,0)*控制台!$E$2751</f>
        <v>1500000</v>
      </c>
      <c r="E21" s="1">
        <f ca="1">OFFSET(控制台!$D$2798,MATCH(B21,控制台!$B$2798:$B$2809,0)-1,0)*控制台!$E$2751</f>
        <v>2000000</v>
      </c>
      <c r="F21" s="1">
        <f ca="1">Lerp_dyy(D21,E21,C21/10)</f>
        <v>1550000</v>
      </c>
      <c r="G21" s="4">
        <f ca="1">_xlfn.FLOOR.MATH(F21/24/3600*控制台!$E$2784)-控制台!$E$2814</f>
        <v>171</v>
      </c>
      <c r="H21" s="1">
        <f ca="1" t="shared" si="3"/>
        <v>1477440</v>
      </c>
      <c r="I21" s="1">
        <f ca="1">IF(B21=1,0,OFFSET(控制台!$B$865,MATCH(B21-1,控制台!$G$865:$G$936,0)-1,0))</f>
        <v>5</v>
      </c>
      <c r="J21" s="1">
        <f ca="1">OFFSET(控制台!$B$865,MATCH(B21,控制台!$G$865:$G$936,0)-1,0)</f>
        <v>13</v>
      </c>
      <c r="K21" s="1">
        <f ca="1" t="shared" si="27"/>
        <v>0.8</v>
      </c>
      <c r="L21" s="5">
        <f ca="1">Lerp_dyy(I21,J21,C21/10)</f>
        <v>5.8</v>
      </c>
      <c r="M21" s="1">
        <f ca="1" t="shared" si="5"/>
        <v>1181952</v>
      </c>
      <c r="N21" s="5">
        <f ca="1" t="shared" si="18"/>
        <v>6716736</v>
      </c>
      <c r="O21" s="1">
        <f ca="1">OFFSET(控制台!$F$2798,MATCH(B21,控制台!$B$2798:$B$2809,0)-2,0)*控制台!$E$2755</f>
        <v>900</v>
      </c>
      <c r="P21" s="1">
        <f ca="1">OFFSET(控制台!$F$2798,MATCH(B21,控制台!$B$2798:$B$2809,0)-1,0)*控制台!$E$2755</f>
        <v>1200</v>
      </c>
      <c r="Q21" s="1">
        <f ca="1">Lerp_dyy(O21,P21,C21/10)</f>
        <v>930</v>
      </c>
      <c r="R21" s="4">
        <f ca="1">_xlfn.FLOOR.MATH(Q21/24/3600*控制台!$E$2785)</f>
        <v>19</v>
      </c>
      <c r="S21" s="1">
        <f ca="1" t="shared" si="6"/>
        <v>912</v>
      </c>
      <c r="T21" s="1">
        <f ca="1" t="shared" si="7"/>
        <v>729.6</v>
      </c>
      <c r="U21" s="5">
        <f ca="1" t="shared" si="19"/>
        <v>4166.4</v>
      </c>
      <c r="V21" s="1">
        <f ca="1">OFFSET(控制台!$I$2798,MATCH(B21,控制台!$B$2798:$B$2809,0)-2,0)*控制台!$E$2791</f>
        <v>312.5</v>
      </c>
      <c r="W21" s="1">
        <f ca="1">OFFSET(控制台!$I$2798,MATCH(B21,控制台!$B$2798:$B$2809,0)-1,0)*控制台!$E$2791</f>
        <v>468.75</v>
      </c>
      <c r="X21" s="1">
        <f ca="1">Lerp_dyy(V21,W21,C21/10)</f>
        <v>328.125</v>
      </c>
      <c r="Y21" s="4">
        <f ca="1">_xlfn.FLOOR.MATH(X21)</f>
        <v>328</v>
      </c>
      <c r="Z21" s="1">
        <f ca="1" t="shared" si="8"/>
        <v>0.3936</v>
      </c>
      <c r="AA21" s="1">
        <f ca="1" t="shared" si="0"/>
        <v>0.31488</v>
      </c>
      <c r="AB21" s="5">
        <f ca="1" t="shared" si="28"/>
        <v>1.58712</v>
      </c>
      <c r="AC21" s="5">
        <f ca="1">AB21*控制台!$E$4819</f>
        <v>1.269696</v>
      </c>
      <c r="AD21" s="5">
        <f ca="1">AB21*控制台!$E$4820</f>
        <v>29.044296</v>
      </c>
      <c r="AE21" s="1">
        <f ca="1">OFFSET(控制台!$L$2798,MATCH(B21,控制台!$B$2798:$B$2809,0)-2,0)*控制台!$E$2763</f>
        <v>150</v>
      </c>
      <c r="AF21" s="1">
        <f ca="1">OFFSET(控制台!$L$2798,MATCH(B21,控制台!$B$2798:$B$2809,0)-1,0)*控制台!$E$2763</f>
        <v>300</v>
      </c>
      <c r="AG21" s="1">
        <f ca="1">Lerp_dyy(AE21,AF21,C21/10)</f>
        <v>165</v>
      </c>
      <c r="AH21" s="1">
        <f ca="1" t="shared" si="9"/>
        <v>132</v>
      </c>
      <c r="AI21" s="5">
        <f ca="1" t="shared" si="21"/>
        <v>462</v>
      </c>
      <c r="AJ21" s="1">
        <f ca="1">OFFSET(控制台!$P$2798,MATCH(B21,控制台!$B$2798:$B$2809,0)-2,0)</f>
        <v>500</v>
      </c>
      <c r="AK21" s="1">
        <f ca="1">OFFSET(控制台!$P$2798,MATCH(B21,控制台!$B$2798:$B$2809,0)-1,0)</f>
        <v>1000</v>
      </c>
      <c r="AL21" s="1">
        <f ca="1">Lerp_dyy(AJ21,AK21,C21/10)</f>
        <v>550</v>
      </c>
      <c r="AM21" s="4">
        <f ca="1">_xlfn.FLOOR.MATH(AL21/24/3600*控制台!$E$2785)</f>
        <v>11</v>
      </c>
      <c r="AN21" s="1">
        <f ca="1" t="shared" si="10"/>
        <v>528</v>
      </c>
      <c r="AO21" s="1">
        <f ca="1" t="shared" si="11"/>
        <v>422.4</v>
      </c>
      <c r="AP21" s="5">
        <f ca="1" t="shared" si="22"/>
        <v>2169.6</v>
      </c>
      <c r="AQ21" s="1">
        <f ca="1">OFFSET(控制台!$V$2798,MATCH(B21,控制台!$B$2798:$B$2809,0)-2,0)*控制台!$E$2771</f>
        <v>750000</v>
      </c>
      <c r="AR21" s="1">
        <f ca="1">OFFSET(控制台!$V$2798,MATCH(B21,控制台!$B$2798:$B$2809,0)-1,0)*控制台!$E$2771</f>
        <v>1000000</v>
      </c>
      <c r="AS21" s="1">
        <f ca="1">Lerp_dyy(AQ21,AR21,C21/10)</f>
        <v>775000</v>
      </c>
      <c r="AT21" s="4">
        <f ca="1">MAX(_xlfn.FLOOR.MATH(AS21/24/3600*控制台!$E$2784)-控制台!$J$2814,0)</f>
        <v>85</v>
      </c>
      <c r="AU21" s="1">
        <f ca="1" t="shared" si="12"/>
        <v>734400</v>
      </c>
      <c r="AV21" s="1">
        <f ca="1" t="shared" si="13"/>
        <v>587520</v>
      </c>
      <c r="AW21" s="5">
        <f ca="1" t="shared" si="23"/>
        <v>2083968</v>
      </c>
      <c r="AX21" s="1">
        <f ca="1">OFFSET(控制台!$X$2798,MATCH(B21,控制台!$B$2798:$B$2809,0)-2,0)*控制台!$E$2775</f>
        <v>450</v>
      </c>
      <c r="AY21" s="1">
        <f ca="1">OFFSET(控制台!$X$2798,MATCH(B21,控制台!$B$2798:$B$2809,0)-1,0)*控制台!$E$2775</f>
        <v>600</v>
      </c>
      <c r="AZ21" s="1">
        <f ca="1">Lerp_dyy(AX21,AY21,C21/10)</f>
        <v>465</v>
      </c>
      <c r="BA21" s="4">
        <f ca="1">_xlfn.FLOOR.MATH(AZ21/24/3600*控制台!$E$2785)</f>
        <v>9</v>
      </c>
      <c r="BB21" s="1">
        <f ca="1" t="shared" si="14"/>
        <v>432</v>
      </c>
      <c r="BC21" s="1">
        <f ca="1" t="shared" si="15"/>
        <v>345.6</v>
      </c>
      <c r="BD21" s="5">
        <f ca="1" t="shared" si="24"/>
        <v>1209.6</v>
      </c>
      <c r="BE21" s="1">
        <f ca="1">OFFSET(控制台!$AA$2798,MATCH(B21,控制台!$B$2798:$B$2809,0)-1,0)</f>
        <v>13.3333333333332</v>
      </c>
      <c r="BF21" s="1">
        <f ca="1" t="shared" si="1"/>
        <v>77.3333333333327</v>
      </c>
      <c r="BG21" s="5">
        <f ca="1" t="shared" si="25"/>
        <v>77.3333333333327</v>
      </c>
      <c r="BH21" s="1">
        <f ca="1">OFFSET(控制台!$AD$2798,MATCH(B21,控制台!$B$2798:$B$2809,0)-2,0)</f>
        <v>160</v>
      </c>
      <c r="BI21" s="1">
        <f ca="1">OFFSET(控制台!$AD$2798,MATCH(B21,控制台!$B$2798:$B$2809,0)-1,0)</f>
        <v>200</v>
      </c>
      <c r="BJ21" s="1">
        <f ca="1">Lerp_dyy(BH21,BI21,C21/10)</f>
        <v>164</v>
      </c>
      <c r="BK21" s="4">
        <f ca="1">_xlfn.FLOOR.MATH(BJ21/24/3600*控制台!$E$2785)</f>
        <v>3</v>
      </c>
      <c r="BL21" s="1">
        <f ca="1" t="shared" si="16"/>
        <v>144</v>
      </c>
      <c r="BM21" s="1">
        <f ca="1" t="shared" si="17"/>
        <v>115.2</v>
      </c>
      <c r="BN21" s="5">
        <f ca="1" t="shared" si="26"/>
        <v>585.6</v>
      </c>
    </row>
    <row r="22" spans="1:66">
      <c r="A22" s="1">
        <f t="shared" si="2"/>
        <v>302</v>
      </c>
      <c r="B22" s="1">
        <v>3</v>
      </c>
      <c r="C22" s="1">
        <v>2</v>
      </c>
      <c r="D22" s="1">
        <f ca="1">OFFSET(控制台!$D$2798,MATCH(B22,控制台!$B$2798:$B$2809,0)-2,0)*控制台!$E$2751</f>
        <v>1500000</v>
      </c>
      <c r="E22" s="1">
        <f ca="1">OFFSET(控制台!$D$2798,MATCH(B22,控制台!$B$2798:$B$2809,0)-1,0)*控制台!$E$2751</f>
        <v>2000000</v>
      </c>
      <c r="F22" s="1">
        <f ca="1">Lerp_dyy(D22,E22,C22/10)</f>
        <v>1600000</v>
      </c>
      <c r="G22" s="4">
        <f ca="1">_xlfn.FLOOR.MATH(F22/24/3600*控制台!$E$2784)-控制台!$E$2814</f>
        <v>177</v>
      </c>
      <c r="H22" s="1">
        <f ca="1" t="shared" si="3"/>
        <v>1529280</v>
      </c>
      <c r="I22" s="1">
        <f ca="1">IF(B22=1,0,OFFSET(控制台!$B$865,MATCH(B22-1,控制台!$G$865:$G$936,0)-1,0))</f>
        <v>5</v>
      </c>
      <c r="J22" s="1">
        <f ca="1">OFFSET(控制台!$B$865,MATCH(B22,控制台!$G$865:$G$936,0)-1,0)</f>
        <v>13</v>
      </c>
      <c r="K22" s="1">
        <f ca="1" t="shared" si="27"/>
        <v>0.8</v>
      </c>
      <c r="L22" s="5">
        <f ca="1">Lerp_dyy(I22,J22,C22/10)</f>
        <v>6.6</v>
      </c>
      <c r="M22" s="1">
        <f ca="1" t="shared" si="5"/>
        <v>1223424</v>
      </c>
      <c r="N22" s="5">
        <f ca="1" t="shared" si="18"/>
        <v>7940160</v>
      </c>
      <c r="O22" s="1">
        <f ca="1">OFFSET(控制台!$F$2798,MATCH(B22,控制台!$B$2798:$B$2809,0)-2,0)*控制台!$E$2755</f>
        <v>900</v>
      </c>
      <c r="P22" s="1">
        <f ca="1">OFFSET(控制台!$F$2798,MATCH(B22,控制台!$B$2798:$B$2809,0)-1,0)*控制台!$E$2755</f>
        <v>1200</v>
      </c>
      <c r="Q22" s="1">
        <f ca="1">Lerp_dyy(O22,P22,C22/10)</f>
        <v>960</v>
      </c>
      <c r="R22" s="4">
        <f ca="1">_xlfn.FLOOR.MATH(Q22/24/3600*控制台!$E$2785)</f>
        <v>20</v>
      </c>
      <c r="S22" s="1">
        <f ca="1" t="shared" si="6"/>
        <v>960</v>
      </c>
      <c r="T22" s="1">
        <f ca="1" t="shared" si="7"/>
        <v>768</v>
      </c>
      <c r="U22" s="5">
        <f ca="1" t="shared" si="19"/>
        <v>4934.4</v>
      </c>
      <c r="V22" s="1">
        <f ca="1">OFFSET(控制台!$I$2798,MATCH(B22,控制台!$B$2798:$B$2809,0)-2,0)*控制台!$E$2791</f>
        <v>312.5</v>
      </c>
      <c r="W22" s="1">
        <f ca="1">OFFSET(控制台!$I$2798,MATCH(B22,控制台!$B$2798:$B$2809,0)-1,0)*控制台!$E$2791</f>
        <v>468.75</v>
      </c>
      <c r="X22" s="1">
        <f ca="1">Lerp_dyy(V22,W22,C22/10)</f>
        <v>343.75</v>
      </c>
      <c r="Y22" s="4">
        <f ca="1">_xlfn.FLOOR.MATH(X22)</f>
        <v>343</v>
      </c>
      <c r="Z22" s="1">
        <f ca="1" t="shared" si="8"/>
        <v>0.4116</v>
      </c>
      <c r="AA22" s="1">
        <f ca="1" t="shared" si="0"/>
        <v>0.32928</v>
      </c>
      <c r="AB22" s="5">
        <f ca="1" t="shared" si="28"/>
        <v>1.9164</v>
      </c>
      <c r="AC22" s="5">
        <f ca="1">AB22*控制台!$E$4819</f>
        <v>1.53312</v>
      </c>
      <c r="AD22" s="5">
        <f ca="1">AB22*控制台!$E$4820</f>
        <v>35.07012</v>
      </c>
      <c r="AE22" s="1">
        <f ca="1">OFFSET(控制台!$L$2798,MATCH(B22,控制台!$B$2798:$B$2809,0)-2,0)*控制台!$E$2763</f>
        <v>150</v>
      </c>
      <c r="AF22" s="1">
        <f ca="1">OFFSET(控制台!$L$2798,MATCH(B22,控制台!$B$2798:$B$2809,0)-1,0)*控制台!$E$2763</f>
        <v>300</v>
      </c>
      <c r="AG22" s="1">
        <f ca="1">Lerp_dyy(AE22,AF22,C22/10)</f>
        <v>180</v>
      </c>
      <c r="AH22" s="1">
        <f ca="1" t="shared" si="9"/>
        <v>144</v>
      </c>
      <c r="AI22" s="5">
        <f ca="1" t="shared" si="21"/>
        <v>606</v>
      </c>
      <c r="AJ22" s="1">
        <f ca="1">OFFSET(控制台!$P$2798,MATCH(B22,控制台!$B$2798:$B$2809,0)-2,0)</f>
        <v>500</v>
      </c>
      <c r="AK22" s="1">
        <f ca="1">OFFSET(控制台!$P$2798,MATCH(B22,控制台!$B$2798:$B$2809,0)-1,0)</f>
        <v>1000</v>
      </c>
      <c r="AL22" s="1">
        <f ca="1">Lerp_dyy(AJ22,AK22,C22/10)</f>
        <v>600</v>
      </c>
      <c r="AM22" s="4">
        <f ca="1">_xlfn.FLOOR.MATH(AL22/24/3600*控制台!$E$2785)</f>
        <v>12</v>
      </c>
      <c r="AN22" s="1">
        <f ca="1" t="shared" si="10"/>
        <v>576</v>
      </c>
      <c r="AO22" s="1">
        <f ca="1" t="shared" si="11"/>
        <v>460.8</v>
      </c>
      <c r="AP22" s="5">
        <f ca="1" t="shared" si="22"/>
        <v>2630.4</v>
      </c>
      <c r="AQ22" s="1">
        <f ca="1">OFFSET(控制台!$V$2798,MATCH(B22,控制台!$B$2798:$B$2809,0)-2,0)*控制台!$E$2771</f>
        <v>750000</v>
      </c>
      <c r="AR22" s="1">
        <f ca="1">OFFSET(控制台!$V$2798,MATCH(B22,控制台!$B$2798:$B$2809,0)-1,0)*控制台!$E$2771</f>
        <v>1000000</v>
      </c>
      <c r="AS22" s="1">
        <f ca="1">Lerp_dyy(AQ22,AR22,C22/10)</f>
        <v>800000</v>
      </c>
      <c r="AT22" s="4">
        <f ca="1">MAX(_xlfn.FLOOR.MATH(AS22/24/3600*控制台!$E$2784)-控制台!$J$2814,0)</f>
        <v>88</v>
      </c>
      <c r="AU22" s="1">
        <f ca="1" t="shared" si="12"/>
        <v>760320</v>
      </c>
      <c r="AV22" s="1">
        <f ca="1" t="shared" si="13"/>
        <v>608256</v>
      </c>
      <c r="AW22" s="5">
        <f ca="1" t="shared" si="23"/>
        <v>2692224</v>
      </c>
      <c r="AX22" s="1">
        <f ca="1">OFFSET(控制台!$X$2798,MATCH(B22,控制台!$B$2798:$B$2809,0)-2,0)*控制台!$E$2775</f>
        <v>450</v>
      </c>
      <c r="AY22" s="1">
        <f ca="1">OFFSET(控制台!$X$2798,MATCH(B22,控制台!$B$2798:$B$2809,0)-1,0)*控制台!$E$2775</f>
        <v>600</v>
      </c>
      <c r="AZ22" s="1">
        <f ca="1">Lerp_dyy(AX22,AY22,C22/10)</f>
        <v>480</v>
      </c>
      <c r="BA22" s="4">
        <f ca="1">_xlfn.FLOOR.MATH(AZ22/24/3600*控制台!$E$2785)</f>
        <v>10</v>
      </c>
      <c r="BB22" s="1">
        <f ca="1" t="shared" si="14"/>
        <v>480</v>
      </c>
      <c r="BC22" s="1">
        <f ca="1" t="shared" si="15"/>
        <v>384</v>
      </c>
      <c r="BD22" s="5">
        <f ca="1" t="shared" si="24"/>
        <v>1593.6</v>
      </c>
      <c r="BE22" s="1">
        <f ca="1">OFFSET(控制台!$AA$2798,MATCH(B22,控制台!$B$2798:$B$2809,0)-1,0)</f>
        <v>13.3333333333332</v>
      </c>
      <c r="BF22" s="1">
        <f ca="1" t="shared" si="1"/>
        <v>87.9999999999992</v>
      </c>
      <c r="BG22" s="5">
        <f ca="1" t="shared" si="25"/>
        <v>165.333333333332</v>
      </c>
      <c r="BH22" s="1">
        <f ca="1">OFFSET(控制台!$AD$2798,MATCH(B22,控制台!$B$2798:$B$2809,0)-2,0)</f>
        <v>160</v>
      </c>
      <c r="BI22" s="1">
        <f ca="1">OFFSET(控制台!$AD$2798,MATCH(B22,控制台!$B$2798:$B$2809,0)-1,0)</f>
        <v>200</v>
      </c>
      <c r="BJ22" s="1">
        <f ca="1">Lerp_dyy(BH22,BI22,C22/10)</f>
        <v>168</v>
      </c>
      <c r="BK22" s="4">
        <f ca="1">_xlfn.FLOOR.MATH(BJ22/24/3600*控制台!$E$2785)</f>
        <v>3</v>
      </c>
      <c r="BL22" s="1">
        <f ca="1" t="shared" si="16"/>
        <v>144</v>
      </c>
      <c r="BM22" s="1">
        <f ca="1" t="shared" si="17"/>
        <v>115.2</v>
      </c>
      <c r="BN22" s="5">
        <f ca="1" t="shared" si="26"/>
        <v>700.8</v>
      </c>
    </row>
    <row r="23" spans="1:66">
      <c r="A23" s="1">
        <f t="shared" si="2"/>
        <v>303</v>
      </c>
      <c r="B23" s="1">
        <v>3</v>
      </c>
      <c r="C23" s="1">
        <v>3</v>
      </c>
      <c r="D23" s="1">
        <f ca="1">OFFSET(控制台!$D$2798,MATCH(B23,控制台!$B$2798:$B$2809,0)-2,0)*控制台!$E$2751</f>
        <v>1500000</v>
      </c>
      <c r="E23" s="1">
        <f ca="1">OFFSET(控制台!$D$2798,MATCH(B23,控制台!$B$2798:$B$2809,0)-1,0)*控制台!$E$2751</f>
        <v>2000000</v>
      </c>
      <c r="F23" s="1">
        <f ca="1">Lerp_dyy(D23,E23,C23/10)</f>
        <v>1650000</v>
      </c>
      <c r="G23" s="4">
        <f ca="1">_xlfn.FLOOR.MATH(F23/24/3600*控制台!$E$2784)-控制台!$E$2814</f>
        <v>182</v>
      </c>
      <c r="H23" s="1">
        <f ca="1" t="shared" si="3"/>
        <v>1572480</v>
      </c>
      <c r="I23" s="1">
        <f ca="1">IF(B23=1,0,OFFSET(控制台!$B$865,MATCH(B23-1,控制台!$G$865:$G$936,0)-1,0))</f>
        <v>5</v>
      </c>
      <c r="J23" s="1">
        <f ca="1">OFFSET(控制台!$B$865,MATCH(B23,控制台!$G$865:$G$936,0)-1,0)</f>
        <v>13</v>
      </c>
      <c r="K23" s="1">
        <f ca="1" t="shared" si="27"/>
        <v>0.8</v>
      </c>
      <c r="L23" s="5">
        <f ca="1">Lerp_dyy(I23,J23,C23/10)</f>
        <v>7.4</v>
      </c>
      <c r="M23" s="1">
        <f ca="1" t="shared" si="5"/>
        <v>1257984</v>
      </c>
      <c r="N23" s="5">
        <f ca="1" t="shared" si="18"/>
        <v>9198144</v>
      </c>
      <c r="O23" s="1">
        <f ca="1">OFFSET(控制台!$F$2798,MATCH(B23,控制台!$B$2798:$B$2809,0)-2,0)*控制台!$E$2755</f>
        <v>900</v>
      </c>
      <c r="P23" s="1">
        <f ca="1">OFFSET(控制台!$F$2798,MATCH(B23,控制台!$B$2798:$B$2809,0)-1,0)*控制台!$E$2755</f>
        <v>1200</v>
      </c>
      <c r="Q23" s="1">
        <f ca="1">Lerp_dyy(O23,P23,C23/10)</f>
        <v>990</v>
      </c>
      <c r="R23" s="4">
        <f ca="1">_xlfn.FLOOR.MATH(Q23/24/3600*控制台!$E$2785)</f>
        <v>20</v>
      </c>
      <c r="S23" s="1">
        <f ca="1" t="shared" si="6"/>
        <v>960</v>
      </c>
      <c r="T23" s="1">
        <f ca="1" t="shared" si="7"/>
        <v>768</v>
      </c>
      <c r="U23" s="5">
        <f ca="1" t="shared" si="19"/>
        <v>5702.4</v>
      </c>
      <c r="V23" s="1">
        <f ca="1">OFFSET(控制台!$I$2798,MATCH(B23,控制台!$B$2798:$B$2809,0)-2,0)*控制台!$E$2791</f>
        <v>312.5</v>
      </c>
      <c r="W23" s="1">
        <f ca="1">OFFSET(控制台!$I$2798,MATCH(B23,控制台!$B$2798:$B$2809,0)-1,0)*控制台!$E$2791</f>
        <v>468.75</v>
      </c>
      <c r="X23" s="1">
        <f ca="1">Lerp_dyy(V23,W23,C23/10)</f>
        <v>359.375</v>
      </c>
      <c r="Y23" s="4">
        <f ca="1">_xlfn.FLOOR.MATH(X23)</f>
        <v>359</v>
      </c>
      <c r="Z23" s="1">
        <f ca="1" t="shared" si="8"/>
        <v>0.4308</v>
      </c>
      <c r="AA23" s="1">
        <f ca="1" t="shared" si="0"/>
        <v>0.34464</v>
      </c>
      <c r="AB23" s="5">
        <f ca="1" t="shared" si="28"/>
        <v>2.26104</v>
      </c>
      <c r="AC23" s="5">
        <f ca="1">AB23*控制台!$E$4819</f>
        <v>1.808832</v>
      </c>
      <c r="AD23" s="5">
        <f ca="1">AB23*控制台!$E$4820</f>
        <v>41.377032</v>
      </c>
      <c r="AE23" s="1">
        <f ca="1">OFFSET(控制台!$L$2798,MATCH(B23,控制台!$B$2798:$B$2809,0)-2,0)*控制台!$E$2763</f>
        <v>150</v>
      </c>
      <c r="AF23" s="1">
        <f ca="1">OFFSET(控制台!$L$2798,MATCH(B23,控制台!$B$2798:$B$2809,0)-1,0)*控制台!$E$2763</f>
        <v>300</v>
      </c>
      <c r="AG23" s="1">
        <f ca="1">Lerp_dyy(AE23,AF23,C23/10)</f>
        <v>195</v>
      </c>
      <c r="AH23" s="1">
        <f ca="1" t="shared" si="9"/>
        <v>156</v>
      </c>
      <c r="AI23" s="5">
        <f ca="1" t="shared" si="21"/>
        <v>762</v>
      </c>
      <c r="AJ23" s="1">
        <f ca="1">OFFSET(控制台!$P$2798,MATCH(B23,控制台!$B$2798:$B$2809,0)-2,0)</f>
        <v>500</v>
      </c>
      <c r="AK23" s="1">
        <f ca="1">OFFSET(控制台!$P$2798,MATCH(B23,控制台!$B$2798:$B$2809,0)-1,0)</f>
        <v>1000</v>
      </c>
      <c r="AL23" s="1">
        <f ca="1">Lerp_dyy(AJ23,AK23,C23/10)</f>
        <v>650</v>
      </c>
      <c r="AM23" s="4">
        <f ca="1">_xlfn.FLOOR.MATH(AL23/24/3600*控制台!$E$2785)</f>
        <v>13</v>
      </c>
      <c r="AN23" s="1">
        <f ca="1" t="shared" si="10"/>
        <v>624</v>
      </c>
      <c r="AO23" s="1">
        <f ca="1" t="shared" si="11"/>
        <v>499.2</v>
      </c>
      <c r="AP23" s="5">
        <f ca="1" t="shared" si="22"/>
        <v>3129.6</v>
      </c>
      <c r="AQ23" s="1">
        <f ca="1">OFFSET(控制台!$V$2798,MATCH(B23,控制台!$B$2798:$B$2809,0)-2,0)*控制台!$E$2771</f>
        <v>750000</v>
      </c>
      <c r="AR23" s="1">
        <f ca="1">OFFSET(控制台!$V$2798,MATCH(B23,控制台!$B$2798:$B$2809,0)-1,0)*控制台!$E$2771</f>
        <v>1000000</v>
      </c>
      <c r="AS23" s="1">
        <f ca="1">Lerp_dyy(AQ23,AR23,C23/10)</f>
        <v>825000</v>
      </c>
      <c r="AT23" s="4">
        <f ca="1">MAX(_xlfn.FLOOR.MATH(AS23/24/3600*控制台!$E$2784)-控制台!$J$2814,0)</f>
        <v>91</v>
      </c>
      <c r="AU23" s="1">
        <f ca="1" t="shared" si="12"/>
        <v>786240</v>
      </c>
      <c r="AV23" s="1">
        <f ca="1" t="shared" si="13"/>
        <v>628992</v>
      </c>
      <c r="AW23" s="5">
        <f ca="1" t="shared" si="23"/>
        <v>3321216</v>
      </c>
      <c r="AX23" s="1">
        <f ca="1">OFFSET(控制台!$X$2798,MATCH(B23,控制台!$B$2798:$B$2809,0)-2,0)*控制台!$E$2775</f>
        <v>450</v>
      </c>
      <c r="AY23" s="1">
        <f ca="1">OFFSET(控制台!$X$2798,MATCH(B23,控制台!$B$2798:$B$2809,0)-1,0)*控制台!$E$2775</f>
        <v>600</v>
      </c>
      <c r="AZ23" s="1">
        <f ca="1">Lerp_dyy(AX23,AY23,C23/10)</f>
        <v>495</v>
      </c>
      <c r="BA23" s="4">
        <f ca="1">_xlfn.FLOOR.MATH(AZ23/24/3600*控制台!$E$2785)</f>
        <v>10</v>
      </c>
      <c r="BB23" s="1">
        <f ca="1" t="shared" si="14"/>
        <v>480</v>
      </c>
      <c r="BC23" s="1">
        <f ca="1" t="shared" si="15"/>
        <v>384</v>
      </c>
      <c r="BD23" s="5">
        <f ca="1" t="shared" si="24"/>
        <v>1977.6</v>
      </c>
      <c r="BE23" s="1">
        <f ca="1">OFFSET(控制台!$AA$2798,MATCH(B23,控制台!$B$2798:$B$2809,0)-1,0)</f>
        <v>13.3333333333332</v>
      </c>
      <c r="BF23" s="1">
        <f ca="1" t="shared" si="1"/>
        <v>98.6666666666658</v>
      </c>
      <c r="BG23" s="5">
        <f ca="1" t="shared" si="25"/>
        <v>263.999999999998</v>
      </c>
      <c r="BH23" s="1">
        <f ca="1">OFFSET(控制台!$AD$2798,MATCH(B23,控制台!$B$2798:$B$2809,0)-2,0)</f>
        <v>160</v>
      </c>
      <c r="BI23" s="1">
        <f ca="1">OFFSET(控制台!$AD$2798,MATCH(B23,控制台!$B$2798:$B$2809,0)-1,0)</f>
        <v>200</v>
      </c>
      <c r="BJ23" s="1">
        <f ca="1">Lerp_dyy(BH23,BI23,C23/10)</f>
        <v>172</v>
      </c>
      <c r="BK23" s="4">
        <f ca="1">_xlfn.FLOOR.MATH(BJ23/24/3600*控制台!$E$2785)</f>
        <v>3</v>
      </c>
      <c r="BL23" s="1">
        <f ca="1" t="shared" si="16"/>
        <v>144</v>
      </c>
      <c r="BM23" s="1">
        <f ca="1" t="shared" si="17"/>
        <v>115.2</v>
      </c>
      <c r="BN23" s="5">
        <f ca="1" t="shared" si="26"/>
        <v>816</v>
      </c>
    </row>
    <row r="24" spans="1:66">
      <c r="A24" s="1">
        <f t="shared" si="2"/>
        <v>304</v>
      </c>
      <c r="B24" s="1">
        <v>3</v>
      </c>
      <c r="C24" s="1">
        <v>4</v>
      </c>
      <c r="D24" s="1">
        <f ca="1">OFFSET(控制台!$D$2798,MATCH(B24,控制台!$B$2798:$B$2809,0)-2,0)*控制台!$E$2751</f>
        <v>1500000</v>
      </c>
      <c r="E24" s="1">
        <f ca="1">OFFSET(控制台!$D$2798,MATCH(B24,控制台!$B$2798:$B$2809,0)-1,0)*控制台!$E$2751</f>
        <v>2000000</v>
      </c>
      <c r="F24" s="1">
        <f ca="1">Lerp_dyy(D24,E24,C24/10)</f>
        <v>1700000</v>
      </c>
      <c r="G24" s="4">
        <f ca="1">_xlfn.FLOOR.MATH(F24/24/3600*控制台!$E$2784)-控制台!$E$2814</f>
        <v>188</v>
      </c>
      <c r="H24" s="1">
        <f ca="1" t="shared" si="3"/>
        <v>1624320</v>
      </c>
      <c r="I24" s="1">
        <f ca="1">IF(B24=1,0,OFFSET(控制台!$B$865,MATCH(B24-1,控制台!$G$865:$G$936,0)-1,0))</f>
        <v>5</v>
      </c>
      <c r="J24" s="1">
        <f ca="1">OFFSET(控制台!$B$865,MATCH(B24,控制台!$G$865:$G$936,0)-1,0)</f>
        <v>13</v>
      </c>
      <c r="K24" s="1">
        <f ca="1" t="shared" si="27"/>
        <v>0.8</v>
      </c>
      <c r="L24" s="5">
        <f ca="1">Lerp_dyy(I24,J24,C24/10)</f>
        <v>8.2</v>
      </c>
      <c r="M24" s="1">
        <f ca="1" t="shared" si="5"/>
        <v>1299456</v>
      </c>
      <c r="N24" s="5">
        <f ca="1" t="shared" si="18"/>
        <v>10497600</v>
      </c>
      <c r="O24" s="1">
        <f ca="1">OFFSET(控制台!$F$2798,MATCH(B24,控制台!$B$2798:$B$2809,0)-2,0)*控制台!$E$2755</f>
        <v>900</v>
      </c>
      <c r="P24" s="1">
        <f ca="1">OFFSET(控制台!$F$2798,MATCH(B24,控制台!$B$2798:$B$2809,0)-1,0)*控制台!$E$2755</f>
        <v>1200</v>
      </c>
      <c r="Q24" s="1">
        <f ca="1">Lerp_dyy(O24,P24,C24/10)</f>
        <v>1020</v>
      </c>
      <c r="R24" s="4">
        <f ca="1">_xlfn.FLOOR.MATH(Q24/24/3600*控制台!$E$2785)</f>
        <v>21</v>
      </c>
      <c r="S24" s="1">
        <f ca="1" t="shared" si="6"/>
        <v>1008</v>
      </c>
      <c r="T24" s="1">
        <f ca="1" t="shared" si="7"/>
        <v>806.4</v>
      </c>
      <c r="U24" s="5">
        <f ca="1" t="shared" si="19"/>
        <v>6508.8</v>
      </c>
      <c r="V24" s="1">
        <f ca="1">OFFSET(控制台!$I$2798,MATCH(B24,控制台!$B$2798:$B$2809,0)-2,0)*控制台!$E$2791</f>
        <v>312.5</v>
      </c>
      <c r="W24" s="1">
        <f ca="1">OFFSET(控制台!$I$2798,MATCH(B24,控制台!$B$2798:$B$2809,0)-1,0)*控制台!$E$2791</f>
        <v>468.75</v>
      </c>
      <c r="X24" s="1">
        <f ca="1">Lerp_dyy(V24,W24,C24/10)</f>
        <v>375</v>
      </c>
      <c r="Y24" s="4">
        <f ca="1">_xlfn.FLOOR.MATH(X24)</f>
        <v>375</v>
      </c>
      <c r="Z24" s="1">
        <f ca="1" t="shared" si="8"/>
        <v>0.45</v>
      </c>
      <c r="AA24" s="1">
        <f ca="1" t="shared" si="0"/>
        <v>0.36</v>
      </c>
      <c r="AB24" s="5">
        <f ca="1" t="shared" si="28"/>
        <v>2.62104</v>
      </c>
      <c r="AC24" s="5">
        <f ca="1">AB24*控制台!$E$4819</f>
        <v>2.096832</v>
      </c>
      <c r="AD24" s="5">
        <f ca="1">AB24*控制台!$E$4820</f>
        <v>47.965032</v>
      </c>
      <c r="AE24" s="1">
        <f ca="1">OFFSET(控制台!$L$2798,MATCH(B24,控制台!$B$2798:$B$2809,0)-2,0)*控制台!$E$2763</f>
        <v>150</v>
      </c>
      <c r="AF24" s="1">
        <f ca="1">OFFSET(控制台!$L$2798,MATCH(B24,控制台!$B$2798:$B$2809,0)-1,0)*控制台!$E$2763</f>
        <v>300</v>
      </c>
      <c r="AG24" s="1">
        <f ca="1">Lerp_dyy(AE24,AF24,C24/10)</f>
        <v>210</v>
      </c>
      <c r="AH24" s="1">
        <f ca="1" t="shared" si="9"/>
        <v>168</v>
      </c>
      <c r="AI24" s="5">
        <f ca="1" t="shared" si="21"/>
        <v>930</v>
      </c>
      <c r="AJ24" s="1">
        <f ca="1">OFFSET(控制台!$P$2798,MATCH(B24,控制台!$B$2798:$B$2809,0)-2,0)</f>
        <v>500</v>
      </c>
      <c r="AK24" s="1">
        <f ca="1">OFFSET(控制台!$P$2798,MATCH(B24,控制台!$B$2798:$B$2809,0)-1,0)</f>
        <v>1000</v>
      </c>
      <c r="AL24" s="1">
        <f ca="1">Lerp_dyy(AJ24,AK24,C24/10)</f>
        <v>700</v>
      </c>
      <c r="AM24" s="4">
        <f ca="1">_xlfn.FLOOR.MATH(AL24/24/3600*控制台!$E$2785)</f>
        <v>14</v>
      </c>
      <c r="AN24" s="1">
        <f ca="1" t="shared" si="10"/>
        <v>672</v>
      </c>
      <c r="AO24" s="1">
        <f ca="1" t="shared" si="11"/>
        <v>537.6</v>
      </c>
      <c r="AP24" s="5">
        <f ca="1" t="shared" si="22"/>
        <v>3667.2</v>
      </c>
      <c r="AQ24" s="1">
        <f ca="1">OFFSET(控制台!$V$2798,MATCH(B24,控制台!$B$2798:$B$2809,0)-2,0)*控制台!$E$2771</f>
        <v>750000</v>
      </c>
      <c r="AR24" s="1">
        <f ca="1">OFFSET(控制台!$V$2798,MATCH(B24,控制台!$B$2798:$B$2809,0)-1,0)*控制台!$E$2771</f>
        <v>1000000</v>
      </c>
      <c r="AS24" s="1">
        <f ca="1">Lerp_dyy(AQ24,AR24,C24/10)</f>
        <v>850000</v>
      </c>
      <c r="AT24" s="4">
        <f ca="1">MAX(_xlfn.FLOOR.MATH(AS24/24/3600*控制台!$E$2784)-控制台!$J$2814,0)</f>
        <v>94</v>
      </c>
      <c r="AU24" s="1">
        <f ca="1" t="shared" si="12"/>
        <v>812160</v>
      </c>
      <c r="AV24" s="1">
        <f ca="1" t="shared" si="13"/>
        <v>649728</v>
      </c>
      <c r="AW24" s="5">
        <f ca="1" t="shared" si="23"/>
        <v>3970944</v>
      </c>
      <c r="AX24" s="1">
        <f ca="1">OFFSET(控制台!$X$2798,MATCH(B24,控制台!$B$2798:$B$2809,0)-2,0)*控制台!$E$2775</f>
        <v>450</v>
      </c>
      <c r="AY24" s="1">
        <f ca="1">OFFSET(控制台!$X$2798,MATCH(B24,控制台!$B$2798:$B$2809,0)-1,0)*控制台!$E$2775</f>
        <v>600</v>
      </c>
      <c r="AZ24" s="1">
        <f ca="1">Lerp_dyy(AX24,AY24,C24/10)</f>
        <v>510</v>
      </c>
      <c r="BA24" s="4">
        <f ca="1">_xlfn.FLOOR.MATH(AZ24/24/3600*控制台!$E$2785)</f>
        <v>10</v>
      </c>
      <c r="BB24" s="1">
        <f ca="1" t="shared" si="14"/>
        <v>480</v>
      </c>
      <c r="BC24" s="1">
        <f ca="1" t="shared" si="15"/>
        <v>384</v>
      </c>
      <c r="BD24" s="5">
        <f ca="1" t="shared" si="24"/>
        <v>2361.6</v>
      </c>
      <c r="BE24" s="1">
        <f ca="1">OFFSET(控制台!$AA$2798,MATCH(B24,控制台!$B$2798:$B$2809,0)-1,0)</f>
        <v>13.3333333333332</v>
      </c>
      <c r="BF24" s="1">
        <f ca="1" t="shared" si="1"/>
        <v>109.333333333332</v>
      </c>
      <c r="BG24" s="5">
        <f ca="1" t="shared" si="25"/>
        <v>373.33333333333</v>
      </c>
      <c r="BH24" s="1">
        <f ca="1">OFFSET(控制台!$AD$2798,MATCH(B24,控制台!$B$2798:$B$2809,0)-2,0)</f>
        <v>160</v>
      </c>
      <c r="BI24" s="1">
        <f ca="1">OFFSET(控制台!$AD$2798,MATCH(B24,控制台!$B$2798:$B$2809,0)-1,0)</f>
        <v>200</v>
      </c>
      <c r="BJ24" s="1">
        <f ca="1">Lerp_dyy(BH24,BI24,C24/10)</f>
        <v>176</v>
      </c>
      <c r="BK24" s="4">
        <f ca="1">_xlfn.FLOOR.MATH(BJ24/24/3600*控制台!$E$2785)</f>
        <v>3</v>
      </c>
      <c r="BL24" s="1">
        <f ca="1" t="shared" si="16"/>
        <v>144</v>
      </c>
      <c r="BM24" s="1">
        <f ca="1" t="shared" si="17"/>
        <v>115.2</v>
      </c>
      <c r="BN24" s="5">
        <f ca="1" t="shared" si="26"/>
        <v>931.2</v>
      </c>
    </row>
    <row r="25" spans="1:66">
      <c r="A25" s="1">
        <f t="shared" si="2"/>
        <v>305</v>
      </c>
      <c r="B25" s="1">
        <v>3</v>
      </c>
      <c r="C25" s="1">
        <v>5</v>
      </c>
      <c r="D25" s="1">
        <f ca="1">OFFSET(控制台!$D$2798,MATCH(B25,控制台!$B$2798:$B$2809,0)-2,0)*控制台!$E$2751</f>
        <v>1500000</v>
      </c>
      <c r="E25" s="1">
        <f ca="1">OFFSET(控制台!$D$2798,MATCH(B25,控制台!$B$2798:$B$2809,0)-1,0)*控制台!$E$2751</f>
        <v>2000000</v>
      </c>
      <c r="F25" s="1">
        <f ca="1">Lerp_dyy(D25,E25,C25/10)</f>
        <v>1750000</v>
      </c>
      <c r="G25" s="4">
        <f ca="1">_xlfn.FLOOR.MATH(F25/24/3600*控制台!$E$2784)-控制台!$E$2814</f>
        <v>194</v>
      </c>
      <c r="H25" s="1">
        <f ca="1" t="shared" si="3"/>
        <v>1676160</v>
      </c>
      <c r="I25" s="1">
        <f ca="1">IF(B25=1,0,OFFSET(控制台!$B$865,MATCH(B25-1,控制台!$G$865:$G$936,0)-1,0))</f>
        <v>5</v>
      </c>
      <c r="J25" s="1">
        <f ca="1">OFFSET(控制台!$B$865,MATCH(B25,控制台!$G$865:$G$936,0)-1,0)</f>
        <v>13</v>
      </c>
      <c r="K25" s="1">
        <f ca="1" t="shared" si="27"/>
        <v>0.8</v>
      </c>
      <c r="L25" s="5">
        <f ca="1">Lerp_dyy(I25,J25,C25/10)</f>
        <v>9</v>
      </c>
      <c r="M25" s="1">
        <f ca="1" t="shared" si="5"/>
        <v>1340928</v>
      </c>
      <c r="N25" s="5">
        <f ca="1" t="shared" si="18"/>
        <v>11838528</v>
      </c>
      <c r="O25" s="1">
        <f ca="1">OFFSET(控制台!$F$2798,MATCH(B25,控制台!$B$2798:$B$2809,0)-2,0)*控制台!$E$2755</f>
        <v>900</v>
      </c>
      <c r="P25" s="1">
        <f ca="1">OFFSET(控制台!$F$2798,MATCH(B25,控制台!$B$2798:$B$2809,0)-1,0)*控制台!$E$2755</f>
        <v>1200</v>
      </c>
      <c r="Q25" s="1">
        <f ca="1">Lerp_dyy(O25,P25,C25/10)</f>
        <v>1050</v>
      </c>
      <c r="R25" s="4">
        <f ca="1">_xlfn.FLOOR.MATH(Q25/24/3600*控制台!$E$2785)</f>
        <v>21</v>
      </c>
      <c r="S25" s="1">
        <f ca="1" t="shared" si="6"/>
        <v>1008</v>
      </c>
      <c r="T25" s="1">
        <f ca="1" t="shared" si="7"/>
        <v>806.4</v>
      </c>
      <c r="U25" s="5">
        <f ca="1" t="shared" si="19"/>
        <v>7315.2</v>
      </c>
      <c r="V25" s="1">
        <f ca="1">OFFSET(控制台!$I$2798,MATCH(B25,控制台!$B$2798:$B$2809,0)-2,0)*控制台!$E$2791</f>
        <v>312.5</v>
      </c>
      <c r="W25" s="1">
        <f ca="1">OFFSET(控制台!$I$2798,MATCH(B25,控制台!$B$2798:$B$2809,0)-1,0)*控制台!$E$2791</f>
        <v>468.75</v>
      </c>
      <c r="X25" s="1">
        <f ca="1">Lerp_dyy(V25,W25,C25/10)</f>
        <v>390.625</v>
      </c>
      <c r="Y25" s="4">
        <f ca="1">_xlfn.FLOOR.MATH(X25)</f>
        <v>390</v>
      </c>
      <c r="Z25" s="1">
        <f ca="1" t="shared" si="8"/>
        <v>0.468</v>
      </c>
      <c r="AA25" s="1">
        <f ca="1" t="shared" si="0"/>
        <v>0.3744</v>
      </c>
      <c r="AB25" s="5">
        <f ca="1" t="shared" si="28"/>
        <v>2.99544</v>
      </c>
      <c r="AC25" s="5">
        <f ca="1">AB25*控制台!$E$4819</f>
        <v>2.396352</v>
      </c>
      <c r="AD25" s="5">
        <f ca="1">AB25*控制台!$E$4820</f>
        <v>54.816552</v>
      </c>
      <c r="AE25" s="1">
        <f ca="1">OFFSET(控制台!$L$2798,MATCH(B25,控制台!$B$2798:$B$2809,0)-2,0)*控制台!$E$2763</f>
        <v>150</v>
      </c>
      <c r="AF25" s="1">
        <f ca="1">OFFSET(控制台!$L$2798,MATCH(B25,控制台!$B$2798:$B$2809,0)-1,0)*控制台!$E$2763</f>
        <v>300</v>
      </c>
      <c r="AG25" s="1">
        <f ca="1">Lerp_dyy(AE25,AF25,C25/10)</f>
        <v>225</v>
      </c>
      <c r="AH25" s="1">
        <f ca="1" t="shared" si="9"/>
        <v>180</v>
      </c>
      <c r="AI25" s="5">
        <f ca="1" t="shared" si="21"/>
        <v>1110</v>
      </c>
      <c r="AJ25" s="1">
        <f ca="1">OFFSET(控制台!$P$2798,MATCH(B25,控制台!$B$2798:$B$2809,0)-2,0)</f>
        <v>500</v>
      </c>
      <c r="AK25" s="1">
        <f ca="1">OFFSET(控制台!$P$2798,MATCH(B25,控制台!$B$2798:$B$2809,0)-1,0)</f>
        <v>1000</v>
      </c>
      <c r="AL25" s="1">
        <f ca="1">Lerp_dyy(AJ25,AK25,C25/10)</f>
        <v>750</v>
      </c>
      <c r="AM25" s="4">
        <f ca="1">_xlfn.FLOOR.MATH(AL25/24/3600*控制台!$E$2785)</f>
        <v>15</v>
      </c>
      <c r="AN25" s="1">
        <f ca="1" t="shared" si="10"/>
        <v>720</v>
      </c>
      <c r="AO25" s="1">
        <f ca="1" t="shared" si="11"/>
        <v>576</v>
      </c>
      <c r="AP25" s="5">
        <f ca="1" t="shared" si="22"/>
        <v>4243.2</v>
      </c>
      <c r="AQ25" s="1">
        <f ca="1">OFFSET(控制台!$V$2798,MATCH(B25,控制台!$B$2798:$B$2809,0)-2,0)*控制台!$E$2771</f>
        <v>750000</v>
      </c>
      <c r="AR25" s="1">
        <f ca="1">OFFSET(控制台!$V$2798,MATCH(B25,控制台!$B$2798:$B$2809,0)-1,0)*控制台!$E$2771</f>
        <v>1000000</v>
      </c>
      <c r="AS25" s="1">
        <f ca="1">Lerp_dyy(AQ25,AR25,C25/10)</f>
        <v>875000</v>
      </c>
      <c r="AT25" s="4">
        <f ca="1">MAX(_xlfn.FLOOR.MATH(AS25/24/3600*控制台!$E$2784)-控制台!$J$2814,0)</f>
        <v>97</v>
      </c>
      <c r="AU25" s="1">
        <f ca="1" t="shared" si="12"/>
        <v>838080</v>
      </c>
      <c r="AV25" s="1">
        <f ca="1" t="shared" si="13"/>
        <v>670464</v>
      </c>
      <c r="AW25" s="5">
        <f ca="1" t="shared" si="23"/>
        <v>4641408</v>
      </c>
      <c r="AX25" s="1">
        <f ca="1">OFFSET(控制台!$X$2798,MATCH(B25,控制台!$B$2798:$B$2809,0)-2,0)*控制台!$E$2775</f>
        <v>450</v>
      </c>
      <c r="AY25" s="1">
        <f ca="1">OFFSET(控制台!$X$2798,MATCH(B25,控制台!$B$2798:$B$2809,0)-1,0)*控制台!$E$2775</f>
        <v>600</v>
      </c>
      <c r="AZ25" s="1">
        <f ca="1">Lerp_dyy(AX25,AY25,C25/10)</f>
        <v>525</v>
      </c>
      <c r="BA25" s="4">
        <f ca="1">_xlfn.FLOOR.MATH(AZ25/24/3600*控制台!$E$2785)</f>
        <v>10</v>
      </c>
      <c r="BB25" s="1">
        <f ca="1" t="shared" si="14"/>
        <v>480</v>
      </c>
      <c r="BC25" s="1">
        <f ca="1" t="shared" si="15"/>
        <v>384</v>
      </c>
      <c r="BD25" s="5">
        <f ca="1" t="shared" si="24"/>
        <v>2745.6</v>
      </c>
      <c r="BE25" s="1">
        <f ca="1">OFFSET(控制台!$AA$2798,MATCH(B25,控制台!$B$2798:$B$2809,0)-1,0)</f>
        <v>13.3333333333332</v>
      </c>
      <c r="BF25" s="1">
        <f ca="1" t="shared" si="1"/>
        <v>119.999999999999</v>
      </c>
      <c r="BG25" s="5">
        <f ca="1" t="shared" si="25"/>
        <v>493.333333333329</v>
      </c>
      <c r="BH25" s="1">
        <f ca="1">OFFSET(控制台!$AD$2798,MATCH(B25,控制台!$B$2798:$B$2809,0)-2,0)</f>
        <v>160</v>
      </c>
      <c r="BI25" s="1">
        <f ca="1">OFFSET(控制台!$AD$2798,MATCH(B25,控制台!$B$2798:$B$2809,0)-1,0)</f>
        <v>200</v>
      </c>
      <c r="BJ25" s="1">
        <f ca="1">Lerp_dyy(BH25,BI25,C25/10)</f>
        <v>180</v>
      </c>
      <c r="BK25" s="4">
        <f ca="1">_xlfn.FLOOR.MATH(BJ25/24/3600*控制台!$E$2785)</f>
        <v>3</v>
      </c>
      <c r="BL25" s="1">
        <f ca="1" t="shared" si="16"/>
        <v>144</v>
      </c>
      <c r="BM25" s="1">
        <f ca="1" t="shared" si="17"/>
        <v>115.2</v>
      </c>
      <c r="BN25" s="5">
        <f ca="1" t="shared" si="26"/>
        <v>1046.4</v>
      </c>
    </row>
    <row r="26" spans="1:66">
      <c r="A26" s="1">
        <f t="shared" si="2"/>
        <v>306</v>
      </c>
      <c r="B26" s="1">
        <v>3</v>
      </c>
      <c r="C26" s="1">
        <v>6</v>
      </c>
      <c r="D26" s="1">
        <f ca="1">OFFSET(控制台!$D$2798,MATCH(B26,控制台!$B$2798:$B$2809,0)-2,0)*控制台!$E$2751</f>
        <v>1500000</v>
      </c>
      <c r="E26" s="1">
        <f ca="1">OFFSET(控制台!$D$2798,MATCH(B26,控制台!$B$2798:$B$2809,0)-1,0)*控制台!$E$2751</f>
        <v>2000000</v>
      </c>
      <c r="F26" s="1">
        <f ca="1">Lerp_dyy(D26,E26,C26/10)</f>
        <v>1800000</v>
      </c>
      <c r="G26" s="4">
        <f ca="1">_xlfn.FLOOR.MATH(F26/24/3600*控制台!$E$2784)-控制台!$E$2814</f>
        <v>200</v>
      </c>
      <c r="H26" s="1">
        <f ca="1" t="shared" si="3"/>
        <v>1728000</v>
      </c>
      <c r="I26" s="1">
        <f ca="1">IF(B26=1,0,OFFSET(控制台!$B$865,MATCH(B26-1,控制台!$G$865:$G$936,0)-1,0))</f>
        <v>5</v>
      </c>
      <c r="J26" s="1">
        <f ca="1">OFFSET(控制台!$B$865,MATCH(B26,控制台!$G$865:$G$936,0)-1,0)</f>
        <v>13</v>
      </c>
      <c r="K26" s="1">
        <f ca="1" t="shared" si="27"/>
        <v>0.8</v>
      </c>
      <c r="L26" s="5">
        <f ca="1">Lerp_dyy(I26,J26,C26/10)</f>
        <v>9.8</v>
      </c>
      <c r="M26" s="1">
        <f ca="1" t="shared" si="5"/>
        <v>1382400</v>
      </c>
      <c r="N26" s="5">
        <f ca="1" t="shared" si="18"/>
        <v>13220928</v>
      </c>
      <c r="O26" s="1">
        <f ca="1">OFFSET(控制台!$F$2798,MATCH(B26,控制台!$B$2798:$B$2809,0)-2,0)*控制台!$E$2755</f>
        <v>900</v>
      </c>
      <c r="P26" s="1">
        <f ca="1">OFFSET(控制台!$F$2798,MATCH(B26,控制台!$B$2798:$B$2809,0)-1,0)*控制台!$E$2755</f>
        <v>1200</v>
      </c>
      <c r="Q26" s="1">
        <f ca="1">Lerp_dyy(O26,P26,C26/10)</f>
        <v>1080</v>
      </c>
      <c r="R26" s="4">
        <f ca="1">_xlfn.FLOOR.MATH(Q26/24/3600*控制台!$E$2785)</f>
        <v>22</v>
      </c>
      <c r="S26" s="1">
        <f ca="1" t="shared" si="6"/>
        <v>1056</v>
      </c>
      <c r="T26" s="1">
        <f ca="1" t="shared" si="7"/>
        <v>844.8</v>
      </c>
      <c r="U26" s="5">
        <f ca="1" t="shared" si="19"/>
        <v>8160</v>
      </c>
      <c r="V26" s="1">
        <f ca="1">OFFSET(控制台!$I$2798,MATCH(B26,控制台!$B$2798:$B$2809,0)-2,0)*控制台!$E$2791</f>
        <v>312.5</v>
      </c>
      <c r="W26" s="1">
        <f ca="1">OFFSET(控制台!$I$2798,MATCH(B26,控制台!$B$2798:$B$2809,0)-1,0)*控制台!$E$2791</f>
        <v>468.75</v>
      </c>
      <c r="X26" s="1">
        <f ca="1">Lerp_dyy(V26,W26,C26/10)</f>
        <v>406.25</v>
      </c>
      <c r="Y26" s="4">
        <f ca="1">_xlfn.FLOOR.MATH(X26)</f>
        <v>406</v>
      </c>
      <c r="Z26" s="1">
        <f ca="1" t="shared" si="8"/>
        <v>0.4872</v>
      </c>
      <c r="AA26" s="1">
        <f ca="1" t="shared" si="0"/>
        <v>0.38976</v>
      </c>
      <c r="AB26" s="5">
        <f ca="1" t="shared" si="28"/>
        <v>3.3852</v>
      </c>
      <c r="AC26" s="5">
        <f ca="1">AB26*控制台!$E$4819</f>
        <v>2.70816</v>
      </c>
      <c r="AD26" s="5">
        <f ca="1">AB26*控制台!$E$4820</f>
        <v>61.94916</v>
      </c>
      <c r="AE26" s="1">
        <f ca="1">OFFSET(控制台!$L$2798,MATCH(B26,控制台!$B$2798:$B$2809,0)-2,0)*控制台!$E$2763</f>
        <v>150</v>
      </c>
      <c r="AF26" s="1">
        <f ca="1">OFFSET(控制台!$L$2798,MATCH(B26,控制台!$B$2798:$B$2809,0)-1,0)*控制台!$E$2763</f>
        <v>300</v>
      </c>
      <c r="AG26" s="1">
        <f ca="1">Lerp_dyy(AE26,AF26,C26/10)</f>
        <v>240</v>
      </c>
      <c r="AH26" s="1">
        <f ca="1" t="shared" si="9"/>
        <v>192</v>
      </c>
      <c r="AI26" s="5">
        <f ca="1" t="shared" si="21"/>
        <v>1302</v>
      </c>
      <c r="AJ26" s="1">
        <f ca="1">OFFSET(控制台!$P$2798,MATCH(B26,控制台!$B$2798:$B$2809,0)-2,0)</f>
        <v>500</v>
      </c>
      <c r="AK26" s="1">
        <f ca="1">OFFSET(控制台!$P$2798,MATCH(B26,控制台!$B$2798:$B$2809,0)-1,0)</f>
        <v>1000</v>
      </c>
      <c r="AL26" s="1">
        <f ca="1">Lerp_dyy(AJ26,AK26,C26/10)</f>
        <v>800</v>
      </c>
      <c r="AM26" s="4">
        <f ca="1">_xlfn.FLOOR.MATH(AL26/24/3600*控制台!$E$2785)</f>
        <v>16</v>
      </c>
      <c r="AN26" s="1">
        <f ca="1" t="shared" si="10"/>
        <v>768</v>
      </c>
      <c r="AO26" s="1">
        <f ca="1" t="shared" si="11"/>
        <v>614.4</v>
      </c>
      <c r="AP26" s="5">
        <f ca="1" t="shared" si="22"/>
        <v>4857.6</v>
      </c>
      <c r="AQ26" s="1">
        <f ca="1">OFFSET(控制台!$V$2798,MATCH(B26,控制台!$B$2798:$B$2809,0)-2,0)*控制台!$E$2771</f>
        <v>750000</v>
      </c>
      <c r="AR26" s="1">
        <f ca="1">OFFSET(控制台!$V$2798,MATCH(B26,控制台!$B$2798:$B$2809,0)-1,0)*控制台!$E$2771</f>
        <v>1000000</v>
      </c>
      <c r="AS26" s="1">
        <f ca="1">Lerp_dyy(AQ26,AR26,C26/10)</f>
        <v>900000</v>
      </c>
      <c r="AT26" s="4">
        <f ca="1">MAX(_xlfn.FLOOR.MATH(AS26/24/3600*控制台!$E$2784)-控制台!$J$2814,0)</f>
        <v>100</v>
      </c>
      <c r="AU26" s="1">
        <f ca="1" t="shared" si="12"/>
        <v>864000</v>
      </c>
      <c r="AV26" s="1">
        <f ca="1" t="shared" si="13"/>
        <v>691200</v>
      </c>
      <c r="AW26" s="5">
        <f ca="1" t="shared" si="23"/>
        <v>5332608</v>
      </c>
      <c r="AX26" s="1">
        <f ca="1">OFFSET(控制台!$X$2798,MATCH(B26,控制台!$B$2798:$B$2809,0)-2,0)*控制台!$E$2775</f>
        <v>450</v>
      </c>
      <c r="AY26" s="1">
        <f ca="1">OFFSET(控制台!$X$2798,MATCH(B26,控制台!$B$2798:$B$2809,0)-1,0)*控制台!$E$2775</f>
        <v>600</v>
      </c>
      <c r="AZ26" s="1">
        <f ca="1">Lerp_dyy(AX26,AY26,C26/10)</f>
        <v>540</v>
      </c>
      <c r="BA26" s="4">
        <f ca="1">_xlfn.FLOOR.MATH(AZ26/24/3600*控制台!$E$2785)</f>
        <v>11</v>
      </c>
      <c r="BB26" s="1">
        <f ca="1" t="shared" si="14"/>
        <v>528</v>
      </c>
      <c r="BC26" s="1">
        <f ca="1" t="shared" si="15"/>
        <v>422.4</v>
      </c>
      <c r="BD26" s="5">
        <f ca="1" t="shared" si="24"/>
        <v>3168</v>
      </c>
      <c r="BE26" s="1">
        <f ca="1">OFFSET(控制台!$AA$2798,MATCH(B26,控制台!$B$2798:$B$2809,0)-1,0)</f>
        <v>13.3333333333332</v>
      </c>
      <c r="BF26" s="1">
        <f ca="1" t="shared" si="1"/>
        <v>130.666666666666</v>
      </c>
      <c r="BG26" s="5">
        <f ca="1" t="shared" si="25"/>
        <v>623.999999999995</v>
      </c>
      <c r="BH26" s="1">
        <f ca="1">OFFSET(控制台!$AD$2798,MATCH(B26,控制台!$B$2798:$B$2809,0)-2,0)</f>
        <v>160</v>
      </c>
      <c r="BI26" s="1">
        <f ca="1">OFFSET(控制台!$AD$2798,MATCH(B26,控制台!$B$2798:$B$2809,0)-1,0)</f>
        <v>200</v>
      </c>
      <c r="BJ26" s="1">
        <f ca="1">Lerp_dyy(BH26,BI26,C26/10)</f>
        <v>184</v>
      </c>
      <c r="BK26" s="4">
        <f ca="1">_xlfn.FLOOR.MATH(BJ26/24/3600*控制台!$E$2785)</f>
        <v>3</v>
      </c>
      <c r="BL26" s="1">
        <f ca="1" t="shared" si="16"/>
        <v>144</v>
      </c>
      <c r="BM26" s="1">
        <f ca="1" t="shared" si="17"/>
        <v>115.2</v>
      </c>
      <c r="BN26" s="5">
        <f ca="1" t="shared" si="26"/>
        <v>1161.6</v>
      </c>
    </row>
    <row r="27" spans="1:66">
      <c r="A27" s="1">
        <f t="shared" si="2"/>
        <v>307</v>
      </c>
      <c r="B27" s="1">
        <v>3</v>
      </c>
      <c r="C27" s="1">
        <v>7</v>
      </c>
      <c r="D27" s="1">
        <f ca="1">OFFSET(控制台!$D$2798,MATCH(B27,控制台!$B$2798:$B$2809,0)-2,0)*控制台!$E$2751</f>
        <v>1500000</v>
      </c>
      <c r="E27" s="1">
        <f ca="1">OFFSET(控制台!$D$2798,MATCH(B27,控制台!$B$2798:$B$2809,0)-1,0)*控制台!$E$2751</f>
        <v>2000000</v>
      </c>
      <c r="F27" s="1">
        <f ca="1">Lerp_dyy(D27,E27,C27/10)</f>
        <v>1850000</v>
      </c>
      <c r="G27" s="4">
        <f ca="1">_xlfn.FLOOR.MATH(F27/24/3600*控制台!$E$2784)-控制台!$E$2814</f>
        <v>206</v>
      </c>
      <c r="H27" s="1">
        <f ca="1" t="shared" si="3"/>
        <v>1779840</v>
      </c>
      <c r="I27" s="1">
        <f ca="1">IF(B27=1,0,OFFSET(控制台!$B$865,MATCH(B27-1,控制台!$G$865:$G$936,0)-1,0))</f>
        <v>5</v>
      </c>
      <c r="J27" s="1">
        <f ca="1">OFFSET(控制台!$B$865,MATCH(B27,控制台!$G$865:$G$936,0)-1,0)</f>
        <v>13</v>
      </c>
      <c r="K27" s="1">
        <f ca="1" t="shared" si="27"/>
        <v>0.8</v>
      </c>
      <c r="L27" s="5">
        <f ca="1">Lerp_dyy(I27,J27,C27/10)</f>
        <v>10.6</v>
      </c>
      <c r="M27" s="1">
        <f ca="1" t="shared" si="5"/>
        <v>1423872</v>
      </c>
      <c r="N27" s="5">
        <f ca="1" t="shared" si="18"/>
        <v>14644800</v>
      </c>
      <c r="O27" s="1">
        <f ca="1">OFFSET(控制台!$F$2798,MATCH(B27,控制台!$B$2798:$B$2809,0)-2,0)*控制台!$E$2755</f>
        <v>900</v>
      </c>
      <c r="P27" s="1">
        <f ca="1">OFFSET(控制台!$F$2798,MATCH(B27,控制台!$B$2798:$B$2809,0)-1,0)*控制台!$E$2755</f>
        <v>1200</v>
      </c>
      <c r="Q27" s="1">
        <f ca="1">Lerp_dyy(O27,P27,C27/10)</f>
        <v>1110</v>
      </c>
      <c r="R27" s="4">
        <f ca="1">_xlfn.FLOOR.MATH(Q27/24/3600*控制台!$E$2785)</f>
        <v>23</v>
      </c>
      <c r="S27" s="1">
        <f ca="1" t="shared" si="6"/>
        <v>1104</v>
      </c>
      <c r="T27" s="1">
        <f ca="1" t="shared" si="7"/>
        <v>883.2</v>
      </c>
      <c r="U27" s="5">
        <f ca="1" t="shared" si="19"/>
        <v>9043.2</v>
      </c>
      <c r="V27" s="1">
        <f ca="1">OFFSET(控制台!$I$2798,MATCH(B27,控制台!$B$2798:$B$2809,0)-2,0)*控制台!$E$2791</f>
        <v>312.5</v>
      </c>
      <c r="W27" s="1">
        <f ca="1">OFFSET(控制台!$I$2798,MATCH(B27,控制台!$B$2798:$B$2809,0)-1,0)*控制台!$E$2791</f>
        <v>468.75</v>
      </c>
      <c r="X27" s="1">
        <f ca="1">Lerp_dyy(V27,W27,C27/10)</f>
        <v>421.875</v>
      </c>
      <c r="Y27" s="4">
        <f ca="1">_xlfn.FLOOR.MATH(X27)</f>
        <v>421</v>
      </c>
      <c r="Z27" s="1">
        <f ca="1" t="shared" si="8"/>
        <v>0.5052</v>
      </c>
      <c r="AA27" s="1">
        <f ca="1" t="shared" si="0"/>
        <v>0.40416</v>
      </c>
      <c r="AB27" s="5">
        <f ca="1" t="shared" si="28"/>
        <v>3.78936</v>
      </c>
      <c r="AC27" s="5">
        <f ca="1">AB27*控制台!$E$4819</f>
        <v>3.031488</v>
      </c>
      <c r="AD27" s="5">
        <f ca="1">AB27*控制台!$E$4820</f>
        <v>69.345288</v>
      </c>
      <c r="AE27" s="1">
        <f ca="1">OFFSET(控制台!$L$2798,MATCH(B27,控制台!$B$2798:$B$2809,0)-2,0)*控制台!$E$2763</f>
        <v>150</v>
      </c>
      <c r="AF27" s="1">
        <f ca="1">OFFSET(控制台!$L$2798,MATCH(B27,控制台!$B$2798:$B$2809,0)-1,0)*控制台!$E$2763</f>
        <v>300</v>
      </c>
      <c r="AG27" s="1">
        <f ca="1">Lerp_dyy(AE27,AF27,C27/10)</f>
        <v>255</v>
      </c>
      <c r="AH27" s="1">
        <f ca="1" t="shared" si="9"/>
        <v>204</v>
      </c>
      <c r="AI27" s="5">
        <f ca="1" t="shared" si="21"/>
        <v>1506</v>
      </c>
      <c r="AJ27" s="1">
        <f ca="1">OFFSET(控制台!$P$2798,MATCH(B27,控制台!$B$2798:$B$2809,0)-2,0)</f>
        <v>500</v>
      </c>
      <c r="AK27" s="1">
        <f ca="1">OFFSET(控制台!$P$2798,MATCH(B27,控制台!$B$2798:$B$2809,0)-1,0)</f>
        <v>1000</v>
      </c>
      <c r="AL27" s="1">
        <f ca="1">Lerp_dyy(AJ27,AK27,C27/10)</f>
        <v>850</v>
      </c>
      <c r="AM27" s="4">
        <f ca="1">_xlfn.FLOOR.MATH(AL27/24/3600*控制台!$E$2785)</f>
        <v>17</v>
      </c>
      <c r="AN27" s="1">
        <f ca="1" t="shared" si="10"/>
        <v>816</v>
      </c>
      <c r="AO27" s="1">
        <f ca="1" t="shared" si="11"/>
        <v>652.8</v>
      </c>
      <c r="AP27" s="5">
        <f ca="1" t="shared" si="22"/>
        <v>5510.4</v>
      </c>
      <c r="AQ27" s="1">
        <f ca="1">OFFSET(控制台!$V$2798,MATCH(B27,控制台!$B$2798:$B$2809,0)-2,0)*控制台!$E$2771</f>
        <v>750000</v>
      </c>
      <c r="AR27" s="1">
        <f ca="1">OFFSET(控制台!$V$2798,MATCH(B27,控制台!$B$2798:$B$2809,0)-1,0)*控制台!$E$2771</f>
        <v>1000000</v>
      </c>
      <c r="AS27" s="1">
        <f ca="1">Lerp_dyy(AQ27,AR27,C27/10)</f>
        <v>925000</v>
      </c>
      <c r="AT27" s="4">
        <f ca="1">MAX(_xlfn.FLOOR.MATH(AS27/24/3600*控制台!$E$2784)-控制台!$J$2814,0)</f>
        <v>103</v>
      </c>
      <c r="AU27" s="1">
        <f ca="1" t="shared" si="12"/>
        <v>889920</v>
      </c>
      <c r="AV27" s="1">
        <f ca="1" t="shared" si="13"/>
        <v>711936</v>
      </c>
      <c r="AW27" s="5">
        <f ca="1" t="shared" si="23"/>
        <v>6044544</v>
      </c>
      <c r="AX27" s="1">
        <f ca="1">OFFSET(控制台!$X$2798,MATCH(B27,控制台!$B$2798:$B$2809,0)-2,0)*控制台!$E$2775</f>
        <v>450</v>
      </c>
      <c r="AY27" s="1">
        <f ca="1">OFFSET(控制台!$X$2798,MATCH(B27,控制台!$B$2798:$B$2809,0)-1,0)*控制台!$E$2775</f>
        <v>600</v>
      </c>
      <c r="AZ27" s="1">
        <f ca="1">Lerp_dyy(AX27,AY27,C27/10)</f>
        <v>555</v>
      </c>
      <c r="BA27" s="4">
        <f ca="1">_xlfn.FLOOR.MATH(AZ27/24/3600*控制台!$E$2785)</f>
        <v>11</v>
      </c>
      <c r="BB27" s="1">
        <f ca="1" t="shared" si="14"/>
        <v>528</v>
      </c>
      <c r="BC27" s="1">
        <f ca="1" t="shared" si="15"/>
        <v>422.4</v>
      </c>
      <c r="BD27" s="5">
        <f ca="1" t="shared" si="24"/>
        <v>3590.4</v>
      </c>
      <c r="BE27" s="1">
        <f ca="1">OFFSET(控制台!$AA$2798,MATCH(B27,控制台!$B$2798:$B$2809,0)-1,0)</f>
        <v>13.3333333333332</v>
      </c>
      <c r="BF27" s="1">
        <f ca="1" t="shared" si="1"/>
        <v>141.333333333332</v>
      </c>
      <c r="BG27" s="5">
        <f ca="1" t="shared" si="25"/>
        <v>765.333333333327</v>
      </c>
      <c r="BH27" s="1">
        <f ca="1">OFFSET(控制台!$AD$2798,MATCH(B27,控制台!$B$2798:$B$2809,0)-2,0)</f>
        <v>160</v>
      </c>
      <c r="BI27" s="1">
        <f ca="1">OFFSET(控制台!$AD$2798,MATCH(B27,控制台!$B$2798:$B$2809,0)-1,0)</f>
        <v>200</v>
      </c>
      <c r="BJ27" s="1">
        <f ca="1">Lerp_dyy(BH27,BI27,C27/10)</f>
        <v>188</v>
      </c>
      <c r="BK27" s="4">
        <f ca="1">_xlfn.FLOOR.MATH(BJ27/24/3600*控制台!$E$2785)</f>
        <v>3</v>
      </c>
      <c r="BL27" s="1">
        <f ca="1" t="shared" si="16"/>
        <v>144</v>
      </c>
      <c r="BM27" s="1">
        <f ca="1" t="shared" si="17"/>
        <v>115.2</v>
      </c>
      <c r="BN27" s="5">
        <f ca="1" t="shared" si="26"/>
        <v>1276.8</v>
      </c>
    </row>
    <row r="28" spans="1:66">
      <c r="A28" s="1">
        <f t="shared" si="2"/>
        <v>308</v>
      </c>
      <c r="B28" s="1">
        <v>3</v>
      </c>
      <c r="C28" s="1">
        <v>8</v>
      </c>
      <c r="D28" s="1">
        <f ca="1">OFFSET(控制台!$D$2798,MATCH(B28,控制台!$B$2798:$B$2809,0)-2,0)*控制台!$E$2751</f>
        <v>1500000</v>
      </c>
      <c r="E28" s="1">
        <f ca="1">OFFSET(控制台!$D$2798,MATCH(B28,控制台!$B$2798:$B$2809,0)-1,0)*控制台!$E$2751</f>
        <v>2000000</v>
      </c>
      <c r="F28" s="1">
        <f ca="1">Lerp_dyy(D28,E28,C28/10)</f>
        <v>1900000</v>
      </c>
      <c r="G28" s="4">
        <f ca="1">_xlfn.FLOOR.MATH(F28/24/3600*控制台!$E$2784)-控制台!$E$2814</f>
        <v>211</v>
      </c>
      <c r="H28" s="1">
        <f ca="1" t="shared" si="3"/>
        <v>1823040</v>
      </c>
      <c r="I28" s="1">
        <f ca="1">IF(B28=1,0,OFFSET(控制台!$B$865,MATCH(B28-1,控制台!$G$865:$G$936,0)-1,0))</f>
        <v>5</v>
      </c>
      <c r="J28" s="1">
        <f ca="1">OFFSET(控制台!$B$865,MATCH(B28,控制台!$G$865:$G$936,0)-1,0)</f>
        <v>13</v>
      </c>
      <c r="K28" s="1">
        <f ca="1" t="shared" si="27"/>
        <v>0.8</v>
      </c>
      <c r="L28" s="5">
        <f ca="1">Lerp_dyy(I28,J28,C28/10)</f>
        <v>11.4</v>
      </c>
      <c r="M28" s="1">
        <f ca="1" t="shared" si="5"/>
        <v>1458432</v>
      </c>
      <c r="N28" s="5">
        <f ca="1" t="shared" si="18"/>
        <v>16103232</v>
      </c>
      <c r="O28" s="1">
        <f ca="1">OFFSET(控制台!$F$2798,MATCH(B28,控制台!$B$2798:$B$2809,0)-2,0)*控制台!$E$2755</f>
        <v>900</v>
      </c>
      <c r="P28" s="1">
        <f ca="1">OFFSET(控制台!$F$2798,MATCH(B28,控制台!$B$2798:$B$2809,0)-1,0)*控制台!$E$2755</f>
        <v>1200</v>
      </c>
      <c r="Q28" s="1">
        <f ca="1">Lerp_dyy(O28,P28,C28/10)</f>
        <v>1140</v>
      </c>
      <c r="R28" s="4">
        <f ca="1">_xlfn.FLOOR.MATH(Q28/24/3600*控制台!$E$2785)</f>
        <v>23</v>
      </c>
      <c r="S28" s="1">
        <f ca="1" t="shared" si="6"/>
        <v>1104</v>
      </c>
      <c r="T28" s="1">
        <f ca="1" t="shared" si="7"/>
        <v>883.2</v>
      </c>
      <c r="U28" s="5">
        <f ca="1" t="shared" si="19"/>
        <v>9926.4</v>
      </c>
      <c r="V28" s="1">
        <f ca="1">OFFSET(控制台!$I$2798,MATCH(B28,控制台!$B$2798:$B$2809,0)-2,0)*控制台!$E$2791</f>
        <v>312.5</v>
      </c>
      <c r="W28" s="1">
        <f ca="1">OFFSET(控制台!$I$2798,MATCH(B28,控制台!$B$2798:$B$2809,0)-1,0)*控制台!$E$2791</f>
        <v>468.75</v>
      </c>
      <c r="X28" s="1">
        <f ca="1">Lerp_dyy(V28,W28,C28/10)</f>
        <v>437.5</v>
      </c>
      <c r="Y28" s="4">
        <f ca="1">_xlfn.FLOOR.MATH(X28)</f>
        <v>437</v>
      </c>
      <c r="Z28" s="1">
        <f ca="1" t="shared" si="8"/>
        <v>0.5244</v>
      </c>
      <c r="AA28" s="1">
        <f ca="1" t="shared" si="0"/>
        <v>0.41952</v>
      </c>
      <c r="AB28" s="5">
        <f ca="1" t="shared" si="28"/>
        <v>4.20888</v>
      </c>
      <c r="AC28" s="5">
        <f ca="1">AB28*控制台!$E$4819</f>
        <v>3.367104</v>
      </c>
      <c r="AD28" s="5">
        <f ca="1">AB28*控制台!$E$4820</f>
        <v>77.022504</v>
      </c>
      <c r="AE28" s="1">
        <f ca="1">OFFSET(控制台!$L$2798,MATCH(B28,控制台!$B$2798:$B$2809,0)-2,0)*控制台!$E$2763</f>
        <v>150</v>
      </c>
      <c r="AF28" s="1">
        <f ca="1">OFFSET(控制台!$L$2798,MATCH(B28,控制台!$B$2798:$B$2809,0)-1,0)*控制台!$E$2763</f>
        <v>300</v>
      </c>
      <c r="AG28" s="1">
        <f ca="1">Lerp_dyy(AE28,AF28,C28/10)</f>
        <v>270</v>
      </c>
      <c r="AH28" s="1">
        <f ca="1" t="shared" si="9"/>
        <v>216</v>
      </c>
      <c r="AI28" s="5">
        <f ca="1" t="shared" si="21"/>
        <v>1722</v>
      </c>
      <c r="AJ28" s="1">
        <f ca="1">OFFSET(控制台!$P$2798,MATCH(B28,控制台!$B$2798:$B$2809,0)-2,0)</f>
        <v>500</v>
      </c>
      <c r="AK28" s="1">
        <f ca="1">OFFSET(控制台!$P$2798,MATCH(B28,控制台!$B$2798:$B$2809,0)-1,0)</f>
        <v>1000</v>
      </c>
      <c r="AL28" s="1">
        <f ca="1">Lerp_dyy(AJ28,AK28,C28/10)</f>
        <v>900</v>
      </c>
      <c r="AM28" s="4">
        <f ca="1">_xlfn.FLOOR.MATH(AL28/24/3600*控制台!$E$2785)</f>
        <v>18</v>
      </c>
      <c r="AN28" s="1">
        <f ca="1" t="shared" si="10"/>
        <v>864</v>
      </c>
      <c r="AO28" s="1">
        <f ca="1" t="shared" si="11"/>
        <v>691.2</v>
      </c>
      <c r="AP28" s="5">
        <f ca="1" t="shared" si="22"/>
        <v>6201.6</v>
      </c>
      <c r="AQ28" s="1">
        <f ca="1">OFFSET(控制台!$V$2798,MATCH(B28,控制台!$B$2798:$B$2809,0)-2,0)*控制台!$E$2771</f>
        <v>750000</v>
      </c>
      <c r="AR28" s="1">
        <f ca="1">OFFSET(控制台!$V$2798,MATCH(B28,控制台!$B$2798:$B$2809,0)-1,0)*控制台!$E$2771</f>
        <v>1000000</v>
      </c>
      <c r="AS28" s="1">
        <f ca="1">Lerp_dyy(AQ28,AR28,C28/10)</f>
        <v>950000</v>
      </c>
      <c r="AT28" s="4">
        <f ca="1">MAX(_xlfn.FLOOR.MATH(AS28/24/3600*控制台!$E$2784)-控制台!$J$2814,0)</f>
        <v>105</v>
      </c>
      <c r="AU28" s="1">
        <f ca="1" t="shared" si="12"/>
        <v>907200</v>
      </c>
      <c r="AV28" s="1">
        <f ca="1" t="shared" si="13"/>
        <v>725760</v>
      </c>
      <c r="AW28" s="5">
        <f ca="1" t="shared" si="23"/>
        <v>6770304</v>
      </c>
      <c r="AX28" s="1">
        <f ca="1">OFFSET(控制台!$X$2798,MATCH(B28,控制台!$B$2798:$B$2809,0)-2,0)*控制台!$E$2775</f>
        <v>450</v>
      </c>
      <c r="AY28" s="1">
        <f ca="1">OFFSET(控制台!$X$2798,MATCH(B28,控制台!$B$2798:$B$2809,0)-1,0)*控制台!$E$2775</f>
        <v>600</v>
      </c>
      <c r="AZ28" s="1">
        <f ca="1">Lerp_dyy(AX28,AY28,C28/10)</f>
        <v>570</v>
      </c>
      <c r="BA28" s="4">
        <f ca="1">_xlfn.FLOOR.MATH(AZ28/24/3600*控制台!$E$2785)</f>
        <v>11</v>
      </c>
      <c r="BB28" s="1">
        <f ca="1" t="shared" si="14"/>
        <v>528</v>
      </c>
      <c r="BC28" s="1">
        <f ca="1" t="shared" si="15"/>
        <v>422.4</v>
      </c>
      <c r="BD28" s="5">
        <f ca="1" t="shared" si="24"/>
        <v>4012.8</v>
      </c>
      <c r="BE28" s="1">
        <f ca="1">OFFSET(控制台!$AA$2798,MATCH(B28,控制台!$B$2798:$B$2809,0)-1,0)</f>
        <v>13.3333333333332</v>
      </c>
      <c r="BF28" s="1">
        <f ca="1" t="shared" si="1"/>
        <v>151.999999999999</v>
      </c>
      <c r="BG28" s="5">
        <f ca="1" t="shared" si="25"/>
        <v>917.333333333325</v>
      </c>
      <c r="BH28" s="1">
        <f ca="1">OFFSET(控制台!$AD$2798,MATCH(B28,控制台!$B$2798:$B$2809,0)-2,0)</f>
        <v>160</v>
      </c>
      <c r="BI28" s="1">
        <f ca="1">OFFSET(控制台!$AD$2798,MATCH(B28,控制台!$B$2798:$B$2809,0)-1,0)</f>
        <v>200</v>
      </c>
      <c r="BJ28" s="1">
        <f ca="1">Lerp_dyy(BH28,BI28,C28/10)</f>
        <v>192</v>
      </c>
      <c r="BK28" s="4">
        <f ca="1">_xlfn.FLOOR.MATH(BJ28/24/3600*控制台!$E$2785)</f>
        <v>4</v>
      </c>
      <c r="BL28" s="1">
        <f ca="1" t="shared" si="16"/>
        <v>192</v>
      </c>
      <c r="BM28" s="1">
        <f ca="1" t="shared" si="17"/>
        <v>153.6</v>
      </c>
      <c r="BN28" s="5">
        <f ca="1" t="shared" si="26"/>
        <v>1430.4</v>
      </c>
    </row>
    <row r="29" spans="1:66">
      <c r="A29" s="1">
        <f t="shared" si="2"/>
        <v>309</v>
      </c>
      <c r="B29" s="1">
        <v>3</v>
      </c>
      <c r="C29" s="1">
        <v>9</v>
      </c>
      <c r="D29" s="1">
        <f ca="1">OFFSET(控制台!$D$2798,MATCH(B29,控制台!$B$2798:$B$2809,0)-2,0)*控制台!$E$2751</f>
        <v>1500000</v>
      </c>
      <c r="E29" s="1">
        <f ca="1">OFFSET(控制台!$D$2798,MATCH(B29,控制台!$B$2798:$B$2809,0)-1,0)*控制台!$E$2751</f>
        <v>2000000</v>
      </c>
      <c r="F29" s="1">
        <f ca="1">Lerp_dyy(D29,E29,C29/10)</f>
        <v>1950000</v>
      </c>
      <c r="G29" s="4">
        <f ca="1">_xlfn.FLOOR.MATH(F29/24/3600*控制台!$E$2784)-控制台!$E$2814</f>
        <v>217</v>
      </c>
      <c r="H29" s="1">
        <f ca="1" t="shared" si="3"/>
        <v>1874880</v>
      </c>
      <c r="I29" s="1">
        <f ca="1">IF(B29=1,0,OFFSET(控制台!$B$865,MATCH(B29-1,控制台!$G$865:$G$936,0)-1,0))</f>
        <v>5</v>
      </c>
      <c r="J29" s="1">
        <f ca="1">OFFSET(控制台!$B$865,MATCH(B29,控制台!$G$865:$G$936,0)-1,0)</f>
        <v>13</v>
      </c>
      <c r="K29" s="1">
        <f ca="1" t="shared" si="27"/>
        <v>0.8</v>
      </c>
      <c r="L29" s="5">
        <f ca="1">Lerp_dyy(I29,J29,C29/10)</f>
        <v>12.2</v>
      </c>
      <c r="M29" s="1">
        <f ca="1" t="shared" si="5"/>
        <v>1499904</v>
      </c>
      <c r="N29" s="5">
        <f ca="1" t="shared" si="18"/>
        <v>17603136</v>
      </c>
      <c r="O29" s="1">
        <f ca="1">OFFSET(控制台!$F$2798,MATCH(B29,控制台!$B$2798:$B$2809,0)-2,0)*控制台!$E$2755</f>
        <v>900</v>
      </c>
      <c r="P29" s="1">
        <f ca="1">OFFSET(控制台!$F$2798,MATCH(B29,控制台!$B$2798:$B$2809,0)-1,0)*控制台!$E$2755</f>
        <v>1200</v>
      </c>
      <c r="Q29" s="1">
        <f ca="1">Lerp_dyy(O29,P29,C29/10)</f>
        <v>1170</v>
      </c>
      <c r="R29" s="4">
        <f ca="1">_xlfn.FLOOR.MATH(Q29/24/3600*控制台!$E$2785)</f>
        <v>24</v>
      </c>
      <c r="S29" s="1">
        <f ca="1" t="shared" si="6"/>
        <v>1152</v>
      </c>
      <c r="T29" s="1">
        <f ca="1" t="shared" si="7"/>
        <v>921.6</v>
      </c>
      <c r="U29" s="5">
        <f ca="1" t="shared" si="19"/>
        <v>10848</v>
      </c>
      <c r="V29" s="1">
        <f ca="1">OFFSET(控制台!$I$2798,MATCH(B29,控制台!$B$2798:$B$2809,0)-2,0)*控制台!$E$2791</f>
        <v>312.5</v>
      </c>
      <c r="W29" s="1">
        <f ca="1">OFFSET(控制台!$I$2798,MATCH(B29,控制台!$B$2798:$B$2809,0)-1,0)*控制台!$E$2791</f>
        <v>468.75</v>
      </c>
      <c r="X29" s="1">
        <f ca="1">Lerp_dyy(V29,W29,C29/10)</f>
        <v>453.125</v>
      </c>
      <c r="Y29" s="4">
        <f ca="1">_xlfn.FLOOR.MATH(X29)</f>
        <v>453</v>
      </c>
      <c r="Z29" s="1">
        <f ca="1" t="shared" si="8"/>
        <v>0.5436</v>
      </c>
      <c r="AA29" s="1">
        <f ca="1" t="shared" si="0"/>
        <v>0.43488</v>
      </c>
      <c r="AB29" s="5">
        <f ca="1" t="shared" si="28"/>
        <v>4.64376</v>
      </c>
      <c r="AC29" s="5">
        <f ca="1">AB29*控制台!$E$4819</f>
        <v>3.715008</v>
      </c>
      <c r="AD29" s="5">
        <f ca="1">AB29*控制台!$E$4820</f>
        <v>84.980808</v>
      </c>
      <c r="AE29" s="1">
        <f ca="1">OFFSET(控制台!$L$2798,MATCH(B29,控制台!$B$2798:$B$2809,0)-2,0)*控制台!$E$2763</f>
        <v>150</v>
      </c>
      <c r="AF29" s="1">
        <f ca="1">OFFSET(控制台!$L$2798,MATCH(B29,控制台!$B$2798:$B$2809,0)-1,0)*控制台!$E$2763</f>
        <v>300</v>
      </c>
      <c r="AG29" s="1">
        <f ca="1">Lerp_dyy(AE29,AF29,C29/10)</f>
        <v>285</v>
      </c>
      <c r="AH29" s="1">
        <f ca="1" t="shared" si="9"/>
        <v>228</v>
      </c>
      <c r="AI29" s="5">
        <f ca="1" t="shared" si="21"/>
        <v>1950</v>
      </c>
      <c r="AJ29" s="1">
        <f ca="1">OFFSET(控制台!$P$2798,MATCH(B29,控制台!$B$2798:$B$2809,0)-2,0)</f>
        <v>500</v>
      </c>
      <c r="AK29" s="1">
        <f ca="1">OFFSET(控制台!$P$2798,MATCH(B29,控制台!$B$2798:$B$2809,0)-1,0)</f>
        <v>1000</v>
      </c>
      <c r="AL29" s="1">
        <f ca="1">Lerp_dyy(AJ29,AK29,C29/10)</f>
        <v>950</v>
      </c>
      <c r="AM29" s="4">
        <f ca="1">_xlfn.FLOOR.MATH(AL29/24/3600*控制台!$E$2785)</f>
        <v>19</v>
      </c>
      <c r="AN29" s="1">
        <f ca="1" t="shared" si="10"/>
        <v>912</v>
      </c>
      <c r="AO29" s="1">
        <f ca="1" t="shared" si="11"/>
        <v>729.6</v>
      </c>
      <c r="AP29" s="5">
        <f ca="1" t="shared" si="22"/>
        <v>6931.2</v>
      </c>
      <c r="AQ29" s="1">
        <f ca="1">OFFSET(控制台!$V$2798,MATCH(B29,控制台!$B$2798:$B$2809,0)-2,0)*控制台!$E$2771</f>
        <v>750000</v>
      </c>
      <c r="AR29" s="1">
        <f ca="1">OFFSET(控制台!$V$2798,MATCH(B29,控制台!$B$2798:$B$2809,0)-1,0)*控制台!$E$2771</f>
        <v>1000000</v>
      </c>
      <c r="AS29" s="1">
        <f ca="1">Lerp_dyy(AQ29,AR29,C29/10)</f>
        <v>975000</v>
      </c>
      <c r="AT29" s="4">
        <f ca="1">MAX(_xlfn.FLOOR.MATH(AS29/24/3600*控制台!$E$2784)-控制台!$J$2814,0)</f>
        <v>108</v>
      </c>
      <c r="AU29" s="1">
        <f ca="1" t="shared" si="12"/>
        <v>933120</v>
      </c>
      <c r="AV29" s="1">
        <f ca="1" t="shared" si="13"/>
        <v>746496</v>
      </c>
      <c r="AW29" s="5">
        <f ca="1" t="shared" si="23"/>
        <v>7516800</v>
      </c>
      <c r="AX29" s="1">
        <f ca="1">OFFSET(控制台!$X$2798,MATCH(B29,控制台!$B$2798:$B$2809,0)-2,0)*控制台!$E$2775</f>
        <v>450</v>
      </c>
      <c r="AY29" s="1">
        <f ca="1">OFFSET(控制台!$X$2798,MATCH(B29,控制台!$B$2798:$B$2809,0)-1,0)*控制台!$E$2775</f>
        <v>600</v>
      </c>
      <c r="AZ29" s="1">
        <f ca="1">Lerp_dyy(AX29,AY29,C29/10)</f>
        <v>585</v>
      </c>
      <c r="BA29" s="4">
        <f ca="1">_xlfn.FLOOR.MATH(AZ29/24/3600*控制台!$E$2785)</f>
        <v>12</v>
      </c>
      <c r="BB29" s="1">
        <f ca="1" t="shared" si="14"/>
        <v>576</v>
      </c>
      <c r="BC29" s="1">
        <f ca="1" t="shared" si="15"/>
        <v>460.8</v>
      </c>
      <c r="BD29" s="5">
        <f ca="1" t="shared" si="24"/>
        <v>4473.6</v>
      </c>
      <c r="BE29" s="1">
        <f ca="1">OFFSET(控制台!$AA$2798,MATCH(B29,控制台!$B$2798:$B$2809,0)-1,0)</f>
        <v>13.3333333333332</v>
      </c>
      <c r="BF29" s="1">
        <f ca="1" t="shared" si="1"/>
        <v>162.666666666665</v>
      </c>
      <c r="BG29" s="5">
        <f ca="1" t="shared" si="25"/>
        <v>1079.99999999999</v>
      </c>
      <c r="BH29" s="1">
        <f ca="1">OFFSET(控制台!$AD$2798,MATCH(B29,控制台!$B$2798:$B$2809,0)-2,0)</f>
        <v>160</v>
      </c>
      <c r="BI29" s="1">
        <f ca="1">OFFSET(控制台!$AD$2798,MATCH(B29,控制台!$B$2798:$B$2809,0)-1,0)</f>
        <v>200</v>
      </c>
      <c r="BJ29" s="1">
        <f ca="1">Lerp_dyy(BH29,BI29,C29/10)</f>
        <v>196</v>
      </c>
      <c r="BK29" s="4">
        <f ca="1">_xlfn.FLOOR.MATH(BJ29/24/3600*控制台!$E$2785)</f>
        <v>4</v>
      </c>
      <c r="BL29" s="1">
        <f ca="1" t="shared" si="16"/>
        <v>192</v>
      </c>
      <c r="BM29" s="1">
        <f ca="1" t="shared" si="17"/>
        <v>153.6</v>
      </c>
      <c r="BN29" s="5">
        <f ca="1" t="shared" si="26"/>
        <v>1584</v>
      </c>
    </row>
    <row r="30" spans="1:66">
      <c r="A30" s="1">
        <f t="shared" si="2"/>
        <v>310</v>
      </c>
      <c r="B30" s="1">
        <v>3</v>
      </c>
      <c r="C30" s="1">
        <v>10</v>
      </c>
      <c r="D30" s="1">
        <f ca="1">OFFSET(控制台!$D$2798,MATCH(B30,控制台!$B$2798:$B$2809,0)-2,0)*控制台!$E$2751</f>
        <v>1500000</v>
      </c>
      <c r="E30" s="1">
        <f ca="1">OFFSET(控制台!$D$2798,MATCH(B30,控制台!$B$2798:$B$2809,0)-1,0)*控制台!$E$2751</f>
        <v>2000000</v>
      </c>
      <c r="F30" s="1">
        <f ca="1">Lerp_dyy(D30,E30,C30/10)</f>
        <v>2000000</v>
      </c>
      <c r="G30" s="4">
        <f ca="1">_xlfn.FLOOR.MATH(F30/24/3600*控制台!$E$2784)-控制台!$E$2814</f>
        <v>223</v>
      </c>
      <c r="H30" s="1">
        <f ca="1" t="shared" si="3"/>
        <v>1926720</v>
      </c>
      <c r="I30" s="1">
        <f ca="1">IF(B30=1,0,OFFSET(控制台!$B$865,MATCH(B30-1,控制台!$G$865:$G$936,0)-1,0))</f>
        <v>5</v>
      </c>
      <c r="J30" s="1">
        <f ca="1">OFFSET(控制台!$B$865,MATCH(B30,控制台!$G$865:$G$936,0)-1,0)</f>
        <v>13</v>
      </c>
      <c r="K30" s="1">
        <f ca="1" t="shared" si="27"/>
        <v>0.8</v>
      </c>
      <c r="L30" s="5">
        <f ca="1">Lerp_dyy(I30,J30,C30/10)</f>
        <v>13</v>
      </c>
      <c r="M30" s="1">
        <f ca="1" t="shared" si="5"/>
        <v>1541376</v>
      </c>
      <c r="N30" s="5">
        <f ca="1" t="shared" si="18"/>
        <v>19144512</v>
      </c>
      <c r="O30" s="1">
        <f ca="1">OFFSET(控制台!$F$2798,MATCH(B30,控制台!$B$2798:$B$2809,0)-2,0)*控制台!$E$2755</f>
        <v>900</v>
      </c>
      <c r="P30" s="1">
        <f ca="1">OFFSET(控制台!$F$2798,MATCH(B30,控制台!$B$2798:$B$2809,0)-1,0)*控制台!$E$2755</f>
        <v>1200</v>
      </c>
      <c r="Q30" s="1">
        <f ca="1">Lerp_dyy(O30,P30,C30/10)</f>
        <v>1200</v>
      </c>
      <c r="R30" s="4">
        <f ca="1">_xlfn.FLOOR.MATH(Q30/24/3600*控制台!$E$2785)</f>
        <v>25</v>
      </c>
      <c r="S30" s="1">
        <f ca="1" t="shared" si="6"/>
        <v>1200</v>
      </c>
      <c r="T30" s="1">
        <f ca="1" t="shared" si="7"/>
        <v>960</v>
      </c>
      <c r="U30" s="5">
        <f ca="1" t="shared" si="19"/>
        <v>11808</v>
      </c>
      <c r="V30" s="1">
        <f ca="1">OFFSET(控制台!$I$2798,MATCH(B30,控制台!$B$2798:$B$2809,0)-2,0)*控制台!$E$2791</f>
        <v>312.5</v>
      </c>
      <c r="W30" s="1">
        <f ca="1">OFFSET(控制台!$I$2798,MATCH(B30,控制台!$B$2798:$B$2809,0)-1,0)*控制台!$E$2791</f>
        <v>468.75</v>
      </c>
      <c r="X30" s="1">
        <f ca="1">Lerp_dyy(V30,W30,C30/10)</f>
        <v>468.75</v>
      </c>
      <c r="Y30" s="4">
        <f ca="1">_xlfn.FLOOR.MATH(X30)</f>
        <v>468</v>
      </c>
      <c r="Z30" s="1">
        <f ca="1" t="shared" si="8"/>
        <v>0.5616</v>
      </c>
      <c r="AA30" s="1">
        <f ca="1" t="shared" si="0"/>
        <v>0.44928</v>
      </c>
      <c r="AB30" s="5">
        <f ca="1" t="shared" si="28"/>
        <v>5.09304</v>
      </c>
      <c r="AC30" s="5">
        <f ca="1">AB30*控制台!$E$4819</f>
        <v>4.074432</v>
      </c>
      <c r="AD30" s="5">
        <f ca="1">AB30*控制台!$E$4820</f>
        <v>93.202632</v>
      </c>
      <c r="AE30" s="1">
        <f ca="1">OFFSET(控制台!$L$2798,MATCH(B30,控制台!$B$2798:$B$2809,0)-2,0)*控制台!$E$2763</f>
        <v>150</v>
      </c>
      <c r="AF30" s="1">
        <f ca="1">OFFSET(控制台!$L$2798,MATCH(B30,控制台!$B$2798:$B$2809,0)-1,0)*控制台!$E$2763</f>
        <v>300</v>
      </c>
      <c r="AG30" s="1">
        <f ca="1">Lerp_dyy(AE30,AF30,C30/10)</f>
        <v>300</v>
      </c>
      <c r="AH30" s="1">
        <f ca="1" t="shared" si="9"/>
        <v>240</v>
      </c>
      <c r="AI30" s="5">
        <f ca="1" t="shared" si="21"/>
        <v>2190</v>
      </c>
      <c r="AJ30" s="1">
        <f ca="1">OFFSET(控制台!$P$2798,MATCH(B30,控制台!$B$2798:$B$2809,0)-2,0)</f>
        <v>500</v>
      </c>
      <c r="AK30" s="1">
        <f ca="1">OFFSET(控制台!$P$2798,MATCH(B30,控制台!$B$2798:$B$2809,0)-1,0)</f>
        <v>1000</v>
      </c>
      <c r="AL30" s="1">
        <f ca="1">Lerp_dyy(AJ30,AK30,C30/10)</f>
        <v>1000</v>
      </c>
      <c r="AM30" s="4">
        <f ca="1">_xlfn.FLOOR.MATH(AL30/24/3600*控制台!$E$2785)</f>
        <v>20</v>
      </c>
      <c r="AN30" s="1">
        <f ca="1" t="shared" si="10"/>
        <v>960</v>
      </c>
      <c r="AO30" s="1">
        <f ca="1" t="shared" si="11"/>
        <v>768</v>
      </c>
      <c r="AP30" s="5">
        <f ca="1" t="shared" si="22"/>
        <v>7699.2</v>
      </c>
      <c r="AQ30" s="1">
        <f ca="1">OFFSET(控制台!$V$2798,MATCH(B30,控制台!$B$2798:$B$2809,0)-2,0)*控制台!$E$2771</f>
        <v>750000</v>
      </c>
      <c r="AR30" s="1">
        <f ca="1">OFFSET(控制台!$V$2798,MATCH(B30,控制台!$B$2798:$B$2809,0)-1,0)*控制台!$E$2771</f>
        <v>1000000</v>
      </c>
      <c r="AS30" s="1">
        <f ca="1">Lerp_dyy(AQ30,AR30,C30/10)</f>
        <v>1000000</v>
      </c>
      <c r="AT30" s="4">
        <f ca="1">MAX(_xlfn.FLOOR.MATH(AS30/24/3600*控制台!$E$2784)-控制台!$J$2814,0)</f>
        <v>111</v>
      </c>
      <c r="AU30" s="1">
        <f ca="1" t="shared" si="12"/>
        <v>959040</v>
      </c>
      <c r="AV30" s="1">
        <f ca="1" t="shared" si="13"/>
        <v>767232</v>
      </c>
      <c r="AW30" s="5">
        <f ca="1" t="shared" si="23"/>
        <v>8284032</v>
      </c>
      <c r="AX30" s="1">
        <f ca="1">OFFSET(控制台!$X$2798,MATCH(B30,控制台!$B$2798:$B$2809,0)-2,0)*控制台!$E$2775</f>
        <v>450</v>
      </c>
      <c r="AY30" s="1">
        <f ca="1">OFFSET(控制台!$X$2798,MATCH(B30,控制台!$B$2798:$B$2809,0)-1,0)*控制台!$E$2775</f>
        <v>600</v>
      </c>
      <c r="AZ30" s="1">
        <f ca="1">Lerp_dyy(AX30,AY30,C30/10)</f>
        <v>600</v>
      </c>
      <c r="BA30" s="4">
        <f ca="1">_xlfn.FLOOR.MATH(AZ30/24/3600*控制台!$E$2785)</f>
        <v>12</v>
      </c>
      <c r="BB30" s="1">
        <f ca="1" t="shared" si="14"/>
        <v>576</v>
      </c>
      <c r="BC30" s="1">
        <f ca="1" t="shared" si="15"/>
        <v>460.8</v>
      </c>
      <c r="BD30" s="5">
        <f ca="1" t="shared" si="24"/>
        <v>4934.4</v>
      </c>
      <c r="BE30" s="1">
        <f ca="1">OFFSET(控制台!$AA$2798,MATCH(B30,控制台!$B$2798:$B$2809,0)-1,0)</f>
        <v>13.3333333333332</v>
      </c>
      <c r="BF30" s="1">
        <f ca="1" t="shared" si="1"/>
        <v>173.333333333332</v>
      </c>
      <c r="BG30" s="5">
        <f ca="1" t="shared" si="25"/>
        <v>1253.33333333332</v>
      </c>
      <c r="BH30" s="1">
        <f ca="1">OFFSET(控制台!$AD$2798,MATCH(B30,控制台!$B$2798:$B$2809,0)-2,0)</f>
        <v>160</v>
      </c>
      <c r="BI30" s="1">
        <f ca="1">OFFSET(控制台!$AD$2798,MATCH(B30,控制台!$B$2798:$B$2809,0)-1,0)</f>
        <v>200</v>
      </c>
      <c r="BJ30" s="1">
        <f ca="1">Lerp_dyy(BH30,BI30,C30/10)</f>
        <v>200</v>
      </c>
      <c r="BK30" s="4">
        <f ca="1">_xlfn.FLOOR.MATH(BJ30/24/3600*控制台!$E$2785)</f>
        <v>4</v>
      </c>
      <c r="BL30" s="1">
        <f ca="1" t="shared" si="16"/>
        <v>192</v>
      </c>
      <c r="BM30" s="1">
        <f ca="1" t="shared" si="17"/>
        <v>153.6</v>
      </c>
      <c r="BN30" s="5">
        <f ca="1" t="shared" si="26"/>
        <v>1737.6</v>
      </c>
    </row>
    <row r="31" s="15" customFormat="1" spans="1:66">
      <c r="A31" s="15">
        <f t="shared" si="2"/>
        <v>401</v>
      </c>
      <c r="B31" s="15">
        <v>4</v>
      </c>
      <c r="C31" s="15">
        <v>1</v>
      </c>
      <c r="D31" s="15">
        <f ca="1">OFFSET(控制台!$D$2798,MATCH(B31,控制台!$B$2798:$B$2809,0)-2,0)*控制台!$E$2751</f>
        <v>2000000</v>
      </c>
      <c r="E31" s="15">
        <f ca="1">OFFSET(控制台!$D$2798,MATCH(B31,控制台!$B$2798:$B$2809,0)-1,0)*控制台!$E$2751</f>
        <v>2500000</v>
      </c>
      <c r="F31" s="15">
        <f ca="1">Lerp_dyy(D31,E31,C31/10)</f>
        <v>2050000</v>
      </c>
      <c r="G31" s="16">
        <f ca="1">_xlfn.FLOOR.MATH(F31/24/3600*控制台!$E$2784)-控制台!$E$2814</f>
        <v>229</v>
      </c>
      <c r="H31" s="15">
        <f ca="1" t="shared" si="3"/>
        <v>1978560</v>
      </c>
      <c r="I31" s="15">
        <f ca="1">IF(B31=1,0,OFFSET(控制台!$B$865,MATCH(B31-1,控制台!$G$865:$G$936,0)-1,0))</f>
        <v>13</v>
      </c>
      <c r="J31" s="15">
        <f ca="1">OFFSET(控制台!$B$865,MATCH(B31,控制台!$G$865:$G$936,0)-1,0)</f>
        <v>23</v>
      </c>
      <c r="K31" s="15">
        <f ca="1" t="shared" si="27"/>
        <v>1</v>
      </c>
      <c r="L31" s="17">
        <f ca="1">Lerp_dyy(I31,J31,C31/10)</f>
        <v>14</v>
      </c>
      <c r="M31" s="15">
        <f ca="1" t="shared" si="5"/>
        <v>1978560</v>
      </c>
      <c r="N31" s="17">
        <f ca="1" t="shared" si="18"/>
        <v>21123072</v>
      </c>
      <c r="O31" s="15">
        <f ca="1">OFFSET(控制台!$F$2798,MATCH(B31,控制台!$B$2798:$B$2809,0)-2,0)*控制台!$E$2755</f>
        <v>1200</v>
      </c>
      <c r="P31" s="15">
        <f ca="1">OFFSET(控制台!$F$2798,MATCH(B31,控制台!$B$2798:$B$2809,0)-1,0)*控制台!$E$2755</f>
        <v>1500</v>
      </c>
      <c r="Q31" s="15">
        <f ca="1">Lerp_dyy(O31,P31,C31/10)</f>
        <v>1230</v>
      </c>
      <c r="R31" s="16">
        <f ca="1">_xlfn.FLOOR.MATH(Q31/24/3600*控制台!$E$2785)</f>
        <v>25</v>
      </c>
      <c r="S31" s="15">
        <f ca="1" t="shared" si="6"/>
        <v>1200</v>
      </c>
      <c r="T31" s="15">
        <f ca="1" t="shared" si="7"/>
        <v>1200</v>
      </c>
      <c r="U31" s="17">
        <f ca="1" t="shared" si="19"/>
        <v>13008</v>
      </c>
      <c r="V31" s="15">
        <f ca="1">OFFSET(控制台!$I$2798,MATCH(B31,控制台!$B$2798:$B$2809,0)-2,0)*控制台!$E$2791</f>
        <v>468.75</v>
      </c>
      <c r="W31" s="15">
        <f ca="1">OFFSET(控制台!$I$2798,MATCH(B31,控制台!$B$2798:$B$2809,0)-1,0)*控制台!$E$2791</f>
        <v>625</v>
      </c>
      <c r="X31" s="15">
        <f ca="1">Lerp_dyy(V31,W31,C31/10)</f>
        <v>484.375</v>
      </c>
      <c r="Y31" s="16">
        <f ca="1">_xlfn.FLOOR.MATH(X31)</f>
        <v>484</v>
      </c>
      <c r="Z31" s="15">
        <f ca="1" t="shared" si="8"/>
        <v>0.5808</v>
      </c>
      <c r="AA31" s="15">
        <f ca="1" t="shared" si="0"/>
        <v>0.5808</v>
      </c>
      <c r="AB31" s="17">
        <f ca="1" t="shared" si="28"/>
        <v>5.67384</v>
      </c>
      <c r="AC31" s="17">
        <f ca="1">AB31*控制台!$E$4819</f>
        <v>4.539072</v>
      </c>
      <c r="AD31" s="17">
        <f ca="1">AB31*控制台!$E$4820</f>
        <v>103.831272</v>
      </c>
      <c r="AE31" s="15">
        <f ca="1">OFFSET(控制台!$L$2798,MATCH(B31,控制台!$B$2798:$B$2809,0)-2,0)*控制台!$E$2763</f>
        <v>300</v>
      </c>
      <c r="AF31" s="15">
        <f ca="1">OFFSET(控制台!$L$2798,MATCH(B31,控制台!$B$2798:$B$2809,0)-1,0)*控制台!$E$2763</f>
        <v>600</v>
      </c>
      <c r="AG31" s="15">
        <f ca="1">Lerp_dyy(AE31,AF31,C31/10)</f>
        <v>330</v>
      </c>
      <c r="AH31" s="15">
        <f ca="1" t="shared" si="9"/>
        <v>330</v>
      </c>
      <c r="AI31" s="17">
        <f ca="1" t="shared" si="21"/>
        <v>2520</v>
      </c>
      <c r="AJ31" s="15">
        <f ca="1">OFFSET(控制台!$P$2798,MATCH(B31,控制台!$B$2798:$B$2809,0)-2,0)</f>
        <v>1000</v>
      </c>
      <c r="AK31" s="15">
        <f ca="1">OFFSET(控制台!$P$2798,MATCH(B31,控制台!$B$2798:$B$2809,0)-1,0)</f>
        <v>2000</v>
      </c>
      <c r="AL31" s="15">
        <f ca="1">Lerp_dyy(AJ31,AK31,C31/10)</f>
        <v>1100</v>
      </c>
      <c r="AM31" s="16">
        <f ca="1">_xlfn.FLOOR.MATH(AL31/24/3600*控制台!$E$2785)</f>
        <v>22</v>
      </c>
      <c r="AN31" s="15">
        <f ca="1" t="shared" si="10"/>
        <v>1056</v>
      </c>
      <c r="AO31" s="15">
        <f ca="1" t="shared" si="11"/>
        <v>1056</v>
      </c>
      <c r="AP31" s="17">
        <f ca="1" t="shared" si="22"/>
        <v>8755.2</v>
      </c>
      <c r="AQ31" s="15">
        <f ca="1">OFFSET(控制台!$V$2798,MATCH(B31,控制台!$B$2798:$B$2809,0)-2,0)*控制台!$E$2771</f>
        <v>1000000</v>
      </c>
      <c r="AR31" s="15">
        <f ca="1">OFFSET(控制台!$V$2798,MATCH(B31,控制台!$B$2798:$B$2809,0)-1,0)*控制台!$E$2771</f>
        <v>1250000</v>
      </c>
      <c r="AS31" s="15">
        <f ca="1">Lerp_dyy(AQ31,AR31,C31/10)</f>
        <v>1025000</v>
      </c>
      <c r="AT31" s="16">
        <f ca="1">MAX(_xlfn.FLOOR.MATH(AS31/24/3600*控制台!$E$2784)-控制台!$J$2814,0)</f>
        <v>114</v>
      </c>
      <c r="AU31" s="15">
        <f ca="1" t="shared" si="12"/>
        <v>984960</v>
      </c>
      <c r="AV31" s="15">
        <f ca="1" t="shared" si="13"/>
        <v>984960</v>
      </c>
      <c r="AW31" s="17">
        <f ca="1" t="shared" si="23"/>
        <v>9268992</v>
      </c>
      <c r="AX31" s="15">
        <f ca="1">OFFSET(控制台!$X$2798,MATCH(B31,控制台!$B$2798:$B$2809,0)-2,0)*控制台!$E$2775</f>
        <v>600</v>
      </c>
      <c r="AY31" s="15">
        <f ca="1">OFFSET(控制台!$X$2798,MATCH(B31,控制台!$B$2798:$B$2809,0)-1,0)*控制台!$E$2775</f>
        <v>750</v>
      </c>
      <c r="AZ31" s="15">
        <f ca="1">Lerp_dyy(AX31,AY31,C31/10)</f>
        <v>615</v>
      </c>
      <c r="BA31" s="16">
        <f ca="1">_xlfn.FLOOR.MATH(AZ31/24/3600*控制台!$E$2785)</f>
        <v>12</v>
      </c>
      <c r="BB31" s="15">
        <f ca="1" t="shared" si="14"/>
        <v>576</v>
      </c>
      <c r="BC31" s="15">
        <f ca="1" t="shared" si="15"/>
        <v>576</v>
      </c>
      <c r="BD31" s="17">
        <f ca="1" t="shared" si="24"/>
        <v>5510.4</v>
      </c>
      <c r="BE31" s="1">
        <f ca="1">OFFSET(控制台!$AA$2798,MATCH(B31,控制台!$B$2798:$B$2809,0)-1,0)</f>
        <v>16.6666666666667</v>
      </c>
      <c r="BF31" s="1">
        <f ca="1" t="shared" si="1"/>
        <v>233.333333333334</v>
      </c>
      <c r="BG31" s="17">
        <f ca="1" t="shared" si="25"/>
        <v>1486.66666666666</v>
      </c>
      <c r="BH31" s="15">
        <f ca="1">OFFSET(控制台!$AD$2798,MATCH(B31,控制台!$B$2798:$B$2809,0)-2,0)</f>
        <v>200</v>
      </c>
      <c r="BI31" s="15">
        <f ca="1">OFFSET(控制台!$AD$2798,MATCH(B31,控制台!$B$2798:$B$2809,0)-1,0)</f>
        <v>400</v>
      </c>
      <c r="BJ31" s="15">
        <f ca="1">Lerp_dyy(BH31,BI31,C31/10)</f>
        <v>220</v>
      </c>
      <c r="BK31" s="16">
        <f ca="1">_xlfn.FLOOR.MATH(BJ31/24/3600*控制台!$E$2785)</f>
        <v>4</v>
      </c>
      <c r="BL31" s="15">
        <f ca="1" t="shared" si="16"/>
        <v>192</v>
      </c>
      <c r="BM31" s="15">
        <f ca="1" t="shared" si="17"/>
        <v>192</v>
      </c>
      <c r="BN31" s="17">
        <f ca="1" t="shared" si="26"/>
        <v>1929.6</v>
      </c>
    </row>
    <row r="32" s="15" customFormat="1" spans="1:66">
      <c r="A32" s="15">
        <f t="shared" si="2"/>
        <v>402</v>
      </c>
      <c r="B32" s="15">
        <v>4</v>
      </c>
      <c r="C32" s="15">
        <v>2</v>
      </c>
      <c r="D32" s="15">
        <f ca="1">OFFSET(控制台!$D$2798,MATCH(B32,控制台!$B$2798:$B$2809,0)-2,0)*控制台!$E$2751</f>
        <v>2000000</v>
      </c>
      <c r="E32" s="15">
        <f ca="1">OFFSET(控制台!$D$2798,MATCH(B32,控制台!$B$2798:$B$2809,0)-1,0)*控制台!$E$2751</f>
        <v>2500000</v>
      </c>
      <c r="F32" s="15">
        <f ca="1">Lerp_dyy(D32,E32,C32/10)</f>
        <v>2100000</v>
      </c>
      <c r="G32" s="16">
        <f ca="1">_xlfn.FLOOR.MATH(F32/24/3600*控制台!$E$2784)-控制台!$E$2814</f>
        <v>235</v>
      </c>
      <c r="H32" s="15">
        <f ca="1" t="shared" si="3"/>
        <v>2030400</v>
      </c>
      <c r="I32" s="15">
        <f ca="1">IF(B32=1,0,OFFSET(控制台!$B$865,MATCH(B32-1,控制台!$G$865:$G$936,0)-1,0))</f>
        <v>13</v>
      </c>
      <c r="J32" s="15">
        <f ca="1">OFFSET(控制台!$B$865,MATCH(B32,控制台!$G$865:$G$936,0)-1,0)</f>
        <v>23</v>
      </c>
      <c r="K32" s="15">
        <f ca="1" t="shared" si="27"/>
        <v>1</v>
      </c>
      <c r="L32" s="17">
        <f ca="1">Lerp_dyy(I32,J32,C32/10)</f>
        <v>15</v>
      </c>
      <c r="M32" s="15">
        <f ca="1" t="shared" si="5"/>
        <v>2030400</v>
      </c>
      <c r="N32" s="17">
        <f ca="1" t="shared" si="18"/>
        <v>23153472</v>
      </c>
      <c r="O32" s="15">
        <f ca="1">OFFSET(控制台!$F$2798,MATCH(B32,控制台!$B$2798:$B$2809,0)-2,0)*控制台!$E$2755</f>
        <v>1200</v>
      </c>
      <c r="P32" s="15">
        <f ca="1">OFFSET(控制台!$F$2798,MATCH(B32,控制台!$B$2798:$B$2809,0)-1,0)*控制台!$E$2755</f>
        <v>1500</v>
      </c>
      <c r="Q32" s="15">
        <f ca="1">Lerp_dyy(O32,P32,C32/10)</f>
        <v>1260</v>
      </c>
      <c r="R32" s="16">
        <f ca="1">_xlfn.FLOOR.MATH(Q32/24/3600*控制台!$E$2785)</f>
        <v>26</v>
      </c>
      <c r="S32" s="15">
        <f ca="1" t="shared" si="6"/>
        <v>1248</v>
      </c>
      <c r="T32" s="15">
        <f ca="1" t="shared" si="7"/>
        <v>1248</v>
      </c>
      <c r="U32" s="17">
        <f ca="1" t="shared" si="19"/>
        <v>14256</v>
      </c>
      <c r="V32" s="15">
        <f ca="1">OFFSET(控制台!$I$2798,MATCH(B32,控制台!$B$2798:$B$2809,0)-2,0)*控制台!$E$2791</f>
        <v>468.75</v>
      </c>
      <c r="W32" s="15">
        <f ca="1">OFFSET(控制台!$I$2798,MATCH(B32,控制台!$B$2798:$B$2809,0)-1,0)*控制台!$E$2791</f>
        <v>625</v>
      </c>
      <c r="X32" s="15">
        <f ca="1">Lerp_dyy(V32,W32,C32/10)</f>
        <v>500</v>
      </c>
      <c r="Y32" s="16">
        <f ca="1">_xlfn.FLOOR.MATH(X32)</f>
        <v>500</v>
      </c>
      <c r="Z32" s="15">
        <f ca="1" t="shared" si="8"/>
        <v>0.6</v>
      </c>
      <c r="AA32" s="15">
        <f ca="1" t="shared" si="0"/>
        <v>0.6</v>
      </c>
      <c r="AB32" s="17">
        <f ca="1" t="shared" si="28"/>
        <v>6.27384</v>
      </c>
      <c r="AC32" s="17">
        <f ca="1">AB32*控制台!$E$4819</f>
        <v>5.019072</v>
      </c>
      <c r="AD32" s="17">
        <f ca="1">AB32*控制台!$E$4820</f>
        <v>114.811272</v>
      </c>
      <c r="AE32" s="15">
        <f ca="1">OFFSET(控制台!$L$2798,MATCH(B32,控制台!$B$2798:$B$2809,0)-2,0)*控制台!$E$2763</f>
        <v>300</v>
      </c>
      <c r="AF32" s="15">
        <f ca="1">OFFSET(控制台!$L$2798,MATCH(B32,控制台!$B$2798:$B$2809,0)-1,0)*控制台!$E$2763</f>
        <v>600</v>
      </c>
      <c r="AG32" s="15">
        <f ca="1">Lerp_dyy(AE32,AF32,C32/10)</f>
        <v>360</v>
      </c>
      <c r="AH32" s="15">
        <f ca="1" t="shared" si="9"/>
        <v>360</v>
      </c>
      <c r="AI32" s="17">
        <f ca="1" t="shared" si="21"/>
        <v>2880</v>
      </c>
      <c r="AJ32" s="15">
        <f ca="1">OFFSET(控制台!$P$2798,MATCH(B32,控制台!$B$2798:$B$2809,0)-2,0)</f>
        <v>1000</v>
      </c>
      <c r="AK32" s="15">
        <f ca="1">OFFSET(控制台!$P$2798,MATCH(B32,控制台!$B$2798:$B$2809,0)-1,0)</f>
        <v>2000</v>
      </c>
      <c r="AL32" s="15">
        <f ca="1">Lerp_dyy(AJ32,AK32,C32/10)</f>
        <v>1200</v>
      </c>
      <c r="AM32" s="16">
        <f ca="1">_xlfn.FLOOR.MATH(AL32/24/3600*控制台!$E$2785)</f>
        <v>25</v>
      </c>
      <c r="AN32" s="15">
        <f ca="1" t="shared" si="10"/>
        <v>1200</v>
      </c>
      <c r="AO32" s="15">
        <f ca="1" t="shared" si="11"/>
        <v>1200</v>
      </c>
      <c r="AP32" s="17">
        <f ca="1" t="shared" si="22"/>
        <v>9955.2</v>
      </c>
      <c r="AQ32" s="15">
        <f ca="1">OFFSET(控制台!$V$2798,MATCH(B32,控制台!$B$2798:$B$2809,0)-2,0)*控制台!$E$2771</f>
        <v>1000000</v>
      </c>
      <c r="AR32" s="15">
        <f ca="1">OFFSET(控制台!$V$2798,MATCH(B32,控制台!$B$2798:$B$2809,0)-1,0)*控制台!$E$2771</f>
        <v>1250000</v>
      </c>
      <c r="AS32" s="15">
        <f ca="1">Lerp_dyy(AQ32,AR32,C32/10)</f>
        <v>1050000</v>
      </c>
      <c r="AT32" s="16">
        <f ca="1">MAX(_xlfn.FLOOR.MATH(AS32/24/3600*控制台!$E$2784)-控制台!$J$2814,0)</f>
        <v>117</v>
      </c>
      <c r="AU32" s="15">
        <f ca="1" t="shared" si="12"/>
        <v>1010880</v>
      </c>
      <c r="AV32" s="15">
        <f ca="1" t="shared" si="13"/>
        <v>1010880</v>
      </c>
      <c r="AW32" s="17">
        <f ca="1" t="shared" si="23"/>
        <v>10279872</v>
      </c>
      <c r="AX32" s="15">
        <f ca="1">OFFSET(控制台!$X$2798,MATCH(B32,控制台!$B$2798:$B$2809,0)-2,0)*控制台!$E$2775</f>
        <v>600</v>
      </c>
      <c r="AY32" s="15">
        <f ca="1">OFFSET(控制台!$X$2798,MATCH(B32,控制台!$B$2798:$B$2809,0)-1,0)*控制台!$E$2775</f>
        <v>750</v>
      </c>
      <c r="AZ32" s="15">
        <f ca="1">Lerp_dyy(AX32,AY32,C32/10)</f>
        <v>630</v>
      </c>
      <c r="BA32" s="16">
        <f ca="1">_xlfn.FLOOR.MATH(AZ32/24/3600*控制台!$E$2785)</f>
        <v>13</v>
      </c>
      <c r="BB32" s="15">
        <f ca="1" t="shared" si="14"/>
        <v>624</v>
      </c>
      <c r="BC32" s="15">
        <f ca="1" t="shared" si="15"/>
        <v>624</v>
      </c>
      <c r="BD32" s="17">
        <f ca="1" t="shared" si="24"/>
        <v>6134.4</v>
      </c>
      <c r="BE32" s="1">
        <f ca="1">OFFSET(控制台!$AA$2798,MATCH(B32,控制台!$B$2798:$B$2809,0)-1,0)</f>
        <v>16.6666666666667</v>
      </c>
      <c r="BF32" s="1">
        <f ca="1" t="shared" si="1"/>
        <v>250.000000000001</v>
      </c>
      <c r="BG32" s="17">
        <f ca="1" t="shared" si="25"/>
        <v>1736.66666666666</v>
      </c>
      <c r="BH32" s="15">
        <f ca="1">OFFSET(控制台!$AD$2798,MATCH(B32,控制台!$B$2798:$B$2809,0)-2,0)</f>
        <v>200</v>
      </c>
      <c r="BI32" s="15">
        <f ca="1">OFFSET(控制台!$AD$2798,MATCH(B32,控制台!$B$2798:$B$2809,0)-1,0)</f>
        <v>400</v>
      </c>
      <c r="BJ32" s="15">
        <f ca="1">Lerp_dyy(BH32,BI32,C32/10)</f>
        <v>240</v>
      </c>
      <c r="BK32" s="16">
        <f ca="1">_xlfn.FLOOR.MATH(BJ32/24/3600*控制台!$E$2785)</f>
        <v>5</v>
      </c>
      <c r="BL32" s="15">
        <f ca="1" t="shared" si="16"/>
        <v>240</v>
      </c>
      <c r="BM32" s="15">
        <f ca="1" t="shared" si="17"/>
        <v>240</v>
      </c>
      <c r="BN32" s="17">
        <f ca="1" t="shared" si="26"/>
        <v>2169.6</v>
      </c>
    </row>
    <row r="33" s="15" customFormat="1" spans="1:66">
      <c r="A33" s="15">
        <f t="shared" si="2"/>
        <v>403</v>
      </c>
      <c r="B33" s="15">
        <v>4</v>
      </c>
      <c r="C33" s="15">
        <v>3</v>
      </c>
      <c r="D33" s="15">
        <f ca="1">OFFSET(控制台!$D$2798,MATCH(B33,控制台!$B$2798:$B$2809,0)-2,0)*控制台!$E$2751</f>
        <v>2000000</v>
      </c>
      <c r="E33" s="15">
        <f ca="1">OFFSET(控制台!$D$2798,MATCH(B33,控制台!$B$2798:$B$2809,0)-1,0)*控制台!$E$2751</f>
        <v>2500000</v>
      </c>
      <c r="F33" s="15">
        <f ca="1">Lerp_dyy(D33,E33,C33/10)</f>
        <v>2150000</v>
      </c>
      <c r="G33" s="16">
        <f ca="1">_xlfn.FLOOR.MATH(F33/24/3600*控制台!$E$2784)-控制台!$E$2814</f>
        <v>240</v>
      </c>
      <c r="H33" s="15">
        <f ca="1" t="shared" si="3"/>
        <v>2073600</v>
      </c>
      <c r="I33" s="15">
        <f ca="1">IF(B33=1,0,OFFSET(控制台!$B$865,MATCH(B33-1,控制台!$G$865:$G$936,0)-1,0))</f>
        <v>13</v>
      </c>
      <c r="J33" s="15">
        <f ca="1">OFFSET(控制台!$B$865,MATCH(B33,控制台!$G$865:$G$936,0)-1,0)</f>
        <v>23</v>
      </c>
      <c r="K33" s="15">
        <f ca="1" t="shared" si="27"/>
        <v>1</v>
      </c>
      <c r="L33" s="17">
        <f ca="1">Lerp_dyy(I33,J33,C33/10)</f>
        <v>16</v>
      </c>
      <c r="M33" s="15">
        <f ca="1" t="shared" si="5"/>
        <v>2073600</v>
      </c>
      <c r="N33" s="17">
        <f ca="1" t="shared" si="18"/>
        <v>25227072</v>
      </c>
      <c r="O33" s="15">
        <f ca="1">OFFSET(控制台!$F$2798,MATCH(B33,控制台!$B$2798:$B$2809,0)-2,0)*控制台!$E$2755</f>
        <v>1200</v>
      </c>
      <c r="P33" s="15">
        <f ca="1">OFFSET(控制台!$F$2798,MATCH(B33,控制台!$B$2798:$B$2809,0)-1,0)*控制台!$E$2755</f>
        <v>1500</v>
      </c>
      <c r="Q33" s="15">
        <f ca="1">Lerp_dyy(O33,P33,C33/10)</f>
        <v>1290</v>
      </c>
      <c r="R33" s="16">
        <f ca="1">_xlfn.FLOOR.MATH(Q33/24/3600*控制台!$E$2785)</f>
        <v>26</v>
      </c>
      <c r="S33" s="15">
        <f ca="1" t="shared" si="6"/>
        <v>1248</v>
      </c>
      <c r="T33" s="15">
        <f ca="1" t="shared" si="7"/>
        <v>1248</v>
      </c>
      <c r="U33" s="17">
        <f ca="1" t="shared" si="19"/>
        <v>15504</v>
      </c>
      <c r="V33" s="15">
        <f ca="1">OFFSET(控制台!$I$2798,MATCH(B33,控制台!$B$2798:$B$2809,0)-2,0)*控制台!$E$2791</f>
        <v>468.75</v>
      </c>
      <c r="W33" s="15">
        <f ca="1">OFFSET(控制台!$I$2798,MATCH(B33,控制台!$B$2798:$B$2809,0)-1,0)*控制台!$E$2791</f>
        <v>625</v>
      </c>
      <c r="X33" s="15">
        <f ca="1">Lerp_dyy(V33,W33,C33/10)</f>
        <v>515.625</v>
      </c>
      <c r="Y33" s="16">
        <f ca="1">_xlfn.FLOOR.MATH(X33)</f>
        <v>515</v>
      </c>
      <c r="Z33" s="15">
        <f ca="1" t="shared" si="8"/>
        <v>0.618</v>
      </c>
      <c r="AA33" s="15">
        <f ca="1" t="shared" ref="AA33:AA64" si="29">Z33*K33</f>
        <v>0.618</v>
      </c>
      <c r="AB33" s="17">
        <f ca="1" t="shared" si="28"/>
        <v>6.89184</v>
      </c>
      <c r="AC33" s="17">
        <f ca="1">AB33*控制台!$E$4819</f>
        <v>5.513472</v>
      </c>
      <c r="AD33" s="17">
        <f ca="1">AB33*控制台!$E$4820</f>
        <v>126.120672</v>
      </c>
      <c r="AE33" s="15">
        <f ca="1">OFFSET(控制台!$L$2798,MATCH(B33,控制台!$B$2798:$B$2809,0)-2,0)*控制台!$E$2763</f>
        <v>300</v>
      </c>
      <c r="AF33" s="15">
        <f ca="1">OFFSET(控制台!$L$2798,MATCH(B33,控制台!$B$2798:$B$2809,0)-1,0)*控制台!$E$2763</f>
        <v>600</v>
      </c>
      <c r="AG33" s="15">
        <f ca="1">Lerp_dyy(AE33,AF33,C33/10)</f>
        <v>390</v>
      </c>
      <c r="AH33" s="15">
        <f ca="1" t="shared" si="9"/>
        <v>390</v>
      </c>
      <c r="AI33" s="17">
        <f ca="1" t="shared" si="21"/>
        <v>3270</v>
      </c>
      <c r="AJ33" s="15">
        <f ca="1">OFFSET(控制台!$P$2798,MATCH(B33,控制台!$B$2798:$B$2809,0)-2,0)</f>
        <v>1000</v>
      </c>
      <c r="AK33" s="15">
        <f ca="1">OFFSET(控制台!$P$2798,MATCH(B33,控制台!$B$2798:$B$2809,0)-1,0)</f>
        <v>2000</v>
      </c>
      <c r="AL33" s="15">
        <f ca="1">Lerp_dyy(AJ33,AK33,C33/10)</f>
        <v>1300</v>
      </c>
      <c r="AM33" s="16">
        <f ca="1">_xlfn.FLOOR.MATH(AL33/24/3600*控制台!$E$2785)</f>
        <v>27</v>
      </c>
      <c r="AN33" s="15">
        <f ca="1" t="shared" si="10"/>
        <v>1296</v>
      </c>
      <c r="AO33" s="15">
        <f ca="1" t="shared" si="11"/>
        <v>1296</v>
      </c>
      <c r="AP33" s="17">
        <f ca="1" t="shared" si="22"/>
        <v>11251.2</v>
      </c>
      <c r="AQ33" s="15">
        <f ca="1">OFFSET(控制台!$V$2798,MATCH(B33,控制台!$B$2798:$B$2809,0)-2,0)*控制台!$E$2771</f>
        <v>1000000</v>
      </c>
      <c r="AR33" s="15">
        <f ca="1">OFFSET(控制台!$V$2798,MATCH(B33,控制台!$B$2798:$B$2809,0)-1,0)*控制台!$E$2771</f>
        <v>1250000</v>
      </c>
      <c r="AS33" s="15">
        <f ca="1">Lerp_dyy(AQ33,AR33,C33/10)</f>
        <v>1075000</v>
      </c>
      <c r="AT33" s="16">
        <f ca="1">MAX(_xlfn.FLOOR.MATH(AS33/24/3600*控制台!$E$2784)-控制台!$J$2814,0)</f>
        <v>120</v>
      </c>
      <c r="AU33" s="15">
        <f ca="1" t="shared" si="12"/>
        <v>1036800</v>
      </c>
      <c r="AV33" s="15">
        <f ca="1" t="shared" si="13"/>
        <v>1036800</v>
      </c>
      <c r="AW33" s="17">
        <f ca="1" t="shared" si="23"/>
        <v>11316672</v>
      </c>
      <c r="AX33" s="15">
        <f ca="1">OFFSET(控制台!$X$2798,MATCH(B33,控制台!$B$2798:$B$2809,0)-2,0)*控制台!$E$2775</f>
        <v>600</v>
      </c>
      <c r="AY33" s="15">
        <f ca="1">OFFSET(控制台!$X$2798,MATCH(B33,控制台!$B$2798:$B$2809,0)-1,0)*控制台!$E$2775</f>
        <v>750</v>
      </c>
      <c r="AZ33" s="15">
        <f ca="1">Lerp_dyy(AX33,AY33,C33/10)</f>
        <v>645</v>
      </c>
      <c r="BA33" s="16">
        <f ca="1">_xlfn.FLOOR.MATH(AZ33/24/3600*控制台!$E$2785)</f>
        <v>13</v>
      </c>
      <c r="BB33" s="15">
        <f ca="1" t="shared" si="14"/>
        <v>624</v>
      </c>
      <c r="BC33" s="15">
        <f ca="1" t="shared" si="15"/>
        <v>624</v>
      </c>
      <c r="BD33" s="17">
        <f ca="1" t="shared" si="24"/>
        <v>6758.4</v>
      </c>
      <c r="BE33" s="1">
        <f ca="1">OFFSET(控制台!$AA$2798,MATCH(B33,控制台!$B$2798:$B$2809,0)-1,0)</f>
        <v>16.6666666666667</v>
      </c>
      <c r="BF33" s="1">
        <f ca="1" t="shared" si="1"/>
        <v>266.666666666667</v>
      </c>
      <c r="BG33" s="17">
        <f ca="1" t="shared" si="25"/>
        <v>2003.33333333332</v>
      </c>
      <c r="BH33" s="15">
        <f ca="1">OFFSET(控制台!$AD$2798,MATCH(B33,控制台!$B$2798:$B$2809,0)-2,0)</f>
        <v>200</v>
      </c>
      <c r="BI33" s="15">
        <f ca="1">OFFSET(控制台!$AD$2798,MATCH(B33,控制台!$B$2798:$B$2809,0)-1,0)</f>
        <v>400</v>
      </c>
      <c r="BJ33" s="15">
        <f ca="1">Lerp_dyy(BH33,BI33,C33/10)</f>
        <v>260</v>
      </c>
      <c r="BK33" s="16">
        <f ca="1">_xlfn.FLOOR.MATH(BJ33/24/3600*控制台!$E$2785)</f>
        <v>5</v>
      </c>
      <c r="BL33" s="15">
        <f ca="1" t="shared" si="16"/>
        <v>240</v>
      </c>
      <c r="BM33" s="15">
        <f ca="1" t="shared" si="17"/>
        <v>240</v>
      </c>
      <c r="BN33" s="17">
        <f ca="1" t="shared" si="26"/>
        <v>2409.6</v>
      </c>
    </row>
    <row r="34" s="15" customFormat="1" spans="1:66">
      <c r="A34" s="15">
        <f t="shared" si="2"/>
        <v>404</v>
      </c>
      <c r="B34" s="15">
        <v>4</v>
      </c>
      <c r="C34" s="15">
        <v>4</v>
      </c>
      <c r="D34" s="15">
        <f ca="1">OFFSET(控制台!$D$2798,MATCH(B34,控制台!$B$2798:$B$2809,0)-2,0)*控制台!$E$2751</f>
        <v>2000000</v>
      </c>
      <c r="E34" s="15">
        <f ca="1">OFFSET(控制台!$D$2798,MATCH(B34,控制台!$B$2798:$B$2809,0)-1,0)*控制台!$E$2751</f>
        <v>2500000</v>
      </c>
      <c r="F34" s="15">
        <f ca="1">Lerp_dyy(D34,E34,C34/10)</f>
        <v>2200000</v>
      </c>
      <c r="G34" s="16">
        <f ca="1">_xlfn.FLOOR.MATH(F34/24/3600*控制台!$E$2784)-控制台!$E$2814</f>
        <v>246</v>
      </c>
      <c r="H34" s="15">
        <f ca="1" t="shared" si="3"/>
        <v>2125440</v>
      </c>
      <c r="I34" s="15">
        <f ca="1">IF(B34=1,0,OFFSET(控制台!$B$865,MATCH(B34-1,控制台!$G$865:$G$936,0)-1,0))</f>
        <v>13</v>
      </c>
      <c r="J34" s="15">
        <f ca="1">OFFSET(控制台!$B$865,MATCH(B34,控制台!$G$865:$G$936,0)-1,0)</f>
        <v>23</v>
      </c>
      <c r="K34" s="15">
        <f ca="1" t="shared" si="27"/>
        <v>1</v>
      </c>
      <c r="L34" s="17">
        <f ca="1">Lerp_dyy(I34,J34,C34/10)</f>
        <v>17</v>
      </c>
      <c r="M34" s="15">
        <f ca="1" t="shared" si="5"/>
        <v>2125440</v>
      </c>
      <c r="N34" s="17">
        <f ca="1" t="shared" si="18"/>
        <v>27352512</v>
      </c>
      <c r="O34" s="15">
        <f ca="1">OFFSET(控制台!$F$2798,MATCH(B34,控制台!$B$2798:$B$2809,0)-2,0)*控制台!$E$2755</f>
        <v>1200</v>
      </c>
      <c r="P34" s="15">
        <f ca="1">OFFSET(控制台!$F$2798,MATCH(B34,控制台!$B$2798:$B$2809,0)-1,0)*控制台!$E$2755</f>
        <v>1500</v>
      </c>
      <c r="Q34" s="15">
        <f ca="1">Lerp_dyy(O34,P34,C34/10)</f>
        <v>1320</v>
      </c>
      <c r="R34" s="16">
        <f ca="1">_xlfn.FLOOR.MATH(Q34/24/3600*控制台!$E$2785)</f>
        <v>27</v>
      </c>
      <c r="S34" s="15">
        <f ca="1" t="shared" si="6"/>
        <v>1296</v>
      </c>
      <c r="T34" s="15">
        <f ca="1" t="shared" si="7"/>
        <v>1296</v>
      </c>
      <c r="U34" s="17">
        <f ca="1" t="shared" si="19"/>
        <v>16800</v>
      </c>
      <c r="V34" s="15">
        <f ca="1">OFFSET(控制台!$I$2798,MATCH(B34,控制台!$B$2798:$B$2809,0)-2,0)*控制台!$E$2791</f>
        <v>468.75</v>
      </c>
      <c r="W34" s="15">
        <f ca="1">OFFSET(控制台!$I$2798,MATCH(B34,控制台!$B$2798:$B$2809,0)-1,0)*控制台!$E$2791</f>
        <v>625</v>
      </c>
      <c r="X34" s="15">
        <f ca="1">Lerp_dyy(V34,W34,C34/10)</f>
        <v>531.25</v>
      </c>
      <c r="Y34" s="16">
        <f ca="1">_xlfn.FLOOR.MATH(X34)</f>
        <v>531</v>
      </c>
      <c r="Z34" s="15">
        <f ca="1" t="shared" si="8"/>
        <v>0.6372</v>
      </c>
      <c r="AA34" s="15">
        <f ca="1" t="shared" si="29"/>
        <v>0.6372</v>
      </c>
      <c r="AB34" s="17">
        <f ca="1" t="shared" si="28"/>
        <v>7.52904</v>
      </c>
      <c r="AC34" s="17">
        <f ca="1">AB34*控制台!$E$4819</f>
        <v>6.023232</v>
      </c>
      <c r="AD34" s="17">
        <f ca="1">AB34*控制台!$E$4820</f>
        <v>137.781432</v>
      </c>
      <c r="AE34" s="15">
        <f ca="1">OFFSET(控制台!$L$2798,MATCH(B34,控制台!$B$2798:$B$2809,0)-2,0)*控制台!$E$2763</f>
        <v>300</v>
      </c>
      <c r="AF34" s="15">
        <f ca="1">OFFSET(控制台!$L$2798,MATCH(B34,控制台!$B$2798:$B$2809,0)-1,0)*控制台!$E$2763</f>
        <v>600</v>
      </c>
      <c r="AG34" s="15">
        <f ca="1">Lerp_dyy(AE34,AF34,C34/10)</f>
        <v>420</v>
      </c>
      <c r="AH34" s="15">
        <f ca="1" t="shared" si="9"/>
        <v>420</v>
      </c>
      <c r="AI34" s="17">
        <f ca="1" t="shared" si="21"/>
        <v>3690</v>
      </c>
      <c r="AJ34" s="15">
        <f ca="1">OFFSET(控制台!$P$2798,MATCH(B34,控制台!$B$2798:$B$2809,0)-2,0)</f>
        <v>1000</v>
      </c>
      <c r="AK34" s="15">
        <f ca="1">OFFSET(控制台!$P$2798,MATCH(B34,控制台!$B$2798:$B$2809,0)-1,0)</f>
        <v>2000</v>
      </c>
      <c r="AL34" s="15">
        <f ca="1">Lerp_dyy(AJ34,AK34,C34/10)</f>
        <v>1400</v>
      </c>
      <c r="AM34" s="16">
        <f ca="1">_xlfn.FLOOR.MATH(AL34/24/3600*控制台!$E$2785)</f>
        <v>29</v>
      </c>
      <c r="AN34" s="15">
        <f ca="1" t="shared" si="10"/>
        <v>1392</v>
      </c>
      <c r="AO34" s="15">
        <f ca="1" t="shared" si="11"/>
        <v>1392</v>
      </c>
      <c r="AP34" s="17">
        <f ca="1" t="shared" si="22"/>
        <v>12643.2</v>
      </c>
      <c r="AQ34" s="15">
        <f ca="1">OFFSET(控制台!$V$2798,MATCH(B34,控制台!$B$2798:$B$2809,0)-2,0)*控制台!$E$2771</f>
        <v>1000000</v>
      </c>
      <c r="AR34" s="15">
        <f ca="1">OFFSET(控制台!$V$2798,MATCH(B34,控制台!$B$2798:$B$2809,0)-1,0)*控制台!$E$2771</f>
        <v>1250000</v>
      </c>
      <c r="AS34" s="15">
        <f ca="1">Lerp_dyy(AQ34,AR34,C34/10)</f>
        <v>1100000</v>
      </c>
      <c r="AT34" s="16">
        <f ca="1">MAX(_xlfn.FLOOR.MATH(AS34/24/3600*控制台!$E$2784)-控制台!$J$2814,0)</f>
        <v>123</v>
      </c>
      <c r="AU34" s="15">
        <f ca="1" t="shared" si="12"/>
        <v>1062720</v>
      </c>
      <c r="AV34" s="15">
        <f ca="1" t="shared" si="13"/>
        <v>1062720</v>
      </c>
      <c r="AW34" s="17">
        <f ca="1" t="shared" si="23"/>
        <v>12379392</v>
      </c>
      <c r="AX34" s="15">
        <f ca="1">OFFSET(控制台!$X$2798,MATCH(B34,控制台!$B$2798:$B$2809,0)-2,0)*控制台!$E$2775</f>
        <v>600</v>
      </c>
      <c r="AY34" s="15">
        <f ca="1">OFFSET(控制台!$X$2798,MATCH(B34,控制台!$B$2798:$B$2809,0)-1,0)*控制台!$E$2775</f>
        <v>750</v>
      </c>
      <c r="AZ34" s="15">
        <f ca="1">Lerp_dyy(AX34,AY34,C34/10)</f>
        <v>660</v>
      </c>
      <c r="BA34" s="16">
        <f ca="1">_xlfn.FLOOR.MATH(AZ34/24/3600*控制台!$E$2785)</f>
        <v>13</v>
      </c>
      <c r="BB34" s="15">
        <f ca="1" t="shared" si="14"/>
        <v>624</v>
      </c>
      <c r="BC34" s="15">
        <f ca="1" t="shared" si="15"/>
        <v>624</v>
      </c>
      <c r="BD34" s="17">
        <f ca="1" t="shared" si="24"/>
        <v>7382.4</v>
      </c>
      <c r="BE34" s="1">
        <f ca="1">OFFSET(控制台!$AA$2798,MATCH(B34,控制台!$B$2798:$B$2809,0)-1,0)</f>
        <v>16.6666666666667</v>
      </c>
      <c r="BF34" s="1">
        <f ca="1" t="shared" si="1"/>
        <v>283.333333333334</v>
      </c>
      <c r="BG34" s="17">
        <f ca="1" t="shared" si="25"/>
        <v>2286.66666666666</v>
      </c>
      <c r="BH34" s="15">
        <f ca="1">OFFSET(控制台!$AD$2798,MATCH(B34,控制台!$B$2798:$B$2809,0)-2,0)</f>
        <v>200</v>
      </c>
      <c r="BI34" s="15">
        <f ca="1">OFFSET(控制台!$AD$2798,MATCH(B34,控制台!$B$2798:$B$2809,0)-1,0)</f>
        <v>400</v>
      </c>
      <c r="BJ34" s="15">
        <f ca="1">Lerp_dyy(BH34,BI34,C34/10)</f>
        <v>280</v>
      </c>
      <c r="BK34" s="16">
        <f ca="1">_xlfn.FLOOR.MATH(BJ34/24/3600*控制台!$E$2785)</f>
        <v>5</v>
      </c>
      <c r="BL34" s="15">
        <f ca="1" t="shared" si="16"/>
        <v>240</v>
      </c>
      <c r="BM34" s="15">
        <f ca="1" t="shared" si="17"/>
        <v>240</v>
      </c>
      <c r="BN34" s="17">
        <f ca="1" t="shared" si="26"/>
        <v>2649.6</v>
      </c>
    </row>
    <row r="35" s="15" customFormat="1" spans="1:66">
      <c r="A35" s="15">
        <f t="shared" si="2"/>
        <v>405</v>
      </c>
      <c r="B35" s="15">
        <v>4</v>
      </c>
      <c r="C35" s="15">
        <v>5</v>
      </c>
      <c r="D35" s="15">
        <f ca="1">OFFSET(控制台!$D$2798,MATCH(B35,控制台!$B$2798:$B$2809,0)-2,0)*控制台!$E$2751</f>
        <v>2000000</v>
      </c>
      <c r="E35" s="15">
        <f ca="1">OFFSET(控制台!$D$2798,MATCH(B35,控制台!$B$2798:$B$2809,0)-1,0)*控制台!$E$2751</f>
        <v>2500000</v>
      </c>
      <c r="F35" s="15">
        <f ca="1">Lerp_dyy(D35,E35,C35/10)</f>
        <v>2250000</v>
      </c>
      <c r="G35" s="16">
        <f ca="1">_xlfn.FLOOR.MATH(F35/24/3600*控制台!$E$2784)-控制台!$E$2814</f>
        <v>252</v>
      </c>
      <c r="H35" s="15">
        <f ca="1" t="shared" si="3"/>
        <v>2177280</v>
      </c>
      <c r="I35" s="15">
        <f ca="1">IF(B35=1,0,OFFSET(控制台!$B$865,MATCH(B35-1,控制台!$G$865:$G$936,0)-1,0))</f>
        <v>13</v>
      </c>
      <c r="J35" s="15">
        <f ca="1">OFFSET(控制台!$B$865,MATCH(B35,控制台!$G$865:$G$936,0)-1,0)</f>
        <v>23</v>
      </c>
      <c r="K35" s="15">
        <f ca="1" t="shared" si="27"/>
        <v>1</v>
      </c>
      <c r="L35" s="17">
        <f ca="1">Lerp_dyy(I35,J35,C35/10)</f>
        <v>18</v>
      </c>
      <c r="M35" s="15">
        <f ca="1" t="shared" si="5"/>
        <v>2177280</v>
      </c>
      <c r="N35" s="17">
        <f ca="1" t="shared" si="18"/>
        <v>29529792</v>
      </c>
      <c r="O35" s="15">
        <f ca="1">OFFSET(控制台!$F$2798,MATCH(B35,控制台!$B$2798:$B$2809,0)-2,0)*控制台!$E$2755</f>
        <v>1200</v>
      </c>
      <c r="P35" s="15">
        <f ca="1">OFFSET(控制台!$F$2798,MATCH(B35,控制台!$B$2798:$B$2809,0)-1,0)*控制台!$E$2755</f>
        <v>1500</v>
      </c>
      <c r="Q35" s="15">
        <f ca="1">Lerp_dyy(O35,P35,C35/10)</f>
        <v>1350</v>
      </c>
      <c r="R35" s="16">
        <f ca="1">_xlfn.FLOOR.MATH(Q35/24/3600*控制台!$E$2785)</f>
        <v>28</v>
      </c>
      <c r="S35" s="15">
        <f ca="1" t="shared" si="6"/>
        <v>1344</v>
      </c>
      <c r="T35" s="15">
        <f ca="1" t="shared" si="7"/>
        <v>1344</v>
      </c>
      <c r="U35" s="17">
        <f ca="1" t="shared" si="19"/>
        <v>18144</v>
      </c>
      <c r="V35" s="15">
        <f ca="1">OFFSET(控制台!$I$2798,MATCH(B35,控制台!$B$2798:$B$2809,0)-2,0)*控制台!$E$2791</f>
        <v>468.75</v>
      </c>
      <c r="W35" s="15">
        <f ca="1">OFFSET(控制台!$I$2798,MATCH(B35,控制台!$B$2798:$B$2809,0)-1,0)*控制台!$E$2791</f>
        <v>625</v>
      </c>
      <c r="X35" s="15">
        <f ca="1">Lerp_dyy(V35,W35,C35/10)</f>
        <v>546.875</v>
      </c>
      <c r="Y35" s="16">
        <f ca="1">_xlfn.FLOOR.MATH(X35)</f>
        <v>546</v>
      </c>
      <c r="Z35" s="15">
        <f ca="1" t="shared" si="8"/>
        <v>0.6552</v>
      </c>
      <c r="AA35" s="15">
        <f ca="1" t="shared" si="29"/>
        <v>0.6552</v>
      </c>
      <c r="AB35" s="17">
        <f ca="1" t="shared" si="28"/>
        <v>8.18424</v>
      </c>
      <c r="AC35" s="17">
        <f ca="1">AB35*控制台!$E$4819</f>
        <v>6.547392</v>
      </c>
      <c r="AD35" s="17">
        <f ca="1">AB35*控制台!$E$4820</f>
        <v>149.771592</v>
      </c>
      <c r="AE35" s="15">
        <f ca="1">OFFSET(控制台!$L$2798,MATCH(B35,控制台!$B$2798:$B$2809,0)-2,0)*控制台!$E$2763</f>
        <v>300</v>
      </c>
      <c r="AF35" s="15">
        <f ca="1">OFFSET(控制台!$L$2798,MATCH(B35,控制台!$B$2798:$B$2809,0)-1,0)*控制台!$E$2763</f>
        <v>600</v>
      </c>
      <c r="AG35" s="15">
        <f ca="1">Lerp_dyy(AE35,AF35,C35/10)</f>
        <v>450</v>
      </c>
      <c r="AH35" s="15">
        <f ca="1" t="shared" si="9"/>
        <v>450</v>
      </c>
      <c r="AI35" s="17">
        <f ca="1" t="shared" si="21"/>
        <v>4140</v>
      </c>
      <c r="AJ35" s="15">
        <f ca="1">OFFSET(控制台!$P$2798,MATCH(B35,控制台!$B$2798:$B$2809,0)-2,0)</f>
        <v>1000</v>
      </c>
      <c r="AK35" s="15">
        <f ca="1">OFFSET(控制台!$P$2798,MATCH(B35,控制台!$B$2798:$B$2809,0)-1,0)</f>
        <v>2000</v>
      </c>
      <c r="AL35" s="15">
        <f ca="1">Lerp_dyy(AJ35,AK35,C35/10)</f>
        <v>1500</v>
      </c>
      <c r="AM35" s="16">
        <f ca="1">_xlfn.FLOOR.MATH(AL35/24/3600*控制台!$E$2785)</f>
        <v>31</v>
      </c>
      <c r="AN35" s="15">
        <f ca="1" t="shared" si="10"/>
        <v>1488</v>
      </c>
      <c r="AO35" s="15">
        <f ca="1" t="shared" si="11"/>
        <v>1488</v>
      </c>
      <c r="AP35" s="17">
        <f ca="1" t="shared" si="22"/>
        <v>14131.2</v>
      </c>
      <c r="AQ35" s="15">
        <f ca="1">OFFSET(控制台!$V$2798,MATCH(B35,控制台!$B$2798:$B$2809,0)-2,0)*控制台!$E$2771</f>
        <v>1000000</v>
      </c>
      <c r="AR35" s="15">
        <f ca="1">OFFSET(控制台!$V$2798,MATCH(B35,控制台!$B$2798:$B$2809,0)-1,0)*控制台!$E$2771</f>
        <v>1250000</v>
      </c>
      <c r="AS35" s="15">
        <f ca="1">Lerp_dyy(AQ35,AR35,C35/10)</f>
        <v>1125000</v>
      </c>
      <c r="AT35" s="16">
        <f ca="1">MAX(_xlfn.FLOOR.MATH(AS35/24/3600*控制台!$E$2784)-控制台!$J$2814,0)</f>
        <v>126</v>
      </c>
      <c r="AU35" s="15">
        <f ca="1" t="shared" si="12"/>
        <v>1088640</v>
      </c>
      <c r="AV35" s="15">
        <f ca="1" t="shared" si="13"/>
        <v>1088640</v>
      </c>
      <c r="AW35" s="17">
        <f ca="1" t="shared" si="23"/>
        <v>13468032</v>
      </c>
      <c r="AX35" s="15">
        <f ca="1">OFFSET(控制台!$X$2798,MATCH(B35,控制台!$B$2798:$B$2809,0)-2,0)*控制台!$E$2775</f>
        <v>600</v>
      </c>
      <c r="AY35" s="15">
        <f ca="1">OFFSET(控制台!$X$2798,MATCH(B35,控制台!$B$2798:$B$2809,0)-1,0)*控制台!$E$2775</f>
        <v>750</v>
      </c>
      <c r="AZ35" s="15">
        <f ca="1">Lerp_dyy(AX35,AY35,C35/10)</f>
        <v>675</v>
      </c>
      <c r="BA35" s="16">
        <f ca="1">_xlfn.FLOOR.MATH(AZ35/24/3600*控制台!$E$2785)</f>
        <v>14</v>
      </c>
      <c r="BB35" s="15">
        <f ca="1" t="shared" si="14"/>
        <v>672</v>
      </c>
      <c r="BC35" s="15">
        <f ca="1" t="shared" si="15"/>
        <v>672</v>
      </c>
      <c r="BD35" s="17">
        <f ca="1" t="shared" si="24"/>
        <v>8054.4</v>
      </c>
      <c r="BE35" s="1">
        <f ca="1">OFFSET(控制台!$AA$2798,MATCH(B35,控制台!$B$2798:$B$2809,0)-1,0)</f>
        <v>16.6666666666667</v>
      </c>
      <c r="BF35" s="1">
        <f ca="1" t="shared" si="1"/>
        <v>300.000000000001</v>
      </c>
      <c r="BG35" s="17">
        <f ca="1" t="shared" si="25"/>
        <v>2586.66666666666</v>
      </c>
      <c r="BH35" s="15">
        <f ca="1">OFFSET(控制台!$AD$2798,MATCH(B35,控制台!$B$2798:$B$2809,0)-2,0)</f>
        <v>200</v>
      </c>
      <c r="BI35" s="15">
        <f ca="1">OFFSET(控制台!$AD$2798,MATCH(B35,控制台!$B$2798:$B$2809,0)-1,0)</f>
        <v>400</v>
      </c>
      <c r="BJ35" s="15">
        <f ca="1">Lerp_dyy(BH35,BI35,C35/10)</f>
        <v>300</v>
      </c>
      <c r="BK35" s="16">
        <f ca="1">_xlfn.FLOOR.MATH(BJ35/24/3600*控制台!$E$2785)</f>
        <v>6</v>
      </c>
      <c r="BL35" s="15">
        <f ca="1" t="shared" si="16"/>
        <v>288</v>
      </c>
      <c r="BM35" s="15">
        <f ca="1" t="shared" si="17"/>
        <v>288</v>
      </c>
      <c r="BN35" s="17">
        <f ca="1" t="shared" si="26"/>
        <v>2937.6</v>
      </c>
    </row>
    <row r="36" s="15" customFormat="1" spans="1:66">
      <c r="A36" s="15">
        <f t="shared" si="2"/>
        <v>406</v>
      </c>
      <c r="B36" s="15">
        <v>4</v>
      </c>
      <c r="C36" s="15">
        <v>6</v>
      </c>
      <c r="D36" s="15">
        <f ca="1">OFFSET(控制台!$D$2798,MATCH(B36,控制台!$B$2798:$B$2809,0)-2,0)*控制台!$E$2751</f>
        <v>2000000</v>
      </c>
      <c r="E36" s="15">
        <f ca="1">OFFSET(控制台!$D$2798,MATCH(B36,控制台!$B$2798:$B$2809,0)-1,0)*控制台!$E$2751</f>
        <v>2500000</v>
      </c>
      <c r="F36" s="15">
        <f ca="1">Lerp_dyy(D36,E36,C36/10)</f>
        <v>2300000</v>
      </c>
      <c r="G36" s="16">
        <f ca="1">_xlfn.FLOOR.MATH(F36/24/3600*控制台!$E$2784)-控制台!$E$2814</f>
        <v>258</v>
      </c>
      <c r="H36" s="15">
        <f ca="1" t="shared" si="3"/>
        <v>2229120</v>
      </c>
      <c r="I36" s="15">
        <f ca="1">IF(B36=1,0,OFFSET(控制台!$B$865,MATCH(B36-1,控制台!$G$865:$G$936,0)-1,0))</f>
        <v>13</v>
      </c>
      <c r="J36" s="15">
        <f ca="1">OFFSET(控制台!$B$865,MATCH(B36,控制台!$G$865:$G$936,0)-1,0)</f>
        <v>23</v>
      </c>
      <c r="K36" s="15">
        <f ca="1" t="shared" si="27"/>
        <v>1</v>
      </c>
      <c r="L36" s="17">
        <f ca="1">Lerp_dyy(I36,J36,C36/10)</f>
        <v>19</v>
      </c>
      <c r="M36" s="15">
        <f ca="1" t="shared" si="5"/>
        <v>2229120</v>
      </c>
      <c r="N36" s="17">
        <f ca="1" t="shared" si="18"/>
        <v>31758912</v>
      </c>
      <c r="O36" s="15">
        <f ca="1">OFFSET(控制台!$F$2798,MATCH(B36,控制台!$B$2798:$B$2809,0)-2,0)*控制台!$E$2755</f>
        <v>1200</v>
      </c>
      <c r="P36" s="15">
        <f ca="1">OFFSET(控制台!$F$2798,MATCH(B36,控制台!$B$2798:$B$2809,0)-1,0)*控制台!$E$2755</f>
        <v>1500</v>
      </c>
      <c r="Q36" s="15">
        <f ca="1">Lerp_dyy(O36,P36,C36/10)</f>
        <v>1380</v>
      </c>
      <c r="R36" s="16">
        <f ca="1">_xlfn.FLOOR.MATH(Q36/24/3600*控制台!$E$2785)</f>
        <v>28</v>
      </c>
      <c r="S36" s="15">
        <f ca="1" t="shared" si="6"/>
        <v>1344</v>
      </c>
      <c r="T36" s="15">
        <f ca="1" t="shared" si="7"/>
        <v>1344</v>
      </c>
      <c r="U36" s="17">
        <f ca="1" t="shared" si="19"/>
        <v>19488</v>
      </c>
      <c r="V36" s="15">
        <f ca="1">OFFSET(控制台!$I$2798,MATCH(B36,控制台!$B$2798:$B$2809,0)-2,0)*控制台!$E$2791</f>
        <v>468.75</v>
      </c>
      <c r="W36" s="15">
        <f ca="1">OFFSET(控制台!$I$2798,MATCH(B36,控制台!$B$2798:$B$2809,0)-1,0)*控制台!$E$2791</f>
        <v>625</v>
      </c>
      <c r="X36" s="15">
        <f ca="1">Lerp_dyy(V36,W36,C36/10)</f>
        <v>562.5</v>
      </c>
      <c r="Y36" s="16">
        <f ca="1">_xlfn.FLOOR.MATH(X36)</f>
        <v>562</v>
      </c>
      <c r="Z36" s="15">
        <f ca="1" t="shared" si="8"/>
        <v>0.6744</v>
      </c>
      <c r="AA36" s="15">
        <f ca="1" t="shared" si="29"/>
        <v>0.6744</v>
      </c>
      <c r="AB36" s="17">
        <f ca="1" t="shared" si="28"/>
        <v>8.85864</v>
      </c>
      <c r="AC36" s="17">
        <f ca="1">AB36*控制台!$E$4819</f>
        <v>7.086912</v>
      </c>
      <c r="AD36" s="17">
        <f ca="1">AB36*控制台!$E$4820</f>
        <v>162.113112</v>
      </c>
      <c r="AE36" s="15">
        <f ca="1">OFFSET(控制台!$L$2798,MATCH(B36,控制台!$B$2798:$B$2809,0)-2,0)*控制台!$E$2763</f>
        <v>300</v>
      </c>
      <c r="AF36" s="15">
        <f ca="1">OFFSET(控制台!$L$2798,MATCH(B36,控制台!$B$2798:$B$2809,0)-1,0)*控制台!$E$2763</f>
        <v>600</v>
      </c>
      <c r="AG36" s="15">
        <f ca="1">Lerp_dyy(AE36,AF36,C36/10)</f>
        <v>480</v>
      </c>
      <c r="AH36" s="15">
        <f ca="1" t="shared" si="9"/>
        <v>480</v>
      </c>
      <c r="AI36" s="17">
        <f ca="1" t="shared" si="21"/>
        <v>4620</v>
      </c>
      <c r="AJ36" s="15">
        <f ca="1">OFFSET(控制台!$P$2798,MATCH(B36,控制台!$B$2798:$B$2809,0)-2,0)</f>
        <v>1000</v>
      </c>
      <c r="AK36" s="15">
        <f ca="1">OFFSET(控制台!$P$2798,MATCH(B36,控制台!$B$2798:$B$2809,0)-1,0)</f>
        <v>2000</v>
      </c>
      <c r="AL36" s="15">
        <f ca="1">Lerp_dyy(AJ36,AK36,C36/10)</f>
        <v>1600</v>
      </c>
      <c r="AM36" s="16">
        <f ca="1">_xlfn.FLOOR.MATH(AL36/24/3600*控制台!$E$2785)</f>
        <v>33</v>
      </c>
      <c r="AN36" s="15">
        <f ca="1" t="shared" si="10"/>
        <v>1584</v>
      </c>
      <c r="AO36" s="15">
        <f ca="1" t="shared" si="11"/>
        <v>1584</v>
      </c>
      <c r="AP36" s="17">
        <f ca="1" t="shared" si="22"/>
        <v>15715.2</v>
      </c>
      <c r="AQ36" s="15">
        <f ca="1">OFFSET(控制台!$V$2798,MATCH(B36,控制台!$B$2798:$B$2809,0)-2,0)*控制台!$E$2771</f>
        <v>1000000</v>
      </c>
      <c r="AR36" s="15">
        <f ca="1">OFFSET(控制台!$V$2798,MATCH(B36,控制台!$B$2798:$B$2809,0)-1,0)*控制台!$E$2771</f>
        <v>1250000</v>
      </c>
      <c r="AS36" s="15">
        <f ca="1">Lerp_dyy(AQ36,AR36,C36/10)</f>
        <v>1150000</v>
      </c>
      <c r="AT36" s="16">
        <f ca="1">MAX(_xlfn.FLOOR.MATH(AS36/24/3600*控制台!$E$2784)-控制台!$J$2814,0)</f>
        <v>129</v>
      </c>
      <c r="AU36" s="15">
        <f ca="1" t="shared" si="12"/>
        <v>1114560</v>
      </c>
      <c r="AV36" s="15">
        <f ca="1" t="shared" si="13"/>
        <v>1114560</v>
      </c>
      <c r="AW36" s="17">
        <f ca="1" t="shared" si="23"/>
        <v>14582592</v>
      </c>
      <c r="AX36" s="15">
        <f ca="1">OFFSET(控制台!$X$2798,MATCH(B36,控制台!$B$2798:$B$2809,0)-2,0)*控制台!$E$2775</f>
        <v>600</v>
      </c>
      <c r="AY36" s="15">
        <f ca="1">OFFSET(控制台!$X$2798,MATCH(B36,控制台!$B$2798:$B$2809,0)-1,0)*控制台!$E$2775</f>
        <v>750</v>
      </c>
      <c r="AZ36" s="15">
        <f ca="1">Lerp_dyy(AX36,AY36,C36/10)</f>
        <v>690</v>
      </c>
      <c r="BA36" s="16">
        <f ca="1">_xlfn.FLOOR.MATH(AZ36/24/3600*控制台!$E$2785)</f>
        <v>14</v>
      </c>
      <c r="BB36" s="15">
        <f ca="1" t="shared" si="14"/>
        <v>672</v>
      </c>
      <c r="BC36" s="15">
        <f ca="1" t="shared" si="15"/>
        <v>672</v>
      </c>
      <c r="BD36" s="17">
        <f ca="1" t="shared" si="24"/>
        <v>8726.4</v>
      </c>
      <c r="BE36" s="1">
        <f ca="1">OFFSET(控制台!$AA$2798,MATCH(B36,控制台!$B$2798:$B$2809,0)-1,0)</f>
        <v>16.6666666666667</v>
      </c>
      <c r="BF36" s="1">
        <f ca="1" t="shared" si="1"/>
        <v>316.666666666667</v>
      </c>
      <c r="BG36" s="17">
        <f ca="1" t="shared" si="25"/>
        <v>2903.33333333333</v>
      </c>
      <c r="BH36" s="15">
        <f ca="1">OFFSET(控制台!$AD$2798,MATCH(B36,控制台!$B$2798:$B$2809,0)-2,0)</f>
        <v>200</v>
      </c>
      <c r="BI36" s="15">
        <f ca="1">OFFSET(控制台!$AD$2798,MATCH(B36,控制台!$B$2798:$B$2809,0)-1,0)</f>
        <v>400</v>
      </c>
      <c r="BJ36" s="15">
        <f ca="1">Lerp_dyy(BH36,BI36,C36/10)</f>
        <v>320</v>
      </c>
      <c r="BK36" s="16">
        <f ca="1">_xlfn.FLOOR.MATH(BJ36/24/3600*控制台!$E$2785)</f>
        <v>6</v>
      </c>
      <c r="BL36" s="15">
        <f ca="1" t="shared" si="16"/>
        <v>288</v>
      </c>
      <c r="BM36" s="15">
        <f ca="1" t="shared" si="17"/>
        <v>288</v>
      </c>
      <c r="BN36" s="17">
        <f ca="1" t="shared" si="26"/>
        <v>3225.6</v>
      </c>
    </row>
    <row r="37" s="15" customFormat="1" spans="1:66">
      <c r="A37" s="15">
        <f t="shared" si="2"/>
        <v>407</v>
      </c>
      <c r="B37" s="15">
        <v>4</v>
      </c>
      <c r="C37" s="15">
        <v>7</v>
      </c>
      <c r="D37" s="15">
        <f ca="1">OFFSET(控制台!$D$2798,MATCH(B37,控制台!$B$2798:$B$2809,0)-2,0)*控制台!$E$2751</f>
        <v>2000000</v>
      </c>
      <c r="E37" s="15">
        <f ca="1">OFFSET(控制台!$D$2798,MATCH(B37,控制台!$B$2798:$B$2809,0)-1,0)*控制台!$E$2751</f>
        <v>2500000</v>
      </c>
      <c r="F37" s="15">
        <f ca="1">Lerp_dyy(D37,E37,C37/10)</f>
        <v>2350000</v>
      </c>
      <c r="G37" s="16">
        <f ca="1">_xlfn.FLOOR.MATH(F37/24/3600*控制台!$E$2784)-控制台!$E$2814</f>
        <v>263</v>
      </c>
      <c r="H37" s="15">
        <f ca="1" t="shared" si="3"/>
        <v>2272320</v>
      </c>
      <c r="I37" s="15">
        <f ca="1">IF(B37=1,0,OFFSET(控制台!$B$865,MATCH(B37-1,控制台!$G$865:$G$936,0)-1,0))</f>
        <v>13</v>
      </c>
      <c r="J37" s="15">
        <f ca="1">OFFSET(控制台!$B$865,MATCH(B37,控制台!$G$865:$G$936,0)-1,0)</f>
        <v>23</v>
      </c>
      <c r="K37" s="15">
        <f ca="1" t="shared" si="27"/>
        <v>1</v>
      </c>
      <c r="L37" s="17">
        <f ca="1">Lerp_dyy(I37,J37,C37/10)</f>
        <v>20</v>
      </c>
      <c r="M37" s="15">
        <f ca="1" t="shared" si="5"/>
        <v>2272320</v>
      </c>
      <c r="N37" s="17">
        <f ca="1" t="shared" si="18"/>
        <v>34031232</v>
      </c>
      <c r="O37" s="15">
        <f ca="1">OFFSET(控制台!$F$2798,MATCH(B37,控制台!$B$2798:$B$2809,0)-2,0)*控制台!$E$2755</f>
        <v>1200</v>
      </c>
      <c r="P37" s="15">
        <f ca="1">OFFSET(控制台!$F$2798,MATCH(B37,控制台!$B$2798:$B$2809,0)-1,0)*控制台!$E$2755</f>
        <v>1500</v>
      </c>
      <c r="Q37" s="15">
        <f ca="1">Lerp_dyy(O37,P37,C37/10)</f>
        <v>1410</v>
      </c>
      <c r="R37" s="16">
        <f ca="1">_xlfn.FLOOR.MATH(Q37/24/3600*控制台!$E$2785)</f>
        <v>29</v>
      </c>
      <c r="S37" s="15">
        <f ca="1" t="shared" si="6"/>
        <v>1392</v>
      </c>
      <c r="T37" s="15">
        <f ca="1" t="shared" si="7"/>
        <v>1392</v>
      </c>
      <c r="U37" s="17">
        <f ca="1" t="shared" si="19"/>
        <v>20880</v>
      </c>
      <c r="V37" s="15">
        <f ca="1">OFFSET(控制台!$I$2798,MATCH(B37,控制台!$B$2798:$B$2809,0)-2,0)*控制台!$E$2791</f>
        <v>468.75</v>
      </c>
      <c r="W37" s="15">
        <f ca="1">OFFSET(控制台!$I$2798,MATCH(B37,控制台!$B$2798:$B$2809,0)-1,0)*控制台!$E$2791</f>
        <v>625</v>
      </c>
      <c r="X37" s="15">
        <f ca="1">Lerp_dyy(V37,W37,C37/10)</f>
        <v>578.125</v>
      </c>
      <c r="Y37" s="16">
        <f ca="1">_xlfn.FLOOR.MATH(X37)</f>
        <v>578</v>
      </c>
      <c r="Z37" s="15">
        <f ca="1" t="shared" si="8"/>
        <v>0.6936</v>
      </c>
      <c r="AA37" s="15">
        <f ca="1" t="shared" si="29"/>
        <v>0.6936</v>
      </c>
      <c r="AB37" s="17">
        <f ca="1" t="shared" si="28"/>
        <v>9.55224</v>
      </c>
      <c r="AC37" s="17">
        <f ca="1">AB37*控制台!$E$4819</f>
        <v>7.641792</v>
      </c>
      <c r="AD37" s="17">
        <f ca="1">AB37*控制台!$E$4820</f>
        <v>174.805992</v>
      </c>
      <c r="AE37" s="15">
        <f ca="1">OFFSET(控制台!$L$2798,MATCH(B37,控制台!$B$2798:$B$2809,0)-2,0)*控制台!$E$2763</f>
        <v>300</v>
      </c>
      <c r="AF37" s="15">
        <f ca="1">OFFSET(控制台!$L$2798,MATCH(B37,控制台!$B$2798:$B$2809,0)-1,0)*控制台!$E$2763</f>
        <v>600</v>
      </c>
      <c r="AG37" s="15">
        <f ca="1">Lerp_dyy(AE37,AF37,C37/10)</f>
        <v>510</v>
      </c>
      <c r="AH37" s="15">
        <f ca="1" t="shared" si="9"/>
        <v>510</v>
      </c>
      <c r="AI37" s="17">
        <f ca="1" t="shared" si="21"/>
        <v>5130</v>
      </c>
      <c r="AJ37" s="15">
        <f ca="1">OFFSET(控制台!$P$2798,MATCH(B37,控制台!$B$2798:$B$2809,0)-2,0)</f>
        <v>1000</v>
      </c>
      <c r="AK37" s="15">
        <f ca="1">OFFSET(控制台!$P$2798,MATCH(B37,控制台!$B$2798:$B$2809,0)-1,0)</f>
        <v>2000</v>
      </c>
      <c r="AL37" s="15">
        <f ca="1">Lerp_dyy(AJ37,AK37,C37/10)</f>
        <v>1700</v>
      </c>
      <c r="AM37" s="16">
        <f ca="1">_xlfn.FLOOR.MATH(AL37/24/3600*控制台!$E$2785)</f>
        <v>35</v>
      </c>
      <c r="AN37" s="15">
        <f ca="1" t="shared" si="10"/>
        <v>1680</v>
      </c>
      <c r="AO37" s="15">
        <f ca="1" t="shared" si="11"/>
        <v>1680</v>
      </c>
      <c r="AP37" s="17">
        <f ca="1" t="shared" si="22"/>
        <v>17395.2</v>
      </c>
      <c r="AQ37" s="15">
        <f ca="1">OFFSET(控制台!$V$2798,MATCH(B37,控制台!$B$2798:$B$2809,0)-2,0)*控制台!$E$2771</f>
        <v>1000000</v>
      </c>
      <c r="AR37" s="15">
        <f ca="1">OFFSET(控制台!$V$2798,MATCH(B37,控制台!$B$2798:$B$2809,0)-1,0)*控制台!$E$2771</f>
        <v>1250000</v>
      </c>
      <c r="AS37" s="15">
        <f ca="1">Lerp_dyy(AQ37,AR37,C37/10)</f>
        <v>1175000</v>
      </c>
      <c r="AT37" s="16">
        <f ca="1">MAX(_xlfn.FLOOR.MATH(AS37/24/3600*控制台!$E$2784)-控制台!$J$2814,0)</f>
        <v>131</v>
      </c>
      <c r="AU37" s="15">
        <f ca="1" t="shared" si="12"/>
        <v>1131840</v>
      </c>
      <c r="AV37" s="15">
        <f ca="1" t="shared" si="13"/>
        <v>1131840</v>
      </c>
      <c r="AW37" s="17">
        <f ca="1" t="shared" si="23"/>
        <v>15714432</v>
      </c>
      <c r="AX37" s="15">
        <f ca="1">OFFSET(控制台!$X$2798,MATCH(B37,控制台!$B$2798:$B$2809,0)-2,0)*控制台!$E$2775</f>
        <v>600</v>
      </c>
      <c r="AY37" s="15">
        <f ca="1">OFFSET(控制台!$X$2798,MATCH(B37,控制台!$B$2798:$B$2809,0)-1,0)*控制台!$E$2775</f>
        <v>750</v>
      </c>
      <c r="AZ37" s="15">
        <f ca="1">Lerp_dyy(AX37,AY37,C37/10)</f>
        <v>705</v>
      </c>
      <c r="BA37" s="16">
        <f ca="1">_xlfn.FLOOR.MATH(AZ37/24/3600*控制台!$E$2785)</f>
        <v>14</v>
      </c>
      <c r="BB37" s="15">
        <f ca="1" t="shared" si="14"/>
        <v>672</v>
      </c>
      <c r="BC37" s="15">
        <f ca="1" t="shared" si="15"/>
        <v>672</v>
      </c>
      <c r="BD37" s="17">
        <f ca="1" t="shared" si="24"/>
        <v>9398.4</v>
      </c>
      <c r="BE37" s="1">
        <f ca="1">OFFSET(控制台!$AA$2798,MATCH(B37,控制台!$B$2798:$B$2809,0)-1,0)</f>
        <v>16.6666666666667</v>
      </c>
      <c r="BF37" s="1">
        <f ca="1" t="shared" si="1"/>
        <v>333.333333333334</v>
      </c>
      <c r="BG37" s="17">
        <f ca="1" t="shared" si="25"/>
        <v>3236.66666666666</v>
      </c>
      <c r="BH37" s="15">
        <f ca="1">OFFSET(控制台!$AD$2798,MATCH(B37,控制台!$B$2798:$B$2809,0)-2,0)</f>
        <v>200</v>
      </c>
      <c r="BI37" s="15">
        <f ca="1">OFFSET(控制台!$AD$2798,MATCH(B37,控制台!$B$2798:$B$2809,0)-1,0)</f>
        <v>400</v>
      </c>
      <c r="BJ37" s="15">
        <f ca="1">Lerp_dyy(BH37,BI37,C37/10)</f>
        <v>340</v>
      </c>
      <c r="BK37" s="16">
        <f ca="1">_xlfn.FLOOR.MATH(BJ37/24/3600*控制台!$E$2785)</f>
        <v>7</v>
      </c>
      <c r="BL37" s="15">
        <f ca="1" t="shared" si="16"/>
        <v>336</v>
      </c>
      <c r="BM37" s="15">
        <f ca="1" t="shared" si="17"/>
        <v>336</v>
      </c>
      <c r="BN37" s="17">
        <f ca="1" t="shared" si="26"/>
        <v>3561.6</v>
      </c>
    </row>
    <row r="38" s="15" customFormat="1" spans="1:66">
      <c r="A38" s="15">
        <f t="shared" si="2"/>
        <v>408</v>
      </c>
      <c r="B38" s="15">
        <v>4</v>
      </c>
      <c r="C38" s="15">
        <v>8</v>
      </c>
      <c r="D38" s="15">
        <f ca="1">OFFSET(控制台!$D$2798,MATCH(B38,控制台!$B$2798:$B$2809,0)-2,0)*控制台!$E$2751</f>
        <v>2000000</v>
      </c>
      <c r="E38" s="15">
        <f ca="1">OFFSET(控制台!$D$2798,MATCH(B38,控制台!$B$2798:$B$2809,0)-1,0)*控制台!$E$2751</f>
        <v>2500000</v>
      </c>
      <c r="F38" s="15">
        <f ca="1">Lerp_dyy(D38,E38,C38/10)</f>
        <v>2400000</v>
      </c>
      <c r="G38" s="16">
        <f ca="1">_xlfn.FLOOR.MATH(F38/24/3600*控制台!$E$2784)-控制台!$E$2814</f>
        <v>269</v>
      </c>
      <c r="H38" s="15">
        <f ca="1" t="shared" si="3"/>
        <v>2324160</v>
      </c>
      <c r="I38" s="15">
        <f ca="1">IF(B38=1,0,OFFSET(控制台!$B$865,MATCH(B38-1,控制台!$G$865:$G$936,0)-1,0))</f>
        <v>13</v>
      </c>
      <c r="J38" s="15">
        <f ca="1">OFFSET(控制台!$B$865,MATCH(B38,控制台!$G$865:$G$936,0)-1,0)</f>
        <v>23</v>
      </c>
      <c r="K38" s="15">
        <f ca="1" t="shared" si="27"/>
        <v>1</v>
      </c>
      <c r="L38" s="17">
        <f ca="1">Lerp_dyy(I38,J38,C38/10)</f>
        <v>21</v>
      </c>
      <c r="M38" s="15">
        <f ca="1" t="shared" si="5"/>
        <v>2324160</v>
      </c>
      <c r="N38" s="17">
        <f ca="1" t="shared" si="18"/>
        <v>36355392</v>
      </c>
      <c r="O38" s="15">
        <f ca="1">OFFSET(控制台!$F$2798,MATCH(B38,控制台!$B$2798:$B$2809,0)-2,0)*控制台!$E$2755</f>
        <v>1200</v>
      </c>
      <c r="P38" s="15">
        <f ca="1">OFFSET(控制台!$F$2798,MATCH(B38,控制台!$B$2798:$B$2809,0)-1,0)*控制台!$E$2755</f>
        <v>1500</v>
      </c>
      <c r="Q38" s="15">
        <f ca="1">Lerp_dyy(O38,P38,C38/10)</f>
        <v>1440</v>
      </c>
      <c r="R38" s="16">
        <f ca="1">_xlfn.FLOOR.MATH(Q38/24/3600*控制台!$E$2785)</f>
        <v>30</v>
      </c>
      <c r="S38" s="15">
        <f ca="1" t="shared" si="6"/>
        <v>1440</v>
      </c>
      <c r="T38" s="15">
        <f ca="1" t="shared" si="7"/>
        <v>1440</v>
      </c>
      <c r="U38" s="17">
        <f ca="1" t="shared" si="19"/>
        <v>22320</v>
      </c>
      <c r="V38" s="15">
        <f ca="1">OFFSET(控制台!$I$2798,MATCH(B38,控制台!$B$2798:$B$2809,0)-2,0)*控制台!$E$2791</f>
        <v>468.75</v>
      </c>
      <c r="W38" s="15">
        <f ca="1">OFFSET(控制台!$I$2798,MATCH(B38,控制台!$B$2798:$B$2809,0)-1,0)*控制台!$E$2791</f>
        <v>625</v>
      </c>
      <c r="X38" s="15">
        <f ca="1">Lerp_dyy(V38,W38,C38/10)</f>
        <v>593.75</v>
      </c>
      <c r="Y38" s="16">
        <f ca="1">_xlfn.FLOOR.MATH(X38)</f>
        <v>593</v>
      </c>
      <c r="Z38" s="15">
        <f ca="1" t="shared" si="8"/>
        <v>0.7116</v>
      </c>
      <c r="AA38" s="15">
        <f ca="1" t="shared" si="29"/>
        <v>0.7116</v>
      </c>
      <c r="AB38" s="17">
        <f ca="1" t="shared" si="28"/>
        <v>10.26384</v>
      </c>
      <c r="AC38" s="17">
        <f ca="1">AB38*控制台!$E$4819</f>
        <v>8.211072</v>
      </c>
      <c r="AD38" s="17">
        <f ca="1">AB38*控制台!$E$4820</f>
        <v>187.828272</v>
      </c>
      <c r="AE38" s="15">
        <f ca="1">OFFSET(控制台!$L$2798,MATCH(B38,控制台!$B$2798:$B$2809,0)-2,0)*控制台!$E$2763</f>
        <v>300</v>
      </c>
      <c r="AF38" s="15">
        <f ca="1">OFFSET(控制台!$L$2798,MATCH(B38,控制台!$B$2798:$B$2809,0)-1,0)*控制台!$E$2763</f>
        <v>600</v>
      </c>
      <c r="AG38" s="15">
        <f ca="1">Lerp_dyy(AE38,AF38,C38/10)</f>
        <v>540</v>
      </c>
      <c r="AH38" s="15">
        <f ca="1" t="shared" si="9"/>
        <v>540</v>
      </c>
      <c r="AI38" s="17">
        <f ca="1" t="shared" si="21"/>
        <v>5670</v>
      </c>
      <c r="AJ38" s="15">
        <f ca="1">OFFSET(控制台!$P$2798,MATCH(B38,控制台!$B$2798:$B$2809,0)-2,0)</f>
        <v>1000</v>
      </c>
      <c r="AK38" s="15">
        <f ca="1">OFFSET(控制台!$P$2798,MATCH(B38,控制台!$B$2798:$B$2809,0)-1,0)</f>
        <v>2000</v>
      </c>
      <c r="AL38" s="15">
        <f ca="1">Lerp_dyy(AJ38,AK38,C38/10)</f>
        <v>1800</v>
      </c>
      <c r="AM38" s="16">
        <f ca="1">_xlfn.FLOOR.MATH(AL38/24/3600*控制台!$E$2785)</f>
        <v>37</v>
      </c>
      <c r="AN38" s="15">
        <f ca="1" t="shared" si="10"/>
        <v>1776</v>
      </c>
      <c r="AO38" s="15">
        <f ca="1" t="shared" si="11"/>
        <v>1776</v>
      </c>
      <c r="AP38" s="17">
        <f ca="1" t="shared" si="22"/>
        <v>19171.2</v>
      </c>
      <c r="AQ38" s="15">
        <f ca="1">OFFSET(控制台!$V$2798,MATCH(B38,控制台!$B$2798:$B$2809,0)-2,0)*控制台!$E$2771</f>
        <v>1000000</v>
      </c>
      <c r="AR38" s="15">
        <f ca="1">OFFSET(控制台!$V$2798,MATCH(B38,控制台!$B$2798:$B$2809,0)-1,0)*控制台!$E$2771</f>
        <v>1250000</v>
      </c>
      <c r="AS38" s="15">
        <f ca="1">Lerp_dyy(AQ38,AR38,C38/10)</f>
        <v>1200000</v>
      </c>
      <c r="AT38" s="16">
        <f ca="1">MAX(_xlfn.FLOOR.MATH(AS38/24/3600*控制台!$E$2784)-控制台!$J$2814,0)</f>
        <v>134</v>
      </c>
      <c r="AU38" s="15">
        <f ca="1" t="shared" si="12"/>
        <v>1157760</v>
      </c>
      <c r="AV38" s="15">
        <f ca="1" t="shared" si="13"/>
        <v>1157760</v>
      </c>
      <c r="AW38" s="17">
        <f ca="1" t="shared" si="23"/>
        <v>16872192</v>
      </c>
      <c r="AX38" s="15">
        <f ca="1">OFFSET(控制台!$X$2798,MATCH(B38,控制台!$B$2798:$B$2809,0)-2,0)*控制台!$E$2775</f>
        <v>600</v>
      </c>
      <c r="AY38" s="15">
        <f ca="1">OFFSET(控制台!$X$2798,MATCH(B38,控制台!$B$2798:$B$2809,0)-1,0)*控制台!$E$2775</f>
        <v>750</v>
      </c>
      <c r="AZ38" s="15">
        <f ca="1">Lerp_dyy(AX38,AY38,C38/10)</f>
        <v>720</v>
      </c>
      <c r="BA38" s="16">
        <f ca="1">_xlfn.FLOOR.MATH(AZ38/24/3600*控制台!$E$2785)</f>
        <v>15</v>
      </c>
      <c r="BB38" s="15">
        <f ca="1" t="shared" si="14"/>
        <v>720</v>
      </c>
      <c r="BC38" s="15">
        <f ca="1" t="shared" si="15"/>
        <v>720</v>
      </c>
      <c r="BD38" s="17">
        <f ca="1" t="shared" si="24"/>
        <v>10118.4</v>
      </c>
      <c r="BE38" s="1">
        <f ca="1">OFFSET(控制台!$AA$2798,MATCH(B38,控制台!$B$2798:$B$2809,0)-1,0)</f>
        <v>16.6666666666667</v>
      </c>
      <c r="BF38" s="1">
        <f ca="1" t="shared" ref="BF38:BF69" si="30">L38*BE38</f>
        <v>350.000000000001</v>
      </c>
      <c r="BG38" s="17">
        <f ca="1" t="shared" si="25"/>
        <v>3586.66666666666</v>
      </c>
      <c r="BH38" s="15">
        <f ca="1">OFFSET(控制台!$AD$2798,MATCH(B38,控制台!$B$2798:$B$2809,0)-2,0)</f>
        <v>200</v>
      </c>
      <c r="BI38" s="15">
        <f ca="1">OFFSET(控制台!$AD$2798,MATCH(B38,控制台!$B$2798:$B$2809,0)-1,0)</f>
        <v>400</v>
      </c>
      <c r="BJ38" s="15">
        <f ca="1">Lerp_dyy(BH38,BI38,C38/10)</f>
        <v>360</v>
      </c>
      <c r="BK38" s="16">
        <f ca="1">_xlfn.FLOOR.MATH(BJ38/24/3600*控制台!$E$2785)</f>
        <v>7</v>
      </c>
      <c r="BL38" s="15">
        <f ca="1" t="shared" si="16"/>
        <v>336</v>
      </c>
      <c r="BM38" s="15">
        <f ca="1" t="shared" si="17"/>
        <v>336</v>
      </c>
      <c r="BN38" s="17">
        <f ca="1" t="shared" si="26"/>
        <v>3897.6</v>
      </c>
    </row>
    <row r="39" s="15" customFormat="1" spans="1:66">
      <c r="A39" s="15">
        <f t="shared" si="2"/>
        <v>409</v>
      </c>
      <c r="B39" s="15">
        <v>4</v>
      </c>
      <c r="C39" s="15">
        <v>9</v>
      </c>
      <c r="D39" s="15">
        <f ca="1">OFFSET(控制台!$D$2798,MATCH(B39,控制台!$B$2798:$B$2809,0)-2,0)*控制台!$E$2751</f>
        <v>2000000</v>
      </c>
      <c r="E39" s="15">
        <f ca="1">OFFSET(控制台!$D$2798,MATCH(B39,控制台!$B$2798:$B$2809,0)-1,0)*控制台!$E$2751</f>
        <v>2500000</v>
      </c>
      <c r="F39" s="15">
        <f ca="1">Lerp_dyy(D39,E39,C39/10)</f>
        <v>2450000</v>
      </c>
      <c r="G39" s="16">
        <f ca="1">_xlfn.FLOOR.MATH(F39/24/3600*控制台!$E$2784)-控制台!$E$2814</f>
        <v>275</v>
      </c>
      <c r="H39" s="15">
        <f ca="1" t="shared" si="3"/>
        <v>2376000</v>
      </c>
      <c r="I39" s="15">
        <f ca="1">IF(B39=1,0,OFFSET(控制台!$B$865,MATCH(B39-1,控制台!$G$865:$G$936,0)-1,0))</f>
        <v>13</v>
      </c>
      <c r="J39" s="15">
        <f ca="1">OFFSET(控制台!$B$865,MATCH(B39,控制台!$G$865:$G$936,0)-1,0)</f>
        <v>23</v>
      </c>
      <c r="K39" s="15">
        <f ca="1" t="shared" si="27"/>
        <v>1</v>
      </c>
      <c r="L39" s="17">
        <f ca="1">Lerp_dyy(I39,J39,C39/10)</f>
        <v>22</v>
      </c>
      <c r="M39" s="15">
        <f ca="1" t="shared" si="5"/>
        <v>2376000</v>
      </c>
      <c r="N39" s="17">
        <f ca="1" t="shared" si="18"/>
        <v>38731392</v>
      </c>
      <c r="O39" s="15">
        <f ca="1">OFFSET(控制台!$F$2798,MATCH(B39,控制台!$B$2798:$B$2809,0)-2,0)*控制台!$E$2755</f>
        <v>1200</v>
      </c>
      <c r="P39" s="15">
        <f ca="1">OFFSET(控制台!$F$2798,MATCH(B39,控制台!$B$2798:$B$2809,0)-1,0)*控制台!$E$2755</f>
        <v>1500</v>
      </c>
      <c r="Q39" s="15">
        <f ca="1">Lerp_dyy(O39,P39,C39/10)</f>
        <v>1470</v>
      </c>
      <c r="R39" s="16">
        <f ca="1">_xlfn.FLOOR.MATH(Q39/24/3600*控制台!$E$2785)</f>
        <v>30</v>
      </c>
      <c r="S39" s="15">
        <f ca="1" t="shared" si="6"/>
        <v>1440</v>
      </c>
      <c r="T39" s="15">
        <f ca="1" t="shared" si="7"/>
        <v>1440</v>
      </c>
      <c r="U39" s="17">
        <f ca="1" t="shared" si="19"/>
        <v>23760</v>
      </c>
      <c r="V39" s="15">
        <f ca="1">OFFSET(控制台!$I$2798,MATCH(B39,控制台!$B$2798:$B$2809,0)-2,0)*控制台!$E$2791</f>
        <v>468.75</v>
      </c>
      <c r="W39" s="15">
        <f ca="1">OFFSET(控制台!$I$2798,MATCH(B39,控制台!$B$2798:$B$2809,0)-1,0)*控制台!$E$2791</f>
        <v>625</v>
      </c>
      <c r="X39" s="15">
        <f ca="1">Lerp_dyy(V39,W39,C39/10)</f>
        <v>609.375</v>
      </c>
      <c r="Y39" s="16">
        <f ca="1">_xlfn.FLOOR.MATH(X39)</f>
        <v>609</v>
      </c>
      <c r="Z39" s="15">
        <f ca="1" t="shared" si="8"/>
        <v>0.7308</v>
      </c>
      <c r="AA39" s="15">
        <f ca="1" t="shared" si="29"/>
        <v>0.7308</v>
      </c>
      <c r="AB39" s="17">
        <f ca="1" t="shared" si="28"/>
        <v>10.99464</v>
      </c>
      <c r="AC39" s="17">
        <f ca="1">AB39*控制台!$E$4819</f>
        <v>8.795712</v>
      </c>
      <c r="AD39" s="17">
        <f ca="1">AB39*控制台!$E$4820</f>
        <v>201.201912</v>
      </c>
      <c r="AE39" s="15">
        <f ca="1">OFFSET(控制台!$L$2798,MATCH(B39,控制台!$B$2798:$B$2809,0)-2,0)*控制台!$E$2763</f>
        <v>300</v>
      </c>
      <c r="AF39" s="15">
        <f ca="1">OFFSET(控制台!$L$2798,MATCH(B39,控制台!$B$2798:$B$2809,0)-1,0)*控制台!$E$2763</f>
        <v>600</v>
      </c>
      <c r="AG39" s="15">
        <f ca="1">Lerp_dyy(AE39,AF39,C39/10)</f>
        <v>570</v>
      </c>
      <c r="AH39" s="15">
        <f ca="1" t="shared" si="9"/>
        <v>570</v>
      </c>
      <c r="AI39" s="17">
        <f ca="1" t="shared" si="21"/>
        <v>6240</v>
      </c>
      <c r="AJ39" s="15">
        <f ca="1">OFFSET(控制台!$P$2798,MATCH(B39,控制台!$B$2798:$B$2809,0)-2,0)</f>
        <v>1000</v>
      </c>
      <c r="AK39" s="15">
        <f ca="1">OFFSET(控制台!$P$2798,MATCH(B39,控制台!$B$2798:$B$2809,0)-1,0)</f>
        <v>2000</v>
      </c>
      <c r="AL39" s="15">
        <f ca="1">Lerp_dyy(AJ39,AK39,C39/10)</f>
        <v>1900</v>
      </c>
      <c r="AM39" s="16">
        <f ca="1">_xlfn.FLOOR.MATH(AL39/24/3600*控制台!$E$2785)</f>
        <v>39</v>
      </c>
      <c r="AN39" s="15">
        <f ca="1" t="shared" si="10"/>
        <v>1872</v>
      </c>
      <c r="AO39" s="15">
        <f ca="1" t="shared" si="11"/>
        <v>1872</v>
      </c>
      <c r="AP39" s="17">
        <f ca="1" t="shared" si="22"/>
        <v>21043.2</v>
      </c>
      <c r="AQ39" s="15">
        <f ca="1">OFFSET(控制台!$V$2798,MATCH(B39,控制台!$B$2798:$B$2809,0)-2,0)*控制台!$E$2771</f>
        <v>1000000</v>
      </c>
      <c r="AR39" s="15">
        <f ca="1">OFFSET(控制台!$V$2798,MATCH(B39,控制台!$B$2798:$B$2809,0)-1,0)*控制台!$E$2771</f>
        <v>1250000</v>
      </c>
      <c r="AS39" s="15">
        <f ca="1">Lerp_dyy(AQ39,AR39,C39/10)</f>
        <v>1225000</v>
      </c>
      <c r="AT39" s="16">
        <f ca="1">MAX(_xlfn.FLOOR.MATH(AS39/24/3600*控制台!$E$2784)-控制台!$J$2814,0)</f>
        <v>137</v>
      </c>
      <c r="AU39" s="15">
        <f ca="1" t="shared" si="12"/>
        <v>1183680</v>
      </c>
      <c r="AV39" s="15">
        <f ca="1" t="shared" si="13"/>
        <v>1183680</v>
      </c>
      <c r="AW39" s="17">
        <f ca="1" t="shared" si="23"/>
        <v>18055872</v>
      </c>
      <c r="AX39" s="15">
        <f ca="1">OFFSET(控制台!$X$2798,MATCH(B39,控制台!$B$2798:$B$2809,0)-2,0)*控制台!$E$2775</f>
        <v>600</v>
      </c>
      <c r="AY39" s="15">
        <f ca="1">OFFSET(控制台!$X$2798,MATCH(B39,控制台!$B$2798:$B$2809,0)-1,0)*控制台!$E$2775</f>
        <v>750</v>
      </c>
      <c r="AZ39" s="15">
        <f ca="1">Lerp_dyy(AX39,AY39,C39/10)</f>
        <v>735</v>
      </c>
      <c r="BA39" s="16">
        <f ca="1">_xlfn.FLOOR.MATH(AZ39/24/3600*控制台!$E$2785)</f>
        <v>15</v>
      </c>
      <c r="BB39" s="15">
        <f ca="1" t="shared" si="14"/>
        <v>720</v>
      </c>
      <c r="BC39" s="15">
        <f ca="1" t="shared" si="15"/>
        <v>720</v>
      </c>
      <c r="BD39" s="17">
        <f ca="1" t="shared" si="24"/>
        <v>10838.4</v>
      </c>
      <c r="BE39" s="1">
        <f ca="1">OFFSET(控制台!$AA$2798,MATCH(B39,控制台!$B$2798:$B$2809,0)-1,0)</f>
        <v>16.6666666666667</v>
      </c>
      <c r="BF39" s="1">
        <f ca="1" t="shared" si="30"/>
        <v>366.666666666667</v>
      </c>
      <c r="BG39" s="17">
        <f ca="1" t="shared" si="25"/>
        <v>3953.33333333333</v>
      </c>
      <c r="BH39" s="15">
        <f ca="1">OFFSET(控制台!$AD$2798,MATCH(B39,控制台!$B$2798:$B$2809,0)-2,0)</f>
        <v>200</v>
      </c>
      <c r="BI39" s="15">
        <f ca="1">OFFSET(控制台!$AD$2798,MATCH(B39,控制台!$B$2798:$B$2809,0)-1,0)</f>
        <v>400</v>
      </c>
      <c r="BJ39" s="15">
        <f ca="1">Lerp_dyy(BH39,BI39,C39/10)</f>
        <v>380</v>
      </c>
      <c r="BK39" s="16">
        <f ca="1">_xlfn.FLOOR.MATH(BJ39/24/3600*控制台!$E$2785)</f>
        <v>7</v>
      </c>
      <c r="BL39" s="15">
        <f ca="1" t="shared" si="16"/>
        <v>336</v>
      </c>
      <c r="BM39" s="15">
        <f ca="1" t="shared" si="17"/>
        <v>336</v>
      </c>
      <c r="BN39" s="17">
        <f ca="1" t="shared" si="26"/>
        <v>4233.6</v>
      </c>
    </row>
    <row r="40" s="15" customFormat="1" spans="1:66">
      <c r="A40" s="15">
        <f t="shared" si="2"/>
        <v>410</v>
      </c>
      <c r="B40" s="15">
        <v>4</v>
      </c>
      <c r="C40" s="15">
        <v>10</v>
      </c>
      <c r="D40" s="15">
        <f ca="1">OFFSET(控制台!$D$2798,MATCH(B40,控制台!$B$2798:$B$2809,0)-2,0)*控制台!$E$2751</f>
        <v>2000000</v>
      </c>
      <c r="E40" s="15">
        <f ca="1">OFFSET(控制台!$D$2798,MATCH(B40,控制台!$B$2798:$B$2809,0)-1,0)*控制台!$E$2751</f>
        <v>2500000</v>
      </c>
      <c r="F40" s="15">
        <f ca="1">Lerp_dyy(D40,E40,C40/10)</f>
        <v>2500000</v>
      </c>
      <c r="G40" s="16">
        <f ca="1">_xlfn.FLOOR.MATH(F40/24/3600*控制台!$E$2784)-控制台!$E$2814</f>
        <v>281</v>
      </c>
      <c r="H40" s="15">
        <f ca="1" t="shared" si="3"/>
        <v>2427840</v>
      </c>
      <c r="I40" s="15">
        <f ca="1">IF(B40=1,0,OFFSET(控制台!$B$865,MATCH(B40-1,控制台!$G$865:$G$936,0)-1,0))</f>
        <v>13</v>
      </c>
      <c r="J40" s="15">
        <f ca="1">OFFSET(控制台!$B$865,MATCH(B40,控制台!$G$865:$G$936,0)-1,0)</f>
        <v>23</v>
      </c>
      <c r="K40" s="15">
        <f ca="1" t="shared" si="27"/>
        <v>1</v>
      </c>
      <c r="L40" s="17">
        <f ca="1">Lerp_dyy(I40,J40,C40/10)</f>
        <v>23</v>
      </c>
      <c r="M40" s="15">
        <f ca="1" t="shared" si="5"/>
        <v>2427840</v>
      </c>
      <c r="N40" s="17">
        <f ca="1" t="shared" si="18"/>
        <v>41159232</v>
      </c>
      <c r="O40" s="15">
        <f ca="1">OFFSET(控制台!$F$2798,MATCH(B40,控制台!$B$2798:$B$2809,0)-2,0)*控制台!$E$2755</f>
        <v>1200</v>
      </c>
      <c r="P40" s="15">
        <f ca="1">OFFSET(控制台!$F$2798,MATCH(B40,控制台!$B$2798:$B$2809,0)-1,0)*控制台!$E$2755</f>
        <v>1500</v>
      </c>
      <c r="Q40" s="15">
        <f ca="1">Lerp_dyy(O40,P40,C40/10)</f>
        <v>1500</v>
      </c>
      <c r="R40" s="16">
        <f ca="1">_xlfn.FLOOR.MATH(Q40/24/3600*控制台!$E$2785)</f>
        <v>31</v>
      </c>
      <c r="S40" s="15">
        <f ca="1" t="shared" si="6"/>
        <v>1488</v>
      </c>
      <c r="T40" s="15">
        <f ca="1" t="shared" si="7"/>
        <v>1488</v>
      </c>
      <c r="U40" s="17">
        <f ca="1" t="shared" si="19"/>
        <v>25248</v>
      </c>
      <c r="V40" s="15">
        <f ca="1">OFFSET(控制台!$I$2798,MATCH(B40,控制台!$B$2798:$B$2809,0)-2,0)*控制台!$E$2791</f>
        <v>468.75</v>
      </c>
      <c r="W40" s="15">
        <f ca="1">OFFSET(控制台!$I$2798,MATCH(B40,控制台!$B$2798:$B$2809,0)-1,0)*控制台!$E$2791</f>
        <v>625</v>
      </c>
      <c r="X40" s="15">
        <f ca="1">Lerp_dyy(V40,W40,C40/10)</f>
        <v>625</v>
      </c>
      <c r="Y40" s="16">
        <f ca="1">_xlfn.FLOOR.MATH(X40)</f>
        <v>625</v>
      </c>
      <c r="Z40" s="15">
        <f ca="1" t="shared" si="8"/>
        <v>0.75</v>
      </c>
      <c r="AA40" s="15">
        <f ca="1" t="shared" si="29"/>
        <v>0.75</v>
      </c>
      <c r="AB40" s="17">
        <f ca="1" t="shared" si="28"/>
        <v>11.74464</v>
      </c>
      <c r="AC40" s="17">
        <f ca="1">AB40*控制台!$E$4819</f>
        <v>9.395712</v>
      </c>
      <c r="AD40" s="17">
        <f ca="1">AB40*控制台!$E$4820</f>
        <v>214.926912</v>
      </c>
      <c r="AE40" s="15">
        <f ca="1">OFFSET(控制台!$L$2798,MATCH(B40,控制台!$B$2798:$B$2809,0)-2,0)*控制台!$E$2763</f>
        <v>300</v>
      </c>
      <c r="AF40" s="15">
        <f ca="1">OFFSET(控制台!$L$2798,MATCH(B40,控制台!$B$2798:$B$2809,0)-1,0)*控制台!$E$2763</f>
        <v>600</v>
      </c>
      <c r="AG40" s="15">
        <f ca="1">Lerp_dyy(AE40,AF40,C40/10)</f>
        <v>600</v>
      </c>
      <c r="AH40" s="15">
        <f ca="1" t="shared" si="9"/>
        <v>600</v>
      </c>
      <c r="AI40" s="17">
        <f ca="1" t="shared" si="21"/>
        <v>6840</v>
      </c>
      <c r="AJ40" s="15">
        <f ca="1">OFFSET(控制台!$P$2798,MATCH(B40,控制台!$B$2798:$B$2809,0)-2,0)</f>
        <v>1000</v>
      </c>
      <c r="AK40" s="15">
        <f ca="1">OFFSET(控制台!$P$2798,MATCH(B40,控制台!$B$2798:$B$2809,0)-1,0)</f>
        <v>2000</v>
      </c>
      <c r="AL40" s="15">
        <f ca="1">Lerp_dyy(AJ40,AK40,C40/10)</f>
        <v>2000</v>
      </c>
      <c r="AM40" s="16">
        <f ca="1">_xlfn.FLOOR.MATH(AL40/24/3600*控制台!$E$2785)</f>
        <v>41</v>
      </c>
      <c r="AN40" s="15">
        <f ca="1" t="shared" si="10"/>
        <v>1968</v>
      </c>
      <c r="AO40" s="15">
        <f ca="1" t="shared" si="11"/>
        <v>1968</v>
      </c>
      <c r="AP40" s="17">
        <f ca="1" t="shared" si="22"/>
        <v>23011.2</v>
      </c>
      <c r="AQ40" s="15">
        <f ca="1">OFFSET(控制台!$V$2798,MATCH(B40,控制台!$B$2798:$B$2809,0)-2,0)*控制台!$E$2771</f>
        <v>1000000</v>
      </c>
      <c r="AR40" s="15">
        <f ca="1">OFFSET(控制台!$V$2798,MATCH(B40,控制台!$B$2798:$B$2809,0)-1,0)*控制台!$E$2771</f>
        <v>1250000</v>
      </c>
      <c r="AS40" s="15">
        <f ca="1">Lerp_dyy(AQ40,AR40,C40/10)</f>
        <v>1250000</v>
      </c>
      <c r="AT40" s="16">
        <f ca="1">MAX(_xlfn.FLOOR.MATH(AS40/24/3600*控制台!$E$2784)-控制台!$J$2814,0)</f>
        <v>140</v>
      </c>
      <c r="AU40" s="15">
        <f ca="1" t="shared" si="12"/>
        <v>1209600</v>
      </c>
      <c r="AV40" s="15">
        <f ca="1" t="shared" si="13"/>
        <v>1209600</v>
      </c>
      <c r="AW40" s="17">
        <f ca="1" t="shared" si="23"/>
        <v>19265472</v>
      </c>
      <c r="AX40" s="15">
        <f ca="1">OFFSET(控制台!$X$2798,MATCH(B40,控制台!$B$2798:$B$2809,0)-2,0)*控制台!$E$2775</f>
        <v>600</v>
      </c>
      <c r="AY40" s="15">
        <f ca="1">OFFSET(控制台!$X$2798,MATCH(B40,控制台!$B$2798:$B$2809,0)-1,0)*控制台!$E$2775</f>
        <v>750</v>
      </c>
      <c r="AZ40" s="15">
        <f ca="1">Lerp_dyy(AX40,AY40,C40/10)</f>
        <v>750</v>
      </c>
      <c r="BA40" s="16">
        <f ca="1">_xlfn.FLOOR.MATH(AZ40/24/3600*控制台!$E$2785)</f>
        <v>15</v>
      </c>
      <c r="BB40" s="15">
        <f ca="1" t="shared" si="14"/>
        <v>720</v>
      </c>
      <c r="BC40" s="15">
        <f ca="1" t="shared" si="15"/>
        <v>720</v>
      </c>
      <c r="BD40" s="17">
        <f ca="1" t="shared" si="24"/>
        <v>11558.4</v>
      </c>
      <c r="BE40" s="1">
        <f ca="1">OFFSET(控制台!$AA$2798,MATCH(B40,控制台!$B$2798:$B$2809,0)-1,0)</f>
        <v>16.6666666666667</v>
      </c>
      <c r="BF40" s="1">
        <f ca="1" t="shared" si="30"/>
        <v>383.333333333334</v>
      </c>
      <c r="BG40" s="17">
        <f ca="1" t="shared" si="25"/>
        <v>4336.66666666666</v>
      </c>
      <c r="BH40" s="15">
        <f ca="1">OFFSET(控制台!$AD$2798,MATCH(B40,控制台!$B$2798:$B$2809,0)-2,0)</f>
        <v>200</v>
      </c>
      <c r="BI40" s="15">
        <f ca="1">OFFSET(控制台!$AD$2798,MATCH(B40,控制台!$B$2798:$B$2809,0)-1,0)</f>
        <v>400</v>
      </c>
      <c r="BJ40" s="15">
        <f ca="1">Lerp_dyy(BH40,BI40,C40/10)</f>
        <v>400</v>
      </c>
      <c r="BK40" s="16">
        <f ca="1">_xlfn.FLOOR.MATH(BJ40/24/3600*控制台!$E$2785)</f>
        <v>8</v>
      </c>
      <c r="BL40" s="15">
        <f ca="1" t="shared" si="16"/>
        <v>384</v>
      </c>
      <c r="BM40" s="15">
        <f ca="1" t="shared" si="17"/>
        <v>384</v>
      </c>
      <c r="BN40" s="17">
        <f ca="1" t="shared" si="26"/>
        <v>4617.6</v>
      </c>
    </row>
    <row r="41" spans="1:66">
      <c r="A41" s="1">
        <f t="shared" si="2"/>
        <v>501</v>
      </c>
      <c r="B41" s="1">
        <v>5</v>
      </c>
      <c r="C41" s="1">
        <v>1</v>
      </c>
      <c r="D41" s="1">
        <f ca="1">OFFSET(控制台!$D$2798,MATCH(B41,控制台!$B$2798:$B$2809,0)-2,0)*控制台!$E$2751</f>
        <v>2500000</v>
      </c>
      <c r="E41" s="1">
        <f ca="1">OFFSET(控制台!$D$2798,MATCH(B41,控制台!$B$2798:$B$2809,0)-1,0)*控制台!$E$2751</f>
        <v>3000000</v>
      </c>
      <c r="F41" s="1">
        <f ca="1">Lerp_dyy(D41,E41,C41/10)</f>
        <v>2550000</v>
      </c>
      <c r="G41" s="4">
        <f ca="1">_xlfn.FLOOR.MATH(F41/24/3600*控制台!$E$2784)-控制台!$E$2814</f>
        <v>287</v>
      </c>
      <c r="H41" s="1">
        <f ca="1" t="shared" si="3"/>
        <v>2479680</v>
      </c>
      <c r="I41" s="1">
        <f ca="1">IF(B41=1,0,OFFSET(控制台!$B$865,MATCH(B41-1,控制台!$G$865:$G$936,0)-1,0))</f>
        <v>23</v>
      </c>
      <c r="J41" s="1">
        <f ca="1">OFFSET(控制台!$B$865,MATCH(B41,控制台!$G$865:$G$936,0)-1,0)</f>
        <v>35</v>
      </c>
      <c r="K41" s="1">
        <f ca="1" t="shared" si="27"/>
        <v>1.2</v>
      </c>
      <c r="L41" s="5">
        <f ca="1">Lerp_dyy(I41,J41,C41/10)</f>
        <v>24.2</v>
      </c>
      <c r="M41" s="1">
        <f ca="1" t="shared" si="5"/>
        <v>2975616</v>
      </c>
      <c r="N41" s="5">
        <f ca="1" t="shared" si="18"/>
        <v>44134848</v>
      </c>
      <c r="O41" s="1">
        <f ca="1">OFFSET(控制台!$F$2798,MATCH(B41,控制台!$B$2798:$B$2809,0)-2,0)*控制台!$E$2755</f>
        <v>1500</v>
      </c>
      <c r="P41" s="1">
        <f ca="1">OFFSET(控制台!$F$2798,MATCH(B41,控制台!$B$2798:$B$2809,0)-1,0)*控制台!$E$2755</f>
        <v>1800</v>
      </c>
      <c r="Q41" s="1">
        <f ca="1">Lerp_dyy(O41,P41,C41/10)</f>
        <v>1530</v>
      </c>
      <c r="R41" s="4">
        <f ca="1">_xlfn.FLOOR.MATH(Q41/24/3600*控制台!$E$2785)</f>
        <v>31</v>
      </c>
      <c r="S41" s="1">
        <f ca="1" t="shared" si="6"/>
        <v>1488</v>
      </c>
      <c r="T41" s="1">
        <f ca="1" t="shared" si="7"/>
        <v>1785.6</v>
      </c>
      <c r="U41" s="5">
        <f ca="1" t="shared" si="19"/>
        <v>27033.6</v>
      </c>
      <c r="V41" s="1">
        <f ca="1">OFFSET(控制台!$I$2798,MATCH(B41,控制台!$B$2798:$B$2809,0)-2,0)*控制台!$E$2791</f>
        <v>625</v>
      </c>
      <c r="W41" s="1">
        <f ca="1">OFFSET(控制台!$I$2798,MATCH(B41,控制台!$B$2798:$B$2809,0)-1,0)*控制台!$E$2791</f>
        <v>937.5</v>
      </c>
      <c r="X41" s="1">
        <f ca="1">Lerp_dyy(V41,W41,C41/10)</f>
        <v>656.25</v>
      </c>
      <c r="Y41" s="4">
        <f ca="1">_xlfn.FLOOR.MATH(X41)</f>
        <v>656</v>
      </c>
      <c r="Z41" s="1">
        <f ca="1" t="shared" si="8"/>
        <v>0.7872</v>
      </c>
      <c r="AA41" s="1">
        <f ca="1" t="shared" si="29"/>
        <v>0.94464</v>
      </c>
      <c r="AB41" s="5">
        <f ca="1" t="shared" si="28"/>
        <v>12.68928</v>
      </c>
      <c r="AC41" s="5">
        <f ca="1">AB41*控制台!$E$4819</f>
        <v>10.151424</v>
      </c>
      <c r="AD41" s="5">
        <f ca="1">AB41*控制台!$E$4820</f>
        <v>232.213824</v>
      </c>
      <c r="AE41" s="1">
        <f ca="1">OFFSET(控制台!$L$2798,MATCH(B41,控制台!$B$2798:$B$2809,0)-2,0)*控制台!$E$2763</f>
        <v>600</v>
      </c>
      <c r="AF41" s="1">
        <f ca="1">OFFSET(控制台!$L$2798,MATCH(B41,控制台!$B$2798:$B$2809,0)-1,0)*控制台!$E$2763</f>
        <v>900</v>
      </c>
      <c r="AG41" s="1">
        <f ca="1">Lerp_dyy(AE41,AF41,C41/10)</f>
        <v>630</v>
      </c>
      <c r="AH41" s="1">
        <f ca="1" t="shared" si="9"/>
        <v>756</v>
      </c>
      <c r="AI41" s="5">
        <f ca="1" t="shared" si="21"/>
        <v>7596</v>
      </c>
      <c r="AJ41" s="1">
        <f ca="1">OFFSET(控制台!$P$2798,MATCH(B41,控制台!$B$2798:$B$2809,0)-2,0)</f>
        <v>2000</v>
      </c>
      <c r="AK41" s="1">
        <f ca="1">OFFSET(控制台!$P$2798,MATCH(B41,控制台!$B$2798:$B$2809,0)-1,0)</f>
        <v>3000</v>
      </c>
      <c r="AL41" s="1">
        <f ca="1">Lerp_dyy(AJ41,AK41,C41/10)</f>
        <v>2100</v>
      </c>
      <c r="AM41" s="4">
        <f ca="1">_xlfn.FLOOR.MATH(AL41/24/3600*控制台!$E$2785)</f>
        <v>43</v>
      </c>
      <c r="AN41" s="1">
        <f ca="1" t="shared" si="10"/>
        <v>2064</v>
      </c>
      <c r="AO41" s="1">
        <f ca="1" t="shared" si="11"/>
        <v>2476.8</v>
      </c>
      <c r="AP41" s="5">
        <f ca="1" t="shared" si="22"/>
        <v>25488</v>
      </c>
      <c r="AQ41" s="1">
        <f ca="1">OFFSET(控制台!$V$2798,MATCH(B41,控制台!$B$2798:$B$2809,0)-2,0)*控制台!$E$2771</f>
        <v>1250000</v>
      </c>
      <c r="AR41" s="1">
        <f ca="1">OFFSET(控制台!$V$2798,MATCH(B41,控制台!$B$2798:$B$2809,0)-1,0)*控制台!$E$2771</f>
        <v>1500000</v>
      </c>
      <c r="AS41" s="1">
        <f ca="1">Lerp_dyy(AQ41,AR41,C41/10)</f>
        <v>1275000</v>
      </c>
      <c r="AT41" s="4">
        <f ca="1">MAX(_xlfn.FLOOR.MATH(AS41/24/3600*控制台!$E$2784)-控制台!$J$2814,0)</f>
        <v>143</v>
      </c>
      <c r="AU41" s="1">
        <f ca="1" t="shared" si="12"/>
        <v>1235520</v>
      </c>
      <c r="AV41" s="1">
        <f ca="1" t="shared" si="13"/>
        <v>1482624</v>
      </c>
      <c r="AW41" s="5">
        <f ca="1" t="shared" si="23"/>
        <v>20748096</v>
      </c>
      <c r="AX41" s="1">
        <f ca="1">OFFSET(控制台!$X$2798,MATCH(B41,控制台!$B$2798:$B$2809,0)-2,0)*控制台!$E$2775</f>
        <v>750</v>
      </c>
      <c r="AY41" s="1">
        <f ca="1">OFFSET(控制台!$X$2798,MATCH(B41,控制台!$B$2798:$B$2809,0)-1,0)*控制台!$E$2775</f>
        <v>900</v>
      </c>
      <c r="AZ41" s="1">
        <f ca="1">Lerp_dyy(AX41,AY41,C41/10)</f>
        <v>765</v>
      </c>
      <c r="BA41" s="4">
        <f ca="1">_xlfn.FLOOR.MATH(AZ41/24/3600*控制台!$E$2785)</f>
        <v>15</v>
      </c>
      <c r="BB41" s="1">
        <f ca="1" t="shared" si="14"/>
        <v>720</v>
      </c>
      <c r="BC41" s="1">
        <f ca="1" t="shared" si="15"/>
        <v>864</v>
      </c>
      <c r="BD41" s="5">
        <f ca="1" t="shared" si="24"/>
        <v>12422.4</v>
      </c>
      <c r="BE41" s="1">
        <f ca="1">OFFSET(控制台!$AA$2798,MATCH(B41,控制台!$B$2798:$B$2809,0)-1,0)</f>
        <v>16.6666666666667</v>
      </c>
      <c r="BF41" s="1">
        <f ca="1" t="shared" si="30"/>
        <v>403.333333333334</v>
      </c>
      <c r="BG41" s="5">
        <f ca="1" t="shared" si="25"/>
        <v>4740</v>
      </c>
      <c r="BH41" s="1">
        <f ca="1">OFFSET(控制台!$AD$2798,MATCH(B41,控制台!$B$2798:$B$2809,0)-2,0)</f>
        <v>400</v>
      </c>
      <c r="BI41" s="1">
        <f ca="1">OFFSET(控制台!$AD$2798,MATCH(B41,控制台!$B$2798:$B$2809,0)-1,0)</f>
        <v>600</v>
      </c>
      <c r="BJ41" s="1">
        <f ca="1">Lerp_dyy(BH41,BI41,C41/10)</f>
        <v>420</v>
      </c>
      <c r="BK41" s="4">
        <f ca="1">_xlfn.FLOOR.MATH(BJ41/24/3600*控制台!$E$2785)</f>
        <v>8</v>
      </c>
      <c r="BL41" s="1">
        <f ca="1" t="shared" si="16"/>
        <v>384</v>
      </c>
      <c r="BM41" s="1">
        <f ca="1" t="shared" si="17"/>
        <v>460.8</v>
      </c>
      <c r="BN41" s="5">
        <f ca="1" t="shared" si="26"/>
        <v>5078.4</v>
      </c>
    </row>
    <row r="42" spans="1:66">
      <c r="A42" s="1">
        <f t="shared" si="2"/>
        <v>502</v>
      </c>
      <c r="B42" s="1">
        <v>5</v>
      </c>
      <c r="C42" s="1">
        <v>2</v>
      </c>
      <c r="D42" s="1">
        <f ca="1">OFFSET(控制台!$D$2798,MATCH(B42,控制台!$B$2798:$B$2809,0)-2,0)*控制台!$E$2751</f>
        <v>2500000</v>
      </c>
      <c r="E42" s="1">
        <f ca="1">OFFSET(控制台!$D$2798,MATCH(B42,控制台!$B$2798:$B$2809,0)-1,0)*控制台!$E$2751</f>
        <v>3000000</v>
      </c>
      <c r="F42" s="1">
        <f ca="1">Lerp_dyy(D42,E42,C42/10)</f>
        <v>2600000</v>
      </c>
      <c r="G42" s="4">
        <f ca="1">_xlfn.FLOOR.MATH(F42/24/3600*控制台!$E$2784)-控制台!$E$2814</f>
        <v>292</v>
      </c>
      <c r="H42" s="1">
        <f ca="1" t="shared" si="3"/>
        <v>2522880</v>
      </c>
      <c r="I42" s="1">
        <f ca="1">IF(B42=1,0,OFFSET(控制台!$B$865,MATCH(B42-1,控制台!$G$865:$G$936,0)-1,0))</f>
        <v>23</v>
      </c>
      <c r="J42" s="1">
        <f ca="1">OFFSET(控制台!$B$865,MATCH(B42,控制台!$G$865:$G$936,0)-1,0)</f>
        <v>35</v>
      </c>
      <c r="K42" s="1">
        <f ca="1" t="shared" si="27"/>
        <v>1.2</v>
      </c>
      <c r="L42" s="5">
        <f ca="1">Lerp_dyy(I42,J42,C42/10)</f>
        <v>25.4</v>
      </c>
      <c r="M42" s="1">
        <f ca="1" t="shared" si="5"/>
        <v>3027456</v>
      </c>
      <c r="N42" s="5">
        <f ca="1" t="shared" si="18"/>
        <v>47162304</v>
      </c>
      <c r="O42" s="1">
        <f ca="1">OFFSET(控制台!$F$2798,MATCH(B42,控制台!$B$2798:$B$2809,0)-2,0)*控制台!$E$2755</f>
        <v>1500</v>
      </c>
      <c r="P42" s="1">
        <f ca="1">OFFSET(控制台!$F$2798,MATCH(B42,控制台!$B$2798:$B$2809,0)-1,0)*控制台!$E$2755</f>
        <v>1800</v>
      </c>
      <c r="Q42" s="1">
        <f ca="1">Lerp_dyy(O42,P42,C42/10)</f>
        <v>1560</v>
      </c>
      <c r="R42" s="4">
        <f ca="1">_xlfn.FLOOR.MATH(Q42/24/3600*控制台!$E$2785)</f>
        <v>32</v>
      </c>
      <c r="S42" s="1">
        <f ca="1" t="shared" si="6"/>
        <v>1536</v>
      </c>
      <c r="T42" s="1">
        <f ca="1" t="shared" si="7"/>
        <v>1843.2</v>
      </c>
      <c r="U42" s="5">
        <f ca="1" t="shared" si="19"/>
        <v>28876.8</v>
      </c>
      <c r="V42" s="1">
        <f ca="1">OFFSET(控制台!$I$2798,MATCH(B42,控制台!$B$2798:$B$2809,0)-2,0)*控制台!$E$2791</f>
        <v>625</v>
      </c>
      <c r="W42" s="1">
        <f ca="1">OFFSET(控制台!$I$2798,MATCH(B42,控制台!$B$2798:$B$2809,0)-1,0)*控制台!$E$2791</f>
        <v>937.5</v>
      </c>
      <c r="X42" s="1">
        <f ca="1">Lerp_dyy(V42,W42,C42/10)</f>
        <v>687.5</v>
      </c>
      <c r="Y42" s="4">
        <f ca="1">_xlfn.FLOOR.MATH(X42)</f>
        <v>687</v>
      </c>
      <c r="Z42" s="1">
        <f ca="1" t="shared" si="8"/>
        <v>0.8244</v>
      </c>
      <c r="AA42" s="1">
        <f ca="1" t="shared" si="29"/>
        <v>0.98928</v>
      </c>
      <c r="AB42" s="5">
        <f ca="1" t="shared" si="28"/>
        <v>13.67856</v>
      </c>
      <c r="AC42" s="5">
        <f ca="1">AB42*控制台!$E$4819</f>
        <v>10.942848</v>
      </c>
      <c r="AD42" s="5">
        <f ca="1">AB42*控制台!$E$4820</f>
        <v>250.317648</v>
      </c>
      <c r="AE42" s="1">
        <f ca="1">OFFSET(控制台!$L$2798,MATCH(B42,控制台!$B$2798:$B$2809,0)-2,0)*控制台!$E$2763</f>
        <v>600</v>
      </c>
      <c r="AF42" s="1">
        <f ca="1">OFFSET(控制台!$L$2798,MATCH(B42,控制台!$B$2798:$B$2809,0)-1,0)*控制台!$E$2763</f>
        <v>900</v>
      </c>
      <c r="AG42" s="1">
        <f ca="1">Lerp_dyy(AE42,AF42,C42/10)</f>
        <v>660</v>
      </c>
      <c r="AH42" s="1">
        <f ca="1" t="shared" si="9"/>
        <v>792</v>
      </c>
      <c r="AI42" s="5">
        <f ca="1" t="shared" si="21"/>
        <v>8388</v>
      </c>
      <c r="AJ42" s="1">
        <f ca="1">OFFSET(控制台!$P$2798,MATCH(B42,控制台!$B$2798:$B$2809,0)-2,0)</f>
        <v>2000</v>
      </c>
      <c r="AK42" s="1">
        <f ca="1">OFFSET(控制台!$P$2798,MATCH(B42,控制台!$B$2798:$B$2809,0)-1,0)</f>
        <v>3000</v>
      </c>
      <c r="AL42" s="1">
        <f ca="1">Lerp_dyy(AJ42,AK42,C42/10)</f>
        <v>2200</v>
      </c>
      <c r="AM42" s="4">
        <f ca="1">_xlfn.FLOOR.MATH(AL42/24/3600*控制台!$E$2785)</f>
        <v>45</v>
      </c>
      <c r="AN42" s="1">
        <f ca="1" t="shared" si="10"/>
        <v>2160</v>
      </c>
      <c r="AO42" s="1">
        <f ca="1" t="shared" si="11"/>
        <v>2592</v>
      </c>
      <c r="AP42" s="5">
        <f ca="1" t="shared" si="22"/>
        <v>28080</v>
      </c>
      <c r="AQ42" s="1">
        <f ca="1">OFFSET(控制台!$V$2798,MATCH(B42,控制台!$B$2798:$B$2809,0)-2,0)*控制台!$E$2771</f>
        <v>1250000</v>
      </c>
      <c r="AR42" s="1">
        <f ca="1">OFFSET(控制台!$V$2798,MATCH(B42,控制台!$B$2798:$B$2809,0)-1,0)*控制台!$E$2771</f>
        <v>1500000</v>
      </c>
      <c r="AS42" s="1">
        <f ca="1">Lerp_dyy(AQ42,AR42,C42/10)</f>
        <v>1300000</v>
      </c>
      <c r="AT42" s="4">
        <f ca="1">MAX(_xlfn.FLOOR.MATH(AS42/24/3600*控制台!$E$2784)-控制台!$J$2814,0)</f>
        <v>146</v>
      </c>
      <c r="AU42" s="1">
        <f ca="1" t="shared" si="12"/>
        <v>1261440</v>
      </c>
      <c r="AV42" s="1">
        <f ca="1" t="shared" si="13"/>
        <v>1513728</v>
      </c>
      <c r="AW42" s="5">
        <f ca="1" t="shared" si="23"/>
        <v>22261824</v>
      </c>
      <c r="AX42" s="1">
        <f ca="1">OFFSET(控制台!$X$2798,MATCH(B42,控制台!$B$2798:$B$2809,0)-2,0)*控制台!$E$2775</f>
        <v>750</v>
      </c>
      <c r="AY42" s="1">
        <f ca="1">OFFSET(控制台!$X$2798,MATCH(B42,控制台!$B$2798:$B$2809,0)-1,0)*控制台!$E$2775</f>
        <v>900</v>
      </c>
      <c r="AZ42" s="1">
        <f ca="1">Lerp_dyy(AX42,AY42,C42/10)</f>
        <v>780</v>
      </c>
      <c r="BA42" s="4">
        <f ca="1">_xlfn.FLOOR.MATH(AZ42/24/3600*控制台!$E$2785)</f>
        <v>16</v>
      </c>
      <c r="BB42" s="1">
        <f ca="1" t="shared" si="14"/>
        <v>768</v>
      </c>
      <c r="BC42" s="1">
        <f ca="1" t="shared" si="15"/>
        <v>921.6</v>
      </c>
      <c r="BD42" s="5">
        <f ca="1" t="shared" si="24"/>
        <v>13344</v>
      </c>
      <c r="BE42" s="1">
        <f ca="1">OFFSET(控制台!$AA$2798,MATCH(B42,控制台!$B$2798:$B$2809,0)-1,0)</f>
        <v>16.6666666666667</v>
      </c>
      <c r="BF42" s="1">
        <f ca="1" t="shared" si="30"/>
        <v>423.333333333334</v>
      </c>
      <c r="BG42" s="5">
        <f ca="1" t="shared" si="25"/>
        <v>5163.33333333333</v>
      </c>
      <c r="BH42" s="1">
        <f ca="1">OFFSET(控制台!$AD$2798,MATCH(B42,控制台!$B$2798:$B$2809,0)-2,0)</f>
        <v>400</v>
      </c>
      <c r="BI42" s="1">
        <f ca="1">OFFSET(控制台!$AD$2798,MATCH(B42,控制台!$B$2798:$B$2809,0)-1,0)</f>
        <v>600</v>
      </c>
      <c r="BJ42" s="1">
        <f ca="1">Lerp_dyy(BH42,BI42,C42/10)</f>
        <v>440</v>
      </c>
      <c r="BK42" s="4">
        <f ca="1">_xlfn.FLOOR.MATH(BJ42/24/3600*控制台!$E$2785)</f>
        <v>9</v>
      </c>
      <c r="BL42" s="1">
        <f ca="1" t="shared" si="16"/>
        <v>432</v>
      </c>
      <c r="BM42" s="1">
        <f ca="1" t="shared" si="17"/>
        <v>518.4</v>
      </c>
      <c r="BN42" s="5">
        <f ca="1" t="shared" si="26"/>
        <v>5596.8</v>
      </c>
    </row>
    <row r="43" spans="1:66">
      <c r="A43" s="1">
        <f t="shared" si="2"/>
        <v>503</v>
      </c>
      <c r="B43" s="1">
        <v>5</v>
      </c>
      <c r="C43" s="1">
        <v>3</v>
      </c>
      <c r="D43" s="1">
        <f ca="1">OFFSET(控制台!$D$2798,MATCH(B43,控制台!$B$2798:$B$2809,0)-2,0)*控制台!$E$2751</f>
        <v>2500000</v>
      </c>
      <c r="E43" s="1">
        <f ca="1">OFFSET(控制台!$D$2798,MATCH(B43,控制台!$B$2798:$B$2809,0)-1,0)*控制台!$E$2751</f>
        <v>3000000</v>
      </c>
      <c r="F43" s="1">
        <f ca="1">Lerp_dyy(D43,E43,C43/10)</f>
        <v>2650000</v>
      </c>
      <c r="G43" s="4">
        <f ca="1">_xlfn.FLOOR.MATH(F43/24/3600*控制台!$E$2784)-控制台!$E$2814</f>
        <v>298</v>
      </c>
      <c r="H43" s="1">
        <f ca="1" t="shared" si="3"/>
        <v>2574720</v>
      </c>
      <c r="I43" s="1">
        <f ca="1">IF(B43=1,0,OFFSET(控制台!$B$865,MATCH(B43-1,控制台!$G$865:$G$936,0)-1,0))</f>
        <v>23</v>
      </c>
      <c r="J43" s="1">
        <f ca="1">OFFSET(控制台!$B$865,MATCH(B43,控制台!$G$865:$G$936,0)-1,0)</f>
        <v>35</v>
      </c>
      <c r="K43" s="1">
        <f ca="1" t="shared" si="27"/>
        <v>1.2</v>
      </c>
      <c r="L43" s="5">
        <f ca="1">Lerp_dyy(I43,J43,C43/10)</f>
        <v>26.6</v>
      </c>
      <c r="M43" s="1">
        <f ca="1" t="shared" si="5"/>
        <v>3089664</v>
      </c>
      <c r="N43" s="5">
        <f ca="1" t="shared" si="18"/>
        <v>50251968</v>
      </c>
      <c r="O43" s="1">
        <f ca="1">OFFSET(控制台!$F$2798,MATCH(B43,控制台!$B$2798:$B$2809,0)-2,0)*控制台!$E$2755</f>
        <v>1500</v>
      </c>
      <c r="P43" s="1">
        <f ca="1">OFFSET(控制台!$F$2798,MATCH(B43,控制台!$B$2798:$B$2809,0)-1,0)*控制台!$E$2755</f>
        <v>1800</v>
      </c>
      <c r="Q43" s="1">
        <f ca="1">Lerp_dyy(O43,P43,C43/10)</f>
        <v>1590</v>
      </c>
      <c r="R43" s="4">
        <f ca="1">_xlfn.FLOOR.MATH(Q43/24/3600*控制台!$E$2785)</f>
        <v>33</v>
      </c>
      <c r="S43" s="1">
        <f ca="1" t="shared" si="6"/>
        <v>1584</v>
      </c>
      <c r="T43" s="1">
        <f ca="1" t="shared" si="7"/>
        <v>1900.8</v>
      </c>
      <c r="U43" s="5">
        <f ca="1" t="shared" si="19"/>
        <v>30777.6</v>
      </c>
      <c r="V43" s="1">
        <f ca="1">OFFSET(控制台!$I$2798,MATCH(B43,控制台!$B$2798:$B$2809,0)-2,0)*控制台!$E$2791</f>
        <v>625</v>
      </c>
      <c r="W43" s="1">
        <f ca="1">OFFSET(控制台!$I$2798,MATCH(B43,控制台!$B$2798:$B$2809,0)-1,0)*控制台!$E$2791</f>
        <v>937.5</v>
      </c>
      <c r="X43" s="1">
        <f ca="1">Lerp_dyy(V43,W43,C43/10)</f>
        <v>718.75</v>
      </c>
      <c r="Y43" s="4">
        <f ca="1">_xlfn.FLOOR.MATH(X43)</f>
        <v>718</v>
      </c>
      <c r="Z43" s="1">
        <f ca="1" t="shared" si="8"/>
        <v>0.8616</v>
      </c>
      <c r="AA43" s="1">
        <f ca="1" t="shared" si="29"/>
        <v>1.03392</v>
      </c>
      <c r="AB43" s="5">
        <f ca="1" t="shared" si="28"/>
        <v>14.71248</v>
      </c>
      <c r="AC43" s="5">
        <f ca="1">AB43*控制台!$E$4819</f>
        <v>11.769984</v>
      </c>
      <c r="AD43" s="5">
        <f ca="1">AB43*控制台!$E$4820</f>
        <v>269.238384</v>
      </c>
      <c r="AE43" s="1">
        <f ca="1">OFFSET(控制台!$L$2798,MATCH(B43,控制台!$B$2798:$B$2809,0)-2,0)*控制台!$E$2763</f>
        <v>600</v>
      </c>
      <c r="AF43" s="1">
        <f ca="1">OFFSET(控制台!$L$2798,MATCH(B43,控制台!$B$2798:$B$2809,0)-1,0)*控制台!$E$2763</f>
        <v>900</v>
      </c>
      <c r="AG43" s="1">
        <f ca="1">Lerp_dyy(AE43,AF43,C43/10)</f>
        <v>690</v>
      </c>
      <c r="AH43" s="1">
        <f ca="1" t="shared" si="9"/>
        <v>828</v>
      </c>
      <c r="AI43" s="5">
        <f ca="1" t="shared" si="21"/>
        <v>9216</v>
      </c>
      <c r="AJ43" s="1">
        <f ca="1">OFFSET(控制台!$P$2798,MATCH(B43,控制台!$B$2798:$B$2809,0)-2,0)</f>
        <v>2000</v>
      </c>
      <c r="AK43" s="1">
        <f ca="1">OFFSET(控制台!$P$2798,MATCH(B43,控制台!$B$2798:$B$2809,0)-1,0)</f>
        <v>3000</v>
      </c>
      <c r="AL43" s="1">
        <f ca="1">Lerp_dyy(AJ43,AK43,C43/10)</f>
        <v>2300</v>
      </c>
      <c r="AM43" s="4">
        <f ca="1">_xlfn.FLOOR.MATH(AL43/24/3600*控制台!$E$2785)</f>
        <v>47</v>
      </c>
      <c r="AN43" s="1">
        <f ca="1" t="shared" si="10"/>
        <v>2256</v>
      </c>
      <c r="AO43" s="1">
        <f ca="1" t="shared" si="11"/>
        <v>2707.2</v>
      </c>
      <c r="AP43" s="5">
        <f ca="1" t="shared" si="22"/>
        <v>30787.2</v>
      </c>
      <c r="AQ43" s="1">
        <f ca="1">OFFSET(控制台!$V$2798,MATCH(B43,控制台!$B$2798:$B$2809,0)-2,0)*控制台!$E$2771</f>
        <v>1250000</v>
      </c>
      <c r="AR43" s="1">
        <f ca="1">OFFSET(控制台!$V$2798,MATCH(B43,控制台!$B$2798:$B$2809,0)-1,0)*控制台!$E$2771</f>
        <v>1500000</v>
      </c>
      <c r="AS43" s="1">
        <f ca="1">Lerp_dyy(AQ43,AR43,C43/10)</f>
        <v>1325000</v>
      </c>
      <c r="AT43" s="4">
        <f ca="1">MAX(_xlfn.FLOOR.MATH(AS43/24/3600*控制台!$E$2784)-控制台!$J$2814,0)</f>
        <v>149</v>
      </c>
      <c r="AU43" s="1">
        <f ca="1" t="shared" si="12"/>
        <v>1287360</v>
      </c>
      <c r="AV43" s="1">
        <f ca="1" t="shared" si="13"/>
        <v>1544832</v>
      </c>
      <c r="AW43" s="5">
        <f ca="1" t="shared" si="23"/>
        <v>23806656</v>
      </c>
      <c r="AX43" s="1">
        <f ca="1">OFFSET(控制台!$X$2798,MATCH(B43,控制台!$B$2798:$B$2809,0)-2,0)*控制台!$E$2775</f>
        <v>750</v>
      </c>
      <c r="AY43" s="1">
        <f ca="1">OFFSET(控制台!$X$2798,MATCH(B43,控制台!$B$2798:$B$2809,0)-1,0)*控制台!$E$2775</f>
        <v>900</v>
      </c>
      <c r="AZ43" s="1">
        <f ca="1">Lerp_dyy(AX43,AY43,C43/10)</f>
        <v>795</v>
      </c>
      <c r="BA43" s="4">
        <f ca="1">_xlfn.FLOOR.MATH(AZ43/24/3600*控制台!$E$2785)</f>
        <v>16</v>
      </c>
      <c r="BB43" s="1">
        <f ca="1" t="shared" si="14"/>
        <v>768</v>
      </c>
      <c r="BC43" s="1">
        <f ca="1" t="shared" si="15"/>
        <v>921.6</v>
      </c>
      <c r="BD43" s="5">
        <f ca="1" t="shared" si="24"/>
        <v>14265.6</v>
      </c>
      <c r="BE43" s="1">
        <f ca="1">OFFSET(控制台!$AA$2798,MATCH(B43,控制台!$B$2798:$B$2809,0)-1,0)</f>
        <v>16.6666666666667</v>
      </c>
      <c r="BF43" s="1">
        <f ca="1" t="shared" si="30"/>
        <v>443.333333333334</v>
      </c>
      <c r="BG43" s="5">
        <f ca="1" t="shared" si="25"/>
        <v>5606.66666666666</v>
      </c>
      <c r="BH43" s="1">
        <f ca="1">OFFSET(控制台!$AD$2798,MATCH(B43,控制台!$B$2798:$B$2809,0)-2,0)</f>
        <v>400</v>
      </c>
      <c r="BI43" s="1">
        <f ca="1">OFFSET(控制台!$AD$2798,MATCH(B43,控制台!$B$2798:$B$2809,0)-1,0)</f>
        <v>600</v>
      </c>
      <c r="BJ43" s="1">
        <f ca="1">Lerp_dyy(BH43,BI43,C43/10)</f>
        <v>460</v>
      </c>
      <c r="BK43" s="4">
        <f ca="1">_xlfn.FLOOR.MATH(BJ43/24/3600*控制台!$E$2785)</f>
        <v>9</v>
      </c>
      <c r="BL43" s="1">
        <f ca="1" t="shared" si="16"/>
        <v>432</v>
      </c>
      <c r="BM43" s="1">
        <f ca="1" t="shared" si="17"/>
        <v>518.4</v>
      </c>
      <c r="BN43" s="5">
        <f ca="1" t="shared" si="26"/>
        <v>6115.2</v>
      </c>
    </row>
    <row r="44" spans="1:66">
      <c r="A44" s="1">
        <f t="shared" si="2"/>
        <v>504</v>
      </c>
      <c r="B44" s="1">
        <v>5</v>
      </c>
      <c r="C44" s="1">
        <v>4</v>
      </c>
      <c r="D44" s="1">
        <f ca="1">OFFSET(控制台!$D$2798,MATCH(B44,控制台!$B$2798:$B$2809,0)-2,0)*控制台!$E$2751</f>
        <v>2500000</v>
      </c>
      <c r="E44" s="1">
        <f ca="1">OFFSET(控制台!$D$2798,MATCH(B44,控制台!$B$2798:$B$2809,0)-1,0)*控制台!$E$2751</f>
        <v>3000000</v>
      </c>
      <c r="F44" s="1">
        <f ca="1">Lerp_dyy(D44,E44,C44/10)</f>
        <v>2700000</v>
      </c>
      <c r="G44" s="4">
        <f ca="1">_xlfn.FLOOR.MATH(F44/24/3600*控制台!$E$2784)-控制台!$E$2814</f>
        <v>304</v>
      </c>
      <c r="H44" s="1">
        <f ca="1" t="shared" si="3"/>
        <v>2626560</v>
      </c>
      <c r="I44" s="1">
        <f ca="1">IF(B44=1,0,OFFSET(控制台!$B$865,MATCH(B44-1,控制台!$G$865:$G$936,0)-1,0))</f>
        <v>23</v>
      </c>
      <c r="J44" s="1">
        <f ca="1">OFFSET(控制台!$B$865,MATCH(B44,控制台!$G$865:$G$936,0)-1,0)</f>
        <v>35</v>
      </c>
      <c r="K44" s="1">
        <f ca="1" t="shared" si="27"/>
        <v>1.2</v>
      </c>
      <c r="L44" s="5">
        <f ca="1">Lerp_dyy(I44,J44,C44/10)</f>
        <v>27.8</v>
      </c>
      <c r="M44" s="1">
        <f ca="1" t="shared" si="5"/>
        <v>3151872</v>
      </c>
      <c r="N44" s="5">
        <f ca="1" t="shared" si="18"/>
        <v>53403840</v>
      </c>
      <c r="O44" s="1">
        <f ca="1">OFFSET(控制台!$F$2798,MATCH(B44,控制台!$B$2798:$B$2809,0)-2,0)*控制台!$E$2755</f>
        <v>1500</v>
      </c>
      <c r="P44" s="1">
        <f ca="1">OFFSET(控制台!$F$2798,MATCH(B44,控制台!$B$2798:$B$2809,0)-1,0)*控制台!$E$2755</f>
        <v>1800</v>
      </c>
      <c r="Q44" s="1">
        <f ca="1">Lerp_dyy(O44,P44,C44/10)</f>
        <v>1620</v>
      </c>
      <c r="R44" s="4">
        <f ca="1">_xlfn.FLOOR.MATH(Q44/24/3600*控制台!$E$2785)</f>
        <v>33</v>
      </c>
      <c r="S44" s="1">
        <f ca="1" t="shared" si="6"/>
        <v>1584</v>
      </c>
      <c r="T44" s="1">
        <f ca="1" t="shared" si="7"/>
        <v>1900.8</v>
      </c>
      <c r="U44" s="5">
        <f ca="1" t="shared" si="19"/>
        <v>32678.4</v>
      </c>
      <c r="V44" s="1">
        <f ca="1">OFFSET(控制台!$I$2798,MATCH(B44,控制台!$B$2798:$B$2809,0)-2,0)*控制台!$E$2791</f>
        <v>625</v>
      </c>
      <c r="W44" s="1">
        <f ca="1">OFFSET(控制台!$I$2798,MATCH(B44,控制台!$B$2798:$B$2809,0)-1,0)*控制台!$E$2791</f>
        <v>937.5</v>
      </c>
      <c r="X44" s="1">
        <f ca="1">Lerp_dyy(V44,W44,C44/10)</f>
        <v>750</v>
      </c>
      <c r="Y44" s="4">
        <f ca="1">_xlfn.FLOOR.MATH(X44)</f>
        <v>750</v>
      </c>
      <c r="Z44" s="1">
        <f ca="1" t="shared" si="8"/>
        <v>0.9</v>
      </c>
      <c r="AA44" s="1">
        <f ca="1" t="shared" si="29"/>
        <v>1.08</v>
      </c>
      <c r="AB44" s="5">
        <f ca="1" t="shared" si="28"/>
        <v>15.79248</v>
      </c>
      <c r="AC44" s="5">
        <f ca="1">AB44*控制台!$E$4819</f>
        <v>12.633984</v>
      </c>
      <c r="AD44" s="5">
        <f ca="1">AB44*控制台!$E$4820</f>
        <v>289.002384</v>
      </c>
      <c r="AE44" s="1">
        <f ca="1">OFFSET(控制台!$L$2798,MATCH(B44,控制台!$B$2798:$B$2809,0)-2,0)*控制台!$E$2763</f>
        <v>600</v>
      </c>
      <c r="AF44" s="1">
        <f ca="1">OFFSET(控制台!$L$2798,MATCH(B44,控制台!$B$2798:$B$2809,0)-1,0)*控制台!$E$2763</f>
        <v>900</v>
      </c>
      <c r="AG44" s="1">
        <f ca="1">Lerp_dyy(AE44,AF44,C44/10)</f>
        <v>720</v>
      </c>
      <c r="AH44" s="1">
        <f ca="1" t="shared" si="9"/>
        <v>864</v>
      </c>
      <c r="AI44" s="5">
        <f ca="1" t="shared" si="21"/>
        <v>10080</v>
      </c>
      <c r="AJ44" s="1">
        <f ca="1">OFFSET(控制台!$P$2798,MATCH(B44,控制台!$B$2798:$B$2809,0)-2,0)</f>
        <v>2000</v>
      </c>
      <c r="AK44" s="1">
        <f ca="1">OFFSET(控制台!$P$2798,MATCH(B44,控制台!$B$2798:$B$2809,0)-1,0)</f>
        <v>3000</v>
      </c>
      <c r="AL44" s="1">
        <f ca="1">Lerp_dyy(AJ44,AK44,C44/10)</f>
        <v>2400</v>
      </c>
      <c r="AM44" s="4">
        <f ca="1">_xlfn.FLOOR.MATH(AL44/24/3600*控制台!$E$2785)</f>
        <v>50</v>
      </c>
      <c r="AN44" s="1">
        <f ca="1" t="shared" si="10"/>
        <v>2400</v>
      </c>
      <c r="AO44" s="1">
        <f ca="1" t="shared" si="11"/>
        <v>2880</v>
      </c>
      <c r="AP44" s="5">
        <f ca="1" t="shared" si="22"/>
        <v>33667.2</v>
      </c>
      <c r="AQ44" s="1">
        <f ca="1">OFFSET(控制台!$V$2798,MATCH(B44,控制台!$B$2798:$B$2809,0)-2,0)*控制台!$E$2771</f>
        <v>1250000</v>
      </c>
      <c r="AR44" s="1">
        <f ca="1">OFFSET(控制台!$V$2798,MATCH(B44,控制台!$B$2798:$B$2809,0)-1,0)*控制台!$E$2771</f>
        <v>1500000</v>
      </c>
      <c r="AS44" s="1">
        <f ca="1">Lerp_dyy(AQ44,AR44,C44/10)</f>
        <v>1350000</v>
      </c>
      <c r="AT44" s="4">
        <f ca="1">MAX(_xlfn.FLOOR.MATH(AS44/24/3600*控制台!$E$2784)-控制台!$J$2814,0)</f>
        <v>152</v>
      </c>
      <c r="AU44" s="1">
        <f ca="1" t="shared" si="12"/>
        <v>1313280</v>
      </c>
      <c r="AV44" s="1">
        <f ca="1" t="shared" si="13"/>
        <v>1575936</v>
      </c>
      <c r="AW44" s="5">
        <f ca="1" t="shared" si="23"/>
        <v>25382592</v>
      </c>
      <c r="AX44" s="1">
        <f ca="1">OFFSET(控制台!$X$2798,MATCH(B44,控制台!$B$2798:$B$2809,0)-2,0)*控制台!$E$2775</f>
        <v>750</v>
      </c>
      <c r="AY44" s="1">
        <f ca="1">OFFSET(控制台!$X$2798,MATCH(B44,控制台!$B$2798:$B$2809,0)-1,0)*控制台!$E$2775</f>
        <v>900</v>
      </c>
      <c r="AZ44" s="1">
        <f ca="1">Lerp_dyy(AX44,AY44,C44/10)</f>
        <v>810</v>
      </c>
      <c r="BA44" s="4">
        <f ca="1">_xlfn.FLOOR.MATH(AZ44/24/3600*控制台!$E$2785)</f>
        <v>16</v>
      </c>
      <c r="BB44" s="1">
        <f ca="1" t="shared" si="14"/>
        <v>768</v>
      </c>
      <c r="BC44" s="1">
        <f ca="1" t="shared" si="15"/>
        <v>921.6</v>
      </c>
      <c r="BD44" s="5">
        <f ca="1" t="shared" si="24"/>
        <v>15187.2</v>
      </c>
      <c r="BE44" s="1">
        <f ca="1">OFFSET(控制台!$AA$2798,MATCH(B44,控制台!$B$2798:$B$2809,0)-1,0)</f>
        <v>16.6666666666667</v>
      </c>
      <c r="BF44" s="1">
        <f ca="1" t="shared" si="30"/>
        <v>463.333333333334</v>
      </c>
      <c r="BG44" s="5">
        <f ca="1" t="shared" si="25"/>
        <v>6070</v>
      </c>
      <c r="BH44" s="1">
        <f ca="1">OFFSET(控制台!$AD$2798,MATCH(B44,控制台!$B$2798:$B$2809,0)-2,0)</f>
        <v>400</v>
      </c>
      <c r="BI44" s="1">
        <f ca="1">OFFSET(控制台!$AD$2798,MATCH(B44,控制台!$B$2798:$B$2809,0)-1,0)</f>
        <v>600</v>
      </c>
      <c r="BJ44" s="1">
        <f ca="1">Lerp_dyy(BH44,BI44,C44/10)</f>
        <v>480</v>
      </c>
      <c r="BK44" s="4">
        <f ca="1">_xlfn.FLOOR.MATH(BJ44/24/3600*控制台!$E$2785)</f>
        <v>10</v>
      </c>
      <c r="BL44" s="1">
        <f ca="1" t="shared" si="16"/>
        <v>480</v>
      </c>
      <c r="BM44" s="1">
        <f ca="1" t="shared" si="17"/>
        <v>576</v>
      </c>
      <c r="BN44" s="5">
        <f ca="1" t="shared" si="26"/>
        <v>6691.2</v>
      </c>
    </row>
    <row r="45" spans="1:66">
      <c r="A45" s="1">
        <f t="shared" si="2"/>
        <v>505</v>
      </c>
      <c r="B45" s="1">
        <v>5</v>
      </c>
      <c r="C45" s="1">
        <v>5</v>
      </c>
      <c r="D45" s="1">
        <f ca="1">OFFSET(控制台!$D$2798,MATCH(B45,控制台!$B$2798:$B$2809,0)-2,0)*控制台!$E$2751</f>
        <v>2500000</v>
      </c>
      <c r="E45" s="1">
        <f ca="1">OFFSET(控制台!$D$2798,MATCH(B45,控制台!$B$2798:$B$2809,0)-1,0)*控制台!$E$2751</f>
        <v>3000000</v>
      </c>
      <c r="F45" s="1">
        <f ca="1">Lerp_dyy(D45,E45,C45/10)</f>
        <v>2750000</v>
      </c>
      <c r="G45" s="4">
        <f ca="1">_xlfn.FLOOR.MATH(F45/24/3600*控制台!$E$2784)-控制台!$E$2814</f>
        <v>310</v>
      </c>
      <c r="H45" s="1">
        <f ca="1" t="shared" si="3"/>
        <v>2678400</v>
      </c>
      <c r="I45" s="1">
        <f ca="1">IF(B45=1,0,OFFSET(控制台!$B$865,MATCH(B45-1,控制台!$G$865:$G$936,0)-1,0))</f>
        <v>23</v>
      </c>
      <c r="J45" s="1">
        <f ca="1">OFFSET(控制台!$B$865,MATCH(B45,控制台!$G$865:$G$936,0)-1,0)</f>
        <v>35</v>
      </c>
      <c r="K45" s="1">
        <f ca="1" t="shared" si="27"/>
        <v>1.2</v>
      </c>
      <c r="L45" s="5">
        <f ca="1">Lerp_dyy(I45,J45,C45/10)</f>
        <v>29</v>
      </c>
      <c r="M45" s="1">
        <f ca="1" t="shared" si="5"/>
        <v>3214080</v>
      </c>
      <c r="N45" s="5">
        <f ca="1" t="shared" si="18"/>
        <v>56617920</v>
      </c>
      <c r="O45" s="1">
        <f ca="1">OFFSET(控制台!$F$2798,MATCH(B45,控制台!$B$2798:$B$2809,0)-2,0)*控制台!$E$2755</f>
        <v>1500</v>
      </c>
      <c r="P45" s="1">
        <f ca="1">OFFSET(控制台!$F$2798,MATCH(B45,控制台!$B$2798:$B$2809,0)-1,0)*控制台!$E$2755</f>
        <v>1800</v>
      </c>
      <c r="Q45" s="1">
        <f ca="1">Lerp_dyy(O45,P45,C45/10)</f>
        <v>1650</v>
      </c>
      <c r="R45" s="4">
        <f ca="1">_xlfn.FLOOR.MATH(Q45/24/3600*控制台!$E$2785)</f>
        <v>34</v>
      </c>
      <c r="S45" s="1">
        <f ca="1" t="shared" si="6"/>
        <v>1632</v>
      </c>
      <c r="T45" s="1">
        <f ca="1" t="shared" si="7"/>
        <v>1958.4</v>
      </c>
      <c r="U45" s="5">
        <f ca="1" t="shared" si="19"/>
        <v>34636.8</v>
      </c>
      <c r="V45" s="1">
        <f ca="1">OFFSET(控制台!$I$2798,MATCH(B45,控制台!$B$2798:$B$2809,0)-2,0)*控制台!$E$2791</f>
        <v>625</v>
      </c>
      <c r="W45" s="1">
        <f ca="1">OFFSET(控制台!$I$2798,MATCH(B45,控制台!$B$2798:$B$2809,0)-1,0)*控制台!$E$2791</f>
        <v>937.5</v>
      </c>
      <c r="X45" s="1">
        <f ca="1">Lerp_dyy(V45,W45,C45/10)</f>
        <v>781.25</v>
      </c>
      <c r="Y45" s="4">
        <f ca="1">_xlfn.FLOOR.MATH(X45)</f>
        <v>781</v>
      </c>
      <c r="Z45" s="1">
        <f ca="1" t="shared" si="8"/>
        <v>0.9372</v>
      </c>
      <c r="AA45" s="1">
        <f ca="1" t="shared" si="29"/>
        <v>1.12464</v>
      </c>
      <c r="AB45" s="5">
        <f ca="1" t="shared" si="28"/>
        <v>16.91712</v>
      </c>
      <c r="AC45" s="5">
        <f ca="1">AB45*控制台!$E$4819</f>
        <v>13.533696</v>
      </c>
      <c r="AD45" s="5">
        <f ca="1">AB45*控制台!$E$4820</f>
        <v>309.583296</v>
      </c>
      <c r="AE45" s="1">
        <f ca="1">OFFSET(控制台!$L$2798,MATCH(B45,控制台!$B$2798:$B$2809,0)-2,0)*控制台!$E$2763</f>
        <v>600</v>
      </c>
      <c r="AF45" s="1">
        <f ca="1">OFFSET(控制台!$L$2798,MATCH(B45,控制台!$B$2798:$B$2809,0)-1,0)*控制台!$E$2763</f>
        <v>900</v>
      </c>
      <c r="AG45" s="1">
        <f ca="1">Lerp_dyy(AE45,AF45,C45/10)</f>
        <v>750</v>
      </c>
      <c r="AH45" s="1">
        <f ca="1" t="shared" si="9"/>
        <v>900</v>
      </c>
      <c r="AI45" s="5">
        <f ca="1" t="shared" si="21"/>
        <v>10980</v>
      </c>
      <c r="AJ45" s="1">
        <f ca="1">OFFSET(控制台!$P$2798,MATCH(B45,控制台!$B$2798:$B$2809,0)-2,0)</f>
        <v>2000</v>
      </c>
      <c r="AK45" s="1">
        <f ca="1">OFFSET(控制台!$P$2798,MATCH(B45,控制台!$B$2798:$B$2809,0)-1,0)</f>
        <v>3000</v>
      </c>
      <c r="AL45" s="1">
        <f ca="1">Lerp_dyy(AJ45,AK45,C45/10)</f>
        <v>2500</v>
      </c>
      <c r="AM45" s="4">
        <f ca="1">_xlfn.FLOOR.MATH(AL45/24/3600*控制台!$E$2785)</f>
        <v>52</v>
      </c>
      <c r="AN45" s="1">
        <f ca="1" t="shared" si="10"/>
        <v>2496</v>
      </c>
      <c r="AO45" s="1">
        <f ca="1" t="shared" si="11"/>
        <v>2995.2</v>
      </c>
      <c r="AP45" s="5">
        <f ca="1" t="shared" si="22"/>
        <v>36662.4</v>
      </c>
      <c r="AQ45" s="1">
        <f ca="1">OFFSET(控制台!$V$2798,MATCH(B45,控制台!$B$2798:$B$2809,0)-2,0)*控制台!$E$2771</f>
        <v>1250000</v>
      </c>
      <c r="AR45" s="1">
        <f ca="1">OFFSET(控制台!$V$2798,MATCH(B45,控制台!$B$2798:$B$2809,0)-1,0)*控制台!$E$2771</f>
        <v>1500000</v>
      </c>
      <c r="AS45" s="1">
        <f ca="1">Lerp_dyy(AQ45,AR45,C45/10)</f>
        <v>1375000</v>
      </c>
      <c r="AT45" s="4">
        <f ca="1">MAX(_xlfn.FLOOR.MATH(AS45/24/3600*控制台!$E$2784)-控制台!$J$2814,0)</f>
        <v>155</v>
      </c>
      <c r="AU45" s="1">
        <f ca="1" t="shared" si="12"/>
        <v>1339200</v>
      </c>
      <c r="AV45" s="1">
        <f ca="1" t="shared" si="13"/>
        <v>1607040</v>
      </c>
      <c r="AW45" s="5">
        <f ca="1" t="shared" si="23"/>
        <v>26989632</v>
      </c>
      <c r="AX45" s="1">
        <f ca="1">OFFSET(控制台!$X$2798,MATCH(B45,控制台!$B$2798:$B$2809,0)-2,0)*控制台!$E$2775</f>
        <v>750</v>
      </c>
      <c r="AY45" s="1">
        <f ca="1">OFFSET(控制台!$X$2798,MATCH(B45,控制台!$B$2798:$B$2809,0)-1,0)*控制台!$E$2775</f>
        <v>900</v>
      </c>
      <c r="AZ45" s="1">
        <f ca="1">Lerp_dyy(AX45,AY45,C45/10)</f>
        <v>825</v>
      </c>
      <c r="BA45" s="4">
        <f ca="1">_xlfn.FLOOR.MATH(AZ45/24/3600*控制台!$E$2785)</f>
        <v>17</v>
      </c>
      <c r="BB45" s="1">
        <f ca="1" t="shared" si="14"/>
        <v>816</v>
      </c>
      <c r="BC45" s="1">
        <f ca="1" t="shared" si="15"/>
        <v>979.2</v>
      </c>
      <c r="BD45" s="5">
        <f ca="1" t="shared" si="24"/>
        <v>16166.4</v>
      </c>
      <c r="BE45" s="1">
        <f ca="1">OFFSET(控制台!$AA$2798,MATCH(B45,控制台!$B$2798:$B$2809,0)-1,0)</f>
        <v>16.6666666666667</v>
      </c>
      <c r="BF45" s="1">
        <f ca="1" t="shared" si="30"/>
        <v>483.333333333334</v>
      </c>
      <c r="BG45" s="5">
        <f ca="1" t="shared" si="25"/>
        <v>6553.33333333333</v>
      </c>
      <c r="BH45" s="1">
        <f ca="1">OFFSET(控制台!$AD$2798,MATCH(B45,控制台!$B$2798:$B$2809,0)-2,0)</f>
        <v>400</v>
      </c>
      <c r="BI45" s="1">
        <f ca="1">OFFSET(控制台!$AD$2798,MATCH(B45,控制台!$B$2798:$B$2809,0)-1,0)</f>
        <v>600</v>
      </c>
      <c r="BJ45" s="1">
        <f ca="1">Lerp_dyy(BH45,BI45,C45/10)</f>
        <v>500</v>
      </c>
      <c r="BK45" s="4">
        <f ca="1">_xlfn.FLOOR.MATH(BJ45/24/3600*控制台!$E$2785)</f>
        <v>10</v>
      </c>
      <c r="BL45" s="1">
        <f ca="1" t="shared" si="16"/>
        <v>480</v>
      </c>
      <c r="BM45" s="1">
        <f ca="1" t="shared" si="17"/>
        <v>576</v>
      </c>
      <c r="BN45" s="5">
        <f ca="1" t="shared" si="26"/>
        <v>7267.2</v>
      </c>
    </row>
    <row r="46" spans="1:66">
      <c r="A46" s="1">
        <f t="shared" si="2"/>
        <v>506</v>
      </c>
      <c r="B46" s="1">
        <v>5</v>
      </c>
      <c r="C46" s="1">
        <v>6</v>
      </c>
      <c r="D46" s="1">
        <f ca="1">OFFSET(控制台!$D$2798,MATCH(B46,控制台!$B$2798:$B$2809,0)-2,0)*控制台!$E$2751</f>
        <v>2500000</v>
      </c>
      <c r="E46" s="1">
        <f ca="1">OFFSET(控制台!$D$2798,MATCH(B46,控制台!$B$2798:$B$2809,0)-1,0)*控制台!$E$2751</f>
        <v>3000000</v>
      </c>
      <c r="F46" s="1">
        <f ca="1">Lerp_dyy(D46,E46,C46/10)</f>
        <v>2800000</v>
      </c>
      <c r="G46" s="4">
        <f ca="1">_xlfn.FLOOR.MATH(F46/24/3600*控制台!$E$2784)-控制台!$E$2814</f>
        <v>316</v>
      </c>
      <c r="H46" s="1">
        <f ca="1" t="shared" si="3"/>
        <v>2730240</v>
      </c>
      <c r="I46" s="1">
        <f ca="1">IF(B46=1,0,OFFSET(控制台!$B$865,MATCH(B46-1,控制台!$G$865:$G$936,0)-1,0))</f>
        <v>23</v>
      </c>
      <c r="J46" s="1">
        <f ca="1">OFFSET(控制台!$B$865,MATCH(B46,控制台!$G$865:$G$936,0)-1,0)</f>
        <v>35</v>
      </c>
      <c r="K46" s="1">
        <f ca="1" t="shared" si="27"/>
        <v>1.2</v>
      </c>
      <c r="L46" s="5">
        <f ca="1">Lerp_dyy(I46,J46,C46/10)</f>
        <v>30.2</v>
      </c>
      <c r="M46" s="1">
        <f ca="1" t="shared" si="5"/>
        <v>3276288</v>
      </c>
      <c r="N46" s="5">
        <f ca="1" t="shared" si="18"/>
        <v>59894208</v>
      </c>
      <c r="O46" s="1">
        <f ca="1">OFFSET(控制台!$F$2798,MATCH(B46,控制台!$B$2798:$B$2809,0)-2,0)*控制台!$E$2755</f>
        <v>1500</v>
      </c>
      <c r="P46" s="1">
        <f ca="1">OFFSET(控制台!$F$2798,MATCH(B46,控制台!$B$2798:$B$2809,0)-1,0)*控制台!$E$2755</f>
        <v>1800</v>
      </c>
      <c r="Q46" s="1">
        <f ca="1">Lerp_dyy(O46,P46,C46/10)</f>
        <v>1680</v>
      </c>
      <c r="R46" s="4">
        <f ca="1">_xlfn.FLOOR.MATH(Q46/24/3600*控制台!$E$2785)</f>
        <v>35</v>
      </c>
      <c r="S46" s="1">
        <f ca="1" t="shared" si="6"/>
        <v>1680</v>
      </c>
      <c r="T46" s="1">
        <f ca="1" t="shared" si="7"/>
        <v>2016</v>
      </c>
      <c r="U46" s="5">
        <f ca="1" t="shared" si="19"/>
        <v>36652.8</v>
      </c>
      <c r="V46" s="1">
        <f ca="1">OFFSET(控制台!$I$2798,MATCH(B46,控制台!$B$2798:$B$2809,0)-2,0)*控制台!$E$2791</f>
        <v>625</v>
      </c>
      <c r="W46" s="1">
        <f ca="1">OFFSET(控制台!$I$2798,MATCH(B46,控制台!$B$2798:$B$2809,0)-1,0)*控制台!$E$2791</f>
        <v>937.5</v>
      </c>
      <c r="X46" s="1">
        <f ca="1">Lerp_dyy(V46,W46,C46/10)</f>
        <v>812.5</v>
      </c>
      <c r="Y46" s="4">
        <f ca="1">_xlfn.FLOOR.MATH(X46)</f>
        <v>812</v>
      </c>
      <c r="Z46" s="1">
        <f ca="1" t="shared" si="8"/>
        <v>0.9744</v>
      </c>
      <c r="AA46" s="1">
        <f ca="1" t="shared" si="29"/>
        <v>1.16928</v>
      </c>
      <c r="AB46" s="5">
        <f ca="1" t="shared" si="28"/>
        <v>18.0864</v>
      </c>
      <c r="AC46" s="5">
        <f ca="1">AB46*控制台!$E$4819</f>
        <v>14.46912</v>
      </c>
      <c r="AD46" s="5">
        <f ca="1">AB46*控制台!$E$4820</f>
        <v>330.98112</v>
      </c>
      <c r="AE46" s="1">
        <f ca="1">OFFSET(控制台!$L$2798,MATCH(B46,控制台!$B$2798:$B$2809,0)-2,0)*控制台!$E$2763</f>
        <v>600</v>
      </c>
      <c r="AF46" s="1">
        <f ca="1">OFFSET(控制台!$L$2798,MATCH(B46,控制台!$B$2798:$B$2809,0)-1,0)*控制台!$E$2763</f>
        <v>900</v>
      </c>
      <c r="AG46" s="1">
        <f ca="1">Lerp_dyy(AE46,AF46,C46/10)</f>
        <v>780</v>
      </c>
      <c r="AH46" s="1">
        <f ca="1" t="shared" si="9"/>
        <v>936</v>
      </c>
      <c r="AI46" s="5">
        <f ca="1" t="shared" si="21"/>
        <v>11916</v>
      </c>
      <c r="AJ46" s="1">
        <f ca="1">OFFSET(控制台!$P$2798,MATCH(B46,控制台!$B$2798:$B$2809,0)-2,0)</f>
        <v>2000</v>
      </c>
      <c r="AK46" s="1">
        <f ca="1">OFFSET(控制台!$P$2798,MATCH(B46,控制台!$B$2798:$B$2809,0)-1,0)</f>
        <v>3000</v>
      </c>
      <c r="AL46" s="1">
        <f ca="1">Lerp_dyy(AJ46,AK46,C46/10)</f>
        <v>2600</v>
      </c>
      <c r="AM46" s="4">
        <f ca="1">_xlfn.FLOOR.MATH(AL46/24/3600*控制台!$E$2785)</f>
        <v>54</v>
      </c>
      <c r="AN46" s="1">
        <f ca="1" t="shared" si="10"/>
        <v>2592</v>
      </c>
      <c r="AO46" s="1">
        <f ca="1" t="shared" si="11"/>
        <v>3110.4</v>
      </c>
      <c r="AP46" s="5">
        <f ca="1" t="shared" si="22"/>
        <v>39772.8</v>
      </c>
      <c r="AQ46" s="1">
        <f ca="1">OFFSET(控制台!$V$2798,MATCH(B46,控制台!$B$2798:$B$2809,0)-2,0)*控制台!$E$2771</f>
        <v>1250000</v>
      </c>
      <c r="AR46" s="1">
        <f ca="1">OFFSET(控制台!$V$2798,MATCH(B46,控制台!$B$2798:$B$2809,0)-1,0)*控制台!$E$2771</f>
        <v>1500000</v>
      </c>
      <c r="AS46" s="1">
        <f ca="1">Lerp_dyy(AQ46,AR46,C46/10)</f>
        <v>1400000</v>
      </c>
      <c r="AT46" s="4">
        <f ca="1">MAX(_xlfn.FLOOR.MATH(AS46/24/3600*控制台!$E$2784)-控制台!$J$2814,0)</f>
        <v>158</v>
      </c>
      <c r="AU46" s="1">
        <f ca="1" t="shared" si="12"/>
        <v>1365120</v>
      </c>
      <c r="AV46" s="1">
        <f ca="1" t="shared" si="13"/>
        <v>1638144</v>
      </c>
      <c r="AW46" s="5">
        <f ca="1" t="shared" si="23"/>
        <v>28627776</v>
      </c>
      <c r="AX46" s="1">
        <f ca="1">OFFSET(控制台!$X$2798,MATCH(B46,控制台!$B$2798:$B$2809,0)-2,0)*控制台!$E$2775</f>
        <v>750</v>
      </c>
      <c r="AY46" s="1">
        <f ca="1">OFFSET(控制台!$X$2798,MATCH(B46,控制台!$B$2798:$B$2809,0)-1,0)*控制台!$E$2775</f>
        <v>900</v>
      </c>
      <c r="AZ46" s="1">
        <f ca="1">Lerp_dyy(AX46,AY46,C46/10)</f>
        <v>840</v>
      </c>
      <c r="BA46" s="4">
        <f ca="1">_xlfn.FLOOR.MATH(AZ46/24/3600*控制台!$E$2785)</f>
        <v>17</v>
      </c>
      <c r="BB46" s="1">
        <f ca="1" t="shared" si="14"/>
        <v>816</v>
      </c>
      <c r="BC46" s="1">
        <f ca="1" t="shared" si="15"/>
        <v>979.2</v>
      </c>
      <c r="BD46" s="5">
        <f ca="1" t="shared" si="24"/>
        <v>17145.6</v>
      </c>
      <c r="BE46" s="1">
        <f ca="1">OFFSET(控制台!$AA$2798,MATCH(B46,控制台!$B$2798:$B$2809,0)-1,0)</f>
        <v>16.6666666666667</v>
      </c>
      <c r="BF46" s="1">
        <f ca="1" t="shared" si="30"/>
        <v>503.333333333334</v>
      </c>
      <c r="BG46" s="5">
        <f ca="1" t="shared" si="25"/>
        <v>7056.66666666667</v>
      </c>
      <c r="BH46" s="1">
        <f ca="1">OFFSET(控制台!$AD$2798,MATCH(B46,控制台!$B$2798:$B$2809,0)-2,0)</f>
        <v>400</v>
      </c>
      <c r="BI46" s="1">
        <f ca="1">OFFSET(控制台!$AD$2798,MATCH(B46,控制台!$B$2798:$B$2809,0)-1,0)</f>
        <v>600</v>
      </c>
      <c r="BJ46" s="1">
        <f ca="1">Lerp_dyy(BH46,BI46,C46/10)</f>
        <v>520</v>
      </c>
      <c r="BK46" s="4">
        <f ca="1">_xlfn.FLOOR.MATH(BJ46/24/3600*控制台!$E$2785)</f>
        <v>10</v>
      </c>
      <c r="BL46" s="1">
        <f ca="1" t="shared" si="16"/>
        <v>480</v>
      </c>
      <c r="BM46" s="1">
        <f ca="1" t="shared" si="17"/>
        <v>576</v>
      </c>
      <c r="BN46" s="5">
        <f ca="1" t="shared" si="26"/>
        <v>7843.2</v>
      </c>
    </row>
    <row r="47" spans="1:66">
      <c r="A47" s="1">
        <f t="shared" si="2"/>
        <v>507</v>
      </c>
      <c r="B47" s="1">
        <v>5</v>
      </c>
      <c r="C47" s="1">
        <v>7</v>
      </c>
      <c r="D47" s="1">
        <f ca="1">OFFSET(控制台!$D$2798,MATCH(B47,控制台!$B$2798:$B$2809,0)-2,0)*控制台!$E$2751</f>
        <v>2500000</v>
      </c>
      <c r="E47" s="1">
        <f ca="1">OFFSET(控制台!$D$2798,MATCH(B47,控制台!$B$2798:$B$2809,0)-1,0)*控制台!$E$2751</f>
        <v>3000000</v>
      </c>
      <c r="F47" s="1">
        <f ca="1">Lerp_dyy(D47,E47,C47/10)</f>
        <v>2850000</v>
      </c>
      <c r="G47" s="4">
        <f ca="1">_xlfn.FLOOR.MATH(F47/24/3600*控制台!$E$2784)-控制台!$E$2814</f>
        <v>321</v>
      </c>
      <c r="H47" s="1">
        <f ca="1" t="shared" si="3"/>
        <v>2773440</v>
      </c>
      <c r="I47" s="1">
        <f ca="1">IF(B47=1,0,OFFSET(控制台!$B$865,MATCH(B47-1,控制台!$G$865:$G$936,0)-1,0))</f>
        <v>23</v>
      </c>
      <c r="J47" s="1">
        <f ca="1">OFFSET(控制台!$B$865,MATCH(B47,控制台!$G$865:$G$936,0)-1,0)</f>
        <v>35</v>
      </c>
      <c r="K47" s="1">
        <f ca="1" t="shared" si="27"/>
        <v>1.2</v>
      </c>
      <c r="L47" s="5">
        <f ca="1">Lerp_dyy(I47,J47,C47/10)</f>
        <v>31.4</v>
      </c>
      <c r="M47" s="1">
        <f ca="1" t="shared" si="5"/>
        <v>3328128</v>
      </c>
      <c r="N47" s="5">
        <f ca="1" t="shared" si="18"/>
        <v>63222336</v>
      </c>
      <c r="O47" s="1">
        <f ca="1">OFFSET(控制台!$F$2798,MATCH(B47,控制台!$B$2798:$B$2809,0)-2,0)*控制台!$E$2755</f>
        <v>1500</v>
      </c>
      <c r="P47" s="1">
        <f ca="1">OFFSET(控制台!$F$2798,MATCH(B47,控制台!$B$2798:$B$2809,0)-1,0)*控制台!$E$2755</f>
        <v>1800</v>
      </c>
      <c r="Q47" s="1">
        <f ca="1">Lerp_dyy(O47,P47,C47/10)</f>
        <v>1710</v>
      </c>
      <c r="R47" s="4">
        <f ca="1">_xlfn.FLOOR.MATH(Q47/24/3600*控制台!$E$2785)</f>
        <v>35</v>
      </c>
      <c r="S47" s="1">
        <f ca="1" t="shared" si="6"/>
        <v>1680</v>
      </c>
      <c r="T47" s="1">
        <f ca="1" t="shared" si="7"/>
        <v>2016</v>
      </c>
      <c r="U47" s="5">
        <f ca="1" t="shared" si="19"/>
        <v>38668.8</v>
      </c>
      <c r="V47" s="1">
        <f ca="1">OFFSET(控制台!$I$2798,MATCH(B47,控制台!$B$2798:$B$2809,0)-2,0)*控制台!$E$2791</f>
        <v>625</v>
      </c>
      <c r="W47" s="1">
        <f ca="1">OFFSET(控制台!$I$2798,MATCH(B47,控制台!$B$2798:$B$2809,0)-1,0)*控制台!$E$2791</f>
        <v>937.5</v>
      </c>
      <c r="X47" s="1">
        <f ca="1">Lerp_dyy(V47,W47,C47/10)</f>
        <v>843.75</v>
      </c>
      <c r="Y47" s="4">
        <f ca="1">_xlfn.FLOOR.MATH(X47)</f>
        <v>843</v>
      </c>
      <c r="Z47" s="1">
        <f ca="1" t="shared" si="8"/>
        <v>1.0116</v>
      </c>
      <c r="AA47" s="1">
        <f ca="1" t="shared" si="29"/>
        <v>1.21392</v>
      </c>
      <c r="AB47" s="5">
        <f ca="1" t="shared" si="28"/>
        <v>19.30032</v>
      </c>
      <c r="AC47" s="5">
        <f ca="1">AB47*控制台!$E$4819</f>
        <v>15.440256</v>
      </c>
      <c r="AD47" s="5">
        <f ca="1">AB47*控制台!$E$4820</f>
        <v>353.195856</v>
      </c>
      <c r="AE47" s="1">
        <f ca="1">OFFSET(控制台!$L$2798,MATCH(B47,控制台!$B$2798:$B$2809,0)-2,0)*控制台!$E$2763</f>
        <v>600</v>
      </c>
      <c r="AF47" s="1">
        <f ca="1">OFFSET(控制台!$L$2798,MATCH(B47,控制台!$B$2798:$B$2809,0)-1,0)*控制台!$E$2763</f>
        <v>900</v>
      </c>
      <c r="AG47" s="1">
        <f ca="1">Lerp_dyy(AE47,AF47,C47/10)</f>
        <v>810</v>
      </c>
      <c r="AH47" s="1">
        <f ca="1" t="shared" si="9"/>
        <v>972</v>
      </c>
      <c r="AI47" s="5">
        <f ca="1" t="shared" si="21"/>
        <v>12888</v>
      </c>
      <c r="AJ47" s="1">
        <f ca="1">OFFSET(控制台!$P$2798,MATCH(B47,控制台!$B$2798:$B$2809,0)-2,0)</f>
        <v>2000</v>
      </c>
      <c r="AK47" s="1">
        <f ca="1">OFFSET(控制台!$P$2798,MATCH(B47,控制台!$B$2798:$B$2809,0)-1,0)</f>
        <v>3000</v>
      </c>
      <c r="AL47" s="1">
        <f ca="1">Lerp_dyy(AJ47,AK47,C47/10)</f>
        <v>2700</v>
      </c>
      <c r="AM47" s="4">
        <f ca="1">_xlfn.FLOOR.MATH(AL47/24/3600*控制台!$E$2785)</f>
        <v>56</v>
      </c>
      <c r="AN47" s="1">
        <f ca="1" t="shared" si="10"/>
        <v>2688</v>
      </c>
      <c r="AO47" s="1">
        <f ca="1" t="shared" si="11"/>
        <v>3225.6</v>
      </c>
      <c r="AP47" s="5">
        <f ca="1" t="shared" si="22"/>
        <v>42998.4</v>
      </c>
      <c r="AQ47" s="1">
        <f ca="1">OFFSET(控制台!$V$2798,MATCH(B47,控制台!$B$2798:$B$2809,0)-2,0)*控制台!$E$2771</f>
        <v>1250000</v>
      </c>
      <c r="AR47" s="1">
        <f ca="1">OFFSET(控制台!$V$2798,MATCH(B47,控制台!$B$2798:$B$2809,0)-1,0)*控制台!$E$2771</f>
        <v>1500000</v>
      </c>
      <c r="AS47" s="1">
        <f ca="1">Lerp_dyy(AQ47,AR47,C47/10)</f>
        <v>1425000</v>
      </c>
      <c r="AT47" s="4">
        <f ca="1">MAX(_xlfn.FLOOR.MATH(AS47/24/3600*控制台!$E$2784)-控制台!$J$2814,0)</f>
        <v>160</v>
      </c>
      <c r="AU47" s="1">
        <f ca="1" t="shared" si="12"/>
        <v>1382400</v>
      </c>
      <c r="AV47" s="1">
        <f ca="1" t="shared" si="13"/>
        <v>1658880</v>
      </c>
      <c r="AW47" s="5">
        <f ca="1" t="shared" si="23"/>
        <v>30286656</v>
      </c>
      <c r="AX47" s="1">
        <f ca="1">OFFSET(控制台!$X$2798,MATCH(B47,控制台!$B$2798:$B$2809,0)-2,0)*控制台!$E$2775</f>
        <v>750</v>
      </c>
      <c r="AY47" s="1">
        <f ca="1">OFFSET(控制台!$X$2798,MATCH(B47,控制台!$B$2798:$B$2809,0)-1,0)*控制台!$E$2775</f>
        <v>900</v>
      </c>
      <c r="AZ47" s="1">
        <f ca="1">Lerp_dyy(AX47,AY47,C47/10)</f>
        <v>855</v>
      </c>
      <c r="BA47" s="4">
        <f ca="1">_xlfn.FLOOR.MATH(AZ47/24/3600*控制台!$E$2785)</f>
        <v>17</v>
      </c>
      <c r="BB47" s="1">
        <f ca="1" t="shared" si="14"/>
        <v>816</v>
      </c>
      <c r="BC47" s="1">
        <f ca="1" t="shared" si="15"/>
        <v>979.2</v>
      </c>
      <c r="BD47" s="5">
        <f ca="1" t="shared" si="24"/>
        <v>18124.8</v>
      </c>
      <c r="BE47" s="1">
        <f ca="1">OFFSET(控制台!$AA$2798,MATCH(B47,控制台!$B$2798:$B$2809,0)-1,0)</f>
        <v>16.6666666666667</v>
      </c>
      <c r="BF47" s="1">
        <f ca="1" t="shared" si="30"/>
        <v>523.333333333334</v>
      </c>
      <c r="BG47" s="5">
        <f ca="1" t="shared" si="25"/>
        <v>7580</v>
      </c>
      <c r="BH47" s="1">
        <f ca="1">OFFSET(控制台!$AD$2798,MATCH(B47,控制台!$B$2798:$B$2809,0)-2,0)</f>
        <v>400</v>
      </c>
      <c r="BI47" s="1">
        <f ca="1">OFFSET(控制台!$AD$2798,MATCH(B47,控制台!$B$2798:$B$2809,0)-1,0)</f>
        <v>600</v>
      </c>
      <c r="BJ47" s="1">
        <f ca="1">Lerp_dyy(BH47,BI47,C47/10)</f>
        <v>540</v>
      </c>
      <c r="BK47" s="4">
        <f ca="1">_xlfn.FLOOR.MATH(BJ47/24/3600*控制台!$E$2785)</f>
        <v>11</v>
      </c>
      <c r="BL47" s="1">
        <f ca="1" t="shared" si="16"/>
        <v>528</v>
      </c>
      <c r="BM47" s="1">
        <f ca="1" t="shared" si="17"/>
        <v>633.6</v>
      </c>
      <c r="BN47" s="5">
        <f ca="1" t="shared" si="26"/>
        <v>8476.8</v>
      </c>
    </row>
    <row r="48" spans="1:66">
      <c r="A48" s="1">
        <f t="shared" si="2"/>
        <v>508</v>
      </c>
      <c r="B48" s="1">
        <v>5</v>
      </c>
      <c r="C48" s="1">
        <v>8</v>
      </c>
      <c r="D48" s="1">
        <f ca="1">OFFSET(控制台!$D$2798,MATCH(B48,控制台!$B$2798:$B$2809,0)-2,0)*控制台!$E$2751</f>
        <v>2500000</v>
      </c>
      <c r="E48" s="1">
        <f ca="1">OFFSET(控制台!$D$2798,MATCH(B48,控制台!$B$2798:$B$2809,0)-1,0)*控制台!$E$2751</f>
        <v>3000000</v>
      </c>
      <c r="F48" s="1">
        <f ca="1">Lerp_dyy(D48,E48,C48/10)</f>
        <v>2900000</v>
      </c>
      <c r="G48" s="4">
        <f ca="1">_xlfn.FLOOR.MATH(F48/24/3600*控制台!$E$2784)-控制台!$E$2814</f>
        <v>327</v>
      </c>
      <c r="H48" s="1">
        <f ca="1" t="shared" si="3"/>
        <v>2825280</v>
      </c>
      <c r="I48" s="1">
        <f ca="1">IF(B48=1,0,OFFSET(控制台!$B$865,MATCH(B48-1,控制台!$G$865:$G$936,0)-1,0))</f>
        <v>23</v>
      </c>
      <c r="J48" s="1">
        <f ca="1">OFFSET(控制台!$B$865,MATCH(B48,控制台!$G$865:$G$936,0)-1,0)</f>
        <v>35</v>
      </c>
      <c r="K48" s="1">
        <f ca="1" t="shared" si="27"/>
        <v>1.2</v>
      </c>
      <c r="L48" s="5">
        <f ca="1">Lerp_dyy(I48,J48,C48/10)</f>
        <v>32.6</v>
      </c>
      <c r="M48" s="1">
        <f ca="1" t="shared" si="5"/>
        <v>3390336</v>
      </c>
      <c r="N48" s="5">
        <f ca="1" t="shared" si="18"/>
        <v>66612672</v>
      </c>
      <c r="O48" s="1">
        <f ca="1">OFFSET(控制台!$F$2798,MATCH(B48,控制台!$B$2798:$B$2809,0)-2,0)*控制台!$E$2755</f>
        <v>1500</v>
      </c>
      <c r="P48" s="1">
        <f ca="1">OFFSET(控制台!$F$2798,MATCH(B48,控制台!$B$2798:$B$2809,0)-1,0)*控制台!$E$2755</f>
        <v>1800</v>
      </c>
      <c r="Q48" s="1">
        <f ca="1">Lerp_dyy(O48,P48,C48/10)</f>
        <v>1740</v>
      </c>
      <c r="R48" s="4">
        <f ca="1">_xlfn.FLOOR.MATH(Q48/24/3600*控制台!$E$2785)</f>
        <v>36</v>
      </c>
      <c r="S48" s="1">
        <f ca="1" t="shared" si="6"/>
        <v>1728</v>
      </c>
      <c r="T48" s="1">
        <f ca="1" t="shared" si="7"/>
        <v>2073.6</v>
      </c>
      <c r="U48" s="5">
        <f ca="1" t="shared" si="19"/>
        <v>40742.4</v>
      </c>
      <c r="V48" s="1">
        <f ca="1">OFFSET(控制台!$I$2798,MATCH(B48,控制台!$B$2798:$B$2809,0)-2,0)*控制台!$E$2791</f>
        <v>625</v>
      </c>
      <c r="W48" s="1">
        <f ca="1">OFFSET(控制台!$I$2798,MATCH(B48,控制台!$B$2798:$B$2809,0)-1,0)*控制台!$E$2791</f>
        <v>937.5</v>
      </c>
      <c r="X48" s="1">
        <f ca="1">Lerp_dyy(V48,W48,C48/10)</f>
        <v>875</v>
      </c>
      <c r="Y48" s="4">
        <f ca="1">_xlfn.FLOOR.MATH(X48)</f>
        <v>875</v>
      </c>
      <c r="Z48" s="1">
        <f ca="1" t="shared" si="8"/>
        <v>1.05</v>
      </c>
      <c r="AA48" s="1">
        <f ca="1" t="shared" si="29"/>
        <v>1.26</v>
      </c>
      <c r="AB48" s="5">
        <f ca="1" t="shared" si="28"/>
        <v>20.56032</v>
      </c>
      <c r="AC48" s="5">
        <f ca="1">AB48*控制台!$E$4819</f>
        <v>16.448256</v>
      </c>
      <c r="AD48" s="5">
        <f ca="1">AB48*控制台!$E$4820</f>
        <v>376.253856</v>
      </c>
      <c r="AE48" s="1">
        <f ca="1">OFFSET(控制台!$L$2798,MATCH(B48,控制台!$B$2798:$B$2809,0)-2,0)*控制台!$E$2763</f>
        <v>600</v>
      </c>
      <c r="AF48" s="1">
        <f ca="1">OFFSET(控制台!$L$2798,MATCH(B48,控制台!$B$2798:$B$2809,0)-1,0)*控制台!$E$2763</f>
        <v>900</v>
      </c>
      <c r="AG48" s="1">
        <f ca="1">Lerp_dyy(AE48,AF48,C48/10)</f>
        <v>840</v>
      </c>
      <c r="AH48" s="1">
        <f ca="1" t="shared" si="9"/>
        <v>1008</v>
      </c>
      <c r="AI48" s="5">
        <f ca="1" t="shared" si="21"/>
        <v>13896</v>
      </c>
      <c r="AJ48" s="1">
        <f ca="1">OFFSET(控制台!$P$2798,MATCH(B48,控制台!$B$2798:$B$2809,0)-2,0)</f>
        <v>2000</v>
      </c>
      <c r="AK48" s="1">
        <f ca="1">OFFSET(控制台!$P$2798,MATCH(B48,控制台!$B$2798:$B$2809,0)-1,0)</f>
        <v>3000</v>
      </c>
      <c r="AL48" s="1">
        <f ca="1">Lerp_dyy(AJ48,AK48,C48/10)</f>
        <v>2800</v>
      </c>
      <c r="AM48" s="4">
        <f ca="1">_xlfn.FLOOR.MATH(AL48/24/3600*控制台!$E$2785)</f>
        <v>58</v>
      </c>
      <c r="AN48" s="1">
        <f ca="1" t="shared" si="10"/>
        <v>2784</v>
      </c>
      <c r="AO48" s="1">
        <f ca="1" t="shared" si="11"/>
        <v>3340.8</v>
      </c>
      <c r="AP48" s="5">
        <f ca="1" t="shared" si="22"/>
        <v>46339.2</v>
      </c>
      <c r="AQ48" s="1">
        <f ca="1">OFFSET(控制台!$V$2798,MATCH(B48,控制台!$B$2798:$B$2809,0)-2,0)*控制台!$E$2771</f>
        <v>1250000</v>
      </c>
      <c r="AR48" s="1">
        <f ca="1">OFFSET(控制台!$V$2798,MATCH(B48,控制台!$B$2798:$B$2809,0)-1,0)*控制台!$E$2771</f>
        <v>1500000</v>
      </c>
      <c r="AS48" s="1">
        <f ca="1">Lerp_dyy(AQ48,AR48,C48/10)</f>
        <v>1450000</v>
      </c>
      <c r="AT48" s="4">
        <f ca="1">MAX(_xlfn.FLOOR.MATH(AS48/24/3600*控制台!$E$2784)-控制台!$J$2814,0)</f>
        <v>163</v>
      </c>
      <c r="AU48" s="1">
        <f ca="1" t="shared" si="12"/>
        <v>1408320</v>
      </c>
      <c r="AV48" s="1">
        <f ca="1" t="shared" si="13"/>
        <v>1689984</v>
      </c>
      <c r="AW48" s="5">
        <f ca="1" t="shared" si="23"/>
        <v>31976640</v>
      </c>
      <c r="AX48" s="1">
        <f ca="1">OFFSET(控制台!$X$2798,MATCH(B48,控制台!$B$2798:$B$2809,0)-2,0)*控制台!$E$2775</f>
        <v>750</v>
      </c>
      <c r="AY48" s="1">
        <f ca="1">OFFSET(控制台!$X$2798,MATCH(B48,控制台!$B$2798:$B$2809,0)-1,0)*控制台!$E$2775</f>
        <v>900</v>
      </c>
      <c r="AZ48" s="1">
        <f ca="1">Lerp_dyy(AX48,AY48,C48/10)</f>
        <v>870</v>
      </c>
      <c r="BA48" s="4">
        <f ca="1">_xlfn.FLOOR.MATH(AZ48/24/3600*控制台!$E$2785)</f>
        <v>18</v>
      </c>
      <c r="BB48" s="1">
        <f ca="1" t="shared" si="14"/>
        <v>864</v>
      </c>
      <c r="BC48" s="1">
        <f ca="1" t="shared" si="15"/>
        <v>1036.8</v>
      </c>
      <c r="BD48" s="5">
        <f ca="1" t="shared" si="24"/>
        <v>19161.6</v>
      </c>
      <c r="BE48" s="1">
        <f ca="1">OFFSET(控制台!$AA$2798,MATCH(B48,控制台!$B$2798:$B$2809,0)-1,0)</f>
        <v>16.6666666666667</v>
      </c>
      <c r="BF48" s="1">
        <f ca="1" t="shared" si="30"/>
        <v>543.333333333334</v>
      </c>
      <c r="BG48" s="5">
        <f ca="1" t="shared" si="25"/>
        <v>8123.33333333333</v>
      </c>
      <c r="BH48" s="1">
        <f ca="1">OFFSET(控制台!$AD$2798,MATCH(B48,控制台!$B$2798:$B$2809,0)-2,0)</f>
        <v>400</v>
      </c>
      <c r="BI48" s="1">
        <f ca="1">OFFSET(控制台!$AD$2798,MATCH(B48,控制台!$B$2798:$B$2809,0)-1,0)</f>
        <v>600</v>
      </c>
      <c r="BJ48" s="1">
        <f ca="1">Lerp_dyy(BH48,BI48,C48/10)</f>
        <v>560</v>
      </c>
      <c r="BK48" s="4">
        <f ca="1">_xlfn.FLOOR.MATH(BJ48/24/3600*控制台!$E$2785)</f>
        <v>11</v>
      </c>
      <c r="BL48" s="1">
        <f ca="1" t="shared" si="16"/>
        <v>528</v>
      </c>
      <c r="BM48" s="1">
        <f ca="1" t="shared" si="17"/>
        <v>633.6</v>
      </c>
      <c r="BN48" s="5">
        <f ca="1" t="shared" si="26"/>
        <v>9110.4</v>
      </c>
    </row>
    <row r="49" spans="1:66">
      <c r="A49" s="1">
        <f t="shared" si="2"/>
        <v>509</v>
      </c>
      <c r="B49" s="1">
        <v>5</v>
      </c>
      <c r="C49" s="1">
        <v>9</v>
      </c>
      <c r="D49" s="1">
        <f ca="1">OFFSET(控制台!$D$2798,MATCH(B49,控制台!$B$2798:$B$2809,0)-2,0)*控制台!$E$2751</f>
        <v>2500000</v>
      </c>
      <c r="E49" s="1">
        <f ca="1">OFFSET(控制台!$D$2798,MATCH(B49,控制台!$B$2798:$B$2809,0)-1,0)*控制台!$E$2751</f>
        <v>3000000</v>
      </c>
      <c r="F49" s="1">
        <f ca="1">Lerp_dyy(D49,E49,C49/10)</f>
        <v>2950000</v>
      </c>
      <c r="G49" s="4">
        <f ca="1">_xlfn.FLOOR.MATH(F49/24/3600*控制台!$E$2784)-控制台!$E$2814</f>
        <v>333</v>
      </c>
      <c r="H49" s="1">
        <f ca="1" t="shared" si="3"/>
        <v>2877120</v>
      </c>
      <c r="I49" s="1">
        <f ca="1">IF(B49=1,0,OFFSET(控制台!$B$865,MATCH(B49-1,控制台!$G$865:$G$936,0)-1,0))</f>
        <v>23</v>
      </c>
      <c r="J49" s="1">
        <f ca="1">OFFSET(控制台!$B$865,MATCH(B49,控制台!$G$865:$G$936,0)-1,0)</f>
        <v>35</v>
      </c>
      <c r="K49" s="1">
        <f ca="1" t="shared" si="27"/>
        <v>1.2</v>
      </c>
      <c r="L49" s="5">
        <f ca="1">Lerp_dyy(I49,J49,C49/10)</f>
        <v>33.8</v>
      </c>
      <c r="M49" s="1">
        <f ca="1" t="shared" si="5"/>
        <v>3452544</v>
      </c>
      <c r="N49" s="5">
        <f ca="1" t="shared" si="18"/>
        <v>70065216</v>
      </c>
      <c r="O49" s="1">
        <f ca="1">OFFSET(控制台!$F$2798,MATCH(B49,控制台!$B$2798:$B$2809,0)-2,0)*控制台!$E$2755</f>
        <v>1500</v>
      </c>
      <c r="P49" s="1">
        <f ca="1">OFFSET(控制台!$F$2798,MATCH(B49,控制台!$B$2798:$B$2809,0)-1,0)*控制台!$E$2755</f>
        <v>1800</v>
      </c>
      <c r="Q49" s="1">
        <f ca="1">Lerp_dyy(O49,P49,C49/10)</f>
        <v>1770</v>
      </c>
      <c r="R49" s="4">
        <f ca="1">_xlfn.FLOOR.MATH(Q49/24/3600*控制台!$E$2785)</f>
        <v>36</v>
      </c>
      <c r="S49" s="1">
        <f ca="1" t="shared" si="6"/>
        <v>1728</v>
      </c>
      <c r="T49" s="1">
        <f ca="1" t="shared" si="7"/>
        <v>2073.6</v>
      </c>
      <c r="U49" s="5">
        <f ca="1" t="shared" si="19"/>
        <v>42816</v>
      </c>
      <c r="V49" s="1">
        <f ca="1">OFFSET(控制台!$I$2798,MATCH(B49,控制台!$B$2798:$B$2809,0)-2,0)*控制台!$E$2791</f>
        <v>625</v>
      </c>
      <c r="W49" s="1">
        <f ca="1">OFFSET(控制台!$I$2798,MATCH(B49,控制台!$B$2798:$B$2809,0)-1,0)*控制台!$E$2791</f>
        <v>937.5</v>
      </c>
      <c r="X49" s="1">
        <f ca="1">Lerp_dyy(V49,W49,C49/10)</f>
        <v>906.25</v>
      </c>
      <c r="Y49" s="4">
        <f ca="1">_xlfn.FLOOR.MATH(X49)</f>
        <v>906</v>
      </c>
      <c r="Z49" s="1">
        <f ca="1" t="shared" si="8"/>
        <v>1.0872</v>
      </c>
      <c r="AA49" s="1">
        <f ca="1" t="shared" si="29"/>
        <v>1.30464</v>
      </c>
      <c r="AB49" s="5">
        <f ca="1" t="shared" si="28"/>
        <v>21.86496</v>
      </c>
      <c r="AC49" s="5">
        <f ca="1">AB49*控制台!$E$4819</f>
        <v>17.491968</v>
      </c>
      <c r="AD49" s="5">
        <f ca="1">AB49*控制台!$E$4820</f>
        <v>400.128768</v>
      </c>
      <c r="AE49" s="1">
        <f ca="1">OFFSET(控制台!$L$2798,MATCH(B49,控制台!$B$2798:$B$2809,0)-2,0)*控制台!$E$2763</f>
        <v>600</v>
      </c>
      <c r="AF49" s="1">
        <f ca="1">OFFSET(控制台!$L$2798,MATCH(B49,控制台!$B$2798:$B$2809,0)-1,0)*控制台!$E$2763</f>
        <v>900</v>
      </c>
      <c r="AG49" s="1">
        <f ca="1">Lerp_dyy(AE49,AF49,C49/10)</f>
        <v>870</v>
      </c>
      <c r="AH49" s="1">
        <f ca="1" t="shared" si="9"/>
        <v>1044</v>
      </c>
      <c r="AI49" s="5">
        <f ca="1" t="shared" si="21"/>
        <v>14940</v>
      </c>
      <c r="AJ49" s="1">
        <f ca="1">OFFSET(控制台!$P$2798,MATCH(B49,控制台!$B$2798:$B$2809,0)-2,0)</f>
        <v>2000</v>
      </c>
      <c r="AK49" s="1">
        <f ca="1">OFFSET(控制台!$P$2798,MATCH(B49,控制台!$B$2798:$B$2809,0)-1,0)</f>
        <v>3000</v>
      </c>
      <c r="AL49" s="1">
        <f ca="1">Lerp_dyy(AJ49,AK49,C49/10)</f>
        <v>2900</v>
      </c>
      <c r="AM49" s="4">
        <f ca="1">_xlfn.FLOOR.MATH(AL49/24/3600*控制台!$E$2785)</f>
        <v>60</v>
      </c>
      <c r="AN49" s="1">
        <f ca="1" t="shared" si="10"/>
        <v>2880</v>
      </c>
      <c r="AO49" s="1">
        <f ca="1" t="shared" si="11"/>
        <v>3456</v>
      </c>
      <c r="AP49" s="5">
        <f ca="1" t="shared" si="22"/>
        <v>49795.2</v>
      </c>
      <c r="AQ49" s="1">
        <f ca="1">OFFSET(控制台!$V$2798,MATCH(B49,控制台!$B$2798:$B$2809,0)-2,0)*控制台!$E$2771</f>
        <v>1250000</v>
      </c>
      <c r="AR49" s="1">
        <f ca="1">OFFSET(控制台!$V$2798,MATCH(B49,控制台!$B$2798:$B$2809,0)-1,0)*控制台!$E$2771</f>
        <v>1500000</v>
      </c>
      <c r="AS49" s="1">
        <f ca="1">Lerp_dyy(AQ49,AR49,C49/10)</f>
        <v>1475000</v>
      </c>
      <c r="AT49" s="4">
        <f ca="1">MAX(_xlfn.FLOOR.MATH(AS49/24/3600*控制台!$E$2784)-控制台!$J$2814,0)</f>
        <v>166</v>
      </c>
      <c r="AU49" s="1">
        <f ca="1" t="shared" si="12"/>
        <v>1434240</v>
      </c>
      <c r="AV49" s="1">
        <f ca="1" t="shared" si="13"/>
        <v>1721088</v>
      </c>
      <c r="AW49" s="5">
        <f ca="1" t="shared" si="23"/>
        <v>33697728</v>
      </c>
      <c r="AX49" s="1">
        <f ca="1">OFFSET(控制台!$X$2798,MATCH(B49,控制台!$B$2798:$B$2809,0)-2,0)*控制台!$E$2775</f>
        <v>750</v>
      </c>
      <c r="AY49" s="1">
        <f ca="1">OFFSET(控制台!$X$2798,MATCH(B49,控制台!$B$2798:$B$2809,0)-1,0)*控制台!$E$2775</f>
        <v>900</v>
      </c>
      <c r="AZ49" s="1">
        <f ca="1">Lerp_dyy(AX49,AY49,C49/10)</f>
        <v>885</v>
      </c>
      <c r="BA49" s="4">
        <f ca="1">_xlfn.FLOOR.MATH(AZ49/24/3600*控制台!$E$2785)</f>
        <v>18</v>
      </c>
      <c r="BB49" s="1">
        <f ca="1" t="shared" si="14"/>
        <v>864</v>
      </c>
      <c r="BC49" s="1">
        <f ca="1" t="shared" si="15"/>
        <v>1036.8</v>
      </c>
      <c r="BD49" s="5">
        <f ca="1" t="shared" si="24"/>
        <v>20198.4</v>
      </c>
      <c r="BE49" s="1">
        <f ca="1">OFFSET(控制台!$AA$2798,MATCH(B49,控制台!$B$2798:$B$2809,0)-1,0)</f>
        <v>16.6666666666667</v>
      </c>
      <c r="BF49" s="1">
        <f ca="1" t="shared" si="30"/>
        <v>563.333333333334</v>
      </c>
      <c r="BG49" s="5">
        <f ca="1" t="shared" si="25"/>
        <v>8686.66666666667</v>
      </c>
      <c r="BH49" s="1">
        <f ca="1">OFFSET(控制台!$AD$2798,MATCH(B49,控制台!$B$2798:$B$2809,0)-2,0)</f>
        <v>400</v>
      </c>
      <c r="BI49" s="1">
        <f ca="1">OFFSET(控制台!$AD$2798,MATCH(B49,控制台!$B$2798:$B$2809,0)-1,0)</f>
        <v>600</v>
      </c>
      <c r="BJ49" s="1">
        <f ca="1">Lerp_dyy(BH49,BI49,C49/10)</f>
        <v>580</v>
      </c>
      <c r="BK49" s="4">
        <f ca="1">_xlfn.FLOOR.MATH(BJ49/24/3600*控制台!$E$2785)</f>
        <v>12</v>
      </c>
      <c r="BL49" s="1">
        <f ca="1" t="shared" si="16"/>
        <v>576</v>
      </c>
      <c r="BM49" s="1">
        <f ca="1" t="shared" si="17"/>
        <v>691.2</v>
      </c>
      <c r="BN49" s="5">
        <f ca="1" t="shared" si="26"/>
        <v>9801.6</v>
      </c>
    </row>
    <row r="50" spans="1:66">
      <c r="A50" s="1">
        <f t="shared" si="2"/>
        <v>510</v>
      </c>
      <c r="B50" s="1">
        <v>5</v>
      </c>
      <c r="C50" s="1">
        <v>10</v>
      </c>
      <c r="D50" s="1">
        <f ca="1">OFFSET(控制台!$D$2798,MATCH(B50,控制台!$B$2798:$B$2809,0)-2,0)*控制台!$E$2751</f>
        <v>2500000</v>
      </c>
      <c r="E50" s="1">
        <f ca="1">OFFSET(控制台!$D$2798,MATCH(B50,控制台!$B$2798:$B$2809,0)-1,0)*控制台!$E$2751</f>
        <v>3000000</v>
      </c>
      <c r="F50" s="1">
        <f ca="1">Lerp_dyy(D50,E50,C50/10)</f>
        <v>3000000</v>
      </c>
      <c r="G50" s="4">
        <f ca="1">_xlfn.FLOOR.MATH(F50/24/3600*控制台!$E$2784)-控制台!$E$2814</f>
        <v>339</v>
      </c>
      <c r="H50" s="1">
        <f ca="1" t="shared" si="3"/>
        <v>2928960</v>
      </c>
      <c r="I50" s="1">
        <f ca="1">IF(B50=1,0,OFFSET(控制台!$B$865,MATCH(B50-1,控制台!$G$865:$G$936,0)-1,0))</f>
        <v>23</v>
      </c>
      <c r="J50" s="1">
        <f ca="1">OFFSET(控制台!$B$865,MATCH(B50,控制台!$G$865:$G$936,0)-1,0)</f>
        <v>35</v>
      </c>
      <c r="K50" s="1">
        <f ca="1" t="shared" si="27"/>
        <v>1.2</v>
      </c>
      <c r="L50" s="5">
        <f ca="1">Lerp_dyy(I50,J50,C50/10)</f>
        <v>35</v>
      </c>
      <c r="M50" s="1">
        <f ca="1" t="shared" si="5"/>
        <v>3514752</v>
      </c>
      <c r="N50" s="5">
        <f ca="1" t="shared" si="18"/>
        <v>73579968</v>
      </c>
      <c r="O50" s="1">
        <f ca="1">OFFSET(控制台!$F$2798,MATCH(B50,控制台!$B$2798:$B$2809,0)-2,0)*控制台!$E$2755</f>
        <v>1500</v>
      </c>
      <c r="P50" s="1">
        <f ca="1">OFFSET(控制台!$F$2798,MATCH(B50,控制台!$B$2798:$B$2809,0)-1,0)*控制台!$E$2755</f>
        <v>1800</v>
      </c>
      <c r="Q50" s="1">
        <f ca="1">Lerp_dyy(O50,P50,C50/10)</f>
        <v>1800</v>
      </c>
      <c r="R50" s="4">
        <f ca="1">_xlfn.FLOOR.MATH(Q50/24/3600*控制台!$E$2785)</f>
        <v>37</v>
      </c>
      <c r="S50" s="1">
        <f ca="1" t="shared" si="6"/>
        <v>1776</v>
      </c>
      <c r="T50" s="1">
        <f ca="1" t="shared" si="7"/>
        <v>2131.2</v>
      </c>
      <c r="U50" s="5">
        <f ca="1" t="shared" si="19"/>
        <v>44947.2</v>
      </c>
      <c r="V50" s="1">
        <f ca="1">OFFSET(控制台!$I$2798,MATCH(B50,控制台!$B$2798:$B$2809,0)-2,0)*控制台!$E$2791</f>
        <v>625</v>
      </c>
      <c r="W50" s="1">
        <f ca="1">OFFSET(控制台!$I$2798,MATCH(B50,控制台!$B$2798:$B$2809,0)-1,0)*控制台!$E$2791</f>
        <v>937.5</v>
      </c>
      <c r="X50" s="1">
        <f ca="1">Lerp_dyy(V50,W50,C50/10)</f>
        <v>937.5</v>
      </c>
      <c r="Y50" s="4">
        <f ca="1">_xlfn.FLOOR.MATH(X50)</f>
        <v>937</v>
      </c>
      <c r="Z50" s="1">
        <f ca="1" t="shared" si="8"/>
        <v>1.1244</v>
      </c>
      <c r="AA50" s="1">
        <f ca="1" t="shared" si="29"/>
        <v>1.34928</v>
      </c>
      <c r="AB50" s="5">
        <f ca="1" t="shared" si="28"/>
        <v>23.21424</v>
      </c>
      <c r="AC50" s="5">
        <f ca="1">AB50*控制台!$E$4819</f>
        <v>18.571392</v>
      </c>
      <c r="AD50" s="5">
        <f ca="1">AB50*控制台!$E$4820</f>
        <v>424.820592</v>
      </c>
      <c r="AE50" s="1">
        <f ca="1">OFFSET(控制台!$L$2798,MATCH(B50,控制台!$B$2798:$B$2809,0)-2,0)*控制台!$E$2763</f>
        <v>600</v>
      </c>
      <c r="AF50" s="1">
        <f ca="1">OFFSET(控制台!$L$2798,MATCH(B50,控制台!$B$2798:$B$2809,0)-1,0)*控制台!$E$2763</f>
        <v>900</v>
      </c>
      <c r="AG50" s="1">
        <f ca="1">Lerp_dyy(AE50,AF50,C50/10)</f>
        <v>900</v>
      </c>
      <c r="AH50" s="1">
        <f ca="1" t="shared" si="9"/>
        <v>1080</v>
      </c>
      <c r="AI50" s="5">
        <f ca="1" t="shared" si="21"/>
        <v>16020</v>
      </c>
      <c r="AJ50" s="1">
        <f ca="1">OFFSET(控制台!$P$2798,MATCH(B50,控制台!$B$2798:$B$2809,0)-2,0)</f>
        <v>2000</v>
      </c>
      <c r="AK50" s="1">
        <f ca="1">OFFSET(控制台!$P$2798,MATCH(B50,控制台!$B$2798:$B$2809,0)-1,0)</f>
        <v>3000</v>
      </c>
      <c r="AL50" s="1">
        <f ca="1">Lerp_dyy(AJ50,AK50,C50/10)</f>
        <v>3000</v>
      </c>
      <c r="AM50" s="4">
        <f ca="1">_xlfn.FLOOR.MATH(AL50/24/3600*控制台!$E$2785)</f>
        <v>62</v>
      </c>
      <c r="AN50" s="1">
        <f ca="1" t="shared" si="10"/>
        <v>2976</v>
      </c>
      <c r="AO50" s="1">
        <f ca="1" t="shared" si="11"/>
        <v>3571.2</v>
      </c>
      <c r="AP50" s="5">
        <f ca="1" t="shared" si="22"/>
        <v>53366.4</v>
      </c>
      <c r="AQ50" s="1">
        <f ca="1">OFFSET(控制台!$V$2798,MATCH(B50,控制台!$B$2798:$B$2809,0)-2,0)*控制台!$E$2771</f>
        <v>1250000</v>
      </c>
      <c r="AR50" s="1">
        <f ca="1">OFFSET(控制台!$V$2798,MATCH(B50,控制台!$B$2798:$B$2809,0)-1,0)*控制台!$E$2771</f>
        <v>1500000</v>
      </c>
      <c r="AS50" s="1">
        <f ca="1">Lerp_dyy(AQ50,AR50,C50/10)</f>
        <v>1500000</v>
      </c>
      <c r="AT50" s="4">
        <f ca="1">MAX(_xlfn.FLOOR.MATH(AS50/24/3600*控制台!$E$2784)-控制台!$J$2814,0)</f>
        <v>169</v>
      </c>
      <c r="AU50" s="1">
        <f ca="1" t="shared" si="12"/>
        <v>1460160</v>
      </c>
      <c r="AV50" s="1">
        <f ca="1" t="shared" si="13"/>
        <v>1752192</v>
      </c>
      <c r="AW50" s="5">
        <f ca="1" t="shared" si="23"/>
        <v>35449920</v>
      </c>
      <c r="AX50" s="1">
        <f ca="1">OFFSET(控制台!$X$2798,MATCH(B50,控制台!$B$2798:$B$2809,0)-2,0)*控制台!$E$2775</f>
        <v>750</v>
      </c>
      <c r="AY50" s="1">
        <f ca="1">OFFSET(控制台!$X$2798,MATCH(B50,控制台!$B$2798:$B$2809,0)-1,0)*控制台!$E$2775</f>
        <v>900</v>
      </c>
      <c r="AZ50" s="1">
        <f ca="1">Lerp_dyy(AX50,AY50,C50/10)</f>
        <v>900</v>
      </c>
      <c r="BA50" s="4">
        <f ca="1">_xlfn.FLOOR.MATH(AZ50/24/3600*控制台!$E$2785)</f>
        <v>18</v>
      </c>
      <c r="BB50" s="1">
        <f ca="1" t="shared" si="14"/>
        <v>864</v>
      </c>
      <c r="BC50" s="1">
        <f ca="1" t="shared" si="15"/>
        <v>1036.8</v>
      </c>
      <c r="BD50" s="5">
        <f ca="1" t="shared" si="24"/>
        <v>21235.2</v>
      </c>
      <c r="BE50" s="1">
        <f ca="1">OFFSET(控制台!$AA$2798,MATCH(B50,控制台!$B$2798:$B$2809,0)-1,0)</f>
        <v>16.6666666666667</v>
      </c>
      <c r="BF50" s="1">
        <f ca="1" t="shared" si="30"/>
        <v>583.333333333335</v>
      </c>
      <c r="BG50" s="5">
        <f ca="1" t="shared" si="25"/>
        <v>9270</v>
      </c>
      <c r="BH50" s="1">
        <f ca="1">OFFSET(控制台!$AD$2798,MATCH(B50,控制台!$B$2798:$B$2809,0)-2,0)</f>
        <v>400</v>
      </c>
      <c r="BI50" s="1">
        <f ca="1">OFFSET(控制台!$AD$2798,MATCH(B50,控制台!$B$2798:$B$2809,0)-1,0)</f>
        <v>600</v>
      </c>
      <c r="BJ50" s="1">
        <f ca="1">Lerp_dyy(BH50,BI50,C50/10)</f>
        <v>600</v>
      </c>
      <c r="BK50" s="4">
        <f ca="1">_xlfn.FLOOR.MATH(BJ50/24/3600*控制台!$E$2785)</f>
        <v>12</v>
      </c>
      <c r="BL50" s="1">
        <f ca="1" t="shared" si="16"/>
        <v>576</v>
      </c>
      <c r="BM50" s="1">
        <f ca="1" t="shared" si="17"/>
        <v>691.2</v>
      </c>
      <c r="BN50" s="5">
        <f ca="1" t="shared" si="26"/>
        <v>10492.8</v>
      </c>
    </row>
    <row r="51" s="15" customFormat="1" spans="1:66">
      <c r="A51" s="15">
        <f t="shared" si="2"/>
        <v>601</v>
      </c>
      <c r="B51" s="15">
        <v>6</v>
      </c>
      <c r="C51" s="15">
        <v>1</v>
      </c>
      <c r="D51" s="15">
        <f ca="1">OFFSET(控制台!$D$2798,MATCH(B51,控制台!$B$2798:$B$2809,0)-2,0)*控制台!$E$2751</f>
        <v>3000000</v>
      </c>
      <c r="E51" s="15">
        <f ca="1">OFFSET(控制台!$D$2798,MATCH(B51,控制台!$B$2798:$B$2809,0)-1,0)*控制台!$E$2751</f>
        <v>3500000</v>
      </c>
      <c r="F51" s="15">
        <f ca="1">Lerp_dyy(D51,E51,C51/10)</f>
        <v>3050000</v>
      </c>
      <c r="G51" s="16">
        <f ca="1">_xlfn.FLOOR.MATH(F51/24/3600*控制台!$E$2784)-控制台!$E$2814</f>
        <v>345</v>
      </c>
      <c r="H51" s="15">
        <f ca="1" t="shared" si="3"/>
        <v>2980800</v>
      </c>
      <c r="I51" s="15">
        <f ca="1">IF(B51=1,0,OFFSET(控制台!$B$865,MATCH(B51-1,控制台!$G$865:$G$936,0)-1,0))</f>
        <v>35</v>
      </c>
      <c r="J51" s="15">
        <f ca="1">OFFSET(控制台!$B$865,MATCH(B51,控制台!$G$865:$G$936,0)-1,0)</f>
        <v>50</v>
      </c>
      <c r="K51" s="15">
        <f ca="1" t="shared" si="27"/>
        <v>1.5</v>
      </c>
      <c r="L51" s="17">
        <f ca="1">Lerp_dyy(I51,J51,C51/10)</f>
        <v>36.5</v>
      </c>
      <c r="M51" s="15">
        <f ca="1" t="shared" si="5"/>
        <v>4471200</v>
      </c>
      <c r="N51" s="17">
        <f ca="1" t="shared" si="18"/>
        <v>78051168</v>
      </c>
      <c r="O51" s="15">
        <f ca="1">OFFSET(控制台!$F$2798,MATCH(B51,控制台!$B$2798:$B$2809,0)-2,0)*控制台!$E$2755</f>
        <v>1800</v>
      </c>
      <c r="P51" s="15">
        <f ca="1">OFFSET(控制台!$F$2798,MATCH(B51,控制台!$B$2798:$B$2809,0)-1,0)*控制台!$E$2755</f>
        <v>2100</v>
      </c>
      <c r="Q51" s="15">
        <f ca="1">Lerp_dyy(O51,P51,C51/10)</f>
        <v>1830</v>
      </c>
      <c r="R51" s="16">
        <f ca="1">_xlfn.FLOOR.MATH(Q51/24/3600*控制台!$E$2785)</f>
        <v>38</v>
      </c>
      <c r="S51" s="15">
        <f ca="1" t="shared" si="6"/>
        <v>1824</v>
      </c>
      <c r="T51" s="15">
        <f ca="1" t="shared" si="7"/>
        <v>2736</v>
      </c>
      <c r="U51" s="17">
        <f ca="1" t="shared" si="19"/>
        <v>47683.2</v>
      </c>
      <c r="V51" s="15">
        <f ca="1">OFFSET(控制台!$I$2798,MATCH(B51,控制台!$B$2798:$B$2809,0)-2,0)*控制台!$E$2791</f>
        <v>937.5</v>
      </c>
      <c r="W51" s="15">
        <f ca="1">OFFSET(控制台!$I$2798,MATCH(B51,控制台!$B$2798:$B$2809,0)-1,0)*控制台!$E$2791</f>
        <v>1250</v>
      </c>
      <c r="X51" s="15">
        <f ca="1">Lerp_dyy(V51,W51,C51/10)</f>
        <v>968.75</v>
      </c>
      <c r="Y51" s="16">
        <f ca="1">_xlfn.FLOOR.MATH(X51)</f>
        <v>968</v>
      </c>
      <c r="Z51" s="15">
        <f ca="1" t="shared" si="8"/>
        <v>1.1616</v>
      </c>
      <c r="AA51" s="15">
        <f ca="1" t="shared" si="29"/>
        <v>1.7424</v>
      </c>
      <c r="AB51" s="17">
        <f ca="1" t="shared" si="28"/>
        <v>24.95664</v>
      </c>
      <c r="AC51" s="17">
        <f ca="1">AB51*控制台!$E$4819</f>
        <v>19.965312</v>
      </c>
      <c r="AD51" s="17">
        <f ca="1">AB51*控制台!$E$4820</f>
        <v>456.706512</v>
      </c>
      <c r="AE51" s="15">
        <f ca="1">OFFSET(控制台!$L$2798,MATCH(B51,控制台!$B$2798:$B$2809,0)-2,0)*控制台!$E$2763</f>
        <v>900</v>
      </c>
      <c r="AF51" s="15">
        <f ca="1">OFFSET(控制台!$L$2798,MATCH(B51,控制台!$B$2798:$B$2809,0)-1,0)*控制台!$E$2763</f>
        <v>1200</v>
      </c>
      <c r="AG51" s="15">
        <f ca="1">Lerp_dyy(AE51,AF51,C51/10)</f>
        <v>930</v>
      </c>
      <c r="AH51" s="15">
        <f ca="1" t="shared" si="9"/>
        <v>1395</v>
      </c>
      <c r="AI51" s="17">
        <f ca="1" t="shared" si="21"/>
        <v>17415</v>
      </c>
      <c r="AJ51" s="15">
        <f ca="1">OFFSET(控制台!$P$2798,MATCH(B51,控制台!$B$2798:$B$2809,0)-2,0)</f>
        <v>3000</v>
      </c>
      <c r="AK51" s="15">
        <f ca="1">OFFSET(控制台!$P$2798,MATCH(B51,控制台!$B$2798:$B$2809,0)-1,0)</f>
        <v>4000</v>
      </c>
      <c r="AL51" s="15">
        <f ca="1">Lerp_dyy(AJ51,AK51,C51/10)</f>
        <v>3100</v>
      </c>
      <c r="AM51" s="16">
        <f ca="1">_xlfn.FLOOR.MATH(AL51/24/3600*控制台!$E$2785)</f>
        <v>64</v>
      </c>
      <c r="AN51" s="15">
        <f ca="1" t="shared" si="10"/>
        <v>3072</v>
      </c>
      <c r="AO51" s="15">
        <f ca="1" t="shared" si="11"/>
        <v>4608</v>
      </c>
      <c r="AP51" s="17">
        <f ca="1" t="shared" si="22"/>
        <v>57974.4</v>
      </c>
      <c r="AQ51" s="15">
        <f ca="1">OFFSET(控制台!$V$2798,MATCH(B51,控制台!$B$2798:$B$2809,0)-2,0)*控制台!$E$2771</f>
        <v>1500000</v>
      </c>
      <c r="AR51" s="15">
        <f ca="1">OFFSET(控制台!$V$2798,MATCH(B51,控制台!$B$2798:$B$2809,0)-1,0)*控制台!$E$2771</f>
        <v>1750000</v>
      </c>
      <c r="AS51" s="15">
        <f ca="1">Lerp_dyy(AQ51,AR51,C51/10)</f>
        <v>1525000</v>
      </c>
      <c r="AT51" s="16">
        <f ca="1">MAX(_xlfn.FLOOR.MATH(AS51/24/3600*控制台!$E$2784)-控制台!$J$2814,0)</f>
        <v>172</v>
      </c>
      <c r="AU51" s="15">
        <f ca="1" t="shared" si="12"/>
        <v>1486080</v>
      </c>
      <c r="AV51" s="15">
        <f ca="1" t="shared" si="13"/>
        <v>2229120</v>
      </c>
      <c r="AW51" s="17">
        <f ca="1" t="shared" si="23"/>
        <v>37679040</v>
      </c>
      <c r="AX51" s="15">
        <f ca="1">OFFSET(控制台!$X$2798,MATCH(B51,控制台!$B$2798:$B$2809,0)-2,0)*控制台!$E$2775</f>
        <v>900</v>
      </c>
      <c r="AY51" s="15">
        <f ca="1">OFFSET(控制台!$X$2798,MATCH(B51,控制台!$B$2798:$B$2809,0)-1,0)*控制台!$E$2775</f>
        <v>1050</v>
      </c>
      <c r="AZ51" s="15">
        <f ca="1">Lerp_dyy(AX51,AY51,C51/10)</f>
        <v>915</v>
      </c>
      <c r="BA51" s="16">
        <f ca="1">_xlfn.FLOOR.MATH(AZ51/24/3600*控制台!$E$2785)</f>
        <v>19</v>
      </c>
      <c r="BB51" s="15">
        <f ca="1" t="shared" si="14"/>
        <v>912</v>
      </c>
      <c r="BC51" s="15">
        <f ca="1" t="shared" si="15"/>
        <v>1368</v>
      </c>
      <c r="BD51" s="17">
        <f ca="1" t="shared" si="24"/>
        <v>22603.2</v>
      </c>
      <c r="BE51" s="1">
        <f ca="1">OFFSET(控制台!$AA$2798,MATCH(B51,控制台!$B$2798:$B$2809,0)-1,0)</f>
        <v>16.6666666666667</v>
      </c>
      <c r="BF51" s="1">
        <f ca="1" t="shared" si="30"/>
        <v>608.333333333335</v>
      </c>
      <c r="BG51" s="17">
        <f ca="1" t="shared" si="25"/>
        <v>9878.33333333334</v>
      </c>
      <c r="BH51" s="15">
        <f ca="1">OFFSET(控制台!$AD$2798,MATCH(B51,控制台!$B$2798:$B$2809,0)-2,0)</f>
        <v>600</v>
      </c>
      <c r="BI51" s="15">
        <f ca="1">OFFSET(控制台!$AD$2798,MATCH(B51,控制台!$B$2798:$B$2809,0)-1,0)</f>
        <v>1200</v>
      </c>
      <c r="BJ51" s="15">
        <f ca="1">Lerp_dyy(BH51,BI51,C51/10)</f>
        <v>660</v>
      </c>
      <c r="BK51" s="16">
        <f ca="1">_xlfn.FLOOR.MATH(BJ51/24/3600*控制台!$E$2785)</f>
        <v>13</v>
      </c>
      <c r="BL51" s="15">
        <f ca="1" t="shared" si="16"/>
        <v>624</v>
      </c>
      <c r="BM51" s="15">
        <f ca="1" t="shared" si="17"/>
        <v>936</v>
      </c>
      <c r="BN51" s="17">
        <f ca="1" t="shared" si="26"/>
        <v>11428.8</v>
      </c>
    </row>
    <row r="52" s="15" customFormat="1" spans="1:66">
      <c r="A52" s="15">
        <f t="shared" si="2"/>
        <v>602</v>
      </c>
      <c r="B52" s="15">
        <v>6</v>
      </c>
      <c r="C52" s="15">
        <v>2</v>
      </c>
      <c r="D52" s="15">
        <f ca="1">OFFSET(控制台!$D$2798,MATCH(B52,控制台!$B$2798:$B$2809,0)-2,0)*控制台!$E$2751</f>
        <v>3000000</v>
      </c>
      <c r="E52" s="15">
        <f ca="1">OFFSET(控制台!$D$2798,MATCH(B52,控制台!$B$2798:$B$2809,0)-1,0)*控制台!$E$2751</f>
        <v>3500000</v>
      </c>
      <c r="F52" s="15">
        <f ca="1">Lerp_dyy(D52,E52,C52/10)</f>
        <v>3100000</v>
      </c>
      <c r="G52" s="16">
        <f ca="1">_xlfn.FLOOR.MATH(F52/24/3600*控制台!$E$2784)-控制台!$E$2814</f>
        <v>350</v>
      </c>
      <c r="H52" s="15">
        <f ca="1" t="shared" si="3"/>
        <v>3024000</v>
      </c>
      <c r="I52" s="15">
        <f ca="1">IF(B52=1,0,OFFSET(控制台!$B$865,MATCH(B52-1,控制台!$G$865:$G$936,0)-1,0))</f>
        <v>35</v>
      </c>
      <c r="J52" s="15">
        <f ca="1">OFFSET(控制台!$B$865,MATCH(B52,控制台!$G$865:$G$936,0)-1,0)</f>
        <v>50</v>
      </c>
      <c r="K52" s="15">
        <f ca="1" t="shared" si="27"/>
        <v>1.5</v>
      </c>
      <c r="L52" s="17">
        <f ca="1">Lerp_dyy(I52,J52,C52/10)</f>
        <v>38</v>
      </c>
      <c r="M52" s="15">
        <f ca="1" t="shared" si="5"/>
        <v>4536000</v>
      </c>
      <c r="N52" s="17">
        <f ca="1" t="shared" si="18"/>
        <v>82587168</v>
      </c>
      <c r="O52" s="15">
        <f ca="1">OFFSET(控制台!$F$2798,MATCH(B52,控制台!$B$2798:$B$2809,0)-2,0)*控制台!$E$2755</f>
        <v>1800</v>
      </c>
      <c r="P52" s="15">
        <f ca="1">OFFSET(控制台!$F$2798,MATCH(B52,控制台!$B$2798:$B$2809,0)-1,0)*控制台!$E$2755</f>
        <v>2100</v>
      </c>
      <c r="Q52" s="15">
        <f ca="1">Lerp_dyy(O52,P52,C52/10)</f>
        <v>1860</v>
      </c>
      <c r="R52" s="16">
        <f ca="1">_xlfn.FLOOR.MATH(Q52/24/3600*控制台!$E$2785)</f>
        <v>38</v>
      </c>
      <c r="S52" s="15">
        <f ca="1" t="shared" si="6"/>
        <v>1824</v>
      </c>
      <c r="T52" s="15">
        <f ca="1" t="shared" si="7"/>
        <v>2736</v>
      </c>
      <c r="U52" s="17">
        <f ca="1" t="shared" si="19"/>
        <v>50419.2</v>
      </c>
      <c r="V52" s="15">
        <f ca="1">OFFSET(控制台!$I$2798,MATCH(B52,控制台!$B$2798:$B$2809,0)-2,0)*控制台!$E$2791</f>
        <v>937.5</v>
      </c>
      <c r="W52" s="15">
        <f ca="1">OFFSET(控制台!$I$2798,MATCH(B52,控制台!$B$2798:$B$2809,0)-1,0)*控制台!$E$2791</f>
        <v>1250</v>
      </c>
      <c r="X52" s="15">
        <f ca="1">Lerp_dyy(V52,W52,C52/10)</f>
        <v>1000</v>
      </c>
      <c r="Y52" s="16">
        <f ca="1">_xlfn.FLOOR.MATH(X52)</f>
        <v>1000</v>
      </c>
      <c r="Z52" s="15">
        <f ca="1" t="shared" si="8"/>
        <v>1.2</v>
      </c>
      <c r="AA52" s="15">
        <f ca="1" t="shared" si="29"/>
        <v>1.8</v>
      </c>
      <c r="AB52" s="17">
        <f ca="1" t="shared" si="28"/>
        <v>26.75664</v>
      </c>
      <c r="AC52" s="17">
        <f ca="1">AB52*控制台!$E$4819</f>
        <v>21.405312</v>
      </c>
      <c r="AD52" s="17">
        <f ca="1">AB52*控制台!$E$4820</f>
        <v>489.646512</v>
      </c>
      <c r="AE52" s="15">
        <f ca="1">OFFSET(控制台!$L$2798,MATCH(B52,控制台!$B$2798:$B$2809,0)-2,0)*控制台!$E$2763</f>
        <v>900</v>
      </c>
      <c r="AF52" s="15">
        <f ca="1">OFFSET(控制台!$L$2798,MATCH(B52,控制台!$B$2798:$B$2809,0)-1,0)*控制台!$E$2763</f>
        <v>1200</v>
      </c>
      <c r="AG52" s="15">
        <f ca="1">Lerp_dyy(AE52,AF52,C52/10)</f>
        <v>960</v>
      </c>
      <c r="AH52" s="15">
        <f ca="1" t="shared" si="9"/>
        <v>1440</v>
      </c>
      <c r="AI52" s="17">
        <f ca="1" t="shared" si="21"/>
        <v>18855</v>
      </c>
      <c r="AJ52" s="15">
        <f ca="1">OFFSET(控制台!$P$2798,MATCH(B52,控制台!$B$2798:$B$2809,0)-2,0)</f>
        <v>3000</v>
      </c>
      <c r="AK52" s="15">
        <f ca="1">OFFSET(控制台!$P$2798,MATCH(B52,控制台!$B$2798:$B$2809,0)-1,0)</f>
        <v>4000</v>
      </c>
      <c r="AL52" s="15">
        <f ca="1">Lerp_dyy(AJ52,AK52,C52/10)</f>
        <v>3200</v>
      </c>
      <c r="AM52" s="16">
        <f ca="1">_xlfn.FLOOR.MATH(AL52/24/3600*控制台!$E$2785)</f>
        <v>66</v>
      </c>
      <c r="AN52" s="15">
        <f ca="1" t="shared" si="10"/>
        <v>3168</v>
      </c>
      <c r="AO52" s="15">
        <f ca="1" t="shared" si="11"/>
        <v>4752</v>
      </c>
      <c r="AP52" s="17">
        <f ca="1" t="shared" si="22"/>
        <v>62726.4</v>
      </c>
      <c r="AQ52" s="15">
        <f ca="1">OFFSET(控制台!$V$2798,MATCH(B52,控制台!$B$2798:$B$2809,0)-2,0)*控制台!$E$2771</f>
        <v>1500000</v>
      </c>
      <c r="AR52" s="15">
        <f ca="1">OFFSET(控制台!$V$2798,MATCH(B52,控制台!$B$2798:$B$2809,0)-1,0)*控制台!$E$2771</f>
        <v>1750000</v>
      </c>
      <c r="AS52" s="15">
        <f ca="1">Lerp_dyy(AQ52,AR52,C52/10)</f>
        <v>1550000</v>
      </c>
      <c r="AT52" s="16">
        <f ca="1">MAX(_xlfn.FLOOR.MATH(AS52/24/3600*控制台!$E$2784)-控制台!$J$2814,0)</f>
        <v>175</v>
      </c>
      <c r="AU52" s="15">
        <f ca="1" t="shared" si="12"/>
        <v>1512000</v>
      </c>
      <c r="AV52" s="15">
        <f ca="1" t="shared" si="13"/>
        <v>2268000</v>
      </c>
      <c r="AW52" s="17">
        <f ca="1" t="shared" si="23"/>
        <v>39947040</v>
      </c>
      <c r="AX52" s="15">
        <f ca="1">OFFSET(控制台!$X$2798,MATCH(B52,控制台!$B$2798:$B$2809,0)-2,0)*控制台!$E$2775</f>
        <v>900</v>
      </c>
      <c r="AY52" s="15">
        <f ca="1">OFFSET(控制台!$X$2798,MATCH(B52,控制台!$B$2798:$B$2809,0)-1,0)*控制台!$E$2775</f>
        <v>1050</v>
      </c>
      <c r="AZ52" s="15">
        <f ca="1">Lerp_dyy(AX52,AY52,C52/10)</f>
        <v>930</v>
      </c>
      <c r="BA52" s="16">
        <f ca="1">_xlfn.FLOOR.MATH(AZ52/24/3600*控制台!$E$2785)</f>
        <v>19</v>
      </c>
      <c r="BB52" s="15">
        <f ca="1" t="shared" si="14"/>
        <v>912</v>
      </c>
      <c r="BC52" s="15">
        <f ca="1" t="shared" si="15"/>
        <v>1368</v>
      </c>
      <c r="BD52" s="17">
        <f ca="1" t="shared" si="24"/>
        <v>23971.2</v>
      </c>
      <c r="BE52" s="1">
        <f ca="1">OFFSET(控制台!$AA$2798,MATCH(B52,控制台!$B$2798:$B$2809,0)-1,0)</f>
        <v>16.6666666666667</v>
      </c>
      <c r="BF52" s="1">
        <f ca="1" t="shared" si="30"/>
        <v>633.333333333335</v>
      </c>
      <c r="BG52" s="17">
        <f ca="1" t="shared" si="25"/>
        <v>10511.6666666667</v>
      </c>
      <c r="BH52" s="15">
        <f ca="1">OFFSET(控制台!$AD$2798,MATCH(B52,控制台!$B$2798:$B$2809,0)-2,0)</f>
        <v>600</v>
      </c>
      <c r="BI52" s="15">
        <f ca="1">OFFSET(控制台!$AD$2798,MATCH(B52,控制台!$B$2798:$B$2809,0)-1,0)</f>
        <v>1200</v>
      </c>
      <c r="BJ52" s="15">
        <f ca="1">Lerp_dyy(BH52,BI52,C52/10)</f>
        <v>720</v>
      </c>
      <c r="BK52" s="16">
        <f ca="1">_xlfn.FLOOR.MATH(BJ52/24/3600*控制台!$E$2785)</f>
        <v>15</v>
      </c>
      <c r="BL52" s="15">
        <f ca="1" t="shared" si="16"/>
        <v>720</v>
      </c>
      <c r="BM52" s="15">
        <f ca="1" t="shared" si="17"/>
        <v>1080</v>
      </c>
      <c r="BN52" s="17">
        <f ca="1" t="shared" si="26"/>
        <v>12508.8</v>
      </c>
    </row>
    <row r="53" s="15" customFormat="1" spans="1:66">
      <c r="A53" s="15">
        <f t="shared" si="2"/>
        <v>603</v>
      </c>
      <c r="B53" s="15">
        <v>6</v>
      </c>
      <c r="C53" s="15">
        <v>3</v>
      </c>
      <c r="D53" s="15">
        <f ca="1">OFFSET(控制台!$D$2798,MATCH(B53,控制台!$B$2798:$B$2809,0)-2,0)*控制台!$E$2751</f>
        <v>3000000</v>
      </c>
      <c r="E53" s="15">
        <f ca="1">OFFSET(控制台!$D$2798,MATCH(B53,控制台!$B$2798:$B$2809,0)-1,0)*控制台!$E$2751</f>
        <v>3500000</v>
      </c>
      <c r="F53" s="15">
        <f ca="1">Lerp_dyy(D53,E53,C53/10)</f>
        <v>3150000</v>
      </c>
      <c r="G53" s="16">
        <f ca="1">_xlfn.FLOOR.MATH(F53/24/3600*控制台!$E$2784)-控制台!$E$2814</f>
        <v>356</v>
      </c>
      <c r="H53" s="15">
        <f ca="1" t="shared" si="3"/>
        <v>3075840</v>
      </c>
      <c r="I53" s="15">
        <f ca="1">IF(B53=1,0,OFFSET(控制台!$B$865,MATCH(B53-1,控制台!$G$865:$G$936,0)-1,0))</f>
        <v>35</v>
      </c>
      <c r="J53" s="15">
        <f ca="1">OFFSET(控制台!$B$865,MATCH(B53,控制台!$G$865:$G$936,0)-1,0)</f>
        <v>50</v>
      </c>
      <c r="K53" s="15">
        <f ca="1" t="shared" si="27"/>
        <v>1.5</v>
      </c>
      <c r="L53" s="17">
        <f ca="1">Lerp_dyy(I53,J53,C53/10)</f>
        <v>39.5</v>
      </c>
      <c r="M53" s="15">
        <f ca="1" t="shared" si="5"/>
        <v>4613760</v>
      </c>
      <c r="N53" s="17">
        <f ca="1" t="shared" si="18"/>
        <v>87200928</v>
      </c>
      <c r="O53" s="15">
        <f ca="1">OFFSET(控制台!$F$2798,MATCH(B53,控制台!$B$2798:$B$2809,0)-2,0)*控制台!$E$2755</f>
        <v>1800</v>
      </c>
      <c r="P53" s="15">
        <f ca="1">OFFSET(控制台!$F$2798,MATCH(B53,控制台!$B$2798:$B$2809,0)-1,0)*控制台!$E$2755</f>
        <v>2100</v>
      </c>
      <c r="Q53" s="15">
        <f ca="1">Lerp_dyy(O53,P53,C53/10)</f>
        <v>1890</v>
      </c>
      <c r="R53" s="16">
        <f ca="1">_xlfn.FLOOR.MATH(Q53/24/3600*控制台!$E$2785)</f>
        <v>39</v>
      </c>
      <c r="S53" s="15">
        <f ca="1" t="shared" si="6"/>
        <v>1872</v>
      </c>
      <c r="T53" s="15">
        <f ca="1" t="shared" si="7"/>
        <v>2808</v>
      </c>
      <c r="U53" s="17">
        <f ca="1" t="shared" si="19"/>
        <v>53227.2</v>
      </c>
      <c r="V53" s="15">
        <f ca="1">OFFSET(控制台!$I$2798,MATCH(B53,控制台!$B$2798:$B$2809,0)-2,0)*控制台!$E$2791</f>
        <v>937.5</v>
      </c>
      <c r="W53" s="15">
        <f ca="1">OFFSET(控制台!$I$2798,MATCH(B53,控制台!$B$2798:$B$2809,0)-1,0)*控制台!$E$2791</f>
        <v>1250</v>
      </c>
      <c r="X53" s="15">
        <f ca="1">Lerp_dyy(V53,W53,C53/10)</f>
        <v>1031.25</v>
      </c>
      <c r="Y53" s="16">
        <f ca="1">_xlfn.FLOOR.MATH(X53)</f>
        <v>1031</v>
      </c>
      <c r="Z53" s="15">
        <f ca="1" t="shared" si="8"/>
        <v>1.2372</v>
      </c>
      <c r="AA53" s="15">
        <f ca="1" t="shared" si="29"/>
        <v>1.8558</v>
      </c>
      <c r="AB53" s="17">
        <f ca="1" t="shared" si="28"/>
        <v>28.61244</v>
      </c>
      <c r="AC53" s="17">
        <f ca="1">AB53*控制台!$E$4819</f>
        <v>22.889952</v>
      </c>
      <c r="AD53" s="17">
        <f ca="1">AB53*控制台!$E$4820</f>
        <v>523.607652</v>
      </c>
      <c r="AE53" s="15">
        <f ca="1">OFFSET(控制台!$L$2798,MATCH(B53,控制台!$B$2798:$B$2809,0)-2,0)*控制台!$E$2763</f>
        <v>900</v>
      </c>
      <c r="AF53" s="15">
        <f ca="1">OFFSET(控制台!$L$2798,MATCH(B53,控制台!$B$2798:$B$2809,0)-1,0)*控制台!$E$2763</f>
        <v>1200</v>
      </c>
      <c r="AG53" s="15">
        <f ca="1">Lerp_dyy(AE53,AF53,C53/10)</f>
        <v>990</v>
      </c>
      <c r="AH53" s="15">
        <f ca="1" t="shared" si="9"/>
        <v>1485</v>
      </c>
      <c r="AI53" s="17">
        <f ca="1" t="shared" si="21"/>
        <v>20340</v>
      </c>
      <c r="AJ53" s="15">
        <f ca="1">OFFSET(控制台!$P$2798,MATCH(B53,控制台!$B$2798:$B$2809,0)-2,0)</f>
        <v>3000</v>
      </c>
      <c r="AK53" s="15">
        <f ca="1">OFFSET(控制台!$P$2798,MATCH(B53,控制台!$B$2798:$B$2809,0)-1,0)</f>
        <v>4000</v>
      </c>
      <c r="AL53" s="15">
        <f ca="1">Lerp_dyy(AJ53,AK53,C53/10)</f>
        <v>3300</v>
      </c>
      <c r="AM53" s="16">
        <f ca="1">_xlfn.FLOOR.MATH(AL53/24/3600*控制台!$E$2785)</f>
        <v>68</v>
      </c>
      <c r="AN53" s="15">
        <f ca="1" t="shared" si="10"/>
        <v>3264</v>
      </c>
      <c r="AO53" s="15">
        <f ca="1" t="shared" si="11"/>
        <v>4896</v>
      </c>
      <c r="AP53" s="17">
        <f ca="1" t="shared" si="22"/>
        <v>67622.4</v>
      </c>
      <c r="AQ53" s="15">
        <f ca="1">OFFSET(控制台!$V$2798,MATCH(B53,控制台!$B$2798:$B$2809,0)-2,0)*控制台!$E$2771</f>
        <v>1500000</v>
      </c>
      <c r="AR53" s="15">
        <f ca="1">OFFSET(控制台!$V$2798,MATCH(B53,控制台!$B$2798:$B$2809,0)-1,0)*控制台!$E$2771</f>
        <v>1750000</v>
      </c>
      <c r="AS53" s="15">
        <f ca="1">Lerp_dyy(AQ53,AR53,C53/10)</f>
        <v>1575000</v>
      </c>
      <c r="AT53" s="16">
        <f ca="1">MAX(_xlfn.FLOOR.MATH(AS53/24/3600*控制台!$E$2784)-控制台!$J$2814,0)</f>
        <v>178</v>
      </c>
      <c r="AU53" s="15">
        <f ca="1" t="shared" si="12"/>
        <v>1537920</v>
      </c>
      <c r="AV53" s="15">
        <f ca="1" t="shared" si="13"/>
        <v>2306880</v>
      </c>
      <c r="AW53" s="17">
        <f ca="1" t="shared" si="23"/>
        <v>42253920</v>
      </c>
      <c r="AX53" s="15">
        <f ca="1">OFFSET(控制台!$X$2798,MATCH(B53,控制台!$B$2798:$B$2809,0)-2,0)*控制台!$E$2775</f>
        <v>900</v>
      </c>
      <c r="AY53" s="15">
        <f ca="1">OFFSET(控制台!$X$2798,MATCH(B53,控制台!$B$2798:$B$2809,0)-1,0)*控制台!$E$2775</f>
        <v>1050</v>
      </c>
      <c r="AZ53" s="15">
        <f ca="1">Lerp_dyy(AX53,AY53,C53/10)</f>
        <v>945</v>
      </c>
      <c r="BA53" s="16">
        <f ca="1">_xlfn.FLOOR.MATH(AZ53/24/3600*控制台!$E$2785)</f>
        <v>19</v>
      </c>
      <c r="BB53" s="15">
        <f ca="1" t="shared" si="14"/>
        <v>912</v>
      </c>
      <c r="BC53" s="15">
        <f ca="1" t="shared" si="15"/>
        <v>1368</v>
      </c>
      <c r="BD53" s="17">
        <f ca="1" t="shared" si="24"/>
        <v>25339.2</v>
      </c>
      <c r="BE53" s="1">
        <f ca="1">OFFSET(控制台!$AA$2798,MATCH(B53,控制台!$B$2798:$B$2809,0)-1,0)</f>
        <v>16.6666666666667</v>
      </c>
      <c r="BF53" s="1">
        <f ca="1" t="shared" si="30"/>
        <v>658.333333333335</v>
      </c>
      <c r="BG53" s="17">
        <f ca="1" t="shared" si="25"/>
        <v>11170</v>
      </c>
      <c r="BH53" s="15">
        <f ca="1">OFFSET(控制台!$AD$2798,MATCH(B53,控制台!$B$2798:$B$2809,0)-2,0)</f>
        <v>600</v>
      </c>
      <c r="BI53" s="15">
        <f ca="1">OFFSET(控制台!$AD$2798,MATCH(B53,控制台!$B$2798:$B$2809,0)-1,0)</f>
        <v>1200</v>
      </c>
      <c r="BJ53" s="15">
        <f ca="1">Lerp_dyy(BH53,BI53,C53/10)</f>
        <v>780</v>
      </c>
      <c r="BK53" s="16">
        <f ca="1">_xlfn.FLOOR.MATH(BJ53/24/3600*控制台!$E$2785)</f>
        <v>16</v>
      </c>
      <c r="BL53" s="15">
        <f ca="1" t="shared" si="16"/>
        <v>768</v>
      </c>
      <c r="BM53" s="15">
        <f ca="1" t="shared" si="17"/>
        <v>1152</v>
      </c>
      <c r="BN53" s="17">
        <f ca="1" t="shared" si="26"/>
        <v>13660.8</v>
      </c>
    </row>
    <row r="54" s="15" customFormat="1" spans="1:66">
      <c r="A54" s="15">
        <f t="shared" si="2"/>
        <v>604</v>
      </c>
      <c r="B54" s="15">
        <v>6</v>
      </c>
      <c r="C54" s="15">
        <v>4</v>
      </c>
      <c r="D54" s="15">
        <f ca="1">OFFSET(控制台!$D$2798,MATCH(B54,控制台!$B$2798:$B$2809,0)-2,0)*控制台!$E$2751</f>
        <v>3000000</v>
      </c>
      <c r="E54" s="15">
        <f ca="1">OFFSET(控制台!$D$2798,MATCH(B54,控制台!$B$2798:$B$2809,0)-1,0)*控制台!$E$2751</f>
        <v>3500000</v>
      </c>
      <c r="F54" s="15">
        <f ca="1">Lerp_dyy(D54,E54,C54/10)</f>
        <v>3200000</v>
      </c>
      <c r="G54" s="16">
        <f ca="1">_xlfn.FLOOR.MATH(F54/24/3600*控制台!$E$2784)-控制台!$E$2814</f>
        <v>362</v>
      </c>
      <c r="H54" s="15">
        <f ca="1" t="shared" si="3"/>
        <v>3127680</v>
      </c>
      <c r="I54" s="15">
        <f ca="1">IF(B54=1,0,OFFSET(控制台!$B$865,MATCH(B54-1,控制台!$G$865:$G$936,0)-1,0))</f>
        <v>35</v>
      </c>
      <c r="J54" s="15">
        <f ca="1">OFFSET(控制台!$B$865,MATCH(B54,控制台!$G$865:$G$936,0)-1,0)</f>
        <v>50</v>
      </c>
      <c r="K54" s="15">
        <f ca="1" t="shared" si="27"/>
        <v>1.5</v>
      </c>
      <c r="L54" s="17">
        <f ca="1">Lerp_dyy(I54,J54,C54/10)</f>
        <v>41</v>
      </c>
      <c r="M54" s="15">
        <f ca="1" t="shared" si="5"/>
        <v>4691520</v>
      </c>
      <c r="N54" s="17">
        <f ca="1" t="shared" si="18"/>
        <v>91892448</v>
      </c>
      <c r="O54" s="15">
        <f ca="1">OFFSET(控制台!$F$2798,MATCH(B54,控制台!$B$2798:$B$2809,0)-2,0)*控制台!$E$2755</f>
        <v>1800</v>
      </c>
      <c r="P54" s="15">
        <f ca="1">OFFSET(控制台!$F$2798,MATCH(B54,控制台!$B$2798:$B$2809,0)-1,0)*控制台!$E$2755</f>
        <v>2100</v>
      </c>
      <c r="Q54" s="15">
        <f ca="1">Lerp_dyy(O54,P54,C54/10)</f>
        <v>1920</v>
      </c>
      <c r="R54" s="16">
        <f ca="1">_xlfn.FLOOR.MATH(Q54/24/3600*控制台!$E$2785)</f>
        <v>40</v>
      </c>
      <c r="S54" s="15">
        <f ca="1" t="shared" si="6"/>
        <v>1920</v>
      </c>
      <c r="T54" s="15">
        <f ca="1" t="shared" si="7"/>
        <v>2880</v>
      </c>
      <c r="U54" s="17">
        <f ca="1" t="shared" si="19"/>
        <v>56107.2</v>
      </c>
      <c r="V54" s="15">
        <f ca="1">OFFSET(控制台!$I$2798,MATCH(B54,控制台!$B$2798:$B$2809,0)-2,0)*控制台!$E$2791</f>
        <v>937.5</v>
      </c>
      <c r="W54" s="15">
        <f ca="1">OFFSET(控制台!$I$2798,MATCH(B54,控制台!$B$2798:$B$2809,0)-1,0)*控制台!$E$2791</f>
        <v>1250</v>
      </c>
      <c r="X54" s="15">
        <f ca="1">Lerp_dyy(V54,W54,C54/10)</f>
        <v>1062.5</v>
      </c>
      <c r="Y54" s="16">
        <f ca="1">_xlfn.FLOOR.MATH(X54)</f>
        <v>1062</v>
      </c>
      <c r="Z54" s="15">
        <f ca="1" t="shared" si="8"/>
        <v>1.2744</v>
      </c>
      <c r="AA54" s="15">
        <f ca="1" t="shared" si="29"/>
        <v>1.9116</v>
      </c>
      <c r="AB54" s="17">
        <f ca="1" t="shared" si="28"/>
        <v>30.52404</v>
      </c>
      <c r="AC54" s="17">
        <f ca="1">AB54*控制台!$E$4819</f>
        <v>24.419232</v>
      </c>
      <c r="AD54" s="17">
        <f ca="1">AB54*控制台!$E$4820</f>
        <v>558.589932</v>
      </c>
      <c r="AE54" s="15">
        <f ca="1">OFFSET(控制台!$L$2798,MATCH(B54,控制台!$B$2798:$B$2809,0)-2,0)*控制台!$E$2763</f>
        <v>900</v>
      </c>
      <c r="AF54" s="15">
        <f ca="1">OFFSET(控制台!$L$2798,MATCH(B54,控制台!$B$2798:$B$2809,0)-1,0)*控制台!$E$2763</f>
        <v>1200</v>
      </c>
      <c r="AG54" s="15">
        <f ca="1">Lerp_dyy(AE54,AF54,C54/10)</f>
        <v>1020</v>
      </c>
      <c r="AH54" s="15">
        <f ca="1" t="shared" si="9"/>
        <v>1530</v>
      </c>
      <c r="AI54" s="17">
        <f ca="1" t="shared" si="21"/>
        <v>21870</v>
      </c>
      <c r="AJ54" s="15">
        <f ca="1">OFFSET(控制台!$P$2798,MATCH(B54,控制台!$B$2798:$B$2809,0)-2,0)</f>
        <v>3000</v>
      </c>
      <c r="AK54" s="15">
        <f ca="1">OFFSET(控制台!$P$2798,MATCH(B54,控制台!$B$2798:$B$2809,0)-1,0)</f>
        <v>4000</v>
      </c>
      <c r="AL54" s="15">
        <f ca="1">Lerp_dyy(AJ54,AK54,C54/10)</f>
        <v>3400</v>
      </c>
      <c r="AM54" s="16">
        <f ca="1">_xlfn.FLOOR.MATH(AL54/24/3600*控制台!$E$2785)</f>
        <v>70</v>
      </c>
      <c r="AN54" s="15">
        <f ca="1" t="shared" si="10"/>
        <v>3360</v>
      </c>
      <c r="AO54" s="15">
        <f ca="1" t="shared" si="11"/>
        <v>5040</v>
      </c>
      <c r="AP54" s="17">
        <f ca="1" t="shared" si="22"/>
        <v>72662.4</v>
      </c>
      <c r="AQ54" s="15">
        <f ca="1">OFFSET(控制台!$V$2798,MATCH(B54,控制台!$B$2798:$B$2809,0)-2,0)*控制台!$E$2771</f>
        <v>1500000</v>
      </c>
      <c r="AR54" s="15">
        <f ca="1">OFFSET(控制台!$V$2798,MATCH(B54,控制台!$B$2798:$B$2809,0)-1,0)*控制台!$E$2771</f>
        <v>1750000</v>
      </c>
      <c r="AS54" s="15">
        <f ca="1">Lerp_dyy(AQ54,AR54,C54/10)</f>
        <v>1600000</v>
      </c>
      <c r="AT54" s="16">
        <f ca="1">MAX(_xlfn.FLOOR.MATH(AS54/24/3600*控制台!$E$2784)-控制台!$J$2814,0)</f>
        <v>181</v>
      </c>
      <c r="AU54" s="15">
        <f ca="1" t="shared" si="12"/>
        <v>1563840</v>
      </c>
      <c r="AV54" s="15">
        <f ca="1" t="shared" si="13"/>
        <v>2345760</v>
      </c>
      <c r="AW54" s="17">
        <f ca="1" t="shared" si="23"/>
        <v>44599680</v>
      </c>
      <c r="AX54" s="15">
        <f ca="1">OFFSET(控制台!$X$2798,MATCH(B54,控制台!$B$2798:$B$2809,0)-2,0)*控制台!$E$2775</f>
        <v>900</v>
      </c>
      <c r="AY54" s="15">
        <f ca="1">OFFSET(控制台!$X$2798,MATCH(B54,控制台!$B$2798:$B$2809,0)-1,0)*控制台!$E$2775</f>
        <v>1050</v>
      </c>
      <c r="AZ54" s="15">
        <f ca="1">Lerp_dyy(AX54,AY54,C54/10)</f>
        <v>960</v>
      </c>
      <c r="BA54" s="16">
        <f ca="1">_xlfn.FLOOR.MATH(AZ54/24/3600*控制台!$E$2785)</f>
        <v>20</v>
      </c>
      <c r="BB54" s="15">
        <f ca="1" t="shared" si="14"/>
        <v>960</v>
      </c>
      <c r="BC54" s="15">
        <f ca="1" t="shared" si="15"/>
        <v>1440</v>
      </c>
      <c r="BD54" s="17">
        <f ca="1" t="shared" si="24"/>
        <v>26779.2</v>
      </c>
      <c r="BE54" s="1">
        <f ca="1">OFFSET(控制台!$AA$2798,MATCH(B54,控制台!$B$2798:$B$2809,0)-1,0)</f>
        <v>16.6666666666667</v>
      </c>
      <c r="BF54" s="1">
        <f ca="1" t="shared" si="30"/>
        <v>683.333333333335</v>
      </c>
      <c r="BG54" s="17">
        <f ca="1" t="shared" si="25"/>
        <v>11853.3333333333</v>
      </c>
      <c r="BH54" s="15">
        <f ca="1">OFFSET(控制台!$AD$2798,MATCH(B54,控制台!$B$2798:$B$2809,0)-2,0)</f>
        <v>600</v>
      </c>
      <c r="BI54" s="15">
        <f ca="1">OFFSET(控制台!$AD$2798,MATCH(B54,控制台!$B$2798:$B$2809,0)-1,0)</f>
        <v>1200</v>
      </c>
      <c r="BJ54" s="15">
        <f ca="1">Lerp_dyy(BH54,BI54,C54/10)</f>
        <v>840</v>
      </c>
      <c r="BK54" s="16">
        <f ca="1">_xlfn.FLOOR.MATH(BJ54/24/3600*控制台!$E$2785)</f>
        <v>17</v>
      </c>
      <c r="BL54" s="15">
        <f ca="1" t="shared" si="16"/>
        <v>816</v>
      </c>
      <c r="BM54" s="15">
        <f ca="1" t="shared" si="17"/>
        <v>1224</v>
      </c>
      <c r="BN54" s="17">
        <f ca="1" t="shared" si="26"/>
        <v>14884.8</v>
      </c>
    </row>
    <row r="55" s="15" customFormat="1" spans="1:66">
      <c r="A55" s="15">
        <f t="shared" si="2"/>
        <v>605</v>
      </c>
      <c r="B55" s="15">
        <v>6</v>
      </c>
      <c r="C55" s="15">
        <v>5</v>
      </c>
      <c r="D55" s="15">
        <f ca="1">OFFSET(控制台!$D$2798,MATCH(B55,控制台!$B$2798:$B$2809,0)-2,0)*控制台!$E$2751</f>
        <v>3000000</v>
      </c>
      <c r="E55" s="15">
        <f ca="1">OFFSET(控制台!$D$2798,MATCH(B55,控制台!$B$2798:$B$2809,0)-1,0)*控制台!$E$2751</f>
        <v>3500000</v>
      </c>
      <c r="F55" s="15">
        <f ca="1">Lerp_dyy(D55,E55,C55/10)</f>
        <v>3250000</v>
      </c>
      <c r="G55" s="16">
        <f ca="1">_xlfn.FLOOR.MATH(F55/24/3600*控制台!$E$2784)-控制台!$E$2814</f>
        <v>368</v>
      </c>
      <c r="H55" s="15">
        <f ca="1" t="shared" si="3"/>
        <v>3179520</v>
      </c>
      <c r="I55" s="15">
        <f ca="1">IF(B55=1,0,OFFSET(控制台!$B$865,MATCH(B55-1,控制台!$G$865:$G$936,0)-1,0))</f>
        <v>35</v>
      </c>
      <c r="J55" s="15">
        <f ca="1">OFFSET(控制台!$B$865,MATCH(B55,控制台!$G$865:$G$936,0)-1,0)</f>
        <v>50</v>
      </c>
      <c r="K55" s="15">
        <f ca="1" t="shared" si="27"/>
        <v>1.5</v>
      </c>
      <c r="L55" s="17">
        <f ca="1">Lerp_dyy(I55,J55,C55/10)</f>
        <v>42.5</v>
      </c>
      <c r="M55" s="15">
        <f ca="1" t="shared" si="5"/>
        <v>4769280</v>
      </c>
      <c r="N55" s="17">
        <f ca="1" t="shared" si="18"/>
        <v>96661728</v>
      </c>
      <c r="O55" s="15">
        <f ca="1">OFFSET(控制台!$F$2798,MATCH(B55,控制台!$B$2798:$B$2809,0)-2,0)*控制台!$E$2755</f>
        <v>1800</v>
      </c>
      <c r="P55" s="15">
        <f ca="1">OFFSET(控制台!$F$2798,MATCH(B55,控制台!$B$2798:$B$2809,0)-1,0)*控制台!$E$2755</f>
        <v>2100</v>
      </c>
      <c r="Q55" s="15">
        <f ca="1">Lerp_dyy(O55,P55,C55/10)</f>
        <v>1950</v>
      </c>
      <c r="R55" s="16">
        <f ca="1">_xlfn.FLOOR.MATH(Q55/24/3600*控制台!$E$2785)</f>
        <v>40</v>
      </c>
      <c r="S55" s="15">
        <f ca="1" t="shared" si="6"/>
        <v>1920</v>
      </c>
      <c r="T55" s="15">
        <f ca="1" t="shared" si="7"/>
        <v>2880</v>
      </c>
      <c r="U55" s="17">
        <f ca="1" t="shared" si="19"/>
        <v>58987.2</v>
      </c>
      <c r="V55" s="15">
        <f ca="1">OFFSET(控制台!$I$2798,MATCH(B55,控制台!$B$2798:$B$2809,0)-2,0)*控制台!$E$2791</f>
        <v>937.5</v>
      </c>
      <c r="W55" s="15">
        <f ca="1">OFFSET(控制台!$I$2798,MATCH(B55,控制台!$B$2798:$B$2809,0)-1,0)*控制台!$E$2791</f>
        <v>1250</v>
      </c>
      <c r="X55" s="15">
        <f ca="1">Lerp_dyy(V55,W55,C55/10)</f>
        <v>1093.75</v>
      </c>
      <c r="Y55" s="16">
        <f ca="1">_xlfn.FLOOR.MATH(X55)</f>
        <v>1093</v>
      </c>
      <c r="Z55" s="15">
        <f ca="1" t="shared" si="8"/>
        <v>1.3116</v>
      </c>
      <c r="AA55" s="15">
        <f ca="1" t="shared" si="29"/>
        <v>1.9674</v>
      </c>
      <c r="AB55" s="17">
        <f ca="1" t="shared" si="28"/>
        <v>32.49144</v>
      </c>
      <c r="AC55" s="17">
        <f ca="1">AB55*控制台!$E$4819</f>
        <v>25.993152</v>
      </c>
      <c r="AD55" s="17">
        <f ca="1">AB55*控制台!$E$4820</f>
        <v>594.593352</v>
      </c>
      <c r="AE55" s="15">
        <f ca="1">OFFSET(控制台!$L$2798,MATCH(B55,控制台!$B$2798:$B$2809,0)-2,0)*控制台!$E$2763</f>
        <v>900</v>
      </c>
      <c r="AF55" s="15">
        <f ca="1">OFFSET(控制台!$L$2798,MATCH(B55,控制台!$B$2798:$B$2809,0)-1,0)*控制台!$E$2763</f>
        <v>1200</v>
      </c>
      <c r="AG55" s="15">
        <f ca="1">Lerp_dyy(AE55,AF55,C55/10)</f>
        <v>1050</v>
      </c>
      <c r="AH55" s="15">
        <f ca="1" t="shared" si="9"/>
        <v>1575</v>
      </c>
      <c r="AI55" s="17">
        <f ca="1" t="shared" si="21"/>
        <v>23445</v>
      </c>
      <c r="AJ55" s="15">
        <f ca="1">OFFSET(控制台!$P$2798,MATCH(B55,控制台!$B$2798:$B$2809,0)-2,0)</f>
        <v>3000</v>
      </c>
      <c r="AK55" s="15">
        <f ca="1">OFFSET(控制台!$P$2798,MATCH(B55,控制台!$B$2798:$B$2809,0)-1,0)</f>
        <v>4000</v>
      </c>
      <c r="AL55" s="15">
        <f ca="1">Lerp_dyy(AJ55,AK55,C55/10)</f>
        <v>3500</v>
      </c>
      <c r="AM55" s="16">
        <f ca="1">_xlfn.FLOOR.MATH(AL55/24/3600*控制台!$E$2785)</f>
        <v>72</v>
      </c>
      <c r="AN55" s="15">
        <f ca="1" t="shared" si="10"/>
        <v>3456</v>
      </c>
      <c r="AO55" s="15">
        <f ca="1" t="shared" si="11"/>
        <v>5184</v>
      </c>
      <c r="AP55" s="17">
        <f ca="1" t="shared" si="22"/>
        <v>77846.4</v>
      </c>
      <c r="AQ55" s="15">
        <f ca="1">OFFSET(控制台!$V$2798,MATCH(B55,控制台!$B$2798:$B$2809,0)-2,0)*控制台!$E$2771</f>
        <v>1500000</v>
      </c>
      <c r="AR55" s="15">
        <f ca="1">OFFSET(控制台!$V$2798,MATCH(B55,控制台!$B$2798:$B$2809,0)-1,0)*控制台!$E$2771</f>
        <v>1750000</v>
      </c>
      <c r="AS55" s="15">
        <f ca="1">Lerp_dyy(AQ55,AR55,C55/10)</f>
        <v>1625000</v>
      </c>
      <c r="AT55" s="16">
        <f ca="1">MAX(_xlfn.FLOOR.MATH(AS55/24/3600*控制台!$E$2784)-控制台!$J$2814,0)</f>
        <v>184</v>
      </c>
      <c r="AU55" s="15">
        <f ca="1" t="shared" si="12"/>
        <v>1589760</v>
      </c>
      <c r="AV55" s="15">
        <f ca="1" t="shared" si="13"/>
        <v>2384640</v>
      </c>
      <c r="AW55" s="17">
        <f ca="1" t="shared" si="23"/>
        <v>46984320</v>
      </c>
      <c r="AX55" s="15">
        <f ca="1">OFFSET(控制台!$X$2798,MATCH(B55,控制台!$B$2798:$B$2809,0)-2,0)*控制台!$E$2775</f>
        <v>900</v>
      </c>
      <c r="AY55" s="15">
        <f ca="1">OFFSET(控制台!$X$2798,MATCH(B55,控制台!$B$2798:$B$2809,0)-1,0)*控制台!$E$2775</f>
        <v>1050</v>
      </c>
      <c r="AZ55" s="15">
        <f ca="1">Lerp_dyy(AX55,AY55,C55/10)</f>
        <v>975</v>
      </c>
      <c r="BA55" s="16">
        <f ca="1">_xlfn.FLOOR.MATH(AZ55/24/3600*控制台!$E$2785)</f>
        <v>20</v>
      </c>
      <c r="BB55" s="15">
        <f ca="1" t="shared" si="14"/>
        <v>960</v>
      </c>
      <c r="BC55" s="15">
        <f ca="1" t="shared" si="15"/>
        <v>1440</v>
      </c>
      <c r="BD55" s="17">
        <f ca="1" t="shared" si="24"/>
        <v>28219.2</v>
      </c>
      <c r="BE55" s="1">
        <f ca="1">OFFSET(控制台!$AA$2798,MATCH(B55,控制台!$B$2798:$B$2809,0)-1,0)</f>
        <v>16.6666666666667</v>
      </c>
      <c r="BF55" s="1">
        <f ca="1" t="shared" si="30"/>
        <v>708.333333333335</v>
      </c>
      <c r="BG55" s="17">
        <f ca="1" t="shared" si="25"/>
        <v>12561.6666666667</v>
      </c>
      <c r="BH55" s="15">
        <f ca="1">OFFSET(控制台!$AD$2798,MATCH(B55,控制台!$B$2798:$B$2809,0)-2,0)</f>
        <v>600</v>
      </c>
      <c r="BI55" s="15">
        <f ca="1">OFFSET(控制台!$AD$2798,MATCH(B55,控制台!$B$2798:$B$2809,0)-1,0)</f>
        <v>1200</v>
      </c>
      <c r="BJ55" s="15">
        <f ca="1">Lerp_dyy(BH55,BI55,C55/10)</f>
        <v>900</v>
      </c>
      <c r="BK55" s="16">
        <f ca="1">_xlfn.FLOOR.MATH(BJ55/24/3600*控制台!$E$2785)</f>
        <v>18</v>
      </c>
      <c r="BL55" s="15">
        <f ca="1" t="shared" si="16"/>
        <v>864</v>
      </c>
      <c r="BM55" s="15">
        <f ca="1" t="shared" si="17"/>
        <v>1296</v>
      </c>
      <c r="BN55" s="17">
        <f ca="1" t="shared" si="26"/>
        <v>16180.8</v>
      </c>
    </row>
    <row r="56" s="15" customFormat="1" spans="1:66">
      <c r="A56" s="15">
        <f t="shared" si="2"/>
        <v>606</v>
      </c>
      <c r="B56" s="15">
        <v>6</v>
      </c>
      <c r="C56" s="15">
        <v>6</v>
      </c>
      <c r="D56" s="15">
        <f ca="1">OFFSET(控制台!$D$2798,MATCH(B56,控制台!$B$2798:$B$2809,0)-2,0)*控制台!$E$2751</f>
        <v>3000000</v>
      </c>
      <c r="E56" s="15">
        <f ca="1">OFFSET(控制台!$D$2798,MATCH(B56,控制台!$B$2798:$B$2809,0)-1,0)*控制台!$E$2751</f>
        <v>3500000</v>
      </c>
      <c r="F56" s="15">
        <f ca="1">Lerp_dyy(D56,E56,C56/10)</f>
        <v>3300000</v>
      </c>
      <c r="G56" s="16">
        <f ca="1">_xlfn.FLOOR.MATH(F56/24/3600*控制台!$E$2784)-控制台!$E$2814</f>
        <v>373</v>
      </c>
      <c r="H56" s="15">
        <f ca="1" t="shared" si="3"/>
        <v>3222720</v>
      </c>
      <c r="I56" s="15">
        <f ca="1">IF(B56=1,0,OFFSET(控制台!$B$865,MATCH(B56-1,控制台!$G$865:$G$936,0)-1,0))</f>
        <v>35</v>
      </c>
      <c r="J56" s="15">
        <f ca="1">OFFSET(控制台!$B$865,MATCH(B56,控制台!$G$865:$G$936,0)-1,0)</f>
        <v>50</v>
      </c>
      <c r="K56" s="15">
        <f ca="1" t="shared" si="27"/>
        <v>1.5</v>
      </c>
      <c r="L56" s="17">
        <f ca="1">Lerp_dyy(I56,J56,C56/10)</f>
        <v>44</v>
      </c>
      <c r="M56" s="15">
        <f ca="1" t="shared" si="5"/>
        <v>4834080</v>
      </c>
      <c r="N56" s="17">
        <f ca="1" t="shared" si="18"/>
        <v>101495808</v>
      </c>
      <c r="O56" s="15">
        <f ca="1">OFFSET(控制台!$F$2798,MATCH(B56,控制台!$B$2798:$B$2809,0)-2,0)*控制台!$E$2755</f>
        <v>1800</v>
      </c>
      <c r="P56" s="15">
        <f ca="1">OFFSET(控制台!$F$2798,MATCH(B56,控制台!$B$2798:$B$2809,0)-1,0)*控制台!$E$2755</f>
        <v>2100</v>
      </c>
      <c r="Q56" s="15">
        <f ca="1">Lerp_dyy(O56,P56,C56/10)</f>
        <v>1980</v>
      </c>
      <c r="R56" s="16">
        <f ca="1">_xlfn.FLOOR.MATH(Q56/24/3600*控制台!$E$2785)</f>
        <v>41</v>
      </c>
      <c r="S56" s="15">
        <f ca="1" t="shared" si="6"/>
        <v>1968</v>
      </c>
      <c r="T56" s="15">
        <f ca="1" t="shared" si="7"/>
        <v>2952</v>
      </c>
      <c r="U56" s="17">
        <f ca="1" t="shared" si="19"/>
        <v>61939.2</v>
      </c>
      <c r="V56" s="15">
        <f ca="1">OFFSET(控制台!$I$2798,MATCH(B56,控制台!$B$2798:$B$2809,0)-2,0)*控制台!$E$2791</f>
        <v>937.5</v>
      </c>
      <c r="W56" s="15">
        <f ca="1">OFFSET(控制台!$I$2798,MATCH(B56,控制台!$B$2798:$B$2809,0)-1,0)*控制台!$E$2791</f>
        <v>1250</v>
      </c>
      <c r="X56" s="15">
        <f ca="1">Lerp_dyy(V56,W56,C56/10)</f>
        <v>1125</v>
      </c>
      <c r="Y56" s="16">
        <f ca="1">_xlfn.FLOOR.MATH(X56)</f>
        <v>1125</v>
      </c>
      <c r="Z56" s="15">
        <f ca="1" t="shared" si="8"/>
        <v>1.35</v>
      </c>
      <c r="AA56" s="15">
        <f ca="1" t="shared" si="29"/>
        <v>2.025</v>
      </c>
      <c r="AB56" s="17">
        <f ca="1" t="shared" si="28"/>
        <v>34.51644</v>
      </c>
      <c r="AC56" s="17">
        <f ca="1">AB56*控制台!$E$4819</f>
        <v>27.613152</v>
      </c>
      <c r="AD56" s="17">
        <f ca="1">AB56*控制台!$E$4820</f>
        <v>631.650852</v>
      </c>
      <c r="AE56" s="15">
        <f ca="1">OFFSET(控制台!$L$2798,MATCH(B56,控制台!$B$2798:$B$2809,0)-2,0)*控制台!$E$2763</f>
        <v>900</v>
      </c>
      <c r="AF56" s="15">
        <f ca="1">OFFSET(控制台!$L$2798,MATCH(B56,控制台!$B$2798:$B$2809,0)-1,0)*控制台!$E$2763</f>
        <v>1200</v>
      </c>
      <c r="AG56" s="15">
        <f ca="1">Lerp_dyy(AE56,AF56,C56/10)</f>
        <v>1080</v>
      </c>
      <c r="AH56" s="15">
        <f ca="1" t="shared" si="9"/>
        <v>1620</v>
      </c>
      <c r="AI56" s="17">
        <f ca="1" t="shared" si="21"/>
        <v>25065</v>
      </c>
      <c r="AJ56" s="15">
        <f ca="1">OFFSET(控制台!$P$2798,MATCH(B56,控制台!$B$2798:$B$2809,0)-2,0)</f>
        <v>3000</v>
      </c>
      <c r="AK56" s="15">
        <f ca="1">OFFSET(控制台!$P$2798,MATCH(B56,控制台!$B$2798:$B$2809,0)-1,0)</f>
        <v>4000</v>
      </c>
      <c r="AL56" s="15">
        <f ca="1">Lerp_dyy(AJ56,AK56,C56/10)</f>
        <v>3600</v>
      </c>
      <c r="AM56" s="16">
        <f ca="1">_xlfn.FLOOR.MATH(AL56/24/3600*控制台!$E$2785)</f>
        <v>75</v>
      </c>
      <c r="AN56" s="15">
        <f ca="1" t="shared" si="10"/>
        <v>3600</v>
      </c>
      <c r="AO56" s="15">
        <f ca="1" t="shared" si="11"/>
        <v>5400</v>
      </c>
      <c r="AP56" s="17">
        <f ca="1" t="shared" si="22"/>
        <v>83246.4</v>
      </c>
      <c r="AQ56" s="15">
        <f ca="1">OFFSET(控制台!$V$2798,MATCH(B56,控制台!$B$2798:$B$2809,0)-2,0)*控制台!$E$2771</f>
        <v>1500000</v>
      </c>
      <c r="AR56" s="15">
        <f ca="1">OFFSET(控制台!$V$2798,MATCH(B56,控制台!$B$2798:$B$2809,0)-1,0)*控制台!$E$2771</f>
        <v>1750000</v>
      </c>
      <c r="AS56" s="15">
        <f ca="1">Lerp_dyy(AQ56,AR56,C56/10)</f>
        <v>1650000</v>
      </c>
      <c r="AT56" s="16">
        <f ca="1">MAX(_xlfn.FLOOR.MATH(AS56/24/3600*控制台!$E$2784)-控制台!$J$2814,0)</f>
        <v>186</v>
      </c>
      <c r="AU56" s="15">
        <f ca="1" t="shared" si="12"/>
        <v>1607040</v>
      </c>
      <c r="AV56" s="15">
        <f ca="1" t="shared" si="13"/>
        <v>2410560</v>
      </c>
      <c r="AW56" s="17">
        <f ca="1" t="shared" si="23"/>
        <v>49394880</v>
      </c>
      <c r="AX56" s="15">
        <f ca="1">OFFSET(控制台!$X$2798,MATCH(B56,控制台!$B$2798:$B$2809,0)-2,0)*控制台!$E$2775</f>
        <v>900</v>
      </c>
      <c r="AY56" s="15">
        <f ca="1">OFFSET(控制台!$X$2798,MATCH(B56,控制台!$B$2798:$B$2809,0)-1,0)*控制台!$E$2775</f>
        <v>1050</v>
      </c>
      <c r="AZ56" s="15">
        <f ca="1">Lerp_dyy(AX56,AY56,C56/10)</f>
        <v>990</v>
      </c>
      <c r="BA56" s="16">
        <f ca="1">_xlfn.FLOOR.MATH(AZ56/24/3600*控制台!$E$2785)</f>
        <v>20</v>
      </c>
      <c r="BB56" s="15">
        <f ca="1" t="shared" si="14"/>
        <v>960</v>
      </c>
      <c r="BC56" s="15">
        <f ca="1" t="shared" si="15"/>
        <v>1440</v>
      </c>
      <c r="BD56" s="17">
        <f ca="1" t="shared" si="24"/>
        <v>29659.2</v>
      </c>
      <c r="BE56" s="1">
        <f ca="1">OFFSET(控制台!$AA$2798,MATCH(B56,控制台!$B$2798:$B$2809,0)-1,0)</f>
        <v>16.6666666666667</v>
      </c>
      <c r="BF56" s="1">
        <f ca="1" t="shared" si="30"/>
        <v>733.333333333335</v>
      </c>
      <c r="BG56" s="17">
        <f ca="1" t="shared" si="25"/>
        <v>13295</v>
      </c>
      <c r="BH56" s="15">
        <f ca="1">OFFSET(控制台!$AD$2798,MATCH(B56,控制台!$B$2798:$B$2809,0)-2,0)</f>
        <v>600</v>
      </c>
      <c r="BI56" s="15">
        <f ca="1">OFFSET(控制台!$AD$2798,MATCH(B56,控制台!$B$2798:$B$2809,0)-1,0)</f>
        <v>1200</v>
      </c>
      <c r="BJ56" s="15">
        <f ca="1">Lerp_dyy(BH56,BI56,C56/10)</f>
        <v>960</v>
      </c>
      <c r="BK56" s="16">
        <f ca="1">_xlfn.FLOOR.MATH(BJ56/24/3600*控制台!$E$2785)</f>
        <v>20</v>
      </c>
      <c r="BL56" s="15">
        <f ca="1" t="shared" si="16"/>
        <v>960</v>
      </c>
      <c r="BM56" s="15">
        <f ca="1" t="shared" si="17"/>
        <v>1440</v>
      </c>
      <c r="BN56" s="17">
        <f ca="1" t="shared" si="26"/>
        <v>17620.8</v>
      </c>
    </row>
    <row r="57" s="15" customFormat="1" spans="1:66">
      <c r="A57" s="15">
        <f t="shared" si="2"/>
        <v>607</v>
      </c>
      <c r="B57" s="15">
        <v>6</v>
      </c>
      <c r="C57" s="15">
        <v>7</v>
      </c>
      <c r="D57" s="15">
        <f ca="1">OFFSET(控制台!$D$2798,MATCH(B57,控制台!$B$2798:$B$2809,0)-2,0)*控制台!$E$2751</f>
        <v>3000000</v>
      </c>
      <c r="E57" s="15">
        <f ca="1">OFFSET(控制台!$D$2798,MATCH(B57,控制台!$B$2798:$B$2809,0)-1,0)*控制台!$E$2751</f>
        <v>3500000</v>
      </c>
      <c r="F57" s="15">
        <f ca="1">Lerp_dyy(D57,E57,C57/10)</f>
        <v>3350000</v>
      </c>
      <c r="G57" s="16">
        <f ca="1">_xlfn.FLOOR.MATH(F57/24/3600*控制台!$E$2784)-控制台!$E$2814</f>
        <v>379</v>
      </c>
      <c r="H57" s="15">
        <f ca="1" t="shared" si="3"/>
        <v>3274560</v>
      </c>
      <c r="I57" s="15">
        <f ca="1">IF(B57=1,0,OFFSET(控制台!$B$865,MATCH(B57-1,控制台!$G$865:$G$936,0)-1,0))</f>
        <v>35</v>
      </c>
      <c r="J57" s="15">
        <f ca="1">OFFSET(控制台!$B$865,MATCH(B57,控制台!$G$865:$G$936,0)-1,0)</f>
        <v>50</v>
      </c>
      <c r="K57" s="15">
        <f ca="1" t="shared" si="27"/>
        <v>1.5</v>
      </c>
      <c r="L57" s="17">
        <f ca="1">Lerp_dyy(I57,J57,C57/10)</f>
        <v>45.5</v>
      </c>
      <c r="M57" s="15">
        <f ca="1" t="shared" si="5"/>
        <v>4911840</v>
      </c>
      <c r="N57" s="17">
        <f ca="1" t="shared" si="18"/>
        <v>106407648</v>
      </c>
      <c r="O57" s="15">
        <f ca="1">OFFSET(控制台!$F$2798,MATCH(B57,控制台!$B$2798:$B$2809,0)-2,0)*控制台!$E$2755</f>
        <v>1800</v>
      </c>
      <c r="P57" s="15">
        <f ca="1">OFFSET(控制台!$F$2798,MATCH(B57,控制台!$B$2798:$B$2809,0)-1,0)*控制台!$E$2755</f>
        <v>2100</v>
      </c>
      <c r="Q57" s="15">
        <f ca="1">Lerp_dyy(O57,P57,C57/10)</f>
        <v>2010</v>
      </c>
      <c r="R57" s="16">
        <f ca="1">_xlfn.FLOOR.MATH(Q57/24/3600*控制台!$E$2785)</f>
        <v>41</v>
      </c>
      <c r="S57" s="15">
        <f ca="1" t="shared" si="6"/>
        <v>1968</v>
      </c>
      <c r="T57" s="15">
        <f ca="1" t="shared" si="7"/>
        <v>2952</v>
      </c>
      <c r="U57" s="17">
        <f ca="1" t="shared" si="19"/>
        <v>64891.2</v>
      </c>
      <c r="V57" s="15">
        <f ca="1">OFFSET(控制台!$I$2798,MATCH(B57,控制台!$B$2798:$B$2809,0)-2,0)*控制台!$E$2791</f>
        <v>937.5</v>
      </c>
      <c r="W57" s="15">
        <f ca="1">OFFSET(控制台!$I$2798,MATCH(B57,控制台!$B$2798:$B$2809,0)-1,0)*控制台!$E$2791</f>
        <v>1250</v>
      </c>
      <c r="X57" s="15">
        <f ca="1">Lerp_dyy(V57,W57,C57/10)</f>
        <v>1156.25</v>
      </c>
      <c r="Y57" s="16">
        <f ca="1">_xlfn.FLOOR.MATH(X57)</f>
        <v>1156</v>
      </c>
      <c r="Z57" s="15">
        <f ca="1" t="shared" si="8"/>
        <v>1.3872</v>
      </c>
      <c r="AA57" s="15">
        <f ca="1" t="shared" si="29"/>
        <v>2.0808</v>
      </c>
      <c r="AB57" s="17">
        <f ca="1" t="shared" si="28"/>
        <v>36.59724</v>
      </c>
      <c r="AC57" s="17">
        <f ca="1">AB57*控制台!$E$4819</f>
        <v>29.277792</v>
      </c>
      <c r="AD57" s="17">
        <f ca="1">AB57*控制台!$E$4820</f>
        <v>669.729492</v>
      </c>
      <c r="AE57" s="15">
        <f ca="1">OFFSET(控制台!$L$2798,MATCH(B57,控制台!$B$2798:$B$2809,0)-2,0)*控制台!$E$2763</f>
        <v>900</v>
      </c>
      <c r="AF57" s="15">
        <f ca="1">OFFSET(控制台!$L$2798,MATCH(B57,控制台!$B$2798:$B$2809,0)-1,0)*控制台!$E$2763</f>
        <v>1200</v>
      </c>
      <c r="AG57" s="15">
        <f ca="1">Lerp_dyy(AE57,AF57,C57/10)</f>
        <v>1110</v>
      </c>
      <c r="AH57" s="15">
        <f ca="1" t="shared" si="9"/>
        <v>1665</v>
      </c>
      <c r="AI57" s="17">
        <f ca="1" t="shared" si="21"/>
        <v>26730</v>
      </c>
      <c r="AJ57" s="15">
        <f ca="1">OFFSET(控制台!$P$2798,MATCH(B57,控制台!$B$2798:$B$2809,0)-2,0)</f>
        <v>3000</v>
      </c>
      <c r="AK57" s="15">
        <f ca="1">OFFSET(控制台!$P$2798,MATCH(B57,控制台!$B$2798:$B$2809,0)-1,0)</f>
        <v>4000</v>
      </c>
      <c r="AL57" s="15">
        <f ca="1">Lerp_dyy(AJ57,AK57,C57/10)</f>
        <v>3700</v>
      </c>
      <c r="AM57" s="16">
        <f ca="1">_xlfn.FLOOR.MATH(AL57/24/3600*控制台!$E$2785)</f>
        <v>77</v>
      </c>
      <c r="AN57" s="15">
        <f ca="1" t="shared" si="10"/>
        <v>3696</v>
      </c>
      <c r="AO57" s="15">
        <f ca="1" t="shared" si="11"/>
        <v>5544</v>
      </c>
      <c r="AP57" s="17">
        <f ca="1" t="shared" si="22"/>
        <v>88790.4</v>
      </c>
      <c r="AQ57" s="15">
        <f ca="1">OFFSET(控制台!$V$2798,MATCH(B57,控制台!$B$2798:$B$2809,0)-2,0)*控制台!$E$2771</f>
        <v>1500000</v>
      </c>
      <c r="AR57" s="15">
        <f ca="1">OFFSET(控制台!$V$2798,MATCH(B57,控制台!$B$2798:$B$2809,0)-1,0)*控制台!$E$2771</f>
        <v>1750000</v>
      </c>
      <c r="AS57" s="15">
        <f ca="1">Lerp_dyy(AQ57,AR57,C57/10)</f>
        <v>1675000</v>
      </c>
      <c r="AT57" s="16">
        <f ca="1">MAX(_xlfn.FLOOR.MATH(AS57/24/3600*控制台!$E$2784)-控制台!$J$2814,0)</f>
        <v>189</v>
      </c>
      <c r="AU57" s="15">
        <f ca="1" t="shared" si="12"/>
        <v>1632960</v>
      </c>
      <c r="AV57" s="15">
        <f ca="1" t="shared" si="13"/>
        <v>2449440</v>
      </c>
      <c r="AW57" s="17">
        <f ca="1" t="shared" si="23"/>
        <v>51844320</v>
      </c>
      <c r="AX57" s="15">
        <f ca="1">OFFSET(控制台!$X$2798,MATCH(B57,控制台!$B$2798:$B$2809,0)-2,0)*控制台!$E$2775</f>
        <v>900</v>
      </c>
      <c r="AY57" s="15">
        <f ca="1">OFFSET(控制台!$X$2798,MATCH(B57,控制台!$B$2798:$B$2809,0)-1,0)*控制台!$E$2775</f>
        <v>1050</v>
      </c>
      <c r="AZ57" s="15">
        <f ca="1">Lerp_dyy(AX57,AY57,C57/10)</f>
        <v>1005</v>
      </c>
      <c r="BA57" s="16">
        <f ca="1">_xlfn.FLOOR.MATH(AZ57/24/3600*控制台!$E$2785)</f>
        <v>20</v>
      </c>
      <c r="BB57" s="15">
        <f ca="1" t="shared" si="14"/>
        <v>960</v>
      </c>
      <c r="BC57" s="15">
        <f ca="1" t="shared" si="15"/>
        <v>1440</v>
      </c>
      <c r="BD57" s="17">
        <f ca="1" t="shared" si="24"/>
        <v>31099.2</v>
      </c>
      <c r="BE57" s="1">
        <f ca="1">OFFSET(控制台!$AA$2798,MATCH(B57,控制台!$B$2798:$B$2809,0)-1,0)</f>
        <v>16.6666666666667</v>
      </c>
      <c r="BF57" s="1">
        <f ca="1" t="shared" si="30"/>
        <v>758.333333333335</v>
      </c>
      <c r="BG57" s="17">
        <f ca="1" t="shared" si="25"/>
        <v>14053.3333333333</v>
      </c>
      <c r="BH57" s="15">
        <f ca="1">OFFSET(控制台!$AD$2798,MATCH(B57,控制台!$B$2798:$B$2809,0)-2,0)</f>
        <v>600</v>
      </c>
      <c r="BI57" s="15">
        <f ca="1">OFFSET(控制台!$AD$2798,MATCH(B57,控制台!$B$2798:$B$2809,0)-1,0)</f>
        <v>1200</v>
      </c>
      <c r="BJ57" s="15">
        <f ca="1">Lerp_dyy(BH57,BI57,C57/10)</f>
        <v>1020</v>
      </c>
      <c r="BK57" s="16">
        <f ca="1">_xlfn.FLOOR.MATH(BJ57/24/3600*控制台!$E$2785)</f>
        <v>21</v>
      </c>
      <c r="BL57" s="15">
        <f ca="1" t="shared" si="16"/>
        <v>1008</v>
      </c>
      <c r="BM57" s="15">
        <f ca="1" t="shared" si="17"/>
        <v>1512</v>
      </c>
      <c r="BN57" s="17">
        <f ca="1" t="shared" si="26"/>
        <v>19132.8</v>
      </c>
    </row>
    <row r="58" s="15" customFormat="1" spans="1:66">
      <c r="A58" s="15">
        <f t="shared" si="2"/>
        <v>608</v>
      </c>
      <c r="B58" s="15">
        <v>6</v>
      </c>
      <c r="C58" s="15">
        <v>8</v>
      </c>
      <c r="D58" s="15">
        <f ca="1">OFFSET(控制台!$D$2798,MATCH(B58,控制台!$B$2798:$B$2809,0)-2,0)*控制台!$E$2751</f>
        <v>3000000</v>
      </c>
      <c r="E58" s="15">
        <f ca="1">OFFSET(控制台!$D$2798,MATCH(B58,控制台!$B$2798:$B$2809,0)-1,0)*控制台!$E$2751</f>
        <v>3500000</v>
      </c>
      <c r="F58" s="15">
        <f ca="1">Lerp_dyy(D58,E58,C58/10)</f>
        <v>3400000</v>
      </c>
      <c r="G58" s="16">
        <f ca="1">_xlfn.FLOOR.MATH(F58/24/3600*控制台!$E$2784)-控制台!$E$2814</f>
        <v>385</v>
      </c>
      <c r="H58" s="15">
        <f ca="1" t="shared" si="3"/>
        <v>3326400</v>
      </c>
      <c r="I58" s="15">
        <f ca="1">IF(B58=1,0,OFFSET(控制台!$B$865,MATCH(B58-1,控制台!$G$865:$G$936,0)-1,0))</f>
        <v>35</v>
      </c>
      <c r="J58" s="15">
        <f ca="1">OFFSET(控制台!$B$865,MATCH(B58,控制台!$G$865:$G$936,0)-1,0)</f>
        <v>50</v>
      </c>
      <c r="K58" s="15">
        <f ca="1" t="shared" si="27"/>
        <v>1.5</v>
      </c>
      <c r="L58" s="17">
        <f ca="1">Lerp_dyy(I58,J58,C58/10)</f>
        <v>47</v>
      </c>
      <c r="M58" s="15">
        <f ca="1" t="shared" si="5"/>
        <v>4989600</v>
      </c>
      <c r="N58" s="17">
        <f ca="1" t="shared" si="18"/>
        <v>111397248</v>
      </c>
      <c r="O58" s="15">
        <f ca="1">OFFSET(控制台!$F$2798,MATCH(B58,控制台!$B$2798:$B$2809,0)-2,0)*控制台!$E$2755</f>
        <v>1800</v>
      </c>
      <c r="P58" s="15">
        <f ca="1">OFFSET(控制台!$F$2798,MATCH(B58,控制台!$B$2798:$B$2809,0)-1,0)*控制台!$E$2755</f>
        <v>2100</v>
      </c>
      <c r="Q58" s="15">
        <f ca="1">Lerp_dyy(O58,P58,C58/10)</f>
        <v>2040</v>
      </c>
      <c r="R58" s="16">
        <f ca="1">_xlfn.FLOOR.MATH(Q58/24/3600*控制台!$E$2785)</f>
        <v>42</v>
      </c>
      <c r="S58" s="15">
        <f ca="1" t="shared" si="6"/>
        <v>2016</v>
      </c>
      <c r="T58" s="15">
        <f ca="1" t="shared" si="7"/>
        <v>3024</v>
      </c>
      <c r="U58" s="17">
        <f ca="1" t="shared" si="19"/>
        <v>67915.2</v>
      </c>
      <c r="V58" s="15">
        <f ca="1">OFFSET(控制台!$I$2798,MATCH(B58,控制台!$B$2798:$B$2809,0)-2,0)*控制台!$E$2791</f>
        <v>937.5</v>
      </c>
      <c r="W58" s="15">
        <f ca="1">OFFSET(控制台!$I$2798,MATCH(B58,控制台!$B$2798:$B$2809,0)-1,0)*控制台!$E$2791</f>
        <v>1250</v>
      </c>
      <c r="X58" s="15">
        <f ca="1">Lerp_dyy(V58,W58,C58/10)</f>
        <v>1187.5</v>
      </c>
      <c r="Y58" s="16">
        <f ca="1">_xlfn.FLOOR.MATH(X58)</f>
        <v>1187</v>
      </c>
      <c r="Z58" s="15">
        <f ca="1" t="shared" si="8"/>
        <v>1.4244</v>
      </c>
      <c r="AA58" s="15">
        <f ca="1" t="shared" si="29"/>
        <v>2.1366</v>
      </c>
      <c r="AB58" s="17">
        <f ca="1" t="shared" si="28"/>
        <v>38.73384</v>
      </c>
      <c r="AC58" s="17">
        <f ca="1">AB58*控制台!$E$4819</f>
        <v>30.987072</v>
      </c>
      <c r="AD58" s="17">
        <f ca="1">AB58*控制台!$E$4820</f>
        <v>708.829272</v>
      </c>
      <c r="AE58" s="15">
        <f ca="1">OFFSET(控制台!$L$2798,MATCH(B58,控制台!$B$2798:$B$2809,0)-2,0)*控制台!$E$2763</f>
        <v>900</v>
      </c>
      <c r="AF58" s="15">
        <f ca="1">OFFSET(控制台!$L$2798,MATCH(B58,控制台!$B$2798:$B$2809,0)-1,0)*控制台!$E$2763</f>
        <v>1200</v>
      </c>
      <c r="AG58" s="15">
        <f ca="1">Lerp_dyy(AE58,AF58,C58/10)</f>
        <v>1140</v>
      </c>
      <c r="AH58" s="15">
        <f ca="1" t="shared" si="9"/>
        <v>1710</v>
      </c>
      <c r="AI58" s="17">
        <f ca="1" t="shared" si="21"/>
        <v>28440</v>
      </c>
      <c r="AJ58" s="15">
        <f ca="1">OFFSET(控制台!$P$2798,MATCH(B58,控制台!$B$2798:$B$2809,0)-2,0)</f>
        <v>3000</v>
      </c>
      <c r="AK58" s="15">
        <f ca="1">OFFSET(控制台!$P$2798,MATCH(B58,控制台!$B$2798:$B$2809,0)-1,0)</f>
        <v>4000</v>
      </c>
      <c r="AL58" s="15">
        <f ca="1">Lerp_dyy(AJ58,AK58,C58/10)</f>
        <v>3800</v>
      </c>
      <c r="AM58" s="16">
        <f ca="1">_xlfn.FLOOR.MATH(AL58/24/3600*控制台!$E$2785)</f>
        <v>79</v>
      </c>
      <c r="AN58" s="15">
        <f ca="1" t="shared" si="10"/>
        <v>3792</v>
      </c>
      <c r="AO58" s="15">
        <f ca="1" t="shared" si="11"/>
        <v>5688</v>
      </c>
      <c r="AP58" s="17">
        <f ca="1" t="shared" si="22"/>
        <v>94478.4</v>
      </c>
      <c r="AQ58" s="15">
        <f ca="1">OFFSET(控制台!$V$2798,MATCH(B58,控制台!$B$2798:$B$2809,0)-2,0)*控制台!$E$2771</f>
        <v>1500000</v>
      </c>
      <c r="AR58" s="15">
        <f ca="1">OFFSET(控制台!$V$2798,MATCH(B58,控制台!$B$2798:$B$2809,0)-1,0)*控制台!$E$2771</f>
        <v>1750000</v>
      </c>
      <c r="AS58" s="15">
        <f ca="1">Lerp_dyy(AQ58,AR58,C58/10)</f>
        <v>1700000</v>
      </c>
      <c r="AT58" s="16">
        <f ca="1">MAX(_xlfn.FLOOR.MATH(AS58/24/3600*控制台!$E$2784)-控制台!$J$2814,0)</f>
        <v>192</v>
      </c>
      <c r="AU58" s="15">
        <f ca="1" t="shared" si="12"/>
        <v>1658880</v>
      </c>
      <c r="AV58" s="15">
        <f ca="1" t="shared" si="13"/>
        <v>2488320</v>
      </c>
      <c r="AW58" s="17">
        <f ca="1" t="shared" si="23"/>
        <v>54332640</v>
      </c>
      <c r="AX58" s="15">
        <f ca="1">OFFSET(控制台!$X$2798,MATCH(B58,控制台!$B$2798:$B$2809,0)-2,0)*控制台!$E$2775</f>
        <v>900</v>
      </c>
      <c r="AY58" s="15">
        <f ca="1">OFFSET(控制台!$X$2798,MATCH(B58,控制台!$B$2798:$B$2809,0)-1,0)*控制台!$E$2775</f>
        <v>1050</v>
      </c>
      <c r="AZ58" s="15">
        <f ca="1">Lerp_dyy(AX58,AY58,C58/10)</f>
        <v>1020</v>
      </c>
      <c r="BA58" s="16">
        <f ca="1">_xlfn.FLOOR.MATH(AZ58/24/3600*控制台!$E$2785)</f>
        <v>21</v>
      </c>
      <c r="BB58" s="15">
        <f ca="1" t="shared" si="14"/>
        <v>1008</v>
      </c>
      <c r="BC58" s="15">
        <f ca="1" t="shared" si="15"/>
        <v>1512</v>
      </c>
      <c r="BD58" s="17">
        <f ca="1" t="shared" si="24"/>
        <v>32611.2</v>
      </c>
      <c r="BE58" s="1">
        <f ca="1">OFFSET(控制台!$AA$2798,MATCH(B58,控制台!$B$2798:$B$2809,0)-1,0)</f>
        <v>16.6666666666667</v>
      </c>
      <c r="BF58" s="1">
        <f ca="1" t="shared" si="30"/>
        <v>783.333333333335</v>
      </c>
      <c r="BG58" s="17">
        <f ca="1" t="shared" si="25"/>
        <v>14836.6666666667</v>
      </c>
      <c r="BH58" s="15">
        <f ca="1">OFFSET(控制台!$AD$2798,MATCH(B58,控制台!$B$2798:$B$2809,0)-2,0)</f>
        <v>600</v>
      </c>
      <c r="BI58" s="15">
        <f ca="1">OFFSET(控制台!$AD$2798,MATCH(B58,控制台!$B$2798:$B$2809,0)-1,0)</f>
        <v>1200</v>
      </c>
      <c r="BJ58" s="15">
        <f ca="1">Lerp_dyy(BH58,BI58,C58/10)</f>
        <v>1080</v>
      </c>
      <c r="BK58" s="16">
        <f ca="1">_xlfn.FLOOR.MATH(BJ58/24/3600*控制台!$E$2785)</f>
        <v>22</v>
      </c>
      <c r="BL58" s="15">
        <f ca="1" t="shared" si="16"/>
        <v>1056</v>
      </c>
      <c r="BM58" s="15">
        <f ca="1" t="shared" si="17"/>
        <v>1584</v>
      </c>
      <c r="BN58" s="17">
        <f ca="1" t="shared" si="26"/>
        <v>20716.8</v>
      </c>
    </row>
    <row r="59" s="15" customFormat="1" spans="1:66">
      <c r="A59" s="15">
        <f t="shared" si="2"/>
        <v>609</v>
      </c>
      <c r="B59" s="15">
        <v>6</v>
      </c>
      <c r="C59" s="15">
        <v>9</v>
      </c>
      <c r="D59" s="15">
        <f ca="1">OFFSET(控制台!$D$2798,MATCH(B59,控制台!$B$2798:$B$2809,0)-2,0)*控制台!$E$2751</f>
        <v>3000000</v>
      </c>
      <c r="E59" s="15">
        <f ca="1">OFFSET(控制台!$D$2798,MATCH(B59,控制台!$B$2798:$B$2809,0)-1,0)*控制台!$E$2751</f>
        <v>3500000</v>
      </c>
      <c r="F59" s="15">
        <f ca="1">Lerp_dyy(D59,E59,C59/10)</f>
        <v>3450000</v>
      </c>
      <c r="G59" s="16">
        <f ca="1">_xlfn.FLOOR.MATH(F59/24/3600*控制台!$E$2784)-控制台!$E$2814</f>
        <v>391</v>
      </c>
      <c r="H59" s="15">
        <f ca="1" t="shared" si="3"/>
        <v>3378240</v>
      </c>
      <c r="I59" s="15">
        <f ca="1">IF(B59=1,0,OFFSET(控制台!$B$865,MATCH(B59-1,控制台!$G$865:$G$936,0)-1,0))</f>
        <v>35</v>
      </c>
      <c r="J59" s="15">
        <f ca="1">OFFSET(控制台!$B$865,MATCH(B59,控制台!$G$865:$G$936,0)-1,0)</f>
        <v>50</v>
      </c>
      <c r="K59" s="15">
        <f ca="1" t="shared" si="27"/>
        <v>1.5</v>
      </c>
      <c r="L59" s="17">
        <f ca="1">Lerp_dyy(I59,J59,C59/10)</f>
        <v>48.5</v>
      </c>
      <c r="M59" s="15">
        <f ca="1" t="shared" si="5"/>
        <v>5067360</v>
      </c>
      <c r="N59" s="17">
        <f ca="1" t="shared" si="18"/>
        <v>116464608</v>
      </c>
      <c r="O59" s="15">
        <f ca="1">OFFSET(控制台!$F$2798,MATCH(B59,控制台!$B$2798:$B$2809,0)-2,0)*控制台!$E$2755</f>
        <v>1800</v>
      </c>
      <c r="P59" s="15">
        <f ca="1">OFFSET(控制台!$F$2798,MATCH(B59,控制台!$B$2798:$B$2809,0)-1,0)*控制台!$E$2755</f>
        <v>2100</v>
      </c>
      <c r="Q59" s="15">
        <f ca="1">Lerp_dyy(O59,P59,C59/10)</f>
        <v>2070</v>
      </c>
      <c r="R59" s="16">
        <f ca="1">_xlfn.FLOOR.MATH(Q59/24/3600*控制台!$E$2785)</f>
        <v>43</v>
      </c>
      <c r="S59" s="15">
        <f ca="1" t="shared" si="6"/>
        <v>2064</v>
      </c>
      <c r="T59" s="15">
        <f ca="1" t="shared" si="7"/>
        <v>3096</v>
      </c>
      <c r="U59" s="17">
        <f ca="1" t="shared" si="19"/>
        <v>71011.2</v>
      </c>
      <c r="V59" s="15">
        <f ca="1">OFFSET(控制台!$I$2798,MATCH(B59,控制台!$B$2798:$B$2809,0)-2,0)*控制台!$E$2791</f>
        <v>937.5</v>
      </c>
      <c r="W59" s="15">
        <f ca="1">OFFSET(控制台!$I$2798,MATCH(B59,控制台!$B$2798:$B$2809,0)-1,0)*控制台!$E$2791</f>
        <v>1250</v>
      </c>
      <c r="X59" s="15">
        <f ca="1">Lerp_dyy(V59,W59,C59/10)</f>
        <v>1218.75</v>
      </c>
      <c r="Y59" s="16">
        <f ca="1">_xlfn.FLOOR.MATH(X59)</f>
        <v>1218</v>
      </c>
      <c r="Z59" s="15">
        <f ca="1" t="shared" si="8"/>
        <v>1.4616</v>
      </c>
      <c r="AA59" s="15">
        <f ca="1" t="shared" si="29"/>
        <v>2.1924</v>
      </c>
      <c r="AB59" s="17">
        <f ca="1" t="shared" si="28"/>
        <v>40.92624</v>
      </c>
      <c r="AC59" s="17">
        <f ca="1">AB59*控制台!$E$4819</f>
        <v>32.740992</v>
      </c>
      <c r="AD59" s="17">
        <f ca="1">AB59*控制台!$E$4820</f>
        <v>748.950192</v>
      </c>
      <c r="AE59" s="15">
        <f ca="1">OFFSET(控制台!$L$2798,MATCH(B59,控制台!$B$2798:$B$2809,0)-2,0)*控制台!$E$2763</f>
        <v>900</v>
      </c>
      <c r="AF59" s="15">
        <f ca="1">OFFSET(控制台!$L$2798,MATCH(B59,控制台!$B$2798:$B$2809,0)-1,0)*控制台!$E$2763</f>
        <v>1200</v>
      </c>
      <c r="AG59" s="15">
        <f ca="1">Lerp_dyy(AE59,AF59,C59/10)</f>
        <v>1170</v>
      </c>
      <c r="AH59" s="15">
        <f ca="1" t="shared" si="9"/>
        <v>1755</v>
      </c>
      <c r="AI59" s="17">
        <f ca="1" t="shared" si="21"/>
        <v>30195</v>
      </c>
      <c r="AJ59" s="15">
        <f ca="1">OFFSET(控制台!$P$2798,MATCH(B59,控制台!$B$2798:$B$2809,0)-2,0)</f>
        <v>3000</v>
      </c>
      <c r="AK59" s="15">
        <f ca="1">OFFSET(控制台!$P$2798,MATCH(B59,控制台!$B$2798:$B$2809,0)-1,0)</f>
        <v>4000</v>
      </c>
      <c r="AL59" s="15">
        <f ca="1">Lerp_dyy(AJ59,AK59,C59/10)</f>
        <v>3900</v>
      </c>
      <c r="AM59" s="16">
        <f ca="1">_xlfn.FLOOR.MATH(AL59/24/3600*控制台!$E$2785)</f>
        <v>81</v>
      </c>
      <c r="AN59" s="15">
        <f ca="1" t="shared" si="10"/>
        <v>3888</v>
      </c>
      <c r="AO59" s="15">
        <f ca="1" t="shared" si="11"/>
        <v>5832</v>
      </c>
      <c r="AP59" s="17">
        <f ca="1" t="shared" si="22"/>
        <v>100310.4</v>
      </c>
      <c r="AQ59" s="15">
        <f ca="1">OFFSET(控制台!$V$2798,MATCH(B59,控制台!$B$2798:$B$2809,0)-2,0)*控制台!$E$2771</f>
        <v>1500000</v>
      </c>
      <c r="AR59" s="15">
        <f ca="1">OFFSET(控制台!$V$2798,MATCH(B59,控制台!$B$2798:$B$2809,0)-1,0)*控制台!$E$2771</f>
        <v>1750000</v>
      </c>
      <c r="AS59" s="15">
        <f ca="1">Lerp_dyy(AQ59,AR59,C59/10)</f>
        <v>1725000</v>
      </c>
      <c r="AT59" s="16">
        <f ca="1">MAX(_xlfn.FLOOR.MATH(AS59/24/3600*控制台!$E$2784)-控制台!$J$2814,0)</f>
        <v>195</v>
      </c>
      <c r="AU59" s="15">
        <f ca="1" t="shared" si="12"/>
        <v>1684800</v>
      </c>
      <c r="AV59" s="15">
        <f ca="1" t="shared" si="13"/>
        <v>2527200</v>
      </c>
      <c r="AW59" s="17">
        <f ca="1" t="shared" si="23"/>
        <v>56859840</v>
      </c>
      <c r="AX59" s="15">
        <f ca="1">OFFSET(控制台!$X$2798,MATCH(B59,控制台!$B$2798:$B$2809,0)-2,0)*控制台!$E$2775</f>
        <v>900</v>
      </c>
      <c r="AY59" s="15">
        <f ca="1">OFFSET(控制台!$X$2798,MATCH(B59,控制台!$B$2798:$B$2809,0)-1,0)*控制台!$E$2775</f>
        <v>1050</v>
      </c>
      <c r="AZ59" s="15">
        <f ca="1">Lerp_dyy(AX59,AY59,C59/10)</f>
        <v>1035</v>
      </c>
      <c r="BA59" s="16">
        <f ca="1">_xlfn.FLOOR.MATH(AZ59/24/3600*控制台!$E$2785)</f>
        <v>21</v>
      </c>
      <c r="BB59" s="15">
        <f ca="1" t="shared" si="14"/>
        <v>1008</v>
      </c>
      <c r="BC59" s="15">
        <f ca="1" t="shared" si="15"/>
        <v>1512</v>
      </c>
      <c r="BD59" s="17">
        <f ca="1" t="shared" si="24"/>
        <v>34123.2</v>
      </c>
      <c r="BE59" s="1">
        <f ca="1">OFFSET(控制台!$AA$2798,MATCH(B59,控制台!$B$2798:$B$2809,0)-1,0)</f>
        <v>16.6666666666667</v>
      </c>
      <c r="BF59" s="1">
        <f ca="1" t="shared" si="30"/>
        <v>808.333333333335</v>
      </c>
      <c r="BG59" s="17">
        <f ca="1" t="shared" si="25"/>
        <v>15645</v>
      </c>
      <c r="BH59" s="15">
        <f ca="1">OFFSET(控制台!$AD$2798,MATCH(B59,控制台!$B$2798:$B$2809,0)-2,0)</f>
        <v>600</v>
      </c>
      <c r="BI59" s="15">
        <f ca="1">OFFSET(控制台!$AD$2798,MATCH(B59,控制台!$B$2798:$B$2809,0)-1,0)</f>
        <v>1200</v>
      </c>
      <c r="BJ59" s="15">
        <f ca="1">Lerp_dyy(BH59,BI59,C59/10)</f>
        <v>1140</v>
      </c>
      <c r="BK59" s="16">
        <f ca="1">_xlfn.FLOOR.MATH(BJ59/24/3600*控制台!$E$2785)</f>
        <v>23</v>
      </c>
      <c r="BL59" s="15">
        <f ca="1" t="shared" si="16"/>
        <v>1104</v>
      </c>
      <c r="BM59" s="15">
        <f ca="1" t="shared" si="17"/>
        <v>1656</v>
      </c>
      <c r="BN59" s="17">
        <f ca="1" t="shared" si="26"/>
        <v>22372.8</v>
      </c>
    </row>
    <row r="60" s="15" customFormat="1" spans="1:66">
      <c r="A60" s="15">
        <f t="shared" si="2"/>
        <v>610</v>
      </c>
      <c r="B60" s="15">
        <v>6</v>
      </c>
      <c r="C60" s="15">
        <v>10</v>
      </c>
      <c r="D60" s="15">
        <f ca="1">OFFSET(控制台!$D$2798,MATCH(B60,控制台!$B$2798:$B$2809,0)-2,0)*控制台!$E$2751</f>
        <v>3000000</v>
      </c>
      <c r="E60" s="15">
        <f ca="1">OFFSET(控制台!$D$2798,MATCH(B60,控制台!$B$2798:$B$2809,0)-1,0)*控制台!$E$2751</f>
        <v>3500000</v>
      </c>
      <c r="F60" s="15">
        <f ca="1">Lerp_dyy(D60,E60,C60/10)</f>
        <v>3500000</v>
      </c>
      <c r="G60" s="16">
        <f ca="1">_xlfn.FLOOR.MATH(F60/24/3600*控制台!$E$2784)-控制台!$E$2814</f>
        <v>397</v>
      </c>
      <c r="H60" s="15">
        <f ca="1" t="shared" si="3"/>
        <v>3430080</v>
      </c>
      <c r="I60" s="15">
        <f ca="1">IF(B60=1,0,OFFSET(控制台!$B$865,MATCH(B60-1,控制台!$G$865:$G$936,0)-1,0))</f>
        <v>35</v>
      </c>
      <c r="J60" s="15">
        <f ca="1">OFFSET(控制台!$B$865,MATCH(B60,控制台!$G$865:$G$936,0)-1,0)</f>
        <v>50</v>
      </c>
      <c r="K60" s="15">
        <f ca="1" t="shared" si="27"/>
        <v>1.5</v>
      </c>
      <c r="L60" s="17">
        <f ca="1">Lerp_dyy(I60,J60,C60/10)</f>
        <v>50</v>
      </c>
      <c r="M60" s="15">
        <f ca="1" t="shared" si="5"/>
        <v>5145120</v>
      </c>
      <c r="N60" s="17">
        <f ca="1" t="shared" si="18"/>
        <v>121609728</v>
      </c>
      <c r="O60" s="15">
        <f ca="1">OFFSET(控制台!$F$2798,MATCH(B60,控制台!$B$2798:$B$2809,0)-2,0)*控制台!$E$2755</f>
        <v>1800</v>
      </c>
      <c r="P60" s="15">
        <f ca="1">OFFSET(控制台!$F$2798,MATCH(B60,控制台!$B$2798:$B$2809,0)-1,0)*控制台!$E$2755</f>
        <v>2100</v>
      </c>
      <c r="Q60" s="15">
        <f ca="1">Lerp_dyy(O60,P60,C60/10)</f>
        <v>2100</v>
      </c>
      <c r="R60" s="16">
        <f ca="1">_xlfn.FLOOR.MATH(Q60/24/3600*控制台!$E$2785)</f>
        <v>43</v>
      </c>
      <c r="S60" s="15">
        <f ca="1" t="shared" si="6"/>
        <v>2064</v>
      </c>
      <c r="T60" s="15">
        <f ca="1" t="shared" si="7"/>
        <v>3096</v>
      </c>
      <c r="U60" s="17">
        <f ca="1" t="shared" si="19"/>
        <v>74107.2</v>
      </c>
      <c r="V60" s="15">
        <f ca="1">OFFSET(控制台!$I$2798,MATCH(B60,控制台!$B$2798:$B$2809,0)-2,0)*控制台!$E$2791</f>
        <v>937.5</v>
      </c>
      <c r="W60" s="15">
        <f ca="1">OFFSET(控制台!$I$2798,MATCH(B60,控制台!$B$2798:$B$2809,0)-1,0)*控制台!$E$2791</f>
        <v>1250</v>
      </c>
      <c r="X60" s="15">
        <f ca="1">Lerp_dyy(V60,W60,C60/10)</f>
        <v>1250</v>
      </c>
      <c r="Y60" s="16">
        <f ca="1">_xlfn.FLOOR.MATH(X60)</f>
        <v>1250</v>
      </c>
      <c r="Z60" s="15">
        <f ca="1" t="shared" si="8"/>
        <v>1.5</v>
      </c>
      <c r="AA60" s="15">
        <f ca="1" t="shared" si="29"/>
        <v>2.25</v>
      </c>
      <c r="AB60" s="17">
        <f ca="1" t="shared" si="28"/>
        <v>43.17624</v>
      </c>
      <c r="AC60" s="17">
        <f ca="1">AB60*控制台!$E$4819</f>
        <v>34.540992</v>
      </c>
      <c r="AD60" s="17">
        <f ca="1">AB60*控制台!$E$4820</f>
        <v>790.125192</v>
      </c>
      <c r="AE60" s="15">
        <f ca="1">OFFSET(控制台!$L$2798,MATCH(B60,控制台!$B$2798:$B$2809,0)-2,0)*控制台!$E$2763</f>
        <v>900</v>
      </c>
      <c r="AF60" s="15">
        <f ca="1">OFFSET(控制台!$L$2798,MATCH(B60,控制台!$B$2798:$B$2809,0)-1,0)*控制台!$E$2763</f>
        <v>1200</v>
      </c>
      <c r="AG60" s="15">
        <f ca="1">Lerp_dyy(AE60,AF60,C60/10)</f>
        <v>1200</v>
      </c>
      <c r="AH60" s="15">
        <f ca="1" t="shared" si="9"/>
        <v>1800</v>
      </c>
      <c r="AI60" s="17">
        <f ca="1" t="shared" si="21"/>
        <v>31995</v>
      </c>
      <c r="AJ60" s="15">
        <f ca="1">OFFSET(控制台!$P$2798,MATCH(B60,控制台!$B$2798:$B$2809,0)-2,0)</f>
        <v>3000</v>
      </c>
      <c r="AK60" s="15">
        <f ca="1">OFFSET(控制台!$P$2798,MATCH(B60,控制台!$B$2798:$B$2809,0)-1,0)</f>
        <v>4000</v>
      </c>
      <c r="AL60" s="15">
        <f ca="1">Lerp_dyy(AJ60,AK60,C60/10)</f>
        <v>4000</v>
      </c>
      <c r="AM60" s="16">
        <f ca="1">_xlfn.FLOOR.MATH(AL60/24/3600*控制台!$E$2785)</f>
        <v>83</v>
      </c>
      <c r="AN60" s="15">
        <f ca="1" t="shared" si="10"/>
        <v>3984</v>
      </c>
      <c r="AO60" s="15">
        <f ca="1" t="shared" si="11"/>
        <v>5976</v>
      </c>
      <c r="AP60" s="17">
        <f ca="1" t="shared" si="22"/>
        <v>106286.4</v>
      </c>
      <c r="AQ60" s="15">
        <f ca="1">OFFSET(控制台!$V$2798,MATCH(B60,控制台!$B$2798:$B$2809,0)-2,0)*控制台!$E$2771</f>
        <v>1500000</v>
      </c>
      <c r="AR60" s="15">
        <f ca="1">OFFSET(控制台!$V$2798,MATCH(B60,控制台!$B$2798:$B$2809,0)-1,0)*控制台!$E$2771</f>
        <v>1750000</v>
      </c>
      <c r="AS60" s="15">
        <f ca="1">Lerp_dyy(AQ60,AR60,C60/10)</f>
        <v>1750000</v>
      </c>
      <c r="AT60" s="16">
        <f ca="1">MAX(_xlfn.FLOOR.MATH(AS60/24/3600*控制台!$E$2784)-控制台!$J$2814,0)</f>
        <v>198</v>
      </c>
      <c r="AU60" s="15">
        <f ca="1" t="shared" si="12"/>
        <v>1710720</v>
      </c>
      <c r="AV60" s="15">
        <f ca="1" t="shared" si="13"/>
        <v>2566080</v>
      </c>
      <c r="AW60" s="17">
        <f ca="1" t="shared" si="23"/>
        <v>59425920</v>
      </c>
      <c r="AX60" s="15">
        <f ca="1">OFFSET(控制台!$X$2798,MATCH(B60,控制台!$B$2798:$B$2809,0)-2,0)*控制台!$E$2775</f>
        <v>900</v>
      </c>
      <c r="AY60" s="15">
        <f ca="1">OFFSET(控制台!$X$2798,MATCH(B60,控制台!$B$2798:$B$2809,0)-1,0)*控制台!$E$2775</f>
        <v>1050</v>
      </c>
      <c r="AZ60" s="15">
        <f ca="1">Lerp_dyy(AX60,AY60,C60/10)</f>
        <v>1050</v>
      </c>
      <c r="BA60" s="16">
        <f ca="1">_xlfn.FLOOR.MATH(AZ60/24/3600*控制台!$E$2785)</f>
        <v>21</v>
      </c>
      <c r="BB60" s="15">
        <f ca="1" t="shared" si="14"/>
        <v>1008</v>
      </c>
      <c r="BC60" s="15">
        <f ca="1" t="shared" si="15"/>
        <v>1512</v>
      </c>
      <c r="BD60" s="17">
        <f ca="1" t="shared" si="24"/>
        <v>35635.2</v>
      </c>
      <c r="BE60" s="1">
        <f ca="1">OFFSET(控制台!$AA$2798,MATCH(B60,控制台!$B$2798:$B$2809,0)-1,0)</f>
        <v>16.6666666666667</v>
      </c>
      <c r="BF60" s="1">
        <f ca="1" t="shared" si="30"/>
        <v>833.333333333335</v>
      </c>
      <c r="BG60" s="17">
        <f ca="1" t="shared" si="25"/>
        <v>16478.3333333334</v>
      </c>
      <c r="BH60" s="15">
        <f ca="1">OFFSET(控制台!$AD$2798,MATCH(B60,控制台!$B$2798:$B$2809,0)-2,0)</f>
        <v>600</v>
      </c>
      <c r="BI60" s="15">
        <f ca="1">OFFSET(控制台!$AD$2798,MATCH(B60,控制台!$B$2798:$B$2809,0)-1,0)</f>
        <v>1200</v>
      </c>
      <c r="BJ60" s="15">
        <f ca="1">Lerp_dyy(BH60,BI60,C60/10)</f>
        <v>1200</v>
      </c>
      <c r="BK60" s="16">
        <f ca="1">_xlfn.FLOOR.MATH(BJ60/24/3600*控制台!$E$2785)</f>
        <v>25</v>
      </c>
      <c r="BL60" s="15">
        <f ca="1" t="shared" si="16"/>
        <v>1200</v>
      </c>
      <c r="BM60" s="15">
        <f ca="1" t="shared" si="17"/>
        <v>1800</v>
      </c>
      <c r="BN60" s="17">
        <f ca="1" t="shared" si="26"/>
        <v>24172.8</v>
      </c>
    </row>
    <row r="61" spans="1:66">
      <c r="A61" s="1">
        <f t="shared" si="2"/>
        <v>701</v>
      </c>
      <c r="B61" s="1">
        <v>7</v>
      </c>
      <c r="C61" s="1">
        <v>1</v>
      </c>
      <c r="D61" s="1">
        <f ca="1">OFFSET(控制台!$D$2798,MATCH(B61,控制台!$B$2798:$B$2809,0)-2,0)*控制台!$E$2751</f>
        <v>3500000</v>
      </c>
      <c r="E61" s="1">
        <f ca="1">OFFSET(控制台!$D$2798,MATCH(B61,控制台!$B$2798:$B$2809,0)-1,0)*控制台!$E$2751</f>
        <v>4000000</v>
      </c>
      <c r="F61" s="1">
        <f ca="1">Lerp_dyy(D61,E61,C61/10)</f>
        <v>3550000</v>
      </c>
      <c r="G61" s="4">
        <f ca="1">_xlfn.FLOOR.MATH(F61/24/3600*控制台!$E$2784)-控制台!$E$2814</f>
        <v>402</v>
      </c>
      <c r="H61" s="1">
        <f ca="1" t="shared" si="3"/>
        <v>3473280</v>
      </c>
      <c r="I61" s="1">
        <f ca="1">IF(B61=1,0,OFFSET(控制台!$B$865,MATCH(B61-1,控制台!$G$865:$G$936,0)-1,0))</f>
        <v>50</v>
      </c>
      <c r="J61" s="1">
        <f ca="1">OFFSET(控制台!$B$865,MATCH(B61,控制台!$G$865:$G$936,0)-1,0)</f>
        <v>75</v>
      </c>
      <c r="K61" s="1">
        <f ca="1" t="shared" si="27"/>
        <v>2.5</v>
      </c>
      <c r="L61" s="5">
        <f ca="1">Lerp_dyy(I61,J61,C61/10)</f>
        <v>52.5</v>
      </c>
      <c r="M61" s="1">
        <f ca="1" t="shared" si="5"/>
        <v>8683200</v>
      </c>
      <c r="N61" s="5">
        <f ca="1" t="shared" si="18"/>
        <v>130292928</v>
      </c>
      <c r="O61" s="1">
        <f ca="1">OFFSET(控制台!$F$2798,MATCH(B61,控制台!$B$2798:$B$2809,0)-2,0)*控制台!$E$2755</f>
        <v>2100</v>
      </c>
      <c r="P61" s="1">
        <f ca="1">OFFSET(控制台!$F$2798,MATCH(B61,控制台!$B$2798:$B$2809,0)-1,0)*控制台!$E$2755</f>
        <v>2400</v>
      </c>
      <c r="Q61" s="1">
        <f ca="1">Lerp_dyy(O61,P61,C61/10)</f>
        <v>2130</v>
      </c>
      <c r="R61" s="4">
        <f ca="1">_xlfn.FLOOR.MATH(Q61/24/3600*控制台!$E$2785)</f>
        <v>44</v>
      </c>
      <c r="S61" s="1">
        <f ca="1" t="shared" si="6"/>
        <v>2112</v>
      </c>
      <c r="T61" s="1">
        <f ca="1" t="shared" si="7"/>
        <v>5280</v>
      </c>
      <c r="U61" s="5">
        <f ca="1" t="shared" si="19"/>
        <v>79387.2</v>
      </c>
      <c r="V61" s="1">
        <f ca="1">OFFSET(控制台!$I$2798,MATCH(B61,控制台!$B$2798:$B$2809,0)-2,0)*控制台!$E$2791</f>
        <v>1250</v>
      </c>
      <c r="W61" s="1">
        <f ca="1">OFFSET(控制台!$I$2798,MATCH(B61,控制台!$B$2798:$B$2809,0)-1,0)*控制台!$E$2791</f>
        <v>1562.5</v>
      </c>
      <c r="X61" s="1">
        <f ca="1">Lerp_dyy(V61,W61,C61/10)</f>
        <v>1281.25</v>
      </c>
      <c r="Y61" s="4">
        <f ca="1">_xlfn.FLOOR.MATH(X61)</f>
        <v>1281</v>
      </c>
      <c r="Z61" s="1">
        <f ca="1" t="shared" si="8"/>
        <v>1.5372</v>
      </c>
      <c r="AA61" s="1">
        <f ca="1" t="shared" si="29"/>
        <v>3.843</v>
      </c>
      <c r="AB61" s="5">
        <f ca="1" t="shared" si="28"/>
        <v>47.01924</v>
      </c>
      <c r="AC61" s="5">
        <f ca="1">AB61*控制台!$E$4819</f>
        <v>37.615392</v>
      </c>
      <c r="AD61" s="5">
        <f ca="1">AB61*控制台!$E$4820</f>
        <v>860.452092</v>
      </c>
      <c r="AE61" s="1">
        <f ca="1">OFFSET(控制台!$L$2798,MATCH(B61,控制台!$B$2798:$B$2809,0)-2,0)*控制台!$E$2763</f>
        <v>1200</v>
      </c>
      <c r="AF61" s="1">
        <f ca="1">OFFSET(控制台!$L$2798,MATCH(B61,控制台!$B$2798:$B$2809,0)-1,0)*控制台!$E$2763</f>
        <v>1500</v>
      </c>
      <c r="AG61" s="1">
        <f ca="1">Lerp_dyy(AE61,AF61,C61/10)</f>
        <v>1230</v>
      </c>
      <c r="AH61" s="1">
        <f ca="1" t="shared" si="9"/>
        <v>3075</v>
      </c>
      <c r="AI61" s="5">
        <f ca="1" t="shared" si="21"/>
        <v>35070</v>
      </c>
      <c r="AJ61" s="1">
        <f ca="1">OFFSET(控制台!$P$2798,MATCH(B61,控制台!$B$2798:$B$2809,0)-2,0)</f>
        <v>4000</v>
      </c>
      <c r="AK61" s="1">
        <f ca="1">OFFSET(控制台!$P$2798,MATCH(B61,控制台!$B$2798:$B$2809,0)-1,0)</f>
        <v>5000</v>
      </c>
      <c r="AL61" s="1">
        <f ca="1">Lerp_dyy(AJ61,AK61,C61/10)</f>
        <v>4100</v>
      </c>
      <c r="AM61" s="4">
        <f ca="1">_xlfn.FLOOR.MATH(AL61/24/3600*控制台!$E$2785)</f>
        <v>85</v>
      </c>
      <c r="AN61" s="1">
        <f ca="1" t="shared" si="10"/>
        <v>4080</v>
      </c>
      <c r="AO61" s="1">
        <f ca="1" t="shared" si="11"/>
        <v>10200</v>
      </c>
      <c r="AP61" s="5">
        <f ca="1" t="shared" si="22"/>
        <v>116486.4</v>
      </c>
      <c r="AQ61" s="1">
        <f ca="1">OFFSET(控制台!$V$2798,MATCH(B61,控制台!$B$2798:$B$2809,0)-2,0)*控制台!$E$2771</f>
        <v>1750000</v>
      </c>
      <c r="AR61" s="1">
        <f ca="1">OFFSET(控制台!$V$2798,MATCH(B61,控制台!$B$2798:$B$2809,0)-1,0)*控制台!$E$2771</f>
        <v>2000000</v>
      </c>
      <c r="AS61" s="1">
        <f ca="1">Lerp_dyy(AQ61,AR61,C61/10)</f>
        <v>1775000</v>
      </c>
      <c r="AT61" s="4">
        <f ca="1">MAX(_xlfn.FLOOR.MATH(AS61/24/3600*控制台!$E$2784)-控制台!$J$2814,0)</f>
        <v>201</v>
      </c>
      <c r="AU61" s="1">
        <f ca="1" t="shared" si="12"/>
        <v>1736640</v>
      </c>
      <c r="AV61" s="1">
        <f ca="1" t="shared" si="13"/>
        <v>4341600</v>
      </c>
      <c r="AW61" s="5">
        <f ca="1" t="shared" si="23"/>
        <v>63767520</v>
      </c>
      <c r="AX61" s="1">
        <f ca="1">OFFSET(控制台!$X$2798,MATCH(B61,控制台!$B$2798:$B$2809,0)-2,0)*控制台!$E$2775</f>
        <v>1050</v>
      </c>
      <c r="AY61" s="1">
        <f ca="1">OFFSET(控制台!$X$2798,MATCH(B61,控制台!$B$2798:$B$2809,0)-1,0)*控制台!$E$2775</f>
        <v>1200</v>
      </c>
      <c r="AZ61" s="1">
        <f ca="1">Lerp_dyy(AX61,AY61,C61/10)</f>
        <v>1065</v>
      </c>
      <c r="BA61" s="4">
        <f ca="1">_xlfn.FLOOR.MATH(AZ61/24/3600*控制台!$E$2785)</f>
        <v>22</v>
      </c>
      <c r="BB61" s="1">
        <f ca="1" t="shared" si="14"/>
        <v>1056</v>
      </c>
      <c r="BC61" s="1">
        <f ca="1" t="shared" si="15"/>
        <v>2640</v>
      </c>
      <c r="BD61" s="5">
        <f ca="1" t="shared" si="24"/>
        <v>38275.2</v>
      </c>
      <c r="BE61" s="1">
        <f ca="1">OFFSET(控制台!$AA$2798,MATCH(B61,控制台!$B$2798:$B$2809,0)-1,0)</f>
        <v>33.3333333333334</v>
      </c>
      <c r="BF61" s="1">
        <f ca="1" t="shared" si="30"/>
        <v>1750</v>
      </c>
      <c r="BG61" s="5">
        <f ca="1" t="shared" si="25"/>
        <v>18228.3333333334</v>
      </c>
      <c r="BH61" s="1">
        <f ca="1">OFFSET(控制台!$AD$2798,MATCH(B61,控制台!$B$2798:$B$2809,0)-2,0)</f>
        <v>1200</v>
      </c>
      <c r="BI61" s="1">
        <f ca="1">OFFSET(控制台!$AD$2798,MATCH(B61,控制台!$B$2798:$B$2809,0)-1,0)</f>
        <v>1600</v>
      </c>
      <c r="BJ61" s="1">
        <f ca="1">Lerp_dyy(BH61,BI61,C61/10)</f>
        <v>1240</v>
      </c>
      <c r="BK61" s="4">
        <f ca="1">_xlfn.FLOOR.MATH(BJ61/24/3600*控制台!$E$2785)</f>
        <v>25</v>
      </c>
      <c r="BL61" s="1">
        <f ca="1" t="shared" si="16"/>
        <v>1200</v>
      </c>
      <c r="BM61" s="1">
        <f ca="1" t="shared" si="17"/>
        <v>3000</v>
      </c>
      <c r="BN61" s="5">
        <f ca="1" t="shared" si="26"/>
        <v>27172.8</v>
      </c>
    </row>
    <row r="62" spans="1:66">
      <c r="A62" s="1">
        <f t="shared" si="2"/>
        <v>702</v>
      </c>
      <c r="B62" s="1">
        <v>7</v>
      </c>
      <c r="C62" s="1">
        <v>2</v>
      </c>
      <c r="D62" s="1">
        <f ca="1">OFFSET(控制台!$D$2798,MATCH(B62,控制台!$B$2798:$B$2809,0)-2,0)*控制台!$E$2751</f>
        <v>3500000</v>
      </c>
      <c r="E62" s="1">
        <f ca="1">OFFSET(控制台!$D$2798,MATCH(B62,控制台!$B$2798:$B$2809,0)-1,0)*控制台!$E$2751</f>
        <v>4000000</v>
      </c>
      <c r="F62" s="1">
        <f ca="1">Lerp_dyy(D62,E62,C62/10)</f>
        <v>3600000</v>
      </c>
      <c r="G62" s="4">
        <f ca="1">_xlfn.FLOOR.MATH(F62/24/3600*控制台!$E$2784)-控制台!$E$2814</f>
        <v>408</v>
      </c>
      <c r="H62" s="1">
        <f ca="1" t="shared" si="3"/>
        <v>3525120</v>
      </c>
      <c r="I62" s="1">
        <f ca="1">IF(B62=1,0,OFFSET(控制台!$B$865,MATCH(B62-1,控制台!$G$865:$G$936,0)-1,0))</f>
        <v>50</v>
      </c>
      <c r="J62" s="1">
        <f ca="1">OFFSET(控制台!$B$865,MATCH(B62,控制台!$G$865:$G$936,0)-1,0)</f>
        <v>75</v>
      </c>
      <c r="K62" s="1">
        <f ca="1" t="shared" si="27"/>
        <v>2.5</v>
      </c>
      <c r="L62" s="5">
        <f ca="1">Lerp_dyy(I62,J62,C62/10)</f>
        <v>55</v>
      </c>
      <c r="M62" s="1">
        <f ca="1" t="shared" si="5"/>
        <v>8812800</v>
      </c>
      <c r="N62" s="5">
        <f ca="1" t="shared" si="18"/>
        <v>139105728</v>
      </c>
      <c r="O62" s="1">
        <f ca="1">OFFSET(控制台!$F$2798,MATCH(B62,控制台!$B$2798:$B$2809,0)-2,0)*控制台!$E$2755</f>
        <v>2100</v>
      </c>
      <c r="P62" s="1">
        <f ca="1">OFFSET(控制台!$F$2798,MATCH(B62,控制台!$B$2798:$B$2809,0)-1,0)*控制台!$E$2755</f>
        <v>2400</v>
      </c>
      <c r="Q62" s="1">
        <f ca="1">Lerp_dyy(O62,P62,C62/10)</f>
        <v>2160</v>
      </c>
      <c r="R62" s="4">
        <f ca="1">_xlfn.FLOOR.MATH(Q62/24/3600*控制台!$E$2785)</f>
        <v>45</v>
      </c>
      <c r="S62" s="1">
        <f ca="1" t="shared" si="6"/>
        <v>2160</v>
      </c>
      <c r="T62" s="1">
        <f ca="1" t="shared" si="7"/>
        <v>5400</v>
      </c>
      <c r="U62" s="5">
        <f ca="1" t="shared" si="19"/>
        <v>84787.2</v>
      </c>
      <c r="V62" s="1">
        <f ca="1">OFFSET(控制台!$I$2798,MATCH(B62,控制台!$B$2798:$B$2809,0)-2,0)*控制台!$E$2791</f>
        <v>1250</v>
      </c>
      <c r="W62" s="1">
        <f ca="1">OFFSET(控制台!$I$2798,MATCH(B62,控制台!$B$2798:$B$2809,0)-1,0)*控制台!$E$2791</f>
        <v>1562.5</v>
      </c>
      <c r="X62" s="1">
        <f ca="1">Lerp_dyy(V62,W62,C62/10)</f>
        <v>1312.5</v>
      </c>
      <c r="Y62" s="4">
        <f ca="1">_xlfn.FLOOR.MATH(X62)</f>
        <v>1312</v>
      </c>
      <c r="Z62" s="1">
        <f ca="1" t="shared" si="8"/>
        <v>1.5744</v>
      </c>
      <c r="AA62" s="1">
        <f ca="1" t="shared" si="29"/>
        <v>3.936</v>
      </c>
      <c r="AB62" s="5">
        <f ca="1" t="shared" si="28"/>
        <v>50.95524</v>
      </c>
      <c r="AC62" s="5">
        <f ca="1">AB62*控制台!$E$4819</f>
        <v>40.764192</v>
      </c>
      <c r="AD62" s="5">
        <f ca="1">AB62*控制台!$E$4820</f>
        <v>932.480892</v>
      </c>
      <c r="AE62" s="1">
        <f ca="1">OFFSET(控制台!$L$2798,MATCH(B62,控制台!$B$2798:$B$2809,0)-2,0)*控制台!$E$2763</f>
        <v>1200</v>
      </c>
      <c r="AF62" s="1">
        <f ca="1">OFFSET(控制台!$L$2798,MATCH(B62,控制台!$B$2798:$B$2809,0)-1,0)*控制台!$E$2763</f>
        <v>1500</v>
      </c>
      <c r="AG62" s="1">
        <f ca="1">Lerp_dyy(AE62,AF62,C62/10)</f>
        <v>1260</v>
      </c>
      <c r="AH62" s="1">
        <f ca="1" t="shared" si="9"/>
        <v>3150</v>
      </c>
      <c r="AI62" s="5">
        <f ca="1" t="shared" si="21"/>
        <v>38220</v>
      </c>
      <c r="AJ62" s="1">
        <f ca="1">OFFSET(控制台!$P$2798,MATCH(B62,控制台!$B$2798:$B$2809,0)-2,0)</f>
        <v>4000</v>
      </c>
      <c r="AK62" s="1">
        <f ca="1">OFFSET(控制台!$P$2798,MATCH(B62,控制台!$B$2798:$B$2809,0)-1,0)</f>
        <v>5000</v>
      </c>
      <c r="AL62" s="1">
        <f ca="1">Lerp_dyy(AJ62,AK62,C62/10)</f>
        <v>4200</v>
      </c>
      <c r="AM62" s="4">
        <f ca="1">_xlfn.FLOOR.MATH(AL62/24/3600*控制台!$E$2785)</f>
        <v>87</v>
      </c>
      <c r="AN62" s="1">
        <f ca="1" t="shared" si="10"/>
        <v>4176</v>
      </c>
      <c r="AO62" s="1">
        <f ca="1" t="shared" si="11"/>
        <v>10440</v>
      </c>
      <c r="AP62" s="5">
        <f ca="1" t="shared" si="22"/>
        <v>126926.4</v>
      </c>
      <c r="AQ62" s="1">
        <f ca="1">OFFSET(控制台!$V$2798,MATCH(B62,控制台!$B$2798:$B$2809,0)-2,0)*控制台!$E$2771</f>
        <v>1750000</v>
      </c>
      <c r="AR62" s="1">
        <f ca="1">OFFSET(控制台!$V$2798,MATCH(B62,控制台!$B$2798:$B$2809,0)-1,0)*控制台!$E$2771</f>
        <v>2000000</v>
      </c>
      <c r="AS62" s="1">
        <f ca="1">Lerp_dyy(AQ62,AR62,C62/10)</f>
        <v>1800000</v>
      </c>
      <c r="AT62" s="4">
        <f ca="1">MAX(_xlfn.FLOOR.MATH(AS62/24/3600*控制台!$E$2784)-控制台!$J$2814,0)</f>
        <v>204</v>
      </c>
      <c r="AU62" s="1">
        <f ca="1" t="shared" si="12"/>
        <v>1762560</v>
      </c>
      <c r="AV62" s="1">
        <f ca="1" t="shared" si="13"/>
        <v>4406400</v>
      </c>
      <c r="AW62" s="5">
        <f ca="1" t="shared" si="23"/>
        <v>68173920</v>
      </c>
      <c r="AX62" s="1">
        <f ca="1">OFFSET(控制台!$X$2798,MATCH(B62,控制台!$B$2798:$B$2809,0)-2,0)*控制台!$E$2775</f>
        <v>1050</v>
      </c>
      <c r="AY62" s="1">
        <f ca="1">OFFSET(控制台!$X$2798,MATCH(B62,控制台!$B$2798:$B$2809,0)-1,0)*控制台!$E$2775</f>
        <v>1200</v>
      </c>
      <c r="AZ62" s="1">
        <f ca="1">Lerp_dyy(AX62,AY62,C62/10)</f>
        <v>1080</v>
      </c>
      <c r="BA62" s="4">
        <f ca="1">_xlfn.FLOOR.MATH(AZ62/24/3600*控制台!$E$2785)</f>
        <v>22</v>
      </c>
      <c r="BB62" s="1">
        <f ca="1" t="shared" si="14"/>
        <v>1056</v>
      </c>
      <c r="BC62" s="1">
        <f ca="1" t="shared" si="15"/>
        <v>2640</v>
      </c>
      <c r="BD62" s="5">
        <f ca="1" t="shared" si="24"/>
        <v>40915.2</v>
      </c>
      <c r="BE62" s="1">
        <f ca="1">OFFSET(控制台!$AA$2798,MATCH(B62,控制台!$B$2798:$B$2809,0)-1,0)</f>
        <v>33.3333333333334</v>
      </c>
      <c r="BF62" s="1">
        <f ca="1" t="shared" si="30"/>
        <v>1833.33333333334</v>
      </c>
      <c r="BG62" s="5">
        <f ca="1" t="shared" si="25"/>
        <v>20061.6666666667</v>
      </c>
      <c r="BH62" s="1">
        <f ca="1">OFFSET(控制台!$AD$2798,MATCH(B62,控制台!$B$2798:$B$2809,0)-2,0)</f>
        <v>1200</v>
      </c>
      <c r="BI62" s="1">
        <f ca="1">OFFSET(控制台!$AD$2798,MATCH(B62,控制台!$B$2798:$B$2809,0)-1,0)</f>
        <v>1600</v>
      </c>
      <c r="BJ62" s="1">
        <f ca="1">Lerp_dyy(BH62,BI62,C62/10)</f>
        <v>1280</v>
      </c>
      <c r="BK62" s="4">
        <f ca="1">_xlfn.FLOOR.MATH(BJ62/24/3600*控制台!$E$2785)</f>
        <v>26</v>
      </c>
      <c r="BL62" s="1">
        <f ca="1" t="shared" si="16"/>
        <v>1248</v>
      </c>
      <c r="BM62" s="1">
        <f ca="1" t="shared" si="17"/>
        <v>3120</v>
      </c>
      <c r="BN62" s="5">
        <f ca="1" t="shared" si="26"/>
        <v>30292.8</v>
      </c>
    </row>
    <row r="63" spans="1:66">
      <c r="A63" s="1">
        <f t="shared" si="2"/>
        <v>703</v>
      </c>
      <c r="B63" s="1">
        <v>7</v>
      </c>
      <c r="C63" s="1">
        <v>3</v>
      </c>
      <c r="D63" s="1">
        <f ca="1">OFFSET(控制台!$D$2798,MATCH(B63,控制台!$B$2798:$B$2809,0)-2,0)*控制台!$E$2751</f>
        <v>3500000</v>
      </c>
      <c r="E63" s="1">
        <f ca="1">OFFSET(控制台!$D$2798,MATCH(B63,控制台!$B$2798:$B$2809,0)-1,0)*控制台!$E$2751</f>
        <v>4000000</v>
      </c>
      <c r="F63" s="1">
        <f ca="1">Lerp_dyy(D63,E63,C63/10)</f>
        <v>3650000</v>
      </c>
      <c r="G63" s="4">
        <f ca="1">_xlfn.FLOOR.MATH(F63/24/3600*控制台!$E$2784)-控制台!$E$2814</f>
        <v>414</v>
      </c>
      <c r="H63" s="1">
        <f ca="1" t="shared" si="3"/>
        <v>3576960</v>
      </c>
      <c r="I63" s="1">
        <f ca="1">IF(B63=1,0,OFFSET(控制台!$B$865,MATCH(B63-1,控制台!$G$865:$G$936,0)-1,0))</f>
        <v>50</v>
      </c>
      <c r="J63" s="1">
        <f ca="1">OFFSET(控制台!$B$865,MATCH(B63,控制台!$G$865:$G$936,0)-1,0)</f>
        <v>75</v>
      </c>
      <c r="K63" s="1">
        <f ca="1" t="shared" si="27"/>
        <v>2.5</v>
      </c>
      <c r="L63" s="5">
        <f ca="1">Lerp_dyy(I63,J63,C63/10)</f>
        <v>57.5</v>
      </c>
      <c r="M63" s="1">
        <f ca="1" t="shared" si="5"/>
        <v>8942400</v>
      </c>
      <c r="N63" s="5">
        <f ca="1" t="shared" si="18"/>
        <v>148048128</v>
      </c>
      <c r="O63" s="1">
        <f ca="1">OFFSET(控制台!$F$2798,MATCH(B63,控制台!$B$2798:$B$2809,0)-2,0)*控制台!$E$2755</f>
        <v>2100</v>
      </c>
      <c r="P63" s="1">
        <f ca="1">OFFSET(控制台!$F$2798,MATCH(B63,控制台!$B$2798:$B$2809,0)-1,0)*控制台!$E$2755</f>
        <v>2400</v>
      </c>
      <c r="Q63" s="1">
        <f ca="1">Lerp_dyy(O63,P63,C63/10)</f>
        <v>2190</v>
      </c>
      <c r="R63" s="4">
        <f ca="1">_xlfn.FLOOR.MATH(Q63/24/3600*控制台!$E$2785)</f>
        <v>45</v>
      </c>
      <c r="S63" s="1">
        <f ca="1" t="shared" si="6"/>
        <v>2160</v>
      </c>
      <c r="T63" s="1">
        <f ca="1" t="shared" si="7"/>
        <v>5400</v>
      </c>
      <c r="U63" s="5">
        <f ca="1" t="shared" si="19"/>
        <v>90187.2</v>
      </c>
      <c r="V63" s="1">
        <f ca="1">OFFSET(控制台!$I$2798,MATCH(B63,控制台!$B$2798:$B$2809,0)-2,0)*控制台!$E$2791</f>
        <v>1250</v>
      </c>
      <c r="W63" s="1">
        <f ca="1">OFFSET(控制台!$I$2798,MATCH(B63,控制台!$B$2798:$B$2809,0)-1,0)*控制台!$E$2791</f>
        <v>1562.5</v>
      </c>
      <c r="X63" s="1">
        <f ca="1">Lerp_dyy(V63,W63,C63/10)</f>
        <v>1343.75</v>
      </c>
      <c r="Y63" s="4">
        <f ca="1">_xlfn.FLOOR.MATH(X63)</f>
        <v>1343</v>
      </c>
      <c r="Z63" s="1">
        <f ca="1" t="shared" si="8"/>
        <v>1.6116</v>
      </c>
      <c r="AA63" s="1">
        <f ca="1" t="shared" si="29"/>
        <v>4.029</v>
      </c>
      <c r="AB63" s="5">
        <f ca="1" t="shared" si="28"/>
        <v>54.98424</v>
      </c>
      <c r="AC63" s="5">
        <f ca="1">AB63*控制台!$E$4819</f>
        <v>43.987392</v>
      </c>
      <c r="AD63" s="5">
        <f ca="1">AB63*控制台!$E$4820</f>
        <v>1006.211592</v>
      </c>
      <c r="AE63" s="1">
        <f ca="1">OFFSET(控制台!$L$2798,MATCH(B63,控制台!$B$2798:$B$2809,0)-2,0)*控制台!$E$2763</f>
        <v>1200</v>
      </c>
      <c r="AF63" s="1">
        <f ca="1">OFFSET(控制台!$L$2798,MATCH(B63,控制台!$B$2798:$B$2809,0)-1,0)*控制台!$E$2763</f>
        <v>1500</v>
      </c>
      <c r="AG63" s="1">
        <f ca="1">Lerp_dyy(AE63,AF63,C63/10)</f>
        <v>1290</v>
      </c>
      <c r="AH63" s="1">
        <f ca="1" t="shared" si="9"/>
        <v>3225</v>
      </c>
      <c r="AI63" s="5">
        <f ca="1" t="shared" si="21"/>
        <v>41445</v>
      </c>
      <c r="AJ63" s="1">
        <f ca="1">OFFSET(控制台!$P$2798,MATCH(B63,控制台!$B$2798:$B$2809,0)-2,0)</f>
        <v>4000</v>
      </c>
      <c r="AK63" s="1">
        <f ca="1">OFFSET(控制台!$P$2798,MATCH(B63,控制台!$B$2798:$B$2809,0)-1,0)</f>
        <v>5000</v>
      </c>
      <c r="AL63" s="1">
        <f ca="1">Lerp_dyy(AJ63,AK63,C63/10)</f>
        <v>4300</v>
      </c>
      <c r="AM63" s="4">
        <f ca="1">_xlfn.FLOOR.MATH(AL63/24/3600*控制台!$E$2785)</f>
        <v>89</v>
      </c>
      <c r="AN63" s="1">
        <f ca="1" t="shared" si="10"/>
        <v>4272</v>
      </c>
      <c r="AO63" s="1">
        <f ca="1" t="shared" si="11"/>
        <v>10680</v>
      </c>
      <c r="AP63" s="5">
        <f ca="1" t="shared" si="22"/>
        <v>137606.4</v>
      </c>
      <c r="AQ63" s="1">
        <f ca="1">OFFSET(控制台!$V$2798,MATCH(B63,控制台!$B$2798:$B$2809,0)-2,0)*控制台!$E$2771</f>
        <v>1750000</v>
      </c>
      <c r="AR63" s="1">
        <f ca="1">OFFSET(控制台!$V$2798,MATCH(B63,控制台!$B$2798:$B$2809,0)-1,0)*控制台!$E$2771</f>
        <v>2000000</v>
      </c>
      <c r="AS63" s="1">
        <f ca="1">Lerp_dyy(AQ63,AR63,C63/10)</f>
        <v>1825000</v>
      </c>
      <c r="AT63" s="4">
        <f ca="1">MAX(_xlfn.FLOOR.MATH(AS63/24/3600*控制台!$E$2784)-控制台!$J$2814,0)</f>
        <v>207</v>
      </c>
      <c r="AU63" s="1">
        <f ca="1" t="shared" si="12"/>
        <v>1788480</v>
      </c>
      <c r="AV63" s="1">
        <f ca="1" t="shared" si="13"/>
        <v>4471200</v>
      </c>
      <c r="AW63" s="5">
        <f ca="1" t="shared" si="23"/>
        <v>72645120</v>
      </c>
      <c r="AX63" s="1">
        <f ca="1">OFFSET(控制台!$X$2798,MATCH(B63,控制台!$B$2798:$B$2809,0)-2,0)*控制台!$E$2775</f>
        <v>1050</v>
      </c>
      <c r="AY63" s="1">
        <f ca="1">OFFSET(控制台!$X$2798,MATCH(B63,控制台!$B$2798:$B$2809,0)-1,0)*控制台!$E$2775</f>
        <v>1200</v>
      </c>
      <c r="AZ63" s="1">
        <f ca="1">Lerp_dyy(AX63,AY63,C63/10)</f>
        <v>1095</v>
      </c>
      <c r="BA63" s="4">
        <f ca="1">_xlfn.FLOOR.MATH(AZ63/24/3600*控制台!$E$2785)</f>
        <v>22</v>
      </c>
      <c r="BB63" s="1">
        <f ca="1" t="shared" si="14"/>
        <v>1056</v>
      </c>
      <c r="BC63" s="1">
        <f ca="1" t="shared" si="15"/>
        <v>2640</v>
      </c>
      <c r="BD63" s="5">
        <f ca="1" t="shared" si="24"/>
        <v>43555.2</v>
      </c>
      <c r="BE63" s="1">
        <f ca="1">OFFSET(控制台!$AA$2798,MATCH(B63,控制台!$B$2798:$B$2809,0)-1,0)</f>
        <v>33.3333333333334</v>
      </c>
      <c r="BF63" s="1">
        <f ca="1" t="shared" si="30"/>
        <v>1916.66666666667</v>
      </c>
      <c r="BG63" s="5">
        <f ca="1" t="shared" si="25"/>
        <v>21978.3333333334</v>
      </c>
      <c r="BH63" s="1">
        <f ca="1">OFFSET(控制台!$AD$2798,MATCH(B63,控制台!$B$2798:$B$2809,0)-2,0)</f>
        <v>1200</v>
      </c>
      <c r="BI63" s="1">
        <f ca="1">OFFSET(控制台!$AD$2798,MATCH(B63,控制台!$B$2798:$B$2809,0)-1,0)</f>
        <v>1600</v>
      </c>
      <c r="BJ63" s="1">
        <f ca="1">Lerp_dyy(BH63,BI63,C63/10)</f>
        <v>1320</v>
      </c>
      <c r="BK63" s="4">
        <f ca="1">_xlfn.FLOOR.MATH(BJ63/24/3600*控制台!$E$2785)</f>
        <v>27</v>
      </c>
      <c r="BL63" s="1">
        <f ca="1" t="shared" si="16"/>
        <v>1296</v>
      </c>
      <c r="BM63" s="1">
        <f ca="1" t="shared" si="17"/>
        <v>3240</v>
      </c>
      <c r="BN63" s="5">
        <f ca="1" t="shared" si="26"/>
        <v>33532.8</v>
      </c>
    </row>
    <row r="64" spans="1:66">
      <c r="A64" s="1">
        <f t="shared" si="2"/>
        <v>704</v>
      </c>
      <c r="B64" s="1">
        <v>7</v>
      </c>
      <c r="C64" s="1">
        <v>4</v>
      </c>
      <c r="D64" s="1">
        <f ca="1">OFFSET(控制台!$D$2798,MATCH(B64,控制台!$B$2798:$B$2809,0)-2,0)*控制台!$E$2751</f>
        <v>3500000</v>
      </c>
      <c r="E64" s="1">
        <f ca="1">OFFSET(控制台!$D$2798,MATCH(B64,控制台!$B$2798:$B$2809,0)-1,0)*控制台!$E$2751</f>
        <v>4000000</v>
      </c>
      <c r="F64" s="1">
        <f ca="1">Lerp_dyy(D64,E64,C64/10)</f>
        <v>3700000</v>
      </c>
      <c r="G64" s="4">
        <f ca="1">_xlfn.FLOOR.MATH(F64/24/3600*控制台!$E$2784)-控制台!$E$2814</f>
        <v>420</v>
      </c>
      <c r="H64" s="1">
        <f ca="1" t="shared" si="3"/>
        <v>3628800</v>
      </c>
      <c r="I64" s="1">
        <f ca="1">IF(B64=1,0,OFFSET(控制台!$B$865,MATCH(B64-1,控制台!$G$865:$G$936,0)-1,0))</f>
        <v>50</v>
      </c>
      <c r="J64" s="1">
        <f ca="1">OFFSET(控制台!$B$865,MATCH(B64,控制台!$G$865:$G$936,0)-1,0)</f>
        <v>75</v>
      </c>
      <c r="K64" s="1">
        <f ca="1" t="shared" si="27"/>
        <v>2.5</v>
      </c>
      <c r="L64" s="5">
        <f ca="1">Lerp_dyy(I64,J64,C64/10)</f>
        <v>60</v>
      </c>
      <c r="M64" s="1">
        <f ca="1" t="shared" si="5"/>
        <v>9072000</v>
      </c>
      <c r="N64" s="5">
        <f ca="1" t="shared" si="18"/>
        <v>157120128</v>
      </c>
      <c r="O64" s="1">
        <f ca="1">OFFSET(控制台!$F$2798,MATCH(B64,控制台!$B$2798:$B$2809,0)-2,0)*控制台!$E$2755</f>
        <v>2100</v>
      </c>
      <c r="P64" s="1">
        <f ca="1">OFFSET(控制台!$F$2798,MATCH(B64,控制台!$B$2798:$B$2809,0)-1,0)*控制台!$E$2755</f>
        <v>2400</v>
      </c>
      <c r="Q64" s="1">
        <f ca="1">Lerp_dyy(O64,P64,C64/10)</f>
        <v>2220</v>
      </c>
      <c r="R64" s="4">
        <f ca="1">_xlfn.FLOOR.MATH(Q64/24/3600*控制台!$E$2785)</f>
        <v>46</v>
      </c>
      <c r="S64" s="1">
        <f ca="1" t="shared" si="6"/>
        <v>2208</v>
      </c>
      <c r="T64" s="1">
        <f ca="1" t="shared" si="7"/>
        <v>5520</v>
      </c>
      <c r="U64" s="5">
        <f ca="1" t="shared" si="19"/>
        <v>95707.2</v>
      </c>
      <c r="V64" s="1">
        <f ca="1">OFFSET(控制台!$I$2798,MATCH(B64,控制台!$B$2798:$B$2809,0)-2,0)*控制台!$E$2791</f>
        <v>1250</v>
      </c>
      <c r="W64" s="1">
        <f ca="1">OFFSET(控制台!$I$2798,MATCH(B64,控制台!$B$2798:$B$2809,0)-1,0)*控制台!$E$2791</f>
        <v>1562.5</v>
      </c>
      <c r="X64" s="1">
        <f ca="1">Lerp_dyy(V64,W64,C64/10)</f>
        <v>1375</v>
      </c>
      <c r="Y64" s="4">
        <f ca="1">_xlfn.FLOOR.MATH(X64)</f>
        <v>1375</v>
      </c>
      <c r="Z64" s="1">
        <f ca="1" t="shared" si="8"/>
        <v>1.65</v>
      </c>
      <c r="AA64" s="1">
        <f ca="1" t="shared" si="29"/>
        <v>4.125</v>
      </c>
      <c r="AB64" s="5">
        <f ca="1" t="shared" si="28"/>
        <v>59.10924</v>
      </c>
      <c r="AC64" s="5">
        <f ca="1">AB64*控制台!$E$4819</f>
        <v>47.287392</v>
      </c>
      <c r="AD64" s="5">
        <f ca="1">AB64*控制台!$E$4820</f>
        <v>1081.699092</v>
      </c>
      <c r="AE64" s="1">
        <f ca="1">OFFSET(控制台!$L$2798,MATCH(B64,控制台!$B$2798:$B$2809,0)-2,0)*控制台!$E$2763</f>
        <v>1200</v>
      </c>
      <c r="AF64" s="1">
        <f ca="1">OFFSET(控制台!$L$2798,MATCH(B64,控制台!$B$2798:$B$2809,0)-1,0)*控制台!$E$2763</f>
        <v>1500</v>
      </c>
      <c r="AG64" s="1">
        <f ca="1">Lerp_dyy(AE64,AF64,C64/10)</f>
        <v>1320</v>
      </c>
      <c r="AH64" s="1">
        <f ca="1" t="shared" si="9"/>
        <v>3300</v>
      </c>
      <c r="AI64" s="5">
        <f ca="1" t="shared" si="21"/>
        <v>44745</v>
      </c>
      <c r="AJ64" s="1">
        <f ca="1">OFFSET(控制台!$P$2798,MATCH(B64,控制台!$B$2798:$B$2809,0)-2,0)</f>
        <v>4000</v>
      </c>
      <c r="AK64" s="1">
        <f ca="1">OFFSET(控制台!$P$2798,MATCH(B64,控制台!$B$2798:$B$2809,0)-1,0)</f>
        <v>5000</v>
      </c>
      <c r="AL64" s="1">
        <f ca="1">Lerp_dyy(AJ64,AK64,C64/10)</f>
        <v>4400</v>
      </c>
      <c r="AM64" s="4">
        <f ca="1">_xlfn.FLOOR.MATH(AL64/24/3600*控制台!$E$2785)</f>
        <v>91</v>
      </c>
      <c r="AN64" s="1">
        <f ca="1" t="shared" si="10"/>
        <v>4368</v>
      </c>
      <c r="AO64" s="1">
        <f ca="1" t="shared" si="11"/>
        <v>10920</v>
      </c>
      <c r="AP64" s="5">
        <f ca="1" t="shared" si="22"/>
        <v>148526.4</v>
      </c>
      <c r="AQ64" s="1">
        <f ca="1">OFFSET(控制台!$V$2798,MATCH(B64,控制台!$B$2798:$B$2809,0)-2,0)*控制台!$E$2771</f>
        <v>1750000</v>
      </c>
      <c r="AR64" s="1">
        <f ca="1">OFFSET(控制台!$V$2798,MATCH(B64,控制台!$B$2798:$B$2809,0)-1,0)*控制台!$E$2771</f>
        <v>2000000</v>
      </c>
      <c r="AS64" s="1">
        <f ca="1">Lerp_dyy(AQ64,AR64,C64/10)</f>
        <v>1850000</v>
      </c>
      <c r="AT64" s="4">
        <f ca="1">MAX(_xlfn.FLOOR.MATH(AS64/24/3600*控制台!$E$2784)-控制台!$J$2814,0)</f>
        <v>210</v>
      </c>
      <c r="AU64" s="1">
        <f ca="1" t="shared" si="12"/>
        <v>1814400</v>
      </c>
      <c r="AV64" s="1">
        <f ca="1" t="shared" si="13"/>
        <v>4536000</v>
      </c>
      <c r="AW64" s="5">
        <f ca="1" t="shared" si="23"/>
        <v>77181120</v>
      </c>
      <c r="AX64" s="1">
        <f ca="1">OFFSET(控制台!$X$2798,MATCH(B64,控制台!$B$2798:$B$2809,0)-2,0)*控制台!$E$2775</f>
        <v>1050</v>
      </c>
      <c r="AY64" s="1">
        <f ca="1">OFFSET(控制台!$X$2798,MATCH(B64,控制台!$B$2798:$B$2809,0)-1,0)*控制台!$E$2775</f>
        <v>1200</v>
      </c>
      <c r="AZ64" s="1">
        <f ca="1">Lerp_dyy(AX64,AY64,C64/10)</f>
        <v>1110</v>
      </c>
      <c r="BA64" s="4">
        <f ca="1">_xlfn.FLOOR.MATH(AZ64/24/3600*控制台!$E$2785)</f>
        <v>23</v>
      </c>
      <c r="BB64" s="1">
        <f ca="1" t="shared" si="14"/>
        <v>1104</v>
      </c>
      <c r="BC64" s="1">
        <f ca="1" t="shared" si="15"/>
        <v>2760</v>
      </c>
      <c r="BD64" s="5">
        <f ca="1" t="shared" si="24"/>
        <v>46315.2</v>
      </c>
      <c r="BE64" s="1">
        <f ca="1">OFFSET(控制台!$AA$2798,MATCH(B64,控制台!$B$2798:$B$2809,0)-1,0)</f>
        <v>33.3333333333334</v>
      </c>
      <c r="BF64" s="1">
        <f ca="1" t="shared" si="30"/>
        <v>2000</v>
      </c>
      <c r="BG64" s="5">
        <f ca="1" t="shared" si="25"/>
        <v>23978.3333333334</v>
      </c>
      <c r="BH64" s="1">
        <f ca="1">OFFSET(控制台!$AD$2798,MATCH(B64,控制台!$B$2798:$B$2809,0)-2,0)</f>
        <v>1200</v>
      </c>
      <c r="BI64" s="1">
        <f ca="1">OFFSET(控制台!$AD$2798,MATCH(B64,控制台!$B$2798:$B$2809,0)-1,0)</f>
        <v>1600</v>
      </c>
      <c r="BJ64" s="1">
        <f ca="1">Lerp_dyy(BH64,BI64,C64/10)</f>
        <v>1360</v>
      </c>
      <c r="BK64" s="4">
        <f ca="1">_xlfn.FLOOR.MATH(BJ64/24/3600*控制台!$E$2785)</f>
        <v>28</v>
      </c>
      <c r="BL64" s="1">
        <f ca="1" t="shared" si="16"/>
        <v>1344</v>
      </c>
      <c r="BM64" s="1">
        <f ca="1" t="shared" si="17"/>
        <v>3360</v>
      </c>
      <c r="BN64" s="5">
        <f ca="1" t="shared" si="26"/>
        <v>36892.8</v>
      </c>
    </row>
    <row r="65" spans="1:66">
      <c r="A65" s="1">
        <f t="shared" si="2"/>
        <v>705</v>
      </c>
      <c r="B65" s="1">
        <v>7</v>
      </c>
      <c r="C65" s="1">
        <v>5</v>
      </c>
      <c r="D65" s="1">
        <f ca="1">OFFSET(控制台!$D$2798,MATCH(B65,控制台!$B$2798:$B$2809,0)-2,0)*控制台!$E$2751</f>
        <v>3500000</v>
      </c>
      <c r="E65" s="1">
        <f ca="1">OFFSET(控制台!$D$2798,MATCH(B65,控制台!$B$2798:$B$2809,0)-1,0)*控制台!$E$2751</f>
        <v>4000000</v>
      </c>
      <c r="F65" s="1">
        <f ca="1">Lerp_dyy(D65,E65,C65/10)</f>
        <v>3750000</v>
      </c>
      <c r="G65" s="4">
        <f ca="1">_xlfn.FLOOR.MATH(F65/24/3600*控制台!$E$2784)-控制台!$E$2814</f>
        <v>426</v>
      </c>
      <c r="H65" s="1">
        <f ca="1" t="shared" si="3"/>
        <v>3680640</v>
      </c>
      <c r="I65" s="1">
        <f ca="1">IF(B65=1,0,OFFSET(控制台!$B$865,MATCH(B65-1,控制台!$G$865:$G$936,0)-1,0))</f>
        <v>50</v>
      </c>
      <c r="J65" s="1">
        <f ca="1">OFFSET(控制台!$B$865,MATCH(B65,控制台!$G$865:$G$936,0)-1,0)</f>
        <v>75</v>
      </c>
      <c r="K65" s="1">
        <f ca="1" t="shared" si="27"/>
        <v>2.5</v>
      </c>
      <c r="L65" s="5">
        <f ca="1">Lerp_dyy(I65,J65,C65/10)</f>
        <v>62.5</v>
      </c>
      <c r="M65" s="1">
        <f ca="1" t="shared" si="5"/>
        <v>9201600</v>
      </c>
      <c r="N65" s="5">
        <f ca="1" t="shared" si="18"/>
        <v>166321728</v>
      </c>
      <c r="O65" s="1">
        <f ca="1">OFFSET(控制台!$F$2798,MATCH(B65,控制台!$B$2798:$B$2809,0)-2,0)*控制台!$E$2755</f>
        <v>2100</v>
      </c>
      <c r="P65" s="1">
        <f ca="1">OFFSET(控制台!$F$2798,MATCH(B65,控制台!$B$2798:$B$2809,0)-1,0)*控制台!$E$2755</f>
        <v>2400</v>
      </c>
      <c r="Q65" s="1">
        <f ca="1">Lerp_dyy(O65,P65,C65/10)</f>
        <v>2250</v>
      </c>
      <c r="R65" s="4">
        <f ca="1">_xlfn.FLOOR.MATH(Q65/24/3600*控制台!$E$2785)</f>
        <v>46</v>
      </c>
      <c r="S65" s="1">
        <f ca="1" t="shared" si="6"/>
        <v>2208</v>
      </c>
      <c r="T65" s="1">
        <f ca="1" t="shared" si="7"/>
        <v>5520</v>
      </c>
      <c r="U65" s="5">
        <f ca="1" t="shared" si="19"/>
        <v>101227.2</v>
      </c>
      <c r="V65" s="1">
        <f ca="1">OFFSET(控制台!$I$2798,MATCH(B65,控制台!$B$2798:$B$2809,0)-2,0)*控制台!$E$2791</f>
        <v>1250</v>
      </c>
      <c r="W65" s="1">
        <f ca="1">OFFSET(控制台!$I$2798,MATCH(B65,控制台!$B$2798:$B$2809,0)-1,0)*控制台!$E$2791</f>
        <v>1562.5</v>
      </c>
      <c r="X65" s="1">
        <f ca="1">Lerp_dyy(V65,W65,C65/10)</f>
        <v>1406.25</v>
      </c>
      <c r="Y65" s="4">
        <f ca="1">_xlfn.FLOOR.MATH(X65)</f>
        <v>1406</v>
      </c>
      <c r="Z65" s="1">
        <f ca="1" t="shared" si="8"/>
        <v>1.6872</v>
      </c>
      <c r="AA65" s="1">
        <f ca="1" t="shared" ref="AA65:AA96" si="31">Z65*K65</f>
        <v>4.218</v>
      </c>
      <c r="AB65" s="5">
        <f ca="1" t="shared" si="28"/>
        <v>63.32724</v>
      </c>
      <c r="AC65" s="5">
        <f ca="1">AB65*控制台!$E$4819</f>
        <v>50.661792</v>
      </c>
      <c r="AD65" s="5">
        <f ca="1">AB65*控制台!$E$4820</f>
        <v>1158.888492</v>
      </c>
      <c r="AE65" s="1">
        <f ca="1">OFFSET(控制台!$L$2798,MATCH(B65,控制台!$B$2798:$B$2809,0)-2,0)*控制台!$E$2763</f>
        <v>1200</v>
      </c>
      <c r="AF65" s="1">
        <f ca="1">OFFSET(控制台!$L$2798,MATCH(B65,控制台!$B$2798:$B$2809,0)-1,0)*控制台!$E$2763</f>
        <v>1500</v>
      </c>
      <c r="AG65" s="1">
        <f ca="1">Lerp_dyy(AE65,AF65,C65/10)</f>
        <v>1350</v>
      </c>
      <c r="AH65" s="1">
        <f ca="1" t="shared" si="9"/>
        <v>3375</v>
      </c>
      <c r="AI65" s="5">
        <f ca="1" t="shared" si="21"/>
        <v>48120</v>
      </c>
      <c r="AJ65" s="1">
        <f ca="1">OFFSET(控制台!$P$2798,MATCH(B65,控制台!$B$2798:$B$2809,0)-2,0)</f>
        <v>4000</v>
      </c>
      <c r="AK65" s="1">
        <f ca="1">OFFSET(控制台!$P$2798,MATCH(B65,控制台!$B$2798:$B$2809,0)-1,0)</f>
        <v>5000</v>
      </c>
      <c r="AL65" s="1">
        <f ca="1">Lerp_dyy(AJ65,AK65,C65/10)</f>
        <v>4500</v>
      </c>
      <c r="AM65" s="4">
        <f ca="1">_xlfn.FLOOR.MATH(AL65/24/3600*控制台!$E$2785)</f>
        <v>93</v>
      </c>
      <c r="AN65" s="1">
        <f ca="1" t="shared" si="10"/>
        <v>4464</v>
      </c>
      <c r="AO65" s="1">
        <f ca="1" t="shared" si="11"/>
        <v>11160</v>
      </c>
      <c r="AP65" s="5">
        <f ca="1" t="shared" si="22"/>
        <v>159686.4</v>
      </c>
      <c r="AQ65" s="1">
        <f ca="1">OFFSET(控制台!$V$2798,MATCH(B65,控制台!$B$2798:$B$2809,0)-2,0)*控制台!$E$2771</f>
        <v>1750000</v>
      </c>
      <c r="AR65" s="1">
        <f ca="1">OFFSET(控制台!$V$2798,MATCH(B65,控制台!$B$2798:$B$2809,0)-1,0)*控制台!$E$2771</f>
        <v>2000000</v>
      </c>
      <c r="AS65" s="1">
        <f ca="1">Lerp_dyy(AQ65,AR65,C65/10)</f>
        <v>1875000</v>
      </c>
      <c r="AT65" s="4">
        <f ca="1">MAX(_xlfn.FLOOR.MATH(AS65/24/3600*控制台!$E$2784)-控制台!$J$2814,0)</f>
        <v>213</v>
      </c>
      <c r="AU65" s="1">
        <f ca="1" t="shared" si="12"/>
        <v>1840320</v>
      </c>
      <c r="AV65" s="1">
        <f ca="1" t="shared" si="13"/>
        <v>4600800</v>
      </c>
      <c r="AW65" s="5">
        <f ca="1" t="shared" si="23"/>
        <v>81781920</v>
      </c>
      <c r="AX65" s="1">
        <f ca="1">OFFSET(控制台!$X$2798,MATCH(B65,控制台!$B$2798:$B$2809,0)-2,0)*控制台!$E$2775</f>
        <v>1050</v>
      </c>
      <c r="AY65" s="1">
        <f ca="1">OFFSET(控制台!$X$2798,MATCH(B65,控制台!$B$2798:$B$2809,0)-1,0)*控制台!$E$2775</f>
        <v>1200</v>
      </c>
      <c r="AZ65" s="1">
        <f ca="1">Lerp_dyy(AX65,AY65,C65/10)</f>
        <v>1125</v>
      </c>
      <c r="BA65" s="4">
        <f ca="1">_xlfn.FLOOR.MATH(AZ65/24/3600*控制台!$E$2785)</f>
        <v>23</v>
      </c>
      <c r="BB65" s="1">
        <f ca="1" t="shared" si="14"/>
        <v>1104</v>
      </c>
      <c r="BC65" s="1">
        <f ca="1" t="shared" si="15"/>
        <v>2760</v>
      </c>
      <c r="BD65" s="5">
        <f ca="1" t="shared" si="24"/>
        <v>49075.2</v>
      </c>
      <c r="BE65" s="1">
        <f ca="1">OFFSET(控制台!$AA$2798,MATCH(B65,控制台!$B$2798:$B$2809,0)-1,0)</f>
        <v>33.3333333333334</v>
      </c>
      <c r="BF65" s="1">
        <f ca="1" t="shared" si="30"/>
        <v>2083.33333333334</v>
      </c>
      <c r="BG65" s="5">
        <f ca="1" t="shared" si="25"/>
        <v>26061.6666666667</v>
      </c>
      <c r="BH65" s="1">
        <f ca="1">OFFSET(控制台!$AD$2798,MATCH(B65,控制台!$B$2798:$B$2809,0)-2,0)</f>
        <v>1200</v>
      </c>
      <c r="BI65" s="1">
        <f ca="1">OFFSET(控制台!$AD$2798,MATCH(B65,控制台!$B$2798:$B$2809,0)-1,0)</f>
        <v>1600</v>
      </c>
      <c r="BJ65" s="1">
        <f ca="1">Lerp_dyy(BH65,BI65,C65/10)</f>
        <v>1400</v>
      </c>
      <c r="BK65" s="4">
        <f ca="1">_xlfn.FLOOR.MATH(BJ65/24/3600*控制台!$E$2785)</f>
        <v>29</v>
      </c>
      <c r="BL65" s="1">
        <f ca="1" t="shared" si="16"/>
        <v>1392</v>
      </c>
      <c r="BM65" s="1">
        <f ca="1" t="shared" si="17"/>
        <v>3480</v>
      </c>
      <c r="BN65" s="5">
        <f ca="1" t="shared" si="26"/>
        <v>40372.8</v>
      </c>
    </row>
    <row r="66" spans="1:66">
      <c r="A66" s="1">
        <f t="shared" ref="A66:A120" si="32">B66*100+C66</f>
        <v>706</v>
      </c>
      <c r="B66" s="1">
        <v>7</v>
      </c>
      <c r="C66" s="1">
        <v>6</v>
      </c>
      <c r="D66" s="1">
        <f ca="1">OFFSET(控制台!$D$2798,MATCH(B66,控制台!$B$2798:$B$2809,0)-2,0)*控制台!$E$2751</f>
        <v>3500000</v>
      </c>
      <c r="E66" s="1">
        <f ca="1">OFFSET(控制台!$D$2798,MATCH(B66,控制台!$B$2798:$B$2809,0)-1,0)*控制台!$E$2751</f>
        <v>4000000</v>
      </c>
      <c r="F66" s="1">
        <f ca="1">Lerp_dyy(D66,E66,C66/10)</f>
        <v>3800000</v>
      </c>
      <c r="G66" s="4">
        <f ca="1">_xlfn.FLOOR.MATH(F66/24/3600*控制台!$E$2784)-控制台!$E$2814</f>
        <v>431</v>
      </c>
      <c r="H66" s="1">
        <f ca="1" t="shared" ref="H66:H120" si="33">G66*6*60*24</f>
        <v>3723840</v>
      </c>
      <c r="I66" s="1">
        <f ca="1">IF(B66=1,0,OFFSET(控制台!$B$865,MATCH(B66-1,控制台!$G$865:$G$936,0)-1,0))</f>
        <v>50</v>
      </c>
      <c r="J66" s="1">
        <f ca="1">OFFSET(控制台!$B$865,MATCH(B66,控制台!$G$865:$G$936,0)-1,0)</f>
        <v>75</v>
      </c>
      <c r="K66" s="1">
        <f ca="1" t="shared" ref="K66:K120" si="34">(J66-I66)/10</f>
        <v>2.5</v>
      </c>
      <c r="L66" s="5">
        <f ca="1">Lerp_dyy(I66,J66,C66/10)</f>
        <v>65</v>
      </c>
      <c r="M66" s="1">
        <f ca="1" t="shared" ref="M66:M120" si="35">H66*K66</f>
        <v>9309600</v>
      </c>
      <c r="N66" s="5">
        <f ca="1" t="shared" si="18"/>
        <v>175631328</v>
      </c>
      <c r="O66" s="1">
        <f ca="1">OFFSET(控制台!$F$2798,MATCH(B66,控制台!$B$2798:$B$2809,0)-2,0)*控制台!$E$2755</f>
        <v>2100</v>
      </c>
      <c r="P66" s="1">
        <f ca="1">OFFSET(控制台!$F$2798,MATCH(B66,控制台!$B$2798:$B$2809,0)-1,0)*控制台!$E$2755</f>
        <v>2400</v>
      </c>
      <c r="Q66" s="1">
        <f ca="1">Lerp_dyy(O66,P66,C66/10)</f>
        <v>2280</v>
      </c>
      <c r="R66" s="4">
        <f ca="1">_xlfn.FLOOR.MATH(Q66/24/3600*控制台!$E$2785)</f>
        <v>47</v>
      </c>
      <c r="S66" s="1">
        <f ca="1" t="shared" ref="S66:S120" si="36">R66*2*24</f>
        <v>2256</v>
      </c>
      <c r="T66" s="1">
        <f ca="1" t="shared" ref="T66:T120" si="37">S66*K66</f>
        <v>5640</v>
      </c>
      <c r="U66" s="5">
        <f ca="1" t="shared" si="19"/>
        <v>106867.2</v>
      </c>
      <c r="V66" s="1">
        <f ca="1">OFFSET(控制台!$I$2798,MATCH(B66,控制台!$B$2798:$B$2809,0)-2,0)*控制台!$E$2791</f>
        <v>1250</v>
      </c>
      <c r="W66" s="1">
        <f ca="1">OFFSET(控制台!$I$2798,MATCH(B66,控制台!$B$2798:$B$2809,0)-1,0)*控制台!$E$2791</f>
        <v>1562.5</v>
      </c>
      <c r="X66" s="1">
        <f ca="1">Lerp_dyy(V66,W66,C66/10)</f>
        <v>1437.5</v>
      </c>
      <c r="Y66" s="4">
        <f ca="1">_xlfn.FLOOR.MATH(X66)</f>
        <v>1437</v>
      </c>
      <c r="Z66" s="1">
        <f ca="1" t="shared" ref="Z66:Z120" si="38">Y66*12/10000</f>
        <v>1.7244</v>
      </c>
      <c r="AA66" s="1">
        <f ca="1" t="shared" si="31"/>
        <v>4.311</v>
      </c>
      <c r="AB66" s="5">
        <f ca="1" t="shared" si="28"/>
        <v>67.63824</v>
      </c>
      <c r="AC66" s="5">
        <f ca="1">AB66*控制台!$E$4819</f>
        <v>54.110592</v>
      </c>
      <c r="AD66" s="5">
        <f ca="1">AB66*控制台!$E$4820</f>
        <v>1237.779792</v>
      </c>
      <c r="AE66" s="1">
        <f ca="1">OFFSET(控制台!$L$2798,MATCH(B66,控制台!$B$2798:$B$2809,0)-2,0)*控制台!$E$2763</f>
        <v>1200</v>
      </c>
      <c r="AF66" s="1">
        <f ca="1">OFFSET(控制台!$L$2798,MATCH(B66,控制台!$B$2798:$B$2809,0)-1,0)*控制台!$E$2763</f>
        <v>1500</v>
      </c>
      <c r="AG66" s="1">
        <f ca="1">Lerp_dyy(AE66,AF66,C66/10)</f>
        <v>1380</v>
      </c>
      <c r="AH66" s="1">
        <f ca="1" t="shared" ref="AH66:AH120" si="39">AG66*K66</f>
        <v>3450</v>
      </c>
      <c r="AI66" s="5">
        <f ca="1" t="shared" si="21"/>
        <v>51570</v>
      </c>
      <c r="AJ66" s="1">
        <f ca="1">OFFSET(控制台!$P$2798,MATCH(B66,控制台!$B$2798:$B$2809,0)-2,0)</f>
        <v>4000</v>
      </c>
      <c r="AK66" s="1">
        <f ca="1">OFFSET(控制台!$P$2798,MATCH(B66,控制台!$B$2798:$B$2809,0)-1,0)</f>
        <v>5000</v>
      </c>
      <c r="AL66" s="1">
        <f ca="1">Lerp_dyy(AJ66,AK66,C66/10)</f>
        <v>4600</v>
      </c>
      <c r="AM66" s="4">
        <f ca="1">_xlfn.FLOOR.MATH(AL66/24/3600*控制台!$E$2785)</f>
        <v>95</v>
      </c>
      <c r="AN66" s="1">
        <f ca="1" t="shared" ref="AN66:AN120" si="40">AM66*2*24</f>
        <v>4560</v>
      </c>
      <c r="AO66" s="1">
        <f ca="1" t="shared" ref="AO66:AO120" si="41">AN66*K66</f>
        <v>11400</v>
      </c>
      <c r="AP66" s="5">
        <f ca="1" t="shared" si="22"/>
        <v>171086.4</v>
      </c>
      <c r="AQ66" s="1">
        <f ca="1">OFFSET(控制台!$V$2798,MATCH(B66,控制台!$B$2798:$B$2809,0)-2,0)*控制台!$E$2771</f>
        <v>1750000</v>
      </c>
      <c r="AR66" s="1">
        <f ca="1">OFFSET(控制台!$V$2798,MATCH(B66,控制台!$B$2798:$B$2809,0)-1,0)*控制台!$E$2771</f>
        <v>2000000</v>
      </c>
      <c r="AS66" s="1">
        <f ca="1">Lerp_dyy(AQ66,AR66,C66/10)</f>
        <v>1900000</v>
      </c>
      <c r="AT66" s="4">
        <f ca="1">MAX(_xlfn.FLOOR.MATH(AS66/24/3600*控制台!$E$2784)-控制台!$J$2814,0)</f>
        <v>215</v>
      </c>
      <c r="AU66" s="1">
        <f ca="1" t="shared" si="12"/>
        <v>1857600</v>
      </c>
      <c r="AV66" s="1">
        <f ca="1" t="shared" si="13"/>
        <v>4644000</v>
      </c>
      <c r="AW66" s="5">
        <f ca="1" t="shared" si="23"/>
        <v>86425920</v>
      </c>
      <c r="AX66" s="1">
        <f ca="1">OFFSET(控制台!$X$2798,MATCH(B66,控制台!$B$2798:$B$2809,0)-2,0)*控制台!$E$2775</f>
        <v>1050</v>
      </c>
      <c r="AY66" s="1">
        <f ca="1">OFFSET(控制台!$X$2798,MATCH(B66,控制台!$B$2798:$B$2809,0)-1,0)*控制台!$E$2775</f>
        <v>1200</v>
      </c>
      <c r="AZ66" s="1">
        <f ca="1">Lerp_dyy(AX66,AY66,C66/10)</f>
        <v>1140</v>
      </c>
      <c r="BA66" s="4">
        <f ca="1">_xlfn.FLOOR.MATH(AZ66/24/3600*控制台!$E$2785)</f>
        <v>23</v>
      </c>
      <c r="BB66" s="1">
        <f ca="1" t="shared" si="14"/>
        <v>1104</v>
      </c>
      <c r="BC66" s="1">
        <f ca="1" t="shared" si="15"/>
        <v>2760</v>
      </c>
      <c r="BD66" s="5">
        <f ca="1" t="shared" si="24"/>
        <v>51835.2</v>
      </c>
      <c r="BE66" s="1">
        <f ca="1">OFFSET(控制台!$AA$2798,MATCH(B66,控制台!$B$2798:$B$2809,0)-1,0)</f>
        <v>33.3333333333334</v>
      </c>
      <c r="BF66" s="1">
        <f ca="1" t="shared" si="30"/>
        <v>2166.66666666667</v>
      </c>
      <c r="BG66" s="5">
        <f ca="1" t="shared" si="25"/>
        <v>28228.3333333334</v>
      </c>
      <c r="BH66" s="1">
        <f ca="1">OFFSET(控制台!$AD$2798,MATCH(B66,控制台!$B$2798:$B$2809,0)-2,0)</f>
        <v>1200</v>
      </c>
      <c r="BI66" s="1">
        <f ca="1">OFFSET(控制台!$AD$2798,MATCH(B66,控制台!$B$2798:$B$2809,0)-1,0)</f>
        <v>1600</v>
      </c>
      <c r="BJ66" s="1">
        <f ca="1">Lerp_dyy(BH66,BI66,C66/10)</f>
        <v>1440</v>
      </c>
      <c r="BK66" s="4">
        <f ca="1">_xlfn.FLOOR.MATH(BJ66/24/3600*控制台!$E$2785)</f>
        <v>30</v>
      </c>
      <c r="BL66" s="1">
        <f ca="1" t="shared" si="16"/>
        <v>1440</v>
      </c>
      <c r="BM66" s="1">
        <f ca="1" t="shared" si="17"/>
        <v>3600</v>
      </c>
      <c r="BN66" s="5">
        <f ca="1" t="shared" si="26"/>
        <v>43972.8</v>
      </c>
    </row>
    <row r="67" spans="1:66">
      <c r="A67" s="1">
        <f t="shared" si="32"/>
        <v>707</v>
      </c>
      <c r="B67" s="1">
        <v>7</v>
      </c>
      <c r="C67" s="1">
        <v>7</v>
      </c>
      <c r="D67" s="1">
        <f ca="1">OFFSET(控制台!$D$2798,MATCH(B67,控制台!$B$2798:$B$2809,0)-2,0)*控制台!$E$2751</f>
        <v>3500000</v>
      </c>
      <c r="E67" s="1">
        <f ca="1">OFFSET(控制台!$D$2798,MATCH(B67,控制台!$B$2798:$B$2809,0)-1,0)*控制台!$E$2751</f>
        <v>4000000</v>
      </c>
      <c r="F67" s="1">
        <f ca="1">Lerp_dyy(D67,E67,C67/10)</f>
        <v>3850000</v>
      </c>
      <c r="G67" s="4">
        <f ca="1">_xlfn.FLOOR.MATH(F67/24/3600*控制台!$E$2784)-控制台!$E$2814</f>
        <v>437</v>
      </c>
      <c r="H67" s="1">
        <f ca="1" t="shared" si="33"/>
        <v>3775680</v>
      </c>
      <c r="I67" s="1">
        <f ca="1">IF(B67=1,0,OFFSET(控制台!$B$865,MATCH(B67-1,控制台!$G$865:$G$936,0)-1,0))</f>
        <v>50</v>
      </c>
      <c r="J67" s="1">
        <f ca="1">OFFSET(控制台!$B$865,MATCH(B67,控制台!$G$865:$G$936,0)-1,0)</f>
        <v>75</v>
      </c>
      <c r="K67" s="1">
        <f ca="1" t="shared" si="34"/>
        <v>2.5</v>
      </c>
      <c r="L67" s="5">
        <f ca="1">Lerp_dyy(I67,J67,C67/10)</f>
        <v>67.5</v>
      </c>
      <c r="M67" s="1">
        <f ca="1" t="shared" si="35"/>
        <v>9439200</v>
      </c>
      <c r="N67" s="5">
        <f ca="1" t="shared" si="18"/>
        <v>185070528</v>
      </c>
      <c r="O67" s="1">
        <f ca="1">OFFSET(控制台!$F$2798,MATCH(B67,控制台!$B$2798:$B$2809,0)-2,0)*控制台!$E$2755</f>
        <v>2100</v>
      </c>
      <c r="P67" s="1">
        <f ca="1">OFFSET(控制台!$F$2798,MATCH(B67,控制台!$B$2798:$B$2809,0)-1,0)*控制台!$E$2755</f>
        <v>2400</v>
      </c>
      <c r="Q67" s="1">
        <f ca="1">Lerp_dyy(O67,P67,C67/10)</f>
        <v>2310</v>
      </c>
      <c r="R67" s="4">
        <f ca="1">_xlfn.FLOOR.MATH(Q67/24/3600*控制台!$E$2785)</f>
        <v>48</v>
      </c>
      <c r="S67" s="1">
        <f ca="1" t="shared" si="36"/>
        <v>2304</v>
      </c>
      <c r="T67" s="1">
        <f ca="1" t="shared" si="37"/>
        <v>5760</v>
      </c>
      <c r="U67" s="5">
        <f ca="1" t="shared" si="19"/>
        <v>112627.2</v>
      </c>
      <c r="V67" s="1">
        <f ca="1">OFFSET(控制台!$I$2798,MATCH(B67,控制台!$B$2798:$B$2809,0)-2,0)*控制台!$E$2791</f>
        <v>1250</v>
      </c>
      <c r="W67" s="1">
        <f ca="1">OFFSET(控制台!$I$2798,MATCH(B67,控制台!$B$2798:$B$2809,0)-1,0)*控制台!$E$2791</f>
        <v>1562.5</v>
      </c>
      <c r="X67" s="1">
        <f ca="1">Lerp_dyy(V67,W67,C67/10)</f>
        <v>1468.75</v>
      </c>
      <c r="Y67" s="4">
        <f ca="1">_xlfn.FLOOR.MATH(X67)</f>
        <v>1468</v>
      </c>
      <c r="Z67" s="1">
        <f ca="1" t="shared" si="38"/>
        <v>1.7616</v>
      </c>
      <c r="AA67" s="1">
        <f ca="1" t="shared" si="31"/>
        <v>4.404</v>
      </c>
      <c r="AB67" s="5">
        <f ca="1" t="shared" si="28"/>
        <v>72.04224</v>
      </c>
      <c r="AC67" s="5">
        <f ca="1">AB67*控制台!$E$4819</f>
        <v>57.633792</v>
      </c>
      <c r="AD67" s="5">
        <f ca="1">AB67*控制台!$E$4820</f>
        <v>1318.372992</v>
      </c>
      <c r="AE67" s="1">
        <f ca="1">OFFSET(控制台!$L$2798,MATCH(B67,控制台!$B$2798:$B$2809,0)-2,0)*控制台!$E$2763</f>
        <v>1200</v>
      </c>
      <c r="AF67" s="1">
        <f ca="1">OFFSET(控制台!$L$2798,MATCH(B67,控制台!$B$2798:$B$2809,0)-1,0)*控制台!$E$2763</f>
        <v>1500</v>
      </c>
      <c r="AG67" s="1">
        <f ca="1">Lerp_dyy(AE67,AF67,C67/10)</f>
        <v>1410</v>
      </c>
      <c r="AH67" s="1">
        <f ca="1" t="shared" si="39"/>
        <v>3525</v>
      </c>
      <c r="AI67" s="5">
        <f ca="1" t="shared" si="21"/>
        <v>55095</v>
      </c>
      <c r="AJ67" s="1">
        <f ca="1">OFFSET(控制台!$P$2798,MATCH(B67,控制台!$B$2798:$B$2809,0)-2,0)</f>
        <v>4000</v>
      </c>
      <c r="AK67" s="1">
        <f ca="1">OFFSET(控制台!$P$2798,MATCH(B67,控制台!$B$2798:$B$2809,0)-1,0)</f>
        <v>5000</v>
      </c>
      <c r="AL67" s="1">
        <f ca="1">Lerp_dyy(AJ67,AK67,C67/10)</f>
        <v>4700</v>
      </c>
      <c r="AM67" s="4">
        <f ca="1">_xlfn.FLOOR.MATH(AL67/24/3600*控制台!$E$2785)</f>
        <v>97</v>
      </c>
      <c r="AN67" s="1">
        <f ca="1" t="shared" si="40"/>
        <v>4656</v>
      </c>
      <c r="AO67" s="1">
        <f ca="1" t="shared" si="41"/>
        <v>11640</v>
      </c>
      <c r="AP67" s="5">
        <f ca="1" t="shared" si="22"/>
        <v>182726.4</v>
      </c>
      <c r="AQ67" s="1">
        <f ca="1">OFFSET(控制台!$V$2798,MATCH(B67,控制台!$B$2798:$B$2809,0)-2,0)*控制台!$E$2771</f>
        <v>1750000</v>
      </c>
      <c r="AR67" s="1">
        <f ca="1">OFFSET(控制台!$V$2798,MATCH(B67,控制台!$B$2798:$B$2809,0)-1,0)*控制台!$E$2771</f>
        <v>2000000</v>
      </c>
      <c r="AS67" s="1">
        <f ca="1">Lerp_dyy(AQ67,AR67,C67/10)</f>
        <v>1925000</v>
      </c>
      <c r="AT67" s="4">
        <f ca="1">MAX(_xlfn.FLOOR.MATH(AS67/24/3600*控制台!$E$2784)-控制台!$J$2814,0)</f>
        <v>218</v>
      </c>
      <c r="AU67" s="1">
        <f ca="1" t="shared" si="12"/>
        <v>1883520</v>
      </c>
      <c r="AV67" s="1">
        <f ca="1" t="shared" si="13"/>
        <v>4708800</v>
      </c>
      <c r="AW67" s="5">
        <f ca="1" t="shared" si="23"/>
        <v>91134720</v>
      </c>
      <c r="AX67" s="1">
        <f ca="1">OFFSET(控制台!$X$2798,MATCH(B67,控制台!$B$2798:$B$2809,0)-2,0)*控制台!$E$2775</f>
        <v>1050</v>
      </c>
      <c r="AY67" s="1">
        <f ca="1">OFFSET(控制台!$X$2798,MATCH(B67,控制台!$B$2798:$B$2809,0)-1,0)*控制台!$E$2775</f>
        <v>1200</v>
      </c>
      <c r="AZ67" s="1">
        <f ca="1">Lerp_dyy(AX67,AY67,C67/10)</f>
        <v>1155</v>
      </c>
      <c r="BA67" s="4">
        <f ca="1">_xlfn.FLOOR.MATH(AZ67/24/3600*控制台!$E$2785)</f>
        <v>24</v>
      </c>
      <c r="BB67" s="1">
        <f ca="1" t="shared" si="14"/>
        <v>1152</v>
      </c>
      <c r="BC67" s="1">
        <f ca="1" t="shared" si="15"/>
        <v>2880</v>
      </c>
      <c r="BD67" s="5">
        <f ca="1" t="shared" si="24"/>
        <v>54715.2</v>
      </c>
      <c r="BE67" s="1">
        <f ca="1">OFFSET(控制台!$AA$2798,MATCH(B67,控制台!$B$2798:$B$2809,0)-1,0)</f>
        <v>33.3333333333334</v>
      </c>
      <c r="BF67" s="1">
        <f ca="1" t="shared" si="30"/>
        <v>2250</v>
      </c>
      <c r="BG67" s="5">
        <f ca="1" t="shared" si="25"/>
        <v>30478.3333333334</v>
      </c>
      <c r="BH67" s="1">
        <f ca="1">OFFSET(控制台!$AD$2798,MATCH(B67,控制台!$B$2798:$B$2809,0)-2,0)</f>
        <v>1200</v>
      </c>
      <c r="BI67" s="1">
        <f ca="1">OFFSET(控制台!$AD$2798,MATCH(B67,控制台!$B$2798:$B$2809,0)-1,0)</f>
        <v>1600</v>
      </c>
      <c r="BJ67" s="1">
        <f ca="1">Lerp_dyy(BH67,BI67,C67/10)</f>
        <v>1480</v>
      </c>
      <c r="BK67" s="4">
        <f ca="1">_xlfn.FLOOR.MATH(BJ67/24/3600*控制台!$E$2785)</f>
        <v>30</v>
      </c>
      <c r="BL67" s="1">
        <f ca="1" t="shared" si="16"/>
        <v>1440</v>
      </c>
      <c r="BM67" s="1">
        <f ca="1" t="shared" si="17"/>
        <v>3600</v>
      </c>
      <c r="BN67" s="5">
        <f ca="1" t="shared" si="26"/>
        <v>47572.8</v>
      </c>
    </row>
    <row r="68" spans="1:66">
      <c r="A68" s="1">
        <f t="shared" si="32"/>
        <v>708</v>
      </c>
      <c r="B68" s="1">
        <v>7</v>
      </c>
      <c r="C68" s="1">
        <v>8</v>
      </c>
      <c r="D68" s="1">
        <f ca="1">OFFSET(控制台!$D$2798,MATCH(B68,控制台!$B$2798:$B$2809,0)-2,0)*控制台!$E$2751</f>
        <v>3500000</v>
      </c>
      <c r="E68" s="1">
        <f ca="1">OFFSET(控制台!$D$2798,MATCH(B68,控制台!$B$2798:$B$2809,0)-1,0)*控制台!$E$2751</f>
        <v>4000000</v>
      </c>
      <c r="F68" s="1">
        <f ca="1">Lerp_dyy(D68,E68,C68/10)</f>
        <v>3900000</v>
      </c>
      <c r="G68" s="4">
        <f ca="1">_xlfn.FLOOR.MATH(F68/24/3600*控制台!$E$2784)-控制台!$E$2814</f>
        <v>443</v>
      </c>
      <c r="H68" s="1">
        <f ca="1" t="shared" si="33"/>
        <v>3827520</v>
      </c>
      <c r="I68" s="1">
        <f ca="1">IF(B68=1,0,OFFSET(控制台!$B$865,MATCH(B68-1,控制台!$G$865:$G$936,0)-1,0))</f>
        <v>50</v>
      </c>
      <c r="J68" s="1">
        <f ca="1">OFFSET(控制台!$B$865,MATCH(B68,控制台!$G$865:$G$936,0)-1,0)</f>
        <v>75</v>
      </c>
      <c r="K68" s="1">
        <f ca="1" t="shared" si="34"/>
        <v>2.5</v>
      </c>
      <c r="L68" s="5">
        <f ca="1">Lerp_dyy(I68,J68,C68/10)</f>
        <v>70</v>
      </c>
      <c r="M68" s="1">
        <f ca="1" t="shared" si="35"/>
        <v>9568800</v>
      </c>
      <c r="N68" s="5">
        <f ca="1" t="shared" si="18"/>
        <v>194639328</v>
      </c>
      <c r="O68" s="1">
        <f ca="1">OFFSET(控制台!$F$2798,MATCH(B68,控制台!$B$2798:$B$2809,0)-2,0)*控制台!$E$2755</f>
        <v>2100</v>
      </c>
      <c r="P68" s="1">
        <f ca="1">OFFSET(控制台!$F$2798,MATCH(B68,控制台!$B$2798:$B$2809,0)-1,0)*控制台!$E$2755</f>
        <v>2400</v>
      </c>
      <c r="Q68" s="1">
        <f ca="1">Lerp_dyy(O68,P68,C68/10)</f>
        <v>2340</v>
      </c>
      <c r="R68" s="4">
        <f ca="1">_xlfn.FLOOR.MATH(Q68/24/3600*控制台!$E$2785)</f>
        <v>48</v>
      </c>
      <c r="S68" s="1">
        <f ca="1" t="shared" si="36"/>
        <v>2304</v>
      </c>
      <c r="T68" s="1">
        <f ca="1" t="shared" si="37"/>
        <v>5760</v>
      </c>
      <c r="U68" s="5">
        <f ca="1" t="shared" si="19"/>
        <v>118387.2</v>
      </c>
      <c r="V68" s="1">
        <f ca="1">OFFSET(控制台!$I$2798,MATCH(B68,控制台!$B$2798:$B$2809,0)-2,0)*控制台!$E$2791</f>
        <v>1250</v>
      </c>
      <c r="W68" s="1">
        <f ca="1">OFFSET(控制台!$I$2798,MATCH(B68,控制台!$B$2798:$B$2809,0)-1,0)*控制台!$E$2791</f>
        <v>1562.5</v>
      </c>
      <c r="X68" s="1">
        <f ca="1">Lerp_dyy(V68,W68,C68/10)</f>
        <v>1500</v>
      </c>
      <c r="Y68" s="4">
        <f ca="1">_xlfn.FLOOR.MATH(X68)</f>
        <v>1500</v>
      </c>
      <c r="Z68" s="1">
        <f ca="1" t="shared" si="38"/>
        <v>1.8</v>
      </c>
      <c r="AA68" s="1">
        <f ca="1" t="shared" si="31"/>
        <v>4.5</v>
      </c>
      <c r="AB68" s="5">
        <f ca="1" t="shared" si="28"/>
        <v>76.54224</v>
      </c>
      <c r="AC68" s="5">
        <f ca="1">AB68*控制台!$E$4819</f>
        <v>61.233792</v>
      </c>
      <c r="AD68" s="5">
        <f ca="1">AB68*控制台!$E$4820</f>
        <v>1400.722992</v>
      </c>
      <c r="AE68" s="1">
        <f ca="1">OFFSET(控制台!$L$2798,MATCH(B68,控制台!$B$2798:$B$2809,0)-2,0)*控制台!$E$2763</f>
        <v>1200</v>
      </c>
      <c r="AF68" s="1">
        <f ca="1">OFFSET(控制台!$L$2798,MATCH(B68,控制台!$B$2798:$B$2809,0)-1,0)*控制台!$E$2763</f>
        <v>1500</v>
      </c>
      <c r="AG68" s="1">
        <f ca="1">Lerp_dyy(AE68,AF68,C68/10)</f>
        <v>1440</v>
      </c>
      <c r="AH68" s="1">
        <f ca="1" t="shared" si="39"/>
        <v>3600</v>
      </c>
      <c r="AI68" s="5">
        <f ca="1" t="shared" si="21"/>
        <v>58695</v>
      </c>
      <c r="AJ68" s="1">
        <f ca="1">OFFSET(控制台!$P$2798,MATCH(B68,控制台!$B$2798:$B$2809,0)-2,0)</f>
        <v>4000</v>
      </c>
      <c r="AK68" s="1">
        <f ca="1">OFFSET(控制台!$P$2798,MATCH(B68,控制台!$B$2798:$B$2809,0)-1,0)</f>
        <v>5000</v>
      </c>
      <c r="AL68" s="1">
        <f ca="1">Lerp_dyy(AJ68,AK68,C68/10)</f>
        <v>4800</v>
      </c>
      <c r="AM68" s="4">
        <f ca="1">_xlfn.FLOOR.MATH(AL68/24/3600*控制台!$E$2785)</f>
        <v>100</v>
      </c>
      <c r="AN68" s="1">
        <f ca="1" t="shared" si="40"/>
        <v>4800</v>
      </c>
      <c r="AO68" s="1">
        <f ca="1" t="shared" si="41"/>
        <v>12000</v>
      </c>
      <c r="AP68" s="5">
        <f ca="1" t="shared" si="22"/>
        <v>194726.4</v>
      </c>
      <c r="AQ68" s="1">
        <f ca="1">OFFSET(控制台!$V$2798,MATCH(B68,控制台!$B$2798:$B$2809,0)-2,0)*控制台!$E$2771</f>
        <v>1750000</v>
      </c>
      <c r="AR68" s="1">
        <f ca="1">OFFSET(控制台!$V$2798,MATCH(B68,控制台!$B$2798:$B$2809,0)-1,0)*控制台!$E$2771</f>
        <v>2000000</v>
      </c>
      <c r="AS68" s="1">
        <f ca="1">Lerp_dyy(AQ68,AR68,C68/10)</f>
        <v>1950000</v>
      </c>
      <c r="AT68" s="4">
        <f ca="1">MAX(_xlfn.FLOOR.MATH(AS68/24/3600*控制台!$E$2784)-控制台!$J$2814,0)</f>
        <v>221</v>
      </c>
      <c r="AU68" s="1">
        <f ca="1" t="shared" si="12"/>
        <v>1909440</v>
      </c>
      <c r="AV68" s="1">
        <f ca="1" t="shared" si="13"/>
        <v>4773600</v>
      </c>
      <c r="AW68" s="5">
        <f ca="1" t="shared" si="23"/>
        <v>95908320</v>
      </c>
      <c r="AX68" s="1">
        <f ca="1">OFFSET(控制台!$X$2798,MATCH(B68,控制台!$B$2798:$B$2809,0)-2,0)*控制台!$E$2775</f>
        <v>1050</v>
      </c>
      <c r="AY68" s="1">
        <f ca="1">OFFSET(控制台!$X$2798,MATCH(B68,控制台!$B$2798:$B$2809,0)-1,0)*控制台!$E$2775</f>
        <v>1200</v>
      </c>
      <c r="AZ68" s="1">
        <f ca="1">Lerp_dyy(AX68,AY68,C68/10)</f>
        <v>1170</v>
      </c>
      <c r="BA68" s="4">
        <f ca="1">_xlfn.FLOOR.MATH(AZ68/24/3600*控制台!$E$2785)</f>
        <v>24</v>
      </c>
      <c r="BB68" s="1">
        <f ca="1" t="shared" si="14"/>
        <v>1152</v>
      </c>
      <c r="BC68" s="1">
        <f ca="1" t="shared" si="15"/>
        <v>2880</v>
      </c>
      <c r="BD68" s="5">
        <f ca="1" t="shared" si="24"/>
        <v>57595.2</v>
      </c>
      <c r="BE68" s="1">
        <f ca="1">OFFSET(控制台!$AA$2798,MATCH(B68,控制台!$B$2798:$B$2809,0)-1,0)</f>
        <v>33.3333333333334</v>
      </c>
      <c r="BF68" s="1">
        <f ca="1" t="shared" si="30"/>
        <v>2333.33333333334</v>
      </c>
      <c r="BG68" s="5">
        <f ca="1" t="shared" si="25"/>
        <v>32811.6666666667</v>
      </c>
      <c r="BH68" s="1">
        <f ca="1">OFFSET(控制台!$AD$2798,MATCH(B68,控制台!$B$2798:$B$2809,0)-2,0)</f>
        <v>1200</v>
      </c>
      <c r="BI68" s="1">
        <f ca="1">OFFSET(控制台!$AD$2798,MATCH(B68,控制台!$B$2798:$B$2809,0)-1,0)</f>
        <v>1600</v>
      </c>
      <c r="BJ68" s="1">
        <f ca="1">Lerp_dyy(BH68,BI68,C68/10)</f>
        <v>1520</v>
      </c>
      <c r="BK68" s="4">
        <f ca="1">_xlfn.FLOOR.MATH(BJ68/24/3600*控制台!$E$2785)</f>
        <v>31</v>
      </c>
      <c r="BL68" s="1">
        <f ca="1" t="shared" si="16"/>
        <v>1488</v>
      </c>
      <c r="BM68" s="1">
        <f ca="1" t="shared" si="17"/>
        <v>3720</v>
      </c>
      <c r="BN68" s="5">
        <f ca="1" t="shared" si="26"/>
        <v>51292.8</v>
      </c>
    </row>
    <row r="69" spans="1:66">
      <c r="A69" s="1">
        <f t="shared" si="32"/>
        <v>709</v>
      </c>
      <c r="B69" s="1">
        <v>7</v>
      </c>
      <c r="C69" s="1">
        <v>9</v>
      </c>
      <c r="D69" s="1">
        <f ca="1">OFFSET(控制台!$D$2798,MATCH(B69,控制台!$B$2798:$B$2809,0)-2,0)*控制台!$E$2751</f>
        <v>3500000</v>
      </c>
      <c r="E69" s="1">
        <f ca="1">OFFSET(控制台!$D$2798,MATCH(B69,控制台!$B$2798:$B$2809,0)-1,0)*控制台!$E$2751</f>
        <v>4000000</v>
      </c>
      <c r="F69" s="1">
        <f ca="1">Lerp_dyy(D69,E69,C69/10)</f>
        <v>3950000</v>
      </c>
      <c r="G69" s="4">
        <f ca="1">_xlfn.FLOOR.MATH(F69/24/3600*控制台!$E$2784)-控制台!$E$2814</f>
        <v>449</v>
      </c>
      <c r="H69" s="1">
        <f ca="1" t="shared" si="33"/>
        <v>3879360</v>
      </c>
      <c r="I69" s="1">
        <f ca="1">IF(B69=1,0,OFFSET(控制台!$B$865,MATCH(B69-1,控制台!$G$865:$G$936,0)-1,0))</f>
        <v>50</v>
      </c>
      <c r="J69" s="1">
        <f ca="1">OFFSET(控制台!$B$865,MATCH(B69,控制台!$G$865:$G$936,0)-1,0)</f>
        <v>75</v>
      </c>
      <c r="K69" s="1">
        <f ca="1" t="shared" si="34"/>
        <v>2.5</v>
      </c>
      <c r="L69" s="5">
        <f ca="1">Lerp_dyy(I69,J69,C69/10)</f>
        <v>72.5</v>
      </c>
      <c r="M69" s="1">
        <f ca="1" t="shared" si="35"/>
        <v>9698400</v>
      </c>
      <c r="N69" s="5">
        <f ca="1" t="shared" si="18"/>
        <v>204337728</v>
      </c>
      <c r="O69" s="1">
        <f ca="1">OFFSET(控制台!$F$2798,MATCH(B69,控制台!$B$2798:$B$2809,0)-2,0)*控制台!$E$2755</f>
        <v>2100</v>
      </c>
      <c r="P69" s="1">
        <f ca="1">OFFSET(控制台!$F$2798,MATCH(B69,控制台!$B$2798:$B$2809,0)-1,0)*控制台!$E$2755</f>
        <v>2400</v>
      </c>
      <c r="Q69" s="1">
        <f ca="1">Lerp_dyy(O69,P69,C69/10)</f>
        <v>2370</v>
      </c>
      <c r="R69" s="4">
        <f ca="1">_xlfn.FLOOR.MATH(Q69/24/3600*控制台!$E$2785)</f>
        <v>49</v>
      </c>
      <c r="S69" s="1">
        <f ca="1" t="shared" si="36"/>
        <v>2352</v>
      </c>
      <c r="T69" s="1">
        <f ca="1" t="shared" si="37"/>
        <v>5880</v>
      </c>
      <c r="U69" s="5">
        <f ca="1" t="shared" si="19"/>
        <v>124267.2</v>
      </c>
      <c r="V69" s="1">
        <f ca="1">OFFSET(控制台!$I$2798,MATCH(B69,控制台!$B$2798:$B$2809,0)-2,0)*控制台!$E$2791</f>
        <v>1250</v>
      </c>
      <c r="W69" s="1">
        <f ca="1">OFFSET(控制台!$I$2798,MATCH(B69,控制台!$B$2798:$B$2809,0)-1,0)*控制台!$E$2791</f>
        <v>1562.5</v>
      </c>
      <c r="X69" s="1">
        <f ca="1">Lerp_dyy(V69,W69,C69/10)</f>
        <v>1531.25</v>
      </c>
      <c r="Y69" s="4">
        <f ca="1">_xlfn.FLOOR.MATH(X69)</f>
        <v>1531</v>
      </c>
      <c r="Z69" s="1">
        <f ca="1" t="shared" si="38"/>
        <v>1.8372</v>
      </c>
      <c r="AA69" s="1">
        <f ca="1" t="shared" si="31"/>
        <v>4.593</v>
      </c>
      <c r="AB69" s="5">
        <f ca="1" t="shared" si="28"/>
        <v>81.13524</v>
      </c>
      <c r="AC69" s="5">
        <f ca="1">AB69*控制台!$E$4819</f>
        <v>64.908192</v>
      </c>
      <c r="AD69" s="5">
        <f ca="1">AB69*控制台!$E$4820</f>
        <v>1484.774892</v>
      </c>
      <c r="AE69" s="1">
        <f ca="1">OFFSET(控制台!$L$2798,MATCH(B69,控制台!$B$2798:$B$2809,0)-2,0)*控制台!$E$2763</f>
        <v>1200</v>
      </c>
      <c r="AF69" s="1">
        <f ca="1">OFFSET(控制台!$L$2798,MATCH(B69,控制台!$B$2798:$B$2809,0)-1,0)*控制台!$E$2763</f>
        <v>1500</v>
      </c>
      <c r="AG69" s="1">
        <f ca="1">Lerp_dyy(AE69,AF69,C69/10)</f>
        <v>1470</v>
      </c>
      <c r="AH69" s="1">
        <f ca="1" t="shared" si="39"/>
        <v>3675</v>
      </c>
      <c r="AI69" s="5">
        <f ca="1" t="shared" si="21"/>
        <v>62370</v>
      </c>
      <c r="AJ69" s="1">
        <f ca="1">OFFSET(控制台!$P$2798,MATCH(B69,控制台!$B$2798:$B$2809,0)-2,0)</f>
        <v>4000</v>
      </c>
      <c r="AK69" s="1">
        <f ca="1">OFFSET(控制台!$P$2798,MATCH(B69,控制台!$B$2798:$B$2809,0)-1,0)</f>
        <v>5000</v>
      </c>
      <c r="AL69" s="1">
        <f ca="1">Lerp_dyy(AJ69,AK69,C69/10)</f>
        <v>4900</v>
      </c>
      <c r="AM69" s="4">
        <f ca="1">_xlfn.FLOOR.MATH(AL69/24/3600*控制台!$E$2785)</f>
        <v>102</v>
      </c>
      <c r="AN69" s="1">
        <f ca="1" t="shared" si="40"/>
        <v>4896</v>
      </c>
      <c r="AO69" s="1">
        <f ca="1" t="shared" si="41"/>
        <v>12240</v>
      </c>
      <c r="AP69" s="5">
        <f ca="1" t="shared" si="22"/>
        <v>206966.4</v>
      </c>
      <c r="AQ69" s="1">
        <f ca="1">OFFSET(控制台!$V$2798,MATCH(B69,控制台!$B$2798:$B$2809,0)-2,0)*控制台!$E$2771</f>
        <v>1750000</v>
      </c>
      <c r="AR69" s="1">
        <f ca="1">OFFSET(控制台!$V$2798,MATCH(B69,控制台!$B$2798:$B$2809,0)-1,0)*控制台!$E$2771</f>
        <v>2000000</v>
      </c>
      <c r="AS69" s="1">
        <f ca="1">Lerp_dyy(AQ69,AR69,C69/10)</f>
        <v>1975000</v>
      </c>
      <c r="AT69" s="4">
        <f ca="1">MAX(_xlfn.FLOOR.MATH(AS69/24/3600*控制台!$E$2784)-控制台!$J$2814,0)</f>
        <v>224</v>
      </c>
      <c r="AU69" s="1">
        <f ca="1" t="shared" si="12"/>
        <v>1935360</v>
      </c>
      <c r="AV69" s="1">
        <f ca="1" t="shared" si="13"/>
        <v>4838400</v>
      </c>
      <c r="AW69" s="5">
        <f ca="1" t="shared" si="23"/>
        <v>100746720</v>
      </c>
      <c r="AX69" s="1">
        <f ca="1">OFFSET(控制台!$X$2798,MATCH(B69,控制台!$B$2798:$B$2809,0)-2,0)*控制台!$E$2775</f>
        <v>1050</v>
      </c>
      <c r="AY69" s="1">
        <f ca="1">OFFSET(控制台!$X$2798,MATCH(B69,控制台!$B$2798:$B$2809,0)-1,0)*控制台!$E$2775</f>
        <v>1200</v>
      </c>
      <c r="AZ69" s="1">
        <f ca="1">Lerp_dyy(AX69,AY69,C69/10)</f>
        <v>1185</v>
      </c>
      <c r="BA69" s="4">
        <f ca="1">_xlfn.FLOOR.MATH(AZ69/24/3600*控制台!$E$2785)</f>
        <v>24</v>
      </c>
      <c r="BB69" s="1">
        <f ca="1" t="shared" si="14"/>
        <v>1152</v>
      </c>
      <c r="BC69" s="1">
        <f ca="1" t="shared" si="15"/>
        <v>2880</v>
      </c>
      <c r="BD69" s="5">
        <f ca="1" t="shared" si="24"/>
        <v>60475.2</v>
      </c>
      <c r="BE69" s="1">
        <f ca="1">OFFSET(控制台!$AA$2798,MATCH(B69,控制台!$B$2798:$B$2809,0)-1,0)</f>
        <v>33.3333333333334</v>
      </c>
      <c r="BF69" s="1">
        <f ca="1" t="shared" si="30"/>
        <v>2416.66666666667</v>
      </c>
      <c r="BG69" s="5">
        <f ca="1" t="shared" si="25"/>
        <v>35228.3333333334</v>
      </c>
      <c r="BH69" s="1">
        <f ca="1">OFFSET(控制台!$AD$2798,MATCH(B69,控制台!$B$2798:$B$2809,0)-2,0)</f>
        <v>1200</v>
      </c>
      <c r="BI69" s="1">
        <f ca="1">OFFSET(控制台!$AD$2798,MATCH(B69,控制台!$B$2798:$B$2809,0)-1,0)</f>
        <v>1600</v>
      </c>
      <c r="BJ69" s="1">
        <f ca="1">Lerp_dyy(BH69,BI69,C69/10)</f>
        <v>1560</v>
      </c>
      <c r="BK69" s="4">
        <f ca="1">_xlfn.FLOOR.MATH(BJ69/24/3600*控制台!$E$2785)</f>
        <v>32</v>
      </c>
      <c r="BL69" s="1">
        <f ca="1" t="shared" si="16"/>
        <v>1536</v>
      </c>
      <c r="BM69" s="1">
        <f ca="1" t="shared" si="17"/>
        <v>3840</v>
      </c>
      <c r="BN69" s="5">
        <f ca="1" t="shared" si="26"/>
        <v>55132.8</v>
      </c>
    </row>
    <row r="70" spans="1:66">
      <c r="A70" s="1">
        <f t="shared" si="32"/>
        <v>710</v>
      </c>
      <c r="B70" s="1">
        <v>7</v>
      </c>
      <c r="C70" s="1">
        <v>10</v>
      </c>
      <c r="D70" s="1">
        <f ca="1">OFFSET(控制台!$D$2798,MATCH(B70,控制台!$B$2798:$B$2809,0)-2,0)*控制台!$E$2751</f>
        <v>3500000</v>
      </c>
      <c r="E70" s="1">
        <f ca="1">OFFSET(控制台!$D$2798,MATCH(B70,控制台!$B$2798:$B$2809,0)-1,0)*控制台!$E$2751</f>
        <v>4000000</v>
      </c>
      <c r="F70" s="1">
        <f ca="1">Lerp_dyy(D70,E70,C70/10)</f>
        <v>4000000</v>
      </c>
      <c r="G70" s="4">
        <f ca="1">_xlfn.FLOOR.MATH(F70/24/3600*控制台!$E$2784)-控制台!$E$2814</f>
        <v>454</v>
      </c>
      <c r="H70" s="1">
        <f ca="1" t="shared" si="33"/>
        <v>3922560</v>
      </c>
      <c r="I70" s="1">
        <f ca="1">IF(B70=1,0,OFFSET(控制台!$B$865,MATCH(B70-1,控制台!$G$865:$G$936,0)-1,0))</f>
        <v>50</v>
      </c>
      <c r="J70" s="1">
        <f ca="1">OFFSET(控制台!$B$865,MATCH(B70,控制台!$G$865:$G$936,0)-1,0)</f>
        <v>75</v>
      </c>
      <c r="K70" s="1">
        <f ca="1" t="shared" si="34"/>
        <v>2.5</v>
      </c>
      <c r="L70" s="5">
        <f ca="1">Lerp_dyy(I70,J70,C70/10)</f>
        <v>75</v>
      </c>
      <c r="M70" s="1">
        <f ca="1" t="shared" si="35"/>
        <v>9806400</v>
      </c>
      <c r="N70" s="5">
        <f ca="1" t="shared" si="18"/>
        <v>214144128</v>
      </c>
      <c r="O70" s="1">
        <f ca="1">OFFSET(控制台!$F$2798,MATCH(B70,控制台!$B$2798:$B$2809,0)-2,0)*控制台!$E$2755</f>
        <v>2100</v>
      </c>
      <c r="P70" s="1">
        <f ca="1">OFFSET(控制台!$F$2798,MATCH(B70,控制台!$B$2798:$B$2809,0)-1,0)*控制台!$E$2755</f>
        <v>2400</v>
      </c>
      <c r="Q70" s="1">
        <f ca="1">Lerp_dyy(O70,P70,C70/10)</f>
        <v>2400</v>
      </c>
      <c r="R70" s="4">
        <f ca="1">_xlfn.FLOOR.MATH(Q70/24/3600*控制台!$E$2785)</f>
        <v>50</v>
      </c>
      <c r="S70" s="1">
        <f ca="1" t="shared" si="36"/>
        <v>2400</v>
      </c>
      <c r="T70" s="1">
        <f ca="1" t="shared" si="37"/>
        <v>6000</v>
      </c>
      <c r="U70" s="5">
        <f ca="1" t="shared" si="19"/>
        <v>130267.2</v>
      </c>
      <c r="V70" s="1">
        <f ca="1">OFFSET(控制台!$I$2798,MATCH(B70,控制台!$B$2798:$B$2809,0)-2,0)*控制台!$E$2791</f>
        <v>1250</v>
      </c>
      <c r="W70" s="1">
        <f ca="1">OFFSET(控制台!$I$2798,MATCH(B70,控制台!$B$2798:$B$2809,0)-1,0)*控制台!$E$2791</f>
        <v>1562.5</v>
      </c>
      <c r="X70" s="1">
        <f ca="1">Lerp_dyy(V70,W70,C70/10)</f>
        <v>1562.5</v>
      </c>
      <c r="Y70" s="4">
        <f ca="1">_xlfn.FLOOR.MATH(X70)</f>
        <v>1562</v>
      </c>
      <c r="Z70" s="1">
        <f ca="1" t="shared" si="38"/>
        <v>1.8744</v>
      </c>
      <c r="AA70" s="1">
        <f ca="1" t="shared" si="31"/>
        <v>4.686</v>
      </c>
      <c r="AB70" s="5">
        <f ca="1" t="shared" si="28"/>
        <v>85.82124</v>
      </c>
      <c r="AC70" s="5">
        <f ca="1">AB70*控制台!$E$4819</f>
        <v>68.656992</v>
      </c>
      <c r="AD70" s="5">
        <f ca="1">AB70*控制台!$E$4820</f>
        <v>1570.528692</v>
      </c>
      <c r="AE70" s="1">
        <f ca="1">OFFSET(控制台!$L$2798,MATCH(B70,控制台!$B$2798:$B$2809,0)-2,0)*控制台!$E$2763</f>
        <v>1200</v>
      </c>
      <c r="AF70" s="1">
        <f ca="1">OFFSET(控制台!$L$2798,MATCH(B70,控制台!$B$2798:$B$2809,0)-1,0)*控制台!$E$2763</f>
        <v>1500</v>
      </c>
      <c r="AG70" s="1">
        <f ca="1">Lerp_dyy(AE70,AF70,C70/10)</f>
        <v>1500</v>
      </c>
      <c r="AH70" s="1">
        <f ca="1" t="shared" si="39"/>
        <v>3750</v>
      </c>
      <c r="AI70" s="5">
        <f ca="1" t="shared" si="21"/>
        <v>66120</v>
      </c>
      <c r="AJ70" s="1">
        <f ca="1">OFFSET(控制台!$P$2798,MATCH(B70,控制台!$B$2798:$B$2809,0)-2,0)</f>
        <v>4000</v>
      </c>
      <c r="AK70" s="1">
        <f ca="1">OFFSET(控制台!$P$2798,MATCH(B70,控制台!$B$2798:$B$2809,0)-1,0)</f>
        <v>5000</v>
      </c>
      <c r="AL70" s="1">
        <f ca="1">Lerp_dyy(AJ70,AK70,C70/10)</f>
        <v>5000</v>
      </c>
      <c r="AM70" s="4">
        <f ca="1">_xlfn.FLOOR.MATH(AL70/24/3600*控制台!$E$2785)</f>
        <v>104</v>
      </c>
      <c r="AN70" s="1">
        <f ca="1" t="shared" si="40"/>
        <v>4992</v>
      </c>
      <c r="AO70" s="1">
        <f ca="1" t="shared" si="41"/>
        <v>12480</v>
      </c>
      <c r="AP70" s="5">
        <f ca="1" t="shared" si="22"/>
        <v>219446.4</v>
      </c>
      <c r="AQ70" s="1">
        <f ca="1">OFFSET(控制台!$V$2798,MATCH(B70,控制台!$B$2798:$B$2809,0)-2,0)*控制台!$E$2771</f>
        <v>1750000</v>
      </c>
      <c r="AR70" s="1">
        <f ca="1">OFFSET(控制台!$V$2798,MATCH(B70,控制台!$B$2798:$B$2809,0)-1,0)*控制台!$E$2771</f>
        <v>2000000</v>
      </c>
      <c r="AS70" s="1">
        <f ca="1">Lerp_dyy(AQ70,AR70,C70/10)</f>
        <v>2000000</v>
      </c>
      <c r="AT70" s="4">
        <f ca="1">MAX(_xlfn.FLOOR.MATH(AS70/24/3600*控制台!$E$2784)-控制台!$J$2814,0)</f>
        <v>227</v>
      </c>
      <c r="AU70" s="1">
        <f ca="1" t="shared" si="12"/>
        <v>1961280</v>
      </c>
      <c r="AV70" s="1">
        <f ca="1" t="shared" si="13"/>
        <v>4903200</v>
      </c>
      <c r="AW70" s="5">
        <f ca="1" t="shared" si="23"/>
        <v>105649920</v>
      </c>
      <c r="AX70" s="1">
        <f ca="1">OFFSET(控制台!$X$2798,MATCH(B70,控制台!$B$2798:$B$2809,0)-2,0)*控制台!$E$2775</f>
        <v>1050</v>
      </c>
      <c r="AY70" s="1">
        <f ca="1">OFFSET(控制台!$X$2798,MATCH(B70,控制台!$B$2798:$B$2809,0)-1,0)*控制台!$E$2775</f>
        <v>1200</v>
      </c>
      <c r="AZ70" s="1">
        <f ca="1">Lerp_dyy(AX70,AY70,C70/10)</f>
        <v>1200</v>
      </c>
      <c r="BA70" s="4">
        <f ca="1">_xlfn.FLOOR.MATH(AZ70/24/3600*控制台!$E$2785)</f>
        <v>25</v>
      </c>
      <c r="BB70" s="1">
        <f ca="1" t="shared" si="14"/>
        <v>1200</v>
      </c>
      <c r="BC70" s="1">
        <f ca="1" t="shared" si="15"/>
        <v>3000</v>
      </c>
      <c r="BD70" s="5">
        <f ca="1" t="shared" si="24"/>
        <v>63475.2</v>
      </c>
      <c r="BE70" s="1">
        <f ca="1">OFFSET(控制台!$AA$2798,MATCH(B70,控制台!$B$2798:$B$2809,0)-1,0)</f>
        <v>33.3333333333334</v>
      </c>
      <c r="BF70" s="1">
        <f ca="1" t="shared" ref="BF70:BF101" si="42">L70*BE70</f>
        <v>2500.00000000001</v>
      </c>
      <c r="BG70" s="5">
        <f ca="1" t="shared" si="25"/>
        <v>37728.3333333334</v>
      </c>
      <c r="BH70" s="1">
        <f ca="1">OFFSET(控制台!$AD$2798,MATCH(B70,控制台!$B$2798:$B$2809,0)-2,0)</f>
        <v>1200</v>
      </c>
      <c r="BI70" s="1">
        <f ca="1">OFFSET(控制台!$AD$2798,MATCH(B70,控制台!$B$2798:$B$2809,0)-1,0)</f>
        <v>1600</v>
      </c>
      <c r="BJ70" s="1">
        <f ca="1">Lerp_dyy(BH70,BI70,C70/10)</f>
        <v>1600</v>
      </c>
      <c r="BK70" s="4">
        <f ca="1">_xlfn.FLOOR.MATH(BJ70/24/3600*控制台!$E$2785)</f>
        <v>33</v>
      </c>
      <c r="BL70" s="1">
        <f ca="1" t="shared" si="16"/>
        <v>1584</v>
      </c>
      <c r="BM70" s="1">
        <f ca="1" t="shared" si="17"/>
        <v>3960</v>
      </c>
      <c r="BN70" s="5">
        <f ca="1" t="shared" si="26"/>
        <v>59092.8</v>
      </c>
    </row>
    <row r="71" s="15" customFormat="1" spans="1:66">
      <c r="A71" s="15">
        <f t="shared" si="32"/>
        <v>801</v>
      </c>
      <c r="B71" s="15">
        <v>8</v>
      </c>
      <c r="C71" s="15">
        <v>1</v>
      </c>
      <c r="D71" s="15">
        <f ca="1">OFFSET(控制台!$D$2798,MATCH(B71,控制台!$B$2798:$B$2809,0)-2,0)*控制台!$E$2751</f>
        <v>4000000</v>
      </c>
      <c r="E71" s="15">
        <f ca="1">OFFSET(控制台!$D$2798,MATCH(B71,控制台!$B$2798:$B$2809,0)-1,0)*控制台!$E$2751</f>
        <v>4200000</v>
      </c>
      <c r="F71" s="15">
        <f ca="1">Lerp_dyy(D71,E71,C71/10)</f>
        <v>4020000</v>
      </c>
      <c r="G71" s="16">
        <f ca="1">_xlfn.FLOOR.MATH(F71/24/3600*控制台!$E$2784)-控制台!$E$2814</f>
        <v>457</v>
      </c>
      <c r="H71" s="15">
        <f ca="1" t="shared" si="33"/>
        <v>3948480</v>
      </c>
      <c r="I71" s="15">
        <f ca="1">IF(B71=1,0,OFFSET(控制台!$B$865,MATCH(B71-1,控制台!$G$865:$G$936,0)-1,0))</f>
        <v>75</v>
      </c>
      <c r="J71" s="15">
        <f ca="1">OFFSET(控制台!$B$865,MATCH(B71,控制台!$G$865:$G$936,0)-1,0)</f>
        <v>120</v>
      </c>
      <c r="K71" s="15">
        <f ca="1" t="shared" si="34"/>
        <v>4.5</v>
      </c>
      <c r="L71" s="17">
        <f ca="1">Lerp_dyy(I71,J71,C71/10)</f>
        <v>79.5</v>
      </c>
      <c r="M71" s="15">
        <f ca="1" t="shared" si="35"/>
        <v>17768160</v>
      </c>
      <c r="N71" s="17">
        <f ca="1" t="shared" si="18"/>
        <v>231912288</v>
      </c>
      <c r="O71" s="15">
        <f ca="1">OFFSET(控制台!$F$2798,MATCH(B71,控制台!$B$2798:$B$2809,0)-2,0)*控制台!$E$2755</f>
        <v>2400</v>
      </c>
      <c r="P71" s="15">
        <f ca="1">OFFSET(控制台!$F$2798,MATCH(B71,控制台!$B$2798:$B$2809,0)-1,0)*控制台!$E$2755</f>
        <v>2520</v>
      </c>
      <c r="Q71" s="15">
        <f ca="1">Lerp_dyy(O71,P71,C71/10)</f>
        <v>2412</v>
      </c>
      <c r="R71" s="16">
        <f ca="1">_xlfn.FLOOR.MATH(Q71/24/3600*控制台!$E$2785)</f>
        <v>50</v>
      </c>
      <c r="S71" s="15">
        <f ca="1" t="shared" si="36"/>
        <v>2400</v>
      </c>
      <c r="T71" s="15">
        <f ca="1" t="shared" si="37"/>
        <v>10800</v>
      </c>
      <c r="U71" s="17">
        <f ca="1" t="shared" si="19"/>
        <v>141067.2</v>
      </c>
      <c r="V71" s="15">
        <f ca="1">OFFSET(控制台!$I$2798,MATCH(B71,控制台!$B$2798:$B$2809,0)-2,0)*控制台!$E$2791</f>
        <v>1562.5</v>
      </c>
      <c r="W71" s="15">
        <f ca="1">OFFSET(控制台!$I$2798,MATCH(B71,控制台!$B$2798:$B$2809,0)-1,0)*控制台!$E$2791</f>
        <v>1875</v>
      </c>
      <c r="X71" s="15">
        <f ca="1">Lerp_dyy(V71,W71,C71/10)</f>
        <v>1593.75</v>
      </c>
      <c r="Y71" s="16">
        <f ca="1">_xlfn.FLOOR.MATH(X71)</f>
        <v>1593</v>
      </c>
      <c r="Z71" s="15">
        <f ca="1" t="shared" si="38"/>
        <v>1.9116</v>
      </c>
      <c r="AA71" s="15">
        <f ca="1" t="shared" si="31"/>
        <v>8.6022</v>
      </c>
      <c r="AB71" s="17">
        <f ca="1" t="shared" si="28"/>
        <v>94.42344</v>
      </c>
      <c r="AC71" s="17">
        <f ca="1">AB71*控制台!$E$4819</f>
        <v>75.538752</v>
      </c>
      <c r="AD71" s="17">
        <f ca="1">AB71*控制台!$E$4820</f>
        <v>1727.948952</v>
      </c>
      <c r="AE71" s="15">
        <f ca="1">OFFSET(控制台!$L$2798,MATCH(B71,控制台!$B$2798:$B$2809,0)-2,0)*控制台!$E$2763</f>
        <v>1500</v>
      </c>
      <c r="AF71" s="15">
        <f ca="1">OFFSET(控制台!$L$2798,MATCH(B71,控制台!$B$2798:$B$2809,0)-1,0)*控制台!$E$2763</f>
        <v>1800</v>
      </c>
      <c r="AG71" s="15">
        <f ca="1">Lerp_dyy(AE71,AF71,C71/10)</f>
        <v>1530</v>
      </c>
      <c r="AH71" s="15">
        <f ca="1" t="shared" si="39"/>
        <v>6885</v>
      </c>
      <c r="AI71" s="17">
        <f ca="1" t="shared" si="21"/>
        <v>73005</v>
      </c>
      <c r="AJ71" s="15">
        <f ca="1">OFFSET(控制台!$P$2798,MATCH(B71,控制台!$B$2798:$B$2809,0)-2,0)</f>
        <v>5000</v>
      </c>
      <c r="AK71" s="15">
        <f ca="1">OFFSET(控制台!$P$2798,MATCH(B71,控制台!$B$2798:$B$2809,0)-1,0)</f>
        <v>6000</v>
      </c>
      <c r="AL71" s="15">
        <f ca="1">Lerp_dyy(AJ71,AK71,C71/10)</f>
        <v>5100</v>
      </c>
      <c r="AM71" s="16">
        <f ca="1">_xlfn.FLOOR.MATH(AL71/24/3600*控制台!$E$2785)</f>
        <v>106</v>
      </c>
      <c r="AN71" s="15">
        <f ca="1" t="shared" si="40"/>
        <v>5088</v>
      </c>
      <c r="AO71" s="15">
        <f ca="1" t="shared" si="41"/>
        <v>22896</v>
      </c>
      <c r="AP71" s="17">
        <f ca="1" t="shared" si="22"/>
        <v>242342.4</v>
      </c>
      <c r="AQ71" s="15">
        <f ca="1">OFFSET(控制台!$V$2798,MATCH(B71,控制台!$B$2798:$B$2809,0)-2,0)*控制台!$E$2771</f>
        <v>2000000</v>
      </c>
      <c r="AR71" s="15">
        <f ca="1">OFFSET(控制台!$V$2798,MATCH(B71,控制台!$B$2798:$B$2809,0)-1,0)*控制台!$E$2771</f>
        <v>2100000</v>
      </c>
      <c r="AS71" s="15">
        <f ca="1">Lerp_dyy(AQ71,AR71,C71/10)</f>
        <v>2010000</v>
      </c>
      <c r="AT71" s="16">
        <f ca="1">MAX(_xlfn.FLOOR.MATH(AS71/24/3600*控制台!$E$2784)-控制台!$J$2814,0)</f>
        <v>228</v>
      </c>
      <c r="AU71" s="15">
        <f ca="1" t="shared" ref="AU71:AU120" si="43">AT71*6*60*24</f>
        <v>1969920</v>
      </c>
      <c r="AV71" s="15">
        <f ca="1" t="shared" ref="AV71:AV120" si="44">AU71*K71</f>
        <v>8864640</v>
      </c>
      <c r="AW71" s="17">
        <f ca="1" t="shared" si="23"/>
        <v>114514560</v>
      </c>
      <c r="AX71" s="15">
        <f ca="1">OFFSET(控制台!$X$2798,MATCH(B71,控制台!$B$2798:$B$2809,0)-2,0)*控制台!$E$2775</f>
        <v>1200</v>
      </c>
      <c r="AY71" s="15">
        <f ca="1">OFFSET(控制台!$X$2798,MATCH(B71,控制台!$B$2798:$B$2809,0)-1,0)*控制台!$E$2775</f>
        <v>1260</v>
      </c>
      <c r="AZ71" s="15">
        <f ca="1">Lerp_dyy(AX71,AY71,C71/10)</f>
        <v>1206</v>
      </c>
      <c r="BA71" s="16">
        <f ca="1">_xlfn.FLOOR.MATH(AZ71/24/3600*控制台!$E$2785)</f>
        <v>25</v>
      </c>
      <c r="BB71" s="15">
        <f ca="1" t="shared" ref="BB71:BB120" si="45">BA71*2*24</f>
        <v>1200</v>
      </c>
      <c r="BC71" s="15">
        <f ca="1" t="shared" ref="BC71:BC120" si="46">BB71*K71</f>
        <v>5400</v>
      </c>
      <c r="BD71" s="17">
        <f ca="1" t="shared" si="24"/>
        <v>68875.2</v>
      </c>
      <c r="BE71" s="1">
        <f ca="1">OFFSET(控制台!$AA$2798,MATCH(B71,控制台!$B$2798:$B$2809,0)-1,0)</f>
        <v>33.3333333333334</v>
      </c>
      <c r="BF71" s="1">
        <f ca="1" t="shared" si="42"/>
        <v>2650.00000000001</v>
      </c>
      <c r="BG71" s="17">
        <f ca="1" t="shared" si="25"/>
        <v>40378.3333333334</v>
      </c>
      <c r="BH71" s="15">
        <f ca="1">OFFSET(控制台!$AD$2798,MATCH(B71,控制台!$B$2798:$B$2809,0)-2,0)</f>
        <v>1600</v>
      </c>
      <c r="BI71" s="15">
        <f ca="1">OFFSET(控制台!$AD$2798,MATCH(B71,控制台!$B$2798:$B$2809,0)-1,0)</f>
        <v>2000</v>
      </c>
      <c r="BJ71" s="15">
        <f ca="1">Lerp_dyy(BH71,BI71,C71/10)</f>
        <v>1640</v>
      </c>
      <c r="BK71" s="16">
        <f ca="1">_xlfn.FLOOR.MATH(BJ71/24/3600*控制台!$E$2785)</f>
        <v>34</v>
      </c>
      <c r="BL71" s="15">
        <f ca="1" t="shared" ref="BL71:BL120" si="47">BK71*2*24</f>
        <v>1632</v>
      </c>
      <c r="BM71" s="15">
        <f ca="1" t="shared" ref="BM71:BM120" si="48">BL71*K71</f>
        <v>7344</v>
      </c>
      <c r="BN71" s="17">
        <f ca="1" t="shared" si="26"/>
        <v>66436.8</v>
      </c>
    </row>
    <row r="72" s="15" customFormat="1" spans="1:66">
      <c r="A72" s="15">
        <f t="shared" si="32"/>
        <v>802</v>
      </c>
      <c r="B72" s="15">
        <v>8</v>
      </c>
      <c r="C72" s="15">
        <v>2</v>
      </c>
      <c r="D72" s="15">
        <f ca="1">OFFSET(控制台!$D$2798,MATCH(B72,控制台!$B$2798:$B$2809,0)-2,0)*控制台!$E$2751</f>
        <v>4000000</v>
      </c>
      <c r="E72" s="15">
        <f ca="1">OFFSET(控制台!$D$2798,MATCH(B72,控制台!$B$2798:$B$2809,0)-1,0)*控制台!$E$2751</f>
        <v>4200000</v>
      </c>
      <c r="F72" s="15">
        <f ca="1">Lerp_dyy(D72,E72,C72/10)</f>
        <v>4040000</v>
      </c>
      <c r="G72" s="16">
        <f ca="1">_xlfn.FLOOR.MATH(F72/24/3600*控制台!$E$2784)-控制台!$E$2814</f>
        <v>459</v>
      </c>
      <c r="H72" s="15">
        <f ca="1" t="shared" si="33"/>
        <v>3965760</v>
      </c>
      <c r="I72" s="15">
        <f ca="1">IF(B72=1,0,OFFSET(控制台!$B$865,MATCH(B72-1,控制台!$G$865:$G$936,0)-1,0))</f>
        <v>75</v>
      </c>
      <c r="J72" s="15">
        <f ca="1">OFFSET(控制台!$B$865,MATCH(B72,控制台!$G$865:$G$936,0)-1,0)</f>
        <v>120</v>
      </c>
      <c r="K72" s="15">
        <f ca="1" t="shared" si="34"/>
        <v>4.5</v>
      </c>
      <c r="L72" s="17">
        <f ca="1">Lerp_dyy(I72,J72,C72/10)</f>
        <v>84</v>
      </c>
      <c r="M72" s="15">
        <f ca="1" t="shared" si="35"/>
        <v>17845920</v>
      </c>
      <c r="N72" s="17">
        <f ca="1" t="shared" ref="N72:N120" si="49">N71+M72</f>
        <v>249758208</v>
      </c>
      <c r="O72" s="15">
        <f ca="1">OFFSET(控制台!$F$2798,MATCH(B72,控制台!$B$2798:$B$2809,0)-2,0)*控制台!$E$2755</f>
        <v>2400</v>
      </c>
      <c r="P72" s="15">
        <f ca="1">OFFSET(控制台!$F$2798,MATCH(B72,控制台!$B$2798:$B$2809,0)-1,0)*控制台!$E$2755</f>
        <v>2520</v>
      </c>
      <c r="Q72" s="15">
        <f ca="1">Lerp_dyy(O72,P72,C72/10)</f>
        <v>2424</v>
      </c>
      <c r="R72" s="16">
        <f ca="1">_xlfn.FLOOR.MATH(Q72/24/3600*控制台!$E$2785)</f>
        <v>50</v>
      </c>
      <c r="S72" s="15">
        <f ca="1" t="shared" si="36"/>
        <v>2400</v>
      </c>
      <c r="T72" s="15">
        <f ca="1" t="shared" si="37"/>
        <v>10800</v>
      </c>
      <c r="U72" s="17">
        <f ca="1" t="shared" ref="U72:U120" si="50">U71+T72</f>
        <v>151867.2</v>
      </c>
      <c r="V72" s="15">
        <f ca="1">OFFSET(控制台!$I$2798,MATCH(B72,控制台!$B$2798:$B$2809,0)-2,0)*控制台!$E$2791</f>
        <v>1562.5</v>
      </c>
      <c r="W72" s="15">
        <f ca="1">OFFSET(控制台!$I$2798,MATCH(B72,控制台!$B$2798:$B$2809,0)-1,0)*控制台!$E$2791</f>
        <v>1875</v>
      </c>
      <c r="X72" s="15">
        <f ca="1">Lerp_dyy(V72,W72,C72/10)</f>
        <v>1625</v>
      </c>
      <c r="Y72" s="16">
        <f ca="1">_xlfn.FLOOR.MATH(X72)</f>
        <v>1625</v>
      </c>
      <c r="Z72" s="15">
        <f ca="1" t="shared" si="38"/>
        <v>1.95</v>
      </c>
      <c r="AA72" s="15">
        <f ca="1" t="shared" si="31"/>
        <v>8.775</v>
      </c>
      <c r="AB72" s="17">
        <f ca="1" t="shared" si="28"/>
        <v>103.19844</v>
      </c>
      <c r="AC72" s="17">
        <f ca="1">AB72*控制台!$E$4819</f>
        <v>82.558752</v>
      </c>
      <c r="AD72" s="17">
        <f ca="1">AB72*控制台!$E$4820</f>
        <v>1888.531452</v>
      </c>
      <c r="AE72" s="15">
        <f ca="1">OFFSET(控制台!$L$2798,MATCH(B72,控制台!$B$2798:$B$2809,0)-2,0)*控制台!$E$2763</f>
        <v>1500</v>
      </c>
      <c r="AF72" s="15">
        <f ca="1">OFFSET(控制台!$L$2798,MATCH(B72,控制台!$B$2798:$B$2809,0)-1,0)*控制台!$E$2763</f>
        <v>1800</v>
      </c>
      <c r="AG72" s="15">
        <f ca="1">Lerp_dyy(AE72,AF72,C72/10)</f>
        <v>1560</v>
      </c>
      <c r="AH72" s="15">
        <f ca="1" t="shared" si="39"/>
        <v>7020</v>
      </c>
      <c r="AI72" s="17">
        <f ca="1" t="shared" ref="AI72:AI120" si="51">AI71+AH72</f>
        <v>80025</v>
      </c>
      <c r="AJ72" s="15">
        <f ca="1">OFFSET(控制台!$P$2798,MATCH(B72,控制台!$B$2798:$B$2809,0)-2,0)</f>
        <v>5000</v>
      </c>
      <c r="AK72" s="15">
        <f ca="1">OFFSET(控制台!$P$2798,MATCH(B72,控制台!$B$2798:$B$2809,0)-1,0)</f>
        <v>6000</v>
      </c>
      <c r="AL72" s="15">
        <f ca="1">Lerp_dyy(AJ72,AK72,C72/10)</f>
        <v>5200</v>
      </c>
      <c r="AM72" s="16">
        <f ca="1">_xlfn.FLOOR.MATH(AL72/24/3600*控制台!$E$2785)</f>
        <v>108</v>
      </c>
      <c r="AN72" s="15">
        <f ca="1" t="shared" si="40"/>
        <v>5184</v>
      </c>
      <c r="AO72" s="15">
        <f ca="1" t="shared" si="41"/>
        <v>23328</v>
      </c>
      <c r="AP72" s="17">
        <f ca="1" t="shared" ref="AP72:AP120" si="52">AP71+AO72</f>
        <v>265670.4</v>
      </c>
      <c r="AQ72" s="15">
        <f ca="1">OFFSET(控制台!$V$2798,MATCH(B72,控制台!$B$2798:$B$2809,0)-2,0)*控制台!$E$2771</f>
        <v>2000000</v>
      </c>
      <c r="AR72" s="15">
        <f ca="1">OFFSET(控制台!$V$2798,MATCH(B72,控制台!$B$2798:$B$2809,0)-1,0)*控制台!$E$2771</f>
        <v>2100000</v>
      </c>
      <c r="AS72" s="15">
        <f ca="1">Lerp_dyy(AQ72,AR72,C72/10)</f>
        <v>2020000</v>
      </c>
      <c r="AT72" s="16">
        <f ca="1">MAX(_xlfn.FLOOR.MATH(AS72/24/3600*控制台!$E$2784)-控制台!$J$2814,0)</f>
        <v>229</v>
      </c>
      <c r="AU72" s="15">
        <f ca="1" t="shared" si="43"/>
        <v>1978560</v>
      </c>
      <c r="AV72" s="15">
        <f ca="1" t="shared" si="44"/>
        <v>8903520</v>
      </c>
      <c r="AW72" s="17">
        <f ca="1" t="shared" ref="AW72:AW120" si="53">AW71+AV72</f>
        <v>123418080</v>
      </c>
      <c r="AX72" s="15">
        <f ca="1">OFFSET(控制台!$X$2798,MATCH(B72,控制台!$B$2798:$B$2809,0)-2,0)*控制台!$E$2775</f>
        <v>1200</v>
      </c>
      <c r="AY72" s="15">
        <f ca="1">OFFSET(控制台!$X$2798,MATCH(B72,控制台!$B$2798:$B$2809,0)-1,0)*控制台!$E$2775</f>
        <v>1260</v>
      </c>
      <c r="AZ72" s="15">
        <f ca="1">Lerp_dyy(AX72,AY72,C72/10)</f>
        <v>1212</v>
      </c>
      <c r="BA72" s="16">
        <f ca="1">_xlfn.FLOOR.MATH(AZ72/24/3600*控制台!$E$2785)</f>
        <v>25</v>
      </c>
      <c r="BB72" s="15">
        <f ca="1" t="shared" si="45"/>
        <v>1200</v>
      </c>
      <c r="BC72" s="15">
        <f ca="1" t="shared" si="46"/>
        <v>5400</v>
      </c>
      <c r="BD72" s="17">
        <f ca="1" t="shared" ref="BD72:BD120" si="54">BD71+BC72</f>
        <v>74275.2</v>
      </c>
      <c r="BE72" s="1">
        <f ca="1">OFFSET(控制台!$AA$2798,MATCH(B72,控制台!$B$2798:$B$2809,0)-1,0)</f>
        <v>33.3333333333334</v>
      </c>
      <c r="BF72" s="1">
        <f ca="1" t="shared" si="42"/>
        <v>2800.00000000001</v>
      </c>
      <c r="BG72" s="17">
        <f ca="1" t="shared" ref="BG72:BG120" si="55">BG71+BF72</f>
        <v>43178.3333333334</v>
      </c>
      <c r="BH72" s="15">
        <f ca="1">OFFSET(控制台!$AD$2798,MATCH(B72,控制台!$B$2798:$B$2809,0)-2,0)</f>
        <v>1600</v>
      </c>
      <c r="BI72" s="15">
        <f ca="1">OFFSET(控制台!$AD$2798,MATCH(B72,控制台!$B$2798:$B$2809,0)-1,0)</f>
        <v>2000</v>
      </c>
      <c r="BJ72" s="15">
        <f ca="1">Lerp_dyy(BH72,BI72,C72/10)</f>
        <v>1680</v>
      </c>
      <c r="BK72" s="16">
        <f ca="1">_xlfn.FLOOR.MATH(BJ72/24/3600*控制台!$E$2785)</f>
        <v>35</v>
      </c>
      <c r="BL72" s="15">
        <f ca="1" t="shared" si="47"/>
        <v>1680</v>
      </c>
      <c r="BM72" s="15">
        <f ca="1" t="shared" si="48"/>
        <v>7560</v>
      </c>
      <c r="BN72" s="17">
        <f ca="1" t="shared" ref="BN72:BN120" si="56">BN71+BM72</f>
        <v>73996.8</v>
      </c>
    </row>
    <row r="73" s="15" customFormat="1" spans="1:66">
      <c r="A73" s="15">
        <f t="shared" si="32"/>
        <v>803</v>
      </c>
      <c r="B73" s="15">
        <v>8</v>
      </c>
      <c r="C73" s="15">
        <v>3</v>
      </c>
      <c r="D73" s="15">
        <f ca="1">OFFSET(控制台!$D$2798,MATCH(B73,控制台!$B$2798:$B$2809,0)-2,0)*控制台!$E$2751</f>
        <v>4000000</v>
      </c>
      <c r="E73" s="15">
        <f ca="1">OFFSET(控制台!$D$2798,MATCH(B73,控制台!$B$2798:$B$2809,0)-1,0)*控制台!$E$2751</f>
        <v>4200000</v>
      </c>
      <c r="F73" s="15">
        <f ca="1">Lerp_dyy(D73,E73,C73/10)</f>
        <v>4060000</v>
      </c>
      <c r="G73" s="16">
        <f ca="1">_xlfn.FLOOR.MATH(F73/24/3600*控制台!$E$2784)-控制台!$E$2814</f>
        <v>461</v>
      </c>
      <c r="H73" s="15">
        <f ca="1" t="shared" si="33"/>
        <v>3983040</v>
      </c>
      <c r="I73" s="15">
        <f ca="1">IF(B73=1,0,OFFSET(控制台!$B$865,MATCH(B73-1,控制台!$G$865:$G$936,0)-1,0))</f>
        <v>75</v>
      </c>
      <c r="J73" s="15">
        <f ca="1">OFFSET(控制台!$B$865,MATCH(B73,控制台!$G$865:$G$936,0)-1,0)</f>
        <v>120</v>
      </c>
      <c r="K73" s="15">
        <f ca="1" t="shared" si="34"/>
        <v>4.5</v>
      </c>
      <c r="L73" s="17">
        <f ca="1">Lerp_dyy(I73,J73,C73/10)</f>
        <v>88.5</v>
      </c>
      <c r="M73" s="15">
        <f ca="1" t="shared" si="35"/>
        <v>17923680</v>
      </c>
      <c r="N73" s="17">
        <f ca="1" t="shared" si="49"/>
        <v>267681888</v>
      </c>
      <c r="O73" s="15">
        <f ca="1">OFFSET(控制台!$F$2798,MATCH(B73,控制台!$B$2798:$B$2809,0)-2,0)*控制台!$E$2755</f>
        <v>2400</v>
      </c>
      <c r="P73" s="15">
        <f ca="1">OFFSET(控制台!$F$2798,MATCH(B73,控制台!$B$2798:$B$2809,0)-1,0)*控制台!$E$2755</f>
        <v>2520</v>
      </c>
      <c r="Q73" s="15">
        <f ca="1">Lerp_dyy(O73,P73,C73/10)</f>
        <v>2436</v>
      </c>
      <c r="R73" s="16">
        <f ca="1">_xlfn.FLOOR.MATH(Q73/24/3600*控制台!$E$2785)</f>
        <v>50</v>
      </c>
      <c r="S73" s="15">
        <f ca="1" t="shared" si="36"/>
        <v>2400</v>
      </c>
      <c r="T73" s="15">
        <f ca="1" t="shared" si="37"/>
        <v>10800</v>
      </c>
      <c r="U73" s="17">
        <f ca="1" t="shared" si="50"/>
        <v>162667.2</v>
      </c>
      <c r="V73" s="15">
        <f ca="1">OFFSET(控制台!$I$2798,MATCH(B73,控制台!$B$2798:$B$2809,0)-2,0)*控制台!$E$2791</f>
        <v>1562.5</v>
      </c>
      <c r="W73" s="15">
        <f ca="1">OFFSET(控制台!$I$2798,MATCH(B73,控制台!$B$2798:$B$2809,0)-1,0)*控制台!$E$2791</f>
        <v>1875</v>
      </c>
      <c r="X73" s="15">
        <f ca="1">Lerp_dyy(V73,W73,C73/10)</f>
        <v>1656.25</v>
      </c>
      <c r="Y73" s="16">
        <f ca="1">_xlfn.FLOOR.MATH(X73)</f>
        <v>1656</v>
      </c>
      <c r="Z73" s="15">
        <f ca="1" t="shared" si="38"/>
        <v>1.9872</v>
      </c>
      <c r="AA73" s="15">
        <f ca="1" t="shared" si="31"/>
        <v>8.9424</v>
      </c>
      <c r="AB73" s="17">
        <f ca="1" t="shared" si="28"/>
        <v>112.14084</v>
      </c>
      <c r="AC73" s="17">
        <f ca="1">AB73*控制台!$E$4819</f>
        <v>89.712672</v>
      </c>
      <c r="AD73" s="17">
        <f ca="1">AB73*控制台!$E$4820</f>
        <v>2052.177372</v>
      </c>
      <c r="AE73" s="15">
        <f ca="1">OFFSET(控制台!$L$2798,MATCH(B73,控制台!$B$2798:$B$2809,0)-2,0)*控制台!$E$2763</f>
        <v>1500</v>
      </c>
      <c r="AF73" s="15">
        <f ca="1">OFFSET(控制台!$L$2798,MATCH(B73,控制台!$B$2798:$B$2809,0)-1,0)*控制台!$E$2763</f>
        <v>1800</v>
      </c>
      <c r="AG73" s="15">
        <f ca="1">Lerp_dyy(AE73,AF73,C73/10)</f>
        <v>1590</v>
      </c>
      <c r="AH73" s="15">
        <f ca="1" t="shared" si="39"/>
        <v>7155</v>
      </c>
      <c r="AI73" s="17">
        <f ca="1" t="shared" si="51"/>
        <v>87180</v>
      </c>
      <c r="AJ73" s="15">
        <f ca="1">OFFSET(控制台!$P$2798,MATCH(B73,控制台!$B$2798:$B$2809,0)-2,0)</f>
        <v>5000</v>
      </c>
      <c r="AK73" s="15">
        <f ca="1">OFFSET(控制台!$P$2798,MATCH(B73,控制台!$B$2798:$B$2809,0)-1,0)</f>
        <v>6000</v>
      </c>
      <c r="AL73" s="15">
        <f ca="1">Lerp_dyy(AJ73,AK73,C73/10)</f>
        <v>5300</v>
      </c>
      <c r="AM73" s="16">
        <f ca="1">_xlfn.FLOOR.MATH(AL73/24/3600*控制台!$E$2785)</f>
        <v>110</v>
      </c>
      <c r="AN73" s="15">
        <f ca="1" t="shared" si="40"/>
        <v>5280</v>
      </c>
      <c r="AO73" s="15">
        <f ca="1" t="shared" si="41"/>
        <v>23760</v>
      </c>
      <c r="AP73" s="17">
        <f ca="1" t="shared" si="52"/>
        <v>289430.4</v>
      </c>
      <c r="AQ73" s="15">
        <f ca="1">OFFSET(控制台!$V$2798,MATCH(B73,控制台!$B$2798:$B$2809,0)-2,0)*控制台!$E$2771</f>
        <v>2000000</v>
      </c>
      <c r="AR73" s="15">
        <f ca="1">OFFSET(控制台!$V$2798,MATCH(B73,控制台!$B$2798:$B$2809,0)-1,0)*控制台!$E$2771</f>
        <v>2100000</v>
      </c>
      <c r="AS73" s="15">
        <f ca="1">Lerp_dyy(AQ73,AR73,C73/10)</f>
        <v>2030000</v>
      </c>
      <c r="AT73" s="16">
        <f ca="1">MAX(_xlfn.FLOOR.MATH(AS73/24/3600*控制台!$E$2784)-控制台!$J$2814,0)</f>
        <v>230</v>
      </c>
      <c r="AU73" s="15">
        <f ca="1" t="shared" si="43"/>
        <v>1987200</v>
      </c>
      <c r="AV73" s="15">
        <f ca="1" t="shared" si="44"/>
        <v>8942400</v>
      </c>
      <c r="AW73" s="17">
        <f ca="1" t="shared" si="53"/>
        <v>132360480</v>
      </c>
      <c r="AX73" s="15">
        <f ca="1">OFFSET(控制台!$X$2798,MATCH(B73,控制台!$B$2798:$B$2809,0)-2,0)*控制台!$E$2775</f>
        <v>1200</v>
      </c>
      <c r="AY73" s="15">
        <f ca="1">OFFSET(控制台!$X$2798,MATCH(B73,控制台!$B$2798:$B$2809,0)-1,0)*控制台!$E$2775</f>
        <v>1260</v>
      </c>
      <c r="AZ73" s="15">
        <f ca="1">Lerp_dyy(AX73,AY73,C73/10)</f>
        <v>1218</v>
      </c>
      <c r="BA73" s="16">
        <f ca="1">_xlfn.FLOOR.MATH(AZ73/24/3600*控制台!$E$2785)</f>
        <v>25</v>
      </c>
      <c r="BB73" s="15">
        <f ca="1" t="shared" si="45"/>
        <v>1200</v>
      </c>
      <c r="BC73" s="15">
        <f ca="1" t="shared" si="46"/>
        <v>5400</v>
      </c>
      <c r="BD73" s="17">
        <f ca="1" t="shared" si="54"/>
        <v>79675.2</v>
      </c>
      <c r="BE73" s="1">
        <f ca="1">OFFSET(控制台!$AA$2798,MATCH(B73,控制台!$B$2798:$B$2809,0)-1,0)</f>
        <v>33.3333333333334</v>
      </c>
      <c r="BF73" s="1">
        <f ca="1" t="shared" si="42"/>
        <v>2950.00000000001</v>
      </c>
      <c r="BG73" s="17">
        <f ca="1" t="shared" si="55"/>
        <v>46128.3333333334</v>
      </c>
      <c r="BH73" s="15">
        <f ca="1">OFFSET(控制台!$AD$2798,MATCH(B73,控制台!$B$2798:$B$2809,0)-2,0)</f>
        <v>1600</v>
      </c>
      <c r="BI73" s="15">
        <f ca="1">OFFSET(控制台!$AD$2798,MATCH(B73,控制台!$B$2798:$B$2809,0)-1,0)</f>
        <v>2000</v>
      </c>
      <c r="BJ73" s="15">
        <f ca="1">Lerp_dyy(BH73,BI73,C73/10)</f>
        <v>1720</v>
      </c>
      <c r="BK73" s="16">
        <f ca="1">_xlfn.FLOOR.MATH(BJ73/24/3600*控制台!$E$2785)</f>
        <v>35</v>
      </c>
      <c r="BL73" s="15">
        <f ca="1" t="shared" si="47"/>
        <v>1680</v>
      </c>
      <c r="BM73" s="15">
        <f ca="1" t="shared" si="48"/>
        <v>7560</v>
      </c>
      <c r="BN73" s="17">
        <f ca="1" t="shared" si="56"/>
        <v>81556.8</v>
      </c>
    </row>
    <row r="74" s="15" customFormat="1" spans="1:66">
      <c r="A74" s="15">
        <f t="shared" si="32"/>
        <v>804</v>
      </c>
      <c r="B74" s="15">
        <v>8</v>
      </c>
      <c r="C74" s="15">
        <v>4</v>
      </c>
      <c r="D74" s="15">
        <f ca="1">OFFSET(控制台!$D$2798,MATCH(B74,控制台!$B$2798:$B$2809,0)-2,0)*控制台!$E$2751</f>
        <v>4000000</v>
      </c>
      <c r="E74" s="15">
        <f ca="1">OFFSET(控制台!$D$2798,MATCH(B74,控制台!$B$2798:$B$2809,0)-1,0)*控制台!$E$2751</f>
        <v>4200000</v>
      </c>
      <c r="F74" s="15">
        <f ca="1">Lerp_dyy(D74,E74,C74/10)</f>
        <v>4080000</v>
      </c>
      <c r="G74" s="16">
        <f ca="1">_xlfn.FLOOR.MATH(F74/24/3600*控制台!$E$2784)-控制台!$E$2814</f>
        <v>464</v>
      </c>
      <c r="H74" s="15">
        <f ca="1" t="shared" si="33"/>
        <v>4008960</v>
      </c>
      <c r="I74" s="15">
        <f ca="1">IF(B74=1,0,OFFSET(控制台!$B$865,MATCH(B74-1,控制台!$G$865:$G$936,0)-1,0))</f>
        <v>75</v>
      </c>
      <c r="J74" s="15">
        <f ca="1">OFFSET(控制台!$B$865,MATCH(B74,控制台!$G$865:$G$936,0)-1,0)</f>
        <v>120</v>
      </c>
      <c r="K74" s="15">
        <f ca="1" t="shared" si="34"/>
        <v>4.5</v>
      </c>
      <c r="L74" s="17">
        <f ca="1">Lerp_dyy(I74,J74,C74/10)</f>
        <v>93</v>
      </c>
      <c r="M74" s="15">
        <f ca="1" t="shared" si="35"/>
        <v>18040320</v>
      </c>
      <c r="N74" s="17">
        <f ca="1" t="shared" si="49"/>
        <v>285722208</v>
      </c>
      <c r="O74" s="15">
        <f ca="1">OFFSET(控制台!$F$2798,MATCH(B74,控制台!$B$2798:$B$2809,0)-2,0)*控制台!$E$2755</f>
        <v>2400</v>
      </c>
      <c r="P74" s="15">
        <f ca="1">OFFSET(控制台!$F$2798,MATCH(B74,控制台!$B$2798:$B$2809,0)-1,0)*控制台!$E$2755</f>
        <v>2520</v>
      </c>
      <c r="Q74" s="15">
        <f ca="1">Lerp_dyy(O74,P74,C74/10)</f>
        <v>2448</v>
      </c>
      <c r="R74" s="16">
        <f ca="1">_xlfn.FLOOR.MATH(Q74/24/3600*控制台!$E$2785)</f>
        <v>51</v>
      </c>
      <c r="S74" s="15">
        <f ca="1" t="shared" si="36"/>
        <v>2448</v>
      </c>
      <c r="T74" s="15">
        <f ca="1" t="shared" si="37"/>
        <v>11016</v>
      </c>
      <c r="U74" s="17">
        <f ca="1" t="shared" si="50"/>
        <v>173683.2</v>
      </c>
      <c r="V74" s="15">
        <f ca="1">OFFSET(控制台!$I$2798,MATCH(B74,控制台!$B$2798:$B$2809,0)-2,0)*控制台!$E$2791</f>
        <v>1562.5</v>
      </c>
      <c r="W74" s="15">
        <f ca="1">OFFSET(控制台!$I$2798,MATCH(B74,控制台!$B$2798:$B$2809,0)-1,0)*控制台!$E$2791</f>
        <v>1875</v>
      </c>
      <c r="X74" s="15">
        <f ca="1">Lerp_dyy(V74,W74,C74/10)</f>
        <v>1687.5</v>
      </c>
      <c r="Y74" s="16">
        <f ca="1">_xlfn.FLOOR.MATH(X74)</f>
        <v>1687</v>
      </c>
      <c r="Z74" s="15">
        <f ca="1" t="shared" si="38"/>
        <v>2.0244</v>
      </c>
      <c r="AA74" s="15">
        <f ca="1" t="shared" si="31"/>
        <v>9.1098</v>
      </c>
      <c r="AB74" s="17">
        <f ca="1" t="shared" si="28"/>
        <v>121.25064</v>
      </c>
      <c r="AC74" s="17">
        <f ca="1">AB74*控制台!$E$4819</f>
        <v>97.000512</v>
      </c>
      <c r="AD74" s="17">
        <f ca="1">AB74*控制台!$E$4820</f>
        <v>2218.886712</v>
      </c>
      <c r="AE74" s="15">
        <f ca="1">OFFSET(控制台!$L$2798,MATCH(B74,控制台!$B$2798:$B$2809,0)-2,0)*控制台!$E$2763</f>
        <v>1500</v>
      </c>
      <c r="AF74" s="15">
        <f ca="1">OFFSET(控制台!$L$2798,MATCH(B74,控制台!$B$2798:$B$2809,0)-1,0)*控制台!$E$2763</f>
        <v>1800</v>
      </c>
      <c r="AG74" s="15">
        <f ca="1">Lerp_dyy(AE74,AF74,C74/10)</f>
        <v>1620</v>
      </c>
      <c r="AH74" s="15">
        <f ca="1" t="shared" si="39"/>
        <v>7290</v>
      </c>
      <c r="AI74" s="17">
        <f ca="1" t="shared" si="51"/>
        <v>94470</v>
      </c>
      <c r="AJ74" s="15">
        <f ca="1">OFFSET(控制台!$P$2798,MATCH(B74,控制台!$B$2798:$B$2809,0)-2,0)</f>
        <v>5000</v>
      </c>
      <c r="AK74" s="15">
        <f ca="1">OFFSET(控制台!$P$2798,MATCH(B74,控制台!$B$2798:$B$2809,0)-1,0)</f>
        <v>6000</v>
      </c>
      <c r="AL74" s="15">
        <f ca="1">Lerp_dyy(AJ74,AK74,C74/10)</f>
        <v>5400</v>
      </c>
      <c r="AM74" s="16">
        <f ca="1">_xlfn.FLOOR.MATH(AL74/24/3600*控制台!$E$2785)</f>
        <v>112</v>
      </c>
      <c r="AN74" s="15">
        <f ca="1" t="shared" si="40"/>
        <v>5376</v>
      </c>
      <c r="AO74" s="15">
        <f ca="1" t="shared" si="41"/>
        <v>24192</v>
      </c>
      <c r="AP74" s="17">
        <f ca="1" t="shared" si="52"/>
        <v>313622.4</v>
      </c>
      <c r="AQ74" s="15">
        <f ca="1">OFFSET(控制台!$V$2798,MATCH(B74,控制台!$B$2798:$B$2809,0)-2,0)*控制台!$E$2771</f>
        <v>2000000</v>
      </c>
      <c r="AR74" s="15">
        <f ca="1">OFFSET(控制台!$V$2798,MATCH(B74,控制台!$B$2798:$B$2809,0)-1,0)*控制台!$E$2771</f>
        <v>2100000</v>
      </c>
      <c r="AS74" s="15">
        <f ca="1">Lerp_dyy(AQ74,AR74,C74/10)</f>
        <v>2040000</v>
      </c>
      <c r="AT74" s="16">
        <f ca="1">MAX(_xlfn.FLOOR.MATH(AS74/24/3600*控制台!$E$2784)-控制台!$J$2814,0)</f>
        <v>232</v>
      </c>
      <c r="AU74" s="15">
        <f ca="1" t="shared" si="43"/>
        <v>2004480</v>
      </c>
      <c r="AV74" s="15">
        <f ca="1" t="shared" si="44"/>
        <v>9020160</v>
      </c>
      <c r="AW74" s="17">
        <f ca="1" t="shared" si="53"/>
        <v>141380640</v>
      </c>
      <c r="AX74" s="15">
        <f ca="1">OFFSET(控制台!$X$2798,MATCH(B74,控制台!$B$2798:$B$2809,0)-2,0)*控制台!$E$2775</f>
        <v>1200</v>
      </c>
      <c r="AY74" s="15">
        <f ca="1">OFFSET(控制台!$X$2798,MATCH(B74,控制台!$B$2798:$B$2809,0)-1,0)*控制台!$E$2775</f>
        <v>1260</v>
      </c>
      <c r="AZ74" s="15">
        <f ca="1">Lerp_dyy(AX74,AY74,C74/10)</f>
        <v>1224</v>
      </c>
      <c r="BA74" s="16">
        <f ca="1">_xlfn.FLOOR.MATH(AZ74/24/3600*控制台!$E$2785)</f>
        <v>25</v>
      </c>
      <c r="BB74" s="15">
        <f ca="1" t="shared" si="45"/>
        <v>1200</v>
      </c>
      <c r="BC74" s="15">
        <f ca="1" t="shared" si="46"/>
        <v>5400</v>
      </c>
      <c r="BD74" s="17">
        <f ca="1" t="shared" si="54"/>
        <v>85075.2</v>
      </c>
      <c r="BE74" s="1">
        <f ca="1">OFFSET(控制台!$AA$2798,MATCH(B74,控制台!$B$2798:$B$2809,0)-1,0)</f>
        <v>33.3333333333334</v>
      </c>
      <c r="BF74" s="1">
        <f ca="1" t="shared" si="42"/>
        <v>3100.00000000001</v>
      </c>
      <c r="BG74" s="17">
        <f ca="1" t="shared" si="55"/>
        <v>49228.3333333334</v>
      </c>
      <c r="BH74" s="15">
        <f ca="1">OFFSET(控制台!$AD$2798,MATCH(B74,控制台!$B$2798:$B$2809,0)-2,0)</f>
        <v>1600</v>
      </c>
      <c r="BI74" s="15">
        <f ca="1">OFFSET(控制台!$AD$2798,MATCH(B74,控制台!$B$2798:$B$2809,0)-1,0)</f>
        <v>2000</v>
      </c>
      <c r="BJ74" s="15">
        <f ca="1">Lerp_dyy(BH74,BI74,C74/10)</f>
        <v>1760</v>
      </c>
      <c r="BK74" s="16">
        <f ca="1">_xlfn.FLOOR.MATH(BJ74/24/3600*控制台!$E$2785)</f>
        <v>36</v>
      </c>
      <c r="BL74" s="15">
        <f ca="1" t="shared" si="47"/>
        <v>1728</v>
      </c>
      <c r="BM74" s="15">
        <f ca="1" t="shared" si="48"/>
        <v>7776</v>
      </c>
      <c r="BN74" s="17">
        <f ca="1" t="shared" si="56"/>
        <v>89332.8</v>
      </c>
    </row>
    <row r="75" s="15" customFormat="1" spans="1:66">
      <c r="A75" s="15">
        <f t="shared" si="32"/>
        <v>805</v>
      </c>
      <c r="B75" s="15">
        <v>8</v>
      </c>
      <c r="C75" s="15">
        <v>5</v>
      </c>
      <c r="D75" s="15">
        <f ca="1">OFFSET(控制台!$D$2798,MATCH(B75,控制台!$B$2798:$B$2809,0)-2,0)*控制台!$E$2751</f>
        <v>4000000</v>
      </c>
      <c r="E75" s="15">
        <f ca="1">OFFSET(控制台!$D$2798,MATCH(B75,控制台!$B$2798:$B$2809,0)-1,0)*控制台!$E$2751</f>
        <v>4200000</v>
      </c>
      <c r="F75" s="15">
        <f ca="1">Lerp_dyy(D75,E75,C75/10)</f>
        <v>4100000</v>
      </c>
      <c r="G75" s="16">
        <f ca="1">_xlfn.FLOOR.MATH(F75/24/3600*控制台!$E$2784)-控制台!$E$2814</f>
        <v>466</v>
      </c>
      <c r="H75" s="15">
        <f ca="1" t="shared" si="33"/>
        <v>4026240</v>
      </c>
      <c r="I75" s="15">
        <f ca="1">IF(B75=1,0,OFFSET(控制台!$B$865,MATCH(B75-1,控制台!$G$865:$G$936,0)-1,0))</f>
        <v>75</v>
      </c>
      <c r="J75" s="15">
        <f ca="1">OFFSET(控制台!$B$865,MATCH(B75,控制台!$G$865:$G$936,0)-1,0)</f>
        <v>120</v>
      </c>
      <c r="K75" s="15">
        <f ca="1" t="shared" si="34"/>
        <v>4.5</v>
      </c>
      <c r="L75" s="17">
        <f ca="1">Lerp_dyy(I75,J75,C75/10)</f>
        <v>97.5</v>
      </c>
      <c r="M75" s="15">
        <f ca="1" t="shared" si="35"/>
        <v>18118080</v>
      </c>
      <c r="N75" s="17">
        <f ca="1" t="shared" si="49"/>
        <v>303840288</v>
      </c>
      <c r="O75" s="15">
        <f ca="1">OFFSET(控制台!$F$2798,MATCH(B75,控制台!$B$2798:$B$2809,0)-2,0)*控制台!$E$2755</f>
        <v>2400</v>
      </c>
      <c r="P75" s="15">
        <f ca="1">OFFSET(控制台!$F$2798,MATCH(B75,控制台!$B$2798:$B$2809,0)-1,0)*控制台!$E$2755</f>
        <v>2520</v>
      </c>
      <c r="Q75" s="15">
        <f ca="1">Lerp_dyy(O75,P75,C75/10)</f>
        <v>2460</v>
      </c>
      <c r="R75" s="16">
        <f ca="1">_xlfn.FLOOR.MATH(Q75/24/3600*控制台!$E$2785)</f>
        <v>51</v>
      </c>
      <c r="S75" s="15">
        <f ca="1" t="shared" si="36"/>
        <v>2448</v>
      </c>
      <c r="T75" s="15">
        <f ca="1" t="shared" si="37"/>
        <v>11016</v>
      </c>
      <c r="U75" s="17">
        <f ca="1" t="shared" si="50"/>
        <v>184699.2</v>
      </c>
      <c r="V75" s="15">
        <f ca="1">OFFSET(控制台!$I$2798,MATCH(B75,控制台!$B$2798:$B$2809,0)-2,0)*控制台!$E$2791</f>
        <v>1562.5</v>
      </c>
      <c r="W75" s="15">
        <f ca="1">OFFSET(控制台!$I$2798,MATCH(B75,控制台!$B$2798:$B$2809,0)-1,0)*控制台!$E$2791</f>
        <v>1875</v>
      </c>
      <c r="X75" s="15">
        <f ca="1">Lerp_dyy(V75,W75,C75/10)</f>
        <v>1718.75</v>
      </c>
      <c r="Y75" s="16">
        <f ca="1">_xlfn.FLOOR.MATH(X75)</f>
        <v>1718</v>
      </c>
      <c r="Z75" s="15">
        <f ca="1" t="shared" si="38"/>
        <v>2.0616</v>
      </c>
      <c r="AA75" s="15">
        <f ca="1" t="shared" si="31"/>
        <v>9.2772</v>
      </c>
      <c r="AB75" s="17">
        <f ca="1" t="shared" ref="AB75:AB120" si="57">AA75+AB74</f>
        <v>130.52784</v>
      </c>
      <c r="AC75" s="17">
        <f ca="1">AB75*控制台!$E$4819</f>
        <v>104.422272</v>
      </c>
      <c r="AD75" s="17">
        <f ca="1">AB75*控制台!$E$4820</f>
        <v>2388.659472</v>
      </c>
      <c r="AE75" s="15">
        <f ca="1">OFFSET(控制台!$L$2798,MATCH(B75,控制台!$B$2798:$B$2809,0)-2,0)*控制台!$E$2763</f>
        <v>1500</v>
      </c>
      <c r="AF75" s="15">
        <f ca="1">OFFSET(控制台!$L$2798,MATCH(B75,控制台!$B$2798:$B$2809,0)-1,0)*控制台!$E$2763</f>
        <v>1800</v>
      </c>
      <c r="AG75" s="15">
        <f ca="1">Lerp_dyy(AE75,AF75,C75/10)</f>
        <v>1650</v>
      </c>
      <c r="AH75" s="15">
        <f ca="1" t="shared" si="39"/>
        <v>7425</v>
      </c>
      <c r="AI75" s="17">
        <f ca="1" t="shared" si="51"/>
        <v>101895</v>
      </c>
      <c r="AJ75" s="15">
        <f ca="1">OFFSET(控制台!$P$2798,MATCH(B75,控制台!$B$2798:$B$2809,0)-2,0)</f>
        <v>5000</v>
      </c>
      <c r="AK75" s="15">
        <f ca="1">OFFSET(控制台!$P$2798,MATCH(B75,控制台!$B$2798:$B$2809,0)-1,0)</f>
        <v>6000</v>
      </c>
      <c r="AL75" s="15">
        <f ca="1">Lerp_dyy(AJ75,AK75,C75/10)</f>
        <v>5500</v>
      </c>
      <c r="AM75" s="16">
        <f ca="1">_xlfn.FLOOR.MATH(AL75/24/3600*控制台!$E$2785)</f>
        <v>114</v>
      </c>
      <c r="AN75" s="15">
        <f ca="1" t="shared" si="40"/>
        <v>5472</v>
      </c>
      <c r="AO75" s="15">
        <f ca="1" t="shared" si="41"/>
        <v>24624</v>
      </c>
      <c r="AP75" s="17">
        <f ca="1" t="shared" si="52"/>
        <v>338246.4</v>
      </c>
      <c r="AQ75" s="15">
        <f ca="1">OFFSET(控制台!$V$2798,MATCH(B75,控制台!$B$2798:$B$2809,0)-2,0)*控制台!$E$2771</f>
        <v>2000000</v>
      </c>
      <c r="AR75" s="15">
        <f ca="1">OFFSET(控制台!$V$2798,MATCH(B75,控制台!$B$2798:$B$2809,0)-1,0)*控制台!$E$2771</f>
        <v>2100000</v>
      </c>
      <c r="AS75" s="15">
        <f ca="1">Lerp_dyy(AQ75,AR75,C75/10)</f>
        <v>2050000</v>
      </c>
      <c r="AT75" s="16">
        <f ca="1">MAX(_xlfn.FLOOR.MATH(AS75/24/3600*控制台!$E$2784)-控制台!$J$2814,0)</f>
        <v>233</v>
      </c>
      <c r="AU75" s="15">
        <f ca="1" t="shared" si="43"/>
        <v>2013120</v>
      </c>
      <c r="AV75" s="15">
        <f ca="1" t="shared" si="44"/>
        <v>9059040</v>
      </c>
      <c r="AW75" s="17">
        <f ca="1" t="shared" si="53"/>
        <v>150439680</v>
      </c>
      <c r="AX75" s="15">
        <f ca="1">OFFSET(控制台!$X$2798,MATCH(B75,控制台!$B$2798:$B$2809,0)-2,0)*控制台!$E$2775</f>
        <v>1200</v>
      </c>
      <c r="AY75" s="15">
        <f ca="1">OFFSET(控制台!$X$2798,MATCH(B75,控制台!$B$2798:$B$2809,0)-1,0)*控制台!$E$2775</f>
        <v>1260</v>
      </c>
      <c r="AZ75" s="15">
        <f ca="1">Lerp_dyy(AX75,AY75,C75/10)</f>
        <v>1230</v>
      </c>
      <c r="BA75" s="16">
        <f ca="1">_xlfn.FLOOR.MATH(AZ75/24/3600*控制台!$E$2785)</f>
        <v>25</v>
      </c>
      <c r="BB75" s="15">
        <f ca="1" t="shared" si="45"/>
        <v>1200</v>
      </c>
      <c r="BC75" s="15">
        <f ca="1" t="shared" si="46"/>
        <v>5400</v>
      </c>
      <c r="BD75" s="17">
        <f ca="1" t="shared" si="54"/>
        <v>90475.2</v>
      </c>
      <c r="BE75" s="1">
        <f ca="1">OFFSET(控制台!$AA$2798,MATCH(B75,控制台!$B$2798:$B$2809,0)-1,0)</f>
        <v>33.3333333333334</v>
      </c>
      <c r="BF75" s="1">
        <f ca="1" t="shared" si="42"/>
        <v>3250.00000000001</v>
      </c>
      <c r="BG75" s="17">
        <f ca="1" t="shared" si="55"/>
        <v>52478.3333333334</v>
      </c>
      <c r="BH75" s="15">
        <f ca="1">OFFSET(控制台!$AD$2798,MATCH(B75,控制台!$B$2798:$B$2809,0)-2,0)</f>
        <v>1600</v>
      </c>
      <c r="BI75" s="15">
        <f ca="1">OFFSET(控制台!$AD$2798,MATCH(B75,控制台!$B$2798:$B$2809,0)-1,0)</f>
        <v>2000</v>
      </c>
      <c r="BJ75" s="15">
        <f ca="1">Lerp_dyy(BH75,BI75,C75/10)</f>
        <v>1800</v>
      </c>
      <c r="BK75" s="16">
        <f ca="1">_xlfn.FLOOR.MATH(BJ75/24/3600*控制台!$E$2785)</f>
        <v>37</v>
      </c>
      <c r="BL75" s="15">
        <f ca="1" t="shared" si="47"/>
        <v>1776</v>
      </c>
      <c r="BM75" s="15">
        <f ca="1" t="shared" si="48"/>
        <v>7992</v>
      </c>
      <c r="BN75" s="17">
        <f ca="1" t="shared" si="56"/>
        <v>97324.8</v>
      </c>
    </row>
    <row r="76" s="15" customFormat="1" spans="1:66">
      <c r="A76" s="15">
        <f t="shared" si="32"/>
        <v>806</v>
      </c>
      <c r="B76" s="15">
        <v>8</v>
      </c>
      <c r="C76" s="15">
        <v>6</v>
      </c>
      <c r="D76" s="15">
        <f ca="1">OFFSET(控制台!$D$2798,MATCH(B76,控制台!$B$2798:$B$2809,0)-2,0)*控制台!$E$2751</f>
        <v>4000000</v>
      </c>
      <c r="E76" s="15">
        <f ca="1">OFFSET(控制台!$D$2798,MATCH(B76,控制台!$B$2798:$B$2809,0)-1,0)*控制台!$E$2751</f>
        <v>4200000</v>
      </c>
      <c r="F76" s="15">
        <f ca="1">Lerp_dyy(D76,E76,C76/10)</f>
        <v>4120000</v>
      </c>
      <c r="G76" s="16">
        <f ca="1">_xlfn.FLOOR.MATH(F76/24/3600*控制台!$E$2784)-控制台!$E$2814</f>
        <v>468</v>
      </c>
      <c r="H76" s="15">
        <f ca="1" t="shared" si="33"/>
        <v>4043520</v>
      </c>
      <c r="I76" s="15">
        <f ca="1">IF(B76=1,0,OFFSET(控制台!$B$865,MATCH(B76-1,控制台!$G$865:$G$936,0)-1,0))</f>
        <v>75</v>
      </c>
      <c r="J76" s="15">
        <f ca="1">OFFSET(控制台!$B$865,MATCH(B76,控制台!$G$865:$G$936,0)-1,0)</f>
        <v>120</v>
      </c>
      <c r="K76" s="15">
        <f ca="1" t="shared" si="34"/>
        <v>4.5</v>
      </c>
      <c r="L76" s="17">
        <f ca="1">Lerp_dyy(I76,J76,C76/10)</f>
        <v>102</v>
      </c>
      <c r="M76" s="15">
        <f ca="1" t="shared" si="35"/>
        <v>18195840</v>
      </c>
      <c r="N76" s="17">
        <f ca="1" t="shared" si="49"/>
        <v>322036128</v>
      </c>
      <c r="O76" s="15">
        <f ca="1">OFFSET(控制台!$F$2798,MATCH(B76,控制台!$B$2798:$B$2809,0)-2,0)*控制台!$E$2755</f>
        <v>2400</v>
      </c>
      <c r="P76" s="15">
        <f ca="1">OFFSET(控制台!$F$2798,MATCH(B76,控制台!$B$2798:$B$2809,0)-1,0)*控制台!$E$2755</f>
        <v>2520</v>
      </c>
      <c r="Q76" s="15">
        <f ca="1">Lerp_dyy(O76,P76,C76/10)</f>
        <v>2472</v>
      </c>
      <c r="R76" s="16">
        <f ca="1">_xlfn.FLOOR.MATH(Q76/24/3600*控制台!$E$2785)</f>
        <v>51</v>
      </c>
      <c r="S76" s="15">
        <f ca="1" t="shared" si="36"/>
        <v>2448</v>
      </c>
      <c r="T76" s="15">
        <f ca="1" t="shared" si="37"/>
        <v>11016</v>
      </c>
      <c r="U76" s="17">
        <f ca="1" t="shared" si="50"/>
        <v>195715.2</v>
      </c>
      <c r="V76" s="15">
        <f ca="1">OFFSET(控制台!$I$2798,MATCH(B76,控制台!$B$2798:$B$2809,0)-2,0)*控制台!$E$2791</f>
        <v>1562.5</v>
      </c>
      <c r="W76" s="15">
        <f ca="1">OFFSET(控制台!$I$2798,MATCH(B76,控制台!$B$2798:$B$2809,0)-1,0)*控制台!$E$2791</f>
        <v>1875</v>
      </c>
      <c r="X76" s="15">
        <f ca="1">Lerp_dyy(V76,W76,C76/10)</f>
        <v>1750</v>
      </c>
      <c r="Y76" s="16">
        <f ca="1">_xlfn.FLOOR.MATH(X76)</f>
        <v>1750</v>
      </c>
      <c r="Z76" s="15">
        <f ca="1" t="shared" si="38"/>
        <v>2.1</v>
      </c>
      <c r="AA76" s="15">
        <f ca="1" t="shared" si="31"/>
        <v>9.45</v>
      </c>
      <c r="AB76" s="17">
        <f ca="1" t="shared" si="57"/>
        <v>139.97784</v>
      </c>
      <c r="AC76" s="17">
        <f ca="1">AB76*控制台!$E$4819</f>
        <v>111.982272</v>
      </c>
      <c r="AD76" s="17">
        <f ca="1">AB76*控制台!$E$4820</f>
        <v>2561.594472</v>
      </c>
      <c r="AE76" s="15">
        <f ca="1">OFFSET(控制台!$L$2798,MATCH(B76,控制台!$B$2798:$B$2809,0)-2,0)*控制台!$E$2763</f>
        <v>1500</v>
      </c>
      <c r="AF76" s="15">
        <f ca="1">OFFSET(控制台!$L$2798,MATCH(B76,控制台!$B$2798:$B$2809,0)-1,0)*控制台!$E$2763</f>
        <v>1800</v>
      </c>
      <c r="AG76" s="15">
        <f ca="1">Lerp_dyy(AE76,AF76,C76/10)</f>
        <v>1680</v>
      </c>
      <c r="AH76" s="15">
        <f ca="1" t="shared" si="39"/>
        <v>7560</v>
      </c>
      <c r="AI76" s="17">
        <f ca="1" t="shared" si="51"/>
        <v>109455</v>
      </c>
      <c r="AJ76" s="15">
        <f ca="1">OFFSET(控制台!$P$2798,MATCH(B76,控制台!$B$2798:$B$2809,0)-2,0)</f>
        <v>5000</v>
      </c>
      <c r="AK76" s="15">
        <f ca="1">OFFSET(控制台!$P$2798,MATCH(B76,控制台!$B$2798:$B$2809,0)-1,0)</f>
        <v>6000</v>
      </c>
      <c r="AL76" s="15">
        <f ca="1">Lerp_dyy(AJ76,AK76,C76/10)</f>
        <v>5600</v>
      </c>
      <c r="AM76" s="16">
        <f ca="1">_xlfn.FLOOR.MATH(AL76/24/3600*控制台!$E$2785)</f>
        <v>116</v>
      </c>
      <c r="AN76" s="15">
        <f ca="1" t="shared" si="40"/>
        <v>5568</v>
      </c>
      <c r="AO76" s="15">
        <f ca="1" t="shared" si="41"/>
        <v>25056</v>
      </c>
      <c r="AP76" s="17">
        <f ca="1" t="shared" si="52"/>
        <v>363302.4</v>
      </c>
      <c r="AQ76" s="15">
        <f ca="1">OFFSET(控制台!$V$2798,MATCH(B76,控制台!$B$2798:$B$2809,0)-2,0)*控制台!$E$2771</f>
        <v>2000000</v>
      </c>
      <c r="AR76" s="15">
        <f ca="1">OFFSET(控制台!$V$2798,MATCH(B76,控制台!$B$2798:$B$2809,0)-1,0)*控制台!$E$2771</f>
        <v>2100000</v>
      </c>
      <c r="AS76" s="15">
        <f ca="1">Lerp_dyy(AQ76,AR76,C76/10)</f>
        <v>2060000</v>
      </c>
      <c r="AT76" s="16">
        <f ca="1">MAX(_xlfn.FLOOR.MATH(AS76/24/3600*控制台!$E$2784)-控制台!$J$2814,0)</f>
        <v>234</v>
      </c>
      <c r="AU76" s="15">
        <f ca="1" t="shared" si="43"/>
        <v>2021760</v>
      </c>
      <c r="AV76" s="15">
        <f ca="1" t="shared" si="44"/>
        <v>9097920</v>
      </c>
      <c r="AW76" s="17">
        <f ca="1" t="shared" si="53"/>
        <v>159537600</v>
      </c>
      <c r="AX76" s="15">
        <f ca="1">OFFSET(控制台!$X$2798,MATCH(B76,控制台!$B$2798:$B$2809,0)-2,0)*控制台!$E$2775</f>
        <v>1200</v>
      </c>
      <c r="AY76" s="15">
        <f ca="1">OFFSET(控制台!$X$2798,MATCH(B76,控制台!$B$2798:$B$2809,0)-1,0)*控制台!$E$2775</f>
        <v>1260</v>
      </c>
      <c r="AZ76" s="15">
        <f ca="1">Lerp_dyy(AX76,AY76,C76/10)</f>
        <v>1236</v>
      </c>
      <c r="BA76" s="16">
        <f ca="1">_xlfn.FLOOR.MATH(AZ76/24/3600*控制台!$E$2785)</f>
        <v>25</v>
      </c>
      <c r="BB76" s="15">
        <f ca="1" t="shared" si="45"/>
        <v>1200</v>
      </c>
      <c r="BC76" s="15">
        <f ca="1" t="shared" si="46"/>
        <v>5400</v>
      </c>
      <c r="BD76" s="17">
        <f ca="1" t="shared" si="54"/>
        <v>95875.2</v>
      </c>
      <c r="BE76" s="1">
        <f ca="1">OFFSET(控制台!$AA$2798,MATCH(B76,控制台!$B$2798:$B$2809,0)-1,0)</f>
        <v>33.3333333333334</v>
      </c>
      <c r="BF76" s="1">
        <f ca="1" t="shared" si="42"/>
        <v>3400.00000000001</v>
      </c>
      <c r="BG76" s="17">
        <f ca="1" t="shared" si="55"/>
        <v>55878.3333333334</v>
      </c>
      <c r="BH76" s="15">
        <f ca="1">OFFSET(控制台!$AD$2798,MATCH(B76,控制台!$B$2798:$B$2809,0)-2,0)</f>
        <v>1600</v>
      </c>
      <c r="BI76" s="15">
        <f ca="1">OFFSET(控制台!$AD$2798,MATCH(B76,控制台!$B$2798:$B$2809,0)-1,0)</f>
        <v>2000</v>
      </c>
      <c r="BJ76" s="15">
        <f ca="1">Lerp_dyy(BH76,BI76,C76/10)</f>
        <v>1840</v>
      </c>
      <c r="BK76" s="16">
        <f ca="1">_xlfn.FLOOR.MATH(BJ76/24/3600*控制台!$E$2785)</f>
        <v>38</v>
      </c>
      <c r="BL76" s="15">
        <f ca="1" t="shared" si="47"/>
        <v>1824</v>
      </c>
      <c r="BM76" s="15">
        <f ca="1" t="shared" si="48"/>
        <v>8208</v>
      </c>
      <c r="BN76" s="17">
        <f ca="1" t="shared" si="56"/>
        <v>105532.8</v>
      </c>
    </row>
    <row r="77" s="15" customFormat="1" spans="1:66">
      <c r="A77" s="15">
        <f t="shared" si="32"/>
        <v>807</v>
      </c>
      <c r="B77" s="15">
        <v>8</v>
      </c>
      <c r="C77" s="15">
        <v>7</v>
      </c>
      <c r="D77" s="15">
        <f ca="1">OFFSET(控制台!$D$2798,MATCH(B77,控制台!$B$2798:$B$2809,0)-2,0)*控制台!$E$2751</f>
        <v>4000000</v>
      </c>
      <c r="E77" s="15">
        <f ca="1">OFFSET(控制台!$D$2798,MATCH(B77,控制台!$B$2798:$B$2809,0)-1,0)*控制台!$E$2751</f>
        <v>4200000</v>
      </c>
      <c r="F77" s="15">
        <f ca="1">Lerp_dyy(D77,E77,C77/10)</f>
        <v>4140000</v>
      </c>
      <c r="G77" s="16">
        <f ca="1">_xlfn.FLOOR.MATH(F77/24/3600*控制台!$E$2784)-控制台!$E$2814</f>
        <v>471</v>
      </c>
      <c r="H77" s="15">
        <f ca="1" t="shared" si="33"/>
        <v>4069440</v>
      </c>
      <c r="I77" s="15">
        <f ca="1">IF(B77=1,0,OFFSET(控制台!$B$865,MATCH(B77-1,控制台!$G$865:$G$936,0)-1,0))</f>
        <v>75</v>
      </c>
      <c r="J77" s="15">
        <f ca="1">OFFSET(控制台!$B$865,MATCH(B77,控制台!$G$865:$G$936,0)-1,0)</f>
        <v>120</v>
      </c>
      <c r="K77" s="15">
        <f ca="1" t="shared" si="34"/>
        <v>4.5</v>
      </c>
      <c r="L77" s="17">
        <f ca="1">Lerp_dyy(I77,J77,C77/10)</f>
        <v>106.5</v>
      </c>
      <c r="M77" s="15">
        <f ca="1" t="shared" si="35"/>
        <v>18312480</v>
      </c>
      <c r="N77" s="17">
        <f ca="1" t="shared" si="49"/>
        <v>340348608</v>
      </c>
      <c r="O77" s="15">
        <f ca="1">OFFSET(控制台!$F$2798,MATCH(B77,控制台!$B$2798:$B$2809,0)-2,0)*控制台!$E$2755</f>
        <v>2400</v>
      </c>
      <c r="P77" s="15">
        <f ca="1">OFFSET(控制台!$F$2798,MATCH(B77,控制台!$B$2798:$B$2809,0)-1,0)*控制台!$E$2755</f>
        <v>2520</v>
      </c>
      <c r="Q77" s="15">
        <f ca="1">Lerp_dyy(O77,P77,C77/10)</f>
        <v>2484</v>
      </c>
      <c r="R77" s="16">
        <f ca="1">_xlfn.FLOOR.MATH(Q77/24/3600*控制台!$E$2785)</f>
        <v>51</v>
      </c>
      <c r="S77" s="15">
        <f ca="1" t="shared" si="36"/>
        <v>2448</v>
      </c>
      <c r="T77" s="15">
        <f ca="1" t="shared" si="37"/>
        <v>11016</v>
      </c>
      <c r="U77" s="17">
        <f ca="1" t="shared" si="50"/>
        <v>206731.2</v>
      </c>
      <c r="V77" s="15">
        <f ca="1">OFFSET(控制台!$I$2798,MATCH(B77,控制台!$B$2798:$B$2809,0)-2,0)*控制台!$E$2791</f>
        <v>1562.5</v>
      </c>
      <c r="W77" s="15">
        <f ca="1">OFFSET(控制台!$I$2798,MATCH(B77,控制台!$B$2798:$B$2809,0)-1,0)*控制台!$E$2791</f>
        <v>1875</v>
      </c>
      <c r="X77" s="15">
        <f ca="1">Lerp_dyy(V77,W77,C77/10)</f>
        <v>1781.25</v>
      </c>
      <c r="Y77" s="16">
        <f ca="1">_xlfn.FLOOR.MATH(X77)</f>
        <v>1781</v>
      </c>
      <c r="Z77" s="15">
        <f ca="1" t="shared" si="38"/>
        <v>2.1372</v>
      </c>
      <c r="AA77" s="15">
        <f ca="1" t="shared" si="31"/>
        <v>9.6174</v>
      </c>
      <c r="AB77" s="17">
        <f ca="1" t="shared" si="57"/>
        <v>149.59524</v>
      </c>
      <c r="AC77" s="17">
        <f ca="1">AB77*控制台!$E$4819</f>
        <v>119.676192</v>
      </c>
      <c r="AD77" s="17">
        <f ca="1">AB77*控制台!$E$4820</f>
        <v>2737.592892</v>
      </c>
      <c r="AE77" s="15">
        <f ca="1">OFFSET(控制台!$L$2798,MATCH(B77,控制台!$B$2798:$B$2809,0)-2,0)*控制台!$E$2763</f>
        <v>1500</v>
      </c>
      <c r="AF77" s="15">
        <f ca="1">OFFSET(控制台!$L$2798,MATCH(B77,控制台!$B$2798:$B$2809,0)-1,0)*控制台!$E$2763</f>
        <v>1800</v>
      </c>
      <c r="AG77" s="15">
        <f ca="1">Lerp_dyy(AE77,AF77,C77/10)</f>
        <v>1710</v>
      </c>
      <c r="AH77" s="15">
        <f ca="1" t="shared" si="39"/>
        <v>7695</v>
      </c>
      <c r="AI77" s="17">
        <f ca="1" t="shared" si="51"/>
        <v>117150</v>
      </c>
      <c r="AJ77" s="15">
        <f ca="1">OFFSET(控制台!$P$2798,MATCH(B77,控制台!$B$2798:$B$2809,0)-2,0)</f>
        <v>5000</v>
      </c>
      <c r="AK77" s="15">
        <f ca="1">OFFSET(控制台!$P$2798,MATCH(B77,控制台!$B$2798:$B$2809,0)-1,0)</f>
        <v>6000</v>
      </c>
      <c r="AL77" s="15">
        <f ca="1">Lerp_dyy(AJ77,AK77,C77/10)</f>
        <v>5700</v>
      </c>
      <c r="AM77" s="16">
        <f ca="1">_xlfn.FLOOR.MATH(AL77/24/3600*控制台!$E$2785)</f>
        <v>118</v>
      </c>
      <c r="AN77" s="15">
        <f ca="1" t="shared" si="40"/>
        <v>5664</v>
      </c>
      <c r="AO77" s="15">
        <f ca="1" t="shared" si="41"/>
        <v>25488</v>
      </c>
      <c r="AP77" s="17">
        <f ca="1" t="shared" si="52"/>
        <v>388790.4</v>
      </c>
      <c r="AQ77" s="15">
        <f ca="1">OFFSET(控制台!$V$2798,MATCH(B77,控制台!$B$2798:$B$2809,0)-2,0)*控制台!$E$2771</f>
        <v>2000000</v>
      </c>
      <c r="AR77" s="15">
        <f ca="1">OFFSET(控制台!$V$2798,MATCH(B77,控制台!$B$2798:$B$2809,0)-1,0)*控制台!$E$2771</f>
        <v>2100000</v>
      </c>
      <c r="AS77" s="15">
        <f ca="1">Lerp_dyy(AQ77,AR77,C77/10)</f>
        <v>2070000</v>
      </c>
      <c r="AT77" s="16">
        <f ca="1">MAX(_xlfn.FLOOR.MATH(AS77/24/3600*控制台!$E$2784)-控制台!$J$2814,0)</f>
        <v>235</v>
      </c>
      <c r="AU77" s="15">
        <f ca="1" t="shared" si="43"/>
        <v>2030400</v>
      </c>
      <c r="AV77" s="15">
        <f ca="1" t="shared" si="44"/>
        <v>9136800</v>
      </c>
      <c r="AW77" s="17">
        <f ca="1" t="shared" si="53"/>
        <v>168674400</v>
      </c>
      <c r="AX77" s="15">
        <f ca="1">OFFSET(控制台!$X$2798,MATCH(B77,控制台!$B$2798:$B$2809,0)-2,0)*控制台!$E$2775</f>
        <v>1200</v>
      </c>
      <c r="AY77" s="15">
        <f ca="1">OFFSET(控制台!$X$2798,MATCH(B77,控制台!$B$2798:$B$2809,0)-1,0)*控制台!$E$2775</f>
        <v>1260</v>
      </c>
      <c r="AZ77" s="15">
        <f ca="1">Lerp_dyy(AX77,AY77,C77/10)</f>
        <v>1242</v>
      </c>
      <c r="BA77" s="16">
        <f ca="1">_xlfn.FLOOR.MATH(AZ77/24/3600*控制台!$E$2785)</f>
        <v>25</v>
      </c>
      <c r="BB77" s="15">
        <f ca="1" t="shared" si="45"/>
        <v>1200</v>
      </c>
      <c r="BC77" s="15">
        <f ca="1" t="shared" si="46"/>
        <v>5400</v>
      </c>
      <c r="BD77" s="17">
        <f ca="1" t="shared" si="54"/>
        <v>101275.2</v>
      </c>
      <c r="BE77" s="1">
        <f ca="1">OFFSET(控制台!$AA$2798,MATCH(B77,控制台!$B$2798:$B$2809,0)-1,0)</f>
        <v>33.3333333333334</v>
      </c>
      <c r="BF77" s="1">
        <f ca="1" t="shared" si="42"/>
        <v>3550.00000000001</v>
      </c>
      <c r="BG77" s="17">
        <f ca="1" t="shared" si="55"/>
        <v>59428.3333333334</v>
      </c>
      <c r="BH77" s="15">
        <f ca="1">OFFSET(控制台!$AD$2798,MATCH(B77,控制台!$B$2798:$B$2809,0)-2,0)</f>
        <v>1600</v>
      </c>
      <c r="BI77" s="15">
        <f ca="1">OFFSET(控制台!$AD$2798,MATCH(B77,控制台!$B$2798:$B$2809,0)-1,0)</f>
        <v>2000</v>
      </c>
      <c r="BJ77" s="15">
        <f ca="1">Lerp_dyy(BH77,BI77,C77/10)</f>
        <v>1880</v>
      </c>
      <c r="BK77" s="16">
        <f ca="1">_xlfn.FLOOR.MATH(BJ77/24/3600*控制台!$E$2785)</f>
        <v>39</v>
      </c>
      <c r="BL77" s="15">
        <f ca="1" t="shared" si="47"/>
        <v>1872</v>
      </c>
      <c r="BM77" s="15">
        <f ca="1" t="shared" si="48"/>
        <v>8424</v>
      </c>
      <c r="BN77" s="17">
        <f ca="1" t="shared" si="56"/>
        <v>113956.8</v>
      </c>
    </row>
    <row r="78" s="15" customFormat="1" spans="1:66">
      <c r="A78" s="15">
        <f t="shared" si="32"/>
        <v>808</v>
      </c>
      <c r="B78" s="15">
        <v>8</v>
      </c>
      <c r="C78" s="15">
        <v>8</v>
      </c>
      <c r="D78" s="15">
        <f ca="1">OFFSET(控制台!$D$2798,MATCH(B78,控制台!$B$2798:$B$2809,0)-2,0)*控制台!$E$2751</f>
        <v>4000000</v>
      </c>
      <c r="E78" s="15">
        <f ca="1">OFFSET(控制台!$D$2798,MATCH(B78,控制台!$B$2798:$B$2809,0)-1,0)*控制台!$E$2751</f>
        <v>4200000</v>
      </c>
      <c r="F78" s="15">
        <f ca="1">Lerp_dyy(D78,E78,C78/10)</f>
        <v>4160000</v>
      </c>
      <c r="G78" s="16">
        <f ca="1">_xlfn.FLOOR.MATH(F78/24/3600*控制台!$E$2784)-控制台!$E$2814</f>
        <v>473</v>
      </c>
      <c r="H78" s="15">
        <f ca="1" t="shared" si="33"/>
        <v>4086720</v>
      </c>
      <c r="I78" s="15">
        <f ca="1">IF(B78=1,0,OFFSET(控制台!$B$865,MATCH(B78-1,控制台!$G$865:$G$936,0)-1,0))</f>
        <v>75</v>
      </c>
      <c r="J78" s="15">
        <f ca="1">OFFSET(控制台!$B$865,MATCH(B78,控制台!$G$865:$G$936,0)-1,0)</f>
        <v>120</v>
      </c>
      <c r="K78" s="15">
        <f ca="1" t="shared" si="34"/>
        <v>4.5</v>
      </c>
      <c r="L78" s="17">
        <f ca="1">Lerp_dyy(I78,J78,C78/10)</f>
        <v>111</v>
      </c>
      <c r="M78" s="15">
        <f ca="1" t="shared" si="35"/>
        <v>18390240</v>
      </c>
      <c r="N78" s="17">
        <f ca="1" t="shared" si="49"/>
        <v>358738848</v>
      </c>
      <c r="O78" s="15">
        <f ca="1">OFFSET(控制台!$F$2798,MATCH(B78,控制台!$B$2798:$B$2809,0)-2,0)*控制台!$E$2755</f>
        <v>2400</v>
      </c>
      <c r="P78" s="15">
        <f ca="1">OFFSET(控制台!$F$2798,MATCH(B78,控制台!$B$2798:$B$2809,0)-1,0)*控制台!$E$2755</f>
        <v>2520</v>
      </c>
      <c r="Q78" s="15">
        <f ca="1">Lerp_dyy(O78,P78,C78/10)</f>
        <v>2496</v>
      </c>
      <c r="R78" s="16">
        <f ca="1">_xlfn.FLOOR.MATH(Q78/24/3600*控制台!$E$2785)</f>
        <v>52</v>
      </c>
      <c r="S78" s="15">
        <f ca="1" t="shared" si="36"/>
        <v>2496</v>
      </c>
      <c r="T78" s="15">
        <f ca="1" t="shared" si="37"/>
        <v>11232</v>
      </c>
      <c r="U78" s="17">
        <f ca="1" t="shared" si="50"/>
        <v>217963.2</v>
      </c>
      <c r="V78" s="15">
        <f ca="1">OFFSET(控制台!$I$2798,MATCH(B78,控制台!$B$2798:$B$2809,0)-2,0)*控制台!$E$2791</f>
        <v>1562.5</v>
      </c>
      <c r="W78" s="15">
        <f ca="1">OFFSET(控制台!$I$2798,MATCH(B78,控制台!$B$2798:$B$2809,0)-1,0)*控制台!$E$2791</f>
        <v>1875</v>
      </c>
      <c r="X78" s="15">
        <f ca="1">Lerp_dyy(V78,W78,C78/10)</f>
        <v>1812.5</v>
      </c>
      <c r="Y78" s="16">
        <f ca="1">_xlfn.FLOOR.MATH(X78)</f>
        <v>1812</v>
      </c>
      <c r="Z78" s="15">
        <f ca="1" t="shared" si="38"/>
        <v>2.1744</v>
      </c>
      <c r="AA78" s="15">
        <f ca="1" t="shared" si="31"/>
        <v>9.7848</v>
      </c>
      <c r="AB78" s="17">
        <f ca="1" t="shared" si="57"/>
        <v>159.38004</v>
      </c>
      <c r="AC78" s="17">
        <f ca="1">AB78*控制台!$E$4819</f>
        <v>127.504032</v>
      </c>
      <c r="AD78" s="17">
        <f ca="1">AB78*控制台!$E$4820</f>
        <v>2916.654732</v>
      </c>
      <c r="AE78" s="15">
        <f ca="1">OFFSET(控制台!$L$2798,MATCH(B78,控制台!$B$2798:$B$2809,0)-2,0)*控制台!$E$2763</f>
        <v>1500</v>
      </c>
      <c r="AF78" s="15">
        <f ca="1">OFFSET(控制台!$L$2798,MATCH(B78,控制台!$B$2798:$B$2809,0)-1,0)*控制台!$E$2763</f>
        <v>1800</v>
      </c>
      <c r="AG78" s="15">
        <f ca="1">Lerp_dyy(AE78,AF78,C78/10)</f>
        <v>1740</v>
      </c>
      <c r="AH78" s="15">
        <f ca="1" t="shared" si="39"/>
        <v>7830</v>
      </c>
      <c r="AI78" s="17">
        <f ca="1" t="shared" si="51"/>
        <v>124980</v>
      </c>
      <c r="AJ78" s="15">
        <f ca="1">OFFSET(控制台!$P$2798,MATCH(B78,控制台!$B$2798:$B$2809,0)-2,0)</f>
        <v>5000</v>
      </c>
      <c r="AK78" s="15">
        <f ca="1">OFFSET(控制台!$P$2798,MATCH(B78,控制台!$B$2798:$B$2809,0)-1,0)</f>
        <v>6000</v>
      </c>
      <c r="AL78" s="15">
        <f ca="1">Lerp_dyy(AJ78,AK78,C78/10)</f>
        <v>5800</v>
      </c>
      <c r="AM78" s="16">
        <f ca="1">_xlfn.FLOOR.MATH(AL78/24/3600*控制台!$E$2785)</f>
        <v>120</v>
      </c>
      <c r="AN78" s="15">
        <f ca="1" t="shared" si="40"/>
        <v>5760</v>
      </c>
      <c r="AO78" s="15">
        <f ca="1" t="shared" si="41"/>
        <v>25920</v>
      </c>
      <c r="AP78" s="17">
        <f ca="1" t="shared" si="52"/>
        <v>414710.4</v>
      </c>
      <c r="AQ78" s="15">
        <f ca="1">OFFSET(控制台!$V$2798,MATCH(B78,控制台!$B$2798:$B$2809,0)-2,0)*控制台!$E$2771</f>
        <v>2000000</v>
      </c>
      <c r="AR78" s="15">
        <f ca="1">OFFSET(控制台!$V$2798,MATCH(B78,控制台!$B$2798:$B$2809,0)-1,0)*控制台!$E$2771</f>
        <v>2100000</v>
      </c>
      <c r="AS78" s="15">
        <f ca="1">Lerp_dyy(AQ78,AR78,C78/10)</f>
        <v>2080000</v>
      </c>
      <c r="AT78" s="16">
        <f ca="1">MAX(_xlfn.FLOOR.MATH(AS78/24/3600*控制台!$E$2784)-控制台!$J$2814,0)</f>
        <v>236</v>
      </c>
      <c r="AU78" s="15">
        <f ca="1" t="shared" si="43"/>
        <v>2039040</v>
      </c>
      <c r="AV78" s="15">
        <f ca="1" t="shared" si="44"/>
        <v>9175680</v>
      </c>
      <c r="AW78" s="17">
        <f ca="1" t="shared" si="53"/>
        <v>177850080</v>
      </c>
      <c r="AX78" s="15">
        <f ca="1">OFFSET(控制台!$X$2798,MATCH(B78,控制台!$B$2798:$B$2809,0)-2,0)*控制台!$E$2775</f>
        <v>1200</v>
      </c>
      <c r="AY78" s="15">
        <f ca="1">OFFSET(控制台!$X$2798,MATCH(B78,控制台!$B$2798:$B$2809,0)-1,0)*控制台!$E$2775</f>
        <v>1260</v>
      </c>
      <c r="AZ78" s="15">
        <f ca="1">Lerp_dyy(AX78,AY78,C78/10)</f>
        <v>1248</v>
      </c>
      <c r="BA78" s="16">
        <f ca="1">_xlfn.FLOOR.MATH(AZ78/24/3600*控制台!$E$2785)</f>
        <v>26</v>
      </c>
      <c r="BB78" s="15">
        <f ca="1" t="shared" si="45"/>
        <v>1248</v>
      </c>
      <c r="BC78" s="15">
        <f ca="1" t="shared" si="46"/>
        <v>5616</v>
      </c>
      <c r="BD78" s="17">
        <f ca="1" t="shared" si="54"/>
        <v>106891.2</v>
      </c>
      <c r="BE78" s="1">
        <f ca="1">OFFSET(控制台!$AA$2798,MATCH(B78,控制台!$B$2798:$B$2809,0)-1,0)</f>
        <v>33.3333333333334</v>
      </c>
      <c r="BF78" s="1">
        <f ca="1" t="shared" si="42"/>
        <v>3700.00000000001</v>
      </c>
      <c r="BG78" s="17">
        <f ca="1" t="shared" si="55"/>
        <v>63128.3333333335</v>
      </c>
      <c r="BH78" s="15">
        <f ca="1">OFFSET(控制台!$AD$2798,MATCH(B78,控制台!$B$2798:$B$2809,0)-2,0)</f>
        <v>1600</v>
      </c>
      <c r="BI78" s="15">
        <f ca="1">OFFSET(控制台!$AD$2798,MATCH(B78,控制台!$B$2798:$B$2809,0)-1,0)</f>
        <v>2000</v>
      </c>
      <c r="BJ78" s="15">
        <f ca="1">Lerp_dyy(BH78,BI78,C78/10)</f>
        <v>1920</v>
      </c>
      <c r="BK78" s="16">
        <f ca="1">_xlfn.FLOOR.MATH(BJ78/24/3600*控制台!$E$2785)</f>
        <v>40</v>
      </c>
      <c r="BL78" s="15">
        <f ca="1" t="shared" si="47"/>
        <v>1920</v>
      </c>
      <c r="BM78" s="15">
        <f ca="1" t="shared" si="48"/>
        <v>8640</v>
      </c>
      <c r="BN78" s="17">
        <f ca="1" t="shared" si="56"/>
        <v>122596.8</v>
      </c>
    </row>
    <row r="79" s="15" customFormat="1" spans="1:66">
      <c r="A79" s="15">
        <f t="shared" si="32"/>
        <v>809</v>
      </c>
      <c r="B79" s="15">
        <v>8</v>
      </c>
      <c r="C79" s="15">
        <v>9</v>
      </c>
      <c r="D79" s="15">
        <f ca="1">OFFSET(控制台!$D$2798,MATCH(B79,控制台!$B$2798:$B$2809,0)-2,0)*控制台!$E$2751</f>
        <v>4000000</v>
      </c>
      <c r="E79" s="15">
        <f ca="1">OFFSET(控制台!$D$2798,MATCH(B79,控制台!$B$2798:$B$2809,0)-1,0)*控制台!$E$2751</f>
        <v>4200000</v>
      </c>
      <c r="F79" s="15">
        <f ca="1">Lerp_dyy(D79,E79,C79/10)</f>
        <v>4180000</v>
      </c>
      <c r="G79" s="16">
        <f ca="1">_xlfn.FLOOR.MATH(F79/24/3600*控制台!$E$2784)-控制台!$E$2814</f>
        <v>475</v>
      </c>
      <c r="H79" s="15">
        <f ca="1" t="shared" si="33"/>
        <v>4104000</v>
      </c>
      <c r="I79" s="15">
        <f ca="1">IF(B79=1,0,OFFSET(控制台!$B$865,MATCH(B79-1,控制台!$G$865:$G$936,0)-1,0))</f>
        <v>75</v>
      </c>
      <c r="J79" s="15">
        <f ca="1">OFFSET(控制台!$B$865,MATCH(B79,控制台!$G$865:$G$936,0)-1,0)</f>
        <v>120</v>
      </c>
      <c r="K79" s="15">
        <f ca="1" t="shared" si="34"/>
        <v>4.5</v>
      </c>
      <c r="L79" s="17">
        <f ca="1">Lerp_dyy(I79,J79,C79/10)</f>
        <v>115.5</v>
      </c>
      <c r="M79" s="15">
        <f ca="1" t="shared" si="35"/>
        <v>18468000</v>
      </c>
      <c r="N79" s="17">
        <f ca="1" t="shared" si="49"/>
        <v>377206848</v>
      </c>
      <c r="O79" s="15">
        <f ca="1">OFFSET(控制台!$F$2798,MATCH(B79,控制台!$B$2798:$B$2809,0)-2,0)*控制台!$E$2755</f>
        <v>2400</v>
      </c>
      <c r="P79" s="15">
        <f ca="1">OFFSET(控制台!$F$2798,MATCH(B79,控制台!$B$2798:$B$2809,0)-1,0)*控制台!$E$2755</f>
        <v>2520</v>
      </c>
      <c r="Q79" s="15">
        <f ca="1">Lerp_dyy(O79,P79,C79/10)</f>
        <v>2508</v>
      </c>
      <c r="R79" s="16">
        <f ca="1">_xlfn.FLOOR.MATH(Q79/24/3600*控制台!$E$2785)</f>
        <v>52</v>
      </c>
      <c r="S79" s="15">
        <f ca="1" t="shared" si="36"/>
        <v>2496</v>
      </c>
      <c r="T79" s="15">
        <f ca="1" t="shared" si="37"/>
        <v>11232</v>
      </c>
      <c r="U79" s="17">
        <f ca="1" t="shared" si="50"/>
        <v>229195.2</v>
      </c>
      <c r="V79" s="15">
        <f ca="1">OFFSET(控制台!$I$2798,MATCH(B79,控制台!$B$2798:$B$2809,0)-2,0)*控制台!$E$2791</f>
        <v>1562.5</v>
      </c>
      <c r="W79" s="15">
        <f ca="1">OFFSET(控制台!$I$2798,MATCH(B79,控制台!$B$2798:$B$2809,0)-1,0)*控制台!$E$2791</f>
        <v>1875</v>
      </c>
      <c r="X79" s="15">
        <f ca="1">Lerp_dyy(V79,W79,C79/10)</f>
        <v>1843.75</v>
      </c>
      <c r="Y79" s="16">
        <f ca="1">_xlfn.FLOOR.MATH(X79)</f>
        <v>1843</v>
      </c>
      <c r="Z79" s="15">
        <f ca="1" t="shared" si="38"/>
        <v>2.2116</v>
      </c>
      <c r="AA79" s="15">
        <f ca="1" t="shared" si="31"/>
        <v>9.9522</v>
      </c>
      <c r="AB79" s="17">
        <f ca="1" t="shared" si="57"/>
        <v>169.33224</v>
      </c>
      <c r="AC79" s="17">
        <f ca="1">AB79*控制台!$E$4819</f>
        <v>135.465792</v>
      </c>
      <c r="AD79" s="17">
        <f ca="1">AB79*控制台!$E$4820</f>
        <v>3098.779992</v>
      </c>
      <c r="AE79" s="15">
        <f ca="1">OFFSET(控制台!$L$2798,MATCH(B79,控制台!$B$2798:$B$2809,0)-2,0)*控制台!$E$2763</f>
        <v>1500</v>
      </c>
      <c r="AF79" s="15">
        <f ca="1">OFFSET(控制台!$L$2798,MATCH(B79,控制台!$B$2798:$B$2809,0)-1,0)*控制台!$E$2763</f>
        <v>1800</v>
      </c>
      <c r="AG79" s="15">
        <f ca="1">Lerp_dyy(AE79,AF79,C79/10)</f>
        <v>1770</v>
      </c>
      <c r="AH79" s="15">
        <f ca="1" t="shared" si="39"/>
        <v>7965</v>
      </c>
      <c r="AI79" s="17">
        <f ca="1" t="shared" si="51"/>
        <v>132945</v>
      </c>
      <c r="AJ79" s="15">
        <f ca="1">OFFSET(控制台!$P$2798,MATCH(B79,控制台!$B$2798:$B$2809,0)-2,0)</f>
        <v>5000</v>
      </c>
      <c r="AK79" s="15">
        <f ca="1">OFFSET(控制台!$P$2798,MATCH(B79,控制台!$B$2798:$B$2809,0)-1,0)</f>
        <v>6000</v>
      </c>
      <c r="AL79" s="15">
        <f ca="1">Lerp_dyy(AJ79,AK79,C79/10)</f>
        <v>5900</v>
      </c>
      <c r="AM79" s="16">
        <f ca="1">_xlfn.FLOOR.MATH(AL79/24/3600*控制台!$E$2785)</f>
        <v>122</v>
      </c>
      <c r="AN79" s="15">
        <f ca="1" t="shared" si="40"/>
        <v>5856</v>
      </c>
      <c r="AO79" s="15">
        <f ca="1" t="shared" si="41"/>
        <v>26352</v>
      </c>
      <c r="AP79" s="17">
        <f ca="1" t="shared" si="52"/>
        <v>441062.4</v>
      </c>
      <c r="AQ79" s="15">
        <f ca="1">OFFSET(控制台!$V$2798,MATCH(B79,控制台!$B$2798:$B$2809,0)-2,0)*控制台!$E$2771</f>
        <v>2000000</v>
      </c>
      <c r="AR79" s="15">
        <f ca="1">OFFSET(控制台!$V$2798,MATCH(B79,控制台!$B$2798:$B$2809,0)-1,0)*控制台!$E$2771</f>
        <v>2100000</v>
      </c>
      <c r="AS79" s="15">
        <f ca="1">Lerp_dyy(AQ79,AR79,C79/10)</f>
        <v>2090000</v>
      </c>
      <c r="AT79" s="16">
        <f ca="1">MAX(_xlfn.FLOOR.MATH(AS79/24/3600*控制台!$E$2784)-控制台!$J$2814,0)</f>
        <v>237</v>
      </c>
      <c r="AU79" s="15">
        <f ca="1" t="shared" si="43"/>
        <v>2047680</v>
      </c>
      <c r="AV79" s="15">
        <f ca="1" t="shared" si="44"/>
        <v>9214560</v>
      </c>
      <c r="AW79" s="17">
        <f ca="1" t="shared" si="53"/>
        <v>187064640</v>
      </c>
      <c r="AX79" s="15">
        <f ca="1">OFFSET(控制台!$X$2798,MATCH(B79,控制台!$B$2798:$B$2809,0)-2,0)*控制台!$E$2775</f>
        <v>1200</v>
      </c>
      <c r="AY79" s="15">
        <f ca="1">OFFSET(控制台!$X$2798,MATCH(B79,控制台!$B$2798:$B$2809,0)-1,0)*控制台!$E$2775</f>
        <v>1260</v>
      </c>
      <c r="AZ79" s="15">
        <f ca="1">Lerp_dyy(AX79,AY79,C79/10)</f>
        <v>1254</v>
      </c>
      <c r="BA79" s="16">
        <f ca="1">_xlfn.FLOOR.MATH(AZ79/24/3600*控制台!$E$2785)</f>
        <v>26</v>
      </c>
      <c r="BB79" s="15">
        <f ca="1" t="shared" si="45"/>
        <v>1248</v>
      </c>
      <c r="BC79" s="15">
        <f ca="1" t="shared" si="46"/>
        <v>5616</v>
      </c>
      <c r="BD79" s="17">
        <f ca="1" t="shared" si="54"/>
        <v>112507.2</v>
      </c>
      <c r="BE79" s="1">
        <f ca="1">OFFSET(控制台!$AA$2798,MATCH(B79,控制台!$B$2798:$B$2809,0)-1,0)</f>
        <v>33.3333333333334</v>
      </c>
      <c r="BF79" s="1">
        <f ca="1" t="shared" si="42"/>
        <v>3850.00000000001</v>
      </c>
      <c r="BG79" s="17">
        <f ca="1" t="shared" si="55"/>
        <v>66978.3333333335</v>
      </c>
      <c r="BH79" s="15">
        <f ca="1">OFFSET(控制台!$AD$2798,MATCH(B79,控制台!$B$2798:$B$2809,0)-2,0)</f>
        <v>1600</v>
      </c>
      <c r="BI79" s="15">
        <f ca="1">OFFSET(控制台!$AD$2798,MATCH(B79,控制台!$B$2798:$B$2809,0)-1,0)</f>
        <v>2000</v>
      </c>
      <c r="BJ79" s="15">
        <f ca="1">Lerp_dyy(BH79,BI79,C79/10)</f>
        <v>1960</v>
      </c>
      <c r="BK79" s="16">
        <f ca="1">_xlfn.FLOOR.MATH(BJ79/24/3600*控制台!$E$2785)</f>
        <v>40</v>
      </c>
      <c r="BL79" s="15">
        <f ca="1" t="shared" si="47"/>
        <v>1920</v>
      </c>
      <c r="BM79" s="15">
        <f ca="1" t="shared" si="48"/>
        <v>8640</v>
      </c>
      <c r="BN79" s="17">
        <f ca="1" t="shared" si="56"/>
        <v>131236.8</v>
      </c>
    </row>
    <row r="80" s="15" customFormat="1" spans="1:66">
      <c r="A80" s="15">
        <f t="shared" si="32"/>
        <v>810</v>
      </c>
      <c r="B80" s="15">
        <v>8</v>
      </c>
      <c r="C80" s="15">
        <v>10</v>
      </c>
      <c r="D80" s="15">
        <f ca="1">OFFSET(控制台!$D$2798,MATCH(B80,控制台!$B$2798:$B$2809,0)-2,0)*控制台!$E$2751</f>
        <v>4000000</v>
      </c>
      <c r="E80" s="15">
        <f ca="1">OFFSET(控制台!$D$2798,MATCH(B80,控制台!$B$2798:$B$2809,0)-1,0)*控制台!$E$2751</f>
        <v>4200000</v>
      </c>
      <c r="F80" s="15">
        <f ca="1">Lerp_dyy(D80,E80,C80/10)</f>
        <v>4200000</v>
      </c>
      <c r="G80" s="16">
        <f ca="1">_xlfn.FLOOR.MATH(F80/24/3600*控制台!$E$2784)-控制台!$E$2814</f>
        <v>478</v>
      </c>
      <c r="H80" s="15">
        <f ca="1" t="shared" si="33"/>
        <v>4129920</v>
      </c>
      <c r="I80" s="15">
        <f ca="1">IF(B80=1,0,OFFSET(控制台!$B$865,MATCH(B80-1,控制台!$G$865:$G$936,0)-1,0))</f>
        <v>75</v>
      </c>
      <c r="J80" s="15">
        <f ca="1">OFFSET(控制台!$B$865,MATCH(B80,控制台!$G$865:$G$936,0)-1,0)</f>
        <v>120</v>
      </c>
      <c r="K80" s="15">
        <f ca="1" t="shared" si="34"/>
        <v>4.5</v>
      </c>
      <c r="L80" s="17">
        <f ca="1">Lerp_dyy(I80,J80,C80/10)</f>
        <v>120</v>
      </c>
      <c r="M80" s="15">
        <f ca="1" t="shared" si="35"/>
        <v>18584640</v>
      </c>
      <c r="N80" s="17">
        <f ca="1" t="shared" si="49"/>
        <v>395791488</v>
      </c>
      <c r="O80" s="15">
        <f ca="1">OFFSET(控制台!$F$2798,MATCH(B80,控制台!$B$2798:$B$2809,0)-2,0)*控制台!$E$2755</f>
        <v>2400</v>
      </c>
      <c r="P80" s="15">
        <f ca="1">OFFSET(控制台!$F$2798,MATCH(B80,控制台!$B$2798:$B$2809,0)-1,0)*控制台!$E$2755</f>
        <v>2520</v>
      </c>
      <c r="Q80" s="15">
        <f ca="1">Lerp_dyy(O80,P80,C80/10)</f>
        <v>2520</v>
      </c>
      <c r="R80" s="16">
        <f ca="1">_xlfn.FLOOR.MATH(Q80/24/3600*控制台!$E$2785)</f>
        <v>52</v>
      </c>
      <c r="S80" s="15">
        <f ca="1" t="shared" si="36"/>
        <v>2496</v>
      </c>
      <c r="T80" s="15">
        <f ca="1" t="shared" si="37"/>
        <v>11232</v>
      </c>
      <c r="U80" s="17">
        <f ca="1" t="shared" si="50"/>
        <v>240427.2</v>
      </c>
      <c r="V80" s="15">
        <f ca="1">OFFSET(控制台!$I$2798,MATCH(B80,控制台!$B$2798:$B$2809,0)-2,0)*控制台!$E$2791</f>
        <v>1562.5</v>
      </c>
      <c r="W80" s="15">
        <f ca="1">OFFSET(控制台!$I$2798,MATCH(B80,控制台!$B$2798:$B$2809,0)-1,0)*控制台!$E$2791</f>
        <v>1875</v>
      </c>
      <c r="X80" s="15">
        <f ca="1">Lerp_dyy(V80,W80,C80/10)</f>
        <v>1875</v>
      </c>
      <c r="Y80" s="16">
        <f ca="1">_xlfn.FLOOR.MATH(X80)</f>
        <v>1875</v>
      </c>
      <c r="Z80" s="15">
        <f ca="1" t="shared" si="38"/>
        <v>2.25</v>
      </c>
      <c r="AA80" s="15">
        <f ca="1" t="shared" si="31"/>
        <v>10.125</v>
      </c>
      <c r="AB80" s="17">
        <f ca="1" t="shared" si="57"/>
        <v>179.45724</v>
      </c>
      <c r="AC80" s="17">
        <f ca="1">AB80*控制台!$E$4819</f>
        <v>143.565792</v>
      </c>
      <c r="AD80" s="17">
        <f ca="1">AB80*控制台!$E$4820</f>
        <v>3284.067492</v>
      </c>
      <c r="AE80" s="15">
        <f ca="1">OFFSET(控制台!$L$2798,MATCH(B80,控制台!$B$2798:$B$2809,0)-2,0)*控制台!$E$2763</f>
        <v>1500</v>
      </c>
      <c r="AF80" s="15">
        <f ca="1">OFFSET(控制台!$L$2798,MATCH(B80,控制台!$B$2798:$B$2809,0)-1,0)*控制台!$E$2763</f>
        <v>1800</v>
      </c>
      <c r="AG80" s="15">
        <f ca="1">Lerp_dyy(AE80,AF80,C80/10)</f>
        <v>1800</v>
      </c>
      <c r="AH80" s="15">
        <f ca="1" t="shared" si="39"/>
        <v>8100</v>
      </c>
      <c r="AI80" s="17">
        <f ca="1" t="shared" si="51"/>
        <v>141045</v>
      </c>
      <c r="AJ80" s="15">
        <f ca="1">OFFSET(控制台!$P$2798,MATCH(B80,控制台!$B$2798:$B$2809,0)-2,0)</f>
        <v>5000</v>
      </c>
      <c r="AK80" s="15">
        <f ca="1">OFFSET(控制台!$P$2798,MATCH(B80,控制台!$B$2798:$B$2809,0)-1,0)</f>
        <v>6000</v>
      </c>
      <c r="AL80" s="15">
        <f ca="1">Lerp_dyy(AJ80,AK80,C80/10)</f>
        <v>6000</v>
      </c>
      <c r="AM80" s="16">
        <f ca="1">_xlfn.FLOOR.MATH(AL80/24/3600*控制台!$E$2785)</f>
        <v>125</v>
      </c>
      <c r="AN80" s="15">
        <f ca="1" t="shared" si="40"/>
        <v>6000</v>
      </c>
      <c r="AO80" s="15">
        <f ca="1" t="shared" si="41"/>
        <v>27000</v>
      </c>
      <c r="AP80" s="17">
        <f ca="1" t="shared" si="52"/>
        <v>468062.4</v>
      </c>
      <c r="AQ80" s="15">
        <f ca="1">OFFSET(控制台!$V$2798,MATCH(B80,控制台!$B$2798:$B$2809,0)-2,0)*控制台!$E$2771</f>
        <v>2000000</v>
      </c>
      <c r="AR80" s="15">
        <f ca="1">OFFSET(控制台!$V$2798,MATCH(B80,控制台!$B$2798:$B$2809,0)-1,0)*控制台!$E$2771</f>
        <v>2100000</v>
      </c>
      <c r="AS80" s="15">
        <f ca="1">Lerp_dyy(AQ80,AR80,C80/10)</f>
        <v>2100000</v>
      </c>
      <c r="AT80" s="16">
        <f ca="1">MAX(_xlfn.FLOOR.MATH(AS80/24/3600*控制台!$E$2784)-控制台!$J$2814,0)</f>
        <v>239</v>
      </c>
      <c r="AU80" s="15">
        <f ca="1" t="shared" si="43"/>
        <v>2064960</v>
      </c>
      <c r="AV80" s="15">
        <f ca="1" t="shared" si="44"/>
        <v>9292320</v>
      </c>
      <c r="AW80" s="17">
        <f ca="1" t="shared" si="53"/>
        <v>196356960</v>
      </c>
      <c r="AX80" s="15">
        <f ca="1">OFFSET(控制台!$X$2798,MATCH(B80,控制台!$B$2798:$B$2809,0)-2,0)*控制台!$E$2775</f>
        <v>1200</v>
      </c>
      <c r="AY80" s="15">
        <f ca="1">OFFSET(控制台!$X$2798,MATCH(B80,控制台!$B$2798:$B$2809,0)-1,0)*控制台!$E$2775</f>
        <v>1260</v>
      </c>
      <c r="AZ80" s="15">
        <f ca="1">Lerp_dyy(AX80,AY80,C80/10)</f>
        <v>1260</v>
      </c>
      <c r="BA80" s="16">
        <f ca="1">_xlfn.FLOOR.MATH(AZ80/24/3600*控制台!$E$2785)</f>
        <v>26</v>
      </c>
      <c r="BB80" s="15">
        <f ca="1" t="shared" si="45"/>
        <v>1248</v>
      </c>
      <c r="BC80" s="15">
        <f ca="1" t="shared" si="46"/>
        <v>5616</v>
      </c>
      <c r="BD80" s="17">
        <f ca="1" t="shared" si="54"/>
        <v>118123.2</v>
      </c>
      <c r="BE80" s="1">
        <f ca="1">OFFSET(控制台!$AA$2798,MATCH(B80,控制台!$B$2798:$B$2809,0)-1,0)</f>
        <v>33.3333333333334</v>
      </c>
      <c r="BF80" s="1">
        <f ca="1" t="shared" si="42"/>
        <v>4000.00000000001</v>
      </c>
      <c r="BG80" s="17">
        <f ca="1" t="shared" si="55"/>
        <v>70978.3333333335</v>
      </c>
      <c r="BH80" s="15">
        <f ca="1">OFFSET(控制台!$AD$2798,MATCH(B80,控制台!$B$2798:$B$2809,0)-2,0)</f>
        <v>1600</v>
      </c>
      <c r="BI80" s="15">
        <f ca="1">OFFSET(控制台!$AD$2798,MATCH(B80,控制台!$B$2798:$B$2809,0)-1,0)</f>
        <v>2000</v>
      </c>
      <c r="BJ80" s="15">
        <f ca="1">Lerp_dyy(BH80,BI80,C80/10)</f>
        <v>2000</v>
      </c>
      <c r="BK80" s="16">
        <f ca="1">_xlfn.FLOOR.MATH(BJ80/24/3600*控制台!$E$2785)</f>
        <v>41</v>
      </c>
      <c r="BL80" s="15">
        <f ca="1" t="shared" si="47"/>
        <v>1968</v>
      </c>
      <c r="BM80" s="15">
        <f ca="1" t="shared" si="48"/>
        <v>8856</v>
      </c>
      <c r="BN80" s="17">
        <f ca="1" t="shared" si="56"/>
        <v>140092.8</v>
      </c>
    </row>
    <row r="81" spans="1:66">
      <c r="A81" s="1">
        <f t="shared" si="32"/>
        <v>901</v>
      </c>
      <c r="B81" s="1">
        <v>9</v>
      </c>
      <c r="C81" s="1">
        <v>1</v>
      </c>
      <c r="D81" s="1">
        <f ca="1">OFFSET(控制台!$D$2798,MATCH(B81,控制台!$B$2798:$B$2809,0)-2,0)*控制台!$E$2751</f>
        <v>4200000</v>
      </c>
      <c r="E81" s="1">
        <f ca="1">OFFSET(控制台!$D$2798,MATCH(B81,控制台!$B$2798:$B$2809,0)-1,0)*控制台!$E$2751</f>
        <v>4400000</v>
      </c>
      <c r="F81" s="1">
        <f ca="1">Lerp_dyy(D81,E81,C81/10)</f>
        <v>4220000</v>
      </c>
      <c r="G81" s="4">
        <f ca="1">_xlfn.FLOOR.MATH(F81/24/3600*控制台!$E$2784)-控制台!$E$2814</f>
        <v>480</v>
      </c>
      <c r="H81" s="1">
        <f ca="1" t="shared" si="33"/>
        <v>4147200</v>
      </c>
      <c r="I81" s="1">
        <f ca="1">IF(B81=1,0,OFFSET(控制台!$B$865,MATCH(B81-1,控制台!$G$865:$G$936,0)-1,0))</f>
        <v>120</v>
      </c>
      <c r="J81" s="1">
        <f ca="1">OFFSET(控制台!$B$865,MATCH(B81,控制台!$G$865:$G$936,0)-1,0)</f>
        <v>180</v>
      </c>
      <c r="K81" s="1">
        <f ca="1" t="shared" si="34"/>
        <v>6</v>
      </c>
      <c r="L81" s="5">
        <f ca="1">Lerp_dyy(I81,J81,C81/10)</f>
        <v>126</v>
      </c>
      <c r="M81" s="1">
        <f ca="1" t="shared" si="35"/>
        <v>24883200</v>
      </c>
      <c r="N81" s="5">
        <f ca="1" t="shared" si="49"/>
        <v>420674688</v>
      </c>
      <c r="O81" s="1">
        <f ca="1">OFFSET(控制台!$F$2798,MATCH(B81,控制台!$B$2798:$B$2809,0)-2,0)*控制台!$E$2755</f>
        <v>2520</v>
      </c>
      <c r="P81" s="1">
        <f ca="1">OFFSET(控制台!$F$2798,MATCH(B81,控制台!$B$2798:$B$2809,0)-1,0)*控制台!$E$2755</f>
        <v>2640</v>
      </c>
      <c r="Q81" s="1">
        <f ca="1">Lerp_dyy(O81,P81,C81/10)</f>
        <v>2532</v>
      </c>
      <c r="R81" s="4">
        <f ca="1">_xlfn.FLOOR.MATH(Q81/24/3600*控制台!$E$2785)</f>
        <v>52</v>
      </c>
      <c r="S81" s="1">
        <f ca="1" t="shared" si="36"/>
        <v>2496</v>
      </c>
      <c r="T81" s="1">
        <f ca="1" t="shared" si="37"/>
        <v>14976</v>
      </c>
      <c r="U81" s="5">
        <f ca="1" t="shared" si="50"/>
        <v>255403.2</v>
      </c>
      <c r="V81" s="1">
        <f ca="1">OFFSET(控制台!$I$2798,MATCH(B81,控制台!$B$2798:$B$2809,0)-2,0)*控制台!$E$2791</f>
        <v>1875</v>
      </c>
      <c r="W81" s="1">
        <f ca="1">OFFSET(控制台!$I$2798,MATCH(B81,控制台!$B$2798:$B$2809,0)-1,0)*控制台!$E$2791</f>
        <v>2187.5</v>
      </c>
      <c r="X81" s="1">
        <f ca="1">Lerp_dyy(V81,W81,C81/10)</f>
        <v>1906.25</v>
      </c>
      <c r="Y81" s="4">
        <f ca="1">_xlfn.FLOOR.MATH(X81)</f>
        <v>1906</v>
      </c>
      <c r="Z81" s="1">
        <f ca="1" t="shared" si="38"/>
        <v>2.2872</v>
      </c>
      <c r="AA81" s="1">
        <f ca="1" t="shared" si="31"/>
        <v>13.7232</v>
      </c>
      <c r="AB81" s="5">
        <f ca="1" t="shared" si="57"/>
        <v>193.18044</v>
      </c>
      <c r="AC81" s="5">
        <f ca="1">AB81*控制台!$E$4819</f>
        <v>154.544352</v>
      </c>
      <c r="AD81" s="5">
        <f ca="1">AB81*控制台!$E$4820</f>
        <v>3535.202052</v>
      </c>
      <c r="AE81" s="1">
        <f ca="1">OFFSET(控制台!$L$2798,MATCH(B81,控制台!$B$2798:$B$2809,0)-2,0)*控制台!$E$2763</f>
        <v>1800</v>
      </c>
      <c r="AF81" s="1">
        <f ca="1">OFFSET(控制台!$L$2798,MATCH(B81,控制台!$B$2798:$B$2809,0)-1,0)*控制台!$E$2763</f>
        <v>2100</v>
      </c>
      <c r="AG81" s="1">
        <f ca="1">Lerp_dyy(AE81,AF81,C81/10)</f>
        <v>1830</v>
      </c>
      <c r="AH81" s="1">
        <f ca="1" t="shared" si="39"/>
        <v>10980</v>
      </c>
      <c r="AI81" s="5">
        <f ca="1" t="shared" si="51"/>
        <v>152025</v>
      </c>
      <c r="AJ81" s="1">
        <f ca="1">OFFSET(控制台!$P$2798,MATCH(B81,控制台!$B$2798:$B$2809,0)-2,0)</f>
        <v>6000</v>
      </c>
      <c r="AK81" s="1">
        <f ca="1">OFFSET(控制台!$P$2798,MATCH(B81,控制台!$B$2798:$B$2809,0)-1,0)</f>
        <v>7000</v>
      </c>
      <c r="AL81" s="1">
        <f ca="1">Lerp_dyy(AJ81,AK81,C81/10)</f>
        <v>6100</v>
      </c>
      <c r="AM81" s="4">
        <f ca="1">_xlfn.FLOOR.MATH(AL81/24/3600*控制台!$E$2785)</f>
        <v>127</v>
      </c>
      <c r="AN81" s="1">
        <f ca="1" t="shared" si="40"/>
        <v>6096</v>
      </c>
      <c r="AO81" s="1">
        <f ca="1" t="shared" si="41"/>
        <v>36576</v>
      </c>
      <c r="AP81" s="5">
        <f ca="1" t="shared" si="52"/>
        <v>504638.4</v>
      </c>
      <c r="AQ81" s="1">
        <f ca="1">OFFSET(控制台!$V$2798,MATCH(B81,控制台!$B$2798:$B$2809,0)-2,0)*控制台!$E$2771</f>
        <v>2100000</v>
      </c>
      <c r="AR81" s="1">
        <f ca="1">OFFSET(控制台!$V$2798,MATCH(B81,控制台!$B$2798:$B$2809,0)-1,0)*控制台!$E$2771</f>
        <v>2200000</v>
      </c>
      <c r="AS81" s="1">
        <f ca="1">Lerp_dyy(AQ81,AR81,C81/10)</f>
        <v>2110000</v>
      </c>
      <c r="AT81" s="4">
        <f ca="1">MAX(_xlfn.FLOOR.MATH(AS81/24/3600*控制台!$E$2784)-控制台!$J$2814,0)</f>
        <v>240</v>
      </c>
      <c r="AU81" s="1">
        <f ca="1" t="shared" si="43"/>
        <v>2073600</v>
      </c>
      <c r="AV81" s="1">
        <f ca="1" t="shared" si="44"/>
        <v>12441600</v>
      </c>
      <c r="AW81" s="5">
        <f ca="1" t="shared" si="53"/>
        <v>208798560</v>
      </c>
      <c r="AX81" s="1">
        <f ca="1">OFFSET(控制台!$X$2798,MATCH(B81,控制台!$B$2798:$B$2809,0)-2,0)*控制台!$E$2775</f>
        <v>1260</v>
      </c>
      <c r="AY81" s="1">
        <f ca="1">OFFSET(控制台!$X$2798,MATCH(B81,控制台!$B$2798:$B$2809,0)-1,0)*控制台!$E$2775</f>
        <v>1320</v>
      </c>
      <c r="AZ81" s="1">
        <f ca="1">Lerp_dyy(AX81,AY81,C81/10)</f>
        <v>1266</v>
      </c>
      <c r="BA81" s="4">
        <f ca="1">_xlfn.FLOOR.MATH(AZ81/24/3600*控制台!$E$2785)</f>
        <v>26</v>
      </c>
      <c r="BB81" s="1">
        <f ca="1" t="shared" si="45"/>
        <v>1248</v>
      </c>
      <c r="BC81" s="1">
        <f ca="1" t="shared" si="46"/>
        <v>7488</v>
      </c>
      <c r="BD81" s="5">
        <f ca="1" t="shared" si="54"/>
        <v>125611.2</v>
      </c>
      <c r="BE81" s="1">
        <f ca="1">OFFSET(控制台!$AA$2798,MATCH(B81,控制台!$B$2798:$B$2809,0)-1,0)</f>
        <v>37.5533333333334</v>
      </c>
      <c r="BF81" s="1">
        <f ca="1" t="shared" si="42"/>
        <v>4731.72000000001</v>
      </c>
      <c r="BG81" s="5">
        <f ca="1" t="shared" si="55"/>
        <v>75710.0533333335</v>
      </c>
      <c r="BH81" s="1">
        <f ca="1">OFFSET(控制台!$AD$2798,MATCH(B81,控制台!$B$2798:$B$2809,0)-2,0)</f>
        <v>2000</v>
      </c>
      <c r="BI81" s="1">
        <f ca="1">OFFSET(控制台!$AD$2798,MATCH(B81,控制台!$B$2798:$B$2809,0)-1,0)</f>
        <v>2400</v>
      </c>
      <c r="BJ81" s="1">
        <f ca="1">Lerp_dyy(BH81,BI81,C81/10)</f>
        <v>2040</v>
      </c>
      <c r="BK81" s="4">
        <f ca="1">_xlfn.FLOOR.MATH(BJ81/24/3600*控制台!$E$2785)</f>
        <v>42</v>
      </c>
      <c r="BL81" s="1">
        <f ca="1" t="shared" si="47"/>
        <v>2016</v>
      </c>
      <c r="BM81" s="1">
        <f ca="1" t="shared" si="48"/>
        <v>12096</v>
      </c>
      <c r="BN81" s="5">
        <f ca="1" t="shared" si="56"/>
        <v>152188.8</v>
      </c>
    </row>
    <row r="82" spans="1:66">
      <c r="A82" s="1">
        <f t="shared" si="32"/>
        <v>902</v>
      </c>
      <c r="B82" s="1">
        <v>9</v>
      </c>
      <c r="C82" s="1">
        <v>2</v>
      </c>
      <c r="D82" s="1">
        <f ca="1">OFFSET(控制台!$D$2798,MATCH(B82,控制台!$B$2798:$B$2809,0)-2,0)*控制台!$E$2751</f>
        <v>4200000</v>
      </c>
      <c r="E82" s="1">
        <f ca="1">OFFSET(控制台!$D$2798,MATCH(B82,控制台!$B$2798:$B$2809,0)-1,0)*控制台!$E$2751</f>
        <v>4400000</v>
      </c>
      <c r="F82" s="1">
        <f ca="1">Lerp_dyy(D82,E82,C82/10)</f>
        <v>4240000</v>
      </c>
      <c r="G82" s="4">
        <f ca="1">_xlfn.FLOOR.MATH(F82/24/3600*控制台!$E$2784)-控制台!$E$2814</f>
        <v>482</v>
      </c>
      <c r="H82" s="1">
        <f ca="1" t="shared" si="33"/>
        <v>4164480</v>
      </c>
      <c r="I82" s="1">
        <f ca="1">IF(B82=1,0,OFFSET(控制台!$B$865,MATCH(B82-1,控制台!$G$865:$G$936,0)-1,0))</f>
        <v>120</v>
      </c>
      <c r="J82" s="1">
        <f ca="1">OFFSET(控制台!$B$865,MATCH(B82,控制台!$G$865:$G$936,0)-1,0)</f>
        <v>180</v>
      </c>
      <c r="K82" s="1">
        <f ca="1" t="shared" si="34"/>
        <v>6</v>
      </c>
      <c r="L82" s="5">
        <f ca="1">Lerp_dyy(I82,J82,C82/10)</f>
        <v>132</v>
      </c>
      <c r="M82" s="1">
        <f ca="1" t="shared" si="35"/>
        <v>24986880</v>
      </c>
      <c r="N82" s="5">
        <f ca="1" t="shared" si="49"/>
        <v>445661568</v>
      </c>
      <c r="O82" s="1">
        <f ca="1">OFFSET(控制台!$F$2798,MATCH(B82,控制台!$B$2798:$B$2809,0)-2,0)*控制台!$E$2755</f>
        <v>2520</v>
      </c>
      <c r="P82" s="1">
        <f ca="1">OFFSET(控制台!$F$2798,MATCH(B82,控制台!$B$2798:$B$2809,0)-1,0)*控制台!$E$2755</f>
        <v>2640</v>
      </c>
      <c r="Q82" s="1">
        <f ca="1">Lerp_dyy(O82,P82,C82/10)</f>
        <v>2544</v>
      </c>
      <c r="R82" s="4">
        <f ca="1">_xlfn.FLOOR.MATH(Q82/24/3600*控制台!$E$2785)</f>
        <v>53</v>
      </c>
      <c r="S82" s="1">
        <f ca="1" t="shared" si="36"/>
        <v>2544</v>
      </c>
      <c r="T82" s="1">
        <f ca="1" t="shared" si="37"/>
        <v>15264</v>
      </c>
      <c r="U82" s="5">
        <f ca="1" t="shared" si="50"/>
        <v>270667.2</v>
      </c>
      <c r="V82" s="1">
        <f ca="1">OFFSET(控制台!$I$2798,MATCH(B82,控制台!$B$2798:$B$2809,0)-2,0)*控制台!$E$2791</f>
        <v>1875</v>
      </c>
      <c r="W82" s="1">
        <f ca="1">OFFSET(控制台!$I$2798,MATCH(B82,控制台!$B$2798:$B$2809,0)-1,0)*控制台!$E$2791</f>
        <v>2187.5</v>
      </c>
      <c r="X82" s="1">
        <f ca="1">Lerp_dyy(V82,W82,C82/10)</f>
        <v>1937.5</v>
      </c>
      <c r="Y82" s="4">
        <f ca="1">_xlfn.FLOOR.MATH(X82)</f>
        <v>1937</v>
      </c>
      <c r="Z82" s="1">
        <f ca="1" t="shared" si="38"/>
        <v>2.3244</v>
      </c>
      <c r="AA82" s="1">
        <f ca="1" t="shared" si="31"/>
        <v>13.9464</v>
      </c>
      <c r="AB82" s="5">
        <f ca="1" t="shared" si="57"/>
        <v>207.12684</v>
      </c>
      <c r="AC82" s="5">
        <f ca="1">AB82*控制台!$E$4819</f>
        <v>165.701472</v>
      </c>
      <c r="AD82" s="5">
        <f ca="1">AB82*控制台!$E$4820</f>
        <v>3790.421172</v>
      </c>
      <c r="AE82" s="1">
        <f ca="1">OFFSET(控制台!$L$2798,MATCH(B82,控制台!$B$2798:$B$2809,0)-2,0)*控制台!$E$2763</f>
        <v>1800</v>
      </c>
      <c r="AF82" s="1">
        <f ca="1">OFFSET(控制台!$L$2798,MATCH(B82,控制台!$B$2798:$B$2809,0)-1,0)*控制台!$E$2763</f>
        <v>2100</v>
      </c>
      <c r="AG82" s="1">
        <f ca="1">Lerp_dyy(AE82,AF82,C82/10)</f>
        <v>1860</v>
      </c>
      <c r="AH82" s="1">
        <f ca="1" t="shared" si="39"/>
        <v>11160</v>
      </c>
      <c r="AI82" s="5">
        <f ca="1" t="shared" si="51"/>
        <v>163185</v>
      </c>
      <c r="AJ82" s="1">
        <f ca="1">OFFSET(控制台!$P$2798,MATCH(B82,控制台!$B$2798:$B$2809,0)-2,0)</f>
        <v>6000</v>
      </c>
      <c r="AK82" s="1">
        <f ca="1">OFFSET(控制台!$P$2798,MATCH(B82,控制台!$B$2798:$B$2809,0)-1,0)</f>
        <v>7000</v>
      </c>
      <c r="AL82" s="1">
        <f ca="1">Lerp_dyy(AJ82,AK82,C82/10)</f>
        <v>6200</v>
      </c>
      <c r="AM82" s="4">
        <f ca="1">_xlfn.FLOOR.MATH(AL82/24/3600*控制台!$E$2785)</f>
        <v>129</v>
      </c>
      <c r="AN82" s="1">
        <f ca="1" t="shared" si="40"/>
        <v>6192</v>
      </c>
      <c r="AO82" s="1">
        <f ca="1" t="shared" si="41"/>
        <v>37152</v>
      </c>
      <c r="AP82" s="5">
        <f ca="1" t="shared" si="52"/>
        <v>541790.4</v>
      </c>
      <c r="AQ82" s="1">
        <f ca="1">OFFSET(控制台!$V$2798,MATCH(B82,控制台!$B$2798:$B$2809,0)-2,0)*控制台!$E$2771</f>
        <v>2100000</v>
      </c>
      <c r="AR82" s="1">
        <f ca="1">OFFSET(控制台!$V$2798,MATCH(B82,控制台!$B$2798:$B$2809,0)-1,0)*控制台!$E$2771</f>
        <v>2200000</v>
      </c>
      <c r="AS82" s="1">
        <f ca="1">Lerp_dyy(AQ82,AR82,C82/10)</f>
        <v>2120000</v>
      </c>
      <c r="AT82" s="4">
        <f ca="1">MAX(_xlfn.FLOOR.MATH(AS82/24/3600*控制台!$E$2784)-控制台!$J$2814,0)</f>
        <v>241</v>
      </c>
      <c r="AU82" s="1">
        <f ca="1" t="shared" si="43"/>
        <v>2082240</v>
      </c>
      <c r="AV82" s="1">
        <f ca="1" t="shared" si="44"/>
        <v>12493440</v>
      </c>
      <c r="AW82" s="5">
        <f ca="1" t="shared" si="53"/>
        <v>221292000</v>
      </c>
      <c r="AX82" s="1">
        <f ca="1">OFFSET(控制台!$X$2798,MATCH(B82,控制台!$B$2798:$B$2809,0)-2,0)*控制台!$E$2775</f>
        <v>1260</v>
      </c>
      <c r="AY82" s="1">
        <f ca="1">OFFSET(控制台!$X$2798,MATCH(B82,控制台!$B$2798:$B$2809,0)-1,0)*控制台!$E$2775</f>
        <v>1320</v>
      </c>
      <c r="AZ82" s="1">
        <f ca="1">Lerp_dyy(AX82,AY82,C82/10)</f>
        <v>1272</v>
      </c>
      <c r="BA82" s="4">
        <f ca="1">_xlfn.FLOOR.MATH(AZ82/24/3600*控制台!$E$2785)</f>
        <v>26</v>
      </c>
      <c r="BB82" s="1">
        <f ca="1" t="shared" si="45"/>
        <v>1248</v>
      </c>
      <c r="BC82" s="1">
        <f ca="1" t="shared" si="46"/>
        <v>7488</v>
      </c>
      <c r="BD82" s="5">
        <f ca="1" t="shared" si="54"/>
        <v>133099.2</v>
      </c>
      <c r="BE82" s="1">
        <f ca="1">OFFSET(控制台!$AA$2798,MATCH(B82,控制台!$B$2798:$B$2809,0)-1,0)</f>
        <v>37.5533333333334</v>
      </c>
      <c r="BF82" s="1">
        <f ca="1" t="shared" si="42"/>
        <v>4957.04000000001</v>
      </c>
      <c r="BG82" s="5">
        <f ca="1" t="shared" si="55"/>
        <v>80667.0933333335</v>
      </c>
      <c r="BH82" s="1">
        <f ca="1">OFFSET(控制台!$AD$2798,MATCH(B82,控制台!$B$2798:$B$2809,0)-2,0)</f>
        <v>2000</v>
      </c>
      <c r="BI82" s="1">
        <f ca="1">OFFSET(控制台!$AD$2798,MATCH(B82,控制台!$B$2798:$B$2809,0)-1,0)</f>
        <v>2400</v>
      </c>
      <c r="BJ82" s="1">
        <f ca="1">Lerp_dyy(BH82,BI82,C82/10)</f>
        <v>2080</v>
      </c>
      <c r="BK82" s="4">
        <f ca="1">_xlfn.FLOOR.MATH(BJ82/24/3600*控制台!$E$2785)</f>
        <v>43</v>
      </c>
      <c r="BL82" s="1">
        <f ca="1" t="shared" si="47"/>
        <v>2064</v>
      </c>
      <c r="BM82" s="1">
        <f ca="1" t="shared" si="48"/>
        <v>12384</v>
      </c>
      <c r="BN82" s="5">
        <f ca="1" t="shared" si="56"/>
        <v>164572.8</v>
      </c>
    </row>
    <row r="83" spans="1:66">
      <c r="A83" s="1">
        <f t="shared" si="32"/>
        <v>903</v>
      </c>
      <c r="B83" s="1">
        <v>9</v>
      </c>
      <c r="C83" s="1">
        <v>3</v>
      </c>
      <c r="D83" s="1">
        <f ca="1">OFFSET(控制台!$D$2798,MATCH(B83,控制台!$B$2798:$B$2809,0)-2,0)*控制台!$E$2751</f>
        <v>4200000</v>
      </c>
      <c r="E83" s="1">
        <f ca="1">OFFSET(控制台!$D$2798,MATCH(B83,控制台!$B$2798:$B$2809,0)-1,0)*控制台!$E$2751</f>
        <v>4400000</v>
      </c>
      <c r="F83" s="1">
        <f ca="1">Lerp_dyy(D83,E83,C83/10)</f>
        <v>4260000</v>
      </c>
      <c r="G83" s="4">
        <f ca="1">_xlfn.FLOOR.MATH(F83/24/3600*控制台!$E$2784)-控制台!$E$2814</f>
        <v>485</v>
      </c>
      <c r="H83" s="1">
        <f ca="1" t="shared" si="33"/>
        <v>4190400</v>
      </c>
      <c r="I83" s="1">
        <f ca="1">IF(B83=1,0,OFFSET(控制台!$B$865,MATCH(B83-1,控制台!$G$865:$G$936,0)-1,0))</f>
        <v>120</v>
      </c>
      <c r="J83" s="1">
        <f ca="1">OFFSET(控制台!$B$865,MATCH(B83,控制台!$G$865:$G$936,0)-1,0)</f>
        <v>180</v>
      </c>
      <c r="K83" s="1">
        <f ca="1" t="shared" si="34"/>
        <v>6</v>
      </c>
      <c r="L83" s="5">
        <f ca="1">Lerp_dyy(I83,J83,C83/10)</f>
        <v>138</v>
      </c>
      <c r="M83" s="1">
        <f ca="1" t="shared" si="35"/>
        <v>25142400</v>
      </c>
      <c r="N83" s="5">
        <f ca="1" t="shared" si="49"/>
        <v>470803968</v>
      </c>
      <c r="O83" s="1">
        <f ca="1">OFFSET(控制台!$F$2798,MATCH(B83,控制台!$B$2798:$B$2809,0)-2,0)*控制台!$E$2755</f>
        <v>2520</v>
      </c>
      <c r="P83" s="1">
        <f ca="1">OFFSET(控制台!$F$2798,MATCH(B83,控制台!$B$2798:$B$2809,0)-1,0)*控制台!$E$2755</f>
        <v>2640</v>
      </c>
      <c r="Q83" s="1">
        <f ca="1">Lerp_dyy(O83,P83,C83/10)</f>
        <v>2556</v>
      </c>
      <c r="R83" s="4">
        <f ca="1">_xlfn.FLOOR.MATH(Q83/24/3600*控制台!$E$2785)</f>
        <v>53</v>
      </c>
      <c r="S83" s="1">
        <f ca="1" t="shared" si="36"/>
        <v>2544</v>
      </c>
      <c r="T83" s="1">
        <f ca="1" t="shared" si="37"/>
        <v>15264</v>
      </c>
      <c r="U83" s="5">
        <f ca="1" t="shared" si="50"/>
        <v>285931.2</v>
      </c>
      <c r="V83" s="1">
        <f ca="1">OFFSET(控制台!$I$2798,MATCH(B83,控制台!$B$2798:$B$2809,0)-2,0)*控制台!$E$2791</f>
        <v>1875</v>
      </c>
      <c r="W83" s="1">
        <f ca="1">OFFSET(控制台!$I$2798,MATCH(B83,控制台!$B$2798:$B$2809,0)-1,0)*控制台!$E$2791</f>
        <v>2187.5</v>
      </c>
      <c r="X83" s="1">
        <f ca="1">Lerp_dyy(V83,W83,C83/10)</f>
        <v>1968.75</v>
      </c>
      <c r="Y83" s="4">
        <f ca="1">_xlfn.FLOOR.MATH(X83)</f>
        <v>1968</v>
      </c>
      <c r="Z83" s="1">
        <f ca="1" t="shared" si="38"/>
        <v>2.3616</v>
      </c>
      <c r="AA83" s="1">
        <f ca="1" t="shared" si="31"/>
        <v>14.1696</v>
      </c>
      <c r="AB83" s="5">
        <f ca="1" t="shared" si="57"/>
        <v>221.29644</v>
      </c>
      <c r="AC83" s="5">
        <f ca="1">AB83*控制台!$E$4819</f>
        <v>177.037152</v>
      </c>
      <c r="AD83" s="5">
        <f ca="1">AB83*控制台!$E$4820</f>
        <v>4049.724852</v>
      </c>
      <c r="AE83" s="1">
        <f ca="1">OFFSET(控制台!$L$2798,MATCH(B83,控制台!$B$2798:$B$2809,0)-2,0)*控制台!$E$2763</f>
        <v>1800</v>
      </c>
      <c r="AF83" s="1">
        <f ca="1">OFFSET(控制台!$L$2798,MATCH(B83,控制台!$B$2798:$B$2809,0)-1,0)*控制台!$E$2763</f>
        <v>2100</v>
      </c>
      <c r="AG83" s="1">
        <f ca="1">Lerp_dyy(AE83,AF83,C83/10)</f>
        <v>1890</v>
      </c>
      <c r="AH83" s="1">
        <f ca="1" t="shared" si="39"/>
        <v>11340</v>
      </c>
      <c r="AI83" s="5">
        <f ca="1" t="shared" si="51"/>
        <v>174525</v>
      </c>
      <c r="AJ83" s="1">
        <f ca="1">OFFSET(控制台!$P$2798,MATCH(B83,控制台!$B$2798:$B$2809,0)-2,0)</f>
        <v>6000</v>
      </c>
      <c r="AK83" s="1">
        <f ca="1">OFFSET(控制台!$P$2798,MATCH(B83,控制台!$B$2798:$B$2809,0)-1,0)</f>
        <v>7000</v>
      </c>
      <c r="AL83" s="1">
        <f ca="1">Lerp_dyy(AJ83,AK83,C83/10)</f>
        <v>6300</v>
      </c>
      <c r="AM83" s="4">
        <f ca="1">_xlfn.FLOOR.MATH(AL83/24/3600*控制台!$E$2785)</f>
        <v>131</v>
      </c>
      <c r="AN83" s="1">
        <f ca="1" t="shared" si="40"/>
        <v>6288</v>
      </c>
      <c r="AO83" s="1">
        <f ca="1" t="shared" si="41"/>
        <v>37728</v>
      </c>
      <c r="AP83" s="5">
        <f ca="1" t="shared" si="52"/>
        <v>579518.4</v>
      </c>
      <c r="AQ83" s="1">
        <f ca="1">OFFSET(控制台!$V$2798,MATCH(B83,控制台!$B$2798:$B$2809,0)-2,0)*控制台!$E$2771</f>
        <v>2100000</v>
      </c>
      <c r="AR83" s="1">
        <f ca="1">OFFSET(控制台!$V$2798,MATCH(B83,控制台!$B$2798:$B$2809,0)-1,0)*控制台!$E$2771</f>
        <v>2200000</v>
      </c>
      <c r="AS83" s="1">
        <f ca="1">Lerp_dyy(AQ83,AR83,C83/10)</f>
        <v>2130000</v>
      </c>
      <c r="AT83" s="4">
        <f ca="1">MAX(_xlfn.FLOOR.MATH(AS83/24/3600*控制台!$E$2784)-控制台!$J$2814,0)</f>
        <v>242</v>
      </c>
      <c r="AU83" s="1">
        <f ca="1" t="shared" si="43"/>
        <v>2090880</v>
      </c>
      <c r="AV83" s="1">
        <f ca="1" t="shared" si="44"/>
        <v>12545280</v>
      </c>
      <c r="AW83" s="5">
        <f ca="1" t="shared" si="53"/>
        <v>233837280</v>
      </c>
      <c r="AX83" s="1">
        <f ca="1">OFFSET(控制台!$X$2798,MATCH(B83,控制台!$B$2798:$B$2809,0)-2,0)*控制台!$E$2775</f>
        <v>1260</v>
      </c>
      <c r="AY83" s="1">
        <f ca="1">OFFSET(控制台!$X$2798,MATCH(B83,控制台!$B$2798:$B$2809,0)-1,0)*控制台!$E$2775</f>
        <v>1320</v>
      </c>
      <c r="AZ83" s="1">
        <f ca="1">Lerp_dyy(AX83,AY83,C83/10)</f>
        <v>1278</v>
      </c>
      <c r="BA83" s="4">
        <f ca="1">_xlfn.FLOOR.MATH(AZ83/24/3600*控制台!$E$2785)</f>
        <v>26</v>
      </c>
      <c r="BB83" s="1">
        <f ca="1" t="shared" si="45"/>
        <v>1248</v>
      </c>
      <c r="BC83" s="1">
        <f ca="1" t="shared" si="46"/>
        <v>7488</v>
      </c>
      <c r="BD83" s="5">
        <f ca="1" t="shared" si="54"/>
        <v>140587.2</v>
      </c>
      <c r="BE83" s="1">
        <f ca="1">OFFSET(控制台!$AA$2798,MATCH(B83,控制台!$B$2798:$B$2809,0)-1,0)</f>
        <v>37.5533333333334</v>
      </c>
      <c r="BF83" s="1">
        <f ca="1" t="shared" si="42"/>
        <v>5182.36000000002</v>
      </c>
      <c r="BG83" s="5">
        <f ca="1" t="shared" si="55"/>
        <v>85849.4533333335</v>
      </c>
      <c r="BH83" s="1">
        <f ca="1">OFFSET(控制台!$AD$2798,MATCH(B83,控制台!$B$2798:$B$2809,0)-2,0)</f>
        <v>2000</v>
      </c>
      <c r="BI83" s="1">
        <f ca="1">OFFSET(控制台!$AD$2798,MATCH(B83,控制台!$B$2798:$B$2809,0)-1,0)</f>
        <v>2400</v>
      </c>
      <c r="BJ83" s="1">
        <f ca="1">Lerp_dyy(BH83,BI83,C83/10)</f>
        <v>2120</v>
      </c>
      <c r="BK83" s="4">
        <f ca="1">_xlfn.FLOOR.MATH(BJ83/24/3600*控制台!$E$2785)</f>
        <v>44</v>
      </c>
      <c r="BL83" s="1">
        <f ca="1" t="shared" si="47"/>
        <v>2112</v>
      </c>
      <c r="BM83" s="1">
        <f ca="1" t="shared" si="48"/>
        <v>12672</v>
      </c>
      <c r="BN83" s="5">
        <f ca="1" t="shared" si="56"/>
        <v>177244.8</v>
      </c>
    </row>
    <row r="84" spans="1:66">
      <c r="A84" s="1">
        <f t="shared" si="32"/>
        <v>904</v>
      </c>
      <c r="B84" s="1">
        <v>9</v>
      </c>
      <c r="C84" s="1">
        <v>4</v>
      </c>
      <c r="D84" s="1">
        <f ca="1">OFFSET(控制台!$D$2798,MATCH(B84,控制台!$B$2798:$B$2809,0)-2,0)*控制台!$E$2751</f>
        <v>4200000</v>
      </c>
      <c r="E84" s="1">
        <f ca="1">OFFSET(控制台!$D$2798,MATCH(B84,控制台!$B$2798:$B$2809,0)-1,0)*控制台!$E$2751</f>
        <v>4400000</v>
      </c>
      <c r="F84" s="1">
        <f ca="1">Lerp_dyy(D84,E84,C84/10)</f>
        <v>4280000</v>
      </c>
      <c r="G84" s="4">
        <f ca="1">_xlfn.FLOOR.MATH(F84/24/3600*控制台!$E$2784)-控制台!$E$2814</f>
        <v>487</v>
      </c>
      <c r="H84" s="1">
        <f ca="1" t="shared" si="33"/>
        <v>4207680</v>
      </c>
      <c r="I84" s="1">
        <f ca="1">IF(B84=1,0,OFFSET(控制台!$B$865,MATCH(B84-1,控制台!$G$865:$G$936,0)-1,0))</f>
        <v>120</v>
      </c>
      <c r="J84" s="1">
        <f ca="1">OFFSET(控制台!$B$865,MATCH(B84,控制台!$G$865:$G$936,0)-1,0)</f>
        <v>180</v>
      </c>
      <c r="K84" s="1">
        <f ca="1" t="shared" si="34"/>
        <v>6</v>
      </c>
      <c r="L84" s="5">
        <f ca="1">Lerp_dyy(I84,J84,C84/10)</f>
        <v>144</v>
      </c>
      <c r="M84" s="1">
        <f ca="1" t="shared" si="35"/>
        <v>25246080</v>
      </c>
      <c r="N84" s="5">
        <f ca="1" t="shared" si="49"/>
        <v>496050048</v>
      </c>
      <c r="O84" s="1">
        <f ca="1">OFFSET(控制台!$F$2798,MATCH(B84,控制台!$B$2798:$B$2809,0)-2,0)*控制台!$E$2755</f>
        <v>2520</v>
      </c>
      <c r="P84" s="1">
        <f ca="1">OFFSET(控制台!$F$2798,MATCH(B84,控制台!$B$2798:$B$2809,0)-1,0)*控制台!$E$2755</f>
        <v>2640</v>
      </c>
      <c r="Q84" s="1">
        <f ca="1">Lerp_dyy(O84,P84,C84/10)</f>
        <v>2568</v>
      </c>
      <c r="R84" s="4">
        <f ca="1">_xlfn.FLOOR.MATH(Q84/24/3600*控制台!$E$2785)</f>
        <v>53</v>
      </c>
      <c r="S84" s="1">
        <f ca="1" t="shared" si="36"/>
        <v>2544</v>
      </c>
      <c r="T84" s="1">
        <f ca="1" t="shared" si="37"/>
        <v>15264</v>
      </c>
      <c r="U84" s="5">
        <f ca="1" t="shared" si="50"/>
        <v>301195.2</v>
      </c>
      <c r="V84" s="1">
        <f ca="1">OFFSET(控制台!$I$2798,MATCH(B84,控制台!$B$2798:$B$2809,0)-2,0)*控制台!$E$2791</f>
        <v>1875</v>
      </c>
      <c r="W84" s="1">
        <f ca="1">OFFSET(控制台!$I$2798,MATCH(B84,控制台!$B$2798:$B$2809,0)-1,0)*控制台!$E$2791</f>
        <v>2187.5</v>
      </c>
      <c r="X84" s="1">
        <f ca="1">Lerp_dyy(V84,W84,C84/10)</f>
        <v>2000</v>
      </c>
      <c r="Y84" s="4">
        <f ca="1">_xlfn.FLOOR.MATH(X84)</f>
        <v>2000</v>
      </c>
      <c r="Z84" s="1">
        <f ca="1" t="shared" si="38"/>
        <v>2.4</v>
      </c>
      <c r="AA84" s="1">
        <f ca="1" t="shared" si="31"/>
        <v>14.4</v>
      </c>
      <c r="AB84" s="5">
        <f ca="1" t="shared" si="57"/>
        <v>235.69644</v>
      </c>
      <c r="AC84" s="5">
        <f ca="1">AB84*控制台!$E$4819</f>
        <v>188.557152</v>
      </c>
      <c r="AD84" s="5">
        <f ca="1">AB84*控制台!$E$4820</f>
        <v>4313.244852</v>
      </c>
      <c r="AE84" s="1">
        <f ca="1">OFFSET(控制台!$L$2798,MATCH(B84,控制台!$B$2798:$B$2809,0)-2,0)*控制台!$E$2763</f>
        <v>1800</v>
      </c>
      <c r="AF84" s="1">
        <f ca="1">OFFSET(控制台!$L$2798,MATCH(B84,控制台!$B$2798:$B$2809,0)-1,0)*控制台!$E$2763</f>
        <v>2100</v>
      </c>
      <c r="AG84" s="1">
        <f ca="1">Lerp_dyy(AE84,AF84,C84/10)</f>
        <v>1920</v>
      </c>
      <c r="AH84" s="1">
        <f ca="1" t="shared" si="39"/>
        <v>11520</v>
      </c>
      <c r="AI84" s="5">
        <f ca="1" t="shared" si="51"/>
        <v>186045</v>
      </c>
      <c r="AJ84" s="1">
        <f ca="1">OFFSET(控制台!$P$2798,MATCH(B84,控制台!$B$2798:$B$2809,0)-2,0)</f>
        <v>6000</v>
      </c>
      <c r="AK84" s="1">
        <f ca="1">OFFSET(控制台!$P$2798,MATCH(B84,控制台!$B$2798:$B$2809,0)-1,0)</f>
        <v>7000</v>
      </c>
      <c r="AL84" s="1">
        <f ca="1">Lerp_dyy(AJ84,AK84,C84/10)</f>
        <v>6400</v>
      </c>
      <c r="AM84" s="4">
        <f ca="1">_xlfn.FLOOR.MATH(AL84/24/3600*控制台!$E$2785)</f>
        <v>133</v>
      </c>
      <c r="AN84" s="1">
        <f ca="1" t="shared" si="40"/>
        <v>6384</v>
      </c>
      <c r="AO84" s="1">
        <f ca="1" t="shared" si="41"/>
        <v>38304</v>
      </c>
      <c r="AP84" s="5">
        <f ca="1" t="shared" si="52"/>
        <v>617822.4</v>
      </c>
      <c r="AQ84" s="1">
        <f ca="1">OFFSET(控制台!$V$2798,MATCH(B84,控制台!$B$2798:$B$2809,0)-2,0)*控制台!$E$2771</f>
        <v>2100000</v>
      </c>
      <c r="AR84" s="1">
        <f ca="1">OFFSET(控制台!$V$2798,MATCH(B84,控制台!$B$2798:$B$2809,0)-1,0)*控制台!$E$2771</f>
        <v>2200000</v>
      </c>
      <c r="AS84" s="1">
        <f ca="1">Lerp_dyy(AQ84,AR84,C84/10)</f>
        <v>2140000</v>
      </c>
      <c r="AT84" s="4">
        <f ca="1">MAX(_xlfn.FLOOR.MATH(AS84/24/3600*控制台!$E$2784)-控制台!$J$2814,0)</f>
        <v>243</v>
      </c>
      <c r="AU84" s="1">
        <f ca="1" t="shared" si="43"/>
        <v>2099520</v>
      </c>
      <c r="AV84" s="1">
        <f ca="1" t="shared" si="44"/>
        <v>12597120</v>
      </c>
      <c r="AW84" s="5">
        <f ca="1" t="shared" si="53"/>
        <v>246434400</v>
      </c>
      <c r="AX84" s="1">
        <f ca="1">OFFSET(控制台!$X$2798,MATCH(B84,控制台!$B$2798:$B$2809,0)-2,0)*控制台!$E$2775</f>
        <v>1260</v>
      </c>
      <c r="AY84" s="1">
        <f ca="1">OFFSET(控制台!$X$2798,MATCH(B84,控制台!$B$2798:$B$2809,0)-1,0)*控制台!$E$2775</f>
        <v>1320</v>
      </c>
      <c r="AZ84" s="1">
        <f ca="1">Lerp_dyy(AX84,AY84,C84/10)</f>
        <v>1284</v>
      </c>
      <c r="BA84" s="4">
        <f ca="1">_xlfn.FLOOR.MATH(AZ84/24/3600*控制台!$E$2785)</f>
        <v>26</v>
      </c>
      <c r="BB84" s="1">
        <f ca="1" t="shared" si="45"/>
        <v>1248</v>
      </c>
      <c r="BC84" s="1">
        <f ca="1" t="shared" si="46"/>
        <v>7488</v>
      </c>
      <c r="BD84" s="5">
        <f ca="1" t="shared" si="54"/>
        <v>148075.2</v>
      </c>
      <c r="BE84" s="1">
        <f ca="1">OFFSET(控制台!$AA$2798,MATCH(B84,控制台!$B$2798:$B$2809,0)-1,0)</f>
        <v>37.5533333333334</v>
      </c>
      <c r="BF84" s="1">
        <f ca="1" t="shared" si="42"/>
        <v>5407.68000000002</v>
      </c>
      <c r="BG84" s="5">
        <f ca="1" t="shared" si="55"/>
        <v>91257.1333333335</v>
      </c>
      <c r="BH84" s="1">
        <f ca="1">OFFSET(控制台!$AD$2798,MATCH(B84,控制台!$B$2798:$B$2809,0)-2,0)</f>
        <v>2000</v>
      </c>
      <c r="BI84" s="1">
        <f ca="1">OFFSET(控制台!$AD$2798,MATCH(B84,控制台!$B$2798:$B$2809,0)-1,0)</f>
        <v>2400</v>
      </c>
      <c r="BJ84" s="1">
        <f ca="1">Lerp_dyy(BH84,BI84,C84/10)</f>
        <v>2160</v>
      </c>
      <c r="BK84" s="4">
        <f ca="1">_xlfn.FLOOR.MATH(BJ84/24/3600*控制台!$E$2785)</f>
        <v>45</v>
      </c>
      <c r="BL84" s="1">
        <f ca="1" t="shared" si="47"/>
        <v>2160</v>
      </c>
      <c r="BM84" s="1">
        <f ca="1" t="shared" si="48"/>
        <v>12960</v>
      </c>
      <c r="BN84" s="5">
        <f ca="1" t="shared" si="56"/>
        <v>190204.8</v>
      </c>
    </row>
    <row r="85" spans="1:66">
      <c r="A85" s="1">
        <f t="shared" si="32"/>
        <v>905</v>
      </c>
      <c r="B85" s="1">
        <v>9</v>
      </c>
      <c r="C85" s="1">
        <v>5</v>
      </c>
      <c r="D85" s="1">
        <f ca="1">OFFSET(控制台!$D$2798,MATCH(B85,控制台!$B$2798:$B$2809,0)-2,0)*控制台!$E$2751</f>
        <v>4200000</v>
      </c>
      <c r="E85" s="1">
        <f ca="1">OFFSET(控制台!$D$2798,MATCH(B85,控制台!$B$2798:$B$2809,0)-1,0)*控制台!$E$2751</f>
        <v>4400000</v>
      </c>
      <c r="F85" s="1">
        <f ca="1">Lerp_dyy(D85,E85,C85/10)</f>
        <v>4300000</v>
      </c>
      <c r="G85" s="4">
        <f ca="1">_xlfn.FLOOR.MATH(F85/24/3600*控制台!$E$2784)-控制台!$E$2814</f>
        <v>489</v>
      </c>
      <c r="H85" s="1">
        <f ca="1" t="shared" si="33"/>
        <v>4224960</v>
      </c>
      <c r="I85" s="1">
        <f ca="1">IF(B85=1,0,OFFSET(控制台!$B$865,MATCH(B85-1,控制台!$G$865:$G$936,0)-1,0))</f>
        <v>120</v>
      </c>
      <c r="J85" s="1">
        <f ca="1">OFFSET(控制台!$B$865,MATCH(B85,控制台!$G$865:$G$936,0)-1,0)</f>
        <v>180</v>
      </c>
      <c r="K85" s="1">
        <f ca="1" t="shared" si="34"/>
        <v>6</v>
      </c>
      <c r="L85" s="5">
        <f ca="1">Lerp_dyy(I85,J85,C85/10)</f>
        <v>150</v>
      </c>
      <c r="M85" s="1">
        <f ca="1" t="shared" si="35"/>
        <v>25349760</v>
      </c>
      <c r="N85" s="5">
        <f ca="1" t="shared" si="49"/>
        <v>521399808</v>
      </c>
      <c r="O85" s="1">
        <f ca="1">OFFSET(控制台!$F$2798,MATCH(B85,控制台!$B$2798:$B$2809,0)-2,0)*控制台!$E$2755</f>
        <v>2520</v>
      </c>
      <c r="P85" s="1">
        <f ca="1">OFFSET(控制台!$F$2798,MATCH(B85,控制台!$B$2798:$B$2809,0)-1,0)*控制台!$E$2755</f>
        <v>2640</v>
      </c>
      <c r="Q85" s="1">
        <f ca="1">Lerp_dyy(O85,P85,C85/10)</f>
        <v>2580</v>
      </c>
      <c r="R85" s="4">
        <f ca="1">_xlfn.FLOOR.MATH(Q85/24/3600*控制台!$E$2785)</f>
        <v>53</v>
      </c>
      <c r="S85" s="1">
        <f ca="1" t="shared" si="36"/>
        <v>2544</v>
      </c>
      <c r="T85" s="1">
        <f ca="1" t="shared" si="37"/>
        <v>15264</v>
      </c>
      <c r="U85" s="5">
        <f ca="1" t="shared" si="50"/>
        <v>316459.2</v>
      </c>
      <c r="V85" s="1">
        <f ca="1">OFFSET(控制台!$I$2798,MATCH(B85,控制台!$B$2798:$B$2809,0)-2,0)*控制台!$E$2791</f>
        <v>1875</v>
      </c>
      <c r="W85" s="1">
        <f ca="1">OFFSET(控制台!$I$2798,MATCH(B85,控制台!$B$2798:$B$2809,0)-1,0)*控制台!$E$2791</f>
        <v>2187.5</v>
      </c>
      <c r="X85" s="1">
        <f ca="1">Lerp_dyy(V85,W85,C85/10)</f>
        <v>2031.25</v>
      </c>
      <c r="Y85" s="4">
        <f ca="1">_xlfn.FLOOR.MATH(X85)</f>
        <v>2031</v>
      </c>
      <c r="Z85" s="1">
        <f ca="1" t="shared" si="38"/>
        <v>2.4372</v>
      </c>
      <c r="AA85" s="1">
        <f ca="1" t="shared" si="31"/>
        <v>14.6232</v>
      </c>
      <c r="AB85" s="5">
        <f ca="1" t="shared" si="57"/>
        <v>250.31964</v>
      </c>
      <c r="AC85" s="5">
        <f ca="1">AB85*控制台!$E$4819</f>
        <v>200.255712</v>
      </c>
      <c r="AD85" s="5">
        <f ca="1">AB85*控制台!$E$4820</f>
        <v>4580.849412</v>
      </c>
      <c r="AE85" s="1">
        <f ca="1">OFFSET(控制台!$L$2798,MATCH(B85,控制台!$B$2798:$B$2809,0)-2,0)*控制台!$E$2763</f>
        <v>1800</v>
      </c>
      <c r="AF85" s="1">
        <f ca="1">OFFSET(控制台!$L$2798,MATCH(B85,控制台!$B$2798:$B$2809,0)-1,0)*控制台!$E$2763</f>
        <v>2100</v>
      </c>
      <c r="AG85" s="1">
        <f ca="1">Lerp_dyy(AE85,AF85,C85/10)</f>
        <v>1950</v>
      </c>
      <c r="AH85" s="1">
        <f ca="1" t="shared" si="39"/>
        <v>11700</v>
      </c>
      <c r="AI85" s="5">
        <f ca="1" t="shared" si="51"/>
        <v>197745</v>
      </c>
      <c r="AJ85" s="1">
        <f ca="1">OFFSET(控制台!$P$2798,MATCH(B85,控制台!$B$2798:$B$2809,0)-2,0)</f>
        <v>6000</v>
      </c>
      <c r="AK85" s="1">
        <f ca="1">OFFSET(控制台!$P$2798,MATCH(B85,控制台!$B$2798:$B$2809,0)-1,0)</f>
        <v>7000</v>
      </c>
      <c r="AL85" s="1">
        <f ca="1">Lerp_dyy(AJ85,AK85,C85/10)</f>
        <v>6500</v>
      </c>
      <c r="AM85" s="4">
        <f ca="1">_xlfn.FLOOR.MATH(AL85/24/3600*控制台!$E$2785)</f>
        <v>135</v>
      </c>
      <c r="AN85" s="1">
        <f ca="1" t="shared" si="40"/>
        <v>6480</v>
      </c>
      <c r="AO85" s="1">
        <f ca="1" t="shared" si="41"/>
        <v>38880</v>
      </c>
      <c r="AP85" s="5">
        <f ca="1" t="shared" si="52"/>
        <v>656702.4</v>
      </c>
      <c r="AQ85" s="1">
        <f ca="1">OFFSET(控制台!$V$2798,MATCH(B85,控制台!$B$2798:$B$2809,0)-2,0)*控制台!$E$2771</f>
        <v>2100000</v>
      </c>
      <c r="AR85" s="1">
        <f ca="1">OFFSET(控制台!$V$2798,MATCH(B85,控制台!$B$2798:$B$2809,0)-1,0)*控制台!$E$2771</f>
        <v>2200000</v>
      </c>
      <c r="AS85" s="1">
        <f ca="1">Lerp_dyy(AQ85,AR85,C85/10)</f>
        <v>2150000</v>
      </c>
      <c r="AT85" s="4">
        <f ca="1">MAX(_xlfn.FLOOR.MATH(AS85/24/3600*控制台!$E$2784)-控制台!$J$2814,0)</f>
        <v>244</v>
      </c>
      <c r="AU85" s="1">
        <f ca="1" t="shared" si="43"/>
        <v>2108160</v>
      </c>
      <c r="AV85" s="1">
        <f ca="1" t="shared" si="44"/>
        <v>12648960</v>
      </c>
      <c r="AW85" s="5">
        <f ca="1" t="shared" si="53"/>
        <v>259083360</v>
      </c>
      <c r="AX85" s="1">
        <f ca="1">OFFSET(控制台!$X$2798,MATCH(B85,控制台!$B$2798:$B$2809,0)-2,0)*控制台!$E$2775</f>
        <v>1260</v>
      </c>
      <c r="AY85" s="1">
        <f ca="1">OFFSET(控制台!$X$2798,MATCH(B85,控制台!$B$2798:$B$2809,0)-1,0)*控制台!$E$2775</f>
        <v>1320</v>
      </c>
      <c r="AZ85" s="1">
        <f ca="1">Lerp_dyy(AX85,AY85,C85/10)</f>
        <v>1290</v>
      </c>
      <c r="BA85" s="4">
        <f ca="1">_xlfn.FLOOR.MATH(AZ85/24/3600*控制台!$E$2785)</f>
        <v>26</v>
      </c>
      <c r="BB85" s="1">
        <f ca="1" t="shared" si="45"/>
        <v>1248</v>
      </c>
      <c r="BC85" s="1">
        <f ca="1" t="shared" si="46"/>
        <v>7488</v>
      </c>
      <c r="BD85" s="5">
        <f ca="1" t="shared" si="54"/>
        <v>155563.2</v>
      </c>
      <c r="BE85" s="1">
        <f ca="1">OFFSET(控制台!$AA$2798,MATCH(B85,控制台!$B$2798:$B$2809,0)-1,0)</f>
        <v>37.5533333333334</v>
      </c>
      <c r="BF85" s="1">
        <f ca="1" t="shared" si="42"/>
        <v>5633.00000000002</v>
      </c>
      <c r="BG85" s="5">
        <f ca="1" t="shared" si="55"/>
        <v>96890.1333333335</v>
      </c>
      <c r="BH85" s="1">
        <f ca="1">OFFSET(控制台!$AD$2798,MATCH(B85,控制台!$B$2798:$B$2809,0)-2,0)</f>
        <v>2000</v>
      </c>
      <c r="BI85" s="1">
        <f ca="1">OFFSET(控制台!$AD$2798,MATCH(B85,控制台!$B$2798:$B$2809,0)-1,0)</f>
        <v>2400</v>
      </c>
      <c r="BJ85" s="1">
        <f ca="1">Lerp_dyy(BH85,BI85,C85/10)</f>
        <v>2200</v>
      </c>
      <c r="BK85" s="4">
        <f ca="1">_xlfn.FLOOR.MATH(BJ85/24/3600*控制台!$E$2785)</f>
        <v>45</v>
      </c>
      <c r="BL85" s="1">
        <f ca="1" t="shared" si="47"/>
        <v>2160</v>
      </c>
      <c r="BM85" s="1">
        <f ca="1" t="shared" si="48"/>
        <v>12960</v>
      </c>
      <c r="BN85" s="5">
        <f ca="1" t="shared" si="56"/>
        <v>203164.8</v>
      </c>
    </row>
    <row r="86" spans="1:66">
      <c r="A86" s="1">
        <f t="shared" si="32"/>
        <v>906</v>
      </c>
      <c r="B86" s="1">
        <v>9</v>
      </c>
      <c r="C86" s="1">
        <v>6</v>
      </c>
      <c r="D86" s="1">
        <f ca="1">OFFSET(控制台!$D$2798,MATCH(B86,控制台!$B$2798:$B$2809,0)-2,0)*控制台!$E$2751</f>
        <v>4200000</v>
      </c>
      <c r="E86" s="1">
        <f ca="1">OFFSET(控制台!$D$2798,MATCH(B86,控制台!$B$2798:$B$2809,0)-1,0)*控制台!$E$2751</f>
        <v>4400000</v>
      </c>
      <c r="F86" s="1">
        <f ca="1">Lerp_dyy(D86,E86,C86/10)</f>
        <v>4320000</v>
      </c>
      <c r="G86" s="4">
        <f ca="1">_xlfn.FLOOR.MATH(F86/24/3600*控制台!$E$2784)-控制台!$E$2814</f>
        <v>492</v>
      </c>
      <c r="H86" s="1">
        <f ca="1" t="shared" si="33"/>
        <v>4250880</v>
      </c>
      <c r="I86" s="1">
        <f ca="1">IF(B86=1,0,OFFSET(控制台!$B$865,MATCH(B86-1,控制台!$G$865:$G$936,0)-1,0))</f>
        <v>120</v>
      </c>
      <c r="J86" s="1">
        <f ca="1">OFFSET(控制台!$B$865,MATCH(B86,控制台!$G$865:$G$936,0)-1,0)</f>
        <v>180</v>
      </c>
      <c r="K86" s="1">
        <f ca="1" t="shared" si="34"/>
        <v>6</v>
      </c>
      <c r="L86" s="5">
        <f ca="1">Lerp_dyy(I86,J86,C86/10)</f>
        <v>156</v>
      </c>
      <c r="M86" s="1">
        <f ca="1" t="shared" si="35"/>
        <v>25505280</v>
      </c>
      <c r="N86" s="5">
        <f ca="1" t="shared" si="49"/>
        <v>546905088</v>
      </c>
      <c r="O86" s="1">
        <f ca="1">OFFSET(控制台!$F$2798,MATCH(B86,控制台!$B$2798:$B$2809,0)-2,0)*控制台!$E$2755</f>
        <v>2520</v>
      </c>
      <c r="P86" s="1">
        <f ca="1">OFFSET(控制台!$F$2798,MATCH(B86,控制台!$B$2798:$B$2809,0)-1,0)*控制台!$E$2755</f>
        <v>2640</v>
      </c>
      <c r="Q86" s="1">
        <f ca="1">Lerp_dyy(O86,P86,C86/10)</f>
        <v>2592</v>
      </c>
      <c r="R86" s="4">
        <f ca="1">_xlfn.FLOOR.MATH(Q86/24/3600*控制台!$E$2785)</f>
        <v>54</v>
      </c>
      <c r="S86" s="1">
        <f ca="1" t="shared" si="36"/>
        <v>2592</v>
      </c>
      <c r="T86" s="1">
        <f ca="1" t="shared" si="37"/>
        <v>15552</v>
      </c>
      <c r="U86" s="5">
        <f ca="1" t="shared" si="50"/>
        <v>332011.2</v>
      </c>
      <c r="V86" s="1">
        <f ca="1">OFFSET(控制台!$I$2798,MATCH(B86,控制台!$B$2798:$B$2809,0)-2,0)*控制台!$E$2791</f>
        <v>1875</v>
      </c>
      <c r="W86" s="1">
        <f ca="1">OFFSET(控制台!$I$2798,MATCH(B86,控制台!$B$2798:$B$2809,0)-1,0)*控制台!$E$2791</f>
        <v>2187.5</v>
      </c>
      <c r="X86" s="1">
        <f ca="1">Lerp_dyy(V86,W86,C86/10)</f>
        <v>2062.5</v>
      </c>
      <c r="Y86" s="4">
        <f ca="1">_xlfn.FLOOR.MATH(X86)</f>
        <v>2062</v>
      </c>
      <c r="Z86" s="1">
        <f ca="1" t="shared" si="38"/>
        <v>2.4744</v>
      </c>
      <c r="AA86" s="1">
        <f ca="1" t="shared" si="31"/>
        <v>14.8464</v>
      </c>
      <c r="AB86" s="5">
        <f ca="1" t="shared" si="57"/>
        <v>265.16604</v>
      </c>
      <c r="AC86" s="5">
        <f ca="1">AB86*控制台!$E$4819</f>
        <v>212.132832</v>
      </c>
      <c r="AD86" s="5">
        <f ca="1">AB86*控制台!$E$4820</f>
        <v>4852.538532</v>
      </c>
      <c r="AE86" s="1">
        <f ca="1">OFFSET(控制台!$L$2798,MATCH(B86,控制台!$B$2798:$B$2809,0)-2,0)*控制台!$E$2763</f>
        <v>1800</v>
      </c>
      <c r="AF86" s="1">
        <f ca="1">OFFSET(控制台!$L$2798,MATCH(B86,控制台!$B$2798:$B$2809,0)-1,0)*控制台!$E$2763</f>
        <v>2100</v>
      </c>
      <c r="AG86" s="1">
        <f ca="1">Lerp_dyy(AE86,AF86,C86/10)</f>
        <v>1980</v>
      </c>
      <c r="AH86" s="1">
        <f ca="1" t="shared" si="39"/>
        <v>11880</v>
      </c>
      <c r="AI86" s="5">
        <f ca="1" t="shared" si="51"/>
        <v>209625</v>
      </c>
      <c r="AJ86" s="1">
        <f ca="1">OFFSET(控制台!$P$2798,MATCH(B86,控制台!$B$2798:$B$2809,0)-2,0)</f>
        <v>6000</v>
      </c>
      <c r="AK86" s="1">
        <f ca="1">OFFSET(控制台!$P$2798,MATCH(B86,控制台!$B$2798:$B$2809,0)-1,0)</f>
        <v>7000</v>
      </c>
      <c r="AL86" s="1">
        <f ca="1">Lerp_dyy(AJ86,AK86,C86/10)</f>
        <v>6600</v>
      </c>
      <c r="AM86" s="4">
        <f ca="1">_xlfn.FLOOR.MATH(AL86/24/3600*控制台!$E$2785)</f>
        <v>137</v>
      </c>
      <c r="AN86" s="1">
        <f ca="1" t="shared" si="40"/>
        <v>6576</v>
      </c>
      <c r="AO86" s="1">
        <f ca="1" t="shared" si="41"/>
        <v>39456</v>
      </c>
      <c r="AP86" s="5">
        <f ca="1" t="shared" si="52"/>
        <v>696158.4</v>
      </c>
      <c r="AQ86" s="1">
        <f ca="1">OFFSET(控制台!$V$2798,MATCH(B86,控制台!$B$2798:$B$2809,0)-2,0)*控制台!$E$2771</f>
        <v>2100000</v>
      </c>
      <c r="AR86" s="1">
        <f ca="1">OFFSET(控制台!$V$2798,MATCH(B86,控制台!$B$2798:$B$2809,0)-1,0)*控制台!$E$2771</f>
        <v>2200000</v>
      </c>
      <c r="AS86" s="1">
        <f ca="1">Lerp_dyy(AQ86,AR86,C86/10)</f>
        <v>2160000</v>
      </c>
      <c r="AT86" s="4">
        <f ca="1">MAX(_xlfn.FLOOR.MATH(AS86/24/3600*控制台!$E$2784)-控制台!$J$2814,0)</f>
        <v>246</v>
      </c>
      <c r="AU86" s="1">
        <f ca="1" t="shared" si="43"/>
        <v>2125440</v>
      </c>
      <c r="AV86" s="1">
        <f ca="1" t="shared" si="44"/>
        <v>12752640</v>
      </c>
      <c r="AW86" s="5">
        <f ca="1" t="shared" si="53"/>
        <v>271836000</v>
      </c>
      <c r="AX86" s="1">
        <f ca="1">OFFSET(控制台!$X$2798,MATCH(B86,控制台!$B$2798:$B$2809,0)-2,0)*控制台!$E$2775</f>
        <v>1260</v>
      </c>
      <c r="AY86" s="1">
        <f ca="1">OFFSET(控制台!$X$2798,MATCH(B86,控制台!$B$2798:$B$2809,0)-1,0)*控制台!$E$2775</f>
        <v>1320</v>
      </c>
      <c r="AZ86" s="1">
        <f ca="1">Lerp_dyy(AX86,AY86,C86/10)</f>
        <v>1296</v>
      </c>
      <c r="BA86" s="4">
        <f ca="1">_xlfn.FLOOR.MATH(AZ86/24/3600*控制台!$E$2785)</f>
        <v>27</v>
      </c>
      <c r="BB86" s="1">
        <f ca="1" t="shared" si="45"/>
        <v>1296</v>
      </c>
      <c r="BC86" s="1">
        <f ca="1" t="shared" si="46"/>
        <v>7776</v>
      </c>
      <c r="BD86" s="5">
        <f ca="1" t="shared" si="54"/>
        <v>163339.2</v>
      </c>
      <c r="BE86" s="1">
        <f ca="1">OFFSET(控制台!$AA$2798,MATCH(B86,控制台!$B$2798:$B$2809,0)-1,0)</f>
        <v>37.5533333333334</v>
      </c>
      <c r="BF86" s="1">
        <f ca="1" t="shared" si="42"/>
        <v>5858.32000000002</v>
      </c>
      <c r="BG86" s="5">
        <f ca="1" t="shared" si="55"/>
        <v>102748.453333334</v>
      </c>
      <c r="BH86" s="1">
        <f ca="1">OFFSET(控制台!$AD$2798,MATCH(B86,控制台!$B$2798:$B$2809,0)-2,0)</f>
        <v>2000</v>
      </c>
      <c r="BI86" s="1">
        <f ca="1">OFFSET(控制台!$AD$2798,MATCH(B86,控制台!$B$2798:$B$2809,0)-1,0)</f>
        <v>2400</v>
      </c>
      <c r="BJ86" s="1">
        <f ca="1">Lerp_dyy(BH86,BI86,C86/10)</f>
        <v>2240</v>
      </c>
      <c r="BK86" s="4">
        <f ca="1">_xlfn.FLOOR.MATH(BJ86/24/3600*控制台!$E$2785)</f>
        <v>46</v>
      </c>
      <c r="BL86" s="1">
        <f ca="1" t="shared" si="47"/>
        <v>2208</v>
      </c>
      <c r="BM86" s="1">
        <f ca="1" t="shared" si="48"/>
        <v>13248</v>
      </c>
      <c r="BN86" s="5">
        <f ca="1" t="shared" si="56"/>
        <v>216412.8</v>
      </c>
    </row>
    <row r="87" spans="1:66">
      <c r="A87" s="1">
        <f t="shared" si="32"/>
        <v>907</v>
      </c>
      <c r="B87" s="1">
        <v>9</v>
      </c>
      <c r="C87" s="1">
        <v>7</v>
      </c>
      <c r="D87" s="1">
        <f ca="1">OFFSET(控制台!$D$2798,MATCH(B87,控制台!$B$2798:$B$2809,0)-2,0)*控制台!$E$2751</f>
        <v>4200000</v>
      </c>
      <c r="E87" s="1">
        <f ca="1">OFFSET(控制台!$D$2798,MATCH(B87,控制台!$B$2798:$B$2809,0)-1,0)*控制台!$E$2751</f>
        <v>4400000</v>
      </c>
      <c r="F87" s="1">
        <f ca="1">Lerp_dyy(D87,E87,C87/10)</f>
        <v>4340000</v>
      </c>
      <c r="G87" s="4">
        <f ca="1">_xlfn.FLOOR.MATH(F87/24/3600*控制台!$E$2784)-控制台!$E$2814</f>
        <v>494</v>
      </c>
      <c r="H87" s="1">
        <f ca="1" t="shared" si="33"/>
        <v>4268160</v>
      </c>
      <c r="I87" s="1">
        <f ca="1">IF(B87=1,0,OFFSET(控制台!$B$865,MATCH(B87-1,控制台!$G$865:$G$936,0)-1,0))</f>
        <v>120</v>
      </c>
      <c r="J87" s="1">
        <f ca="1">OFFSET(控制台!$B$865,MATCH(B87,控制台!$G$865:$G$936,0)-1,0)</f>
        <v>180</v>
      </c>
      <c r="K87" s="1">
        <f ca="1" t="shared" si="34"/>
        <v>6</v>
      </c>
      <c r="L87" s="5">
        <f ca="1">Lerp_dyy(I87,J87,C87/10)</f>
        <v>162</v>
      </c>
      <c r="M87" s="1">
        <f ca="1" t="shared" si="35"/>
        <v>25608960</v>
      </c>
      <c r="N87" s="5">
        <f ca="1" t="shared" si="49"/>
        <v>572514048</v>
      </c>
      <c r="O87" s="1">
        <f ca="1">OFFSET(控制台!$F$2798,MATCH(B87,控制台!$B$2798:$B$2809,0)-2,0)*控制台!$E$2755</f>
        <v>2520</v>
      </c>
      <c r="P87" s="1">
        <f ca="1">OFFSET(控制台!$F$2798,MATCH(B87,控制台!$B$2798:$B$2809,0)-1,0)*控制台!$E$2755</f>
        <v>2640</v>
      </c>
      <c r="Q87" s="1">
        <f ca="1">Lerp_dyy(O87,P87,C87/10)</f>
        <v>2604</v>
      </c>
      <c r="R87" s="4">
        <f ca="1">_xlfn.FLOOR.MATH(Q87/24/3600*控制台!$E$2785)</f>
        <v>54</v>
      </c>
      <c r="S87" s="1">
        <f ca="1" t="shared" si="36"/>
        <v>2592</v>
      </c>
      <c r="T87" s="1">
        <f ca="1" t="shared" si="37"/>
        <v>15552</v>
      </c>
      <c r="U87" s="5">
        <f ca="1" t="shared" si="50"/>
        <v>347563.2</v>
      </c>
      <c r="V87" s="1">
        <f ca="1">OFFSET(控制台!$I$2798,MATCH(B87,控制台!$B$2798:$B$2809,0)-2,0)*控制台!$E$2791</f>
        <v>1875</v>
      </c>
      <c r="W87" s="1">
        <f ca="1">OFFSET(控制台!$I$2798,MATCH(B87,控制台!$B$2798:$B$2809,0)-1,0)*控制台!$E$2791</f>
        <v>2187.5</v>
      </c>
      <c r="X87" s="1">
        <f ca="1">Lerp_dyy(V87,W87,C87/10)</f>
        <v>2093.75</v>
      </c>
      <c r="Y87" s="4">
        <f ca="1">_xlfn.FLOOR.MATH(X87)</f>
        <v>2093</v>
      </c>
      <c r="Z87" s="1">
        <f ca="1" t="shared" si="38"/>
        <v>2.5116</v>
      </c>
      <c r="AA87" s="1">
        <f ca="1" t="shared" si="31"/>
        <v>15.0696</v>
      </c>
      <c r="AB87" s="5">
        <f ca="1" t="shared" si="57"/>
        <v>280.23564</v>
      </c>
      <c r="AC87" s="5">
        <f ca="1">AB87*控制台!$E$4819</f>
        <v>224.188512</v>
      </c>
      <c r="AD87" s="5">
        <f ca="1">AB87*控制台!$E$4820</f>
        <v>5128.312212</v>
      </c>
      <c r="AE87" s="1">
        <f ca="1">OFFSET(控制台!$L$2798,MATCH(B87,控制台!$B$2798:$B$2809,0)-2,0)*控制台!$E$2763</f>
        <v>1800</v>
      </c>
      <c r="AF87" s="1">
        <f ca="1">OFFSET(控制台!$L$2798,MATCH(B87,控制台!$B$2798:$B$2809,0)-1,0)*控制台!$E$2763</f>
        <v>2100</v>
      </c>
      <c r="AG87" s="1">
        <f ca="1">Lerp_dyy(AE87,AF87,C87/10)</f>
        <v>2010</v>
      </c>
      <c r="AH87" s="1">
        <f ca="1" t="shared" si="39"/>
        <v>12060</v>
      </c>
      <c r="AI87" s="5">
        <f ca="1" t="shared" si="51"/>
        <v>221685</v>
      </c>
      <c r="AJ87" s="1">
        <f ca="1">OFFSET(控制台!$P$2798,MATCH(B87,控制台!$B$2798:$B$2809,0)-2,0)</f>
        <v>6000</v>
      </c>
      <c r="AK87" s="1">
        <f ca="1">OFFSET(控制台!$P$2798,MATCH(B87,控制台!$B$2798:$B$2809,0)-1,0)</f>
        <v>7000</v>
      </c>
      <c r="AL87" s="1">
        <f ca="1">Lerp_dyy(AJ87,AK87,C87/10)</f>
        <v>6700</v>
      </c>
      <c r="AM87" s="4">
        <f ca="1">_xlfn.FLOOR.MATH(AL87/24/3600*控制台!$E$2785)</f>
        <v>139</v>
      </c>
      <c r="AN87" s="1">
        <f ca="1" t="shared" si="40"/>
        <v>6672</v>
      </c>
      <c r="AO87" s="1">
        <f ca="1" t="shared" si="41"/>
        <v>40032</v>
      </c>
      <c r="AP87" s="5">
        <f ca="1" t="shared" si="52"/>
        <v>736190.4</v>
      </c>
      <c r="AQ87" s="1">
        <f ca="1">OFFSET(控制台!$V$2798,MATCH(B87,控制台!$B$2798:$B$2809,0)-2,0)*控制台!$E$2771</f>
        <v>2100000</v>
      </c>
      <c r="AR87" s="1">
        <f ca="1">OFFSET(控制台!$V$2798,MATCH(B87,控制台!$B$2798:$B$2809,0)-1,0)*控制台!$E$2771</f>
        <v>2200000</v>
      </c>
      <c r="AS87" s="1">
        <f ca="1">Lerp_dyy(AQ87,AR87,C87/10)</f>
        <v>2170000</v>
      </c>
      <c r="AT87" s="4">
        <f ca="1">MAX(_xlfn.FLOOR.MATH(AS87/24/3600*控制台!$E$2784)-控制台!$J$2814,0)</f>
        <v>247</v>
      </c>
      <c r="AU87" s="1">
        <f ca="1" t="shared" si="43"/>
        <v>2134080</v>
      </c>
      <c r="AV87" s="1">
        <f ca="1" t="shared" si="44"/>
        <v>12804480</v>
      </c>
      <c r="AW87" s="5">
        <f ca="1" t="shared" si="53"/>
        <v>284640480</v>
      </c>
      <c r="AX87" s="1">
        <f ca="1">OFFSET(控制台!$X$2798,MATCH(B87,控制台!$B$2798:$B$2809,0)-2,0)*控制台!$E$2775</f>
        <v>1260</v>
      </c>
      <c r="AY87" s="1">
        <f ca="1">OFFSET(控制台!$X$2798,MATCH(B87,控制台!$B$2798:$B$2809,0)-1,0)*控制台!$E$2775</f>
        <v>1320</v>
      </c>
      <c r="AZ87" s="1">
        <f ca="1">Lerp_dyy(AX87,AY87,C87/10)</f>
        <v>1302</v>
      </c>
      <c r="BA87" s="4">
        <f ca="1">_xlfn.FLOOR.MATH(AZ87/24/3600*控制台!$E$2785)</f>
        <v>27</v>
      </c>
      <c r="BB87" s="1">
        <f ca="1" t="shared" si="45"/>
        <v>1296</v>
      </c>
      <c r="BC87" s="1">
        <f ca="1" t="shared" si="46"/>
        <v>7776</v>
      </c>
      <c r="BD87" s="5">
        <f ca="1" t="shared" si="54"/>
        <v>171115.2</v>
      </c>
      <c r="BE87" s="1">
        <f ca="1">OFFSET(控制台!$AA$2798,MATCH(B87,控制台!$B$2798:$B$2809,0)-1,0)</f>
        <v>37.5533333333334</v>
      </c>
      <c r="BF87" s="1">
        <f ca="1" t="shared" si="42"/>
        <v>6083.64000000002</v>
      </c>
      <c r="BG87" s="5">
        <f ca="1" t="shared" si="55"/>
        <v>108832.093333334</v>
      </c>
      <c r="BH87" s="1">
        <f ca="1">OFFSET(控制台!$AD$2798,MATCH(B87,控制台!$B$2798:$B$2809,0)-2,0)</f>
        <v>2000</v>
      </c>
      <c r="BI87" s="1">
        <f ca="1">OFFSET(控制台!$AD$2798,MATCH(B87,控制台!$B$2798:$B$2809,0)-1,0)</f>
        <v>2400</v>
      </c>
      <c r="BJ87" s="1">
        <f ca="1">Lerp_dyy(BH87,BI87,C87/10)</f>
        <v>2280</v>
      </c>
      <c r="BK87" s="4">
        <f ca="1">_xlfn.FLOOR.MATH(BJ87/24/3600*控制台!$E$2785)</f>
        <v>47</v>
      </c>
      <c r="BL87" s="1">
        <f ca="1" t="shared" si="47"/>
        <v>2256</v>
      </c>
      <c r="BM87" s="1">
        <f ca="1" t="shared" si="48"/>
        <v>13536</v>
      </c>
      <c r="BN87" s="5">
        <f ca="1" t="shared" si="56"/>
        <v>229948.8</v>
      </c>
    </row>
    <row r="88" spans="1:66">
      <c r="A88" s="1">
        <f t="shared" si="32"/>
        <v>908</v>
      </c>
      <c r="B88" s="1">
        <v>9</v>
      </c>
      <c r="C88" s="1">
        <v>8</v>
      </c>
      <c r="D88" s="1">
        <f ca="1">OFFSET(控制台!$D$2798,MATCH(B88,控制台!$B$2798:$B$2809,0)-2,0)*控制台!$E$2751</f>
        <v>4200000</v>
      </c>
      <c r="E88" s="1">
        <f ca="1">OFFSET(控制台!$D$2798,MATCH(B88,控制台!$B$2798:$B$2809,0)-1,0)*控制台!$E$2751</f>
        <v>4400000</v>
      </c>
      <c r="F88" s="1">
        <f ca="1">Lerp_dyy(D88,E88,C88/10)</f>
        <v>4360000</v>
      </c>
      <c r="G88" s="4">
        <f ca="1">_xlfn.FLOOR.MATH(F88/24/3600*控制台!$E$2784)-控制台!$E$2814</f>
        <v>496</v>
      </c>
      <c r="H88" s="1">
        <f ca="1" t="shared" si="33"/>
        <v>4285440</v>
      </c>
      <c r="I88" s="1">
        <f ca="1">IF(B88=1,0,OFFSET(控制台!$B$865,MATCH(B88-1,控制台!$G$865:$G$936,0)-1,0))</f>
        <v>120</v>
      </c>
      <c r="J88" s="1">
        <f ca="1">OFFSET(控制台!$B$865,MATCH(B88,控制台!$G$865:$G$936,0)-1,0)</f>
        <v>180</v>
      </c>
      <c r="K88" s="1">
        <f ca="1" t="shared" si="34"/>
        <v>6</v>
      </c>
      <c r="L88" s="5">
        <f ca="1">Lerp_dyy(I88,J88,C88/10)</f>
        <v>168</v>
      </c>
      <c r="M88" s="1">
        <f ca="1" t="shared" si="35"/>
        <v>25712640</v>
      </c>
      <c r="N88" s="5">
        <f ca="1" t="shared" si="49"/>
        <v>598226688</v>
      </c>
      <c r="O88" s="1">
        <f ca="1">OFFSET(控制台!$F$2798,MATCH(B88,控制台!$B$2798:$B$2809,0)-2,0)*控制台!$E$2755</f>
        <v>2520</v>
      </c>
      <c r="P88" s="1">
        <f ca="1">OFFSET(控制台!$F$2798,MATCH(B88,控制台!$B$2798:$B$2809,0)-1,0)*控制台!$E$2755</f>
        <v>2640</v>
      </c>
      <c r="Q88" s="1">
        <f ca="1">Lerp_dyy(O88,P88,C88/10)</f>
        <v>2616</v>
      </c>
      <c r="R88" s="4">
        <f ca="1">_xlfn.FLOOR.MATH(Q88/24/3600*控制台!$E$2785)</f>
        <v>54</v>
      </c>
      <c r="S88" s="1">
        <f ca="1" t="shared" si="36"/>
        <v>2592</v>
      </c>
      <c r="T88" s="1">
        <f ca="1" t="shared" si="37"/>
        <v>15552</v>
      </c>
      <c r="U88" s="5">
        <f ca="1" t="shared" si="50"/>
        <v>363115.2</v>
      </c>
      <c r="V88" s="1">
        <f ca="1">OFFSET(控制台!$I$2798,MATCH(B88,控制台!$B$2798:$B$2809,0)-2,0)*控制台!$E$2791</f>
        <v>1875</v>
      </c>
      <c r="W88" s="1">
        <f ca="1">OFFSET(控制台!$I$2798,MATCH(B88,控制台!$B$2798:$B$2809,0)-1,0)*控制台!$E$2791</f>
        <v>2187.5</v>
      </c>
      <c r="X88" s="1">
        <f ca="1">Lerp_dyy(V88,W88,C88/10)</f>
        <v>2125</v>
      </c>
      <c r="Y88" s="4">
        <f ca="1">_xlfn.FLOOR.MATH(X88)</f>
        <v>2125</v>
      </c>
      <c r="Z88" s="1">
        <f ca="1" t="shared" si="38"/>
        <v>2.55</v>
      </c>
      <c r="AA88" s="1">
        <f ca="1" t="shared" si="31"/>
        <v>15.3</v>
      </c>
      <c r="AB88" s="5">
        <f ca="1" t="shared" si="57"/>
        <v>295.53564</v>
      </c>
      <c r="AC88" s="5">
        <f ca="1">AB88*控制台!$E$4819</f>
        <v>236.428512</v>
      </c>
      <c r="AD88" s="5">
        <f ca="1">AB88*控制台!$E$4820</f>
        <v>5408.302212</v>
      </c>
      <c r="AE88" s="1">
        <f ca="1">OFFSET(控制台!$L$2798,MATCH(B88,控制台!$B$2798:$B$2809,0)-2,0)*控制台!$E$2763</f>
        <v>1800</v>
      </c>
      <c r="AF88" s="1">
        <f ca="1">OFFSET(控制台!$L$2798,MATCH(B88,控制台!$B$2798:$B$2809,0)-1,0)*控制台!$E$2763</f>
        <v>2100</v>
      </c>
      <c r="AG88" s="1">
        <f ca="1">Lerp_dyy(AE88,AF88,C88/10)</f>
        <v>2040</v>
      </c>
      <c r="AH88" s="1">
        <f ca="1" t="shared" si="39"/>
        <v>12240</v>
      </c>
      <c r="AI88" s="5">
        <f ca="1" t="shared" si="51"/>
        <v>233925</v>
      </c>
      <c r="AJ88" s="1">
        <f ca="1">OFFSET(控制台!$P$2798,MATCH(B88,控制台!$B$2798:$B$2809,0)-2,0)</f>
        <v>6000</v>
      </c>
      <c r="AK88" s="1">
        <f ca="1">OFFSET(控制台!$P$2798,MATCH(B88,控制台!$B$2798:$B$2809,0)-1,0)</f>
        <v>7000</v>
      </c>
      <c r="AL88" s="1">
        <f ca="1">Lerp_dyy(AJ88,AK88,C88/10)</f>
        <v>6800</v>
      </c>
      <c r="AM88" s="4">
        <f ca="1">_xlfn.FLOOR.MATH(AL88/24/3600*控制台!$E$2785)</f>
        <v>141</v>
      </c>
      <c r="AN88" s="1">
        <f ca="1" t="shared" si="40"/>
        <v>6768</v>
      </c>
      <c r="AO88" s="1">
        <f ca="1" t="shared" si="41"/>
        <v>40608</v>
      </c>
      <c r="AP88" s="5">
        <f ca="1" t="shared" si="52"/>
        <v>776798.4</v>
      </c>
      <c r="AQ88" s="1">
        <f ca="1">OFFSET(控制台!$V$2798,MATCH(B88,控制台!$B$2798:$B$2809,0)-2,0)*控制台!$E$2771</f>
        <v>2100000</v>
      </c>
      <c r="AR88" s="1">
        <f ca="1">OFFSET(控制台!$V$2798,MATCH(B88,控制台!$B$2798:$B$2809,0)-1,0)*控制台!$E$2771</f>
        <v>2200000</v>
      </c>
      <c r="AS88" s="1">
        <f ca="1">Lerp_dyy(AQ88,AR88,C88/10)</f>
        <v>2180000</v>
      </c>
      <c r="AT88" s="4">
        <f ca="1">MAX(_xlfn.FLOOR.MATH(AS88/24/3600*控制台!$E$2784)-控制台!$J$2814,0)</f>
        <v>248</v>
      </c>
      <c r="AU88" s="1">
        <f ca="1" t="shared" si="43"/>
        <v>2142720</v>
      </c>
      <c r="AV88" s="1">
        <f ca="1" t="shared" si="44"/>
        <v>12856320</v>
      </c>
      <c r="AW88" s="5">
        <f ca="1" t="shared" si="53"/>
        <v>297496800</v>
      </c>
      <c r="AX88" s="1">
        <f ca="1">OFFSET(控制台!$X$2798,MATCH(B88,控制台!$B$2798:$B$2809,0)-2,0)*控制台!$E$2775</f>
        <v>1260</v>
      </c>
      <c r="AY88" s="1">
        <f ca="1">OFFSET(控制台!$X$2798,MATCH(B88,控制台!$B$2798:$B$2809,0)-1,0)*控制台!$E$2775</f>
        <v>1320</v>
      </c>
      <c r="AZ88" s="1">
        <f ca="1">Lerp_dyy(AX88,AY88,C88/10)</f>
        <v>1308</v>
      </c>
      <c r="BA88" s="4">
        <f ca="1">_xlfn.FLOOR.MATH(AZ88/24/3600*控制台!$E$2785)</f>
        <v>27</v>
      </c>
      <c r="BB88" s="1">
        <f ca="1" t="shared" si="45"/>
        <v>1296</v>
      </c>
      <c r="BC88" s="1">
        <f ca="1" t="shared" si="46"/>
        <v>7776</v>
      </c>
      <c r="BD88" s="5">
        <f ca="1" t="shared" si="54"/>
        <v>178891.2</v>
      </c>
      <c r="BE88" s="1">
        <f ca="1">OFFSET(控制台!$AA$2798,MATCH(B88,控制台!$B$2798:$B$2809,0)-1,0)</f>
        <v>37.5533333333334</v>
      </c>
      <c r="BF88" s="1">
        <f ca="1" t="shared" si="42"/>
        <v>6308.96000000002</v>
      </c>
      <c r="BG88" s="5">
        <f ca="1" t="shared" si="55"/>
        <v>115141.053333334</v>
      </c>
      <c r="BH88" s="1">
        <f ca="1">OFFSET(控制台!$AD$2798,MATCH(B88,控制台!$B$2798:$B$2809,0)-2,0)</f>
        <v>2000</v>
      </c>
      <c r="BI88" s="1">
        <f ca="1">OFFSET(控制台!$AD$2798,MATCH(B88,控制台!$B$2798:$B$2809,0)-1,0)</f>
        <v>2400</v>
      </c>
      <c r="BJ88" s="1">
        <f ca="1">Lerp_dyy(BH88,BI88,C88/10)</f>
        <v>2320</v>
      </c>
      <c r="BK88" s="4">
        <f ca="1">_xlfn.FLOOR.MATH(BJ88/24/3600*控制台!$E$2785)</f>
        <v>48</v>
      </c>
      <c r="BL88" s="1">
        <f ca="1" t="shared" si="47"/>
        <v>2304</v>
      </c>
      <c r="BM88" s="1">
        <f ca="1" t="shared" si="48"/>
        <v>13824</v>
      </c>
      <c r="BN88" s="5">
        <f ca="1" t="shared" si="56"/>
        <v>243772.8</v>
      </c>
    </row>
    <row r="89" spans="1:66">
      <c r="A89" s="1">
        <f t="shared" si="32"/>
        <v>909</v>
      </c>
      <c r="B89" s="1">
        <v>9</v>
      </c>
      <c r="C89" s="1">
        <v>9</v>
      </c>
      <c r="D89" s="1">
        <f ca="1">OFFSET(控制台!$D$2798,MATCH(B89,控制台!$B$2798:$B$2809,0)-2,0)*控制台!$E$2751</f>
        <v>4200000</v>
      </c>
      <c r="E89" s="1">
        <f ca="1">OFFSET(控制台!$D$2798,MATCH(B89,控制台!$B$2798:$B$2809,0)-1,0)*控制台!$E$2751</f>
        <v>4400000</v>
      </c>
      <c r="F89" s="1">
        <f ca="1">Lerp_dyy(D89,E89,C89/10)</f>
        <v>4380000</v>
      </c>
      <c r="G89" s="4">
        <f ca="1">_xlfn.FLOOR.MATH(F89/24/3600*控制台!$E$2784)-控制台!$E$2814</f>
        <v>498</v>
      </c>
      <c r="H89" s="1">
        <f ca="1" t="shared" si="33"/>
        <v>4302720</v>
      </c>
      <c r="I89" s="1">
        <f ca="1">IF(B89=1,0,OFFSET(控制台!$B$865,MATCH(B89-1,控制台!$G$865:$G$936,0)-1,0))</f>
        <v>120</v>
      </c>
      <c r="J89" s="1">
        <f ca="1">OFFSET(控制台!$B$865,MATCH(B89,控制台!$G$865:$G$936,0)-1,0)</f>
        <v>180</v>
      </c>
      <c r="K89" s="1">
        <f ca="1" t="shared" si="34"/>
        <v>6</v>
      </c>
      <c r="L89" s="5">
        <f ca="1">Lerp_dyy(I89,J89,C89/10)</f>
        <v>174</v>
      </c>
      <c r="M89" s="1">
        <f ca="1" t="shared" si="35"/>
        <v>25816320</v>
      </c>
      <c r="N89" s="5">
        <f ca="1" t="shared" si="49"/>
        <v>624043008</v>
      </c>
      <c r="O89" s="1">
        <f ca="1">OFFSET(控制台!$F$2798,MATCH(B89,控制台!$B$2798:$B$2809,0)-2,0)*控制台!$E$2755</f>
        <v>2520</v>
      </c>
      <c r="P89" s="1">
        <f ca="1">OFFSET(控制台!$F$2798,MATCH(B89,控制台!$B$2798:$B$2809,0)-1,0)*控制台!$E$2755</f>
        <v>2640</v>
      </c>
      <c r="Q89" s="1">
        <f ca="1">Lerp_dyy(O89,P89,C89/10)</f>
        <v>2628</v>
      </c>
      <c r="R89" s="4">
        <f ca="1">_xlfn.FLOOR.MATH(Q89/24/3600*控制台!$E$2785)</f>
        <v>54</v>
      </c>
      <c r="S89" s="1">
        <f ca="1" t="shared" si="36"/>
        <v>2592</v>
      </c>
      <c r="T89" s="1">
        <f ca="1" t="shared" si="37"/>
        <v>15552</v>
      </c>
      <c r="U89" s="5">
        <f ca="1" t="shared" si="50"/>
        <v>378667.2</v>
      </c>
      <c r="V89" s="1">
        <f ca="1">OFFSET(控制台!$I$2798,MATCH(B89,控制台!$B$2798:$B$2809,0)-2,0)*控制台!$E$2791</f>
        <v>1875</v>
      </c>
      <c r="W89" s="1">
        <f ca="1">OFFSET(控制台!$I$2798,MATCH(B89,控制台!$B$2798:$B$2809,0)-1,0)*控制台!$E$2791</f>
        <v>2187.5</v>
      </c>
      <c r="X89" s="1">
        <f ca="1">Lerp_dyy(V89,W89,C89/10)</f>
        <v>2156.25</v>
      </c>
      <c r="Y89" s="4">
        <f ca="1">_xlfn.FLOOR.MATH(X89)</f>
        <v>2156</v>
      </c>
      <c r="Z89" s="1">
        <f ca="1" t="shared" si="38"/>
        <v>2.5872</v>
      </c>
      <c r="AA89" s="1">
        <f ca="1" t="shared" si="31"/>
        <v>15.5232</v>
      </c>
      <c r="AB89" s="5">
        <f ca="1" t="shared" si="57"/>
        <v>311.05884</v>
      </c>
      <c r="AC89" s="5">
        <f ca="1">AB89*控制台!$E$4819</f>
        <v>248.847072</v>
      </c>
      <c r="AD89" s="5">
        <f ca="1">AB89*控制台!$E$4820</f>
        <v>5692.376772</v>
      </c>
      <c r="AE89" s="1">
        <f ca="1">OFFSET(控制台!$L$2798,MATCH(B89,控制台!$B$2798:$B$2809,0)-2,0)*控制台!$E$2763</f>
        <v>1800</v>
      </c>
      <c r="AF89" s="1">
        <f ca="1">OFFSET(控制台!$L$2798,MATCH(B89,控制台!$B$2798:$B$2809,0)-1,0)*控制台!$E$2763</f>
        <v>2100</v>
      </c>
      <c r="AG89" s="1">
        <f ca="1">Lerp_dyy(AE89,AF89,C89/10)</f>
        <v>2070</v>
      </c>
      <c r="AH89" s="1">
        <f ca="1" t="shared" si="39"/>
        <v>12420</v>
      </c>
      <c r="AI89" s="5">
        <f ca="1" t="shared" si="51"/>
        <v>246345</v>
      </c>
      <c r="AJ89" s="1">
        <f ca="1">OFFSET(控制台!$P$2798,MATCH(B89,控制台!$B$2798:$B$2809,0)-2,0)</f>
        <v>6000</v>
      </c>
      <c r="AK89" s="1">
        <f ca="1">OFFSET(控制台!$P$2798,MATCH(B89,控制台!$B$2798:$B$2809,0)-1,0)</f>
        <v>7000</v>
      </c>
      <c r="AL89" s="1">
        <f ca="1">Lerp_dyy(AJ89,AK89,C89/10)</f>
        <v>6900</v>
      </c>
      <c r="AM89" s="4">
        <f ca="1">_xlfn.FLOOR.MATH(AL89/24/3600*控制台!$E$2785)</f>
        <v>143</v>
      </c>
      <c r="AN89" s="1">
        <f ca="1" t="shared" si="40"/>
        <v>6864</v>
      </c>
      <c r="AO89" s="1">
        <f ca="1" t="shared" si="41"/>
        <v>41184</v>
      </c>
      <c r="AP89" s="5">
        <f ca="1" t="shared" si="52"/>
        <v>817982.4</v>
      </c>
      <c r="AQ89" s="1">
        <f ca="1">OFFSET(控制台!$V$2798,MATCH(B89,控制台!$B$2798:$B$2809,0)-2,0)*控制台!$E$2771</f>
        <v>2100000</v>
      </c>
      <c r="AR89" s="1">
        <f ca="1">OFFSET(控制台!$V$2798,MATCH(B89,控制台!$B$2798:$B$2809,0)-1,0)*控制台!$E$2771</f>
        <v>2200000</v>
      </c>
      <c r="AS89" s="1">
        <f ca="1">Lerp_dyy(AQ89,AR89,C89/10)</f>
        <v>2190000</v>
      </c>
      <c r="AT89" s="4">
        <f ca="1">MAX(_xlfn.FLOOR.MATH(AS89/24/3600*控制台!$E$2784)-控制台!$J$2814,0)</f>
        <v>249</v>
      </c>
      <c r="AU89" s="1">
        <f ca="1" t="shared" si="43"/>
        <v>2151360</v>
      </c>
      <c r="AV89" s="1">
        <f ca="1" t="shared" si="44"/>
        <v>12908160</v>
      </c>
      <c r="AW89" s="5">
        <f ca="1" t="shared" si="53"/>
        <v>310404960</v>
      </c>
      <c r="AX89" s="1">
        <f ca="1">OFFSET(控制台!$X$2798,MATCH(B89,控制台!$B$2798:$B$2809,0)-2,0)*控制台!$E$2775</f>
        <v>1260</v>
      </c>
      <c r="AY89" s="1">
        <f ca="1">OFFSET(控制台!$X$2798,MATCH(B89,控制台!$B$2798:$B$2809,0)-1,0)*控制台!$E$2775</f>
        <v>1320</v>
      </c>
      <c r="AZ89" s="1">
        <f ca="1">Lerp_dyy(AX89,AY89,C89/10)</f>
        <v>1314</v>
      </c>
      <c r="BA89" s="4">
        <f ca="1">_xlfn.FLOOR.MATH(AZ89/24/3600*控制台!$E$2785)</f>
        <v>27</v>
      </c>
      <c r="BB89" s="1">
        <f ca="1" t="shared" si="45"/>
        <v>1296</v>
      </c>
      <c r="BC89" s="1">
        <f ca="1" t="shared" si="46"/>
        <v>7776</v>
      </c>
      <c r="BD89" s="5">
        <f ca="1" t="shared" si="54"/>
        <v>186667.2</v>
      </c>
      <c r="BE89" s="1">
        <f ca="1">OFFSET(控制台!$AA$2798,MATCH(B89,控制台!$B$2798:$B$2809,0)-1,0)</f>
        <v>37.5533333333334</v>
      </c>
      <c r="BF89" s="1">
        <f ca="1" t="shared" si="42"/>
        <v>6534.28000000002</v>
      </c>
      <c r="BG89" s="5">
        <f ca="1" t="shared" si="55"/>
        <v>121675.333333334</v>
      </c>
      <c r="BH89" s="1">
        <f ca="1">OFFSET(控制台!$AD$2798,MATCH(B89,控制台!$B$2798:$B$2809,0)-2,0)</f>
        <v>2000</v>
      </c>
      <c r="BI89" s="1">
        <f ca="1">OFFSET(控制台!$AD$2798,MATCH(B89,控制台!$B$2798:$B$2809,0)-1,0)</f>
        <v>2400</v>
      </c>
      <c r="BJ89" s="1">
        <f ca="1">Lerp_dyy(BH89,BI89,C89/10)</f>
        <v>2360</v>
      </c>
      <c r="BK89" s="4">
        <f ca="1">_xlfn.FLOOR.MATH(BJ89/24/3600*控制台!$E$2785)</f>
        <v>49</v>
      </c>
      <c r="BL89" s="1">
        <f ca="1" t="shared" si="47"/>
        <v>2352</v>
      </c>
      <c r="BM89" s="1">
        <f ca="1" t="shared" si="48"/>
        <v>14112</v>
      </c>
      <c r="BN89" s="5">
        <f ca="1" t="shared" si="56"/>
        <v>257884.8</v>
      </c>
    </row>
    <row r="90" spans="1:66">
      <c r="A90" s="1">
        <f t="shared" si="32"/>
        <v>910</v>
      </c>
      <c r="B90" s="1">
        <v>9</v>
      </c>
      <c r="C90" s="1">
        <v>10</v>
      </c>
      <c r="D90" s="1">
        <f ca="1">OFFSET(控制台!$D$2798,MATCH(B90,控制台!$B$2798:$B$2809,0)-2,0)*控制台!$E$2751</f>
        <v>4200000</v>
      </c>
      <c r="E90" s="1">
        <f ca="1">OFFSET(控制台!$D$2798,MATCH(B90,控制台!$B$2798:$B$2809,0)-1,0)*控制台!$E$2751</f>
        <v>4400000</v>
      </c>
      <c r="F90" s="1">
        <f ca="1">Lerp_dyy(D90,E90,C90/10)</f>
        <v>4400000</v>
      </c>
      <c r="G90" s="4">
        <f ca="1">_xlfn.FLOOR.MATH(F90/24/3600*控制台!$E$2784)-控制台!$E$2814</f>
        <v>501</v>
      </c>
      <c r="H90" s="1">
        <f ca="1" t="shared" si="33"/>
        <v>4328640</v>
      </c>
      <c r="I90" s="1">
        <f ca="1">IF(B90=1,0,OFFSET(控制台!$B$865,MATCH(B90-1,控制台!$G$865:$G$936,0)-1,0))</f>
        <v>120</v>
      </c>
      <c r="J90" s="1">
        <f ca="1">OFFSET(控制台!$B$865,MATCH(B90,控制台!$G$865:$G$936,0)-1,0)</f>
        <v>180</v>
      </c>
      <c r="K90" s="1">
        <f ca="1" t="shared" si="34"/>
        <v>6</v>
      </c>
      <c r="L90" s="5">
        <f ca="1">Lerp_dyy(I90,J90,C90/10)</f>
        <v>180</v>
      </c>
      <c r="M90" s="1">
        <f ca="1" t="shared" si="35"/>
        <v>25971840</v>
      </c>
      <c r="N90" s="5">
        <f ca="1" t="shared" si="49"/>
        <v>650014848</v>
      </c>
      <c r="O90" s="1">
        <f ca="1">OFFSET(控制台!$F$2798,MATCH(B90,控制台!$B$2798:$B$2809,0)-2,0)*控制台!$E$2755</f>
        <v>2520</v>
      </c>
      <c r="P90" s="1">
        <f ca="1">OFFSET(控制台!$F$2798,MATCH(B90,控制台!$B$2798:$B$2809,0)-1,0)*控制台!$E$2755</f>
        <v>2640</v>
      </c>
      <c r="Q90" s="1">
        <f ca="1">Lerp_dyy(O90,P90,C90/10)</f>
        <v>2640</v>
      </c>
      <c r="R90" s="4">
        <f ca="1">_xlfn.FLOOR.MATH(Q90/24/3600*控制台!$E$2785)</f>
        <v>55</v>
      </c>
      <c r="S90" s="1">
        <f ca="1" t="shared" si="36"/>
        <v>2640</v>
      </c>
      <c r="T90" s="1">
        <f ca="1" t="shared" si="37"/>
        <v>15840</v>
      </c>
      <c r="U90" s="5">
        <f ca="1" t="shared" si="50"/>
        <v>394507.2</v>
      </c>
      <c r="V90" s="1">
        <f ca="1">OFFSET(控制台!$I$2798,MATCH(B90,控制台!$B$2798:$B$2809,0)-2,0)*控制台!$E$2791</f>
        <v>1875</v>
      </c>
      <c r="W90" s="1">
        <f ca="1">OFFSET(控制台!$I$2798,MATCH(B90,控制台!$B$2798:$B$2809,0)-1,0)*控制台!$E$2791</f>
        <v>2187.5</v>
      </c>
      <c r="X90" s="1">
        <f ca="1">Lerp_dyy(V90,W90,C90/10)</f>
        <v>2187.5</v>
      </c>
      <c r="Y90" s="4">
        <f ca="1">_xlfn.FLOOR.MATH(X90)</f>
        <v>2187</v>
      </c>
      <c r="Z90" s="1">
        <f ca="1" t="shared" si="38"/>
        <v>2.6244</v>
      </c>
      <c r="AA90" s="1">
        <f ca="1" t="shared" si="31"/>
        <v>15.7464</v>
      </c>
      <c r="AB90" s="5">
        <f ca="1" t="shared" si="57"/>
        <v>326.80524</v>
      </c>
      <c r="AC90" s="5">
        <f ca="1">AB90*控制台!$E$4819</f>
        <v>261.444192</v>
      </c>
      <c r="AD90" s="5">
        <f ca="1">AB90*控制台!$E$4820</f>
        <v>5980.535892</v>
      </c>
      <c r="AE90" s="1">
        <f ca="1">OFFSET(控制台!$L$2798,MATCH(B90,控制台!$B$2798:$B$2809,0)-2,0)*控制台!$E$2763</f>
        <v>1800</v>
      </c>
      <c r="AF90" s="1">
        <f ca="1">OFFSET(控制台!$L$2798,MATCH(B90,控制台!$B$2798:$B$2809,0)-1,0)*控制台!$E$2763</f>
        <v>2100</v>
      </c>
      <c r="AG90" s="1">
        <f ca="1">Lerp_dyy(AE90,AF90,C90/10)</f>
        <v>2100</v>
      </c>
      <c r="AH90" s="1">
        <f ca="1" t="shared" si="39"/>
        <v>12600</v>
      </c>
      <c r="AI90" s="5">
        <f ca="1" t="shared" si="51"/>
        <v>258945</v>
      </c>
      <c r="AJ90" s="1">
        <f ca="1">OFFSET(控制台!$P$2798,MATCH(B90,控制台!$B$2798:$B$2809,0)-2,0)</f>
        <v>6000</v>
      </c>
      <c r="AK90" s="1">
        <f ca="1">OFFSET(控制台!$P$2798,MATCH(B90,控制台!$B$2798:$B$2809,0)-1,0)</f>
        <v>7000</v>
      </c>
      <c r="AL90" s="1">
        <f ca="1">Lerp_dyy(AJ90,AK90,C90/10)</f>
        <v>7000</v>
      </c>
      <c r="AM90" s="4">
        <f ca="1">_xlfn.FLOOR.MATH(AL90/24/3600*控制台!$E$2785)</f>
        <v>145</v>
      </c>
      <c r="AN90" s="1">
        <f ca="1" t="shared" si="40"/>
        <v>6960</v>
      </c>
      <c r="AO90" s="1">
        <f ca="1" t="shared" si="41"/>
        <v>41760</v>
      </c>
      <c r="AP90" s="5">
        <f ca="1" t="shared" si="52"/>
        <v>859742.4</v>
      </c>
      <c r="AQ90" s="1">
        <f ca="1">OFFSET(控制台!$V$2798,MATCH(B90,控制台!$B$2798:$B$2809,0)-2,0)*控制台!$E$2771</f>
        <v>2100000</v>
      </c>
      <c r="AR90" s="1">
        <f ca="1">OFFSET(控制台!$V$2798,MATCH(B90,控制台!$B$2798:$B$2809,0)-1,0)*控制台!$E$2771</f>
        <v>2200000</v>
      </c>
      <c r="AS90" s="1">
        <f ca="1">Lerp_dyy(AQ90,AR90,C90/10)</f>
        <v>2200000</v>
      </c>
      <c r="AT90" s="4">
        <f ca="1">MAX(_xlfn.FLOOR.MATH(AS90/24/3600*控制台!$E$2784)-控制台!$J$2814,0)</f>
        <v>250</v>
      </c>
      <c r="AU90" s="1">
        <f ca="1" t="shared" si="43"/>
        <v>2160000</v>
      </c>
      <c r="AV90" s="1">
        <f ca="1" t="shared" si="44"/>
        <v>12960000</v>
      </c>
      <c r="AW90" s="5">
        <f ca="1" t="shared" si="53"/>
        <v>323364960</v>
      </c>
      <c r="AX90" s="1">
        <f ca="1">OFFSET(控制台!$X$2798,MATCH(B90,控制台!$B$2798:$B$2809,0)-2,0)*控制台!$E$2775</f>
        <v>1260</v>
      </c>
      <c r="AY90" s="1">
        <f ca="1">OFFSET(控制台!$X$2798,MATCH(B90,控制台!$B$2798:$B$2809,0)-1,0)*控制台!$E$2775</f>
        <v>1320</v>
      </c>
      <c r="AZ90" s="1">
        <f ca="1">Lerp_dyy(AX90,AY90,C90/10)</f>
        <v>1320</v>
      </c>
      <c r="BA90" s="4">
        <f ca="1">_xlfn.FLOOR.MATH(AZ90/24/3600*控制台!$E$2785)</f>
        <v>27</v>
      </c>
      <c r="BB90" s="1">
        <f ca="1" t="shared" si="45"/>
        <v>1296</v>
      </c>
      <c r="BC90" s="1">
        <f ca="1" t="shared" si="46"/>
        <v>7776</v>
      </c>
      <c r="BD90" s="5">
        <f ca="1" t="shared" si="54"/>
        <v>194443.2</v>
      </c>
      <c r="BE90" s="1">
        <f ca="1">OFFSET(控制台!$AA$2798,MATCH(B90,控制台!$B$2798:$B$2809,0)-1,0)</f>
        <v>37.5533333333334</v>
      </c>
      <c r="BF90" s="1">
        <f ca="1" t="shared" si="42"/>
        <v>6759.60000000002</v>
      </c>
      <c r="BG90" s="5">
        <f ca="1" t="shared" si="55"/>
        <v>128434.933333334</v>
      </c>
      <c r="BH90" s="1">
        <f ca="1">OFFSET(控制台!$AD$2798,MATCH(B90,控制台!$B$2798:$B$2809,0)-2,0)</f>
        <v>2000</v>
      </c>
      <c r="BI90" s="1">
        <f ca="1">OFFSET(控制台!$AD$2798,MATCH(B90,控制台!$B$2798:$B$2809,0)-1,0)</f>
        <v>2400</v>
      </c>
      <c r="BJ90" s="1">
        <f ca="1">Lerp_dyy(BH90,BI90,C90/10)</f>
        <v>2400</v>
      </c>
      <c r="BK90" s="4">
        <f ca="1">_xlfn.FLOOR.MATH(BJ90/24/3600*控制台!$E$2785)</f>
        <v>50</v>
      </c>
      <c r="BL90" s="1">
        <f ca="1" t="shared" si="47"/>
        <v>2400</v>
      </c>
      <c r="BM90" s="1">
        <f ca="1" t="shared" si="48"/>
        <v>14400</v>
      </c>
      <c r="BN90" s="5">
        <f ca="1" t="shared" si="56"/>
        <v>272284.8</v>
      </c>
    </row>
    <row r="91" s="15" customFormat="1" spans="1:66">
      <c r="A91" s="15">
        <f t="shared" si="32"/>
        <v>1001</v>
      </c>
      <c r="B91" s="15">
        <v>10</v>
      </c>
      <c r="C91" s="15">
        <v>1</v>
      </c>
      <c r="D91" s="15">
        <f ca="1">OFFSET(控制台!$D$2798,MATCH(B91,控制台!$B$2798:$B$2809,0)-2,0)*控制台!$E$2751</f>
        <v>4400000</v>
      </c>
      <c r="E91" s="15">
        <f ca="1">OFFSET(控制台!$D$2798,MATCH(B91,控制台!$B$2798:$B$2809,0)-1,0)*控制台!$E$2751</f>
        <v>4600000</v>
      </c>
      <c r="F91" s="15">
        <f ca="1">Lerp_dyy(D91,E91,C91/10)</f>
        <v>4420000</v>
      </c>
      <c r="G91" s="16">
        <f ca="1">_xlfn.FLOOR.MATH(F91/24/3600*控制台!$E$2784)-控制台!$E$2814</f>
        <v>503</v>
      </c>
      <c r="H91" s="15">
        <f ca="1" t="shared" si="33"/>
        <v>4345920</v>
      </c>
      <c r="I91" s="15">
        <f ca="1">IF(B91=1,0,OFFSET(控制台!$B$865,MATCH(B91-1,控制台!$G$865:$G$936,0)-1,0))</f>
        <v>180</v>
      </c>
      <c r="J91" s="15">
        <f ca="1">OFFSET(控制台!$B$865,MATCH(B91,控制台!$G$865:$G$936,0)-1,0)</f>
        <v>240</v>
      </c>
      <c r="K91" s="15">
        <f ca="1" t="shared" si="34"/>
        <v>6</v>
      </c>
      <c r="L91" s="17">
        <f ca="1">Lerp_dyy(I91,J91,C91/10)</f>
        <v>186</v>
      </c>
      <c r="M91" s="15">
        <f ca="1" t="shared" si="35"/>
        <v>26075520</v>
      </c>
      <c r="N91" s="17">
        <f ca="1" t="shared" si="49"/>
        <v>676090368</v>
      </c>
      <c r="O91" s="15">
        <f ca="1">OFFSET(控制台!$F$2798,MATCH(B91,控制台!$B$2798:$B$2809,0)-2,0)*控制台!$E$2755</f>
        <v>2640</v>
      </c>
      <c r="P91" s="15">
        <f ca="1">OFFSET(控制台!$F$2798,MATCH(B91,控制台!$B$2798:$B$2809,0)-1,0)*控制台!$E$2755</f>
        <v>2760</v>
      </c>
      <c r="Q91" s="15">
        <f ca="1">Lerp_dyy(O91,P91,C91/10)</f>
        <v>2652</v>
      </c>
      <c r="R91" s="16">
        <f ca="1">_xlfn.FLOOR.MATH(Q91/24/3600*控制台!$E$2785)</f>
        <v>55</v>
      </c>
      <c r="S91" s="15">
        <f ca="1" t="shared" si="36"/>
        <v>2640</v>
      </c>
      <c r="T91" s="15">
        <f ca="1" t="shared" si="37"/>
        <v>15840</v>
      </c>
      <c r="U91" s="17">
        <f ca="1" t="shared" si="50"/>
        <v>410347.2</v>
      </c>
      <c r="V91" s="15">
        <f ca="1">OFFSET(控制台!$I$2798,MATCH(B91,控制台!$B$2798:$B$2809,0)-2,0)*控制台!$E$2791</f>
        <v>2187.5</v>
      </c>
      <c r="W91" s="15">
        <f ca="1">OFFSET(控制台!$I$2798,MATCH(B91,控制台!$B$2798:$B$2809,0)-1,0)*控制台!$E$2791</f>
        <v>2500</v>
      </c>
      <c r="X91" s="15">
        <f ca="1">Lerp_dyy(V91,W91,C91/10)</f>
        <v>2218.75</v>
      </c>
      <c r="Y91" s="16">
        <f ca="1">_xlfn.FLOOR.MATH(X91)</f>
        <v>2218</v>
      </c>
      <c r="Z91" s="15">
        <f ca="1" t="shared" si="38"/>
        <v>2.6616</v>
      </c>
      <c r="AA91" s="15">
        <f ca="1" t="shared" si="31"/>
        <v>15.9696</v>
      </c>
      <c r="AB91" s="17">
        <f ca="1" t="shared" si="57"/>
        <v>342.77484</v>
      </c>
      <c r="AC91" s="17">
        <f ca="1">AB91*控制台!$E$4819</f>
        <v>274.219872</v>
      </c>
      <c r="AD91" s="17">
        <f ca="1">AB91*控制台!$E$4820</f>
        <v>6272.779572</v>
      </c>
      <c r="AE91" s="15">
        <f ca="1">OFFSET(控制台!$L$2798,MATCH(B91,控制台!$B$2798:$B$2809,0)-2,0)*控制台!$E$2763</f>
        <v>2100</v>
      </c>
      <c r="AF91" s="15">
        <f ca="1">OFFSET(控制台!$L$2798,MATCH(B91,控制台!$B$2798:$B$2809,0)-1,0)*控制台!$E$2763</f>
        <v>2400</v>
      </c>
      <c r="AG91" s="15">
        <f ca="1">Lerp_dyy(AE91,AF91,C91/10)</f>
        <v>2130</v>
      </c>
      <c r="AH91" s="15">
        <f ca="1" t="shared" si="39"/>
        <v>12780</v>
      </c>
      <c r="AI91" s="17">
        <f ca="1" t="shared" si="51"/>
        <v>271725</v>
      </c>
      <c r="AJ91" s="15">
        <f ca="1">OFFSET(控制台!$P$2798,MATCH(B91,控制台!$B$2798:$B$2809,0)-2,0)</f>
        <v>7000</v>
      </c>
      <c r="AK91" s="15">
        <f ca="1">OFFSET(控制台!$P$2798,MATCH(B91,控制台!$B$2798:$B$2809,0)-1,0)</f>
        <v>8000</v>
      </c>
      <c r="AL91" s="15">
        <f ca="1">Lerp_dyy(AJ91,AK91,C91/10)</f>
        <v>7100</v>
      </c>
      <c r="AM91" s="16">
        <f ca="1">_xlfn.FLOOR.MATH(AL91/24/3600*控制台!$E$2785)</f>
        <v>147</v>
      </c>
      <c r="AN91" s="15">
        <f ca="1" t="shared" si="40"/>
        <v>7056</v>
      </c>
      <c r="AO91" s="15">
        <f ca="1" t="shared" si="41"/>
        <v>42336</v>
      </c>
      <c r="AP91" s="17">
        <f ca="1" t="shared" si="52"/>
        <v>902078.4</v>
      </c>
      <c r="AQ91" s="15">
        <f ca="1">OFFSET(控制台!$V$2798,MATCH(B91,控制台!$B$2798:$B$2809,0)-2,0)*控制台!$E$2771</f>
        <v>2200000</v>
      </c>
      <c r="AR91" s="15">
        <f ca="1">OFFSET(控制台!$V$2798,MATCH(B91,控制台!$B$2798:$B$2809,0)-1,0)*控制台!$E$2771</f>
        <v>2300000</v>
      </c>
      <c r="AS91" s="15">
        <f ca="1">Lerp_dyy(AQ91,AR91,C91/10)</f>
        <v>2210000</v>
      </c>
      <c r="AT91" s="16">
        <f ca="1">MAX(_xlfn.FLOOR.MATH(AS91/24/3600*控制台!$E$2784)-控制台!$J$2814,0)</f>
        <v>251</v>
      </c>
      <c r="AU91" s="15">
        <f ca="1" t="shared" si="43"/>
        <v>2168640</v>
      </c>
      <c r="AV91" s="15">
        <f ca="1" t="shared" si="44"/>
        <v>13011840</v>
      </c>
      <c r="AW91" s="17">
        <f ca="1" t="shared" si="53"/>
        <v>336376800</v>
      </c>
      <c r="AX91" s="15">
        <f ca="1">OFFSET(控制台!$X$2798,MATCH(B91,控制台!$B$2798:$B$2809,0)-2,0)*控制台!$E$2775</f>
        <v>1320</v>
      </c>
      <c r="AY91" s="15">
        <f ca="1">OFFSET(控制台!$X$2798,MATCH(B91,控制台!$B$2798:$B$2809,0)-1,0)*控制台!$E$2775</f>
        <v>1380</v>
      </c>
      <c r="AZ91" s="15">
        <f ca="1">Lerp_dyy(AX91,AY91,C91/10)</f>
        <v>1326</v>
      </c>
      <c r="BA91" s="16">
        <f ca="1">_xlfn.FLOOR.MATH(AZ91/24/3600*控制台!$E$2785)</f>
        <v>27</v>
      </c>
      <c r="BB91" s="15">
        <f ca="1" t="shared" si="45"/>
        <v>1296</v>
      </c>
      <c r="BC91" s="15">
        <f ca="1" t="shared" si="46"/>
        <v>7776</v>
      </c>
      <c r="BD91" s="17">
        <f ca="1" t="shared" si="54"/>
        <v>202219.2</v>
      </c>
      <c r="BE91" s="1">
        <f ca="1">OFFSET(控制台!$AA$2798,MATCH(B91,控制台!$B$2798:$B$2809,0)-1,0)</f>
        <v>42.3533333333334</v>
      </c>
      <c r="BF91" s="1">
        <f ca="1" t="shared" si="42"/>
        <v>7877.72000000002</v>
      </c>
      <c r="BG91" s="17">
        <f ca="1" t="shared" si="55"/>
        <v>136312.653333334</v>
      </c>
      <c r="BH91" s="15">
        <f ca="1">OFFSET(控制台!$AD$2798,MATCH(B91,控制台!$B$2798:$B$2809,0)-2,0)</f>
        <v>2400</v>
      </c>
      <c r="BI91" s="15">
        <f ca="1">OFFSET(控制台!$AD$2798,MATCH(B91,控制台!$B$2798:$B$2809,0)-1,0)</f>
        <v>2800</v>
      </c>
      <c r="BJ91" s="15">
        <f ca="1">Lerp_dyy(BH91,BI91,C91/10)</f>
        <v>2440</v>
      </c>
      <c r="BK91" s="16">
        <f ca="1">_xlfn.FLOOR.MATH(BJ91/24/3600*控制台!$E$2785)</f>
        <v>50</v>
      </c>
      <c r="BL91" s="15">
        <f ca="1" t="shared" si="47"/>
        <v>2400</v>
      </c>
      <c r="BM91" s="15">
        <f ca="1" t="shared" si="48"/>
        <v>14400</v>
      </c>
      <c r="BN91" s="17">
        <f ca="1" t="shared" si="56"/>
        <v>286684.8</v>
      </c>
    </row>
    <row r="92" s="15" customFormat="1" spans="1:66">
      <c r="A92" s="15">
        <f t="shared" si="32"/>
        <v>1002</v>
      </c>
      <c r="B92" s="15">
        <v>10</v>
      </c>
      <c r="C92" s="15">
        <v>2</v>
      </c>
      <c r="D92" s="15">
        <f ca="1">OFFSET(控制台!$D$2798,MATCH(B92,控制台!$B$2798:$B$2809,0)-2,0)*控制台!$E$2751</f>
        <v>4400000</v>
      </c>
      <c r="E92" s="15">
        <f ca="1">OFFSET(控制台!$D$2798,MATCH(B92,控制台!$B$2798:$B$2809,0)-1,0)*控制台!$E$2751</f>
        <v>4600000</v>
      </c>
      <c r="F92" s="15">
        <f ca="1">Lerp_dyy(D92,E92,C92/10)</f>
        <v>4440000</v>
      </c>
      <c r="G92" s="16">
        <f ca="1">_xlfn.FLOOR.MATH(F92/24/3600*控制台!$E$2784)-控制台!$E$2814</f>
        <v>505</v>
      </c>
      <c r="H92" s="15">
        <f ca="1" t="shared" si="33"/>
        <v>4363200</v>
      </c>
      <c r="I92" s="15">
        <f ca="1">IF(B92=1,0,OFFSET(控制台!$B$865,MATCH(B92-1,控制台!$G$865:$G$936,0)-1,0))</f>
        <v>180</v>
      </c>
      <c r="J92" s="15">
        <f ca="1">OFFSET(控制台!$B$865,MATCH(B92,控制台!$G$865:$G$936,0)-1,0)</f>
        <v>240</v>
      </c>
      <c r="K92" s="15">
        <f ca="1" t="shared" si="34"/>
        <v>6</v>
      </c>
      <c r="L92" s="17">
        <f ca="1">Lerp_dyy(I92,J92,C92/10)</f>
        <v>192</v>
      </c>
      <c r="M92" s="15">
        <f ca="1" t="shared" si="35"/>
        <v>26179200</v>
      </c>
      <c r="N92" s="17">
        <f ca="1" t="shared" si="49"/>
        <v>702269568</v>
      </c>
      <c r="O92" s="15">
        <f ca="1">OFFSET(控制台!$F$2798,MATCH(B92,控制台!$B$2798:$B$2809,0)-2,0)*控制台!$E$2755</f>
        <v>2640</v>
      </c>
      <c r="P92" s="15">
        <f ca="1">OFFSET(控制台!$F$2798,MATCH(B92,控制台!$B$2798:$B$2809,0)-1,0)*控制台!$E$2755</f>
        <v>2760</v>
      </c>
      <c r="Q92" s="15">
        <f ca="1">Lerp_dyy(O92,P92,C92/10)</f>
        <v>2664</v>
      </c>
      <c r="R92" s="16">
        <f ca="1">_xlfn.FLOOR.MATH(Q92/24/3600*控制台!$E$2785)</f>
        <v>55</v>
      </c>
      <c r="S92" s="15">
        <f ca="1" t="shared" si="36"/>
        <v>2640</v>
      </c>
      <c r="T92" s="15">
        <f ca="1" t="shared" si="37"/>
        <v>15840</v>
      </c>
      <c r="U92" s="17">
        <f ca="1" t="shared" si="50"/>
        <v>426187.2</v>
      </c>
      <c r="V92" s="15">
        <f ca="1">OFFSET(控制台!$I$2798,MATCH(B92,控制台!$B$2798:$B$2809,0)-2,0)*控制台!$E$2791</f>
        <v>2187.5</v>
      </c>
      <c r="W92" s="15">
        <f ca="1">OFFSET(控制台!$I$2798,MATCH(B92,控制台!$B$2798:$B$2809,0)-1,0)*控制台!$E$2791</f>
        <v>2500</v>
      </c>
      <c r="X92" s="15">
        <f ca="1">Lerp_dyy(V92,W92,C92/10)</f>
        <v>2250</v>
      </c>
      <c r="Y92" s="16">
        <f ca="1">_xlfn.FLOOR.MATH(X92)</f>
        <v>2250</v>
      </c>
      <c r="Z92" s="15">
        <f ca="1" t="shared" si="38"/>
        <v>2.7</v>
      </c>
      <c r="AA92" s="15">
        <f ca="1" t="shared" si="31"/>
        <v>16.2</v>
      </c>
      <c r="AB92" s="17">
        <f ca="1" t="shared" si="57"/>
        <v>358.97484</v>
      </c>
      <c r="AC92" s="17">
        <f ca="1">AB92*控制台!$E$4819</f>
        <v>287.179872</v>
      </c>
      <c r="AD92" s="17">
        <f ca="1">AB92*控制台!$E$4820</f>
        <v>6569.239572</v>
      </c>
      <c r="AE92" s="15">
        <f ca="1">OFFSET(控制台!$L$2798,MATCH(B92,控制台!$B$2798:$B$2809,0)-2,0)*控制台!$E$2763</f>
        <v>2100</v>
      </c>
      <c r="AF92" s="15">
        <f ca="1">OFFSET(控制台!$L$2798,MATCH(B92,控制台!$B$2798:$B$2809,0)-1,0)*控制台!$E$2763</f>
        <v>2400</v>
      </c>
      <c r="AG92" s="15">
        <f ca="1">Lerp_dyy(AE92,AF92,C92/10)</f>
        <v>2160</v>
      </c>
      <c r="AH92" s="15">
        <f ca="1" t="shared" si="39"/>
        <v>12960</v>
      </c>
      <c r="AI92" s="17">
        <f ca="1" t="shared" si="51"/>
        <v>284685</v>
      </c>
      <c r="AJ92" s="15">
        <f ca="1">OFFSET(控制台!$P$2798,MATCH(B92,控制台!$B$2798:$B$2809,0)-2,0)</f>
        <v>7000</v>
      </c>
      <c r="AK92" s="15">
        <f ca="1">OFFSET(控制台!$P$2798,MATCH(B92,控制台!$B$2798:$B$2809,0)-1,0)</f>
        <v>8000</v>
      </c>
      <c r="AL92" s="15">
        <f ca="1">Lerp_dyy(AJ92,AK92,C92/10)</f>
        <v>7200</v>
      </c>
      <c r="AM92" s="16">
        <f ca="1">_xlfn.FLOOR.MATH(AL92/24/3600*控制台!$E$2785)</f>
        <v>150</v>
      </c>
      <c r="AN92" s="15">
        <f ca="1" t="shared" si="40"/>
        <v>7200</v>
      </c>
      <c r="AO92" s="15">
        <f ca="1" t="shared" si="41"/>
        <v>43200</v>
      </c>
      <c r="AP92" s="17">
        <f ca="1" t="shared" si="52"/>
        <v>945278.4</v>
      </c>
      <c r="AQ92" s="15">
        <f ca="1">OFFSET(控制台!$V$2798,MATCH(B92,控制台!$B$2798:$B$2809,0)-2,0)*控制台!$E$2771</f>
        <v>2200000</v>
      </c>
      <c r="AR92" s="15">
        <f ca="1">OFFSET(控制台!$V$2798,MATCH(B92,控制台!$B$2798:$B$2809,0)-1,0)*控制台!$E$2771</f>
        <v>2300000</v>
      </c>
      <c r="AS92" s="15">
        <f ca="1">Lerp_dyy(AQ92,AR92,C92/10)</f>
        <v>2220000</v>
      </c>
      <c r="AT92" s="16">
        <f ca="1">MAX(_xlfn.FLOOR.MATH(AS92/24/3600*控制台!$E$2784)-控制台!$J$2814,0)</f>
        <v>252</v>
      </c>
      <c r="AU92" s="15">
        <f ca="1" t="shared" si="43"/>
        <v>2177280</v>
      </c>
      <c r="AV92" s="15">
        <f ca="1" t="shared" si="44"/>
        <v>13063680</v>
      </c>
      <c r="AW92" s="17">
        <f ca="1" t="shared" si="53"/>
        <v>349440480</v>
      </c>
      <c r="AX92" s="15">
        <f ca="1">OFFSET(控制台!$X$2798,MATCH(B92,控制台!$B$2798:$B$2809,0)-2,0)*控制台!$E$2775</f>
        <v>1320</v>
      </c>
      <c r="AY92" s="15">
        <f ca="1">OFFSET(控制台!$X$2798,MATCH(B92,控制台!$B$2798:$B$2809,0)-1,0)*控制台!$E$2775</f>
        <v>1380</v>
      </c>
      <c r="AZ92" s="15">
        <f ca="1">Lerp_dyy(AX92,AY92,C92/10)</f>
        <v>1332</v>
      </c>
      <c r="BA92" s="16">
        <f ca="1">_xlfn.FLOOR.MATH(AZ92/24/3600*控制台!$E$2785)</f>
        <v>27</v>
      </c>
      <c r="BB92" s="15">
        <f ca="1" t="shared" si="45"/>
        <v>1296</v>
      </c>
      <c r="BC92" s="15">
        <f ca="1" t="shared" si="46"/>
        <v>7776</v>
      </c>
      <c r="BD92" s="17">
        <f ca="1" t="shared" si="54"/>
        <v>209995.2</v>
      </c>
      <c r="BE92" s="1">
        <f ca="1">OFFSET(控制台!$AA$2798,MATCH(B92,控制台!$B$2798:$B$2809,0)-1,0)</f>
        <v>42.3533333333334</v>
      </c>
      <c r="BF92" s="1">
        <f ca="1" t="shared" si="42"/>
        <v>8131.84000000002</v>
      </c>
      <c r="BG92" s="17">
        <f ca="1" t="shared" si="55"/>
        <v>144444.493333334</v>
      </c>
      <c r="BH92" s="15">
        <f ca="1">OFFSET(控制台!$AD$2798,MATCH(B92,控制台!$B$2798:$B$2809,0)-2,0)</f>
        <v>2400</v>
      </c>
      <c r="BI92" s="15">
        <f ca="1">OFFSET(控制台!$AD$2798,MATCH(B92,控制台!$B$2798:$B$2809,0)-1,0)</f>
        <v>2800</v>
      </c>
      <c r="BJ92" s="15">
        <f ca="1">Lerp_dyy(BH92,BI92,C92/10)</f>
        <v>2480</v>
      </c>
      <c r="BK92" s="16">
        <f ca="1">_xlfn.FLOOR.MATH(BJ92/24/3600*控制台!$E$2785)</f>
        <v>51</v>
      </c>
      <c r="BL92" s="15">
        <f ca="1" t="shared" si="47"/>
        <v>2448</v>
      </c>
      <c r="BM92" s="15">
        <f ca="1" t="shared" si="48"/>
        <v>14688</v>
      </c>
      <c r="BN92" s="17">
        <f ca="1" t="shared" si="56"/>
        <v>301372.8</v>
      </c>
    </row>
    <row r="93" s="15" customFormat="1" spans="1:66">
      <c r="A93" s="15">
        <f t="shared" si="32"/>
        <v>1003</v>
      </c>
      <c r="B93" s="15">
        <v>10</v>
      </c>
      <c r="C93" s="15">
        <v>3</v>
      </c>
      <c r="D93" s="15">
        <f ca="1">OFFSET(控制台!$D$2798,MATCH(B93,控制台!$B$2798:$B$2809,0)-2,0)*控制台!$E$2751</f>
        <v>4400000</v>
      </c>
      <c r="E93" s="15">
        <f ca="1">OFFSET(控制台!$D$2798,MATCH(B93,控制台!$B$2798:$B$2809,0)-1,0)*控制台!$E$2751</f>
        <v>4600000</v>
      </c>
      <c r="F93" s="15">
        <f ca="1">Lerp_dyy(D93,E93,C93/10)</f>
        <v>4460000</v>
      </c>
      <c r="G93" s="16">
        <f ca="1">_xlfn.FLOOR.MATH(F93/24/3600*控制台!$E$2784)-控制台!$E$2814</f>
        <v>508</v>
      </c>
      <c r="H93" s="15">
        <f ca="1" t="shared" si="33"/>
        <v>4389120</v>
      </c>
      <c r="I93" s="15">
        <f ca="1">IF(B93=1,0,OFFSET(控制台!$B$865,MATCH(B93-1,控制台!$G$865:$G$936,0)-1,0))</f>
        <v>180</v>
      </c>
      <c r="J93" s="15">
        <f ca="1">OFFSET(控制台!$B$865,MATCH(B93,控制台!$G$865:$G$936,0)-1,0)</f>
        <v>240</v>
      </c>
      <c r="K93" s="15">
        <f ca="1" t="shared" si="34"/>
        <v>6</v>
      </c>
      <c r="L93" s="17">
        <f ca="1">Lerp_dyy(I93,J93,C93/10)</f>
        <v>198</v>
      </c>
      <c r="M93" s="15">
        <f ca="1" t="shared" si="35"/>
        <v>26334720</v>
      </c>
      <c r="N93" s="17">
        <f ca="1" t="shared" si="49"/>
        <v>728604288</v>
      </c>
      <c r="O93" s="15">
        <f ca="1">OFFSET(控制台!$F$2798,MATCH(B93,控制台!$B$2798:$B$2809,0)-2,0)*控制台!$E$2755</f>
        <v>2640</v>
      </c>
      <c r="P93" s="15">
        <f ca="1">OFFSET(控制台!$F$2798,MATCH(B93,控制台!$B$2798:$B$2809,0)-1,0)*控制台!$E$2755</f>
        <v>2760</v>
      </c>
      <c r="Q93" s="15">
        <f ca="1">Lerp_dyy(O93,P93,C93/10)</f>
        <v>2676</v>
      </c>
      <c r="R93" s="16">
        <f ca="1">_xlfn.FLOOR.MATH(Q93/24/3600*控制台!$E$2785)</f>
        <v>55</v>
      </c>
      <c r="S93" s="15">
        <f ca="1" t="shared" si="36"/>
        <v>2640</v>
      </c>
      <c r="T93" s="15">
        <f ca="1" t="shared" si="37"/>
        <v>15840</v>
      </c>
      <c r="U93" s="17">
        <f ca="1" t="shared" si="50"/>
        <v>442027.2</v>
      </c>
      <c r="V93" s="15">
        <f ca="1">OFFSET(控制台!$I$2798,MATCH(B93,控制台!$B$2798:$B$2809,0)-2,0)*控制台!$E$2791</f>
        <v>2187.5</v>
      </c>
      <c r="W93" s="15">
        <f ca="1">OFFSET(控制台!$I$2798,MATCH(B93,控制台!$B$2798:$B$2809,0)-1,0)*控制台!$E$2791</f>
        <v>2500</v>
      </c>
      <c r="X93" s="15">
        <f ca="1">Lerp_dyy(V93,W93,C93/10)</f>
        <v>2281.25</v>
      </c>
      <c r="Y93" s="16">
        <f ca="1">_xlfn.FLOOR.MATH(X93)</f>
        <v>2281</v>
      </c>
      <c r="Z93" s="15">
        <f ca="1" t="shared" si="38"/>
        <v>2.7372</v>
      </c>
      <c r="AA93" s="15">
        <f ca="1" t="shared" si="31"/>
        <v>16.4232</v>
      </c>
      <c r="AB93" s="17">
        <f ca="1" t="shared" si="57"/>
        <v>375.39804</v>
      </c>
      <c r="AC93" s="17">
        <f ca="1">AB93*控制台!$E$4819</f>
        <v>300.318432</v>
      </c>
      <c r="AD93" s="17">
        <f ca="1">AB93*控制台!$E$4820</f>
        <v>6869.784132</v>
      </c>
      <c r="AE93" s="15">
        <f ca="1">OFFSET(控制台!$L$2798,MATCH(B93,控制台!$B$2798:$B$2809,0)-2,0)*控制台!$E$2763</f>
        <v>2100</v>
      </c>
      <c r="AF93" s="15">
        <f ca="1">OFFSET(控制台!$L$2798,MATCH(B93,控制台!$B$2798:$B$2809,0)-1,0)*控制台!$E$2763</f>
        <v>2400</v>
      </c>
      <c r="AG93" s="15">
        <f ca="1">Lerp_dyy(AE93,AF93,C93/10)</f>
        <v>2190</v>
      </c>
      <c r="AH93" s="15">
        <f ca="1" t="shared" si="39"/>
        <v>13140</v>
      </c>
      <c r="AI93" s="17">
        <f ca="1" t="shared" si="51"/>
        <v>297825</v>
      </c>
      <c r="AJ93" s="15">
        <f ca="1">OFFSET(控制台!$P$2798,MATCH(B93,控制台!$B$2798:$B$2809,0)-2,0)</f>
        <v>7000</v>
      </c>
      <c r="AK93" s="15">
        <f ca="1">OFFSET(控制台!$P$2798,MATCH(B93,控制台!$B$2798:$B$2809,0)-1,0)</f>
        <v>8000</v>
      </c>
      <c r="AL93" s="15">
        <f ca="1">Lerp_dyy(AJ93,AK93,C93/10)</f>
        <v>7300</v>
      </c>
      <c r="AM93" s="16">
        <f ca="1">_xlfn.FLOOR.MATH(AL93/24/3600*控制台!$E$2785)</f>
        <v>152</v>
      </c>
      <c r="AN93" s="15">
        <f ca="1" t="shared" si="40"/>
        <v>7296</v>
      </c>
      <c r="AO93" s="15">
        <f ca="1" t="shared" si="41"/>
        <v>43776</v>
      </c>
      <c r="AP93" s="17">
        <f ca="1" t="shared" si="52"/>
        <v>989054.4</v>
      </c>
      <c r="AQ93" s="15">
        <f ca="1">OFFSET(控制台!$V$2798,MATCH(B93,控制台!$B$2798:$B$2809,0)-2,0)*控制台!$E$2771</f>
        <v>2200000</v>
      </c>
      <c r="AR93" s="15">
        <f ca="1">OFFSET(控制台!$V$2798,MATCH(B93,控制台!$B$2798:$B$2809,0)-1,0)*控制台!$E$2771</f>
        <v>2300000</v>
      </c>
      <c r="AS93" s="15">
        <f ca="1">Lerp_dyy(AQ93,AR93,C93/10)</f>
        <v>2230000</v>
      </c>
      <c r="AT93" s="16">
        <f ca="1">MAX(_xlfn.FLOOR.MATH(AS93/24/3600*控制台!$E$2784)-控制台!$J$2814,0)</f>
        <v>254</v>
      </c>
      <c r="AU93" s="15">
        <f ca="1" t="shared" si="43"/>
        <v>2194560</v>
      </c>
      <c r="AV93" s="15">
        <f ca="1" t="shared" si="44"/>
        <v>13167360</v>
      </c>
      <c r="AW93" s="17">
        <f ca="1" t="shared" si="53"/>
        <v>362607840</v>
      </c>
      <c r="AX93" s="15">
        <f ca="1">OFFSET(控制台!$X$2798,MATCH(B93,控制台!$B$2798:$B$2809,0)-2,0)*控制台!$E$2775</f>
        <v>1320</v>
      </c>
      <c r="AY93" s="15">
        <f ca="1">OFFSET(控制台!$X$2798,MATCH(B93,控制台!$B$2798:$B$2809,0)-1,0)*控制台!$E$2775</f>
        <v>1380</v>
      </c>
      <c r="AZ93" s="15">
        <f ca="1">Lerp_dyy(AX93,AY93,C93/10)</f>
        <v>1338</v>
      </c>
      <c r="BA93" s="16">
        <f ca="1">_xlfn.FLOOR.MATH(AZ93/24/3600*控制台!$E$2785)</f>
        <v>27</v>
      </c>
      <c r="BB93" s="15">
        <f ca="1" t="shared" si="45"/>
        <v>1296</v>
      </c>
      <c r="BC93" s="15">
        <f ca="1" t="shared" si="46"/>
        <v>7776</v>
      </c>
      <c r="BD93" s="17">
        <f ca="1" t="shared" si="54"/>
        <v>217771.2</v>
      </c>
      <c r="BE93" s="1">
        <f ca="1">OFFSET(控制台!$AA$2798,MATCH(B93,控制台!$B$2798:$B$2809,0)-1,0)</f>
        <v>42.3533333333334</v>
      </c>
      <c r="BF93" s="1">
        <f ca="1" t="shared" si="42"/>
        <v>8385.96000000002</v>
      </c>
      <c r="BG93" s="17">
        <f ca="1" t="shared" si="55"/>
        <v>152830.453333334</v>
      </c>
      <c r="BH93" s="15">
        <f ca="1">OFFSET(控制台!$AD$2798,MATCH(B93,控制台!$B$2798:$B$2809,0)-2,0)</f>
        <v>2400</v>
      </c>
      <c r="BI93" s="15">
        <f ca="1">OFFSET(控制台!$AD$2798,MATCH(B93,控制台!$B$2798:$B$2809,0)-1,0)</f>
        <v>2800</v>
      </c>
      <c r="BJ93" s="15">
        <f ca="1">Lerp_dyy(BH93,BI93,C93/10)</f>
        <v>2520</v>
      </c>
      <c r="BK93" s="16">
        <f ca="1">_xlfn.FLOOR.MATH(BJ93/24/3600*控制台!$E$2785)</f>
        <v>52</v>
      </c>
      <c r="BL93" s="15">
        <f ca="1" t="shared" si="47"/>
        <v>2496</v>
      </c>
      <c r="BM93" s="15">
        <f ca="1" t="shared" si="48"/>
        <v>14976</v>
      </c>
      <c r="BN93" s="17">
        <f ca="1" t="shared" si="56"/>
        <v>316348.8</v>
      </c>
    </row>
    <row r="94" s="15" customFormat="1" spans="1:66">
      <c r="A94" s="15">
        <f t="shared" si="32"/>
        <v>1004</v>
      </c>
      <c r="B94" s="15">
        <v>10</v>
      </c>
      <c r="C94" s="15">
        <v>4</v>
      </c>
      <c r="D94" s="15">
        <f ca="1">OFFSET(控制台!$D$2798,MATCH(B94,控制台!$B$2798:$B$2809,0)-2,0)*控制台!$E$2751</f>
        <v>4400000</v>
      </c>
      <c r="E94" s="15">
        <f ca="1">OFFSET(控制台!$D$2798,MATCH(B94,控制台!$B$2798:$B$2809,0)-1,0)*控制台!$E$2751</f>
        <v>4600000</v>
      </c>
      <c r="F94" s="15">
        <f ca="1">Lerp_dyy(D94,E94,C94/10)</f>
        <v>4480000</v>
      </c>
      <c r="G94" s="16">
        <f ca="1">_xlfn.FLOOR.MATH(F94/24/3600*控制台!$E$2784)-控制台!$E$2814</f>
        <v>510</v>
      </c>
      <c r="H94" s="15">
        <f ca="1" t="shared" si="33"/>
        <v>4406400</v>
      </c>
      <c r="I94" s="15">
        <f ca="1">IF(B94=1,0,OFFSET(控制台!$B$865,MATCH(B94-1,控制台!$G$865:$G$936,0)-1,0))</f>
        <v>180</v>
      </c>
      <c r="J94" s="15">
        <f ca="1">OFFSET(控制台!$B$865,MATCH(B94,控制台!$G$865:$G$936,0)-1,0)</f>
        <v>240</v>
      </c>
      <c r="K94" s="15">
        <f ca="1" t="shared" si="34"/>
        <v>6</v>
      </c>
      <c r="L94" s="17">
        <f ca="1">Lerp_dyy(I94,J94,C94/10)</f>
        <v>204</v>
      </c>
      <c r="M94" s="15">
        <f ca="1" t="shared" si="35"/>
        <v>26438400</v>
      </c>
      <c r="N94" s="17">
        <f ca="1" t="shared" si="49"/>
        <v>755042688</v>
      </c>
      <c r="O94" s="15">
        <f ca="1">OFFSET(控制台!$F$2798,MATCH(B94,控制台!$B$2798:$B$2809,0)-2,0)*控制台!$E$2755</f>
        <v>2640</v>
      </c>
      <c r="P94" s="15">
        <f ca="1">OFFSET(控制台!$F$2798,MATCH(B94,控制台!$B$2798:$B$2809,0)-1,0)*控制台!$E$2755</f>
        <v>2760</v>
      </c>
      <c r="Q94" s="15">
        <f ca="1">Lerp_dyy(O94,P94,C94/10)</f>
        <v>2688</v>
      </c>
      <c r="R94" s="16">
        <f ca="1">_xlfn.FLOOR.MATH(Q94/24/3600*控制台!$E$2785)</f>
        <v>56</v>
      </c>
      <c r="S94" s="15">
        <f ca="1" t="shared" si="36"/>
        <v>2688</v>
      </c>
      <c r="T94" s="15">
        <f ca="1" t="shared" si="37"/>
        <v>16128</v>
      </c>
      <c r="U94" s="17">
        <f ca="1" t="shared" si="50"/>
        <v>458155.2</v>
      </c>
      <c r="V94" s="15">
        <f ca="1">OFFSET(控制台!$I$2798,MATCH(B94,控制台!$B$2798:$B$2809,0)-2,0)*控制台!$E$2791</f>
        <v>2187.5</v>
      </c>
      <c r="W94" s="15">
        <f ca="1">OFFSET(控制台!$I$2798,MATCH(B94,控制台!$B$2798:$B$2809,0)-1,0)*控制台!$E$2791</f>
        <v>2500</v>
      </c>
      <c r="X94" s="15">
        <f ca="1">Lerp_dyy(V94,W94,C94/10)</f>
        <v>2312.5</v>
      </c>
      <c r="Y94" s="16">
        <f ca="1">_xlfn.FLOOR.MATH(X94)</f>
        <v>2312</v>
      </c>
      <c r="Z94" s="15">
        <f ca="1" t="shared" si="38"/>
        <v>2.7744</v>
      </c>
      <c r="AA94" s="15">
        <f ca="1" t="shared" si="31"/>
        <v>16.6464</v>
      </c>
      <c r="AB94" s="17">
        <f ca="1" t="shared" si="57"/>
        <v>392.04444</v>
      </c>
      <c r="AC94" s="17">
        <f ca="1">AB94*控制台!$E$4819</f>
        <v>313.635552</v>
      </c>
      <c r="AD94" s="17">
        <f ca="1">AB94*控制台!$E$4820</f>
        <v>7174.413252</v>
      </c>
      <c r="AE94" s="15">
        <f ca="1">OFFSET(控制台!$L$2798,MATCH(B94,控制台!$B$2798:$B$2809,0)-2,0)*控制台!$E$2763</f>
        <v>2100</v>
      </c>
      <c r="AF94" s="15">
        <f ca="1">OFFSET(控制台!$L$2798,MATCH(B94,控制台!$B$2798:$B$2809,0)-1,0)*控制台!$E$2763</f>
        <v>2400</v>
      </c>
      <c r="AG94" s="15">
        <f ca="1">Lerp_dyy(AE94,AF94,C94/10)</f>
        <v>2220</v>
      </c>
      <c r="AH94" s="15">
        <f ca="1" t="shared" si="39"/>
        <v>13320</v>
      </c>
      <c r="AI94" s="17">
        <f ca="1" t="shared" si="51"/>
        <v>311145</v>
      </c>
      <c r="AJ94" s="15">
        <f ca="1">OFFSET(控制台!$P$2798,MATCH(B94,控制台!$B$2798:$B$2809,0)-2,0)</f>
        <v>7000</v>
      </c>
      <c r="AK94" s="15">
        <f ca="1">OFFSET(控制台!$P$2798,MATCH(B94,控制台!$B$2798:$B$2809,0)-1,0)</f>
        <v>8000</v>
      </c>
      <c r="AL94" s="15">
        <f ca="1">Lerp_dyy(AJ94,AK94,C94/10)</f>
        <v>7400</v>
      </c>
      <c r="AM94" s="16">
        <f ca="1">_xlfn.FLOOR.MATH(AL94/24/3600*控制台!$E$2785)</f>
        <v>154</v>
      </c>
      <c r="AN94" s="15">
        <f ca="1" t="shared" si="40"/>
        <v>7392</v>
      </c>
      <c r="AO94" s="15">
        <f ca="1" t="shared" si="41"/>
        <v>44352</v>
      </c>
      <c r="AP94" s="17">
        <f ca="1" t="shared" si="52"/>
        <v>1033406.4</v>
      </c>
      <c r="AQ94" s="15">
        <f ca="1">OFFSET(控制台!$V$2798,MATCH(B94,控制台!$B$2798:$B$2809,0)-2,0)*控制台!$E$2771</f>
        <v>2200000</v>
      </c>
      <c r="AR94" s="15">
        <f ca="1">OFFSET(控制台!$V$2798,MATCH(B94,控制台!$B$2798:$B$2809,0)-1,0)*控制台!$E$2771</f>
        <v>2300000</v>
      </c>
      <c r="AS94" s="15">
        <f ca="1">Lerp_dyy(AQ94,AR94,C94/10)</f>
        <v>2240000</v>
      </c>
      <c r="AT94" s="16">
        <f ca="1">MAX(_xlfn.FLOOR.MATH(AS94/24/3600*控制台!$E$2784)-控制台!$J$2814,0)</f>
        <v>255</v>
      </c>
      <c r="AU94" s="15">
        <f ca="1" t="shared" si="43"/>
        <v>2203200</v>
      </c>
      <c r="AV94" s="15">
        <f ca="1" t="shared" si="44"/>
        <v>13219200</v>
      </c>
      <c r="AW94" s="17">
        <f ca="1" t="shared" si="53"/>
        <v>375827040</v>
      </c>
      <c r="AX94" s="15">
        <f ca="1">OFFSET(控制台!$X$2798,MATCH(B94,控制台!$B$2798:$B$2809,0)-2,0)*控制台!$E$2775</f>
        <v>1320</v>
      </c>
      <c r="AY94" s="15">
        <f ca="1">OFFSET(控制台!$X$2798,MATCH(B94,控制台!$B$2798:$B$2809,0)-1,0)*控制台!$E$2775</f>
        <v>1380</v>
      </c>
      <c r="AZ94" s="15">
        <f ca="1">Lerp_dyy(AX94,AY94,C94/10)</f>
        <v>1344</v>
      </c>
      <c r="BA94" s="16">
        <f ca="1">_xlfn.FLOOR.MATH(AZ94/24/3600*控制台!$E$2785)</f>
        <v>28</v>
      </c>
      <c r="BB94" s="15">
        <f ca="1" t="shared" si="45"/>
        <v>1344</v>
      </c>
      <c r="BC94" s="15">
        <f ca="1" t="shared" si="46"/>
        <v>8064</v>
      </c>
      <c r="BD94" s="17">
        <f ca="1" t="shared" si="54"/>
        <v>225835.2</v>
      </c>
      <c r="BE94" s="1">
        <f ca="1">OFFSET(控制台!$AA$2798,MATCH(B94,控制台!$B$2798:$B$2809,0)-1,0)</f>
        <v>42.3533333333334</v>
      </c>
      <c r="BF94" s="1">
        <f ca="1" t="shared" si="42"/>
        <v>8640.08000000002</v>
      </c>
      <c r="BG94" s="17">
        <f ca="1" t="shared" si="55"/>
        <v>161470.533333334</v>
      </c>
      <c r="BH94" s="15">
        <f ca="1">OFFSET(控制台!$AD$2798,MATCH(B94,控制台!$B$2798:$B$2809,0)-2,0)</f>
        <v>2400</v>
      </c>
      <c r="BI94" s="15">
        <f ca="1">OFFSET(控制台!$AD$2798,MATCH(B94,控制台!$B$2798:$B$2809,0)-1,0)</f>
        <v>2800</v>
      </c>
      <c r="BJ94" s="15">
        <f ca="1">Lerp_dyy(BH94,BI94,C94/10)</f>
        <v>2560</v>
      </c>
      <c r="BK94" s="16">
        <f ca="1">_xlfn.FLOOR.MATH(BJ94/24/3600*控制台!$E$2785)</f>
        <v>53</v>
      </c>
      <c r="BL94" s="15">
        <f ca="1" t="shared" si="47"/>
        <v>2544</v>
      </c>
      <c r="BM94" s="15">
        <f ca="1" t="shared" si="48"/>
        <v>15264</v>
      </c>
      <c r="BN94" s="17">
        <f ca="1" t="shared" si="56"/>
        <v>331612.8</v>
      </c>
    </row>
    <row r="95" s="15" customFormat="1" spans="1:66">
      <c r="A95" s="15">
        <f t="shared" si="32"/>
        <v>1005</v>
      </c>
      <c r="B95" s="15">
        <v>10</v>
      </c>
      <c r="C95" s="15">
        <v>5</v>
      </c>
      <c r="D95" s="15">
        <f ca="1">OFFSET(控制台!$D$2798,MATCH(B95,控制台!$B$2798:$B$2809,0)-2,0)*控制台!$E$2751</f>
        <v>4400000</v>
      </c>
      <c r="E95" s="15">
        <f ca="1">OFFSET(控制台!$D$2798,MATCH(B95,控制台!$B$2798:$B$2809,0)-1,0)*控制台!$E$2751</f>
        <v>4600000</v>
      </c>
      <c r="F95" s="15">
        <f ca="1">Lerp_dyy(D95,E95,C95/10)</f>
        <v>4500000</v>
      </c>
      <c r="G95" s="16">
        <f ca="1">_xlfn.FLOOR.MATH(F95/24/3600*控制台!$E$2784)-控制台!$E$2814</f>
        <v>512</v>
      </c>
      <c r="H95" s="15">
        <f ca="1" t="shared" si="33"/>
        <v>4423680</v>
      </c>
      <c r="I95" s="15">
        <f ca="1">IF(B95=1,0,OFFSET(控制台!$B$865,MATCH(B95-1,控制台!$G$865:$G$936,0)-1,0))</f>
        <v>180</v>
      </c>
      <c r="J95" s="15">
        <f ca="1">OFFSET(控制台!$B$865,MATCH(B95,控制台!$G$865:$G$936,0)-1,0)</f>
        <v>240</v>
      </c>
      <c r="K95" s="15">
        <f ca="1" t="shared" si="34"/>
        <v>6</v>
      </c>
      <c r="L95" s="17">
        <f ca="1">Lerp_dyy(I95,J95,C95/10)</f>
        <v>210</v>
      </c>
      <c r="M95" s="15">
        <f ca="1" t="shared" si="35"/>
        <v>26542080</v>
      </c>
      <c r="N95" s="17">
        <f ca="1" t="shared" si="49"/>
        <v>781584768</v>
      </c>
      <c r="O95" s="15">
        <f ca="1">OFFSET(控制台!$F$2798,MATCH(B95,控制台!$B$2798:$B$2809,0)-2,0)*控制台!$E$2755</f>
        <v>2640</v>
      </c>
      <c r="P95" s="15">
        <f ca="1">OFFSET(控制台!$F$2798,MATCH(B95,控制台!$B$2798:$B$2809,0)-1,0)*控制台!$E$2755</f>
        <v>2760</v>
      </c>
      <c r="Q95" s="15">
        <f ca="1">Lerp_dyy(O95,P95,C95/10)</f>
        <v>2700</v>
      </c>
      <c r="R95" s="16">
        <f ca="1">_xlfn.FLOOR.MATH(Q95/24/3600*控制台!$E$2785)</f>
        <v>56</v>
      </c>
      <c r="S95" s="15">
        <f ca="1" t="shared" si="36"/>
        <v>2688</v>
      </c>
      <c r="T95" s="15">
        <f ca="1" t="shared" si="37"/>
        <v>16128</v>
      </c>
      <c r="U95" s="17">
        <f ca="1" t="shared" si="50"/>
        <v>474283.2</v>
      </c>
      <c r="V95" s="15">
        <f ca="1">OFFSET(控制台!$I$2798,MATCH(B95,控制台!$B$2798:$B$2809,0)-2,0)*控制台!$E$2791</f>
        <v>2187.5</v>
      </c>
      <c r="W95" s="15">
        <f ca="1">OFFSET(控制台!$I$2798,MATCH(B95,控制台!$B$2798:$B$2809,0)-1,0)*控制台!$E$2791</f>
        <v>2500</v>
      </c>
      <c r="X95" s="15">
        <f ca="1">Lerp_dyy(V95,W95,C95/10)</f>
        <v>2343.75</v>
      </c>
      <c r="Y95" s="16">
        <f ca="1">_xlfn.FLOOR.MATH(X95)</f>
        <v>2343</v>
      </c>
      <c r="Z95" s="15">
        <f ca="1" t="shared" si="38"/>
        <v>2.8116</v>
      </c>
      <c r="AA95" s="15">
        <f ca="1" t="shared" si="31"/>
        <v>16.8696</v>
      </c>
      <c r="AB95" s="17">
        <f ca="1" t="shared" si="57"/>
        <v>408.91404</v>
      </c>
      <c r="AC95" s="17">
        <f ca="1">AB95*控制台!$E$4819</f>
        <v>327.131232</v>
      </c>
      <c r="AD95" s="17">
        <f ca="1">AB95*控制台!$E$4820</f>
        <v>7483.126932</v>
      </c>
      <c r="AE95" s="15">
        <f ca="1">OFFSET(控制台!$L$2798,MATCH(B95,控制台!$B$2798:$B$2809,0)-2,0)*控制台!$E$2763</f>
        <v>2100</v>
      </c>
      <c r="AF95" s="15">
        <f ca="1">OFFSET(控制台!$L$2798,MATCH(B95,控制台!$B$2798:$B$2809,0)-1,0)*控制台!$E$2763</f>
        <v>2400</v>
      </c>
      <c r="AG95" s="15">
        <f ca="1">Lerp_dyy(AE95,AF95,C95/10)</f>
        <v>2250</v>
      </c>
      <c r="AH95" s="15">
        <f ca="1" t="shared" si="39"/>
        <v>13500</v>
      </c>
      <c r="AI95" s="17">
        <f ca="1" t="shared" si="51"/>
        <v>324645</v>
      </c>
      <c r="AJ95" s="15">
        <f ca="1">OFFSET(控制台!$P$2798,MATCH(B95,控制台!$B$2798:$B$2809,0)-2,0)</f>
        <v>7000</v>
      </c>
      <c r="AK95" s="15">
        <f ca="1">OFFSET(控制台!$P$2798,MATCH(B95,控制台!$B$2798:$B$2809,0)-1,0)</f>
        <v>8000</v>
      </c>
      <c r="AL95" s="15">
        <f ca="1">Lerp_dyy(AJ95,AK95,C95/10)</f>
        <v>7500</v>
      </c>
      <c r="AM95" s="16">
        <f ca="1">_xlfn.FLOOR.MATH(AL95/24/3600*控制台!$E$2785)</f>
        <v>156</v>
      </c>
      <c r="AN95" s="15">
        <f ca="1" t="shared" si="40"/>
        <v>7488</v>
      </c>
      <c r="AO95" s="15">
        <f ca="1" t="shared" si="41"/>
        <v>44928</v>
      </c>
      <c r="AP95" s="17">
        <f ca="1" t="shared" si="52"/>
        <v>1078334.4</v>
      </c>
      <c r="AQ95" s="15">
        <f ca="1">OFFSET(控制台!$V$2798,MATCH(B95,控制台!$B$2798:$B$2809,0)-2,0)*控制台!$E$2771</f>
        <v>2200000</v>
      </c>
      <c r="AR95" s="15">
        <f ca="1">OFFSET(控制台!$V$2798,MATCH(B95,控制台!$B$2798:$B$2809,0)-1,0)*控制台!$E$2771</f>
        <v>2300000</v>
      </c>
      <c r="AS95" s="15">
        <f ca="1">Lerp_dyy(AQ95,AR95,C95/10)</f>
        <v>2250000</v>
      </c>
      <c r="AT95" s="16">
        <f ca="1">MAX(_xlfn.FLOOR.MATH(AS95/24/3600*控制台!$E$2784)-控制台!$J$2814,0)</f>
        <v>256</v>
      </c>
      <c r="AU95" s="15">
        <f ca="1" t="shared" si="43"/>
        <v>2211840</v>
      </c>
      <c r="AV95" s="15">
        <f ca="1" t="shared" si="44"/>
        <v>13271040</v>
      </c>
      <c r="AW95" s="17">
        <f ca="1" t="shared" si="53"/>
        <v>389098080</v>
      </c>
      <c r="AX95" s="15">
        <f ca="1">OFFSET(控制台!$X$2798,MATCH(B95,控制台!$B$2798:$B$2809,0)-2,0)*控制台!$E$2775</f>
        <v>1320</v>
      </c>
      <c r="AY95" s="15">
        <f ca="1">OFFSET(控制台!$X$2798,MATCH(B95,控制台!$B$2798:$B$2809,0)-1,0)*控制台!$E$2775</f>
        <v>1380</v>
      </c>
      <c r="AZ95" s="15">
        <f ca="1">Lerp_dyy(AX95,AY95,C95/10)</f>
        <v>1350</v>
      </c>
      <c r="BA95" s="16">
        <f ca="1">_xlfn.FLOOR.MATH(AZ95/24/3600*控制台!$E$2785)</f>
        <v>28</v>
      </c>
      <c r="BB95" s="15">
        <f ca="1" t="shared" si="45"/>
        <v>1344</v>
      </c>
      <c r="BC95" s="15">
        <f ca="1" t="shared" si="46"/>
        <v>8064</v>
      </c>
      <c r="BD95" s="17">
        <f ca="1" t="shared" si="54"/>
        <v>233899.2</v>
      </c>
      <c r="BE95" s="1">
        <f ca="1">OFFSET(控制台!$AA$2798,MATCH(B95,控制台!$B$2798:$B$2809,0)-1,0)</f>
        <v>42.3533333333334</v>
      </c>
      <c r="BF95" s="1">
        <f ca="1" t="shared" si="42"/>
        <v>8894.20000000002</v>
      </c>
      <c r="BG95" s="17">
        <f ca="1" t="shared" si="55"/>
        <v>170364.733333334</v>
      </c>
      <c r="BH95" s="15">
        <f ca="1">OFFSET(控制台!$AD$2798,MATCH(B95,控制台!$B$2798:$B$2809,0)-2,0)</f>
        <v>2400</v>
      </c>
      <c r="BI95" s="15">
        <f ca="1">OFFSET(控制台!$AD$2798,MATCH(B95,控制台!$B$2798:$B$2809,0)-1,0)</f>
        <v>2800</v>
      </c>
      <c r="BJ95" s="15">
        <f ca="1">Lerp_dyy(BH95,BI95,C95/10)</f>
        <v>2600</v>
      </c>
      <c r="BK95" s="16">
        <f ca="1">_xlfn.FLOOR.MATH(BJ95/24/3600*控制台!$E$2785)</f>
        <v>54</v>
      </c>
      <c r="BL95" s="15">
        <f ca="1" t="shared" si="47"/>
        <v>2592</v>
      </c>
      <c r="BM95" s="15">
        <f ca="1" t="shared" si="48"/>
        <v>15552</v>
      </c>
      <c r="BN95" s="17">
        <f ca="1" t="shared" si="56"/>
        <v>347164.8</v>
      </c>
    </row>
    <row r="96" s="15" customFormat="1" spans="1:66">
      <c r="A96" s="15">
        <f t="shared" si="32"/>
        <v>1006</v>
      </c>
      <c r="B96" s="15">
        <v>10</v>
      </c>
      <c r="C96" s="15">
        <v>6</v>
      </c>
      <c r="D96" s="15">
        <f ca="1">OFFSET(控制台!$D$2798,MATCH(B96,控制台!$B$2798:$B$2809,0)-2,0)*控制台!$E$2751</f>
        <v>4400000</v>
      </c>
      <c r="E96" s="15">
        <f ca="1">OFFSET(控制台!$D$2798,MATCH(B96,控制台!$B$2798:$B$2809,0)-1,0)*控制台!$E$2751</f>
        <v>4600000</v>
      </c>
      <c r="F96" s="15">
        <f ca="1">Lerp_dyy(D96,E96,C96/10)</f>
        <v>4520000</v>
      </c>
      <c r="G96" s="16">
        <f ca="1">_xlfn.FLOOR.MATH(F96/24/3600*控制台!$E$2784)-控制台!$E$2814</f>
        <v>515</v>
      </c>
      <c r="H96" s="15">
        <f ca="1" t="shared" si="33"/>
        <v>4449600</v>
      </c>
      <c r="I96" s="15">
        <f ca="1">IF(B96=1,0,OFFSET(控制台!$B$865,MATCH(B96-1,控制台!$G$865:$G$936,0)-1,0))</f>
        <v>180</v>
      </c>
      <c r="J96" s="15">
        <f ca="1">OFFSET(控制台!$B$865,MATCH(B96,控制台!$G$865:$G$936,0)-1,0)</f>
        <v>240</v>
      </c>
      <c r="K96" s="15">
        <f ca="1" t="shared" si="34"/>
        <v>6</v>
      </c>
      <c r="L96" s="17">
        <f ca="1">Lerp_dyy(I96,J96,C96/10)</f>
        <v>216</v>
      </c>
      <c r="M96" s="15">
        <f ca="1" t="shared" si="35"/>
        <v>26697600</v>
      </c>
      <c r="N96" s="17">
        <f ca="1" t="shared" si="49"/>
        <v>808282368</v>
      </c>
      <c r="O96" s="15">
        <f ca="1">OFFSET(控制台!$F$2798,MATCH(B96,控制台!$B$2798:$B$2809,0)-2,0)*控制台!$E$2755</f>
        <v>2640</v>
      </c>
      <c r="P96" s="15">
        <f ca="1">OFFSET(控制台!$F$2798,MATCH(B96,控制台!$B$2798:$B$2809,0)-1,0)*控制台!$E$2755</f>
        <v>2760</v>
      </c>
      <c r="Q96" s="15">
        <f ca="1">Lerp_dyy(O96,P96,C96/10)</f>
        <v>2712</v>
      </c>
      <c r="R96" s="16">
        <f ca="1">_xlfn.FLOOR.MATH(Q96/24/3600*控制台!$E$2785)</f>
        <v>56</v>
      </c>
      <c r="S96" s="15">
        <f ca="1" t="shared" si="36"/>
        <v>2688</v>
      </c>
      <c r="T96" s="15">
        <f ca="1" t="shared" si="37"/>
        <v>16128</v>
      </c>
      <c r="U96" s="17">
        <f ca="1" t="shared" si="50"/>
        <v>490411.2</v>
      </c>
      <c r="V96" s="15">
        <f ca="1">OFFSET(控制台!$I$2798,MATCH(B96,控制台!$B$2798:$B$2809,0)-2,0)*控制台!$E$2791</f>
        <v>2187.5</v>
      </c>
      <c r="W96" s="15">
        <f ca="1">OFFSET(控制台!$I$2798,MATCH(B96,控制台!$B$2798:$B$2809,0)-1,0)*控制台!$E$2791</f>
        <v>2500</v>
      </c>
      <c r="X96" s="15">
        <f ca="1">Lerp_dyy(V96,W96,C96/10)</f>
        <v>2375</v>
      </c>
      <c r="Y96" s="16">
        <f ca="1">_xlfn.FLOOR.MATH(X96)</f>
        <v>2375</v>
      </c>
      <c r="Z96" s="15">
        <f ca="1" t="shared" si="38"/>
        <v>2.85</v>
      </c>
      <c r="AA96" s="15">
        <f ca="1" t="shared" si="31"/>
        <v>17.1</v>
      </c>
      <c r="AB96" s="17">
        <f ca="1" t="shared" si="57"/>
        <v>426.01404</v>
      </c>
      <c r="AC96" s="17">
        <f ca="1">AB96*控制台!$E$4819</f>
        <v>340.811232</v>
      </c>
      <c r="AD96" s="17">
        <f ca="1">AB96*控制台!$E$4820</f>
        <v>7796.056932</v>
      </c>
      <c r="AE96" s="15">
        <f ca="1">OFFSET(控制台!$L$2798,MATCH(B96,控制台!$B$2798:$B$2809,0)-2,0)*控制台!$E$2763</f>
        <v>2100</v>
      </c>
      <c r="AF96" s="15">
        <f ca="1">OFFSET(控制台!$L$2798,MATCH(B96,控制台!$B$2798:$B$2809,0)-1,0)*控制台!$E$2763</f>
        <v>2400</v>
      </c>
      <c r="AG96" s="15">
        <f ca="1">Lerp_dyy(AE96,AF96,C96/10)</f>
        <v>2280</v>
      </c>
      <c r="AH96" s="15">
        <f ca="1" t="shared" si="39"/>
        <v>13680</v>
      </c>
      <c r="AI96" s="17">
        <f ca="1" t="shared" si="51"/>
        <v>338325</v>
      </c>
      <c r="AJ96" s="15">
        <f ca="1">OFFSET(控制台!$P$2798,MATCH(B96,控制台!$B$2798:$B$2809,0)-2,0)</f>
        <v>7000</v>
      </c>
      <c r="AK96" s="15">
        <f ca="1">OFFSET(控制台!$P$2798,MATCH(B96,控制台!$B$2798:$B$2809,0)-1,0)</f>
        <v>8000</v>
      </c>
      <c r="AL96" s="15">
        <f ca="1">Lerp_dyy(AJ96,AK96,C96/10)</f>
        <v>7600</v>
      </c>
      <c r="AM96" s="16">
        <f ca="1">_xlfn.FLOOR.MATH(AL96/24/3600*控制台!$E$2785)</f>
        <v>158</v>
      </c>
      <c r="AN96" s="15">
        <f ca="1" t="shared" si="40"/>
        <v>7584</v>
      </c>
      <c r="AO96" s="15">
        <f ca="1" t="shared" si="41"/>
        <v>45504</v>
      </c>
      <c r="AP96" s="17">
        <f ca="1" t="shared" si="52"/>
        <v>1123838.4</v>
      </c>
      <c r="AQ96" s="15">
        <f ca="1">OFFSET(控制台!$V$2798,MATCH(B96,控制台!$B$2798:$B$2809,0)-2,0)*控制台!$E$2771</f>
        <v>2200000</v>
      </c>
      <c r="AR96" s="15">
        <f ca="1">OFFSET(控制台!$V$2798,MATCH(B96,控制台!$B$2798:$B$2809,0)-1,0)*控制台!$E$2771</f>
        <v>2300000</v>
      </c>
      <c r="AS96" s="15">
        <f ca="1">Lerp_dyy(AQ96,AR96,C96/10)</f>
        <v>2260000</v>
      </c>
      <c r="AT96" s="16">
        <f ca="1">MAX(_xlfn.FLOOR.MATH(AS96/24/3600*控制台!$E$2784)-控制台!$J$2814,0)</f>
        <v>257</v>
      </c>
      <c r="AU96" s="15">
        <f ca="1" t="shared" si="43"/>
        <v>2220480</v>
      </c>
      <c r="AV96" s="15">
        <f ca="1" t="shared" si="44"/>
        <v>13322880</v>
      </c>
      <c r="AW96" s="17">
        <f ca="1" t="shared" si="53"/>
        <v>402420960</v>
      </c>
      <c r="AX96" s="15">
        <f ca="1">OFFSET(控制台!$X$2798,MATCH(B96,控制台!$B$2798:$B$2809,0)-2,0)*控制台!$E$2775</f>
        <v>1320</v>
      </c>
      <c r="AY96" s="15">
        <f ca="1">OFFSET(控制台!$X$2798,MATCH(B96,控制台!$B$2798:$B$2809,0)-1,0)*控制台!$E$2775</f>
        <v>1380</v>
      </c>
      <c r="AZ96" s="15">
        <f ca="1">Lerp_dyy(AX96,AY96,C96/10)</f>
        <v>1356</v>
      </c>
      <c r="BA96" s="16">
        <f ca="1">_xlfn.FLOOR.MATH(AZ96/24/3600*控制台!$E$2785)</f>
        <v>28</v>
      </c>
      <c r="BB96" s="15">
        <f ca="1" t="shared" si="45"/>
        <v>1344</v>
      </c>
      <c r="BC96" s="15">
        <f ca="1" t="shared" si="46"/>
        <v>8064</v>
      </c>
      <c r="BD96" s="17">
        <f ca="1" t="shared" si="54"/>
        <v>241963.2</v>
      </c>
      <c r="BE96" s="1">
        <f ca="1">OFFSET(控制台!$AA$2798,MATCH(B96,控制台!$B$2798:$B$2809,0)-1,0)</f>
        <v>42.3533333333334</v>
      </c>
      <c r="BF96" s="1">
        <f ca="1" t="shared" si="42"/>
        <v>9148.32000000002</v>
      </c>
      <c r="BG96" s="17">
        <f ca="1" t="shared" si="55"/>
        <v>179513.053333334</v>
      </c>
      <c r="BH96" s="15">
        <f ca="1">OFFSET(控制台!$AD$2798,MATCH(B96,控制台!$B$2798:$B$2809,0)-2,0)</f>
        <v>2400</v>
      </c>
      <c r="BI96" s="15">
        <f ca="1">OFFSET(控制台!$AD$2798,MATCH(B96,控制台!$B$2798:$B$2809,0)-1,0)</f>
        <v>2800</v>
      </c>
      <c r="BJ96" s="15">
        <f ca="1">Lerp_dyy(BH96,BI96,C96/10)</f>
        <v>2640</v>
      </c>
      <c r="BK96" s="16">
        <f ca="1">_xlfn.FLOOR.MATH(BJ96/24/3600*控制台!$E$2785)</f>
        <v>55</v>
      </c>
      <c r="BL96" s="15">
        <f ca="1" t="shared" si="47"/>
        <v>2640</v>
      </c>
      <c r="BM96" s="15">
        <f ca="1" t="shared" si="48"/>
        <v>15840</v>
      </c>
      <c r="BN96" s="17">
        <f ca="1" t="shared" si="56"/>
        <v>363004.8</v>
      </c>
    </row>
    <row r="97" s="15" customFormat="1" spans="1:66">
      <c r="A97" s="15">
        <f t="shared" si="32"/>
        <v>1007</v>
      </c>
      <c r="B97" s="15">
        <v>10</v>
      </c>
      <c r="C97" s="15">
        <v>7</v>
      </c>
      <c r="D97" s="15">
        <f ca="1">OFFSET(控制台!$D$2798,MATCH(B97,控制台!$B$2798:$B$2809,0)-2,0)*控制台!$E$2751</f>
        <v>4400000</v>
      </c>
      <c r="E97" s="15">
        <f ca="1">OFFSET(控制台!$D$2798,MATCH(B97,控制台!$B$2798:$B$2809,0)-1,0)*控制台!$E$2751</f>
        <v>4600000</v>
      </c>
      <c r="F97" s="15">
        <f ca="1">Lerp_dyy(D97,E97,C97/10)</f>
        <v>4540000</v>
      </c>
      <c r="G97" s="16">
        <f ca="1">_xlfn.FLOOR.MATH(F97/24/3600*控制台!$E$2784)-控制台!$E$2814</f>
        <v>517</v>
      </c>
      <c r="H97" s="15">
        <f ca="1" t="shared" si="33"/>
        <v>4466880</v>
      </c>
      <c r="I97" s="15">
        <f ca="1">IF(B97=1,0,OFFSET(控制台!$B$865,MATCH(B97-1,控制台!$G$865:$G$936,0)-1,0))</f>
        <v>180</v>
      </c>
      <c r="J97" s="15">
        <f ca="1">OFFSET(控制台!$B$865,MATCH(B97,控制台!$G$865:$G$936,0)-1,0)</f>
        <v>240</v>
      </c>
      <c r="K97" s="15">
        <f ca="1" t="shared" si="34"/>
        <v>6</v>
      </c>
      <c r="L97" s="17">
        <f ca="1">Lerp_dyy(I97,J97,C97/10)</f>
        <v>222</v>
      </c>
      <c r="M97" s="15">
        <f ca="1" t="shared" si="35"/>
        <v>26801280</v>
      </c>
      <c r="N97" s="17">
        <f ca="1" t="shared" si="49"/>
        <v>835083648</v>
      </c>
      <c r="O97" s="15">
        <f ca="1">OFFSET(控制台!$F$2798,MATCH(B97,控制台!$B$2798:$B$2809,0)-2,0)*控制台!$E$2755</f>
        <v>2640</v>
      </c>
      <c r="P97" s="15">
        <f ca="1">OFFSET(控制台!$F$2798,MATCH(B97,控制台!$B$2798:$B$2809,0)-1,0)*控制台!$E$2755</f>
        <v>2760</v>
      </c>
      <c r="Q97" s="15">
        <f ca="1">Lerp_dyy(O97,P97,C97/10)</f>
        <v>2724</v>
      </c>
      <c r="R97" s="16">
        <f ca="1">_xlfn.FLOOR.MATH(Q97/24/3600*控制台!$E$2785)</f>
        <v>56</v>
      </c>
      <c r="S97" s="15">
        <f ca="1" t="shared" si="36"/>
        <v>2688</v>
      </c>
      <c r="T97" s="15">
        <f ca="1" t="shared" si="37"/>
        <v>16128</v>
      </c>
      <c r="U97" s="17">
        <f ca="1" t="shared" si="50"/>
        <v>506539.2</v>
      </c>
      <c r="V97" s="15">
        <f ca="1">OFFSET(控制台!$I$2798,MATCH(B97,控制台!$B$2798:$B$2809,0)-2,0)*控制台!$E$2791</f>
        <v>2187.5</v>
      </c>
      <c r="W97" s="15">
        <f ca="1">OFFSET(控制台!$I$2798,MATCH(B97,控制台!$B$2798:$B$2809,0)-1,0)*控制台!$E$2791</f>
        <v>2500</v>
      </c>
      <c r="X97" s="15">
        <f ca="1">Lerp_dyy(V97,W97,C97/10)</f>
        <v>2406.25</v>
      </c>
      <c r="Y97" s="16">
        <f ca="1">_xlfn.FLOOR.MATH(X97)</f>
        <v>2406</v>
      </c>
      <c r="Z97" s="15">
        <f ca="1" t="shared" si="38"/>
        <v>2.8872</v>
      </c>
      <c r="AA97" s="15">
        <f ca="1" t="shared" ref="AA97:AA120" si="58">Z97*K97</f>
        <v>17.3232</v>
      </c>
      <c r="AB97" s="17">
        <f ca="1" t="shared" si="57"/>
        <v>443.33724</v>
      </c>
      <c r="AC97" s="17">
        <f ca="1">AB97*控制台!$E$4819</f>
        <v>354.669792</v>
      </c>
      <c r="AD97" s="17">
        <f ca="1">AB97*控制台!$E$4820</f>
        <v>8113.071492</v>
      </c>
      <c r="AE97" s="15">
        <f ca="1">OFFSET(控制台!$L$2798,MATCH(B97,控制台!$B$2798:$B$2809,0)-2,0)*控制台!$E$2763</f>
        <v>2100</v>
      </c>
      <c r="AF97" s="15">
        <f ca="1">OFFSET(控制台!$L$2798,MATCH(B97,控制台!$B$2798:$B$2809,0)-1,0)*控制台!$E$2763</f>
        <v>2400</v>
      </c>
      <c r="AG97" s="15">
        <f ca="1">Lerp_dyy(AE97,AF97,C97/10)</f>
        <v>2310</v>
      </c>
      <c r="AH97" s="15">
        <f ca="1" t="shared" si="39"/>
        <v>13860</v>
      </c>
      <c r="AI97" s="17">
        <f ca="1" t="shared" si="51"/>
        <v>352185</v>
      </c>
      <c r="AJ97" s="15">
        <f ca="1">OFFSET(控制台!$P$2798,MATCH(B97,控制台!$B$2798:$B$2809,0)-2,0)</f>
        <v>7000</v>
      </c>
      <c r="AK97" s="15">
        <f ca="1">OFFSET(控制台!$P$2798,MATCH(B97,控制台!$B$2798:$B$2809,0)-1,0)</f>
        <v>8000</v>
      </c>
      <c r="AL97" s="15">
        <f ca="1">Lerp_dyy(AJ97,AK97,C97/10)</f>
        <v>7700</v>
      </c>
      <c r="AM97" s="16">
        <f ca="1">_xlfn.FLOOR.MATH(AL97/24/3600*控制台!$E$2785)</f>
        <v>160</v>
      </c>
      <c r="AN97" s="15">
        <f ca="1" t="shared" si="40"/>
        <v>7680</v>
      </c>
      <c r="AO97" s="15">
        <f ca="1" t="shared" si="41"/>
        <v>46080</v>
      </c>
      <c r="AP97" s="17">
        <f ca="1" t="shared" si="52"/>
        <v>1169918.4</v>
      </c>
      <c r="AQ97" s="15">
        <f ca="1">OFFSET(控制台!$V$2798,MATCH(B97,控制台!$B$2798:$B$2809,0)-2,0)*控制台!$E$2771</f>
        <v>2200000</v>
      </c>
      <c r="AR97" s="15">
        <f ca="1">OFFSET(控制台!$V$2798,MATCH(B97,控制台!$B$2798:$B$2809,0)-1,0)*控制台!$E$2771</f>
        <v>2300000</v>
      </c>
      <c r="AS97" s="15">
        <f ca="1">Lerp_dyy(AQ97,AR97,C97/10)</f>
        <v>2270000</v>
      </c>
      <c r="AT97" s="16">
        <f ca="1">MAX(_xlfn.FLOOR.MATH(AS97/24/3600*控制台!$E$2784)-控制台!$J$2814,0)</f>
        <v>258</v>
      </c>
      <c r="AU97" s="15">
        <f ca="1" t="shared" si="43"/>
        <v>2229120</v>
      </c>
      <c r="AV97" s="15">
        <f ca="1" t="shared" si="44"/>
        <v>13374720</v>
      </c>
      <c r="AW97" s="17">
        <f ca="1" t="shared" si="53"/>
        <v>415795680</v>
      </c>
      <c r="AX97" s="15">
        <f ca="1">OFFSET(控制台!$X$2798,MATCH(B97,控制台!$B$2798:$B$2809,0)-2,0)*控制台!$E$2775</f>
        <v>1320</v>
      </c>
      <c r="AY97" s="15">
        <f ca="1">OFFSET(控制台!$X$2798,MATCH(B97,控制台!$B$2798:$B$2809,0)-1,0)*控制台!$E$2775</f>
        <v>1380</v>
      </c>
      <c r="AZ97" s="15">
        <f ca="1">Lerp_dyy(AX97,AY97,C97/10)</f>
        <v>1362</v>
      </c>
      <c r="BA97" s="16">
        <f ca="1">_xlfn.FLOOR.MATH(AZ97/24/3600*控制台!$E$2785)</f>
        <v>28</v>
      </c>
      <c r="BB97" s="15">
        <f ca="1" t="shared" si="45"/>
        <v>1344</v>
      </c>
      <c r="BC97" s="15">
        <f ca="1" t="shared" si="46"/>
        <v>8064</v>
      </c>
      <c r="BD97" s="17">
        <f ca="1" t="shared" si="54"/>
        <v>250027.2</v>
      </c>
      <c r="BE97" s="1">
        <f ca="1">OFFSET(控制台!$AA$2798,MATCH(B97,控制台!$B$2798:$B$2809,0)-1,0)</f>
        <v>42.3533333333334</v>
      </c>
      <c r="BF97" s="1">
        <f ca="1" t="shared" si="42"/>
        <v>9402.44000000002</v>
      </c>
      <c r="BG97" s="17">
        <f ca="1" t="shared" si="55"/>
        <v>188915.493333334</v>
      </c>
      <c r="BH97" s="15">
        <f ca="1">OFFSET(控制台!$AD$2798,MATCH(B97,控制台!$B$2798:$B$2809,0)-2,0)</f>
        <v>2400</v>
      </c>
      <c r="BI97" s="15">
        <f ca="1">OFFSET(控制台!$AD$2798,MATCH(B97,控制台!$B$2798:$B$2809,0)-1,0)</f>
        <v>2800</v>
      </c>
      <c r="BJ97" s="15">
        <f ca="1">Lerp_dyy(BH97,BI97,C97/10)</f>
        <v>2680</v>
      </c>
      <c r="BK97" s="16">
        <f ca="1">_xlfn.FLOOR.MATH(BJ97/24/3600*控制台!$E$2785)</f>
        <v>55</v>
      </c>
      <c r="BL97" s="15">
        <f ca="1" t="shared" si="47"/>
        <v>2640</v>
      </c>
      <c r="BM97" s="15">
        <f ca="1" t="shared" si="48"/>
        <v>15840</v>
      </c>
      <c r="BN97" s="17">
        <f ca="1" t="shared" si="56"/>
        <v>378844.8</v>
      </c>
    </row>
    <row r="98" s="15" customFormat="1" spans="1:66">
      <c r="A98" s="15">
        <f t="shared" si="32"/>
        <v>1008</v>
      </c>
      <c r="B98" s="15">
        <v>10</v>
      </c>
      <c r="C98" s="15">
        <v>8</v>
      </c>
      <c r="D98" s="15">
        <f ca="1">OFFSET(控制台!$D$2798,MATCH(B98,控制台!$B$2798:$B$2809,0)-2,0)*控制台!$E$2751</f>
        <v>4400000</v>
      </c>
      <c r="E98" s="15">
        <f ca="1">OFFSET(控制台!$D$2798,MATCH(B98,控制台!$B$2798:$B$2809,0)-1,0)*控制台!$E$2751</f>
        <v>4600000</v>
      </c>
      <c r="F98" s="15">
        <f ca="1">Lerp_dyy(D98,E98,C98/10)</f>
        <v>4560000</v>
      </c>
      <c r="G98" s="16">
        <f ca="1">_xlfn.FLOOR.MATH(F98/24/3600*控制台!$E$2784)-控制台!$E$2814</f>
        <v>519</v>
      </c>
      <c r="H98" s="15">
        <f ca="1" t="shared" si="33"/>
        <v>4484160</v>
      </c>
      <c r="I98" s="15">
        <f ca="1">IF(B98=1,0,OFFSET(控制台!$B$865,MATCH(B98-1,控制台!$G$865:$G$936,0)-1,0))</f>
        <v>180</v>
      </c>
      <c r="J98" s="15">
        <f ca="1">OFFSET(控制台!$B$865,MATCH(B98,控制台!$G$865:$G$936,0)-1,0)</f>
        <v>240</v>
      </c>
      <c r="K98" s="15">
        <f ca="1" t="shared" si="34"/>
        <v>6</v>
      </c>
      <c r="L98" s="17">
        <f ca="1">Lerp_dyy(I98,J98,C98/10)</f>
        <v>228</v>
      </c>
      <c r="M98" s="15">
        <f ca="1" t="shared" si="35"/>
        <v>26904960</v>
      </c>
      <c r="N98" s="17">
        <f ca="1" t="shared" si="49"/>
        <v>861988608</v>
      </c>
      <c r="O98" s="15">
        <f ca="1">OFFSET(控制台!$F$2798,MATCH(B98,控制台!$B$2798:$B$2809,0)-2,0)*控制台!$E$2755</f>
        <v>2640</v>
      </c>
      <c r="P98" s="15">
        <f ca="1">OFFSET(控制台!$F$2798,MATCH(B98,控制台!$B$2798:$B$2809,0)-1,0)*控制台!$E$2755</f>
        <v>2760</v>
      </c>
      <c r="Q98" s="15">
        <f ca="1">Lerp_dyy(O98,P98,C98/10)</f>
        <v>2736</v>
      </c>
      <c r="R98" s="16">
        <f ca="1">_xlfn.FLOOR.MATH(Q98/24/3600*控制台!$E$2785)</f>
        <v>57</v>
      </c>
      <c r="S98" s="15">
        <f ca="1" t="shared" si="36"/>
        <v>2736</v>
      </c>
      <c r="T98" s="15">
        <f ca="1" t="shared" si="37"/>
        <v>16416</v>
      </c>
      <c r="U98" s="17">
        <f ca="1" t="shared" si="50"/>
        <v>522955.2</v>
      </c>
      <c r="V98" s="15">
        <f ca="1">OFFSET(控制台!$I$2798,MATCH(B98,控制台!$B$2798:$B$2809,0)-2,0)*控制台!$E$2791</f>
        <v>2187.5</v>
      </c>
      <c r="W98" s="15">
        <f ca="1">OFFSET(控制台!$I$2798,MATCH(B98,控制台!$B$2798:$B$2809,0)-1,0)*控制台!$E$2791</f>
        <v>2500</v>
      </c>
      <c r="X98" s="15">
        <f ca="1">Lerp_dyy(V98,W98,C98/10)</f>
        <v>2437.5</v>
      </c>
      <c r="Y98" s="16">
        <f ca="1">_xlfn.FLOOR.MATH(X98)</f>
        <v>2437</v>
      </c>
      <c r="Z98" s="15">
        <f ca="1" t="shared" si="38"/>
        <v>2.9244</v>
      </c>
      <c r="AA98" s="15">
        <f ca="1" t="shared" si="58"/>
        <v>17.5464</v>
      </c>
      <c r="AB98" s="17">
        <f ca="1" t="shared" si="57"/>
        <v>460.88364</v>
      </c>
      <c r="AC98" s="17">
        <f ca="1">AB98*控制台!$E$4819</f>
        <v>368.706912</v>
      </c>
      <c r="AD98" s="17">
        <f ca="1">AB98*控制台!$E$4820</f>
        <v>8434.170612</v>
      </c>
      <c r="AE98" s="15">
        <f ca="1">OFFSET(控制台!$L$2798,MATCH(B98,控制台!$B$2798:$B$2809,0)-2,0)*控制台!$E$2763</f>
        <v>2100</v>
      </c>
      <c r="AF98" s="15">
        <f ca="1">OFFSET(控制台!$L$2798,MATCH(B98,控制台!$B$2798:$B$2809,0)-1,0)*控制台!$E$2763</f>
        <v>2400</v>
      </c>
      <c r="AG98" s="15">
        <f ca="1">Lerp_dyy(AE98,AF98,C98/10)</f>
        <v>2340</v>
      </c>
      <c r="AH98" s="15">
        <f ca="1" t="shared" si="39"/>
        <v>14040</v>
      </c>
      <c r="AI98" s="17">
        <f ca="1" t="shared" si="51"/>
        <v>366225</v>
      </c>
      <c r="AJ98" s="15">
        <f ca="1">OFFSET(控制台!$P$2798,MATCH(B98,控制台!$B$2798:$B$2809,0)-2,0)</f>
        <v>7000</v>
      </c>
      <c r="AK98" s="15">
        <f ca="1">OFFSET(控制台!$P$2798,MATCH(B98,控制台!$B$2798:$B$2809,0)-1,0)</f>
        <v>8000</v>
      </c>
      <c r="AL98" s="15">
        <f ca="1">Lerp_dyy(AJ98,AK98,C98/10)</f>
        <v>7800</v>
      </c>
      <c r="AM98" s="16">
        <f ca="1">_xlfn.FLOOR.MATH(AL98/24/3600*控制台!$E$2785)</f>
        <v>162</v>
      </c>
      <c r="AN98" s="15">
        <f ca="1" t="shared" si="40"/>
        <v>7776</v>
      </c>
      <c r="AO98" s="15">
        <f ca="1" t="shared" si="41"/>
        <v>46656</v>
      </c>
      <c r="AP98" s="17">
        <f ca="1" t="shared" si="52"/>
        <v>1216574.4</v>
      </c>
      <c r="AQ98" s="15">
        <f ca="1">OFFSET(控制台!$V$2798,MATCH(B98,控制台!$B$2798:$B$2809,0)-2,0)*控制台!$E$2771</f>
        <v>2200000</v>
      </c>
      <c r="AR98" s="15">
        <f ca="1">OFFSET(控制台!$V$2798,MATCH(B98,控制台!$B$2798:$B$2809,0)-1,0)*控制台!$E$2771</f>
        <v>2300000</v>
      </c>
      <c r="AS98" s="15">
        <f ca="1">Lerp_dyy(AQ98,AR98,C98/10)</f>
        <v>2280000</v>
      </c>
      <c r="AT98" s="16">
        <f ca="1">MAX(_xlfn.FLOOR.MATH(AS98/24/3600*控制台!$E$2784)-控制台!$J$2814,0)</f>
        <v>259</v>
      </c>
      <c r="AU98" s="15">
        <f ca="1" t="shared" si="43"/>
        <v>2237760</v>
      </c>
      <c r="AV98" s="15">
        <f ca="1" t="shared" si="44"/>
        <v>13426560</v>
      </c>
      <c r="AW98" s="17">
        <f ca="1" t="shared" si="53"/>
        <v>429222240</v>
      </c>
      <c r="AX98" s="15">
        <f ca="1">OFFSET(控制台!$X$2798,MATCH(B98,控制台!$B$2798:$B$2809,0)-2,0)*控制台!$E$2775</f>
        <v>1320</v>
      </c>
      <c r="AY98" s="15">
        <f ca="1">OFFSET(控制台!$X$2798,MATCH(B98,控制台!$B$2798:$B$2809,0)-1,0)*控制台!$E$2775</f>
        <v>1380</v>
      </c>
      <c r="AZ98" s="15">
        <f ca="1">Lerp_dyy(AX98,AY98,C98/10)</f>
        <v>1368</v>
      </c>
      <c r="BA98" s="16">
        <f ca="1">_xlfn.FLOOR.MATH(AZ98/24/3600*控制台!$E$2785)</f>
        <v>28</v>
      </c>
      <c r="BB98" s="15">
        <f ca="1" t="shared" si="45"/>
        <v>1344</v>
      </c>
      <c r="BC98" s="15">
        <f ca="1" t="shared" si="46"/>
        <v>8064</v>
      </c>
      <c r="BD98" s="17">
        <f ca="1" t="shared" si="54"/>
        <v>258091.2</v>
      </c>
      <c r="BE98" s="1">
        <f ca="1">OFFSET(控制台!$AA$2798,MATCH(B98,控制台!$B$2798:$B$2809,0)-1,0)</f>
        <v>42.3533333333334</v>
      </c>
      <c r="BF98" s="1">
        <f ca="1" t="shared" si="42"/>
        <v>9656.56000000002</v>
      </c>
      <c r="BG98" s="17">
        <f ca="1" t="shared" si="55"/>
        <v>198572.053333334</v>
      </c>
      <c r="BH98" s="15">
        <f ca="1">OFFSET(控制台!$AD$2798,MATCH(B98,控制台!$B$2798:$B$2809,0)-2,0)</f>
        <v>2400</v>
      </c>
      <c r="BI98" s="15">
        <f ca="1">OFFSET(控制台!$AD$2798,MATCH(B98,控制台!$B$2798:$B$2809,0)-1,0)</f>
        <v>2800</v>
      </c>
      <c r="BJ98" s="15">
        <f ca="1">Lerp_dyy(BH98,BI98,C98/10)</f>
        <v>2720</v>
      </c>
      <c r="BK98" s="16">
        <f ca="1">_xlfn.FLOOR.MATH(BJ98/24/3600*控制台!$E$2785)</f>
        <v>56</v>
      </c>
      <c r="BL98" s="15">
        <f ca="1" t="shared" si="47"/>
        <v>2688</v>
      </c>
      <c r="BM98" s="15">
        <f ca="1" t="shared" si="48"/>
        <v>16128</v>
      </c>
      <c r="BN98" s="17">
        <f ca="1" t="shared" si="56"/>
        <v>394972.8</v>
      </c>
    </row>
    <row r="99" s="15" customFormat="1" spans="1:66">
      <c r="A99" s="15">
        <f t="shared" si="32"/>
        <v>1009</v>
      </c>
      <c r="B99" s="15">
        <v>10</v>
      </c>
      <c r="C99" s="15">
        <v>9</v>
      </c>
      <c r="D99" s="15">
        <f ca="1">OFFSET(控制台!$D$2798,MATCH(B99,控制台!$B$2798:$B$2809,0)-2,0)*控制台!$E$2751</f>
        <v>4400000</v>
      </c>
      <c r="E99" s="15">
        <f ca="1">OFFSET(控制台!$D$2798,MATCH(B99,控制台!$B$2798:$B$2809,0)-1,0)*控制台!$E$2751</f>
        <v>4600000</v>
      </c>
      <c r="F99" s="15">
        <f ca="1">Lerp_dyy(D99,E99,C99/10)</f>
        <v>4580000</v>
      </c>
      <c r="G99" s="16">
        <f ca="1">_xlfn.FLOOR.MATH(F99/24/3600*控制台!$E$2784)-控制台!$E$2814</f>
        <v>522</v>
      </c>
      <c r="H99" s="15">
        <f ca="1" t="shared" si="33"/>
        <v>4510080</v>
      </c>
      <c r="I99" s="15">
        <f ca="1">IF(B99=1,0,OFFSET(控制台!$B$865,MATCH(B99-1,控制台!$G$865:$G$936,0)-1,0))</f>
        <v>180</v>
      </c>
      <c r="J99" s="15">
        <f ca="1">OFFSET(控制台!$B$865,MATCH(B99,控制台!$G$865:$G$936,0)-1,0)</f>
        <v>240</v>
      </c>
      <c r="K99" s="15">
        <f ca="1" t="shared" si="34"/>
        <v>6</v>
      </c>
      <c r="L99" s="17">
        <f ca="1">Lerp_dyy(I99,J99,C99/10)</f>
        <v>234</v>
      </c>
      <c r="M99" s="15">
        <f ca="1" t="shared" si="35"/>
        <v>27060480</v>
      </c>
      <c r="N99" s="17">
        <f ca="1" t="shared" si="49"/>
        <v>889049088</v>
      </c>
      <c r="O99" s="15">
        <f ca="1">OFFSET(控制台!$F$2798,MATCH(B99,控制台!$B$2798:$B$2809,0)-2,0)*控制台!$E$2755</f>
        <v>2640</v>
      </c>
      <c r="P99" s="15">
        <f ca="1">OFFSET(控制台!$F$2798,MATCH(B99,控制台!$B$2798:$B$2809,0)-1,0)*控制台!$E$2755</f>
        <v>2760</v>
      </c>
      <c r="Q99" s="15">
        <f ca="1">Lerp_dyy(O99,P99,C99/10)</f>
        <v>2748</v>
      </c>
      <c r="R99" s="16">
        <f ca="1">_xlfn.FLOOR.MATH(Q99/24/3600*控制台!$E$2785)</f>
        <v>57</v>
      </c>
      <c r="S99" s="15">
        <f ca="1" t="shared" si="36"/>
        <v>2736</v>
      </c>
      <c r="T99" s="15">
        <f ca="1" t="shared" si="37"/>
        <v>16416</v>
      </c>
      <c r="U99" s="17">
        <f ca="1" t="shared" si="50"/>
        <v>539371.2</v>
      </c>
      <c r="V99" s="15">
        <f ca="1">OFFSET(控制台!$I$2798,MATCH(B99,控制台!$B$2798:$B$2809,0)-2,0)*控制台!$E$2791</f>
        <v>2187.5</v>
      </c>
      <c r="W99" s="15">
        <f ca="1">OFFSET(控制台!$I$2798,MATCH(B99,控制台!$B$2798:$B$2809,0)-1,0)*控制台!$E$2791</f>
        <v>2500</v>
      </c>
      <c r="X99" s="15">
        <f ca="1">Lerp_dyy(V99,W99,C99/10)</f>
        <v>2468.75</v>
      </c>
      <c r="Y99" s="16">
        <f ca="1">_xlfn.FLOOR.MATH(X99)</f>
        <v>2468</v>
      </c>
      <c r="Z99" s="15">
        <f ca="1" t="shared" si="38"/>
        <v>2.9616</v>
      </c>
      <c r="AA99" s="15">
        <f ca="1" t="shared" si="58"/>
        <v>17.7696</v>
      </c>
      <c r="AB99" s="17">
        <f ca="1" t="shared" si="57"/>
        <v>478.65324</v>
      </c>
      <c r="AC99" s="17">
        <f ca="1">AB99*控制台!$E$4819</f>
        <v>382.922592</v>
      </c>
      <c r="AD99" s="17">
        <f ca="1">AB99*控制台!$E$4820</f>
        <v>8759.354292</v>
      </c>
      <c r="AE99" s="15">
        <f ca="1">OFFSET(控制台!$L$2798,MATCH(B99,控制台!$B$2798:$B$2809,0)-2,0)*控制台!$E$2763</f>
        <v>2100</v>
      </c>
      <c r="AF99" s="15">
        <f ca="1">OFFSET(控制台!$L$2798,MATCH(B99,控制台!$B$2798:$B$2809,0)-1,0)*控制台!$E$2763</f>
        <v>2400</v>
      </c>
      <c r="AG99" s="15">
        <f ca="1">Lerp_dyy(AE99,AF99,C99/10)</f>
        <v>2370</v>
      </c>
      <c r="AH99" s="15">
        <f ca="1" t="shared" si="39"/>
        <v>14220</v>
      </c>
      <c r="AI99" s="17">
        <f ca="1" t="shared" si="51"/>
        <v>380445</v>
      </c>
      <c r="AJ99" s="15">
        <f ca="1">OFFSET(控制台!$P$2798,MATCH(B99,控制台!$B$2798:$B$2809,0)-2,0)</f>
        <v>7000</v>
      </c>
      <c r="AK99" s="15">
        <f ca="1">OFFSET(控制台!$P$2798,MATCH(B99,控制台!$B$2798:$B$2809,0)-1,0)</f>
        <v>8000</v>
      </c>
      <c r="AL99" s="15">
        <f ca="1">Lerp_dyy(AJ99,AK99,C99/10)</f>
        <v>7900</v>
      </c>
      <c r="AM99" s="16">
        <f ca="1">_xlfn.FLOOR.MATH(AL99/24/3600*控制台!$E$2785)</f>
        <v>164</v>
      </c>
      <c r="AN99" s="15">
        <f ca="1" t="shared" si="40"/>
        <v>7872</v>
      </c>
      <c r="AO99" s="15">
        <f ca="1" t="shared" si="41"/>
        <v>47232</v>
      </c>
      <c r="AP99" s="17">
        <f ca="1" t="shared" si="52"/>
        <v>1263806.4</v>
      </c>
      <c r="AQ99" s="15">
        <f ca="1">OFFSET(控制台!$V$2798,MATCH(B99,控制台!$B$2798:$B$2809,0)-2,0)*控制台!$E$2771</f>
        <v>2200000</v>
      </c>
      <c r="AR99" s="15">
        <f ca="1">OFFSET(控制台!$V$2798,MATCH(B99,控制台!$B$2798:$B$2809,0)-1,0)*控制台!$E$2771</f>
        <v>2300000</v>
      </c>
      <c r="AS99" s="15">
        <f ca="1">Lerp_dyy(AQ99,AR99,C99/10)</f>
        <v>2290000</v>
      </c>
      <c r="AT99" s="16">
        <f ca="1">MAX(_xlfn.FLOOR.MATH(AS99/24/3600*控制台!$E$2784)-控制台!$J$2814,0)</f>
        <v>261</v>
      </c>
      <c r="AU99" s="15">
        <f ca="1" t="shared" si="43"/>
        <v>2255040</v>
      </c>
      <c r="AV99" s="15">
        <f ca="1" t="shared" si="44"/>
        <v>13530240</v>
      </c>
      <c r="AW99" s="17">
        <f ca="1" t="shared" si="53"/>
        <v>442752480</v>
      </c>
      <c r="AX99" s="15">
        <f ca="1">OFFSET(控制台!$X$2798,MATCH(B99,控制台!$B$2798:$B$2809,0)-2,0)*控制台!$E$2775</f>
        <v>1320</v>
      </c>
      <c r="AY99" s="15">
        <f ca="1">OFFSET(控制台!$X$2798,MATCH(B99,控制台!$B$2798:$B$2809,0)-1,0)*控制台!$E$2775</f>
        <v>1380</v>
      </c>
      <c r="AZ99" s="15">
        <f ca="1">Lerp_dyy(AX99,AY99,C99/10)</f>
        <v>1374</v>
      </c>
      <c r="BA99" s="16">
        <f ca="1">_xlfn.FLOOR.MATH(AZ99/24/3600*控制台!$E$2785)</f>
        <v>28</v>
      </c>
      <c r="BB99" s="15">
        <f ca="1" t="shared" si="45"/>
        <v>1344</v>
      </c>
      <c r="BC99" s="15">
        <f ca="1" t="shared" si="46"/>
        <v>8064</v>
      </c>
      <c r="BD99" s="17">
        <f ca="1" t="shared" si="54"/>
        <v>266155.2</v>
      </c>
      <c r="BE99" s="1">
        <f ca="1">OFFSET(控制台!$AA$2798,MATCH(B99,控制台!$B$2798:$B$2809,0)-1,0)</f>
        <v>42.3533333333334</v>
      </c>
      <c r="BF99" s="1">
        <f ca="1" t="shared" si="42"/>
        <v>9910.68000000002</v>
      </c>
      <c r="BG99" s="17">
        <f ca="1" t="shared" si="55"/>
        <v>208482.733333334</v>
      </c>
      <c r="BH99" s="15">
        <f ca="1">OFFSET(控制台!$AD$2798,MATCH(B99,控制台!$B$2798:$B$2809,0)-2,0)</f>
        <v>2400</v>
      </c>
      <c r="BI99" s="15">
        <f ca="1">OFFSET(控制台!$AD$2798,MATCH(B99,控制台!$B$2798:$B$2809,0)-1,0)</f>
        <v>2800</v>
      </c>
      <c r="BJ99" s="15">
        <f ca="1">Lerp_dyy(BH99,BI99,C99/10)</f>
        <v>2760</v>
      </c>
      <c r="BK99" s="16">
        <f ca="1">_xlfn.FLOOR.MATH(BJ99/24/3600*控制台!$E$2785)</f>
        <v>57</v>
      </c>
      <c r="BL99" s="15">
        <f ca="1" t="shared" si="47"/>
        <v>2736</v>
      </c>
      <c r="BM99" s="15">
        <f ca="1" t="shared" si="48"/>
        <v>16416</v>
      </c>
      <c r="BN99" s="17">
        <f ca="1" t="shared" si="56"/>
        <v>411388.8</v>
      </c>
    </row>
    <row r="100" s="15" customFormat="1" spans="1:66">
      <c r="A100" s="15">
        <f t="shared" si="32"/>
        <v>1010</v>
      </c>
      <c r="B100" s="15">
        <v>10</v>
      </c>
      <c r="C100" s="15">
        <v>10</v>
      </c>
      <c r="D100" s="15">
        <f ca="1">OFFSET(控制台!$D$2798,MATCH(B100,控制台!$B$2798:$B$2809,0)-2,0)*控制台!$E$2751</f>
        <v>4400000</v>
      </c>
      <c r="E100" s="15">
        <f ca="1">OFFSET(控制台!$D$2798,MATCH(B100,控制台!$B$2798:$B$2809,0)-1,0)*控制台!$E$2751</f>
        <v>4600000</v>
      </c>
      <c r="F100" s="15">
        <f ca="1">Lerp_dyy(D100,E100,C100/10)</f>
        <v>4600000</v>
      </c>
      <c r="G100" s="16">
        <f ca="1">_xlfn.FLOOR.MATH(F100/24/3600*控制台!$E$2784)-控制台!$E$2814</f>
        <v>524</v>
      </c>
      <c r="H100" s="15">
        <f ca="1" t="shared" si="33"/>
        <v>4527360</v>
      </c>
      <c r="I100" s="15">
        <f ca="1">IF(B100=1,0,OFFSET(控制台!$B$865,MATCH(B100-1,控制台!$G$865:$G$936,0)-1,0))</f>
        <v>180</v>
      </c>
      <c r="J100" s="15">
        <f ca="1">OFFSET(控制台!$B$865,MATCH(B100,控制台!$G$865:$G$936,0)-1,0)</f>
        <v>240</v>
      </c>
      <c r="K100" s="15">
        <f ca="1" t="shared" si="34"/>
        <v>6</v>
      </c>
      <c r="L100" s="17">
        <f ca="1">Lerp_dyy(I100,J100,C100/10)</f>
        <v>240</v>
      </c>
      <c r="M100" s="15">
        <f ca="1" t="shared" si="35"/>
        <v>27164160</v>
      </c>
      <c r="N100" s="17">
        <f ca="1" t="shared" si="49"/>
        <v>916213248</v>
      </c>
      <c r="O100" s="15">
        <f ca="1">OFFSET(控制台!$F$2798,MATCH(B100,控制台!$B$2798:$B$2809,0)-2,0)*控制台!$E$2755</f>
        <v>2640</v>
      </c>
      <c r="P100" s="15">
        <f ca="1">OFFSET(控制台!$F$2798,MATCH(B100,控制台!$B$2798:$B$2809,0)-1,0)*控制台!$E$2755</f>
        <v>2760</v>
      </c>
      <c r="Q100" s="15">
        <f ca="1">Lerp_dyy(O100,P100,C100/10)</f>
        <v>2760</v>
      </c>
      <c r="R100" s="16">
        <f ca="1">_xlfn.FLOOR.MATH(Q100/24/3600*控制台!$E$2785)</f>
        <v>57</v>
      </c>
      <c r="S100" s="15">
        <f ca="1" t="shared" si="36"/>
        <v>2736</v>
      </c>
      <c r="T100" s="15">
        <f ca="1" t="shared" si="37"/>
        <v>16416</v>
      </c>
      <c r="U100" s="17">
        <f ca="1" t="shared" si="50"/>
        <v>555787.2</v>
      </c>
      <c r="V100" s="15">
        <f ca="1">OFFSET(控制台!$I$2798,MATCH(B100,控制台!$B$2798:$B$2809,0)-2,0)*控制台!$E$2791</f>
        <v>2187.5</v>
      </c>
      <c r="W100" s="15">
        <f ca="1">OFFSET(控制台!$I$2798,MATCH(B100,控制台!$B$2798:$B$2809,0)-1,0)*控制台!$E$2791</f>
        <v>2500</v>
      </c>
      <c r="X100" s="15">
        <f ca="1">Lerp_dyy(V100,W100,C100/10)</f>
        <v>2500</v>
      </c>
      <c r="Y100" s="16">
        <f ca="1">_xlfn.FLOOR.MATH(X100)</f>
        <v>2500</v>
      </c>
      <c r="Z100" s="15">
        <f ca="1" t="shared" si="38"/>
        <v>3</v>
      </c>
      <c r="AA100" s="15">
        <f ca="1" t="shared" si="58"/>
        <v>18</v>
      </c>
      <c r="AB100" s="17">
        <f ca="1" t="shared" si="57"/>
        <v>496.65324</v>
      </c>
      <c r="AC100" s="17">
        <f ca="1">AB100*控制台!$E$4819</f>
        <v>397.322592</v>
      </c>
      <c r="AD100" s="17">
        <f ca="1">AB100*控制台!$E$4820</f>
        <v>9088.754292</v>
      </c>
      <c r="AE100" s="15">
        <f ca="1">OFFSET(控制台!$L$2798,MATCH(B100,控制台!$B$2798:$B$2809,0)-2,0)*控制台!$E$2763</f>
        <v>2100</v>
      </c>
      <c r="AF100" s="15">
        <f ca="1">OFFSET(控制台!$L$2798,MATCH(B100,控制台!$B$2798:$B$2809,0)-1,0)*控制台!$E$2763</f>
        <v>2400</v>
      </c>
      <c r="AG100" s="15">
        <f ca="1">Lerp_dyy(AE100,AF100,C100/10)</f>
        <v>2400</v>
      </c>
      <c r="AH100" s="15">
        <f ca="1" t="shared" si="39"/>
        <v>14400</v>
      </c>
      <c r="AI100" s="17">
        <f ca="1" t="shared" si="51"/>
        <v>394845</v>
      </c>
      <c r="AJ100" s="15">
        <f ca="1">OFFSET(控制台!$P$2798,MATCH(B100,控制台!$B$2798:$B$2809,0)-2,0)</f>
        <v>7000</v>
      </c>
      <c r="AK100" s="15">
        <f ca="1">OFFSET(控制台!$P$2798,MATCH(B100,控制台!$B$2798:$B$2809,0)-1,0)</f>
        <v>8000</v>
      </c>
      <c r="AL100" s="15">
        <f ca="1">Lerp_dyy(AJ100,AK100,C100/10)</f>
        <v>8000</v>
      </c>
      <c r="AM100" s="16">
        <f ca="1">_xlfn.FLOOR.MATH(AL100/24/3600*控制台!$E$2785)</f>
        <v>166</v>
      </c>
      <c r="AN100" s="15">
        <f ca="1" t="shared" si="40"/>
        <v>7968</v>
      </c>
      <c r="AO100" s="15">
        <f ca="1" t="shared" si="41"/>
        <v>47808</v>
      </c>
      <c r="AP100" s="17">
        <f ca="1" t="shared" si="52"/>
        <v>1311614.4</v>
      </c>
      <c r="AQ100" s="15">
        <f ca="1">OFFSET(控制台!$V$2798,MATCH(B100,控制台!$B$2798:$B$2809,0)-2,0)*控制台!$E$2771</f>
        <v>2200000</v>
      </c>
      <c r="AR100" s="15">
        <f ca="1">OFFSET(控制台!$V$2798,MATCH(B100,控制台!$B$2798:$B$2809,0)-1,0)*控制台!$E$2771</f>
        <v>2300000</v>
      </c>
      <c r="AS100" s="15">
        <f ca="1">Lerp_dyy(AQ100,AR100,C100/10)</f>
        <v>2300000</v>
      </c>
      <c r="AT100" s="16">
        <f ca="1">MAX(_xlfn.FLOOR.MATH(AS100/24/3600*控制台!$E$2784)-控制台!$J$2814,0)</f>
        <v>262</v>
      </c>
      <c r="AU100" s="15">
        <f ca="1" t="shared" si="43"/>
        <v>2263680</v>
      </c>
      <c r="AV100" s="15">
        <f ca="1" t="shared" si="44"/>
        <v>13582080</v>
      </c>
      <c r="AW100" s="17">
        <f ca="1" t="shared" si="53"/>
        <v>456334560</v>
      </c>
      <c r="AX100" s="15">
        <f ca="1">OFFSET(控制台!$X$2798,MATCH(B100,控制台!$B$2798:$B$2809,0)-2,0)*控制台!$E$2775</f>
        <v>1320</v>
      </c>
      <c r="AY100" s="15">
        <f ca="1">OFFSET(控制台!$X$2798,MATCH(B100,控制台!$B$2798:$B$2809,0)-1,0)*控制台!$E$2775</f>
        <v>1380</v>
      </c>
      <c r="AZ100" s="15">
        <f ca="1">Lerp_dyy(AX100,AY100,C100/10)</f>
        <v>1380</v>
      </c>
      <c r="BA100" s="16">
        <f ca="1">_xlfn.FLOOR.MATH(AZ100/24/3600*控制台!$E$2785)</f>
        <v>28</v>
      </c>
      <c r="BB100" s="15">
        <f ca="1" t="shared" si="45"/>
        <v>1344</v>
      </c>
      <c r="BC100" s="15">
        <f ca="1" t="shared" si="46"/>
        <v>8064</v>
      </c>
      <c r="BD100" s="17">
        <f ca="1" t="shared" si="54"/>
        <v>274219.2</v>
      </c>
      <c r="BE100" s="1">
        <f ca="1">OFFSET(控制台!$AA$2798,MATCH(B100,控制台!$B$2798:$B$2809,0)-1,0)</f>
        <v>42.3533333333334</v>
      </c>
      <c r="BF100" s="1">
        <f ca="1" t="shared" si="42"/>
        <v>10164.8</v>
      </c>
      <c r="BG100" s="17">
        <f ca="1" t="shared" si="55"/>
        <v>218647.533333334</v>
      </c>
      <c r="BH100" s="15">
        <f ca="1">OFFSET(控制台!$AD$2798,MATCH(B100,控制台!$B$2798:$B$2809,0)-2,0)</f>
        <v>2400</v>
      </c>
      <c r="BI100" s="15">
        <f ca="1">OFFSET(控制台!$AD$2798,MATCH(B100,控制台!$B$2798:$B$2809,0)-1,0)</f>
        <v>2800</v>
      </c>
      <c r="BJ100" s="15">
        <f ca="1">Lerp_dyy(BH100,BI100,C100/10)</f>
        <v>2800</v>
      </c>
      <c r="BK100" s="16">
        <f ca="1">_xlfn.FLOOR.MATH(BJ100/24/3600*控制台!$E$2785)</f>
        <v>58</v>
      </c>
      <c r="BL100" s="15">
        <f ca="1" t="shared" si="47"/>
        <v>2784</v>
      </c>
      <c r="BM100" s="15">
        <f ca="1" t="shared" si="48"/>
        <v>16704</v>
      </c>
      <c r="BN100" s="17">
        <f ca="1" t="shared" si="56"/>
        <v>428092.8</v>
      </c>
    </row>
    <row r="101" spans="1:66">
      <c r="A101" s="1">
        <f t="shared" si="32"/>
        <v>1101</v>
      </c>
      <c r="B101" s="1">
        <v>11</v>
      </c>
      <c r="C101" s="1">
        <v>1</v>
      </c>
      <c r="D101" s="1">
        <f ca="1">OFFSET(控制台!$D$2798,MATCH(B101,控制台!$B$2798:$B$2809,0)-2,0)*控制台!$E$2751</f>
        <v>4600000</v>
      </c>
      <c r="E101" s="1">
        <f ca="1">OFFSET(控制台!$D$2798,MATCH(B101,控制台!$B$2798:$B$2809,0)-1,0)*控制台!$E$2751</f>
        <v>4800000</v>
      </c>
      <c r="F101" s="1">
        <f ca="1">Lerp_dyy(D101,E101,C101/10)</f>
        <v>4620000</v>
      </c>
      <c r="G101" s="4">
        <f ca="1">_xlfn.FLOOR.MATH(F101/24/3600*控制台!$E$2784)-控制台!$E$2814</f>
        <v>526</v>
      </c>
      <c r="H101" s="1">
        <f ca="1" t="shared" si="33"/>
        <v>4544640</v>
      </c>
      <c r="I101" s="1">
        <f ca="1">IF(B101=1,0,OFFSET(控制台!$B$865,MATCH(B101-1,控制台!$G$865:$G$936,0)-1,0))</f>
        <v>240</v>
      </c>
      <c r="J101" s="1">
        <f ca="1">OFFSET(控制台!$B$865,MATCH(B101,控制台!$G$865:$G$936,0)-1,0)</f>
        <v>300</v>
      </c>
      <c r="K101" s="1">
        <f ca="1" t="shared" si="34"/>
        <v>6</v>
      </c>
      <c r="L101" s="5">
        <f ca="1">Lerp_dyy(I101,J101,C101/10)</f>
        <v>246</v>
      </c>
      <c r="M101" s="1">
        <f ca="1" t="shared" si="35"/>
        <v>27267840</v>
      </c>
      <c r="N101" s="5">
        <f ca="1" t="shared" si="49"/>
        <v>943481088</v>
      </c>
      <c r="O101" s="1">
        <f ca="1">OFFSET(控制台!$F$2798,MATCH(B101,控制台!$B$2798:$B$2809,0)-2,0)*控制台!$E$2755</f>
        <v>2760</v>
      </c>
      <c r="P101" s="1">
        <f ca="1">OFFSET(控制台!$F$2798,MATCH(B101,控制台!$B$2798:$B$2809,0)-1,0)*控制台!$E$2755</f>
        <v>2880</v>
      </c>
      <c r="Q101" s="1">
        <f ca="1">Lerp_dyy(O101,P101,C101/10)</f>
        <v>2772</v>
      </c>
      <c r="R101" s="4">
        <f ca="1">_xlfn.FLOOR.MATH(Q101/24/3600*控制台!$E$2785)</f>
        <v>57</v>
      </c>
      <c r="S101" s="1">
        <f ca="1" t="shared" si="36"/>
        <v>2736</v>
      </c>
      <c r="T101" s="1">
        <f ca="1" t="shared" si="37"/>
        <v>16416</v>
      </c>
      <c r="U101" s="5">
        <f ca="1" t="shared" si="50"/>
        <v>572203.2</v>
      </c>
      <c r="V101" s="1">
        <f ca="1">OFFSET(控制台!$I$2798,MATCH(B101,控制台!$B$2798:$B$2809,0)-2,0)*控制台!$E$2791</f>
        <v>2500</v>
      </c>
      <c r="W101" s="1">
        <f ca="1">OFFSET(控制台!$I$2798,MATCH(B101,控制台!$B$2798:$B$2809,0)-1,0)*控制台!$E$2791</f>
        <v>2812.5</v>
      </c>
      <c r="X101" s="1">
        <f ca="1">Lerp_dyy(V101,W101,C101/10)</f>
        <v>2531.25</v>
      </c>
      <c r="Y101" s="4">
        <f ca="1">_xlfn.FLOOR.MATH(X101)</f>
        <v>2531</v>
      </c>
      <c r="Z101" s="1">
        <f ca="1" t="shared" si="38"/>
        <v>3.0372</v>
      </c>
      <c r="AA101" s="1">
        <f ca="1" t="shared" si="58"/>
        <v>18.2232</v>
      </c>
      <c r="AB101" s="5">
        <f ca="1" t="shared" si="57"/>
        <v>514.87644</v>
      </c>
      <c r="AC101" s="5">
        <f ca="1">AB101*控制台!$E$4819</f>
        <v>411.901152</v>
      </c>
      <c r="AD101" s="5">
        <f ca="1">AB101*控制台!$E$4820</f>
        <v>9422.238852</v>
      </c>
      <c r="AE101" s="1">
        <f ca="1">OFFSET(控制台!$L$2798,MATCH(B101,控制台!$B$2798:$B$2809,0)-2,0)*控制台!$E$2763</f>
        <v>2400</v>
      </c>
      <c r="AF101" s="1">
        <f ca="1">OFFSET(控制台!$L$2798,MATCH(B101,控制台!$B$2798:$B$2809,0)-1,0)*控制台!$E$2763</f>
        <v>2700</v>
      </c>
      <c r="AG101" s="1">
        <f ca="1">Lerp_dyy(AE101,AF101,C101/10)</f>
        <v>2430</v>
      </c>
      <c r="AH101" s="1">
        <f ca="1" t="shared" si="39"/>
        <v>14580</v>
      </c>
      <c r="AI101" s="5">
        <f ca="1" t="shared" si="51"/>
        <v>409425</v>
      </c>
      <c r="AJ101" s="1">
        <f ca="1">OFFSET(控制台!$P$2798,MATCH(B101,控制台!$B$2798:$B$2809,0)-2,0)</f>
        <v>8000</v>
      </c>
      <c r="AK101" s="1">
        <f ca="1">OFFSET(控制台!$P$2798,MATCH(B101,控制台!$B$2798:$B$2809,0)-1,0)</f>
        <v>9000</v>
      </c>
      <c r="AL101" s="1">
        <f ca="1">Lerp_dyy(AJ101,AK101,C101/10)</f>
        <v>8100</v>
      </c>
      <c r="AM101" s="4">
        <f ca="1">_xlfn.FLOOR.MATH(AL101/24/3600*控制台!$E$2785)</f>
        <v>168</v>
      </c>
      <c r="AN101" s="1">
        <f ca="1" t="shared" si="40"/>
        <v>8064</v>
      </c>
      <c r="AO101" s="1">
        <f ca="1" t="shared" si="41"/>
        <v>48384</v>
      </c>
      <c r="AP101" s="5">
        <f ca="1" t="shared" si="52"/>
        <v>1359998.4</v>
      </c>
      <c r="AQ101" s="1">
        <f ca="1">OFFSET(控制台!$V$2798,MATCH(B101,控制台!$B$2798:$B$2809,0)-2,0)*控制台!$E$2771</f>
        <v>2300000</v>
      </c>
      <c r="AR101" s="1">
        <f ca="1">OFFSET(控制台!$V$2798,MATCH(B101,控制台!$B$2798:$B$2809,0)-1,0)*控制台!$E$2771</f>
        <v>2400000</v>
      </c>
      <c r="AS101" s="1">
        <f ca="1">Lerp_dyy(AQ101,AR101,C101/10)</f>
        <v>2310000</v>
      </c>
      <c r="AT101" s="4">
        <f ca="1">MAX(_xlfn.FLOOR.MATH(AS101/24/3600*控制台!$E$2784)-控制台!$J$2814,0)</f>
        <v>263</v>
      </c>
      <c r="AU101" s="1">
        <f ca="1" t="shared" si="43"/>
        <v>2272320</v>
      </c>
      <c r="AV101" s="1">
        <f ca="1" t="shared" si="44"/>
        <v>13633920</v>
      </c>
      <c r="AW101" s="5">
        <f ca="1" t="shared" si="53"/>
        <v>469968480</v>
      </c>
      <c r="AX101" s="1">
        <f ca="1">OFFSET(控制台!$X$2798,MATCH(B101,控制台!$B$2798:$B$2809,0)-2,0)*控制台!$E$2775</f>
        <v>1380</v>
      </c>
      <c r="AY101" s="1">
        <f ca="1">OFFSET(控制台!$X$2798,MATCH(B101,控制台!$B$2798:$B$2809,0)-1,0)*控制台!$E$2775</f>
        <v>1440</v>
      </c>
      <c r="AZ101" s="1">
        <f ca="1">Lerp_dyy(AX101,AY101,C101/10)</f>
        <v>1386</v>
      </c>
      <c r="BA101" s="4">
        <f ca="1">_xlfn.FLOOR.MATH(AZ101/24/3600*控制台!$E$2785)</f>
        <v>28</v>
      </c>
      <c r="BB101" s="1">
        <f ca="1" t="shared" si="45"/>
        <v>1344</v>
      </c>
      <c r="BC101" s="1">
        <f ca="1" t="shared" si="46"/>
        <v>8064</v>
      </c>
      <c r="BD101" s="5">
        <f ca="1" t="shared" si="54"/>
        <v>282283.2</v>
      </c>
      <c r="BE101" s="1">
        <f ca="1">OFFSET(控制台!$AA$2798,MATCH(B101,控制台!$B$2798:$B$2809,0)-1,0)</f>
        <v>49.5533333333334</v>
      </c>
      <c r="BF101" s="1">
        <f ca="1" t="shared" si="42"/>
        <v>12190.12</v>
      </c>
      <c r="BG101" s="5">
        <f ca="1" t="shared" si="55"/>
        <v>230837.653333334</v>
      </c>
      <c r="BH101" s="1">
        <f ca="1">OFFSET(控制台!$AD$2798,MATCH(B101,控制台!$B$2798:$B$2809,0)-2,0)</f>
        <v>2800</v>
      </c>
      <c r="BI101" s="1">
        <f ca="1">OFFSET(控制台!$AD$2798,MATCH(B101,控制台!$B$2798:$B$2809,0)-1,0)</f>
        <v>3400</v>
      </c>
      <c r="BJ101" s="1">
        <f ca="1">Lerp_dyy(BH101,BI101,C101/10)</f>
        <v>2860</v>
      </c>
      <c r="BK101" s="4">
        <f ca="1">_xlfn.FLOOR.MATH(BJ101/24/3600*控制台!$E$2785)</f>
        <v>59</v>
      </c>
      <c r="BL101" s="1">
        <f ca="1" t="shared" si="47"/>
        <v>2832</v>
      </c>
      <c r="BM101" s="1">
        <f ca="1" t="shared" si="48"/>
        <v>16992</v>
      </c>
      <c r="BN101" s="5">
        <f ca="1" t="shared" si="56"/>
        <v>445084.8</v>
      </c>
    </row>
    <row r="102" spans="1:66">
      <c r="A102" s="1">
        <f t="shared" si="32"/>
        <v>1102</v>
      </c>
      <c r="B102" s="1">
        <v>11</v>
      </c>
      <c r="C102" s="1">
        <v>2</v>
      </c>
      <c r="D102" s="1">
        <f ca="1">OFFSET(控制台!$D$2798,MATCH(B102,控制台!$B$2798:$B$2809,0)-2,0)*控制台!$E$2751</f>
        <v>4600000</v>
      </c>
      <c r="E102" s="1">
        <f ca="1">OFFSET(控制台!$D$2798,MATCH(B102,控制台!$B$2798:$B$2809,0)-1,0)*控制台!$E$2751</f>
        <v>4800000</v>
      </c>
      <c r="F102" s="1">
        <f ca="1">Lerp_dyy(D102,E102,C102/10)</f>
        <v>4640000</v>
      </c>
      <c r="G102" s="4">
        <f ca="1">_xlfn.FLOOR.MATH(F102/24/3600*控制台!$E$2784)-控制台!$E$2814</f>
        <v>529</v>
      </c>
      <c r="H102" s="1">
        <f ca="1" t="shared" si="33"/>
        <v>4570560</v>
      </c>
      <c r="I102" s="1">
        <f ca="1">IF(B102=1,0,OFFSET(控制台!$B$865,MATCH(B102-1,控制台!$G$865:$G$936,0)-1,0))</f>
        <v>240</v>
      </c>
      <c r="J102" s="1">
        <f ca="1">OFFSET(控制台!$B$865,MATCH(B102,控制台!$G$865:$G$936,0)-1,0)</f>
        <v>300</v>
      </c>
      <c r="K102" s="1">
        <f ca="1" t="shared" si="34"/>
        <v>6</v>
      </c>
      <c r="L102" s="5">
        <f ca="1">Lerp_dyy(I102,J102,C102/10)</f>
        <v>252</v>
      </c>
      <c r="M102" s="1">
        <f ca="1" t="shared" si="35"/>
        <v>27423360</v>
      </c>
      <c r="N102" s="5">
        <f ca="1" t="shared" si="49"/>
        <v>970904448</v>
      </c>
      <c r="O102" s="1">
        <f ca="1">OFFSET(控制台!$F$2798,MATCH(B102,控制台!$B$2798:$B$2809,0)-2,0)*控制台!$E$2755</f>
        <v>2760</v>
      </c>
      <c r="P102" s="1">
        <f ca="1">OFFSET(控制台!$F$2798,MATCH(B102,控制台!$B$2798:$B$2809,0)-1,0)*控制台!$E$2755</f>
        <v>2880</v>
      </c>
      <c r="Q102" s="1">
        <f ca="1">Lerp_dyy(O102,P102,C102/10)</f>
        <v>2784</v>
      </c>
      <c r="R102" s="4">
        <f ca="1">_xlfn.FLOOR.MATH(Q102/24/3600*控制台!$E$2785)</f>
        <v>58</v>
      </c>
      <c r="S102" s="1">
        <f ca="1" t="shared" si="36"/>
        <v>2784</v>
      </c>
      <c r="T102" s="1">
        <f ca="1" t="shared" si="37"/>
        <v>16704</v>
      </c>
      <c r="U102" s="5">
        <f ca="1" t="shared" si="50"/>
        <v>588907.2</v>
      </c>
      <c r="V102" s="1">
        <f ca="1">OFFSET(控制台!$I$2798,MATCH(B102,控制台!$B$2798:$B$2809,0)-2,0)*控制台!$E$2791</f>
        <v>2500</v>
      </c>
      <c r="W102" s="1">
        <f ca="1">OFFSET(控制台!$I$2798,MATCH(B102,控制台!$B$2798:$B$2809,0)-1,0)*控制台!$E$2791</f>
        <v>2812.5</v>
      </c>
      <c r="X102" s="1">
        <f ca="1">Lerp_dyy(V102,W102,C102/10)</f>
        <v>2562.5</v>
      </c>
      <c r="Y102" s="4">
        <f ca="1">_xlfn.FLOOR.MATH(X102)</f>
        <v>2562</v>
      </c>
      <c r="Z102" s="1">
        <f ca="1" t="shared" si="38"/>
        <v>3.0744</v>
      </c>
      <c r="AA102" s="1">
        <f ca="1" t="shared" si="58"/>
        <v>18.4464</v>
      </c>
      <c r="AB102" s="5">
        <f ca="1" t="shared" si="57"/>
        <v>533.32284</v>
      </c>
      <c r="AC102" s="5">
        <f ca="1">AB102*控制台!$E$4819</f>
        <v>426.658272</v>
      </c>
      <c r="AD102" s="5">
        <f ca="1">AB102*控制台!$E$4820</f>
        <v>9759.807972</v>
      </c>
      <c r="AE102" s="1">
        <f ca="1">OFFSET(控制台!$L$2798,MATCH(B102,控制台!$B$2798:$B$2809,0)-2,0)*控制台!$E$2763</f>
        <v>2400</v>
      </c>
      <c r="AF102" s="1">
        <f ca="1">OFFSET(控制台!$L$2798,MATCH(B102,控制台!$B$2798:$B$2809,0)-1,0)*控制台!$E$2763</f>
        <v>2700</v>
      </c>
      <c r="AG102" s="1">
        <f ca="1">Lerp_dyy(AE102,AF102,C102/10)</f>
        <v>2460</v>
      </c>
      <c r="AH102" s="1">
        <f ca="1" t="shared" si="39"/>
        <v>14760</v>
      </c>
      <c r="AI102" s="5">
        <f ca="1" t="shared" si="51"/>
        <v>424185</v>
      </c>
      <c r="AJ102" s="1">
        <f ca="1">OFFSET(控制台!$P$2798,MATCH(B102,控制台!$B$2798:$B$2809,0)-2,0)</f>
        <v>8000</v>
      </c>
      <c r="AK102" s="1">
        <f ca="1">OFFSET(控制台!$P$2798,MATCH(B102,控制台!$B$2798:$B$2809,0)-1,0)</f>
        <v>9000</v>
      </c>
      <c r="AL102" s="1">
        <f ca="1">Lerp_dyy(AJ102,AK102,C102/10)</f>
        <v>8200</v>
      </c>
      <c r="AM102" s="4">
        <f ca="1">_xlfn.FLOOR.MATH(AL102/24/3600*控制台!$E$2785)</f>
        <v>170</v>
      </c>
      <c r="AN102" s="1">
        <f ca="1" t="shared" si="40"/>
        <v>8160</v>
      </c>
      <c r="AO102" s="1">
        <f ca="1" t="shared" si="41"/>
        <v>48960</v>
      </c>
      <c r="AP102" s="5">
        <f ca="1" t="shared" si="52"/>
        <v>1408958.4</v>
      </c>
      <c r="AQ102" s="1">
        <f ca="1">OFFSET(控制台!$V$2798,MATCH(B102,控制台!$B$2798:$B$2809,0)-2,0)*控制台!$E$2771</f>
        <v>2300000</v>
      </c>
      <c r="AR102" s="1">
        <f ca="1">OFFSET(控制台!$V$2798,MATCH(B102,控制台!$B$2798:$B$2809,0)-1,0)*控制台!$E$2771</f>
        <v>2400000</v>
      </c>
      <c r="AS102" s="1">
        <f ca="1">Lerp_dyy(AQ102,AR102,C102/10)</f>
        <v>2320000</v>
      </c>
      <c r="AT102" s="4">
        <f ca="1">MAX(_xlfn.FLOOR.MATH(AS102/24/3600*控制台!$E$2784)-控制台!$J$2814,0)</f>
        <v>264</v>
      </c>
      <c r="AU102" s="1">
        <f ca="1" t="shared" si="43"/>
        <v>2280960</v>
      </c>
      <c r="AV102" s="1">
        <f ca="1" t="shared" si="44"/>
        <v>13685760</v>
      </c>
      <c r="AW102" s="5">
        <f ca="1" t="shared" si="53"/>
        <v>483654240</v>
      </c>
      <c r="AX102" s="1">
        <f ca="1">OFFSET(控制台!$X$2798,MATCH(B102,控制台!$B$2798:$B$2809,0)-2,0)*控制台!$E$2775</f>
        <v>1380</v>
      </c>
      <c r="AY102" s="1">
        <f ca="1">OFFSET(控制台!$X$2798,MATCH(B102,控制台!$B$2798:$B$2809,0)-1,0)*控制台!$E$2775</f>
        <v>1440</v>
      </c>
      <c r="AZ102" s="1">
        <f ca="1">Lerp_dyy(AX102,AY102,C102/10)</f>
        <v>1392</v>
      </c>
      <c r="BA102" s="4">
        <f ca="1">_xlfn.FLOOR.MATH(AZ102/24/3600*控制台!$E$2785)</f>
        <v>29</v>
      </c>
      <c r="BB102" s="1">
        <f ca="1" t="shared" si="45"/>
        <v>1392</v>
      </c>
      <c r="BC102" s="1">
        <f ca="1" t="shared" si="46"/>
        <v>8352</v>
      </c>
      <c r="BD102" s="5">
        <f ca="1" t="shared" si="54"/>
        <v>290635.2</v>
      </c>
      <c r="BE102" s="1">
        <f ca="1">OFFSET(控制台!$AA$2798,MATCH(B102,控制台!$B$2798:$B$2809,0)-1,0)</f>
        <v>49.5533333333334</v>
      </c>
      <c r="BF102" s="1">
        <f ca="1" t="shared" ref="BF102:BF120" si="59">L102*BE102</f>
        <v>12487.44</v>
      </c>
      <c r="BG102" s="5">
        <f ca="1" t="shared" si="55"/>
        <v>243325.093333334</v>
      </c>
      <c r="BH102" s="1">
        <f ca="1">OFFSET(控制台!$AD$2798,MATCH(B102,控制台!$B$2798:$B$2809,0)-2,0)</f>
        <v>2800</v>
      </c>
      <c r="BI102" s="1">
        <f ca="1">OFFSET(控制台!$AD$2798,MATCH(B102,控制台!$B$2798:$B$2809,0)-1,0)</f>
        <v>3400</v>
      </c>
      <c r="BJ102" s="1">
        <f ca="1">Lerp_dyy(BH102,BI102,C102/10)</f>
        <v>2920</v>
      </c>
      <c r="BK102" s="4">
        <f ca="1">_xlfn.FLOOR.MATH(BJ102/24/3600*控制台!$E$2785)</f>
        <v>60</v>
      </c>
      <c r="BL102" s="1">
        <f ca="1" t="shared" si="47"/>
        <v>2880</v>
      </c>
      <c r="BM102" s="1">
        <f ca="1" t="shared" si="48"/>
        <v>17280</v>
      </c>
      <c r="BN102" s="5">
        <f ca="1" t="shared" si="56"/>
        <v>462364.8</v>
      </c>
    </row>
    <row r="103" spans="1:66">
      <c r="A103" s="1">
        <f t="shared" si="32"/>
        <v>1103</v>
      </c>
      <c r="B103" s="1">
        <v>11</v>
      </c>
      <c r="C103" s="1">
        <v>3</v>
      </c>
      <c r="D103" s="1">
        <f ca="1">OFFSET(控制台!$D$2798,MATCH(B103,控制台!$B$2798:$B$2809,0)-2,0)*控制台!$E$2751</f>
        <v>4600000</v>
      </c>
      <c r="E103" s="1">
        <f ca="1">OFFSET(控制台!$D$2798,MATCH(B103,控制台!$B$2798:$B$2809,0)-1,0)*控制台!$E$2751</f>
        <v>4800000</v>
      </c>
      <c r="F103" s="1">
        <f ca="1">Lerp_dyy(D103,E103,C103/10)</f>
        <v>4660000</v>
      </c>
      <c r="G103" s="4">
        <f ca="1">_xlfn.FLOOR.MATH(F103/24/3600*控制台!$E$2784)-控制台!$E$2814</f>
        <v>531</v>
      </c>
      <c r="H103" s="1">
        <f ca="1" t="shared" si="33"/>
        <v>4587840</v>
      </c>
      <c r="I103" s="1">
        <f ca="1">IF(B103=1,0,OFFSET(控制台!$B$865,MATCH(B103-1,控制台!$G$865:$G$936,0)-1,0))</f>
        <v>240</v>
      </c>
      <c r="J103" s="1">
        <f ca="1">OFFSET(控制台!$B$865,MATCH(B103,控制台!$G$865:$G$936,0)-1,0)</f>
        <v>300</v>
      </c>
      <c r="K103" s="1">
        <f ca="1" t="shared" si="34"/>
        <v>6</v>
      </c>
      <c r="L103" s="5">
        <f ca="1">Lerp_dyy(I103,J103,C103/10)</f>
        <v>258</v>
      </c>
      <c r="M103" s="1">
        <f ca="1" t="shared" si="35"/>
        <v>27527040</v>
      </c>
      <c r="N103" s="5">
        <f ca="1" t="shared" si="49"/>
        <v>998431488</v>
      </c>
      <c r="O103" s="1">
        <f ca="1">OFFSET(控制台!$F$2798,MATCH(B103,控制台!$B$2798:$B$2809,0)-2,0)*控制台!$E$2755</f>
        <v>2760</v>
      </c>
      <c r="P103" s="1">
        <f ca="1">OFFSET(控制台!$F$2798,MATCH(B103,控制台!$B$2798:$B$2809,0)-1,0)*控制台!$E$2755</f>
        <v>2880</v>
      </c>
      <c r="Q103" s="1">
        <f ca="1">Lerp_dyy(O103,P103,C103/10)</f>
        <v>2796</v>
      </c>
      <c r="R103" s="4">
        <f ca="1">_xlfn.FLOOR.MATH(Q103/24/3600*控制台!$E$2785)</f>
        <v>58</v>
      </c>
      <c r="S103" s="1">
        <f ca="1" t="shared" si="36"/>
        <v>2784</v>
      </c>
      <c r="T103" s="1">
        <f ca="1" t="shared" si="37"/>
        <v>16704</v>
      </c>
      <c r="U103" s="5">
        <f ca="1" t="shared" si="50"/>
        <v>605611.2</v>
      </c>
      <c r="V103" s="1">
        <f ca="1">OFFSET(控制台!$I$2798,MATCH(B103,控制台!$B$2798:$B$2809,0)-2,0)*控制台!$E$2791</f>
        <v>2500</v>
      </c>
      <c r="W103" s="1">
        <f ca="1">OFFSET(控制台!$I$2798,MATCH(B103,控制台!$B$2798:$B$2809,0)-1,0)*控制台!$E$2791</f>
        <v>2812.5</v>
      </c>
      <c r="X103" s="1">
        <f ca="1">Lerp_dyy(V103,W103,C103/10)</f>
        <v>2593.75</v>
      </c>
      <c r="Y103" s="4">
        <f ca="1">_xlfn.FLOOR.MATH(X103)</f>
        <v>2593</v>
      </c>
      <c r="Z103" s="1">
        <f ca="1" t="shared" si="38"/>
        <v>3.1116</v>
      </c>
      <c r="AA103" s="1">
        <f ca="1" t="shared" si="58"/>
        <v>18.6696</v>
      </c>
      <c r="AB103" s="5">
        <f ca="1" t="shared" si="57"/>
        <v>551.99244</v>
      </c>
      <c r="AC103" s="5">
        <f ca="1">AB103*控制台!$E$4819</f>
        <v>441.593952</v>
      </c>
      <c r="AD103" s="5">
        <f ca="1">AB103*控制台!$E$4820</f>
        <v>10101.461652</v>
      </c>
      <c r="AE103" s="1">
        <f ca="1">OFFSET(控制台!$L$2798,MATCH(B103,控制台!$B$2798:$B$2809,0)-2,0)*控制台!$E$2763</f>
        <v>2400</v>
      </c>
      <c r="AF103" s="1">
        <f ca="1">OFFSET(控制台!$L$2798,MATCH(B103,控制台!$B$2798:$B$2809,0)-1,0)*控制台!$E$2763</f>
        <v>2700</v>
      </c>
      <c r="AG103" s="1">
        <f ca="1">Lerp_dyy(AE103,AF103,C103/10)</f>
        <v>2490</v>
      </c>
      <c r="AH103" s="1">
        <f ca="1" t="shared" si="39"/>
        <v>14940</v>
      </c>
      <c r="AI103" s="5">
        <f ca="1" t="shared" si="51"/>
        <v>439125</v>
      </c>
      <c r="AJ103" s="1">
        <f ca="1">OFFSET(控制台!$P$2798,MATCH(B103,控制台!$B$2798:$B$2809,0)-2,0)</f>
        <v>8000</v>
      </c>
      <c r="AK103" s="1">
        <f ca="1">OFFSET(控制台!$P$2798,MATCH(B103,控制台!$B$2798:$B$2809,0)-1,0)</f>
        <v>9000</v>
      </c>
      <c r="AL103" s="1">
        <f ca="1">Lerp_dyy(AJ103,AK103,C103/10)</f>
        <v>8300</v>
      </c>
      <c r="AM103" s="4">
        <f ca="1">_xlfn.FLOOR.MATH(AL103/24/3600*控制台!$E$2785)</f>
        <v>172</v>
      </c>
      <c r="AN103" s="1">
        <f ca="1" t="shared" si="40"/>
        <v>8256</v>
      </c>
      <c r="AO103" s="1">
        <f ca="1" t="shared" si="41"/>
        <v>49536</v>
      </c>
      <c r="AP103" s="5">
        <f ca="1" t="shared" si="52"/>
        <v>1458494.4</v>
      </c>
      <c r="AQ103" s="1">
        <f ca="1">OFFSET(控制台!$V$2798,MATCH(B103,控制台!$B$2798:$B$2809,0)-2,0)*控制台!$E$2771</f>
        <v>2300000</v>
      </c>
      <c r="AR103" s="1">
        <f ca="1">OFFSET(控制台!$V$2798,MATCH(B103,控制台!$B$2798:$B$2809,0)-1,0)*控制台!$E$2771</f>
        <v>2400000</v>
      </c>
      <c r="AS103" s="1">
        <f ca="1">Lerp_dyy(AQ103,AR103,C103/10)</f>
        <v>2330000</v>
      </c>
      <c r="AT103" s="4">
        <f ca="1">MAX(_xlfn.FLOOR.MATH(AS103/24/3600*控制台!$E$2784)-控制台!$J$2814,0)</f>
        <v>265</v>
      </c>
      <c r="AU103" s="1">
        <f ca="1" t="shared" si="43"/>
        <v>2289600</v>
      </c>
      <c r="AV103" s="1">
        <f ca="1" t="shared" si="44"/>
        <v>13737600</v>
      </c>
      <c r="AW103" s="5">
        <f ca="1" t="shared" si="53"/>
        <v>497391840</v>
      </c>
      <c r="AX103" s="1">
        <f ca="1">OFFSET(控制台!$X$2798,MATCH(B103,控制台!$B$2798:$B$2809,0)-2,0)*控制台!$E$2775</f>
        <v>1380</v>
      </c>
      <c r="AY103" s="1">
        <f ca="1">OFFSET(控制台!$X$2798,MATCH(B103,控制台!$B$2798:$B$2809,0)-1,0)*控制台!$E$2775</f>
        <v>1440</v>
      </c>
      <c r="AZ103" s="1">
        <f ca="1">Lerp_dyy(AX103,AY103,C103/10)</f>
        <v>1398</v>
      </c>
      <c r="BA103" s="4">
        <f ca="1">_xlfn.FLOOR.MATH(AZ103/24/3600*控制台!$E$2785)</f>
        <v>29</v>
      </c>
      <c r="BB103" s="1">
        <f ca="1" t="shared" si="45"/>
        <v>1392</v>
      </c>
      <c r="BC103" s="1">
        <f ca="1" t="shared" si="46"/>
        <v>8352</v>
      </c>
      <c r="BD103" s="5">
        <f ca="1" t="shared" si="54"/>
        <v>298987.2</v>
      </c>
      <c r="BE103" s="1">
        <f ca="1">OFFSET(控制台!$AA$2798,MATCH(B103,控制台!$B$2798:$B$2809,0)-1,0)</f>
        <v>49.5533333333334</v>
      </c>
      <c r="BF103" s="1">
        <f ca="1" t="shared" si="59"/>
        <v>12784.76</v>
      </c>
      <c r="BG103" s="5">
        <f ca="1" t="shared" si="55"/>
        <v>256109.853333334</v>
      </c>
      <c r="BH103" s="1">
        <f ca="1">OFFSET(控制台!$AD$2798,MATCH(B103,控制台!$B$2798:$B$2809,0)-2,0)</f>
        <v>2800</v>
      </c>
      <c r="BI103" s="1">
        <f ca="1">OFFSET(控制台!$AD$2798,MATCH(B103,控制台!$B$2798:$B$2809,0)-1,0)</f>
        <v>3400</v>
      </c>
      <c r="BJ103" s="1">
        <f ca="1">Lerp_dyy(BH103,BI103,C103/10)</f>
        <v>2980</v>
      </c>
      <c r="BK103" s="4">
        <f ca="1">_xlfn.FLOOR.MATH(BJ103/24/3600*控制台!$E$2785)</f>
        <v>62</v>
      </c>
      <c r="BL103" s="1">
        <f ca="1" t="shared" si="47"/>
        <v>2976</v>
      </c>
      <c r="BM103" s="1">
        <f ca="1" t="shared" si="48"/>
        <v>17856</v>
      </c>
      <c r="BN103" s="5">
        <f ca="1" t="shared" si="56"/>
        <v>480220.8</v>
      </c>
    </row>
    <row r="104" spans="1:66">
      <c r="A104" s="1">
        <f t="shared" si="32"/>
        <v>1104</v>
      </c>
      <c r="B104" s="1">
        <v>11</v>
      </c>
      <c r="C104" s="1">
        <v>4</v>
      </c>
      <c r="D104" s="1">
        <f ca="1">OFFSET(控制台!$D$2798,MATCH(B104,控制台!$B$2798:$B$2809,0)-2,0)*控制台!$E$2751</f>
        <v>4600000</v>
      </c>
      <c r="E104" s="1">
        <f ca="1">OFFSET(控制台!$D$2798,MATCH(B104,控制台!$B$2798:$B$2809,0)-1,0)*控制台!$E$2751</f>
        <v>4800000</v>
      </c>
      <c r="F104" s="1">
        <f ca="1">Lerp_dyy(D104,E104,C104/10)</f>
        <v>4680000</v>
      </c>
      <c r="G104" s="4">
        <f ca="1">_xlfn.FLOOR.MATH(F104/24/3600*控制台!$E$2784)-控制台!$E$2814</f>
        <v>533</v>
      </c>
      <c r="H104" s="1">
        <f ca="1" t="shared" si="33"/>
        <v>4605120</v>
      </c>
      <c r="I104" s="1">
        <f ca="1">IF(B104=1,0,OFFSET(控制台!$B$865,MATCH(B104-1,控制台!$G$865:$G$936,0)-1,0))</f>
        <v>240</v>
      </c>
      <c r="J104" s="1">
        <f ca="1">OFFSET(控制台!$B$865,MATCH(B104,控制台!$G$865:$G$936,0)-1,0)</f>
        <v>300</v>
      </c>
      <c r="K104" s="1">
        <f ca="1" t="shared" si="34"/>
        <v>6</v>
      </c>
      <c r="L104" s="5">
        <f ca="1">Lerp_dyy(I104,J104,C104/10)</f>
        <v>264</v>
      </c>
      <c r="M104" s="1">
        <f ca="1" t="shared" si="35"/>
        <v>27630720</v>
      </c>
      <c r="N104" s="5">
        <f ca="1" t="shared" si="49"/>
        <v>1026062208</v>
      </c>
      <c r="O104" s="1">
        <f ca="1">OFFSET(控制台!$F$2798,MATCH(B104,控制台!$B$2798:$B$2809,0)-2,0)*控制台!$E$2755</f>
        <v>2760</v>
      </c>
      <c r="P104" s="1">
        <f ca="1">OFFSET(控制台!$F$2798,MATCH(B104,控制台!$B$2798:$B$2809,0)-1,0)*控制台!$E$2755</f>
        <v>2880</v>
      </c>
      <c r="Q104" s="1">
        <f ca="1">Lerp_dyy(O104,P104,C104/10)</f>
        <v>2808</v>
      </c>
      <c r="R104" s="4">
        <f ca="1">_xlfn.FLOOR.MATH(Q104/24/3600*控制台!$E$2785)</f>
        <v>58</v>
      </c>
      <c r="S104" s="1">
        <f ca="1" t="shared" si="36"/>
        <v>2784</v>
      </c>
      <c r="T104" s="1">
        <f ca="1" t="shared" si="37"/>
        <v>16704</v>
      </c>
      <c r="U104" s="5">
        <f ca="1" t="shared" si="50"/>
        <v>622315.2</v>
      </c>
      <c r="V104" s="1">
        <f ca="1">OFFSET(控制台!$I$2798,MATCH(B104,控制台!$B$2798:$B$2809,0)-2,0)*控制台!$E$2791</f>
        <v>2500</v>
      </c>
      <c r="W104" s="1">
        <f ca="1">OFFSET(控制台!$I$2798,MATCH(B104,控制台!$B$2798:$B$2809,0)-1,0)*控制台!$E$2791</f>
        <v>2812.5</v>
      </c>
      <c r="X104" s="1">
        <f ca="1">Lerp_dyy(V104,W104,C104/10)</f>
        <v>2625</v>
      </c>
      <c r="Y104" s="4">
        <f ca="1">_xlfn.FLOOR.MATH(X104)</f>
        <v>2625</v>
      </c>
      <c r="Z104" s="1">
        <f ca="1" t="shared" si="38"/>
        <v>3.15</v>
      </c>
      <c r="AA104" s="1">
        <f ca="1" t="shared" si="58"/>
        <v>18.9</v>
      </c>
      <c r="AB104" s="5">
        <f ca="1" t="shared" si="57"/>
        <v>570.89244</v>
      </c>
      <c r="AC104" s="5">
        <f ca="1">AB104*控制台!$E$4819</f>
        <v>456.713952</v>
      </c>
      <c r="AD104" s="5">
        <f ca="1">AB104*控制台!$E$4820</f>
        <v>10447.331652</v>
      </c>
      <c r="AE104" s="1">
        <f ca="1">OFFSET(控制台!$L$2798,MATCH(B104,控制台!$B$2798:$B$2809,0)-2,0)*控制台!$E$2763</f>
        <v>2400</v>
      </c>
      <c r="AF104" s="1">
        <f ca="1">OFFSET(控制台!$L$2798,MATCH(B104,控制台!$B$2798:$B$2809,0)-1,0)*控制台!$E$2763</f>
        <v>2700</v>
      </c>
      <c r="AG104" s="1">
        <f ca="1">Lerp_dyy(AE104,AF104,C104/10)</f>
        <v>2520</v>
      </c>
      <c r="AH104" s="1">
        <f ca="1" t="shared" si="39"/>
        <v>15120</v>
      </c>
      <c r="AI104" s="5">
        <f ca="1" t="shared" si="51"/>
        <v>454245</v>
      </c>
      <c r="AJ104" s="1">
        <f ca="1">OFFSET(控制台!$P$2798,MATCH(B104,控制台!$B$2798:$B$2809,0)-2,0)</f>
        <v>8000</v>
      </c>
      <c r="AK104" s="1">
        <f ca="1">OFFSET(控制台!$P$2798,MATCH(B104,控制台!$B$2798:$B$2809,0)-1,0)</f>
        <v>9000</v>
      </c>
      <c r="AL104" s="1">
        <f ca="1">Lerp_dyy(AJ104,AK104,C104/10)</f>
        <v>8400</v>
      </c>
      <c r="AM104" s="4">
        <f ca="1">_xlfn.FLOOR.MATH(AL104/24/3600*控制台!$E$2785)</f>
        <v>175</v>
      </c>
      <c r="AN104" s="1">
        <f ca="1" t="shared" si="40"/>
        <v>8400</v>
      </c>
      <c r="AO104" s="1">
        <f ca="1" t="shared" si="41"/>
        <v>50400</v>
      </c>
      <c r="AP104" s="5">
        <f ca="1" t="shared" si="52"/>
        <v>1508894.4</v>
      </c>
      <c r="AQ104" s="1">
        <f ca="1">OFFSET(控制台!$V$2798,MATCH(B104,控制台!$B$2798:$B$2809,0)-2,0)*控制台!$E$2771</f>
        <v>2300000</v>
      </c>
      <c r="AR104" s="1">
        <f ca="1">OFFSET(控制台!$V$2798,MATCH(B104,控制台!$B$2798:$B$2809,0)-1,0)*控制台!$E$2771</f>
        <v>2400000</v>
      </c>
      <c r="AS104" s="1">
        <f ca="1">Lerp_dyy(AQ104,AR104,C104/10)</f>
        <v>2340000</v>
      </c>
      <c r="AT104" s="4">
        <f ca="1">MAX(_xlfn.FLOOR.MATH(AS104/24/3600*控制台!$E$2784)-控制台!$J$2814,0)</f>
        <v>266</v>
      </c>
      <c r="AU104" s="1">
        <f ca="1" t="shared" si="43"/>
        <v>2298240</v>
      </c>
      <c r="AV104" s="1">
        <f ca="1" t="shared" si="44"/>
        <v>13789440</v>
      </c>
      <c r="AW104" s="5">
        <f ca="1" t="shared" si="53"/>
        <v>511181280</v>
      </c>
      <c r="AX104" s="1">
        <f ca="1">OFFSET(控制台!$X$2798,MATCH(B104,控制台!$B$2798:$B$2809,0)-2,0)*控制台!$E$2775</f>
        <v>1380</v>
      </c>
      <c r="AY104" s="1">
        <f ca="1">OFFSET(控制台!$X$2798,MATCH(B104,控制台!$B$2798:$B$2809,0)-1,0)*控制台!$E$2775</f>
        <v>1440</v>
      </c>
      <c r="AZ104" s="1">
        <f ca="1">Lerp_dyy(AX104,AY104,C104/10)</f>
        <v>1404</v>
      </c>
      <c r="BA104" s="4">
        <f ca="1">_xlfn.FLOOR.MATH(AZ104/24/3600*控制台!$E$2785)</f>
        <v>29</v>
      </c>
      <c r="BB104" s="1">
        <f ca="1" t="shared" si="45"/>
        <v>1392</v>
      </c>
      <c r="BC104" s="1">
        <f ca="1" t="shared" si="46"/>
        <v>8352</v>
      </c>
      <c r="BD104" s="5">
        <f ca="1" t="shared" si="54"/>
        <v>307339.2</v>
      </c>
      <c r="BE104" s="1">
        <f ca="1">OFFSET(控制台!$AA$2798,MATCH(B104,控制台!$B$2798:$B$2809,0)-1,0)</f>
        <v>49.5533333333334</v>
      </c>
      <c r="BF104" s="1">
        <f ca="1" t="shared" si="59"/>
        <v>13082.08</v>
      </c>
      <c r="BG104" s="5">
        <f ca="1" t="shared" si="55"/>
        <v>269191.933333334</v>
      </c>
      <c r="BH104" s="1">
        <f ca="1">OFFSET(控制台!$AD$2798,MATCH(B104,控制台!$B$2798:$B$2809,0)-2,0)</f>
        <v>2800</v>
      </c>
      <c r="BI104" s="1">
        <f ca="1">OFFSET(控制台!$AD$2798,MATCH(B104,控制台!$B$2798:$B$2809,0)-1,0)</f>
        <v>3400</v>
      </c>
      <c r="BJ104" s="1">
        <f ca="1">Lerp_dyy(BH104,BI104,C104/10)</f>
        <v>3040</v>
      </c>
      <c r="BK104" s="4">
        <f ca="1">_xlfn.FLOOR.MATH(BJ104/24/3600*控制台!$E$2785)</f>
        <v>63</v>
      </c>
      <c r="BL104" s="1">
        <f ca="1" t="shared" si="47"/>
        <v>3024</v>
      </c>
      <c r="BM104" s="1">
        <f ca="1" t="shared" si="48"/>
        <v>18144</v>
      </c>
      <c r="BN104" s="5">
        <f ca="1" t="shared" si="56"/>
        <v>498364.8</v>
      </c>
    </row>
    <row r="105" spans="1:66">
      <c r="A105" s="1">
        <f t="shared" si="32"/>
        <v>1105</v>
      </c>
      <c r="B105" s="1">
        <v>11</v>
      </c>
      <c r="C105" s="1">
        <v>5</v>
      </c>
      <c r="D105" s="1">
        <f ca="1">OFFSET(控制台!$D$2798,MATCH(B105,控制台!$B$2798:$B$2809,0)-2,0)*控制台!$E$2751</f>
        <v>4600000</v>
      </c>
      <c r="E105" s="1">
        <f ca="1">OFFSET(控制台!$D$2798,MATCH(B105,控制台!$B$2798:$B$2809,0)-1,0)*控制台!$E$2751</f>
        <v>4800000</v>
      </c>
      <c r="F105" s="1">
        <f ca="1">Lerp_dyy(D105,E105,C105/10)</f>
        <v>4700000</v>
      </c>
      <c r="G105" s="4">
        <f ca="1">_xlfn.FLOOR.MATH(F105/24/3600*控制台!$E$2784)-控制台!$E$2814</f>
        <v>535</v>
      </c>
      <c r="H105" s="1">
        <f ca="1" t="shared" si="33"/>
        <v>4622400</v>
      </c>
      <c r="I105" s="1">
        <f ca="1">IF(B105=1,0,OFFSET(控制台!$B$865,MATCH(B105-1,控制台!$G$865:$G$936,0)-1,0))</f>
        <v>240</v>
      </c>
      <c r="J105" s="1">
        <f ca="1">OFFSET(控制台!$B$865,MATCH(B105,控制台!$G$865:$G$936,0)-1,0)</f>
        <v>300</v>
      </c>
      <c r="K105" s="1">
        <f ca="1" t="shared" si="34"/>
        <v>6</v>
      </c>
      <c r="L105" s="5">
        <f ca="1">Lerp_dyy(I105,J105,C105/10)</f>
        <v>270</v>
      </c>
      <c r="M105" s="1">
        <f ca="1" t="shared" si="35"/>
        <v>27734400</v>
      </c>
      <c r="N105" s="5">
        <f ca="1" t="shared" si="49"/>
        <v>1053796608</v>
      </c>
      <c r="O105" s="1">
        <f ca="1">OFFSET(控制台!$F$2798,MATCH(B105,控制台!$B$2798:$B$2809,0)-2,0)*控制台!$E$2755</f>
        <v>2760</v>
      </c>
      <c r="P105" s="1">
        <f ca="1">OFFSET(控制台!$F$2798,MATCH(B105,控制台!$B$2798:$B$2809,0)-1,0)*控制台!$E$2755</f>
        <v>2880</v>
      </c>
      <c r="Q105" s="1">
        <f ca="1">Lerp_dyy(O105,P105,C105/10)</f>
        <v>2820</v>
      </c>
      <c r="R105" s="4">
        <f ca="1">_xlfn.FLOOR.MATH(Q105/24/3600*控制台!$E$2785)</f>
        <v>58</v>
      </c>
      <c r="S105" s="1">
        <f ca="1" t="shared" si="36"/>
        <v>2784</v>
      </c>
      <c r="T105" s="1">
        <f ca="1" t="shared" si="37"/>
        <v>16704</v>
      </c>
      <c r="U105" s="5">
        <f ca="1" t="shared" si="50"/>
        <v>639019.2</v>
      </c>
      <c r="V105" s="1">
        <f ca="1">OFFSET(控制台!$I$2798,MATCH(B105,控制台!$B$2798:$B$2809,0)-2,0)*控制台!$E$2791</f>
        <v>2500</v>
      </c>
      <c r="W105" s="1">
        <f ca="1">OFFSET(控制台!$I$2798,MATCH(B105,控制台!$B$2798:$B$2809,0)-1,0)*控制台!$E$2791</f>
        <v>2812.5</v>
      </c>
      <c r="X105" s="1">
        <f ca="1">Lerp_dyy(V105,W105,C105/10)</f>
        <v>2656.25</v>
      </c>
      <c r="Y105" s="4">
        <f ca="1">_xlfn.FLOOR.MATH(X105)</f>
        <v>2656</v>
      </c>
      <c r="Z105" s="1">
        <f ca="1" t="shared" si="38"/>
        <v>3.1872</v>
      </c>
      <c r="AA105" s="1">
        <f ca="1" t="shared" si="58"/>
        <v>19.1232</v>
      </c>
      <c r="AB105" s="5">
        <f ca="1" t="shared" si="57"/>
        <v>590.01564</v>
      </c>
      <c r="AC105" s="5">
        <f ca="1">AB105*控制台!$E$4819</f>
        <v>472.012512</v>
      </c>
      <c r="AD105" s="5">
        <f ca="1">AB105*控制台!$E$4820</f>
        <v>10797.286212</v>
      </c>
      <c r="AE105" s="1">
        <f ca="1">OFFSET(控制台!$L$2798,MATCH(B105,控制台!$B$2798:$B$2809,0)-2,0)*控制台!$E$2763</f>
        <v>2400</v>
      </c>
      <c r="AF105" s="1">
        <f ca="1">OFFSET(控制台!$L$2798,MATCH(B105,控制台!$B$2798:$B$2809,0)-1,0)*控制台!$E$2763</f>
        <v>2700</v>
      </c>
      <c r="AG105" s="1">
        <f ca="1">Lerp_dyy(AE105,AF105,C105/10)</f>
        <v>2550</v>
      </c>
      <c r="AH105" s="1">
        <f ca="1" t="shared" si="39"/>
        <v>15300</v>
      </c>
      <c r="AI105" s="5">
        <f ca="1" t="shared" si="51"/>
        <v>469545</v>
      </c>
      <c r="AJ105" s="1">
        <f ca="1">OFFSET(控制台!$P$2798,MATCH(B105,控制台!$B$2798:$B$2809,0)-2,0)</f>
        <v>8000</v>
      </c>
      <c r="AK105" s="1">
        <f ca="1">OFFSET(控制台!$P$2798,MATCH(B105,控制台!$B$2798:$B$2809,0)-1,0)</f>
        <v>9000</v>
      </c>
      <c r="AL105" s="1">
        <f ca="1">Lerp_dyy(AJ105,AK105,C105/10)</f>
        <v>8500</v>
      </c>
      <c r="AM105" s="4">
        <f ca="1">_xlfn.FLOOR.MATH(AL105/24/3600*控制台!$E$2785)</f>
        <v>177</v>
      </c>
      <c r="AN105" s="1">
        <f ca="1" t="shared" si="40"/>
        <v>8496</v>
      </c>
      <c r="AO105" s="1">
        <f ca="1" t="shared" si="41"/>
        <v>50976</v>
      </c>
      <c r="AP105" s="5">
        <f ca="1" t="shared" si="52"/>
        <v>1559870.4</v>
      </c>
      <c r="AQ105" s="1">
        <f ca="1">OFFSET(控制台!$V$2798,MATCH(B105,控制台!$B$2798:$B$2809,0)-2,0)*控制台!$E$2771</f>
        <v>2300000</v>
      </c>
      <c r="AR105" s="1">
        <f ca="1">OFFSET(控制台!$V$2798,MATCH(B105,控制台!$B$2798:$B$2809,0)-1,0)*控制台!$E$2771</f>
        <v>2400000</v>
      </c>
      <c r="AS105" s="1">
        <f ca="1">Lerp_dyy(AQ105,AR105,C105/10)</f>
        <v>2350000</v>
      </c>
      <c r="AT105" s="4">
        <f ca="1">MAX(_xlfn.FLOOR.MATH(AS105/24/3600*控制台!$E$2784)-控制台!$J$2814,0)</f>
        <v>267</v>
      </c>
      <c r="AU105" s="1">
        <f ca="1" t="shared" si="43"/>
        <v>2306880</v>
      </c>
      <c r="AV105" s="1">
        <f ca="1" t="shared" si="44"/>
        <v>13841280</v>
      </c>
      <c r="AW105" s="5">
        <f ca="1" t="shared" si="53"/>
        <v>525022560</v>
      </c>
      <c r="AX105" s="1">
        <f ca="1">OFFSET(控制台!$X$2798,MATCH(B105,控制台!$B$2798:$B$2809,0)-2,0)*控制台!$E$2775</f>
        <v>1380</v>
      </c>
      <c r="AY105" s="1">
        <f ca="1">OFFSET(控制台!$X$2798,MATCH(B105,控制台!$B$2798:$B$2809,0)-1,0)*控制台!$E$2775</f>
        <v>1440</v>
      </c>
      <c r="AZ105" s="1">
        <f ca="1">Lerp_dyy(AX105,AY105,C105/10)</f>
        <v>1410</v>
      </c>
      <c r="BA105" s="4">
        <f ca="1">_xlfn.FLOOR.MATH(AZ105/24/3600*控制台!$E$2785)</f>
        <v>29</v>
      </c>
      <c r="BB105" s="1">
        <f ca="1" t="shared" si="45"/>
        <v>1392</v>
      </c>
      <c r="BC105" s="1">
        <f ca="1" t="shared" si="46"/>
        <v>8352</v>
      </c>
      <c r="BD105" s="5">
        <f ca="1" t="shared" si="54"/>
        <v>315691.2</v>
      </c>
      <c r="BE105" s="1">
        <f ca="1">OFFSET(控制台!$AA$2798,MATCH(B105,控制台!$B$2798:$B$2809,0)-1,0)</f>
        <v>49.5533333333334</v>
      </c>
      <c r="BF105" s="1">
        <f ca="1" t="shared" si="59"/>
        <v>13379.4</v>
      </c>
      <c r="BG105" s="5">
        <f ca="1" t="shared" si="55"/>
        <v>282571.333333334</v>
      </c>
      <c r="BH105" s="1">
        <f ca="1">OFFSET(控制台!$AD$2798,MATCH(B105,控制台!$B$2798:$B$2809,0)-2,0)</f>
        <v>2800</v>
      </c>
      <c r="BI105" s="1">
        <f ca="1">OFFSET(控制台!$AD$2798,MATCH(B105,控制台!$B$2798:$B$2809,0)-1,0)</f>
        <v>3400</v>
      </c>
      <c r="BJ105" s="1">
        <f ca="1">Lerp_dyy(BH105,BI105,C105/10)</f>
        <v>3100</v>
      </c>
      <c r="BK105" s="4">
        <f ca="1">_xlfn.FLOOR.MATH(BJ105/24/3600*控制台!$E$2785)</f>
        <v>64</v>
      </c>
      <c r="BL105" s="1">
        <f ca="1" t="shared" si="47"/>
        <v>3072</v>
      </c>
      <c r="BM105" s="1">
        <f ca="1" t="shared" si="48"/>
        <v>18432</v>
      </c>
      <c r="BN105" s="5">
        <f ca="1" t="shared" si="56"/>
        <v>516796.8</v>
      </c>
    </row>
    <row r="106" spans="1:66">
      <c r="A106" s="1">
        <f t="shared" si="32"/>
        <v>1106</v>
      </c>
      <c r="B106" s="1">
        <v>11</v>
      </c>
      <c r="C106" s="1">
        <v>6</v>
      </c>
      <c r="D106" s="1">
        <f ca="1">OFFSET(控制台!$D$2798,MATCH(B106,控制台!$B$2798:$B$2809,0)-2,0)*控制台!$E$2751</f>
        <v>4600000</v>
      </c>
      <c r="E106" s="1">
        <f ca="1">OFFSET(控制台!$D$2798,MATCH(B106,控制台!$B$2798:$B$2809,0)-1,0)*控制台!$E$2751</f>
        <v>4800000</v>
      </c>
      <c r="F106" s="1">
        <f ca="1">Lerp_dyy(D106,E106,C106/10)</f>
        <v>4720000</v>
      </c>
      <c r="G106" s="4">
        <f ca="1">_xlfn.FLOOR.MATH(F106/24/3600*控制台!$E$2784)-控制台!$E$2814</f>
        <v>538</v>
      </c>
      <c r="H106" s="1">
        <f ca="1" t="shared" si="33"/>
        <v>4648320</v>
      </c>
      <c r="I106" s="1">
        <f ca="1">IF(B106=1,0,OFFSET(控制台!$B$865,MATCH(B106-1,控制台!$G$865:$G$936,0)-1,0))</f>
        <v>240</v>
      </c>
      <c r="J106" s="1">
        <f ca="1">OFFSET(控制台!$B$865,MATCH(B106,控制台!$G$865:$G$936,0)-1,0)</f>
        <v>300</v>
      </c>
      <c r="K106" s="1">
        <f ca="1" t="shared" si="34"/>
        <v>6</v>
      </c>
      <c r="L106" s="5">
        <f ca="1">Lerp_dyy(I106,J106,C106/10)</f>
        <v>276</v>
      </c>
      <c r="M106" s="1">
        <f ca="1" t="shared" si="35"/>
        <v>27889920</v>
      </c>
      <c r="N106" s="5">
        <f ca="1" t="shared" si="49"/>
        <v>1081686528</v>
      </c>
      <c r="O106" s="1">
        <f ca="1">OFFSET(控制台!$F$2798,MATCH(B106,控制台!$B$2798:$B$2809,0)-2,0)*控制台!$E$2755</f>
        <v>2760</v>
      </c>
      <c r="P106" s="1">
        <f ca="1">OFFSET(控制台!$F$2798,MATCH(B106,控制台!$B$2798:$B$2809,0)-1,0)*控制台!$E$2755</f>
        <v>2880</v>
      </c>
      <c r="Q106" s="1">
        <f ca="1">Lerp_dyy(O106,P106,C106/10)</f>
        <v>2832</v>
      </c>
      <c r="R106" s="4">
        <f ca="1">_xlfn.FLOOR.MATH(Q106/24/3600*控制台!$E$2785)</f>
        <v>59</v>
      </c>
      <c r="S106" s="1">
        <f ca="1" t="shared" si="36"/>
        <v>2832</v>
      </c>
      <c r="T106" s="1">
        <f ca="1" t="shared" si="37"/>
        <v>16992</v>
      </c>
      <c r="U106" s="5">
        <f ca="1" t="shared" si="50"/>
        <v>656011.2</v>
      </c>
      <c r="V106" s="1">
        <f ca="1">OFFSET(控制台!$I$2798,MATCH(B106,控制台!$B$2798:$B$2809,0)-2,0)*控制台!$E$2791</f>
        <v>2500</v>
      </c>
      <c r="W106" s="1">
        <f ca="1">OFFSET(控制台!$I$2798,MATCH(B106,控制台!$B$2798:$B$2809,0)-1,0)*控制台!$E$2791</f>
        <v>2812.5</v>
      </c>
      <c r="X106" s="1">
        <f ca="1">Lerp_dyy(V106,W106,C106/10)</f>
        <v>2687.5</v>
      </c>
      <c r="Y106" s="4">
        <f ca="1">_xlfn.FLOOR.MATH(X106)</f>
        <v>2687</v>
      </c>
      <c r="Z106" s="1">
        <f ca="1" t="shared" si="38"/>
        <v>3.2244</v>
      </c>
      <c r="AA106" s="1">
        <f ca="1" t="shared" si="58"/>
        <v>19.3464</v>
      </c>
      <c r="AB106" s="5">
        <f ca="1" t="shared" si="57"/>
        <v>609.36204</v>
      </c>
      <c r="AC106" s="5">
        <f ca="1">AB106*控制台!$E$4819</f>
        <v>487.489632</v>
      </c>
      <c r="AD106" s="5">
        <f ca="1">AB106*控制台!$E$4820</f>
        <v>11151.325332</v>
      </c>
      <c r="AE106" s="1">
        <f ca="1">OFFSET(控制台!$L$2798,MATCH(B106,控制台!$B$2798:$B$2809,0)-2,0)*控制台!$E$2763</f>
        <v>2400</v>
      </c>
      <c r="AF106" s="1">
        <f ca="1">OFFSET(控制台!$L$2798,MATCH(B106,控制台!$B$2798:$B$2809,0)-1,0)*控制台!$E$2763</f>
        <v>2700</v>
      </c>
      <c r="AG106" s="1">
        <f ca="1">Lerp_dyy(AE106,AF106,C106/10)</f>
        <v>2580</v>
      </c>
      <c r="AH106" s="1">
        <f ca="1" t="shared" si="39"/>
        <v>15480</v>
      </c>
      <c r="AI106" s="5">
        <f ca="1" t="shared" si="51"/>
        <v>485025</v>
      </c>
      <c r="AJ106" s="1">
        <f ca="1">OFFSET(控制台!$P$2798,MATCH(B106,控制台!$B$2798:$B$2809,0)-2,0)</f>
        <v>8000</v>
      </c>
      <c r="AK106" s="1">
        <f ca="1">OFFSET(控制台!$P$2798,MATCH(B106,控制台!$B$2798:$B$2809,0)-1,0)</f>
        <v>9000</v>
      </c>
      <c r="AL106" s="1">
        <f ca="1">Lerp_dyy(AJ106,AK106,C106/10)</f>
        <v>8600</v>
      </c>
      <c r="AM106" s="4">
        <f ca="1">_xlfn.FLOOR.MATH(AL106/24/3600*控制台!$E$2785)</f>
        <v>179</v>
      </c>
      <c r="AN106" s="1">
        <f ca="1" t="shared" si="40"/>
        <v>8592</v>
      </c>
      <c r="AO106" s="1">
        <f ca="1" t="shared" si="41"/>
        <v>51552</v>
      </c>
      <c r="AP106" s="5">
        <f ca="1" t="shared" si="52"/>
        <v>1611422.4</v>
      </c>
      <c r="AQ106" s="1">
        <f ca="1">OFFSET(控制台!$V$2798,MATCH(B106,控制台!$B$2798:$B$2809,0)-2,0)*控制台!$E$2771</f>
        <v>2300000</v>
      </c>
      <c r="AR106" s="1">
        <f ca="1">OFFSET(控制台!$V$2798,MATCH(B106,控制台!$B$2798:$B$2809,0)-1,0)*控制台!$E$2771</f>
        <v>2400000</v>
      </c>
      <c r="AS106" s="1">
        <f ca="1">Lerp_dyy(AQ106,AR106,C106/10)</f>
        <v>2360000</v>
      </c>
      <c r="AT106" s="4">
        <f ca="1">MAX(_xlfn.FLOOR.MATH(AS106/24/3600*控制台!$E$2784)-控制台!$J$2814,0)</f>
        <v>269</v>
      </c>
      <c r="AU106" s="1">
        <f ca="1" t="shared" si="43"/>
        <v>2324160</v>
      </c>
      <c r="AV106" s="1">
        <f ca="1" t="shared" si="44"/>
        <v>13944960</v>
      </c>
      <c r="AW106" s="5">
        <f ca="1" t="shared" si="53"/>
        <v>538967520</v>
      </c>
      <c r="AX106" s="1">
        <f ca="1">OFFSET(控制台!$X$2798,MATCH(B106,控制台!$B$2798:$B$2809,0)-2,0)*控制台!$E$2775</f>
        <v>1380</v>
      </c>
      <c r="AY106" s="1">
        <f ca="1">OFFSET(控制台!$X$2798,MATCH(B106,控制台!$B$2798:$B$2809,0)-1,0)*控制台!$E$2775</f>
        <v>1440</v>
      </c>
      <c r="AZ106" s="1">
        <f ca="1">Lerp_dyy(AX106,AY106,C106/10)</f>
        <v>1416</v>
      </c>
      <c r="BA106" s="4">
        <f ca="1">_xlfn.FLOOR.MATH(AZ106/24/3600*控制台!$E$2785)</f>
        <v>29</v>
      </c>
      <c r="BB106" s="1">
        <f ca="1" t="shared" si="45"/>
        <v>1392</v>
      </c>
      <c r="BC106" s="1">
        <f ca="1" t="shared" si="46"/>
        <v>8352</v>
      </c>
      <c r="BD106" s="5">
        <f ca="1" t="shared" si="54"/>
        <v>324043.2</v>
      </c>
      <c r="BE106" s="1">
        <f ca="1">OFFSET(控制台!$AA$2798,MATCH(B106,控制台!$B$2798:$B$2809,0)-1,0)</f>
        <v>49.5533333333334</v>
      </c>
      <c r="BF106" s="1">
        <f ca="1" t="shared" si="59"/>
        <v>13676.72</v>
      </c>
      <c r="BG106" s="5">
        <f ca="1" t="shared" si="55"/>
        <v>296248.053333334</v>
      </c>
      <c r="BH106" s="1">
        <f ca="1">OFFSET(控制台!$AD$2798,MATCH(B106,控制台!$B$2798:$B$2809,0)-2,0)</f>
        <v>2800</v>
      </c>
      <c r="BI106" s="1">
        <f ca="1">OFFSET(控制台!$AD$2798,MATCH(B106,控制台!$B$2798:$B$2809,0)-1,0)</f>
        <v>3400</v>
      </c>
      <c r="BJ106" s="1">
        <f ca="1">Lerp_dyy(BH106,BI106,C106/10)</f>
        <v>3160</v>
      </c>
      <c r="BK106" s="4">
        <f ca="1">_xlfn.FLOOR.MATH(BJ106/24/3600*控制台!$E$2785)</f>
        <v>65</v>
      </c>
      <c r="BL106" s="1">
        <f ca="1" t="shared" si="47"/>
        <v>3120</v>
      </c>
      <c r="BM106" s="1">
        <f ca="1" t="shared" si="48"/>
        <v>18720</v>
      </c>
      <c r="BN106" s="5">
        <f ca="1" t="shared" si="56"/>
        <v>535516.8</v>
      </c>
    </row>
    <row r="107" spans="1:66">
      <c r="A107" s="1">
        <f t="shared" si="32"/>
        <v>1107</v>
      </c>
      <c r="B107" s="1">
        <v>11</v>
      </c>
      <c r="C107" s="1">
        <v>7</v>
      </c>
      <c r="D107" s="1">
        <f ca="1">OFFSET(控制台!$D$2798,MATCH(B107,控制台!$B$2798:$B$2809,0)-2,0)*控制台!$E$2751</f>
        <v>4600000</v>
      </c>
      <c r="E107" s="1">
        <f ca="1">OFFSET(控制台!$D$2798,MATCH(B107,控制台!$B$2798:$B$2809,0)-1,0)*控制台!$E$2751</f>
        <v>4800000</v>
      </c>
      <c r="F107" s="1">
        <f ca="1">Lerp_dyy(D107,E107,C107/10)</f>
        <v>4740000</v>
      </c>
      <c r="G107" s="4">
        <f ca="1">_xlfn.FLOOR.MATH(F107/24/3600*控制台!$E$2784)-控制台!$E$2814</f>
        <v>540</v>
      </c>
      <c r="H107" s="1">
        <f ca="1" t="shared" si="33"/>
        <v>4665600</v>
      </c>
      <c r="I107" s="1">
        <f ca="1">IF(B107=1,0,OFFSET(控制台!$B$865,MATCH(B107-1,控制台!$G$865:$G$936,0)-1,0))</f>
        <v>240</v>
      </c>
      <c r="J107" s="1">
        <f ca="1">OFFSET(控制台!$B$865,MATCH(B107,控制台!$G$865:$G$936,0)-1,0)</f>
        <v>300</v>
      </c>
      <c r="K107" s="1">
        <f ca="1" t="shared" si="34"/>
        <v>6</v>
      </c>
      <c r="L107" s="5">
        <f ca="1">Lerp_dyy(I107,J107,C107/10)</f>
        <v>282</v>
      </c>
      <c r="M107" s="1">
        <f ca="1" t="shared" si="35"/>
        <v>27993600</v>
      </c>
      <c r="N107" s="5">
        <f ca="1" t="shared" si="49"/>
        <v>1109680128</v>
      </c>
      <c r="O107" s="1">
        <f ca="1">OFFSET(控制台!$F$2798,MATCH(B107,控制台!$B$2798:$B$2809,0)-2,0)*控制台!$E$2755</f>
        <v>2760</v>
      </c>
      <c r="P107" s="1">
        <f ca="1">OFFSET(控制台!$F$2798,MATCH(B107,控制台!$B$2798:$B$2809,0)-1,0)*控制台!$E$2755</f>
        <v>2880</v>
      </c>
      <c r="Q107" s="1">
        <f ca="1">Lerp_dyy(O107,P107,C107/10)</f>
        <v>2844</v>
      </c>
      <c r="R107" s="4">
        <f ca="1">_xlfn.FLOOR.MATH(Q107/24/3600*控制台!$E$2785)</f>
        <v>59</v>
      </c>
      <c r="S107" s="1">
        <f ca="1" t="shared" si="36"/>
        <v>2832</v>
      </c>
      <c r="T107" s="1">
        <f ca="1" t="shared" si="37"/>
        <v>16992</v>
      </c>
      <c r="U107" s="5">
        <f ca="1" t="shared" si="50"/>
        <v>673003.2</v>
      </c>
      <c r="V107" s="1">
        <f ca="1">OFFSET(控制台!$I$2798,MATCH(B107,控制台!$B$2798:$B$2809,0)-2,0)*控制台!$E$2791</f>
        <v>2500</v>
      </c>
      <c r="W107" s="1">
        <f ca="1">OFFSET(控制台!$I$2798,MATCH(B107,控制台!$B$2798:$B$2809,0)-1,0)*控制台!$E$2791</f>
        <v>2812.5</v>
      </c>
      <c r="X107" s="1">
        <f ca="1">Lerp_dyy(V107,W107,C107/10)</f>
        <v>2718.75</v>
      </c>
      <c r="Y107" s="4">
        <f ca="1">_xlfn.FLOOR.MATH(X107)</f>
        <v>2718</v>
      </c>
      <c r="Z107" s="1">
        <f ca="1" t="shared" si="38"/>
        <v>3.2616</v>
      </c>
      <c r="AA107" s="1">
        <f ca="1" t="shared" si="58"/>
        <v>19.5696</v>
      </c>
      <c r="AB107" s="5">
        <f ca="1" t="shared" si="57"/>
        <v>628.93164</v>
      </c>
      <c r="AC107" s="5">
        <f ca="1">AB107*控制台!$E$4819</f>
        <v>503.145312</v>
      </c>
      <c r="AD107" s="5">
        <f ca="1">AB107*控制台!$E$4820</f>
        <v>11509.449012</v>
      </c>
      <c r="AE107" s="1">
        <f ca="1">OFFSET(控制台!$L$2798,MATCH(B107,控制台!$B$2798:$B$2809,0)-2,0)*控制台!$E$2763</f>
        <v>2400</v>
      </c>
      <c r="AF107" s="1">
        <f ca="1">OFFSET(控制台!$L$2798,MATCH(B107,控制台!$B$2798:$B$2809,0)-1,0)*控制台!$E$2763</f>
        <v>2700</v>
      </c>
      <c r="AG107" s="1">
        <f ca="1">Lerp_dyy(AE107,AF107,C107/10)</f>
        <v>2610</v>
      </c>
      <c r="AH107" s="1">
        <f ca="1" t="shared" si="39"/>
        <v>15660</v>
      </c>
      <c r="AI107" s="5">
        <f ca="1" t="shared" si="51"/>
        <v>500685</v>
      </c>
      <c r="AJ107" s="1">
        <f ca="1">OFFSET(控制台!$P$2798,MATCH(B107,控制台!$B$2798:$B$2809,0)-2,0)</f>
        <v>8000</v>
      </c>
      <c r="AK107" s="1">
        <f ca="1">OFFSET(控制台!$P$2798,MATCH(B107,控制台!$B$2798:$B$2809,0)-1,0)</f>
        <v>9000</v>
      </c>
      <c r="AL107" s="1">
        <f ca="1">Lerp_dyy(AJ107,AK107,C107/10)</f>
        <v>8700</v>
      </c>
      <c r="AM107" s="4">
        <f ca="1">_xlfn.FLOOR.MATH(AL107/24/3600*控制台!$E$2785)</f>
        <v>181</v>
      </c>
      <c r="AN107" s="1">
        <f ca="1" t="shared" si="40"/>
        <v>8688</v>
      </c>
      <c r="AO107" s="1">
        <f ca="1" t="shared" si="41"/>
        <v>52128</v>
      </c>
      <c r="AP107" s="5">
        <f ca="1" t="shared" si="52"/>
        <v>1663550.4</v>
      </c>
      <c r="AQ107" s="1">
        <f ca="1">OFFSET(控制台!$V$2798,MATCH(B107,控制台!$B$2798:$B$2809,0)-2,0)*控制台!$E$2771</f>
        <v>2300000</v>
      </c>
      <c r="AR107" s="1">
        <f ca="1">OFFSET(控制台!$V$2798,MATCH(B107,控制台!$B$2798:$B$2809,0)-1,0)*控制台!$E$2771</f>
        <v>2400000</v>
      </c>
      <c r="AS107" s="1">
        <f ca="1">Lerp_dyy(AQ107,AR107,C107/10)</f>
        <v>2370000</v>
      </c>
      <c r="AT107" s="4">
        <f ca="1">MAX(_xlfn.FLOOR.MATH(AS107/24/3600*控制台!$E$2784)-控制台!$J$2814,0)</f>
        <v>270</v>
      </c>
      <c r="AU107" s="1">
        <f ca="1" t="shared" si="43"/>
        <v>2332800</v>
      </c>
      <c r="AV107" s="1">
        <f ca="1" t="shared" si="44"/>
        <v>13996800</v>
      </c>
      <c r="AW107" s="5">
        <f ca="1" t="shared" si="53"/>
        <v>552964320</v>
      </c>
      <c r="AX107" s="1">
        <f ca="1">OFFSET(控制台!$X$2798,MATCH(B107,控制台!$B$2798:$B$2809,0)-2,0)*控制台!$E$2775</f>
        <v>1380</v>
      </c>
      <c r="AY107" s="1">
        <f ca="1">OFFSET(控制台!$X$2798,MATCH(B107,控制台!$B$2798:$B$2809,0)-1,0)*控制台!$E$2775</f>
        <v>1440</v>
      </c>
      <c r="AZ107" s="1">
        <f ca="1">Lerp_dyy(AX107,AY107,C107/10)</f>
        <v>1422</v>
      </c>
      <c r="BA107" s="4">
        <f ca="1">_xlfn.FLOOR.MATH(AZ107/24/3600*控制台!$E$2785)</f>
        <v>29</v>
      </c>
      <c r="BB107" s="1">
        <f ca="1" t="shared" si="45"/>
        <v>1392</v>
      </c>
      <c r="BC107" s="1">
        <f ca="1" t="shared" si="46"/>
        <v>8352</v>
      </c>
      <c r="BD107" s="5">
        <f ca="1" t="shared" si="54"/>
        <v>332395.2</v>
      </c>
      <c r="BE107" s="1">
        <f ca="1">OFFSET(控制台!$AA$2798,MATCH(B107,控制台!$B$2798:$B$2809,0)-1,0)</f>
        <v>49.5533333333334</v>
      </c>
      <c r="BF107" s="1">
        <f ca="1" t="shared" si="59"/>
        <v>13974.04</v>
      </c>
      <c r="BG107" s="5">
        <f ca="1" t="shared" si="55"/>
        <v>310222.093333334</v>
      </c>
      <c r="BH107" s="1">
        <f ca="1">OFFSET(控制台!$AD$2798,MATCH(B107,控制台!$B$2798:$B$2809,0)-2,0)</f>
        <v>2800</v>
      </c>
      <c r="BI107" s="1">
        <f ca="1">OFFSET(控制台!$AD$2798,MATCH(B107,控制台!$B$2798:$B$2809,0)-1,0)</f>
        <v>3400</v>
      </c>
      <c r="BJ107" s="1">
        <f ca="1">Lerp_dyy(BH107,BI107,C107/10)</f>
        <v>3220</v>
      </c>
      <c r="BK107" s="4">
        <f ca="1">_xlfn.FLOOR.MATH(BJ107/24/3600*控制台!$E$2785)</f>
        <v>67</v>
      </c>
      <c r="BL107" s="1">
        <f ca="1" t="shared" si="47"/>
        <v>3216</v>
      </c>
      <c r="BM107" s="1">
        <f ca="1" t="shared" si="48"/>
        <v>19296</v>
      </c>
      <c r="BN107" s="5">
        <f ca="1" t="shared" si="56"/>
        <v>554812.8</v>
      </c>
    </row>
    <row r="108" spans="1:66">
      <c r="A108" s="1">
        <f t="shared" si="32"/>
        <v>1108</v>
      </c>
      <c r="B108" s="1">
        <v>11</v>
      </c>
      <c r="C108" s="1">
        <v>8</v>
      </c>
      <c r="D108" s="1">
        <f ca="1">OFFSET(控制台!$D$2798,MATCH(B108,控制台!$B$2798:$B$2809,0)-2,0)*控制台!$E$2751</f>
        <v>4600000</v>
      </c>
      <c r="E108" s="1">
        <f ca="1">OFFSET(控制台!$D$2798,MATCH(B108,控制台!$B$2798:$B$2809,0)-1,0)*控制台!$E$2751</f>
        <v>4800000</v>
      </c>
      <c r="F108" s="1">
        <f ca="1">Lerp_dyy(D108,E108,C108/10)</f>
        <v>4760000</v>
      </c>
      <c r="G108" s="4">
        <f ca="1">_xlfn.FLOOR.MATH(F108/24/3600*控制台!$E$2784)-控制台!$E$2814</f>
        <v>542</v>
      </c>
      <c r="H108" s="1">
        <f ca="1" t="shared" si="33"/>
        <v>4682880</v>
      </c>
      <c r="I108" s="1">
        <f ca="1">IF(B108=1,0,OFFSET(控制台!$B$865,MATCH(B108-1,控制台!$G$865:$G$936,0)-1,0))</f>
        <v>240</v>
      </c>
      <c r="J108" s="1">
        <f ca="1">OFFSET(控制台!$B$865,MATCH(B108,控制台!$G$865:$G$936,0)-1,0)</f>
        <v>300</v>
      </c>
      <c r="K108" s="1">
        <f ca="1" t="shared" si="34"/>
        <v>6</v>
      </c>
      <c r="L108" s="5">
        <f ca="1">Lerp_dyy(I108,J108,C108/10)</f>
        <v>288</v>
      </c>
      <c r="M108" s="1">
        <f ca="1" t="shared" si="35"/>
        <v>28097280</v>
      </c>
      <c r="N108" s="5">
        <f ca="1" t="shared" si="49"/>
        <v>1137777408</v>
      </c>
      <c r="O108" s="1">
        <f ca="1">OFFSET(控制台!$F$2798,MATCH(B108,控制台!$B$2798:$B$2809,0)-2,0)*控制台!$E$2755</f>
        <v>2760</v>
      </c>
      <c r="P108" s="1">
        <f ca="1">OFFSET(控制台!$F$2798,MATCH(B108,控制台!$B$2798:$B$2809,0)-1,0)*控制台!$E$2755</f>
        <v>2880</v>
      </c>
      <c r="Q108" s="1">
        <f ca="1">Lerp_dyy(O108,P108,C108/10)</f>
        <v>2856</v>
      </c>
      <c r="R108" s="4">
        <f ca="1">_xlfn.FLOOR.MATH(Q108/24/3600*控制台!$E$2785)</f>
        <v>59</v>
      </c>
      <c r="S108" s="1">
        <f ca="1" t="shared" si="36"/>
        <v>2832</v>
      </c>
      <c r="T108" s="1">
        <f ca="1" t="shared" si="37"/>
        <v>16992</v>
      </c>
      <c r="U108" s="5">
        <f ca="1" t="shared" si="50"/>
        <v>689995.2</v>
      </c>
      <c r="V108" s="1">
        <f ca="1">OFFSET(控制台!$I$2798,MATCH(B108,控制台!$B$2798:$B$2809,0)-2,0)*控制台!$E$2791</f>
        <v>2500</v>
      </c>
      <c r="W108" s="1">
        <f ca="1">OFFSET(控制台!$I$2798,MATCH(B108,控制台!$B$2798:$B$2809,0)-1,0)*控制台!$E$2791</f>
        <v>2812.5</v>
      </c>
      <c r="X108" s="1">
        <f ca="1">Lerp_dyy(V108,W108,C108/10)</f>
        <v>2750</v>
      </c>
      <c r="Y108" s="4">
        <f ca="1">_xlfn.FLOOR.MATH(X108)</f>
        <v>2750</v>
      </c>
      <c r="Z108" s="1">
        <f ca="1" t="shared" si="38"/>
        <v>3.3</v>
      </c>
      <c r="AA108" s="1">
        <f ca="1" t="shared" si="58"/>
        <v>19.8</v>
      </c>
      <c r="AB108" s="5">
        <f ca="1" t="shared" si="57"/>
        <v>648.73164</v>
      </c>
      <c r="AC108" s="5">
        <f ca="1">AB108*控制台!$E$4819</f>
        <v>518.985312</v>
      </c>
      <c r="AD108" s="5">
        <f ca="1">AB108*控制台!$E$4820</f>
        <v>11871.789012</v>
      </c>
      <c r="AE108" s="1">
        <f ca="1">OFFSET(控制台!$L$2798,MATCH(B108,控制台!$B$2798:$B$2809,0)-2,0)*控制台!$E$2763</f>
        <v>2400</v>
      </c>
      <c r="AF108" s="1">
        <f ca="1">OFFSET(控制台!$L$2798,MATCH(B108,控制台!$B$2798:$B$2809,0)-1,0)*控制台!$E$2763</f>
        <v>2700</v>
      </c>
      <c r="AG108" s="1">
        <f ca="1">Lerp_dyy(AE108,AF108,C108/10)</f>
        <v>2640</v>
      </c>
      <c r="AH108" s="1">
        <f ca="1" t="shared" si="39"/>
        <v>15840</v>
      </c>
      <c r="AI108" s="5">
        <f ca="1" t="shared" si="51"/>
        <v>516525</v>
      </c>
      <c r="AJ108" s="1">
        <f ca="1">OFFSET(控制台!$P$2798,MATCH(B108,控制台!$B$2798:$B$2809,0)-2,0)</f>
        <v>8000</v>
      </c>
      <c r="AK108" s="1">
        <f ca="1">OFFSET(控制台!$P$2798,MATCH(B108,控制台!$B$2798:$B$2809,0)-1,0)</f>
        <v>9000</v>
      </c>
      <c r="AL108" s="1">
        <f ca="1">Lerp_dyy(AJ108,AK108,C108/10)</f>
        <v>8800</v>
      </c>
      <c r="AM108" s="4">
        <f ca="1">_xlfn.FLOOR.MATH(AL108/24/3600*控制台!$E$2785)</f>
        <v>183</v>
      </c>
      <c r="AN108" s="1">
        <f ca="1" t="shared" si="40"/>
        <v>8784</v>
      </c>
      <c r="AO108" s="1">
        <f ca="1" t="shared" si="41"/>
        <v>52704</v>
      </c>
      <c r="AP108" s="5">
        <f ca="1" t="shared" si="52"/>
        <v>1716254.4</v>
      </c>
      <c r="AQ108" s="1">
        <f ca="1">OFFSET(控制台!$V$2798,MATCH(B108,控制台!$B$2798:$B$2809,0)-2,0)*控制台!$E$2771</f>
        <v>2300000</v>
      </c>
      <c r="AR108" s="1">
        <f ca="1">OFFSET(控制台!$V$2798,MATCH(B108,控制台!$B$2798:$B$2809,0)-1,0)*控制台!$E$2771</f>
        <v>2400000</v>
      </c>
      <c r="AS108" s="1">
        <f ca="1">Lerp_dyy(AQ108,AR108,C108/10)</f>
        <v>2380000</v>
      </c>
      <c r="AT108" s="4">
        <f ca="1">MAX(_xlfn.FLOOR.MATH(AS108/24/3600*控制台!$E$2784)-控制台!$J$2814,0)</f>
        <v>271</v>
      </c>
      <c r="AU108" s="1">
        <f ca="1" t="shared" si="43"/>
        <v>2341440</v>
      </c>
      <c r="AV108" s="1">
        <f ca="1" t="shared" si="44"/>
        <v>14048640</v>
      </c>
      <c r="AW108" s="5">
        <f ca="1" t="shared" si="53"/>
        <v>567012960</v>
      </c>
      <c r="AX108" s="1">
        <f ca="1">OFFSET(控制台!$X$2798,MATCH(B108,控制台!$B$2798:$B$2809,0)-2,0)*控制台!$E$2775</f>
        <v>1380</v>
      </c>
      <c r="AY108" s="1">
        <f ca="1">OFFSET(控制台!$X$2798,MATCH(B108,控制台!$B$2798:$B$2809,0)-1,0)*控制台!$E$2775</f>
        <v>1440</v>
      </c>
      <c r="AZ108" s="1">
        <f ca="1">Lerp_dyy(AX108,AY108,C108/10)</f>
        <v>1428</v>
      </c>
      <c r="BA108" s="4">
        <f ca="1">_xlfn.FLOOR.MATH(AZ108/24/3600*控制台!$E$2785)</f>
        <v>29</v>
      </c>
      <c r="BB108" s="1">
        <f ca="1" t="shared" si="45"/>
        <v>1392</v>
      </c>
      <c r="BC108" s="1">
        <f ca="1" t="shared" si="46"/>
        <v>8352</v>
      </c>
      <c r="BD108" s="5">
        <f ca="1" t="shared" si="54"/>
        <v>340747.2</v>
      </c>
      <c r="BE108" s="1">
        <f ca="1">OFFSET(控制台!$AA$2798,MATCH(B108,控制台!$B$2798:$B$2809,0)-1,0)</f>
        <v>49.5533333333334</v>
      </c>
      <c r="BF108" s="1">
        <f ca="1" t="shared" si="59"/>
        <v>14271.36</v>
      </c>
      <c r="BG108" s="5">
        <f ca="1" t="shared" si="55"/>
        <v>324493.453333334</v>
      </c>
      <c r="BH108" s="1">
        <f ca="1">OFFSET(控制台!$AD$2798,MATCH(B108,控制台!$B$2798:$B$2809,0)-2,0)</f>
        <v>2800</v>
      </c>
      <c r="BI108" s="1">
        <f ca="1">OFFSET(控制台!$AD$2798,MATCH(B108,控制台!$B$2798:$B$2809,0)-1,0)</f>
        <v>3400</v>
      </c>
      <c r="BJ108" s="1">
        <f ca="1">Lerp_dyy(BH108,BI108,C108/10)</f>
        <v>3280</v>
      </c>
      <c r="BK108" s="4">
        <f ca="1">_xlfn.FLOOR.MATH(BJ108/24/3600*控制台!$E$2785)</f>
        <v>68</v>
      </c>
      <c r="BL108" s="1">
        <f ca="1" t="shared" si="47"/>
        <v>3264</v>
      </c>
      <c r="BM108" s="1">
        <f ca="1" t="shared" si="48"/>
        <v>19584</v>
      </c>
      <c r="BN108" s="5">
        <f ca="1" t="shared" si="56"/>
        <v>574396.8</v>
      </c>
    </row>
    <row r="109" spans="1:66">
      <c r="A109" s="1">
        <f t="shared" si="32"/>
        <v>1109</v>
      </c>
      <c r="B109" s="1">
        <v>11</v>
      </c>
      <c r="C109" s="1">
        <v>9</v>
      </c>
      <c r="D109" s="1">
        <f ca="1">OFFSET(控制台!$D$2798,MATCH(B109,控制台!$B$2798:$B$2809,0)-2,0)*控制台!$E$2751</f>
        <v>4600000</v>
      </c>
      <c r="E109" s="1">
        <f ca="1">OFFSET(控制台!$D$2798,MATCH(B109,控制台!$B$2798:$B$2809,0)-1,0)*控制台!$E$2751</f>
        <v>4800000</v>
      </c>
      <c r="F109" s="1">
        <f ca="1">Lerp_dyy(D109,E109,C109/10)</f>
        <v>4780000</v>
      </c>
      <c r="G109" s="4">
        <f ca="1">_xlfn.FLOOR.MATH(F109/24/3600*控制台!$E$2784)-控制台!$E$2814</f>
        <v>545</v>
      </c>
      <c r="H109" s="1">
        <f ca="1" t="shared" si="33"/>
        <v>4708800</v>
      </c>
      <c r="I109" s="1">
        <f ca="1">IF(B109=1,0,OFFSET(控制台!$B$865,MATCH(B109-1,控制台!$G$865:$G$936,0)-1,0))</f>
        <v>240</v>
      </c>
      <c r="J109" s="1">
        <f ca="1">OFFSET(控制台!$B$865,MATCH(B109,控制台!$G$865:$G$936,0)-1,0)</f>
        <v>300</v>
      </c>
      <c r="K109" s="1">
        <f ca="1" t="shared" si="34"/>
        <v>6</v>
      </c>
      <c r="L109" s="5">
        <f ca="1">Lerp_dyy(I109,J109,C109/10)</f>
        <v>294</v>
      </c>
      <c r="M109" s="1">
        <f ca="1" t="shared" si="35"/>
        <v>28252800</v>
      </c>
      <c r="N109" s="5">
        <f ca="1" t="shared" si="49"/>
        <v>1166030208</v>
      </c>
      <c r="O109" s="1">
        <f ca="1">OFFSET(控制台!$F$2798,MATCH(B109,控制台!$B$2798:$B$2809,0)-2,0)*控制台!$E$2755</f>
        <v>2760</v>
      </c>
      <c r="P109" s="1">
        <f ca="1">OFFSET(控制台!$F$2798,MATCH(B109,控制台!$B$2798:$B$2809,0)-1,0)*控制台!$E$2755</f>
        <v>2880</v>
      </c>
      <c r="Q109" s="1">
        <f ca="1">Lerp_dyy(O109,P109,C109/10)</f>
        <v>2868</v>
      </c>
      <c r="R109" s="4">
        <f ca="1">_xlfn.FLOOR.MATH(Q109/24/3600*控制台!$E$2785)</f>
        <v>59</v>
      </c>
      <c r="S109" s="1">
        <f ca="1" t="shared" si="36"/>
        <v>2832</v>
      </c>
      <c r="T109" s="1">
        <f ca="1" t="shared" si="37"/>
        <v>16992</v>
      </c>
      <c r="U109" s="5">
        <f ca="1" t="shared" si="50"/>
        <v>706987.2</v>
      </c>
      <c r="V109" s="1">
        <f ca="1">OFFSET(控制台!$I$2798,MATCH(B109,控制台!$B$2798:$B$2809,0)-2,0)*控制台!$E$2791</f>
        <v>2500</v>
      </c>
      <c r="W109" s="1">
        <f ca="1">OFFSET(控制台!$I$2798,MATCH(B109,控制台!$B$2798:$B$2809,0)-1,0)*控制台!$E$2791</f>
        <v>2812.5</v>
      </c>
      <c r="X109" s="1">
        <f ca="1">Lerp_dyy(V109,W109,C109/10)</f>
        <v>2781.25</v>
      </c>
      <c r="Y109" s="4">
        <f ca="1">_xlfn.FLOOR.MATH(X109)</f>
        <v>2781</v>
      </c>
      <c r="Z109" s="1">
        <f ca="1" t="shared" si="38"/>
        <v>3.3372</v>
      </c>
      <c r="AA109" s="1">
        <f ca="1" t="shared" si="58"/>
        <v>20.0232</v>
      </c>
      <c r="AB109" s="5">
        <f ca="1" t="shared" si="57"/>
        <v>668.75484</v>
      </c>
      <c r="AC109" s="5">
        <f ca="1">AB109*控制台!$E$4819</f>
        <v>535.003872</v>
      </c>
      <c r="AD109" s="5">
        <f ca="1">AB109*控制台!$E$4820</f>
        <v>12238.213572</v>
      </c>
      <c r="AE109" s="1">
        <f ca="1">OFFSET(控制台!$L$2798,MATCH(B109,控制台!$B$2798:$B$2809,0)-2,0)*控制台!$E$2763</f>
        <v>2400</v>
      </c>
      <c r="AF109" s="1">
        <f ca="1">OFFSET(控制台!$L$2798,MATCH(B109,控制台!$B$2798:$B$2809,0)-1,0)*控制台!$E$2763</f>
        <v>2700</v>
      </c>
      <c r="AG109" s="1">
        <f ca="1">Lerp_dyy(AE109,AF109,C109/10)</f>
        <v>2670</v>
      </c>
      <c r="AH109" s="1">
        <f ca="1" t="shared" si="39"/>
        <v>16020</v>
      </c>
      <c r="AI109" s="5">
        <f ca="1" t="shared" si="51"/>
        <v>532545</v>
      </c>
      <c r="AJ109" s="1">
        <f ca="1">OFFSET(控制台!$P$2798,MATCH(B109,控制台!$B$2798:$B$2809,0)-2,0)</f>
        <v>8000</v>
      </c>
      <c r="AK109" s="1">
        <f ca="1">OFFSET(控制台!$P$2798,MATCH(B109,控制台!$B$2798:$B$2809,0)-1,0)</f>
        <v>9000</v>
      </c>
      <c r="AL109" s="1">
        <f ca="1">Lerp_dyy(AJ109,AK109,C109/10)</f>
        <v>8900</v>
      </c>
      <c r="AM109" s="4">
        <f ca="1">_xlfn.FLOOR.MATH(AL109/24/3600*控制台!$E$2785)</f>
        <v>185</v>
      </c>
      <c r="AN109" s="1">
        <f ca="1" t="shared" si="40"/>
        <v>8880</v>
      </c>
      <c r="AO109" s="1">
        <f ca="1" t="shared" si="41"/>
        <v>53280</v>
      </c>
      <c r="AP109" s="5">
        <f ca="1" t="shared" si="52"/>
        <v>1769534.4</v>
      </c>
      <c r="AQ109" s="1">
        <f ca="1">OFFSET(控制台!$V$2798,MATCH(B109,控制台!$B$2798:$B$2809,0)-2,0)*控制台!$E$2771</f>
        <v>2300000</v>
      </c>
      <c r="AR109" s="1">
        <f ca="1">OFFSET(控制台!$V$2798,MATCH(B109,控制台!$B$2798:$B$2809,0)-1,0)*控制台!$E$2771</f>
        <v>2400000</v>
      </c>
      <c r="AS109" s="1">
        <f ca="1">Lerp_dyy(AQ109,AR109,C109/10)</f>
        <v>2390000</v>
      </c>
      <c r="AT109" s="4">
        <f ca="1">MAX(_xlfn.FLOOR.MATH(AS109/24/3600*控制台!$E$2784)-控制台!$J$2814,0)</f>
        <v>272</v>
      </c>
      <c r="AU109" s="1">
        <f ca="1" t="shared" si="43"/>
        <v>2350080</v>
      </c>
      <c r="AV109" s="1">
        <f ca="1" t="shared" si="44"/>
        <v>14100480</v>
      </c>
      <c r="AW109" s="5">
        <f ca="1" t="shared" si="53"/>
        <v>581113440</v>
      </c>
      <c r="AX109" s="1">
        <f ca="1">OFFSET(控制台!$X$2798,MATCH(B109,控制台!$B$2798:$B$2809,0)-2,0)*控制台!$E$2775</f>
        <v>1380</v>
      </c>
      <c r="AY109" s="1">
        <f ca="1">OFFSET(控制台!$X$2798,MATCH(B109,控制台!$B$2798:$B$2809,0)-1,0)*控制台!$E$2775</f>
        <v>1440</v>
      </c>
      <c r="AZ109" s="1">
        <f ca="1">Lerp_dyy(AX109,AY109,C109/10)</f>
        <v>1434</v>
      </c>
      <c r="BA109" s="4">
        <f ca="1">_xlfn.FLOOR.MATH(AZ109/24/3600*控制台!$E$2785)</f>
        <v>29</v>
      </c>
      <c r="BB109" s="1">
        <f ca="1" t="shared" si="45"/>
        <v>1392</v>
      </c>
      <c r="BC109" s="1">
        <f ca="1" t="shared" si="46"/>
        <v>8352</v>
      </c>
      <c r="BD109" s="5">
        <f ca="1" t="shared" si="54"/>
        <v>349099.2</v>
      </c>
      <c r="BE109" s="1">
        <f ca="1">OFFSET(控制台!$AA$2798,MATCH(B109,控制台!$B$2798:$B$2809,0)-1,0)</f>
        <v>49.5533333333334</v>
      </c>
      <c r="BF109" s="1">
        <f ca="1" t="shared" si="59"/>
        <v>14568.68</v>
      </c>
      <c r="BG109" s="5">
        <f ca="1" t="shared" si="55"/>
        <v>339062.133333334</v>
      </c>
      <c r="BH109" s="1">
        <f ca="1">OFFSET(控制台!$AD$2798,MATCH(B109,控制台!$B$2798:$B$2809,0)-2,0)</f>
        <v>2800</v>
      </c>
      <c r="BI109" s="1">
        <f ca="1">OFFSET(控制台!$AD$2798,MATCH(B109,控制台!$B$2798:$B$2809,0)-1,0)</f>
        <v>3400</v>
      </c>
      <c r="BJ109" s="1">
        <f ca="1">Lerp_dyy(BH109,BI109,C109/10)</f>
        <v>3340</v>
      </c>
      <c r="BK109" s="4">
        <f ca="1">_xlfn.FLOOR.MATH(BJ109/24/3600*控制台!$E$2785)</f>
        <v>69</v>
      </c>
      <c r="BL109" s="1">
        <f ca="1" t="shared" si="47"/>
        <v>3312</v>
      </c>
      <c r="BM109" s="1">
        <f ca="1" t="shared" si="48"/>
        <v>19872</v>
      </c>
      <c r="BN109" s="5">
        <f ca="1" t="shared" si="56"/>
        <v>594268.8</v>
      </c>
    </row>
    <row r="110" spans="1:66">
      <c r="A110" s="1">
        <f t="shared" si="32"/>
        <v>1110</v>
      </c>
      <c r="B110" s="1">
        <v>11</v>
      </c>
      <c r="C110" s="1">
        <v>10</v>
      </c>
      <c r="D110" s="1">
        <f ca="1">OFFSET(控制台!$D$2798,MATCH(B110,控制台!$B$2798:$B$2809,0)-2,0)*控制台!$E$2751</f>
        <v>4600000</v>
      </c>
      <c r="E110" s="1">
        <f ca="1">OFFSET(控制台!$D$2798,MATCH(B110,控制台!$B$2798:$B$2809,0)-1,0)*控制台!$E$2751</f>
        <v>4800000</v>
      </c>
      <c r="F110" s="1">
        <f ca="1">Lerp_dyy(D110,E110,C110/10)</f>
        <v>4800000</v>
      </c>
      <c r="G110" s="4">
        <f ca="1">_xlfn.FLOOR.MATH(F110/24/3600*控制台!$E$2784)-控制台!$E$2814</f>
        <v>547</v>
      </c>
      <c r="H110" s="1">
        <f ca="1" t="shared" si="33"/>
        <v>4726080</v>
      </c>
      <c r="I110" s="1">
        <f ca="1">IF(B110=1,0,OFFSET(控制台!$B$865,MATCH(B110-1,控制台!$G$865:$G$936,0)-1,0))</f>
        <v>240</v>
      </c>
      <c r="J110" s="1">
        <f ca="1">OFFSET(控制台!$B$865,MATCH(B110,控制台!$G$865:$G$936,0)-1,0)</f>
        <v>300</v>
      </c>
      <c r="K110" s="1">
        <f ca="1" t="shared" si="34"/>
        <v>6</v>
      </c>
      <c r="L110" s="5">
        <f ca="1">Lerp_dyy(I110,J110,C110/10)</f>
        <v>300</v>
      </c>
      <c r="M110" s="1">
        <f ca="1" t="shared" si="35"/>
        <v>28356480</v>
      </c>
      <c r="N110" s="5">
        <f ca="1" t="shared" si="49"/>
        <v>1194386688</v>
      </c>
      <c r="O110" s="1">
        <f ca="1">OFFSET(控制台!$F$2798,MATCH(B110,控制台!$B$2798:$B$2809,0)-2,0)*控制台!$E$2755</f>
        <v>2760</v>
      </c>
      <c r="P110" s="1">
        <f ca="1">OFFSET(控制台!$F$2798,MATCH(B110,控制台!$B$2798:$B$2809,0)-1,0)*控制台!$E$2755</f>
        <v>2880</v>
      </c>
      <c r="Q110" s="1">
        <f ca="1">Lerp_dyy(O110,P110,C110/10)</f>
        <v>2880</v>
      </c>
      <c r="R110" s="4">
        <f ca="1">_xlfn.FLOOR.MATH(Q110/24/3600*控制台!$E$2785)</f>
        <v>60</v>
      </c>
      <c r="S110" s="1">
        <f ca="1" t="shared" si="36"/>
        <v>2880</v>
      </c>
      <c r="T110" s="1">
        <f ca="1" t="shared" si="37"/>
        <v>17280</v>
      </c>
      <c r="U110" s="5">
        <f ca="1" t="shared" si="50"/>
        <v>724267.2</v>
      </c>
      <c r="V110" s="1">
        <f ca="1">OFFSET(控制台!$I$2798,MATCH(B110,控制台!$B$2798:$B$2809,0)-2,0)*控制台!$E$2791</f>
        <v>2500</v>
      </c>
      <c r="W110" s="1">
        <f ca="1">OFFSET(控制台!$I$2798,MATCH(B110,控制台!$B$2798:$B$2809,0)-1,0)*控制台!$E$2791</f>
        <v>2812.5</v>
      </c>
      <c r="X110" s="1">
        <f ca="1">Lerp_dyy(V110,W110,C110/10)</f>
        <v>2812.5</v>
      </c>
      <c r="Y110" s="4">
        <f ca="1">_xlfn.FLOOR.MATH(X110)</f>
        <v>2812</v>
      </c>
      <c r="Z110" s="1">
        <f ca="1" t="shared" si="38"/>
        <v>3.3744</v>
      </c>
      <c r="AA110" s="1">
        <f ca="1" t="shared" si="58"/>
        <v>20.2464</v>
      </c>
      <c r="AB110" s="5">
        <f ca="1" t="shared" si="57"/>
        <v>689.00124</v>
      </c>
      <c r="AC110" s="5">
        <f ca="1">AB110*控制台!$E$4819</f>
        <v>551.200992</v>
      </c>
      <c r="AD110" s="5">
        <f ca="1">AB110*控制台!$E$4820</f>
        <v>12608.722692</v>
      </c>
      <c r="AE110" s="1">
        <f ca="1">OFFSET(控制台!$L$2798,MATCH(B110,控制台!$B$2798:$B$2809,0)-2,0)*控制台!$E$2763</f>
        <v>2400</v>
      </c>
      <c r="AF110" s="1">
        <f ca="1">OFFSET(控制台!$L$2798,MATCH(B110,控制台!$B$2798:$B$2809,0)-1,0)*控制台!$E$2763</f>
        <v>2700</v>
      </c>
      <c r="AG110" s="1">
        <f ca="1">Lerp_dyy(AE110,AF110,C110/10)</f>
        <v>2700</v>
      </c>
      <c r="AH110" s="1">
        <f ca="1" t="shared" si="39"/>
        <v>16200</v>
      </c>
      <c r="AI110" s="5">
        <f ca="1" t="shared" si="51"/>
        <v>548745</v>
      </c>
      <c r="AJ110" s="1">
        <f ca="1">OFFSET(控制台!$P$2798,MATCH(B110,控制台!$B$2798:$B$2809,0)-2,0)</f>
        <v>8000</v>
      </c>
      <c r="AK110" s="1">
        <f ca="1">OFFSET(控制台!$P$2798,MATCH(B110,控制台!$B$2798:$B$2809,0)-1,0)</f>
        <v>9000</v>
      </c>
      <c r="AL110" s="1">
        <f ca="1">Lerp_dyy(AJ110,AK110,C110/10)</f>
        <v>9000</v>
      </c>
      <c r="AM110" s="4">
        <f ca="1">_xlfn.FLOOR.MATH(AL110/24/3600*控制台!$E$2785)</f>
        <v>187</v>
      </c>
      <c r="AN110" s="1">
        <f ca="1" t="shared" si="40"/>
        <v>8976</v>
      </c>
      <c r="AO110" s="1">
        <f ca="1" t="shared" si="41"/>
        <v>53856</v>
      </c>
      <c r="AP110" s="5">
        <f ca="1" t="shared" si="52"/>
        <v>1823390.4</v>
      </c>
      <c r="AQ110" s="1">
        <f ca="1">OFFSET(控制台!$V$2798,MATCH(B110,控制台!$B$2798:$B$2809,0)-2,0)*控制台!$E$2771</f>
        <v>2300000</v>
      </c>
      <c r="AR110" s="1">
        <f ca="1">OFFSET(控制台!$V$2798,MATCH(B110,控制台!$B$2798:$B$2809,0)-1,0)*控制台!$E$2771</f>
        <v>2400000</v>
      </c>
      <c r="AS110" s="1">
        <f ca="1">Lerp_dyy(AQ110,AR110,C110/10)</f>
        <v>2400000</v>
      </c>
      <c r="AT110" s="4">
        <f ca="1">MAX(_xlfn.FLOOR.MATH(AS110/24/3600*控制台!$E$2784)-控制台!$J$2814,0)</f>
        <v>273</v>
      </c>
      <c r="AU110" s="1">
        <f ca="1" t="shared" si="43"/>
        <v>2358720</v>
      </c>
      <c r="AV110" s="1">
        <f ca="1" t="shared" si="44"/>
        <v>14152320</v>
      </c>
      <c r="AW110" s="5">
        <f ca="1" t="shared" si="53"/>
        <v>595265760</v>
      </c>
      <c r="AX110" s="1">
        <f ca="1">OFFSET(控制台!$X$2798,MATCH(B110,控制台!$B$2798:$B$2809,0)-2,0)*控制台!$E$2775</f>
        <v>1380</v>
      </c>
      <c r="AY110" s="1">
        <f ca="1">OFFSET(控制台!$X$2798,MATCH(B110,控制台!$B$2798:$B$2809,0)-1,0)*控制台!$E$2775</f>
        <v>1440</v>
      </c>
      <c r="AZ110" s="1">
        <f ca="1">Lerp_dyy(AX110,AY110,C110/10)</f>
        <v>1440</v>
      </c>
      <c r="BA110" s="4">
        <f ca="1">_xlfn.FLOOR.MATH(AZ110/24/3600*控制台!$E$2785)</f>
        <v>30</v>
      </c>
      <c r="BB110" s="1">
        <f ca="1" t="shared" si="45"/>
        <v>1440</v>
      </c>
      <c r="BC110" s="1">
        <f ca="1" t="shared" si="46"/>
        <v>8640</v>
      </c>
      <c r="BD110" s="5">
        <f ca="1" t="shared" si="54"/>
        <v>357739.2</v>
      </c>
      <c r="BE110" s="1">
        <f ca="1">OFFSET(控制台!$AA$2798,MATCH(B110,控制台!$B$2798:$B$2809,0)-1,0)</f>
        <v>49.5533333333334</v>
      </c>
      <c r="BF110" s="1">
        <f ca="1" t="shared" si="59"/>
        <v>14866</v>
      </c>
      <c r="BG110" s="5">
        <f ca="1" t="shared" si="55"/>
        <v>353928.133333334</v>
      </c>
      <c r="BH110" s="1">
        <f ca="1">OFFSET(控制台!$AD$2798,MATCH(B110,控制台!$B$2798:$B$2809,0)-2,0)</f>
        <v>2800</v>
      </c>
      <c r="BI110" s="1">
        <f ca="1">OFFSET(控制台!$AD$2798,MATCH(B110,控制台!$B$2798:$B$2809,0)-1,0)</f>
        <v>3400</v>
      </c>
      <c r="BJ110" s="1">
        <f ca="1">Lerp_dyy(BH110,BI110,C110/10)</f>
        <v>3400</v>
      </c>
      <c r="BK110" s="4">
        <f ca="1">_xlfn.FLOOR.MATH(BJ110/24/3600*控制台!$E$2785)</f>
        <v>70</v>
      </c>
      <c r="BL110" s="1">
        <f ca="1" t="shared" si="47"/>
        <v>3360</v>
      </c>
      <c r="BM110" s="1">
        <f ca="1" t="shared" si="48"/>
        <v>20160</v>
      </c>
      <c r="BN110" s="5">
        <f ca="1" t="shared" si="56"/>
        <v>614428.8</v>
      </c>
    </row>
    <row r="111" s="15" customFormat="1" spans="1:66">
      <c r="A111" s="15">
        <f t="shared" si="32"/>
        <v>1201</v>
      </c>
      <c r="B111" s="15">
        <v>12</v>
      </c>
      <c r="C111" s="15">
        <v>1</v>
      </c>
      <c r="D111" s="15">
        <f ca="1">OFFSET(控制台!$D$2798,MATCH(B111,控制台!$B$2798:$B$2809,0)-2,0)*控制台!$E$2751</f>
        <v>4800000</v>
      </c>
      <c r="E111" s="15">
        <f ca="1">OFFSET(控制台!$D$2798,MATCH(B111,控制台!$B$2798:$B$2809,0)-1,0)*控制台!$E$2751</f>
        <v>5000000</v>
      </c>
      <c r="F111" s="15">
        <f ca="1">Lerp_dyy(D111,E111,C111/10)</f>
        <v>4820000</v>
      </c>
      <c r="G111" s="16">
        <f ca="1">_xlfn.FLOOR.MATH(F111/24/3600*控制台!$E$2784)-控制台!$E$2814</f>
        <v>549</v>
      </c>
      <c r="H111" s="15">
        <f ca="1" t="shared" si="33"/>
        <v>4743360</v>
      </c>
      <c r="I111" s="15">
        <f ca="1">IF(B111=1,0,OFFSET(控制台!$B$865,MATCH(B111-1,控制台!$G$865:$G$936,0)-1,0))</f>
        <v>300</v>
      </c>
      <c r="J111" s="15">
        <f ca="1">OFFSET(控制台!$B$865,MATCH(B111,控制台!$G$865:$G$936,0)-1,0)</f>
        <v>360</v>
      </c>
      <c r="K111" s="15">
        <f ca="1" t="shared" si="34"/>
        <v>6</v>
      </c>
      <c r="L111" s="17">
        <f ca="1">Lerp_dyy(I111,J111,C111/10)</f>
        <v>306</v>
      </c>
      <c r="M111" s="15">
        <f ca="1" t="shared" si="35"/>
        <v>28460160</v>
      </c>
      <c r="N111" s="17">
        <f ca="1" t="shared" si="49"/>
        <v>1222846848</v>
      </c>
      <c r="O111" s="15">
        <f ca="1">OFFSET(控制台!$F$2798,MATCH(B111,控制台!$B$2798:$B$2809,0)-2,0)*控制台!$E$2755</f>
        <v>2880</v>
      </c>
      <c r="P111" s="15">
        <f ca="1">OFFSET(控制台!$F$2798,MATCH(B111,控制台!$B$2798:$B$2809,0)-1,0)*控制台!$E$2755</f>
        <v>3000</v>
      </c>
      <c r="Q111" s="15">
        <f ca="1">Lerp_dyy(O111,P111,C111/10)</f>
        <v>2892</v>
      </c>
      <c r="R111" s="16">
        <f ca="1">_xlfn.FLOOR.MATH(Q111/24/3600*控制台!$E$2785)</f>
        <v>60</v>
      </c>
      <c r="S111" s="15">
        <f ca="1" t="shared" si="36"/>
        <v>2880</v>
      </c>
      <c r="T111" s="15">
        <f ca="1" t="shared" si="37"/>
        <v>17280</v>
      </c>
      <c r="U111" s="17">
        <f ca="1" t="shared" si="50"/>
        <v>741547.2</v>
      </c>
      <c r="V111" s="15">
        <f ca="1">OFFSET(控制台!$I$2798,MATCH(B111,控制台!$B$2798:$B$2809,0)-2,0)*控制台!$E$2791</f>
        <v>2812.5</v>
      </c>
      <c r="W111" s="15">
        <f ca="1">OFFSET(控制台!$I$2798,MATCH(B111,控制台!$B$2798:$B$2809,0)-1,0)*控制台!$E$2791</f>
        <v>3125</v>
      </c>
      <c r="X111" s="15">
        <f ca="1">Lerp_dyy(V111,W111,C111/10)</f>
        <v>2843.75</v>
      </c>
      <c r="Y111" s="16">
        <f ca="1">_xlfn.FLOOR.MATH(X111)</f>
        <v>2843</v>
      </c>
      <c r="Z111" s="15">
        <f ca="1" t="shared" si="38"/>
        <v>3.4116</v>
      </c>
      <c r="AA111" s="15">
        <f ca="1" t="shared" si="58"/>
        <v>20.4696</v>
      </c>
      <c r="AB111" s="17">
        <f ca="1" t="shared" si="57"/>
        <v>709.47084</v>
      </c>
      <c r="AC111" s="17">
        <f ca="1">AB111*控制台!$E$4819</f>
        <v>567.576672</v>
      </c>
      <c r="AD111" s="17">
        <f ca="1">AB111*控制台!$E$4820</f>
        <v>12983.316372</v>
      </c>
      <c r="AE111" s="15">
        <f ca="1">OFFSET(控制台!$L$2798,MATCH(B111,控制台!$B$2798:$B$2809,0)-2,0)*控制台!$E$2763</f>
        <v>2700</v>
      </c>
      <c r="AF111" s="15">
        <f ca="1">OFFSET(控制台!$L$2798,MATCH(B111,控制台!$B$2798:$B$2809,0)-1,0)*控制台!$E$2763</f>
        <v>3000</v>
      </c>
      <c r="AG111" s="15">
        <f ca="1">Lerp_dyy(AE111,AF111,C111/10)</f>
        <v>2730</v>
      </c>
      <c r="AH111" s="15">
        <f ca="1" t="shared" si="39"/>
        <v>16380</v>
      </c>
      <c r="AI111" s="17">
        <f ca="1" t="shared" si="51"/>
        <v>565125</v>
      </c>
      <c r="AJ111" s="15">
        <f ca="1">OFFSET(控制台!$P$2798,MATCH(B111,控制台!$B$2798:$B$2809,0)-2,0)</f>
        <v>9000</v>
      </c>
      <c r="AK111" s="15">
        <f ca="1">OFFSET(控制台!$P$2798,MATCH(B111,控制台!$B$2798:$B$2809,0)-1,0)</f>
        <v>10000</v>
      </c>
      <c r="AL111" s="15">
        <f ca="1">Lerp_dyy(AJ111,AK111,C111/10)</f>
        <v>9100</v>
      </c>
      <c r="AM111" s="16">
        <f ca="1">_xlfn.FLOOR.MATH(AL111/24/3600*控制台!$E$2785)</f>
        <v>189</v>
      </c>
      <c r="AN111" s="15">
        <f ca="1" t="shared" si="40"/>
        <v>9072</v>
      </c>
      <c r="AO111" s="15">
        <f ca="1" t="shared" si="41"/>
        <v>54432</v>
      </c>
      <c r="AP111" s="17">
        <f ca="1" t="shared" si="52"/>
        <v>1877822.4</v>
      </c>
      <c r="AQ111" s="15">
        <f ca="1">OFFSET(控制台!$V$2798,MATCH(B111,控制台!$B$2798:$B$2809,0)-2,0)*控制台!$E$2771</f>
        <v>2400000</v>
      </c>
      <c r="AR111" s="15">
        <f ca="1">OFFSET(控制台!$V$2798,MATCH(B111,控制台!$B$2798:$B$2809,0)-1,0)*控制台!$E$2771</f>
        <v>2500000</v>
      </c>
      <c r="AS111" s="15">
        <f ca="1">Lerp_dyy(AQ111,AR111,C111/10)</f>
        <v>2410000</v>
      </c>
      <c r="AT111" s="16">
        <f ca="1">MAX(_xlfn.FLOOR.MATH(AS111/24/3600*控制台!$E$2784)-控制台!$J$2814,0)</f>
        <v>274</v>
      </c>
      <c r="AU111" s="15">
        <f ca="1" t="shared" si="43"/>
        <v>2367360</v>
      </c>
      <c r="AV111" s="15">
        <f ca="1" t="shared" si="44"/>
        <v>14204160</v>
      </c>
      <c r="AW111" s="17">
        <f ca="1" t="shared" si="53"/>
        <v>609469920</v>
      </c>
      <c r="AX111" s="15">
        <f ca="1">OFFSET(控制台!$X$2798,MATCH(B111,控制台!$B$2798:$B$2809,0)-2,0)*控制台!$E$2775</f>
        <v>1440</v>
      </c>
      <c r="AY111" s="15">
        <f ca="1">OFFSET(控制台!$X$2798,MATCH(B111,控制台!$B$2798:$B$2809,0)-1,0)*控制台!$E$2775</f>
        <v>1500</v>
      </c>
      <c r="AZ111" s="15">
        <f ca="1">Lerp_dyy(AX111,AY111,C111/10)</f>
        <v>1446</v>
      </c>
      <c r="BA111" s="16">
        <f ca="1">_xlfn.FLOOR.MATH(AZ111/24/3600*控制台!$E$2785)</f>
        <v>30</v>
      </c>
      <c r="BB111" s="15">
        <f ca="1" t="shared" si="45"/>
        <v>1440</v>
      </c>
      <c r="BC111" s="15">
        <f ca="1" t="shared" si="46"/>
        <v>8640</v>
      </c>
      <c r="BD111" s="17">
        <f ca="1" t="shared" si="54"/>
        <v>366379.2</v>
      </c>
      <c r="BE111" s="1">
        <f ca="1">OFFSET(控制台!$AA$2798,MATCH(B111,控制台!$B$2798:$B$2809,0)-1,0)</f>
        <v>56.7533333333334</v>
      </c>
      <c r="BF111" s="1">
        <f ca="1" t="shared" si="59"/>
        <v>17366.52</v>
      </c>
      <c r="BG111" s="17">
        <f ca="1" t="shared" si="55"/>
        <v>371294.653333334</v>
      </c>
      <c r="BH111" s="15">
        <f ca="1">OFFSET(控制台!$AD$2798,MATCH(B111,控制台!$B$2798:$B$2809,0)-2,0)</f>
        <v>3400</v>
      </c>
      <c r="BI111" s="15">
        <f ca="1">OFFSET(控制台!$AD$2798,MATCH(B111,控制台!$B$2798:$B$2809,0)-1,0)</f>
        <v>4000</v>
      </c>
      <c r="BJ111" s="15">
        <f ca="1">Lerp_dyy(BH111,BI111,C111/10)</f>
        <v>3460</v>
      </c>
      <c r="BK111" s="16">
        <f ca="1">_xlfn.FLOOR.MATH(BJ111/24/3600*控制台!$E$2785)</f>
        <v>72</v>
      </c>
      <c r="BL111" s="15">
        <f ca="1" t="shared" si="47"/>
        <v>3456</v>
      </c>
      <c r="BM111" s="15">
        <f ca="1" t="shared" si="48"/>
        <v>20736</v>
      </c>
      <c r="BN111" s="17">
        <f ca="1" t="shared" si="56"/>
        <v>635164.8</v>
      </c>
    </row>
    <row r="112" s="15" customFormat="1" spans="1:66">
      <c r="A112" s="15">
        <f t="shared" si="32"/>
        <v>1202</v>
      </c>
      <c r="B112" s="15">
        <v>12</v>
      </c>
      <c r="C112" s="15">
        <v>2</v>
      </c>
      <c r="D112" s="15">
        <f ca="1">OFFSET(控制台!$D$2798,MATCH(B112,控制台!$B$2798:$B$2809,0)-2,0)*控制台!$E$2751</f>
        <v>4800000</v>
      </c>
      <c r="E112" s="15">
        <f ca="1">OFFSET(控制台!$D$2798,MATCH(B112,控制台!$B$2798:$B$2809,0)-1,0)*控制台!$E$2751</f>
        <v>5000000</v>
      </c>
      <c r="F112" s="15">
        <f ca="1">Lerp_dyy(D112,E112,C112/10)</f>
        <v>4840000</v>
      </c>
      <c r="G112" s="16">
        <f ca="1">_xlfn.FLOOR.MATH(F112/24/3600*控制台!$E$2784)-控制台!$E$2814</f>
        <v>552</v>
      </c>
      <c r="H112" s="15">
        <f ca="1" t="shared" si="33"/>
        <v>4769280</v>
      </c>
      <c r="I112" s="15">
        <f ca="1">IF(B112=1,0,OFFSET(控制台!$B$865,MATCH(B112-1,控制台!$G$865:$G$936,0)-1,0))</f>
        <v>300</v>
      </c>
      <c r="J112" s="15">
        <f ca="1">OFFSET(控制台!$B$865,MATCH(B112,控制台!$G$865:$G$936,0)-1,0)</f>
        <v>360</v>
      </c>
      <c r="K112" s="15">
        <f ca="1" t="shared" si="34"/>
        <v>6</v>
      </c>
      <c r="L112" s="17">
        <f ca="1">Lerp_dyy(I112,J112,C112/10)</f>
        <v>312</v>
      </c>
      <c r="M112" s="15">
        <f ca="1" t="shared" si="35"/>
        <v>28615680</v>
      </c>
      <c r="N112" s="17">
        <f ca="1" t="shared" si="49"/>
        <v>1251462528</v>
      </c>
      <c r="O112" s="15">
        <f ca="1">OFFSET(控制台!$F$2798,MATCH(B112,控制台!$B$2798:$B$2809,0)-2,0)*控制台!$E$2755</f>
        <v>2880</v>
      </c>
      <c r="P112" s="15">
        <f ca="1">OFFSET(控制台!$F$2798,MATCH(B112,控制台!$B$2798:$B$2809,0)-1,0)*控制台!$E$2755</f>
        <v>3000</v>
      </c>
      <c r="Q112" s="15">
        <f ca="1">Lerp_dyy(O112,P112,C112/10)</f>
        <v>2904</v>
      </c>
      <c r="R112" s="16">
        <f ca="1">_xlfn.FLOOR.MATH(Q112/24/3600*控制台!$E$2785)</f>
        <v>60</v>
      </c>
      <c r="S112" s="15">
        <f ca="1" t="shared" si="36"/>
        <v>2880</v>
      </c>
      <c r="T112" s="15">
        <f ca="1" t="shared" si="37"/>
        <v>17280</v>
      </c>
      <c r="U112" s="17">
        <f ca="1" t="shared" si="50"/>
        <v>758827.2</v>
      </c>
      <c r="V112" s="15">
        <f ca="1">OFFSET(控制台!$I$2798,MATCH(B112,控制台!$B$2798:$B$2809,0)-2,0)*控制台!$E$2791</f>
        <v>2812.5</v>
      </c>
      <c r="W112" s="15">
        <f ca="1">OFFSET(控制台!$I$2798,MATCH(B112,控制台!$B$2798:$B$2809,0)-1,0)*控制台!$E$2791</f>
        <v>3125</v>
      </c>
      <c r="X112" s="15">
        <f ca="1">Lerp_dyy(V112,W112,C112/10)</f>
        <v>2875</v>
      </c>
      <c r="Y112" s="16">
        <f ca="1">_xlfn.FLOOR.MATH(X112)</f>
        <v>2875</v>
      </c>
      <c r="Z112" s="15">
        <f ca="1" t="shared" si="38"/>
        <v>3.45</v>
      </c>
      <c r="AA112" s="15">
        <f ca="1" t="shared" si="58"/>
        <v>20.7</v>
      </c>
      <c r="AB112" s="17">
        <f ca="1" t="shared" si="57"/>
        <v>730.17084</v>
      </c>
      <c r="AC112" s="17">
        <f ca="1">AB112*控制台!$E$4819</f>
        <v>584.136672</v>
      </c>
      <c r="AD112" s="17">
        <f ca="1">AB112*控制台!$E$4820</f>
        <v>13362.126372</v>
      </c>
      <c r="AE112" s="15">
        <f ca="1">OFFSET(控制台!$L$2798,MATCH(B112,控制台!$B$2798:$B$2809,0)-2,0)*控制台!$E$2763</f>
        <v>2700</v>
      </c>
      <c r="AF112" s="15">
        <f ca="1">OFFSET(控制台!$L$2798,MATCH(B112,控制台!$B$2798:$B$2809,0)-1,0)*控制台!$E$2763</f>
        <v>3000</v>
      </c>
      <c r="AG112" s="15">
        <f ca="1">Lerp_dyy(AE112,AF112,C112/10)</f>
        <v>2760</v>
      </c>
      <c r="AH112" s="15">
        <f ca="1" t="shared" si="39"/>
        <v>16560</v>
      </c>
      <c r="AI112" s="17">
        <f ca="1" t="shared" si="51"/>
        <v>581685</v>
      </c>
      <c r="AJ112" s="15">
        <f ca="1">OFFSET(控制台!$P$2798,MATCH(B112,控制台!$B$2798:$B$2809,0)-2,0)</f>
        <v>9000</v>
      </c>
      <c r="AK112" s="15">
        <f ca="1">OFFSET(控制台!$P$2798,MATCH(B112,控制台!$B$2798:$B$2809,0)-1,0)</f>
        <v>10000</v>
      </c>
      <c r="AL112" s="15">
        <f ca="1">Lerp_dyy(AJ112,AK112,C112/10)</f>
        <v>9200</v>
      </c>
      <c r="AM112" s="16">
        <f ca="1">_xlfn.FLOOR.MATH(AL112/24/3600*控制台!$E$2785)</f>
        <v>191</v>
      </c>
      <c r="AN112" s="15">
        <f ca="1" t="shared" si="40"/>
        <v>9168</v>
      </c>
      <c r="AO112" s="15">
        <f ca="1" t="shared" si="41"/>
        <v>55008</v>
      </c>
      <c r="AP112" s="17">
        <f ca="1" t="shared" si="52"/>
        <v>1932830.4</v>
      </c>
      <c r="AQ112" s="15">
        <f ca="1">OFFSET(控制台!$V$2798,MATCH(B112,控制台!$B$2798:$B$2809,0)-2,0)*控制台!$E$2771</f>
        <v>2400000</v>
      </c>
      <c r="AR112" s="15">
        <f ca="1">OFFSET(控制台!$V$2798,MATCH(B112,控制台!$B$2798:$B$2809,0)-1,0)*控制台!$E$2771</f>
        <v>2500000</v>
      </c>
      <c r="AS112" s="15">
        <f ca="1">Lerp_dyy(AQ112,AR112,C112/10)</f>
        <v>2420000</v>
      </c>
      <c r="AT112" s="16">
        <f ca="1">MAX(_xlfn.FLOOR.MATH(AS112/24/3600*控制台!$E$2784)-控制台!$J$2814,0)</f>
        <v>276</v>
      </c>
      <c r="AU112" s="15">
        <f ca="1" t="shared" si="43"/>
        <v>2384640</v>
      </c>
      <c r="AV112" s="15">
        <f ca="1" t="shared" si="44"/>
        <v>14307840</v>
      </c>
      <c r="AW112" s="17">
        <f ca="1" t="shared" si="53"/>
        <v>623777760</v>
      </c>
      <c r="AX112" s="15">
        <f ca="1">OFFSET(控制台!$X$2798,MATCH(B112,控制台!$B$2798:$B$2809,0)-2,0)*控制台!$E$2775</f>
        <v>1440</v>
      </c>
      <c r="AY112" s="15">
        <f ca="1">OFFSET(控制台!$X$2798,MATCH(B112,控制台!$B$2798:$B$2809,0)-1,0)*控制台!$E$2775</f>
        <v>1500</v>
      </c>
      <c r="AZ112" s="15">
        <f ca="1">Lerp_dyy(AX112,AY112,C112/10)</f>
        <v>1452</v>
      </c>
      <c r="BA112" s="16">
        <f ca="1">_xlfn.FLOOR.MATH(AZ112/24/3600*控制台!$E$2785)</f>
        <v>30</v>
      </c>
      <c r="BB112" s="15">
        <f ca="1" t="shared" si="45"/>
        <v>1440</v>
      </c>
      <c r="BC112" s="15">
        <f ca="1" t="shared" si="46"/>
        <v>8640</v>
      </c>
      <c r="BD112" s="17">
        <f ca="1" t="shared" si="54"/>
        <v>375019.2</v>
      </c>
      <c r="BE112" s="1">
        <f ca="1">OFFSET(控制台!$AA$2798,MATCH(B112,控制台!$B$2798:$B$2809,0)-1,0)</f>
        <v>56.7533333333334</v>
      </c>
      <c r="BF112" s="1">
        <f ca="1" t="shared" si="59"/>
        <v>17707.04</v>
      </c>
      <c r="BG112" s="17">
        <f ca="1" t="shared" si="55"/>
        <v>389001.693333334</v>
      </c>
      <c r="BH112" s="15">
        <f ca="1">OFFSET(控制台!$AD$2798,MATCH(B112,控制台!$B$2798:$B$2809,0)-2,0)</f>
        <v>3400</v>
      </c>
      <c r="BI112" s="15">
        <f ca="1">OFFSET(控制台!$AD$2798,MATCH(B112,控制台!$B$2798:$B$2809,0)-1,0)</f>
        <v>4000</v>
      </c>
      <c r="BJ112" s="15">
        <f ca="1">Lerp_dyy(BH112,BI112,C112/10)</f>
        <v>3520</v>
      </c>
      <c r="BK112" s="16">
        <f ca="1">_xlfn.FLOOR.MATH(BJ112/24/3600*控制台!$E$2785)</f>
        <v>73</v>
      </c>
      <c r="BL112" s="15">
        <f ca="1" t="shared" si="47"/>
        <v>3504</v>
      </c>
      <c r="BM112" s="15">
        <f ca="1" t="shared" si="48"/>
        <v>21024</v>
      </c>
      <c r="BN112" s="17">
        <f ca="1" t="shared" si="56"/>
        <v>656188.8</v>
      </c>
    </row>
    <row r="113" s="15" customFormat="1" spans="1:66">
      <c r="A113" s="15">
        <f t="shared" si="32"/>
        <v>1203</v>
      </c>
      <c r="B113" s="15">
        <v>12</v>
      </c>
      <c r="C113" s="15">
        <v>3</v>
      </c>
      <c r="D113" s="15">
        <f ca="1">OFFSET(控制台!$D$2798,MATCH(B113,控制台!$B$2798:$B$2809,0)-2,0)*控制台!$E$2751</f>
        <v>4800000</v>
      </c>
      <c r="E113" s="15">
        <f ca="1">OFFSET(控制台!$D$2798,MATCH(B113,控制台!$B$2798:$B$2809,0)-1,0)*控制台!$E$2751</f>
        <v>5000000</v>
      </c>
      <c r="F113" s="15">
        <f ca="1">Lerp_dyy(D113,E113,C113/10)</f>
        <v>4860000</v>
      </c>
      <c r="G113" s="16">
        <f ca="1">_xlfn.FLOOR.MATH(F113/24/3600*控制台!$E$2784)-控制台!$E$2814</f>
        <v>554</v>
      </c>
      <c r="H113" s="15">
        <f ca="1" t="shared" si="33"/>
        <v>4786560</v>
      </c>
      <c r="I113" s="15">
        <f ca="1">IF(B113=1,0,OFFSET(控制台!$B$865,MATCH(B113-1,控制台!$G$865:$G$936,0)-1,0))</f>
        <v>300</v>
      </c>
      <c r="J113" s="15">
        <f ca="1">OFFSET(控制台!$B$865,MATCH(B113,控制台!$G$865:$G$936,0)-1,0)</f>
        <v>360</v>
      </c>
      <c r="K113" s="15">
        <f ca="1" t="shared" si="34"/>
        <v>6</v>
      </c>
      <c r="L113" s="17">
        <f ca="1">Lerp_dyy(I113,J113,C113/10)</f>
        <v>318</v>
      </c>
      <c r="M113" s="15">
        <f ca="1" t="shared" si="35"/>
        <v>28719360</v>
      </c>
      <c r="N113" s="17">
        <f ca="1" t="shared" si="49"/>
        <v>1280181888</v>
      </c>
      <c r="O113" s="15">
        <f ca="1">OFFSET(控制台!$F$2798,MATCH(B113,控制台!$B$2798:$B$2809,0)-2,0)*控制台!$E$2755</f>
        <v>2880</v>
      </c>
      <c r="P113" s="15">
        <f ca="1">OFFSET(控制台!$F$2798,MATCH(B113,控制台!$B$2798:$B$2809,0)-1,0)*控制台!$E$2755</f>
        <v>3000</v>
      </c>
      <c r="Q113" s="15">
        <f ca="1">Lerp_dyy(O113,P113,C113/10)</f>
        <v>2916</v>
      </c>
      <c r="R113" s="16">
        <f ca="1">_xlfn.FLOOR.MATH(Q113/24/3600*控制台!$E$2785)</f>
        <v>60</v>
      </c>
      <c r="S113" s="15">
        <f ca="1" t="shared" si="36"/>
        <v>2880</v>
      </c>
      <c r="T113" s="15">
        <f ca="1" t="shared" si="37"/>
        <v>17280</v>
      </c>
      <c r="U113" s="17">
        <f ca="1" t="shared" si="50"/>
        <v>776107.2</v>
      </c>
      <c r="V113" s="15">
        <f ca="1">OFFSET(控制台!$I$2798,MATCH(B113,控制台!$B$2798:$B$2809,0)-2,0)*控制台!$E$2791</f>
        <v>2812.5</v>
      </c>
      <c r="W113" s="15">
        <f ca="1">OFFSET(控制台!$I$2798,MATCH(B113,控制台!$B$2798:$B$2809,0)-1,0)*控制台!$E$2791</f>
        <v>3125</v>
      </c>
      <c r="X113" s="15">
        <f ca="1">Lerp_dyy(V113,W113,C113/10)</f>
        <v>2906.25</v>
      </c>
      <c r="Y113" s="16">
        <f ca="1">_xlfn.FLOOR.MATH(X113)</f>
        <v>2906</v>
      </c>
      <c r="Z113" s="15">
        <f ca="1" t="shared" si="38"/>
        <v>3.4872</v>
      </c>
      <c r="AA113" s="15">
        <f ca="1" t="shared" si="58"/>
        <v>20.9232</v>
      </c>
      <c r="AB113" s="17">
        <f ca="1" t="shared" si="57"/>
        <v>751.09404</v>
      </c>
      <c r="AC113" s="17">
        <f ca="1">AB113*控制台!$E$4819</f>
        <v>600.875232</v>
      </c>
      <c r="AD113" s="17">
        <f ca="1">AB113*控制台!$E$4820</f>
        <v>13745.020932</v>
      </c>
      <c r="AE113" s="15">
        <f ca="1">OFFSET(控制台!$L$2798,MATCH(B113,控制台!$B$2798:$B$2809,0)-2,0)*控制台!$E$2763</f>
        <v>2700</v>
      </c>
      <c r="AF113" s="15">
        <f ca="1">OFFSET(控制台!$L$2798,MATCH(B113,控制台!$B$2798:$B$2809,0)-1,0)*控制台!$E$2763</f>
        <v>3000</v>
      </c>
      <c r="AG113" s="15">
        <f ca="1">Lerp_dyy(AE113,AF113,C113/10)</f>
        <v>2790</v>
      </c>
      <c r="AH113" s="15">
        <f ca="1" t="shared" si="39"/>
        <v>16740</v>
      </c>
      <c r="AI113" s="17">
        <f ca="1" t="shared" si="51"/>
        <v>598425</v>
      </c>
      <c r="AJ113" s="15">
        <f ca="1">OFFSET(控制台!$P$2798,MATCH(B113,控制台!$B$2798:$B$2809,0)-2,0)</f>
        <v>9000</v>
      </c>
      <c r="AK113" s="15">
        <f ca="1">OFFSET(控制台!$P$2798,MATCH(B113,控制台!$B$2798:$B$2809,0)-1,0)</f>
        <v>10000</v>
      </c>
      <c r="AL113" s="15">
        <f ca="1">Lerp_dyy(AJ113,AK113,C113/10)</f>
        <v>9300</v>
      </c>
      <c r="AM113" s="16">
        <f ca="1">_xlfn.FLOOR.MATH(AL113/24/3600*控制台!$E$2785)</f>
        <v>193</v>
      </c>
      <c r="AN113" s="15">
        <f ca="1" t="shared" si="40"/>
        <v>9264</v>
      </c>
      <c r="AO113" s="15">
        <f ca="1" t="shared" si="41"/>
        <v>55584</v>
      </c>
      <c r="AP113" s="17">
        <f ca="1" t="shared" si="52"/>
        <v>1988414.4</v>
      </c>
      <c r="AQ113" s="15">
        <f ca="1">OFFSET(控制台!$V$2798,MATCH(B113,控制台!$B$2798:$B$2809,0)-2,0)*控制台!$E$2771</f>
        <v>2400000</v>
      </c>
      <c r="AR113" s="15">
        <f ca="1">OFFSET(控制台!$V$2798,MATCH(B113,控制台!$B$2798:$B$2809,0)-1,0)*控制台!$E$2771</f>
        <v>2500000</v>
      </c>
      <c r="AS113" s="15">
        <f ca="1">Lerp_dyy(AQ113,AR113,C113/10)</f>
        <v>2430000</v>
      </c>
      <c r="AT113" s="16">
        <f ca="1">MAX(_xlfn.FLOOR.MATH(AS113/24/3600*控制台!$E$2784)-控制台!$J$2814,0)</f>
        <v>277</v>
      </c>
      <c r="AU113" s="15">
        <f ca="1" t="shared" si="43"/>
        <v>2393280</v>
      </c>
      <c r="AV113" s="15">
        <f ca="1" t="shared" si="44"/>
        <v>14359680</v>
      </c>
      <c r="AW113" s="17">
        <f ca="1" t="shared" si="53"/>
        <v>638137440</v>
      </c>
      <c r="AX113" s="15">
        <f ca="1">OFFSET(控制台!$X$2798,MATCH(B113,控制台!$B$2798:$B$2809,0)-2,0)*控制台!$E$2775</f>
        <v>1440</v>
      </c>
      <c r="AY113" s="15">
        <f ca="1">OFFSET(控制台!$X$2798,MATCH(B113,控制台!$B$2798:$B$2809,0)-1,0)*控制台!$E$2775</f>
        <v>1500</v>
      </c>
      <c r="AZ113" s="15">
        <f ca="1">Lerp_dyy(AX113,AY113,C113/10)</f>
        <v>1458</v>
      </c>
      <c r="BA113" s="16">
        <f ca="1">_xlfn.FLOOR.MATH(AZ113/24/3600*控制台!$E$2785)</f>
        <v>30</v>
      </c>
      <c r="BB113" s="15">
        <f ca="1" t="shared" si="45"/>
        <v>1440</v>
      </c>
      <c r="BC113" s="15">
        <f ca="1" t="shared" si="46"/>
        <v>8640</v>
      </c>
      <c r="BD113" s="17">
        <f ca="1" t="shared" si="54"/>
        <v>383659.2</v>
      </c>
      <c r="BE113" s="1">
        <f ca="1">OFFSET(控制台!$AA$2798,MATCH(B113,控制台!$B$2798:$B$2809,0)-1,0)</f>
        <v>56.7533333333334</v>
      </c>
      <c r="BF113" s="1">
        <f ca="1" t="shared" si="59"/>
        <v>18047.56</v>
      </c>
      <c r="BG113" s="17">
        <f ca="1" t="shared" si="55"/>
        <v>407049.253333334</v>
      </c>
      <c r="BH113" s="15">
        <f ca="1">OFFSET(控制台!$AD$2798,MATCH(B113,控制台!$B$2798:$B$2809,0)-2,0)</f>
        <v>3400</v>
      </c>
      <c r="BI113" s="15">
        <f ca="1">OFFSET(控制台!$AD$2798,MATCH(B113,控制台!$B$2798:$B$2809,0)-1,0)</f>
        <v>4000</v>
      </c>
      <c r="BJ113" s="15">
        <f ca="1">Lerp_dyy(BH113,BI113,C113/10)</f>
        <v>3580</v>
      </c>
      <c r="BK113" s="16">
        <f ca="1">_xlfn.FLOOR.MATH(BJ113/24/3600*控制台!$E$2785)</f>
        <v>74</v>
      </c>
      <c r="BL113" s="15">
        <f ca="1" t="shared" si="47"/>
        <v>3552</v>
      </c>
      <c r="BM113" s="15">
        <f ca="1" t="shared" si="48"/>
        <v>21312</v>
      </c>
      <c r="BN113" s="17">
        <f ca="1" t="shared" si="56"/>
        <v>677500.8</v>
      </c>
    </row>
    <row r="114" s="15" customFormat="1" spans="1:66">
      <c r="A114" s="15">
        <f t="shared" si="32"/>
        <v>1204</v>
      </c>
      <c r="B114" s="15">
        <v>12</v>
      </c>
      <c r="C114" s="15">
        <v>4</v>
      </c>
      <c r="D114" s="15">
        <f ca="1">OFFSET(控制台!$D$2798,MATCH(B114,控制台!$B$2798:$B$2809,0)-2,0)*控制台!$E$2751</f>
        <v>4800000</v>
      </c>
      <c r="E114" s="15">
        <f ca="1">OFFSET(控制台!$D$2798,MATCH(B114,控制台!$B$2798:$B$2809,0)-1,0)*控制台!$E$2751</f>
        <v>5000000</v>
      </c>
      <c r="F114" s="15">
        <f ca="1">Lerp_dyy(D114,E114,C114/10)</f>
        <v>4880000</v>
      </c>
      <c r="G114" s="16">
        <f ca="1">_xlfn.FLOOR.MATH(F114/24/3600*控制台!$E$2784)-控制台!$E$2814</f>
        <v>556</v>
      </c>
      <c r="H114" s="15">
        <f ca="1" t="shared" si="33"/>
        <v>4803840</v>
      </c>
      <c r="I114" s="15">
        <f ca="1">IF(B114=1,0,OFFSET(控制台!$B$865,MATCH(B114-1,控制台!$G$865:$G$936,0)-1,0))</f>
        <v>300</v>
      </c>
      <c r="J114" s="15">
        <f ca="1">OFFSET(控制台!$B$865,MATCH(B114,控制台!$G$865:$G$936,0)-1,0)</f>
        <v>360</v>
      </c>
      <c r="K114" s="15">
        <f ca="1" t="shared" si="34"/>
        <v>6</v>
      </c>
      <c r="L114" s="17">
        <f ca="1">Lerp_dyy(I114,J114,C114/10)</f>
        <v>324</v>
      </c>
      <c r="M114" s="15">
        <f ca="1" t="shared" si="35"/>
        <v>28823040</v>
      </c>
      <c r="N114" s="17">
        <f ca="1" t="shared" si="49"/>
        <v>1309004928</v>
      </c>
      <c r="O114" s="15">
        <f ca="1">OFFSET(控制台!$F$2798,MATCH(B114,控制台!$B$2798:$B$2809,0)-2,0)*控制台!$E$2755</f>
        <v>2880</v>
      </c>
      <c r="P114" s="15">
        <f ca="1">OFFSET(控制台!$F$2798,MATCH(B114,控制台!$B$2798:$B$2809,0)-1,0)*控制台!$E$2755</f>
        <v>3000</v>
      </c>
      <c r="Q114" s="15">
        <f ca="1">Lerp_dyy(O114,P114,C114/10)</f>
        <v>2928</v>
      </c>
      <c r="R114" s="16">
        <f ca="1">_xlfn.FLOOR.MATH(Q114/24/3600*控制台!$E$2785)</f>
        <v>61</v>
      </c>
      <c r="S114" s="15">
        <f ca="1" t="shared" si="36"/>
        <v>2928</v>
      </c>
      <c r="T114" s="15">
        <f ca="1" t="shared" si="37"/>
        <v>17568</v>
      </c>
      <c r="U114" s="17">
        <f ca="1" t="shared" si="50"/>
        <v>793675.2</v>
      </c>
      <c r="V114" s="15">
        <f ca="1">OFFSET(控制台!$I$2798,MATCH(B114,控制台!$B$2798:$B$2809,0)-2,0)*控制台!$E$2791</f>
        <v>2812.5</v>
      </c>
      <c r="W114" s="15">
        <f ca="1">OFFSET(控制台!$I$2798,MATCH(B114,控制台!$B$2798:$B$2809,0)-1,0)*控制台!$E$2791</f>
        <v>3125</v>
      </c>
      <c r="X114" s="15">
        <f ca="1">Lerp_dyy(V114,W114,C114/10)</f>
        <v>2937.5</v>
      </c>
      <c r="Y114" s="16">
        <f ca="1">_xlfn.FLOOR.MATH(X114)</f>
        <v>2937</v>
      </c>
      <c r="Z114" s="15">
        <f ca="1" t="shared" si="38"/>
        <v>3.5244</v>
      </c>
      <c r="AA114" s="15">
        <f ca="1" t="shared" si="58"/>
        <v>21.1464</v>
      </c>
      <c r="AB114" s="17">
        <f ca="1" t="shared" si="57"/>
        <v>772.24044</v>
      </c>
      <c r="AC114" s="17">
        <f ca="1">AB114*控制台!$E$4819</f>
        <v>617.792352</v>
      </c>
      <c r="AD114" s="17">
        <f ca="1">AB114*控制台!$E$4820</f>
        <v>14132.000052</v>
      </c>
      <c r="AE114" s="15">
        <f ca="1">OFFSET(控制台!$L$2798,MATCH(B114,控制台!$B$2798:$B$2809,0)-2,0)*控制台!$E$2763</f>
        <v>2700</v>
      </c>
      <c r="AF114" s="15">
        <f ca="1">OFFSET(控制台!$L$2798,MATCH(B114,控制台!$B$2798:$B$2809,0)-1,0)*控制台!$E$2763</f>
        <v>3000</v>
      </c>
      <c r="AG114" s="15">
        <f ca="1">Lerp_dyy(AE114,AF114,C114/10)</f>
        <v>2820</v>
      </c>
      <c r="AH114" s="15">
        <f ca="1" t="shared" si="39"/>
        <v>16920</v>
      </c>
      <c r="AI114" s="17">
        <f ca="1" t="shared" si="51"/>
        <v>615345</v>
      </c>
      <c r="AJ114" s="15">
        <f ca="1">OFFSET(控制台!$P$2798,MATCH(B114,控制台!$B$2798:$B$2809,0)-2,0)</f>
        <v>9000</v>
      </c>
      <c r="AK114" s="15">
        <f ca="1">OFFSET(控制台!$P$2798,MATCH(B114,控制台!$B$2798:$B$2809,0)-1,0)</f>
        <v>10000</v>
      </c>
      <c r="AL114" s="15">
        <f ca="1">Lerp_dyy(AJ114,AK114,C114/10)</f>
        <v>9400</v>
      </c>
      <c r="AM114" s="16">
        <f ca="1">_xlfn.FLOOR.MATH(AL114/24/3600*控制台!$E$2785)</f>
        <v>195</v>
      </c>
      <c r="AN114" s="15">
        <f ca="1" t="shared" si="40"/>
        <v>9360</v>
      </c>
      <c r="AO114" s="15">
        <f ca="1" t="shared" si="41"/>
        <v>56160</v>
      </c>
      <c r="AP114" s="17">
        <f ca="1" t="shared" si="52"/>
        <v>2044574.4</v>
      </c>
      <c r="AQ114" s="15">
        <f ca="1">OFFSET(控制台!$V$2798,MATCH(B114,控制台!$B$2798:$B$2809,0)-2,0)*控制台!$E$2771</f>
        <v>2400000</v>
      </c>
      <c r="AR114" s="15">
        <f ca="1">OFFSET(控制台!$V$2798,MATCH(B114,控制台!$B$2798:$B$2809,0)-1,0)*控制台!$E$2771</f>
        <v>2500000</v>
      </c>
      <c r="AS114" s="15">
        <f ca="1">Lerp_dyy(AQ114,AR114,C114/10)</f>
        <v>2440000</v>
      </c>
      <c r="AT114" s="16">
        <f ca="1">MAX(_xlfn.FLOOR.MATH(AS114/24/3600*控制台!$E$2784)-控制台!$J$2814,0)</f>
        <v>278</v>
      </c>
      <c r="AU114" s="15">
        <f ca="1" t="shared" si="43"/>
        <v>2401920</v>
      </c>
      <c r="AV114" s="15">
        <f ca="1" t="shared" si="44"/>
        <v>14411520</v>
      </c>
      <c r="AW114" s="17">
        <f ca="1" t="shared" si="53"/>
        <v>652548960</v>
      </c>
      <c r="AX114" s="15">
        <f ca="1">OFFSET(控制台!$X$2798,MATCH(B114,控制台!$B$2798:$B$2809,0)-2,0)*控制台!$E$2775</f>
        <v>1440</v>
      </c>
      <c r="AY114" s="15">
        <f ca="1">OFFSET(控制台!$X$2798,MATCH(B114,控制台!$B$2798:$B$2809,0)-1,0)*控制台!$E$2775</f>
        <v>1500</v>
      </c>
      <c r="AZ114" s="15">
        <f ca="1">Lerp_dyy(AX114,AY114,C114/10)</f>
        <v>1464</v>
      </c>
      <c r="BA114" s="16">
        <f ca="1">_xlfn.FLOOR.MATH(AZ114/24/3600*控制台!$E$2785)</f>
        <v>30</v>
      </c>
      <c r="BB114" s="15">
        <f ca="1" t="shared" si="45"/>
        <v>1440</v>
      </c>
      <c r="BC114" s="15">
        <f ca="1" t="shared" si="46"/>
        <v>8640</v>
      </c>
      <c r="BD114" s="17">
        <f ca="1" t="shared" si="54"/>
        <v>392299.2</v>
      </c>
      <c r="BE114" s="1">
        <f ca="1">OFFSET(控制台!$AA$2798,MATCH(B114,控制台!$B$2798:$B$2809,0)-1,0)</f>
        <v>56.7533333333334</v>
      </c>
      <c r="BF114" s="1">
        <f ca="1" t="shared" si="59"/>
        <v>18388.08</v>
      </c>
      <c r="BG114" s="17">
        <f ca="1" t="shared" si="55"/>
        <v>425437.333333334</v>
      </c>
      <c r="BH114" s="15">
        <f ca="1">OFFSET(控制台!$AD$2798,MATCH(B114,控制台!$B$2798:$B$2809,0)-2,0)</f>
        <v>3400</v>
      </c>
      <c r="BI114" s="15">
        <f ca="1">OFFSET(控制台!$AD$2798,MATCH(B114,控制台!$B$2798:$B$2809,0)-1,0)</f>
        <v>4000</v>
      </c>
      <c r="BJ114" s="15">
        <f ca="1">Lerp_dyy(BH114,BI114,C114/10)</f>
        <v>3640</v>
      </c>
      <c r="BK114" s="16">
        <f ca="1">_xlfn.FLOOR.MATH(BJ114/24/3600*控制台!$E$2785)</f>
        <v>75</v>
      </c>
      <c r="BL114" s="15">
        <f ca="1" t="shared" si="47"/>
        <v>3600</v>
      </c>
      <c r="BM114" s="15">
        <f ca="1" t="shared" si="48"/>
        <v>21600</v>
      </c>
      <c r="BN114" s="17">
        <f ca="1" t="shared" si="56"/>
        <v>699100.8</v>
      </c>
    </row>
    <row r="115" s="15" customFormat="1" spans="1:66">
      <c r="A115" s="15">
        <f t="shared" si="32"/>
        <v>1205</v>
      </c>
      <c r="B115" s="15">
        <v>12</v>
      </c>
      <c r="C115" s="15">
        <v>5</v>
      </c>
      <c r="D115" s="15">
        <f ca="1">OFFSET(控制台!$D$2798,MATCH(B115,控制台!$B$2798:$B$2809,0)-2,0)*控制台!$E$2751</f>
        <v>4800000</v>
      </c>
      <c r="E115" s="15">
        <f ca="1">OFFSET(控制台!$D$2798,MATCH(B115,控制台!$B$2798:$B$2809,0)-1,0)*控制台!$E$2751</f>
        <v>5000000</v>
      </c>
      <c r="F115" s="15">
        <f ca="1">Lerp_dyy(D115,E115,C115/10)</f>
        <v>4900000</v>
      </c>
      <c r="G115" s="16">
        <f ca="1">_xlfn.FLOOR.MATH(F115/24/3600*控制台!$E$2784)-控制台!$E$2814</f>
        <v>559</v>
      </c>
      <c r="H115" s="15">
        <f ca="1" t="shared" si="33"/>
        <v>4829760</v>
      </c>
      <c r="I115" s="15">
        <f ca="1">IF(B115=1,0,OFFSET(控制台!$B$865,MATCH(B115-1,控制台!$G$865:$G$936,0)-1,0))</f>
        <v>300</v>
      </c>
      <c r="J115" s="15">
        <f ca="1">OFFSET(控制台!$B$865,MATCH(B115,控制台!$G$865:$G$936,0)-1,0)</f>
        <v>360</v>
      </c>
      <c r="K115" s="15">
        <f ca="1" t="shared" si="34"/>
        <v>6</v>
      </c>
      <c r="L115" s="17">
        <f ca="1">Lerp_dyy(I115,J115,C115/10)</f>
        <v>330</v>
      </c>
      <c r="M115" s="15">
        <f ca="1" t="shared" si="35"/>
        <v>28978560</v>
      </c>
      <c r="N115" s="17">
        <f ca="1" t="shared" si="49"/>
        <v>1337983488</v>
      </c>
      <c r="O115" s="15">
        <f ca="1">OFFSET(控制台!$F$2798,MATCH(B115,控制台!$B$2798:$B$2809,0)-2,0)*控制台!$E$2755</f>
        <v>2880</v>
      </c>
      <c r="P115" s="15">
        <f ca="1">OFFSET(控制台!$F$2798,MATCH(B115,控制台!$B$2798:$B$2809,0)-1,0)*控制台!$E$2755</f>
        <v>3000</v>
      </c>
      <c r="Q115" s="15">
        <f ca="1">Lerp_dyy(O115,P115,C115/10)</f>
        <v>2940</v>
      </c>
      <c r="R115" s="16">
        <f ca="1">_xlfn.FLOOR.MATH(Q115/24/3600*控制台!$E$2785)</f>
        <v>61</v>
      </c>
      <c r="S115" s="15">
        <f ca="1" t="shared" si="36"/>
        <v>2928</v>
      </c>
      <c r="T115" s="15">
        <f ca="1" t="shared" si="37"/>
        <v>17568</v>
      </c>
      <c r="U115" s="17">
        <f ca="1" t="shared" si="50"/>
        <v>811243.2</v>
      </c>
      <c r="V115" s="15">
        <f ca="1">OFFSET(控制台!$I$2798,MATCH(B115,控制台!$B$2798:$B$2809,0)-2,0)*控制台!$E$2791</f>
        <v>2812.5</v>
      </c>
      <c r="W115" s="15">
        <f ca="1">OFFSET(控制台!$I$2798,MATCH(B115,控制台!$B$2798:$B$2809,0)-1,0)*控制台!$E$2791</f>
        <v>3125</v>
      </c>
      <c r="X115" s="15">
        <f ca="1">Lerp_dyy(V115,W115,C115/10)</f>
        <v>2968.75</v>
      </c>
      <c r="Y115" s="16">
        <f ca="1">_xlfn.FLOOR.MATH(X115)</f>
        <v>2968</v>
      </c>
      <c r="Z115" s="15">
        <f ca="1" t="shared" si="38"/>
        <v>3.5616</v>
      </c>
      <c r="AA115" s="15">
        <f ca="1" t="shared" si="58"/>
        <v>21.3696</v>
      </c>
      <c r="AB115" s="17">
        <f ca="1" t="shared" si="57"/>
        <v>793.61004</v>
      </c>
      <c r="AC115" s="17">
        <f ca="1">AB115*控制台!$E$4819</f>
        <v>634.888032</v>
      </c>
      <c r="AD115" s="17">
        <f ca="1">AB115*控制台!$E$4820</f>
        <v>14523.063732</v>
      </c>
      <c r="AE115" s="15">
        <f ca="1">OFFSET(控制台!$L$2798,MATCH(B115,控制台!$B$2798:$B$2809,0)-2,0)*控制台!$E$2763</f>
        <v>2700</v>
      </c>
      <c r="AF115" s="15">
        <f ca="1">OFFSET(控制台!$L$2798,MATCH(B115,控制台!$B$2798:$B$2809,0)-1,0)*控制台!$E$2763</f>
        <v>3000</v>
      </c>
      <c r="AG115" s="15">
        <f ca="1">Lerp_dyy(AE115,AF115,C115/10)</f>
        <v>2850</v>
      </c>
      <c r="AH115" s="15">
        <f ca="1" t="shared" si="39"/>
        <v>17100</v>
      </c>
      <c r="AI115" s="17">
        <f ca="1" t="shared" si="51"/>
        <v>632445</v>
      </c>
      <c r="AJ115" s="15">
        <f ca="1">OFFSET(控制台!$P$2798,MATCH(B115,控制台!$B$2798:$B$2809,0)-2,0)</f>
        <v>9000</v>
      </c>
      <c r="AK115" s="15">
        <f ca="1">OFFSET(控制台!$P$2798,MATCH(B115,控制台!$B$2798:$B$2809,0)-1,0)</f>
        <v>10000</v>
      </c>
      <c r="AL115" s="15">
        <f ca="1">Lerp_dyy(AJ115,AK115,C115/10)</f>
        <v>9500</v>
      </c>
      <c r="AM115" s="16">
        <f ca="1">_xlfn.FLOOR.MATH(AL115/24/3600*控制台!$E$2785)</f>
        <v>197</v>
      </c>
      <c r="AN115" s="15">
        <f ca="1" t="shared" si="40"/>
        <v>9456</v>
      </c>
      <c r="AO115" s="15">
        <f ca="1" t="shared" si="41"/>
        <v>56736</v>
      </c>
      <c r="AP115" s="17">
        <f ca="1" t="shared" si="52"/>
        <v>2101310.4</v>
      </c>
      <c r="AQ115" s="15">
        <f ca="1">OFFSET(控制台!$V$2798,MATCH(B115,控制台!$B$2798:$B$2809,0)-2,0)*控制台!$E$2771</f>
        <v>2400000</v>
      </c>
      <c r="AR115" s="15">
        <f ca="1">OFFSET(控制台!$V$2798,MATCH(B115,控制台!$B$2798:$B$2809,0)-1,0)*控制台!$E$2771</f>
        <v>2500000</v>
      </c>
      <c r="AS115" s="15">
        <f ca="1">Lerp_dyy(AQ115,AR115,C115/10)</f>
        <v>2450000</v>
      </c>
      <c r="AT115" s="16">
        <f ca="1">MAX(_xlfn.FLOOR.MATH(AS115/24/3600*控制台!$E$2784)-控制台!$J$2814,0)</f>
        <v>279</v>
      </c>
      <c r="AU115" s="15">
        <f ca="1" t="shared" si="43"/>
        <v>2410560</v>
      </c>
      <c r="AV115" s="15">
        <f ca="1" t="shared" si="44"/>
        <v>14463360</v>
      </c>
      <c r="AW115" s="17">
        <f ca="1" t="shared" si="53"/>
        <v>667012320</v>
      </c>
      <c r="AX115" s="15">
        <f ca="1">OFFSET(控制台!$X$2798,MATCH(B115,控制台!$B$2798:$B$2809,0)-2,0)*控制台!$E$2775</f>
        <v>1440</v>
      </c>
      <c r="AY115" s="15">
        <f ca="1">OFFSET(控制台!$X$2798,MATCH(B115,控制台!$B$2798:$B$2809,0)-1,0)*控制台!$E$2775</f>
        <v>1500</v>
      </c>
      <c r="AZ115" s="15">
        <f ca="1">Lerp_dyy(AX115,AY115,C115/10)</f>
        <v>1470</v>
      </c>
      <c r="BA115" s="16">
        <f ca="1">_xlfn.FLOOR.MATH(AZ115/24/3600*控制台!$E$2785)</f>
        <v>30</v>
      </c>
      <c r="BB115" s="15">
        <f ca="1" t="shared" si="45"/>
        <v>1440</v>
      </c>
      <c r="BC115" s="15">
        <f ca="1" t="shared" si="46"/>
        <v>8640</v>
      </c>
      <c r="BD115" s="17">
        <f ca="1" t="shared" si="54"/>
        <v>400939.2</v>
      </c>
      <c r="BE115" s="1">
        <f ca="1">OFFSET(控制台!$AA$2798,MATCH(B115,控制台!$B$2798:$B$2809,0)-1,0)</f>
        <v>56.7533333333334</v>
      </c>
      <c r="BF115" s="1">
        <f ca="1" t="shared" si="59"/>
        <v>18728.6</v>
      </c>
      <c r="BG115" s="17">
        <f ca="1" t="shared" si="55"/>
        <v>444165.933333334</v>
      </c>
      <c r="BH115" s="15">
        <f ca="1">OFFSET(控制台!$AD$2798,MATCH(B115,控制台!$B$2798:$B$2809,0)-2,0)</f>
        <v>3400</v>
      </c>
      <c r="BI115" s="15">
        <f ca="1">OFFSET(控制台!$AD$2798,MATCH(B115,控制台!$B$2798:$B$2809,0)-1,0)</f>
        <v>4000</v>
      </c>
      <c r="BJ115" s="15">
        <f ca="1">Lerp_dyy(BH115,BI115,C115/10)</f>
        <v>3700</v>
      </c>
      <c r="BK115" s="16">
        <f ca="1">_xlfn.FLOOR.MATH(BJ115/24/3600*控制台!$E$2785)</f>
        <v>77</v>
      </c>
      <c r="BL115" s="15">
        <f ca="1" t="shared" si="47"/>
        <v>3696</v>
      </c>
      <c r="BM115" s="15">
        <f ca="1" t="shared" si="48"/>
        <v>22176</v>
      </c>
      <c r="BN115" s="17">
        <f ca="1" t="shared" si="56"/>
        <v>721276.8</v>
      </c>
    </row>
    <row r="116" s="15" customFormat="1" spans="1:66">
      <c r="A116" s="15">
        <f t="shared" si="32"/>
        <v>1206</v>
      </c>
      <c r="B116" s="15">
        <v>12</v>
      </c>
      <c r="C116" s="15">
        <v>6</v>
      </c>
      <c r="D116" s="15">
        <f ca="1">OFFSET(控制台!$D$2798,MATCH(B116,控制台!$B$2798:$B$2809,0)-2,0)*控制台!$E$2751</f>
        <v>4800000</v>
      </c>
      <c r="E116" s="15">
        <f ca="1">OFFSET(控制台!$D$2798,MATCH(B116,控制台!$B$2798:$B$2809,0)-1,0)*控制台!$E$2751</f>
        <v>5000000</v>
      </c>
      <c r="F116" s="15">
        <f ca="1">Lerp_dyy(D116,E116,C116/10)</f>
        <v>4920000</v>
      </c>
      <c r="G116" s="16">
        <f ca="1">_xlfn.FLOOR.MATH(F116/24/3600*控制台!$E$2784)-控制台!$E$2814</f>
        <v>561</v>
      </c>
      <c r="H116" s="15">
        <f ca="1" t="shared" si="33"/>
        <v>4847040</v>
      </c>
      <c r="I116" s="15">
        <f ca="1">IF(B116=1,0,OFFSET(控制台!$B$865,MATCH(B116-1,控制台!$G$865:$G$936,0)-1,0))</f>
        <v>300</v>
      </c>
      <c r="J116" s="15">
        <f ca="1">OFFSET(控制台!$B$865,MATCH(B116,控制台!$G$865:$G$936,0)-1,0)</f>
        <v>360</v>
      </c>
      <c r="K116" s="15">
        <f ca="1" t="shared" si="34"/>
        <v>6</v>
      </c>
      <c r="L116" s="17">
        <f ca="1">Lerp_dyy(I116,J116,C116/10)</f>
        <v>336</v>
      </c>
      <c r="M116" s="15">
        <f ca="1" t="shared" si="35"/>
        <v>29082240</v>
      </c>
      <c r="N116" s="17">
        <f ca="1" t="shared" si="49"/>
        <v>1367065728</v>
      </c>
      <c r="O116" s="15">
        <f ca="1">OFFSET(控制台!$F$2798,MATCH(B116,控制台!$B$2798:$B$2809,0)-2,0)*控制台!$E$2755</f>
        <v>2880</v>
      </c>
      <c r="P116" s="15">
        <f ca="1">OFFSET(控制台!$F$2798,MATCH(B116,控制台!$B$2798:$B$2809,0)-1,0)*控制台!$E$2755</f>
        <v>3000</v>
      </c>
      <c r="Q116" s="15">
        <f ca="1">Lerp_dyy(O116,P116,C116/10)</f>
        <v>2952</v>
      </c>
      <c r="R116" s="16">
        <f ca="1">_xlfn.FLOOR.MATH(Q116/24/3600*控制台!$E$2785)</f>
        <v>61</v>
      </c>
      <c r="S116" s="15">
        <f ca="1" t="shared" si="36"/>
        <v>2928</v>
      </c>
      <c r="T116" s="15">
        <f ca="1" t="shared" si="37"/>
        <v>17568</v>
      </c>
      <c r="U116" s="17">
        <f ca="1" t="shared" si="50"/>
        <v>828811.2</v>
      </c>
      <c r="V116" s="15">
        <f ca="1">OFFSET(控制台!$I$2798,MATCH(B116,控制台!$B$2798:$B$2809,0)-2,0)*控制台!$E$2791</f>
        <v>2812.5</v>
      </c>
      <c r="W116" s="15">
        <f ca="1">OFFSET(控制台!$I$2798,MATCH(B116,控制台!$B$2798:$B$2809,0)-1,0)*控制台!$E$2791</f>
        <v>3125</v>
      </c>
      <c r="X116" s="15">
        <f ca="1">Lerp_dyy(V116,W116,C116/10)</f>
        <v>3000</v>
      </c>
      <c r="Y116" s="16">
        <f ca="1">_xlfn.FLOOR.MATH(X116)</f>
        <v>3000</v>
      </c>
      <c r="Z116" s="15">
        <f ca="1" t="shared" si="38"/>
        <v>3.6</v>
      </c>
      <c r="AA116" s="15">
        <f ca="1" t="shared" si="58"/>
        <v>21.6</v>
      </c>
      <c r="AB116" s="17">
        <f ca="1" t="shared" si="57"/>
        <v>815.21004</v>
      </c>
      <c r="AC116" s="17">
        <f ca="1">AB116*控制台!$E$4819</f>
        <v>652.168032</v>
      </c>
      <c r="AD116" s="17">
        <f ca="1">AB116*控制台!$E$4820</f>
        <v>14918.343732</v>
      </c>
      <c r="AE116" s="15">
        <f ca="1">OFFSET(控制台!$L$2798,MATCH(B116,控制台!$B$2798:$B$2809,0)-2,0)*控制台!$E$2763</f>
        <v>2700</v>
      </c>
      <c r="AF116" s="15">
        <f ca="1">OFFSET(控制台!$L$2798,MATCH(B116,控制台!$B$2798:$B$2809,0)-1,0)*控制台!$E$2763</f>
        <v>3000</v>
      </c>
      <c r="AG116" s="15">
        <f ca="1">Lerp_dyy(AE116,AF116,C116/10)</f>
        <v>2880</v>
      </c>
      <c r="AH116" s="15">
        <f ca="1" t="shared" si="39"/>
        <v>17280</v>
      </c>
      <c r="AI116" s="17">
        <f ca="1" t="shared" si="51"/>
        <v>649725</v>
      </c>
      <c r="AJ116" s="15">
        <f ca="1">OFFSET(控制台!$P$2798,MATCH(B116,控制台!$B$2798:$B$2809,0)-2,0)</f>
        <v>9000</v>
      </c>
      <c r="AK116" s="15">
        <f ca="1">OFFSET(控制台!$P$2798,MATCH(B116,控制台!$B$2798:$B$2809,0)-1,0)</f>
        <v>10000</v>
      </c>
      <c r="AL116" s="15">
        <f ca="1">Lerp_dyy(AJ116,AK116,C116/10)</f>
        <v>9600</v>
      </c>
      <c r="AM116" s="16">
        <f ca="1">_xlfn.FLOOR.MATH(AL116/24/3600*控制台!$E$2785)</f>
        <v>200</v>
      </c>
      <c r="AN116" s="15">
        <f ca="1" t="shared" si="40"/>
        <v>9600</v>
      </c>
      <c r="AO116" s="15">
        <f ca="1" t="shared" si="41"/>
        <v>57600</v>
      </c>
      <c r="AP116" s="17">
        <f ca="1" t="shared" si="52"/>
        <v>2158910.4</v>
      </c>
      <c r="AQ116" s="15">
        <f ca="1">OFFSET(控制台!$V$2798,MATCH(B116,控制台!$B$2798:$B$2809,0)-2,0)*控制台!$E$2771</f>
        <v>2400000</v>
      </c>
      <c r="AR116" s="15">
        <f ca="1">OFFSET(控制台!$V$2798,MATCH(B116,控制台!$B$2798:$B$2809,0)-1,0)*控制台!$E$2771</f>
        <v>2500000</v>
      </c>
      <c r="AS116" s="15">
        <f ca="1">Lerp_dyy(AQ116,AR116,C116/10)</f>
        <v>2460000</v>
      </c>
      <c r="AT116" s="16">
        <f ca="1">MAX(_xlfn.FLOOR.MATH(AS116/24/3600*控制台!$E$2784)-控制台!$J$2814,0)</f>
        <v>280</v>
      </c>
      <c r="AU116" s="15">
        <f ca="1" t="shared" si="43"/>
        <v>2419200</v>
      </c>
      <c r="AV116" s="15">
        <f ca="1" t="shared" si="44"/>
        <v>14515200</v>
      </c>
      <c r="AW116" s="17">
        <f ca="1" t="shared" si="53"/>
        <v>681527520</v>
      </c>
      <c r="AX116" s="15">
        <f ca="1">OFFSET(控制台!$X$2798,MATCH(B116,控制台!$B$2798:$B$2809,0)-2,0)*控制台!$E$2775</f>
        <v>1440</v>
      </c>
      <c r="AY116" s="15">
        <f ca="1">OFFSET(控制台!$X$2798,MATCH(B116,控制台!$B$2798:$B$2809,0)-1,0)*控制台!$E$2775</f>
        <v>1500</v>
      </c>
      <c r="AZ116" s="15">
        <f ca="1">Lerp_dyy(AX116,AY116,C116/10)</f>
        <v>1476</v>
      </c>
      <c r="BA116" s="16">
        <f ca="1">_xlfn.FLOOR.MATH(AZ116/24/3600*控制台!$E$2785)</f>
        <v>30</v>
      </c>
      <c r="BB116" s="15">
        <f ca="1" t="shared" si="45"/>
        <v>1440</v>
      </c>
      <c r="BC116" s="15">
        <f ca="1" t="shared" si="46"/>
        <v>8640</v>
      </c>
      <c r="BD116" s="17">
        <f ca="1" t="shared" si="54"/>
        <v>409579.2</v>
      </c>
      <c r="BE116" s="1">
        <f ca="1">OFFSET(控制台!$AA$2798,MATCH(B116,控制台!$B$2798:$B$2809,0)-1,0)</f>
        <v>56.7533333333334</v>
      </c>
      <c r="BF116" s="1">
        <f ca="1" t="shared" si="59"/>
        <v>19069.12</v>
      </c>
      <c r="BG116" s="17">
        <f ca="1" t="shared" si="55"/>
        <v>463235.053333334</v>
      </c>
      <c r="BH116" s="15">
        <f ca="1">OFFSET(控制台!$AD$2798,MATCH(B116,控制台!$B$2798:$B$2809,0)-2,0)</f>
        <v>3400</v>
      </c>
      <c r="BI116" s="15">
        <f ca="1">OFFSET(控制台!$AD$2798,MATCH(B116,控制台!$B$2798:$B$2809,0)-1,0)</f>
        <v>4000</v>
      </c>
      <c r="BJ116" s="15">
        <f ca="1">Lerp_dyy(BH116,BI116,C116/10)</f>
        <v>3760</v>
      </c>
      <c r="BK116" s="16">
        <f ca="1">_xlfn.FLOOR.MATH(BJ116/24/3600*控制台!$E$2785)</f>
        <v>78</v>
      </c>
      <c r="BL116" s="15">
        <f ca="1" t="shared" si="47"/>
        <v>3744</v>
      </c>
      <c r="BM116" s="15">
        <f ca="1" t="shared" si="48"/>
        <v>22464</v>
      </c>
      <c r="BN116" s="17">
        <f ca="1" t="shared" si="56"/>
        <v>743740.8</v>
      </c>
    </row>
    <row r="117" s="15" customFormat="1" spans="1:66">
      <c r="A117" s="15">
        <f t="shared" si="32"/>
        <v>1207</v>
      </c>
      <c r="B117" s="15">
        <v>12</v>
      </c>
      <c r="C117" s="15">
        <v>7</v>
      </c>
      <c r="D117" s="15">
        <f ca="1">OFFSET(控制台!$D$2798,MATCH(B117,控制台!$B$2798:$B$2809,0)-2,0)*控制台!$E$2751</f>
        <v>4800000</v>
      </c>
      <c r="E117" s="15">
        <f ca="1">OFFSET(控制台!$D$2798,MATCH(B117,控制台!$B$2798:$B$2809,0)-1,0)*控制台!$E$2751</f>
        <v>5000000</v>
      </c>
      <c r="F117" s="15">
        <f ca="1">Lerp_dyy(D117,E117,C117/10)</f>
        <v>4940000</v>
      </c>
      <c r="G117" s="16">
        <f ca="1">_xlfn.FLOOR.MATH(F117/24/3600*控制台!$E$2784)-控制台!$E$2814</f>
        <v>563</v>
      </c>
      <c r="H117" s="15">
        <f ca="1" t="shared" si="33"/>
        <v>4864320</v>
      </c>
      <c r="I117" s="15">
        <f ca="1">IF(B117=1,0,OFFSET(控制台!$B$865,MATCH(B117-1,控制台!$G$865:$G$936,0)-1,0))</f>
        <v>300</v>
      </c>
      <c r="J117" s="15">
        <f ca="1">OFFSET(控制台!$B$865,MATCH(B117,控制台!$G$865:$G$936,0)-1,0)</f>
        <v>360</v>
      </c>
      <c r="K117" s="15">
        <f ca="1" t="shared" si="34"/>
        <v>6</v>
      </c>
      <c r="L117" s="17">
        <f ca="1">Lerp_dyy(I117,J117,C117/10)</f>
        <v>342</v>
      </c>
      <c r="M117" s="15">
        <f ca="1" t="shared" si="35"/>
        <v>29185920</v>
      </c>
      <c r="N117" s="17">
        <f ca="1" t="shared" si="49"/>
        <v>1396251648</v>
      </c>
      <c r="O117" s="15">
        <f ca="1">OFFSET(控制台!$F$2798,MATCH(B117,控制台!$B$2798:$B$2809,0)-2,0)*控制台!$E$2755</f>
        <v>2880</v>
      </c>
      <c r="P117" s="15">
        <f ca="1">OFFSET(控制台!$F$2798,MATCH(B117,控制台!$B$2798:$B$2809,0)-1,0)*控制台!$E$2755</f>
        <v>3000</v>
      </c>
      <c r="Q117" s="15">
        <f ca="1">Lerp_dyy(O117,P117,C117/10)</f>
        <v>2964</v>
      </c>
      <c r="R117" s="16">
        <f ca="1">_xlfn.FLOOR.MATH(Q117/24/3600*控制台!$E$2785)</f>
        <v>61</v>
      </c>
      <c r="S117" s="15">
        <f ca="1" t="shared" si="36"/>
        <v>2928</v>
      </c>
      <c r="T117" s="15">
        <f ca="1" t="shared" si="37"/>
        <v>17568</v>
      </c>
      <c r="U117" s="17">
        <f ca="1" t="shared" si="50"/>
        <v>846379.2</v>
      </c>
      <c r="V117" s="15">
        <f ca="1">OFFSET(控制台!$I$2798,MATCH(B117,控制台!$B$2798:$B$2809,0)-2,0)*控制台!$E$2791</f>
        <v>2812.5</v>
      </c>
      <c r="W117" s="15">
        <f ca="1">OFFSET(控制台!$I$2798,MATCH(B117,控制台!$B$2798:$B$2809,0)-1,0)*控制台!$E$2791</f>
        <v>3125</v>
      </c>
      <c r="X117" s="15">
        <f ca="1">Lerp_dyy(V117,W117,C117/10)</f>
        <v>3031.25</v>
      </c>
      <c r="Y117" s="16">
        <f ca="1">_xlfn.FLOOR.MATH(X117)</f>
        <v>3031</v>
      </c>
      <c r="Z117" s="15">
        <f ca="1" t="shared" si="38"/>
        <v>3.6372</v>
      </c>
      <c r="AA117" s="15">
        <f ca="1" t="shared" si="58"/>
        <v>21.8232</v>
      </c>
      <c r="AB117" s="17">
        <f ca="1" t="shared" si="57"/>
        <v>837.03324</v>
      </c>
      <c r="AC117" s="17">
        <f ca="1">AB117*控制台!$E$4819</f>
        <v>669.626592</v>
      </c>
      <c r="AD117" s="17">
        <f ca="1">AB117*控制台!$E$4820</f>
        <v>15317.708292</v>
      </c>
      <c r="AE117" s="15">
        <f ca="1">OFFSET(控制台!$L$2798,MATCH(B117,控制台!$B$2798:$B$2809,0)-2,0)*控制台!$E$2763</f>
        <v>2700</v>
      </c>
      <c r="AF117" s="15">
        <f ca="1">OFFSET(控制台!$L$2798,MATCH(B117,控制台!$B$2798:$B$2809,0)-1,0)*控制台!$E$2763</f>
        <v>3000</v>
      </c>
      <c r="AG117" s="15">
        <f ca="1">Lerp_dyy(AE117,AF117,C117/10)</f>
        <v>2910</v>
      </c>
      <c r="AH117" s="15">
        <f ca="1" t="shared" si="39"/>
        <v>17460</v>
      </c>
      <c r="AI117" s="17">
        <f ca="1" t="shared" si="51"/>
        <v>667185</v>
      </c>
      <c r="AJ117" s="15">
        <f ca="1">OFFSET(控制台!$P$2798,MATCH(B117,控制台!$B$2798:$B$2809,0)-2,0)</f>
        <v>9000</v>
      </c>
      <c r="AK117" s="15">
        <f ca="1">OFFSET(控制台!$P$2798,MATCH(B117,控制台!$B$2798:$B$2809,0)-1,0)</f>
        <v>10000</v>
      </c>
      <c r="AL117" s="15">
        <f ca="1">Lerp_dyy(AJ117,AK117,C117/10)</f>
        <v>9700</v>
      </c>
      <c r="AM117" s="16">
        <f ca="1">_xlfn.FLOOR.MATH(AL117/24/3600*控制台!$E$2785)</f>
        <v>202</v>
      </c>
      <c r="AN117" s="15">
        <f ca="1" t="shared" si="40"/>
        <v>9696</v>
      </c>
      <c r="AO117" s="15">
        <f ca="1" t="shared" si="41"/>
        <v>58176</v>
      </c>
      <c r="AP117" s="17">
        <f ca="1" t="shared" si="52"/>
        <v>2217086.4</v>
      </c>
      <c r="AQ117" s="15">
        <f ca="1">OFFSET(控制台!$V$2798,MATCH(B117,控制台!$B$2798:$B$2809,0)-2,0)*控制台!$E$2771</f>
        <v>2400000</v>
      </c>
      <c r="AR117" s="15">
        <f ca="1">OFFSET(控制台!$V$2798,MATCH(B117,控制台!$B$2798:$B$2809,0)-1,0)*控制台!$E$2771</f>
        <v>2500000</v>
      </c>
      <c r="AS117" s="15">
        <f ca="1">Lerp_dyy(AQ117,AR117,C117/10)</f>
        <v>2470000</v>
      </c>
      <c r="AT117" s="16">
        <f ca="1">MAX(_xlfn.FLOOR.MATH(AS117/24/3600*控制台!$E$2784)-控制台!$J$2814,0)</f>
        <v>281</v>
      </c>
      <c r="AU117" s="15">
        <f ca="1" t="shared" si="43"/>
        <v>2427840</v>
      </c>
      <c r="AV117" s="15">
        <f ca="1" t="shared" si="44"/>
        <v>14567040</v>
      </c>
      <c r="AW117" s="17">
        <f ca="1" t="shared" si="53"/>
        <v>696094560</v>
      </c>
      <c r="AX117" s="15">
        <f ca="1">OFFSET(控制台!$X$2798,MATCH(B117,控制台!$B$2798:$B$2809,0)-2,0)*控制台!$E$2775</f>
        <v>1440</v>
      </c>
      <c r="AY117" s="15">
        <f ca="1">OFFSET(控制台!$X$2798,MATCH(B117,控制台!$B$2798:$B$2809,0)-1,0)*控制台!$E$2775</f>
        <v>1500</v>
      </c>
      <c r="AZ117" s="15">
        <f ca="1">Lerp_dyy(AX117,AY117,C117/10)</f>
        <v>1482</v>
      </c>
      <c r="BA117" s="16">
        <f ca="1">_xlfn.FLOOR.MATH(AZ117/24/3600*控制台!$E$2785)</f>
        <v>30</v>
      </c>
      <c r="BB117" s="15">
        <f ca="1" t="shared" si="45"/>
        <v>1440</v>
      </c>
      <c r="BC117" s="15">
        <f ca="1" t="shared" si="46"/>
        <v>8640</v>
      </c>
      <c r="BD117" s="17">
        <f ca="1" t="shared" si="54"/>
        <v>418219.2</v>
      </c>
      <c r="BE117" s="1">
        <f ca="1">OFFSET(控制台!$AA$2798,MATCH(B117,控制台!$B$2798:$B$2809,0)-1,0)</f>
        <v>56.7533333333334</v>
      </c>
      <c r="BF117" s="1">
        <f ca="1" t="shared" si="59"/>
        <v>19409.64</v>
      </c>
      <c r="BG117" s="17">
        <f ca="1" t="shared" si="55"/>
        <v>482644.693333334</v>
      </c>
      <c r="BH117" s="15">
        <f ca="1">OFFSET(控制台!$AD$2798,MATCH(B117,控制台!$B$2798:$B$2809,0)-2,0)</f>
        <v>3400</v>
      </c>
      <c r="BI117" s="15">
        <f ca="1">OFFSET(控制台!$AD$2798,MATCH(B117,控制台!$B$2798:$B$2809,0)-1,0)</f>
        <v>4000</v>
      </c>
      <c r="BJ117" s="15">
        <f ca="1">Lerp_dyy(BH117,BI117,C117/10)</f>
        <v>3820</v>
      </c>
      <c r="BK117" s="16">
        <f ca="1">_xlfn.FLOOR.MATH(BJ117/24/3600*控制台!$E$2785)</f>
        <v>79</v>
      </c>
      <c r="BL117" s="15">
        <f ca="1" t="shared" si="47"/>
        <v>3792</v>
      </c>
      <c r="BM117" s="15">
        <f ca="1" t="shared" si="48"/>
        <v>22752</v>
      </c>
      <c r="BN117" s="17">
        <f ca="1" t="shared" si="56"/>
        <v>766492.8</v>
      </c>
    </row>
    <row r="118" s="15" customFormat="1" spans="1:66">
      <c r="A118" s="15">
        <f t="shared" si="32"/>
        <v>1208</v>
      </c>
      <c r="B118" s="15">
        <v>12</v>
      </c>
      <c r="C118" s="15">
        <v>8</v>
      </c>
      <c r="D118" s="15">
        <f ca="1">OFFSET(控制台!$D$2798,MATCH(B118,控制台!$B$2798:$B$2809,0)-2,0)*控制台!$E$2751</f>
        <v>4800000</v>
      </c>
      <c r="E118" s="15">
        <f ca="1">OFFSET(控制台!$D$2798,MATCH(B118,控制台!$B$2798:$B$2809,0)-1,0)*控制台!$E$2751</f>
        <v>5000000</v>
      </c>
      <c r="F118" s="15">
        <f ca="1">Lerp_dyy(D118,E118,C118/10)</f>
        <v>4960000</v>
      </c>
      <c r="G118" s="16">
        <f ca="1">_xlfn.FLOOR.MATH(F118/24/3600*控制台!$E$2784)-控制台!$E$2814</f>
        <v>566</v>
      </c>
      <c r="H118" s="15">
        <f ca="1" t="shared" si="33"/>
        <v>4890240</v>
      </c>
      <c r="I118" s="15">
        <f ca="1">IF(B118=1,0,OFFSET(控制台!$B$865,MATCH(B118-1,控制台!$G$865:$G$936,0)-1,0))</f>
        <v>300</v>
      </c>
      <c r="J118" s="15">
        <f ca="1">OFFSET(控制台!$B$865,MATCH(B118,控制台!$G$865:$G$936,0)-1,0)</f>
        <v>360</v>
      </c>
      <c r="K118" s="15">
        <f ca="1" t="shared" si="34"/>
        <v>6</v>
      </c>
      <c r="L118" s="17">
        <f ca="1">Lerp_dyy(I118,J118,C118/10)</f>
        <v>348</v>
      </c>
      <c r="M118" s="15">
        <f ca="1" t="shared" si="35"/>
        <v>29341440</v>
      </c>
      <c r="N118" s="17">
        <f ca="1" t="shared" si="49"/>
        <v>1425593088</v>
      </c>
      <c r="O118" s="15">
        <f ca="1">OFFSET(控制台!$F$2798,MATCH(B118,控制台!$B$2798:$B$2809,0)-2,0)*控制台!$E$2755</f>
        <v>2880</v>
      </c>
      <c r="P118" s="15">
        <f ca="1">OFFSET(控制台!$F$2798,MATCH(B118,控制台!$B$2798:$B$2809,0)-1,0)*控制台!$E$2755</f>
        <v>3000</v>
      </c>
      <c r="Q118" s="15">
        <f ca="1">Lerp_dyy(O118,P118,C118/10)</f>
        <v>2976</v>
      </c>
      <c r="R118" s="16">
        <f ca="1">_xlfn.FLOOR.MATH(Q118/24/3600*控制台!$E$2785)</f>
        <v>62</v>
      </c>
      <c r="S118" s="15">
        <f ca="1" t="shared" si="36"/>
        <v>2976</v>
      </c>
      <c r="T118" s="15">
        <f ca="1" t="shared" si="37"/>
        <v>17856</v>
      </c>
      <c r="U118" s="17">
        <f ca="1" t="shared" si="50"/>
        <v>864235.2</v>
      </c>
      <c r="V118" s="15">
        <f ca="1">OFFSET(控制台!$I$2798,MATCH(B118,控制台!$B$2798:$B$2809,0)-2,0)*控制台!$E$2791</f>
        <v>2812.5</v>
      </c>
      <c r="W118" s="15">
        <f ca="1">OFFSET(控制台!$I$2798,MATCH(B118,控制台!$B$2798:$B$2809,0)-1,0)*控制台!$E$2791</f>
        <v>3125</v>
      </c>
      <c r="X118" s="15">
        <f ca="1">Lerp_dyy(V118,W118,C118/10)</f>
        <v>3062.5</v>
      </c>
      <c r="Y118" s="16">
        <f ca="1">_xlfn.FLOOR.MATH(X118)</f>
        <v>3062</v>
      </c>
      <c r="Z118" s="15">
        <f ca="1" t="shared" si="38"/>
        <v>3.6744</v>
      </c>
      <c r="AA118" s="15">
        <f ca="1" t="shared" si="58"/>
        <v>22.0464</v>
      </c>
      <c r="AB118" s="17">
        <f ca="1" t="shared" si="57"/>
        <v>859.07964</v>
      </c>
      <c r="AC118" s="17">
        <f ca="1">AB118*控制台!$E$4819</f>
        <v>687.263712</v>
      </c>
      <c r="AD118" s="17">
        <f ca="1">AB118*控制台!$E$4820</f>
        <v>15721.157412</v>
      </c>
      <c r="AE118" s="15">
        <f ca="1">OFFSET(控制台!$L$2798,MATCH(B118,控制台!$B$2798:$B$2809,0)-2,0)*控制台!$E$2763</f>
        <v>2700</v>
      </c>
      <c r="AF118" s="15">
        <f ca="1">OFFSET(控制台!$L$2798,MATCH(B118,控制台!$B$2798:$B$2809,0)-1,0)*控制台!$E$2763</f>
        <v>3000</v>
      </c>
      <c r="AG118" s="15">
        <f ca="1">Lerp_dyy(AE118,AF118,C118/10)</f>
        <v>2940</v>
      </c>
      <c r="AH118" s="15">
        <f ca="1" t="shared" si="39"/>
        <v>17640</v>
      </c>
      <c r="AI118" s="17">
        <f ca="1" t="shared" si="51"/>
        <v>684825</v>
      </c>
      <c r="AJ118" s="15">
        <f ca="1">OFFSET(控制台!$P$2798,MATCH(B118,控制台!$B$2798:$B$2809,0)-2,0)</f>
        <v>9000</v>
      </c>
      <c r="AK118" s="15">
        <f ca="1">OFFSET(控制台!$P$2798,MATCH(B118,控制台!$B$2798:$B$2809,0)-1,0)</f>
        <v>10000</v>
      </c>
      <c r="AL118" s="15">
        <f ca="1">Lerp_dyy(AJ118,AK118,C118/10)</f>
        <v>9800</v>
      </c>
      <c r="AM118" s="16">
        <f ca="1">_xlfn.FLOOR.MATH(AL118/24/3600*控制台!$E$2785)</f>
        <v>204</v>
      </c>
      <c r="AN118" s="15">
        <f ca="1" t="shared" si="40"/>
        <v>9792</v>
      </c>
      <c r="AO118" s="15">
        <f ca="1" t="shared" si="41"/>
        <v>58752</v>
      </c>
      <c r="AP118" s="17">
        <f ca="1" t="shared" si="52"/>
        <v>2275838.4</v>
      </c>
      <c r="AQ118" s="15">
        <f ca="1">OFFSET(控制台!$V$2798,MATCH(B118,控制台!$B$2798:$B$2809,0)-2,0)*控制台!$E$2771</f>
        <v>2400000</v>
      </c>
      <c r="AR118" s="15">
        <f ca="1">OFFSET(控制台!$V$2798,MATCH(B118,控制台!$B$2798:$B$2809,0)-1,0)*控制台!$E$2771</f>
        <v>2500000</v>
      </c>
      <c r="AS118" s="15">
        <f ca="1">Lerp_dyy(AQ118,AR118,C118/10)</f>
        <v>2480000</v>
      </c>
      <c r="AT118" s="16">
        <f ca="1">MAX(_xlfn.FLOOR.MATH(AS118/24/3600*控制台!$E$2784)-控制台!$J$2814,0)</f>
        <v>283</v>
      </c>
      <c r="AU118" s="15">
        <f ca="1" t="shared" si="43"/>
        <v>2445120</v>
      </c>
      <c r="AV118" s="15">
        <f ca="1" t="shared" si="44"/>
        <v>14670720</v>
      </c>
      <c r="AW118" s="17">
        <f ca="1" t="shared" si="53"/>
        <v>710765280</v>
      </c>
      <c r="AX118" s="15">
        <f ca="1">OFFSET(控制台!$X$2798,MATCH(B118,控制台!$B$2798:$B$2809,0)-2,0)*控制台!$E$2775</f>
        <v>1440</v>
      </c>
      <c r="AY118" s="15">
        <f ca="1">OFFSET(控制台!$X$2798,MATCH(B118,控制台!$B$2798:$B$2809,0)-1,0)*控制台!$E$2775</f>
        <v>1500</v>
      </c>
      <c r="AZ118" s="15">
        <f ca="1">Lerp_dyy(AX118,AY118,C118/10)</f>
        <v>1488</v>
      </c>
      <c r="BA118" s="16">
        <f ca="1">_xlfn.FLOOR.MATH(AZ118/24/3600*控制台!$E$2785)</f>
        <v>31</v>
      </c>
      <c r="BB118" s="15">
        <f ca="1" t="shared" si="45"/>
        <v>1488</v>
      </c>
      <c r="BC118" s="15">
        <f ca="1" t="shared" si="46"/>
        <v>8928</v>
      </c>
      <c r="BD118" s="17">
        <f ca="1" t="shared" si="54"/>
        <v>427147.2</v>
      </c>
      <c r="BE118" s="1">
        <f ca="1">OFFSET(控制台!$AA$2798,MATCH(B118,控制台!$B$2798:$B$2809,0)-1,0)</f>
        <v>56.7533333333334</v>
      </c>
      <c r="BF118" s="1">
        <f ca="1" t="shared" si="59"/>
        <v>19750.16</v>
      </c>
      <c r="BG118" s="17">
        <f ca="1" t="shared" si="55"/>
        <v>502394.853333334</v>
      </c>
      <c r="BH118" s="15">
        <f ca="1">OFFSET(控制台!$AD$2798,MATCH(B118,控制台!$B$2798:$B$2809,0)-2,0)</f>
        <v>3400</v>
      </c>
      <c r="BI118" s="15">
        <f ca="1">OFFSET(控制台!$AD$2798,MATCH(B118,控制台!$B$2798:$B$2809,0)-1,0)</f>
        <v>4000</v>
      </c>
      <c r="BJ118" s="15">
        <f ca="1">Lerp_dyy(BH118,BI118,C118/10)</f>
        <v>3880</v>
      </c>
      <c r="BK118" s="16">
        <f ca="1">_xlfn.FLOOR.MATH(BJ118/24/3600*控制台!$E$2785)</f>
        <v>80</v>
      </c>
      <c r="BL118" s="15">
        <f ca="1" t="shared" si="47"/>
        <v>3840</v>
      </c>
      <c r="BM118" s="15">
        <f ca="1" t="shared" si="48"/>
        <v>23040</v>
      </c>
      <c r="BN118" s="17">
        <f ca="1" t="shared" si="56"/>
        <v>789532.8</v>
      </c>
    </row>
    <row r="119" s="15" customFormat="1" spans="1:66">
      <c r="A119" s="15">
        <f t="shared" si="32"/>
        <v>1209</v>
      </c>
      <c r="B119" s="15">
        <v>12</v>
      </c>
      <c r="C119" s="15">
        <v>9</v>
      </c>
      <c r="D119" s="15">
        <f ca="1">OFFSET(控制台!$D$2798,MATCH(B119,控制台!$B$2798:$B$2809,0)-2,0)*控制台!$E$2751</f>
        <v>4800000</v>
      </c>
      <c r="E119" s="15">
        <f ca="1">OFFSET(控制台!$D$2798,MATCH(B119,控制台!$B$2798:$B$2809,0)-1,0)*控制台!$E$2751</f>
        <v>5000000</v>
      </c>
      <c r="F119" s="15">
        <f ca="1">Lerp_dyy(D119,E119,C119/10)</f>
        <v>4980000</v>
      </c>
      <c r="G119" s="16">
        <f ca="1">_xlfn.FLOOR.MATH(F119/24/3600*控制台!$E$2784)-控制台!$E$2814</f>
        <v>568</v>
      </c>
      <c r="H119" s="15">
        <f ca="1" t="shared" si="33"/>
        <v>4907520</v>
      </c>
      <c r="I119" s="15">
        <f ca="1">IF(B119=1,0,OFFSET(控制台!$B$865,MATCH(B119-1,控制台!$G$865:$G$936,0)-1,0))</f>
        <v>300</v>
      </c>
      <c r="J119" s="15">
        <f ca="1">OFFSET(控制台!$B$865,MATCH(B119,控制台!$G$865:$G$936,0)-1,0)</f>
        <v>360</v>
      </c>
      <c r="K119" s="15">
        <f ca="1" t="shared" si="34"/>
        <v>6</v>
      </c>
      <c r="L119" s="17">
        <f ca="1">Lerp_dyy(I119,J119,C119/10)</f>
        <v>354</v>
      </c>
      <c r="M119" s="15">
        <f ca="1" t="shared" si="35"/>
        <v>29445120</v>
      </c>
      <c r="N119" s="17">
        <f ca="1" t="shared" si="49"/>
        <v>1455038208</v>
      </c>
      <c r="O119" s="15">
        <f ca="1">OFFSET(控制台!$F$2798,MATCH(B119,控制台!$B$2798:$B$2809,0)-2,0)*控制台!$E$2755</f>
        <v>2880</v>
      </c>
      <c r="P119" s="15">
        <f ca="1">OFFSET(控制台!$F$2798,MATCH(B119,控制台!$B$2798:$B$2809,0)-1,0)*控制台!$E$2755</f>
        <v>3000</v>
      </c>
      <c r="Q119" s="15">
        <f ca="1">Lerp_dyy(O119,P119,C119/10)</f>
        <v>2988</v>
      </c>
      <c r="R119" s="16">
        <f ca="1">_xlfn.FLOOR.MATH(Q119/24/3600*控制台!$E$2785)</f>
        <v>62</v>
      </c>
      <c r="S119" s="15">
        <f ca="1" t="shared" si="36"/>
        <v>2976</v>
      </c>
      <c r="T119" s="15">
        <f ca="1" t="shared" si="37"/>
        <v>17856</v>
      </c>
      <c r="U119" s="17">
        <f ca="1" t="shared" si="50"/>
        <v>882091.2</v>
      </c>
      <c r="V119" s="15">
        <f ca="1">OFFSET(控制台!$I$2798,MATCH(B119,控制台!$B$2798:$B$2809,0)-2,0)*控制台!$E$2791</f>
        <v>2812.5</v>
      </c>
      <c r="W119" s="15">
        <f ca="1">OFFSET(控制台!$I$2798,MATCH(B119,控制台!$B$2798:$B$2809,0)-1,0)*控制台!$E$2791</f>
        <v>3125</v>
      </c>
      <c r="X119" s="15">
        <f ca="1">Lerp_dyy(V119,W119,C119/10)</f>
        <v>3093.75</v>
      </c>
      <c r="Y119" s="16">
        <f ca="1">_xlfn.FLOOR.MATH(X119)</f>
        <v>3093</v>
      </c>
      <c r="Z119" s="15">
        <f ca="1" t="shared" si="38"/>
        <v>3.7116</v>
      </c>
      <c r="AA119" s="15">
        <f ca="1" t="shared" si="58"/>
        <v>22.2696</v>
      </c>
      <c r="AB119" s="17">
        <f ca="1" t="shared" si="57"/>
        <v>881.34924</v>
      </c>
      <c r="AC119" s="17">
        <f ca="1">AB119*控制台!$E$4819</f>
        <v>705.079392</v>
      </c>
      <c r="AD119" s="17">
        <f ca="1">AB119*控制台!$E$4820</f>
        <v>16128.691092</v>
      </c>
      <c r="AE119" s="15">
        <f ca="1">OFFSET(控制台!$L$2798,MATCH(B119,控制台!$B$2798:$B$2809,0)-2,0)*控制台!$E$2763</f>
        <v>2700</v>
      </c>
      <c r="AF119" s="15">
        <f ca="1">OFFSET(控制台!$L$2798,MATCH(B119,控制台!$B$2798:$B$2809,0)-1,0)*控制台!$E$2763</f>
        <v>3000</v>
      </c>
      <c r="AG119" s="15">
        <f ca="1">Lerp_dyy(AE119,AF119,C119/10)</f>
        <v>2970</v>
      </c>
      <c r="AH119" s="15">
        <f ca="1" t="shared" si="39"/>
        <v>17820</v>
      </c>
      <c r="AI119" s="17">
        <f ca="1" t="shared" si="51"/>
        <v>702645</v>
      </c>
      <c r="AJ119" s="15">
        <f ca="1">OFFSET(控制台!$P$2798,MATCH(B119,控制台!$B$2798:$B$2809,0)-2,0)</f>
        <v>9000</v>
      </c>
      <c r="AK119" s="15">
        <f ca="1">OFFSET(控制台!$P$2798,MATCH(B119,控制台!$B$2798:$B$2809,0)-1,0)</f>
        <v>10000</v>
      </c>
      <c r="AL119" s="15">
        <f ca="1">Lerp_dyy(AJ119,AK119,C119/10)</f>
        <v>9900</v>
      </c>
      <c r="AM119" s="16">
        <f ca="1">_xlfn.FLOOR.MATH(AL119/24/3600*控制台!$E$2785)</f>
        <v>206</v>
      </c>
      <c r="AN119" s="15">
        <f ca="1" t="shared" si="40"/>
        <v>9888</v>
      </c>
      <c r="AO119" s="15">
        <f ca="1" t="shared" si="41"/>
        <v>59328</v>
      </c>
      <c r="AP119" s="17">
        <f ca="1" t="shared" si="52"/>
        <v>2335166.4</v>
      </c>
      <c r="AQ119" s="15">
        <f ca="1">OFFSET(控制台!$V$2798,MATCH(B119,控制台!$B$2798:$B$2809,0)-2,0)*控制台!$E$2771</f>
        <v>2400000</v>
      </c>
      <c r="AR119" s="15">
        <f ca="1">OFFSET(控制台!$V$2798,MATCH(B119,控制台!$B$2798:$B$2809,0)-1,0)*控制台!$E$2771</f>
        <v>2500000</v>
      </c>
      <c r="AS119" s="15">
        <f ca="1">Lerp_dyy(AQ119,AR119,C119/10)</f>
        <v>2490000</v>
      </c>
      <c r="AT119" s="16">
        <f ca="1">MAX(_xlfn.FLOOR.MATH(AS119/24/3600*控制台!$E$2784)-控制台!$J$2814,0)</f>
        <v>284</v>
      </c>
      <c r="AU119" s="15">
        <f ca="1" t="shared" si="43"/>
        <v>2453760</v>
      </c>
      <c r="AV119" s="15">
        <f ca="1" t="shared" si="44"/>
        <v>14722560</v>
      </c>
      <c r="AW119" s="17">
        <f ca="1" t="shared" si="53"/>
        <v>725487840</v>
      </c>
      <c r="AX119" s="15">
        <f ca="1">OFFSET(控制台!$X$2798,MATCH(B119,控制台!$B$2798:$B$2809,0)-2,0)*控制台!$E$2775</f>
        <v>1440</v>
      </c>
      <c r="AY119" s="15">
        <f ca="1">OFFSET(控制台!$X$2798,MATCH(B119,控制台!$B$2798:$B$2809,0)-1,0)*控制台!$E$2775</f>
        <v>1500</v>
      </c>
      <c r="AZ119" s="15">
        <f ca="1">Lerp_dyy(AX119,AY119,C119/10)</f>
        <v>1494</v>
      </c>
      <c r="BA119" s="16">
        <f ca="1">_xlfn.FLOOR.MATH(AZ119/24/3600*控制台!$E$2785)</f>
        <v>31</v>
      </c>
      <c r="BB119" s="15">
        <f ca="1" t="shared" si="45"/>
        <v>1488</v>
      </c>
      <c r="BC119" s="15">
        <f ca="1" t="shared" si="46"/>
        <v>8928</v>
      </c>
      <c r="BD119" s="17">
        <f ca="1" t="shared" si="54"/>
        <v>436075.2</v>
      </c>
      <c r="BE119" s="1">
        <f ca="1">OFFSET(控制台!$AA$2798,MATCH(B119,控制台!$B$2798:$B$2809,0)-1,0)</f>
        <v>56.7533333333334</v>
      </c>
      <c r="BF119" s="1">
        <f ca="1" t="shared" si="59"/>
        <v>20090.68</v>
      </c>
      <c r="BG119" s="17">
        <f ca="1" t="shared" si="55"/>
        <v>522485.533333335</v>
      </c>
      <c r="BH119" s="15">
        <f ca="1">OFFSET(控制台!$AD$2798,MATCH(B119,控制台!$B$2798:$B$2809,0)-2,0)</f>
        <v>3400</v>
      </c>
      <c r="BI119" s="15">
        <f ca="1">OFFSET(控制台!$AD$2798,MATCH(B119,控制台!$B$2798:$B$2809,0)-1,0)</f>
        <v>4000</v>
      </c>
      <c r="BJ119" s="15">
        <f ca="1">Lerp_dyy(BH119,BI119,C119/10)</f>
        <v>3940</v>
      </c>
      <c r="BK119" s="16">
        <f ca="1">_xlfn.FLOOR.MATH(BJ119/24/3600*控制台!$E$2785)</f>
        <v>82</v>
      </c>
      <c r="BL119" s="15">
        <f ca="1" t="shared" si="47"/>
        <v>3936</v>
      </c>
      <c r="BM119" s="15">
        <f ca="1" t="shared" si="48"/>
        <v>23616</v>
      </c>
      <c r="BN119" s="17">
        <f ca="1" t="shared" si="56"/>
        <v>813148.8</v>
      </c>
    </row>
    <row r="120" s="15" customFormat="1" spans="1:66">
      <c r="A120" s="15">
        <f t="shared" si="32"/>
        <v>1210</v>
      </c>
      <c r="B120" s="15">
        <v>12</v>
      </c>
      <c r="C120" s="15">
        <v>10</v>
      </c>
      <c r="D120" s="15">
        <f ca="1">OFFSET(控制台!$D$2798,MATCH(B120,控制台!$B$2798:$B$2809,0)-2,0)*控制台!$E$2751</f>
        <v>4800000</v>
      </c>
      <c r="E120" s="15">
        <f ca="1">OFFSET(控制台!$D$2798,MATCH(B120,控制台!$B$2798:$B$2809,0)-1,0)*控制台!$E$2751</f>
        <v>5000000</v>
      </c>
      <c r="F120" s="15">
        <f ca="1">Lerp_dyy(D120,E120,C120/10)</f>
        <v>5000000</v>
      </c>
      <c r="G120" s="16">
        <f ca="1">_xlfn.FLOOR.MATH(F120/24/3600*控制台!$E$2784)-控制台!$E$2814</f>
        <v>570</v>
      </c>
      <c r="H120" s="15">
        <f ca="1" t="shared" si="33"/>
        <v>4924800</v>
      </c>
      <c r="I120" s="15">
        <f ca="1">IF(B120=1,0,OFFSET(控制台!$B$865,MATCH(B120-1,控制台!$G$865:$G$936,0)-1,0))</f>
        <v>300</v>
      </c>
      <c r="J120" s="15">
        <f ca="1">OFFSET(控制台!$B$865,MATCH(B120,控制台!$G$865:$G$936,0)-1,0)</f>
        <v>360</v>
      </c>
      <c r="K120" s="15">
        <f ca="1" t="shared" si="34"/>
        <v>6</v>
      </c>
      <c r="L120" s="17">
        <f ca="1">Lerp_dyy(I120,J120,C120/10)</f>
        <v>360</v>
      </c>
      <c r="M120" s="15">
        <f ca="1" t="shared" si="35"/>
        <v>29548800</v>
      </c>
      <c r="N120" s="17">
        <f ca="1" t="shared" si="49"/>
        <v>1484587008</v>
      </c>
      <c r="O120" s="15">
        <f ca="1">OFFSET(控制台!$F$2798,MATCH(B120,控制台!$B$2798:$B$2809,0)-2,0)*控制台!$E$2755</f>
        <v>2880</v>
      </c>
      <c r="P120" s="15">
        <f ca="1">OFFSET(控制台!$F$2798,MATCH(B120,控制台!$B$2798:$B$2809,0)-1,0)*控制台!$E$2755</f>
        <v>3000</v>
      </c>
      <c r="Q120" s="15">
        <f ca="1">Lerp_dyy(O120,P120,C120/10)</f>
        <v>3000</v>
      </c>
      <c r="R120" s="16">
        <f ca="1">_xlfn.FLOOR.MATH(Q120/24/3600*控制台!$E$2785)</f>
        <v>62</v>
      </c>
      <c r="S120" s="15">
        <f ca="1" t="shared" si="36"/>
        <v>2976</v>
      </c>
      <c r="T120" s="15">
        <f ca="1" t="shared" si="37"/>
        <v>17856</v>
      </c>
      <c r="U120" s="17">
        <f ca="1" t="shared" si="50"/>
        <v>899947.2</v>
      </c>
      <c r="V120" s="15">
        <f ca="1">OFFSET(控制台!$I$2798,MATCH(B120,控制台!$B$2798:$B$2809,0)-2,0)*控制台!$E$2791</f>
        <v>2812.5</v>
      </c>
      <c r="W120" s="15">
        <f ca="1">OFFSET(控制台!$I$2798,MATCH(B120,控制台!$B$2798:$B$2809,0)-1,0)*控制台!$E$2791</f>
        <v>3125</v>
      </c>
      <c r="X120" s="15">
        <f ca="1">Lerp_dyy(V120,W120,C120/10)</f>
        <v>3125</v>
      </c>
      <c r="Y120" s="16">
        <f ca="1">_xlfn.FLOOR.MATH(X120)</f>
        <v>3125</v>
      </c>
      <c r="Z120" s="15">
        <f ca="1" t="shared" si="38"/>
        <v>3.75</v>
      </c>
      <c r="AA120" s="15">
        <f ca="1" t="shared" si="58"/>
        <v>22.5</v>
      </c>
      <c r="AB120" s="17">
        <f ca="1" t="shared" si="57"/>
        <v>903.84924</v>
      </c>
      <c r="AC120" s="17">
        <f ca="1">AB120*控制台!$E$4819</f>
        <v>723.079392</v>
      </c>
      <c r="AD120" s="17">
        <f ca="1">AB120*控制台!$E$4820</f>
        <v>16540.441092</v>
      </c>
      <c r="AE120" s="15">
        <f ca="1">OFFSET(控制台!$L$2798,MATCH(B120,控制台!$B$2798:$B$2809,0)-2,0)*控制台!$E$2763</f>
        <v>2700</v>
      </c>
      <c r="AF120" s="15">
        <f ca="1">OFFSET(控制台!$L$2798,MATCH(B120,控制台!$B$2798:$B$2809,0)-1,0)*控制台!$E$2763</f>
        <v>3000</v>
      </c>
      <c r="AG120" s="15">
        <f ca="1">Lerp_dyy(AE120,AF120,C120/10)</f>
        <v>3000</v>
      </c>
      <c r="AH120" s="15">
        <f ca="1" t="shared" si="39"/>
        <v>18000</v>
      </c>
      <c r="AI120" s="17">
        <f ca="1" t="shared" si="51"/>
        <v>720645</v>
      </c>
      <c r="AJ120" s="15">
        <f ca="1">OFFSET(控制台!$P$2798,MATCH(B120,控制台!$B$2798:$B$2809,0)-2,0)</f>
        <v>9000</v>
      </c>
      <c r="AK120" s="15">
        <f ca="1">OFFSET(控制台!$P$2798,MATCH(B120,控制台!$B$2798:$B$2809,0)-1,0)</f>
        <v>10000</v>
      </c>
      <c r="AL120" s="15">
        <f ca="1">Lerp_dyy(AJ120,AK120,C120/10)</f>
        <v>10000</v>
      </c>
      <c r="AM120" s="16">
        <f ca="1">_xlfn.FLOOR.MATH(AL120/24/3600*控制台!$E$2785)</f>
        <v>208</v>
      </c>
      <c r="AN120" s="15">
        <f ca="1" t="shared" si="40"/>
        <v>9984</v>
      </c>
      <c r="AO120" s="15">
        <f ca="1" t="shared" si="41"/>
        <v>59904</v>
      </c>
      <c r="AP120" s="17">
        <f ca="1" t="shared" si="52"/>
        <v>2395070.4</v>
      </c>
      <c r="AQ120" s="15">
        <f ca="1">OFFSET(控制台!$V$2798,MATCH(B120,控制台!$B$2798:$B$2809,0)-2,0)*控制台!$E$2771</f>
        <v>2400000</v>
      </c>
      <c r="AR120" s="15">
        <f ca="1">OFFSET(控制台!$V$2798,MATCH(B120,控制台!$B$2798:$B$2809,0)-1,0)*控制台!$E$2771</f>
        <v>2500000</v>
      </c>
      <c r="AS120" s="15">
        <f ca="1">Lerp_dyy(AQ120,AR120,C120/10)</f>
        <v>2500000</v>
      </c>
      <c r="AT120" s="16">
        <f ca="1">MAX(_xlfn.FLOOR.MATH(AS120/24/3600*控制台!$E$2784)-控制台!$J$2814,0)</f>
        <v>285</v>
      </c>
      <c r="AU120" s="15">
        <f ca="1" t="shared" si="43"/>
        <v>2462400</v>
      </c>
      <c r="AV120" s="15">
        <f ca="1" t="shared" si="44"/>
        <v>14774400</v>
      </c>
      <c r="AW120" s="17">
        <f ca="1" t="shared" si="53"/>
        <v>740262240</v>
      </c>
      <c r="AX120" s="15">
        <f ca="1">OFFSET(控制台!$X$2798,MATCH(B120,控制台!$B$2798:$B$2809,0)-2,0)*控制台!$E$2775</f>
        <v>1440</v>
      </c>
      <c r="AY120" s="15">
        <f ca="1">OFFSET(控制台!$X$2798,MATCH(B120,控制台!$B$2798:$B$2809,0)-1,0)*控制台!$E$2775</f>
        <v>1500</v>
      </c>
      <c r="AZ120" s="15">
        <f ca="1">Lerp_dyy(AX120,AY120,C120/10)</f>
        <v>1500</v>
      </c>
      <c r="BA120" s="16">
        <f ca="1">_xlfn.FLOOR.MATH(AZ120/24/3600*控制台!$E$2785)</f>
        <v>31</v>
      </c>
      <c r="BB120" s="15">
        <f ca="1" t="shared" si="45"/>
        <v>1488</v>
      </c>
      <c r="BC120" s="15">
        <f ca="1" t="shared" si="46"/>
        <v>8928</v>
      </c>
      <c r="BD120" s="17">
        <f ca="1" t="shared" si="54"/>
        <v>445003.2</v>
      </c>
      <c r="BE120" s="1">
        <f ca="1">OFFSET(控制台!$AA$2798,MATCH(B120,控制台!$B$2798:$B$2809,0)-1,0)</f>
        <v>56.7533333333334</v>
      </c>
      <c r="BF120" s="1">
        <f ca="1" t="shared" si="59"/>
        <v>20431.2</v>
      </c>
      <c r="BG120" s="17">
        <f ca="1" t="shared" si="55"/>
        <v>542916.733333335</v>
      </c>
      <c r="BH120" s="15">
        <f ca="1">OFFSET(控制台!$AD$2798,MATCH(B120,控制台!$B$2798:$B$2809,0)-2,0)</f>
        <v>3400</v>
      </c>
      <c r="BI120" s="15">
        <f ca="1">OFFSET(控制台!$AD$2798,MATCH(B120,控制台!$B$2798:$B$2809,0)-1,0)</f>
        <v>4000</v>
      </c>
      <c r="BJ120" s="15">
        <f ca="1">Lerp_dyy(BH120,BI120,C120/10)</f>
        <v>4000</v>
      </c>
      <c r="BK120" s="16">
        <f ca="1">_xlfn.FLOOR.MATH(BJ120/24/3600*控制台!$E$2785)</f>
        <v>83</v>
      </c>
      <c r="BL120" s="15">
        <f ca="1" t="shared" si="47"/>
        <v>3984</v>
      </c>
      <c r="BM120" s="15">
        <f ca="1" t="shared" si="48"/>
        <v>23904</v>
      </c>
      <c r="BN120" s="17">
        <f ca="1" t="shared" si="56"/>
        <v>837052.8</v>
      </c>
    </row>
    <row r="122" s="2" customFormat="1" spans="1:1">
      <c r="A122" s="2" t="s">
        <v>2885</v>
      </c>
    </row>
    <row r="124" spans="1:32">
      <c r="A124" s="1" t="s">
        <v>382</v>
      </c>
      <c r="B124" s="1" t="s">
        <v>2759</v>
      </c>
      <c r="C124" s="1" t="s">
        <v>2660</v>
      </c>
      <c r="D124" s="1" t="s">
        <v>2947</v>
      </c>
      <c r="E124" s="1" t="s">
        <v>2950</v>
      </c>
      <c r="F124" s="5" t="s">
        <v>2852</v>
      </c>
      <c r="G124" s="1" t="s">
        <v>2932</v>
      </c>
      <c r="H124" s="1" t="s">
        <v>2929</v>
      </c>
      <c r="I124" s="5" t="s">
        <v>1649</v>
      </c>
      <c r="J124" s="1" t="s">
        <v>2976</v>
      </c>
      <c r="K124" s="1" t="s">
        <v>2956</v>
      </c>
      <c r="L124" s="5" t="s">
        <v>2957</v>
      </c>
      <c r="M124" s="5" t="s">
        <v>1664</v>
      </c>
      <c r="N124" s="5" t="s">
        <v>2940</v>
      </c>
      <c r="O124" s="1" t="s">
        <v>1394</v>
      </c>
      <c r="P124" s="1" t="s">
        <v>2941</v>
      </c>
      <c r="Q124" s="5" t="s">
        <v>1652</v>
      </c>
      <c r="R124" s="1" t="s">
        <v>2958</v>
      </c>
      <c r="S124" s="1" t="s">
        <v>2961</v>
      </c>
      <c r="T124" s="5" t="s">
        <v>1518</v>
      </c>
      <c r="U124" s="1" t="s">
        <v>2962</v>
      </c>
      <c r="V124" s="1" t="s">
        <v>2965</v>
      </c>
      <c r="W124" s="5" t="s">
        <v>2966</v>
      </c>
      <c r="X124" s="1" t="s">
        <v>2967</v>
      </c>
      <c r="Y124" s="1" t="s">
        <v>2970</v>
      </c>
      <c r="Z124" s="5" t="s">
        <v>1659</v>
      </c>
      <c r="AA124" s="1" t="s">
        <v>2943</v>
      </c>
      <c r="AB124" s="1" t="s">
        <v>2944</v>
      </c>
      <c r="AC124" s="5" t="s">
        <v>1662</v>
      </c>
      <c r="AD124" s="1" t="s">
        <v>2958</v>
      </c>
      <c r="AE124" s="1" t="s">
        <v>2961</v>
      </c>
      <c r="AF124" s="5" t="s">
        <v>1520</v>
      </c>
    </row>
    <row r="125" spans="1:32">
      <c r="A125" s="7">
        <v>0</v>
      </c>
      <c r="B125" s="1">
        <f>A125</f>
        <v>0</v>
      </c>
      <c r="C125" s="1">
        <f ca="1" t="shared" ref="C125:C156" si="60">IFERROR(OFFSET($A$6,MATCH(A125,$L$6:$L$120,1)-1,0),0)</f>
        <v>0</v>
      </c>
      <c r="D125" s="1">
        <f ca="1" t="shared" ref="D125:D156" si="61">IF(C125=0,0,OFFSET($H$6,MATCH(C125,$A$6:$A$120,0)-1,0))</f>
        <v>0</v>
      </c>
      <c r="E125" s="1">
        <f ca="1">B125*D125</f>
        <v>0</v>
      </c>
      <c r="F125" s="5">
        <f ca="1">E125</f>
        <v>0</v>
      </c>
      <c r="G125" s="1">
        <f ca="1" t="shared" ref="G125:G156" si="62">IF(C125=0,0,OFFSET($S$6,MATCH(C125,$A$6:$A$120,0)-1,0))</f>
        <v>0</v>
      </c>
      <c r="H125" s="1">
        <f ca="1">G125*B125</f>
        <v>0</v>
      </c>
      <c r="I125" s="5">
        <f ca="1">H125</f>
        <v>0</v>
      </c>
      <c r="J125" s="1">
        <f ca="1" t="shared" ref="J125:J156" si="63">IF(C125=0,0,OFFSET($Z$6,MATCH(C125,$A$6:$A$120,0)-1,0))</f>
        <v>0</v>
      </c>
      <c r="K125" s="1">
        <f ca="1">J125*B125</f>
        <v>0</v>
      </c>
      <c r="L125" s="5">
        <f ca="1">K125</f>
        <v>0</v>
      </c>
      <c r="M125" s="5">
        <f ca="1">L125*控制台!$E$4819</f>
        <v>0</v>
      </c>
      <c r="N125" s="5">
        <f ca="1">L125*控制台!$E$4820</f>
        <v>0</v>
      </c>
      <c r="O125" s="1">
        <f ca="1" t="shared" ref="O125:O156" si="64">IF(C125=0,0,OFFSET($AG$6,MATCH(C125,$A$6:$A$120,0)-1,0))</f>
        <v>0</v>
      </c>
      <c r="P125" s="1">
        <f ca="1" t="shared" ref="P125:P156" si="65">O125*B125</f>
        <v>0</v>
      </c>
      <c r="Q125" s="5">
        <f ca="1">P125</f>
        <v>0</v>
      </c>
      <c r="R125" s="1">
        <f ca="1">IF(C125=0,0,OFFSET($AN$6,MATCH(C125,$A$6:$A$120,0)-1,0))</f>
        <v>0</v>
      </c>
      <c r="S125" s="1">
        <f ca="1">R125*B125</f>
        <v>0</v>
      </c>
      <c r="T125" s="5">
        <f ca="1">S125</f>
        <v>0</v>
      </c>
      <c r="U125" s="1">
        <f ca="1">IF(C125=0,0,OFFSET($AU$6,MATCH(C125,$A$6:$A$120,0)-1,0))</f>
        <v>0</v>
      </c>
      <c r="V125" s="1">
        <f ca="1">B125*U125</f>
        <v>0</v>
      </c>
      <c r="W125" s="5">
        <f ca="1">V125</f>
        <v>0</v>
      </c>
      <c r="X125" s="1">
        <f ca="1">IF(C125=0,0,OFFSET($BB$6,MATCH(C125,$A$6:$A$120,0)-1,0))</f>
        <v>0</v>
      </c>
      <c r="Y125" s="1">
        <f ca="1">X125*B125</f>
        <v>0</v>
      </c>
      <c r="Z125" s="5">
        <f ca="1">Y125</f>
        <v>0</v>
      </c>
      <c r="AA125" s="1">
        <f ca="1">IF(C125=0,0,OFFSET($BE$6,MATCH(C125,$A$6:$A$120,0)-1,0))</f>
        <v>0</v>
      </c>
      <c r="AB125" s="1">
        <f ca="1">AA125*B125</f>
        <v>0</v>
      </c>
      <c r="AC125" s="5">
        <f ca="1">AB125</f>
        <v>0</v>
      </c>
      <c r="AD125" s="1">
        <f ca="1" t="shared" ref="AD125:AD156" si="66">IF(C125=0,0,OFFSET($BL$6,MATCH(C125,$A$6:$A$120,0)-1,0))</f>
        <v>0</v>
      </c>
      <c r="AE125" s="1">
        <f ca="1" t="shared" ref="AE125:AE156" si="67">AD125*B125</f>
        <v>0</v>
      </c>
      <c r="AF125" s="5">
        <f ca="1">AE125</f>
        <v>0</v>
      </c>
    </row>
    <row r="126" spans="1:32">
      <c r="A126" s="7">
        <v>0.1</v>
      </c>
      <c r="B126" s="1">
        <f>A126-A125</f>
        <v>0.1</v>
      </c>
      <c r="C126" s="1">
        <f ca="1" t="shared" si="60"/>
        <v>0</v>
      </c>
      <c r="D126" s="1">
        <f ca="1" t="shared" si="61"/>
        <v>0</v>
      </c>
      <c r="E126" s="1">
        <f ca="1" t="shared" ref="E126:E189" si="68">B126*D126</f>
        <v>0</v>
      </c>
      <c r="F126" s="5">
        <f ca="1">F125+E126</f>
        <v>0</v>
      </c>
      <c r="G126" s="1">
        <f ca="1" t="shared" si="62"/>
        <v>0</v>
      </c>
      <c r="H126" s="1">
        <f ca="1" t="shared" ref="H126:H189" si="69">G126*B126</f>
        <v>0</v>
      </c>
      <c r="I126" s="5">
        <f ca="1">I125+H126</f>
        <v>0</v>
      </c>
      <c r="J126" s="1">
        <f ca="1" t="shared" si="63"/>
        <v>0</v>
      </c>
      <c r="K126" s="1">
        <f ca="1" t="shared" ref="K126:K189" si="70">J126*B126</f>
        <v>0</v>
      </c>
      <c r="L126" s="5">
        <f ca="1">L125+K126</f>
        <v>0</v>
      </c>
      <c r="M126" s="5">
        <f ca="1">L126*控制台!$E$4819</f>
        <v>0</v>
      </c>
      <c r="N126" s="5">
        <f ca="1">L126*控制台!$E$4820</f>
        <v>0</v>
      </c>
      <c r="O126" s="1">
        <f ca="1" t="shared" si="64"/>
        <v>0</v>
      </c>
      <c r="P126" s="1">
        <f ca="1" t="shared" si="65"/>
        <v>0</v>
      </c>
      <c r="Q126" s="5">
        <f ca="1">Q125+P126</f>
        <v>0</v>
      </c>
      <c r="R126" s="1">
        <f ca="1" t="shared" ref="R126:R189" si="71">IF(C126=0,0,OFFSET($AN$6,MATCH(C126,$A$6:$A$120,0)-1,0))</f>
        <v>0</v>
      </c>
      <c r="S126" s="1">
        <f ca="1" t="shared" ref="S126:S189" si="72">R126*B126</f>
        <v>0</v>
      </c>
      <c r="T126" s="5">
        <f ca="1">T125+S126</f>
        <v>0</v>
      </c>
      <c r="U126" s="1">
        <f ca="1" t="shared" ref="U126:U189" si="73">IF(C126=0,0,OFFSET($AU$6,MATCH(C126,$A$6:$A$120,0)-1,0))</f>
        <v>0</v>
      </c>
      <c r="V126" s="1">
        <f ca="1" t="shared" ref="V126:V189" si="74">B126*U126</f>
        <v>0</v>
      </c>
      <c r="W126" s="5">
        <f ca="1">W125+V126</f>
        <v>0</v>
      </c>
      <c r="X126" s="1">
        <f ca="1" t="shared" ref="X126:X189" si="75">IF(C126=0,0,OFFSET($BB$6,MATCH(C126,$A$6:$A$120,0)-1,0))</f>
        <v>0</v>
      </c>
      <c r="Y126" s="1">
        <f ca="1" t="shared" ref="Y126:Y189" si="76">X126*B126</f>
        <v>0</v>
      </c>
      <c r="Z126" s="5">
        <f ca="1">Z125+Y126</f>
        <v>0</v>
      </c>
      <c r="AA126" s="1">
        <f ca="1" t="shared" ref="AA126:AA189" si="77">IF(C126=0,0,OFFSET($BE$6,MATCH(C126,$A$6:$A$120,0)-1,0))</f>
        <v>0</v>
      </c>
      <c r="AB126" s="1">
        <f ca="1" t="shared" ref="AB126:AB189" si="78">AA126*B126</f>
        <v>0</v>
      </c>
      <c r="AC126" s="5">
        <f ca="1">AC125+AB126</f>
        <v>0</v>
      </c>
      <c r="AD126" s="1">
        <f ca="1" t="shared" si="66"/>
        <v>0</v>
      </c>
      <c r="AE126" s="1">
        <f ca="1" t="shared" si="67"/>
        <v>0</v>
      </c>
      <c r="AF126" s="5">
        <f ca="1">AF125+AE126</f>
        <v>0</v>
      </c>
    </row>
    <row r="127" spans="1:32">
      <c r="A127" s="7">
        <v>0.2</v>
      </c>
      <c r="B127" s="1">
        <f t="shared" ref="B127:B190" si="79">A127-A126</f>
        <v>0.1</v>
      </c>
      <c r="C127" s="1">
        <f ca="1" t="shared" si="60"/>
        <v>101</v>
      </c>
      <c r="D127" s="1">
        <f ca="1" t="shared" si="61"/>
        <v>527040</v>
      </c>
      <c r="E127" s="1">
        <f ca="1" t="shared" si="68"/>
        <v>52704</v>
      </c>
      <c r="F127" s="5">
        <f ca="1" t="shared" ref="F127:F190" si="80">F126+E127</f>
        <v>52704</v>
      </c>
      <c r="G127" s="1">
        <f ca="1" t="shared" si="62"/>
        <v>336</v>
      </c>
      <c r="H127" s="1">
        <f ca="1" t="shared" si="69"/>
        <v>33.6</v>
      </c>
      <c r="I127" s="5">
        <f ca="1" t="shared" ref="I127:I190" si="81">I126+H127</f>
        <v>33.6</v>
      </c>
      <c r="J127" s="1">
        <f ca="1" t="shared" si="63"/>
        <v>0.0372</v>
      </c>
      <c r="K127" s="1">
        <f ca="1" t="shared" si="70"/>
        <v>0.00372</v>
      </c>
      <c r="L127" s="5">
        <f ca="1" t="shared" ref="L127:L190" si="82">L126+K127</f>
        <v>0.00372</v>
      </c>
      <c r="M127" s="5">
        <f ca="1">L127*控制台!$E$4819</f>
        <v>0.002976</v>
      </c>
      <c r="N127" s="5">
        <f ca="1">L127*控制台!$E$4820</f>
        <v>0.068076</v>
      </c>
      <c r="O127" s="1">
        <f ca="1" t="shared" si="64"/>
        <v>0</v>
      </c>
      <c r="P127" s="1">
        <f ca="1" t="shared" si="65"/>
        <v>0</v>
      </c>
      <c r="Q127" s="5">
        <f ca="1" t="shared" ref="Q127:Q190" si="83">Q126+P127</f>
        <v>0</v>
      </c>
      <c r="R127" s="1">
        <f ca="1" t="shared" si="71"/>
        <v>96</v>
      </c>
      <c r="S127" s="1">
        <f ca="1" t="shared" si="72"/>
        <v>9.6</v>
      </c>
      <c r="T127" s="5">
        <f ca="1" t="shared" ref="T127:T190" si="84">T126+S127</f>
        <v>9.6</v>
      </c>
      <c r="U127" s="1">
        <f ca="1" t="shared" si="73"/>
        <v>0</v>
      </c>
      <c r="V127" s="1">
        <f ca="1" t="shared" si="74"/>
        <v>0</v>
      </c>
      <c r="W127" s="5">
        <f ca="1" t="shared" ref="W127:W190" si="85">W126+V127</f>
        <v>0</v>
      </c>
      <c r="X127" s="1">
        <f ca="1" t="shared" si="75"/>
        <v>0</v>
      </c>
      <c r="Y127" s="1">
        <f ca="1" t="shared" si="76"/>
        <v>0</v>
      </c>
      <c r="Z127" s="5">
        <f ca="1" t="shared" ref="Z127:Z190" si="86">Z126+Y127</f>
        <v>0</v>
      </c>
      <c r="AA127" s="1">
        <f ca="1" t="shared" si="77"/>
        <v>0</v>
      </c>
      <c r="AB127" s="1">
        <f ca="1" t="shared" si="78"/>
        <v>0</v>
      </c>
      <c r="AC127" s="5">
        <f ca="1" t="shared" ref="AC127:AC190" si="87">AC126+AB127</f>
        <v>0</v>
      </c>
      <c r="AD127" s="1">
        <f ca="1" t="shared" si="66"/>
        <v>48</v>
      </c>
      <c r="AE127" s="1">
        <f ca="1" t="shared" si="67"/>
        <v>4.8</v>
      </c>
      <c r="AF127" s="5">
        <f ca="1" t="shared" ref="AF127:AF190" si="88">AF126+AE127</f>
        <v>4.8</v>
      </c>
    </row>
    <row r="128" spans="1:32">
      <c r="A128" s="7">
        <v>0.3</v>
      </c>
      <c r="B128" s="1">
        <f t="shared" si="79"/>
        <v>0.1</v>
      </c>
      <c r="C128" s="1">
        <f ca="1" t="shared" si="60"/>
        <v>101</v>
      </c>
      <c r="D128" s="1">
        <f ca="1" t="shared" si="61"/>
        <v>527040</v>
      </c>
      <c r="E128" s="1">
        <f ca="1" t="shared" si="68"/>
        <v>52704</v>
      </c>
      <c r="F128" s="5">
        <f ca="1" t="shared" si="80"/>
        <v>105408</v>
      </c>
      <c r="G128" s="1">
        <f ca="1" t="shared" si="62"/>
        <v>336</v>
      </c>
      <c r="H128" s="1">
        <f ca="1" t="shared" si="69"/>
        <v>33.6</v>
      </c>
      <c r="I128" s="5">
        <f ca="1" t="shared" si="81"/>
        <v>67.2</v>
      </c>
      <c r="J128" s="1">
        <f ca="1" t="shared" si="63"/>
        <v>0.0372</v>
      </c>
      <c r="K128" s="1">
        <f ca="1" t="shared" si="70"/>
        <v>0.00372</v>
      </c>
      <c r="L128" s="5">
        <f ca="1" t="shared" si="82"/>
        <v>0.00744</v>
      </c>
      <c r="M128" s="5">
        <f ca="1">L128*控制台!$E$4819</f>
        <v>0.005952</v>
      </c>
      <c r="N128" s="5">
        <f ca="1">L128*控制台!$E$4820</f>
        <v>0.136152</v>
      </c>
      <c r="O128" s="1">
        <f ca="1" t="shared" si="64"/>
        <v>0</v>
      </c>
      <c r="P128" s="1">
        <f ca="1" t="shared" si="65"/>
        <v>0</v>
      </c>
      <c r="Q128" s="5">
        <f ca="1" t="shared" si="83"/>
        <v>0</v>
      </c>
      <c r="R128" s="1">
        <f ca="1" t="shared" si="71"/>
        <v>96</v>
      </c>
      <c r="S128" s="1">
        <f ca="1" t="shared" si="72"/>
        <v>9.6</v>
      </c>
      <c r="T128" s="5">
        <f ca="1" t="shared" si="84"/>
        <v>19.2</v>
      </c>
      <c r="U128" s="1">
        <f ca="1" t="shared" si="73"/>
        <v>0</v>
      </c>
      <c r="V128" s="1">
        <f ca="1" t="shared" si="74"/>
        <v>0</v>
      </c>
      <c r="W128" s="5">
        <f ca="1" t="shared" si="85"/>
        <v>0</v>
      </c>
      <c r="X128" s="1">
        <f ca="1" t="shared" si="75"/>
        <v>0</v>
      </c>
      <c r="Y128" s="1">
        <f ca="1" t="shared" si="76"/>
        <v>0</v>
      </c>
      <c r="Z128" s="5">
        <f ca="1" t="shared" si="86"/>
        <v>0</v>
      </c>
      <c r="AA128" s="1">
        <f ca="1" t="shared" si="77"/>
        <v>0</v>
      </c>
      <c r="AB128" s="1">
        <f ca="1" t="shared" si="78"/>
        <v>0</v>
      </c>
      <c r="AC128" s="5">
        <f ca="1" t="shared" si="87"/>
        <v>0</v>
      </c>
      <c r="AD128" s="1">
        <f ca="1" t="shared" si="66"/>
        <v>48</v>
      </c>
      <c r="AE128" s="1">
        <f ca="1" t="shared" si="67"/>
        <v>4.8</v>
      </c>
      <c r="AF128" s="5">
        <f ca="1" t="shared" si="88"/>
        <v>9.6</v>
      </c>
    </row>
    <row r="129" spans="1:32">
      <c r="A129" s="7">
        <v>0.4</v>
      </c>
      <c r="B129" s="1">
        <f t="shared" si="79"/>
        <v>0.1</v>
      </c>
      <c r="C129" s="1">
        <f ca="1" t="shared" si="60"/>
        <v>102</v>
      </c>
      <c r="D129" s="1">
        <f ca="1" t="shared" si="61"/>
        <v>630720</v>
      </c>
      <c r="E129" s="1">
        <f ca="1" t="shared" si="68"/>
        <v>63072</v>
      </c>
      <c r="F129" s="5">
        <f ca="1" t="shared" si="80"/>
        <v>168480</v>
      </c>
      <c r="G129" s="1">
        <f ca="1" t="shared" si="62"/>
        <v>384</v>
      </c>
      <c r="H129" s="1">
        <f ca="1" t="shared" si="69"/>
        <v>38.4</v>
      </c>
      <c r="I129" s="5">
        <f ca="1" t="shared" si="81"/>
        <v>105.6</v>
      </c>
      <c r="J129" s="1">
        <f ca="1" t="shared" si="63"/>
        <v>0.0744</v>
      </c>
      <c r="K129" s="1">
        <f ca="1" t="shared" si="70"/>
        <v>0.00744</v>
      </c>
      <c r="L129" s="5">
        <f ca="1" t="shared" si="82"/>
        <v>0.01488</v>
      </c>
      <c r="M129" s="5">
        <f ca="1">L129*控制台!$E$4819</f>
        <v>0.011904</v>
      </c>
      <c r="N129" s="5">
        <f ca="1">L129*控制台!$E$4820</f>
        <v>0.272304</v>
      </c>
      <c r="O129" s="1">
        <f ca="1" t="shared" si="64"/>
        <v>0</v>
      </c>
      <c r="P129" s="1">
        <f ca="1" t="shared" si="65"/>
        <v>0</v>
      </c>
      <c r="Q129" s="5">
        <f ca="1" t="shared" si="83"/>
        <v>0</v>
      </c>
      <c r="R129" s="1">
        <f ca="1" t="shared" si="71"/>
        <v>144</v>
      </c>
      <c r="S129" s="1">
        <f ca="1" t="shared" si="72"/>
        <v>14.4</v>
      </c>
      <c r="T129" s="5">
        <f ca="1" t="shared" si="84"/>
        <v>33.6</v>
      </c>
      <c r="U129" s="1">
        <f ca="1" t="shared" si="73"/>
        <v>0</v>
      </c>
      <c r="V129" s="1">
        <f ca="1" t="shared" si="74"/>
        <v>0</v>
      </c>
      <c r="W129" s="5">
        <f ca="1" t="shared" si="85"/>
        <v>0</v>
      </c>
      <c r="X129" s="1">
        <f ca="1" t="shared" si="75"/>
        <v>0</v>
      </c>
      <c r="Y129" s="1">
        <f ca="1" t="shared" si="76"/>
        <v>0</v>
      </c>
      <c r="Z129" s="5">
        <f ca="1" t="shared" si="86"/>
        <v>0</v>
      </c>
      <c r="AA129" s="1">
        <f ca="1" t="shared" si="77"/>
        <v>0</v>
      </c>
      <c r="AB129" s="1">
        <f ca="1" t="shared" si="78"/>
        <v>0</v>
      </c>
      <c r="AC129" s="5">
        <f ca="1" t="shared" si="87"/>
        <v>0</v>
      </c>
      <c r="AD129" s="1">
        <f ca="1" t="shared" si="66"/>
        <v>48</v>
      </c>
      <c r="AE129" s="1">
        <f ca="1" t="shared" si="67"/>
        <v>4.8</v>
      </c>
      <c r="AF129" s="5">
        <f ca="1" t="shared" si="88"/>
        <v>14.4</v>
      </c>
    </row>
    <row r="130" spans="1:32">
      <c r="A130" s="7">
        <v>0.5</v>
      </c>
      <c r="B130" s="1">
        <f t="shared" si="79"/>
        <v>0.1</v>
      </c>
      <c r="C130" s="1">
        <f ca="1" t="shared" si="60"/>
        <v>102</v>
      </c>
      <c r="D130" s="1">
        <f ca="1" t="shared" si="61"/>
        <v>630720</v>
      </c>
      <c r="E130" s="1">
        <f ca="1" t="shared" si="68"/>
        <v>63072</v>
      </c>
      <c r="F130" s="5">
        <f ca="1" t="shared" si="80"/>
        <v>231552</v>
      </c>
      <c r="G130" s="1">
        <f ca="1" t="shared" si="62"/>
        <v>384</v>
      </c>
      <c r="H130" s="1">
        <f ca="1" t="shared" si="69"/>
        <v>38.4</v>
      </c>
      <c r="I130" s="5">
        <f ca="1" t="shared" si="81"/>
        <v>144</v>
      </c>
      <c r="J130" s="1">
        <f ca="1" t="shared" si="63"/>
        <v>0.0744</v>
      </c>
      <c r="K130" s="1">
        <f ca="1" t="shared" si="70"/>
        <v>0.00744</v>
      </c>
      <c r="L130" s="5">
        <f ca="1" t="shared" si="82"/>
        <v>0.02232</v>
      </c>
      <c r="M130" s="5">
        <f ca="1">L130*控制台!$E$4819</f>
        <v>0.017856</v>
      </c>
      <c r="N130" s="5">
        <f ca="1">L130*控制台!$E$4820</f>
        <v>0.408456</v>
      </c>
      <c r="O130" s="1">
        <f ca="1" t="shared" si="64"/>
        <v>0</v>
      </c>
      <c r="P130" s="1">
        <f ca="1" t="shared" si="65"/>
        <v>0</v>
      </c>
      <c r="Q130" s="5">
        <f ca="1" t="shared" si="83"/>
        <v>0</v>
      </c>
      <c r="R130" s="1">
        <f ca="1" t="shared" si="71"/>
        <v>144</v>
      </c>
      <c r="S130" s="1">
        <f ca="1" t="shared" si="72"/>
        <v>14.4</v>
      </c>
      <c r="T130" s="5">
        <f ca="1" t="shared" si="84"/>
        <v>48</v>
      </c>
      <c r="U130" s="1">
        <f ca="1" t="shared" si="73"/>
        <v>0</v>
      </c>
      <c r="V130" s="1">
        <f ca="1" t="shared" si="74"/>
        <v>0</v>
      </c>
      <c r="W130" s="5">
        <f ca="1" t="shared" si="85"/>
        <v>0</v>
      </c>
      <c r="X130" s="1">
        <f ca="1" t="shared" si="75"/>
        <v>0</v>
      </c>
      <c r="Y130" s="1">
        <f ca="1" t="shared" si="76"/>
        <v>0</v>
      </c>
      <c r="Z130" s="5">
        <f ca="1" t="shared" si="86"/>
        <v>0</v>
      </c>
      <c r="AA130" s="1">
        <f ca="1" t="shared" si="77"/>
        <v>0</v>
      </c>
      <c r="AB130" s="1">
        <f ca="1" t="shared" si="78"/>
        <v>0</v>
      </c>
      <c r="AC130" s="5">
        <f ca="1" t="shared" si="87"/>
        <v>0</v>
      </c>
      <c r="AD130" s="1">
        <f ca="1" t="shared" si="66"/>
        <v>48</v>
      </c>
      <c r="AE130" s="1">
        <f ca="1" t="shared" si="67"/>
        <v>4.8</v>
      </c>
      <c r="AF130" s="5">
        <f ca="1" t="shared" si="88"/>
        <v>19.2</v>
      </c>
    </row>
    <row r="131" spans="1:32">
      <c r="A131" s="7">
        <v>0.6</v>
      </c>
      <c r="B131" s="1">
        <f t="shared" si="79"/>
        <v>0.1</v>
      </c>
      <c r="C131" s="1">
        <f ca="1" t="shared" si="60"/>
        <v>103</v>
      </c>
      <c r="D131" s="1">
        <f ca="1" t="shared" si="61"/>
        <v>725760</v>
      </c>
      <c r="E131" s="1">
        <f ca="1" t="shared" si="68"/>
        <v>72576</v>
      </c>
      <c r="F131" s="5">
        <f ca="1" t="shared" si="80"/>
        <v>304128</v>
      </c>
      <c r="G131" s="1">
        <f ca="1" t="shared" si="62"/>
        <v>480</v>
      </c>
      <c r="H131" s="1">
        <f ca="1" t="shared" si="69"/>
        <v>48</v>
      </c>
      <c r="I131" s="5">
        <f ca="1" t="shared" si="81"/>
        <v>192</v>
      </c>
      <c r="J131" s="1">
        <f ca="1" t="shared" si="63"/>
        <v>0.1116</v>
      </c>
      <c r="K131" s="1">
        <f ca="1" t="shared" si="70"/>
        <v>0.01116</v>
      </c>
      <c r="L131" s="5">
        <f ca="1" t="shared" si="82"/>
        <v>0.03348</v>
      </c>
      <c r="M131" s="5">
        <f ca="1">L131*控制台!$E$4819</f>
        <v>0.026784</v>
      </c>
      <c r="N131" s="5">
        <f ca="1">L131*控制台!$E$4820</f>
        <v>0.612684</v>
      </c>
      <c r="O131" s="1">
        <f ca="1" t="shared" si="64"/>
        <v>0</v>
      </c>
      <c r="P131" s="1">
        <f ca="1" t="shared" si="65"/>
        <v>0</v>
      </c>
      <c r="Q131" s="5">
        <f ca="1" t="shared" si="83"/>
        <v>0</v>
      </c>
      <c r="R131" s="1">
        <f ca="1" t="shared" si="71"/>
        <v>192</v>
      </c>
      <c r="S131" s="1">
        <f ca="1" t="shared" si="72"/>
        <v>19.2</v>
      </c>
      <c r="T131" s="5">
        <f ca="1" t="shared" si="84"/>
        <v>67.2</v>
      </c>
      <c r="U131" s="1">
        <f ca="1" t="shared" si="73"/>
        <v>0</v>
      </c>
      <c r="V131" s="1">
        <f ca="1" t="shared" si="74"/>
        <v>0</v>
      </c>
      <c r="W131" s="5">
        <f ca="1" t="shared" si="85"/>
        <v>0</v>
      </c>
      <c r="X131" s="1">
        <f ca="1" t="shared" si="75"/>
        <v>0</v>
      </c>
      <c r="Y131" s="1">
        <f ca="1" t="shared" si="76"/>
        <v>0</v>
      </c>
      <c r="Z131" s="5">
        <f ca="1" t="shared" si="86"/>
        <v>0</v>
      </c>
      <c r="AA131" s="1">
        <f ca="1" t="shared" si="77"/>
        <v>0</v>
      </c>
      <c r="AB131" s="1">
        <f ca="1" t="shared" si="78"/>
        <v>0</v>
      </c>
      <c r="AC131" s="5">
        <f ca="1" t="shared" si="87"/>
        <v>0</v>
      </c>
      <c r="AD131" s="1">
        <f ca="1" t="shared" si="66"/>
        <v>48</v>
      </c>
      <c r="AE131" s="1">
        <f ca="1" t="shared" si="67"/>
        <v>4.8</v>
      </c>
      <c r="AF131" s="5">
        <f ca="1" t="shared" si="88"/>
        <v>24</v>
      </c>
    </row>
    <row r="132" spans="1:32">
      <c r="A132" s="7">
        <v>0.7</v>
      </c>
      <c r="B132" s="1">
        <f t="shared" si="79"/>
        <v>0.1</v>
      </c>
      <c r="C132" s="1">
        <f ca="1" t="shared" si="60"/>
        <v>103</v>
      </c>
      <c r="D132" s="1">
        <f ca="1" t="shared" si="61"/>
        <v>725760</v>
      </c>
      <c r="E132" s="1">
        <f ca="1" t="shared" si="68"/>
        <v>72576</v>
      </c>
      <c r="F132" s="5">
        <f ca="1" t="shared" si="80"/>
        <v>376704</v>
      </c>
      <c r="G132" s="1">
        <f ca="1" t="shared" si="62"/>
        <v>480</v>
      </c>
      <c r="H132" s="1">
        <f ca="1" t="shared" si="69"/>
        <v>48</v>
      </c>
      <c r="I132" s="5">
        <f ca="1" t="shared" si="81"/>
        <v>240</v>
      </c>
      <c r="J132" s="1">
        <f ca="1" t="shared" si="63"/>
        <v>0.1116</v>
      </c>
      <c r="K132" s="1">
        <f ca="1" t="shared" si="70"/>
        <v>0.01116</v>
      </c>
      <c r="L132" s="5">
        <f ca="1" t="shared" si="82"/>
        <v>0.04464</v>
      </c>
      <c r="M132" s="5">
        <f ca="1">L132*控制台!$E$4819</f>
        <v>0.035712</v>
      </c>
      <c r="N132" s="5">
        <f ca="1">L132*控制台!$E$4820</f>
        <v>0.816912</v>
      </c>
      <c r="O132" s="1">
        <f ca="1" t="shared" si="64"/>
        <v>0</v>
      </c>
      <c r="P132" s="1">
        <f ca="1" t="shared" si="65"/>
        <v>0</v>
      </c>
      <c r="Q132" s="5">
        <f ca="1" t="shared" si="83"/>
        <v>0</v>
      </c>
      <c r="R132" s="1">
        <f ca="1" t="shared" si="71"/>
        <v>192</v>
      </c>
      <c r="S132" s="1">
        <f ca="1" t="shared" si="72"/>
        <v>19.2</v>
      </c>
      <c r="T132" s="5">
        <f ca="1" t="shared" si="84"/>
        <v>86.4</v>
      </c>
      <c r="U132" s="1">
        <f ca="1" t="shared" si="73"/>
        <v>0</v>
      </c>
      <c r="V132" s="1">
        <f ca="1" t="shared" si="74"/>
        <v>0</v>
      </c>
      <c r="W132" s="5">
        <f ca="1" t="shared" si="85"/>
        <v>0</v>
      </c>
      <c r="X132" s="1">
        <f ca="1" t="shared" si="75"/>
        <v>0</v>
      </c>
      <c r="Y132" s="1">
        <f ca="1" t="shared" si="76"/>
        <v>0</v>
      </c>
      <c r="Z132" s="5">
        <f ca="1" t="shared" si="86"/>
        <v>0</v>
      </c>
      <c r="AA132" s="1">
        <f ca="1" t="shared" si="77"/>
        <v>0</v>
      </c>
      <c r="AB132" s="1">
        <f ca="1" t="shared" si="78"/>
        <v>0</v>
      </c>
      <c r="AC132" s="5">
        <f ca="1" t="shared" si="87"/>
        <v>0</v>
      </c>
      <c r="AD132" s="1">
        <f ca="1" t="shared" si="66"/>
        <v>48</v>
      </c>
      <c r="AE132" s="1">
        <f ca="1" t="shared" si="67"/>
        <v>4.8</v>
      </c>
      <c r="AF132" s="5">
        <f ca="1" t="shared" si="88"/>
        <v>28.8</v>
      </c>
    </row>
    <row r="133" spans="1:32">
      <c r="A133" s="7">
        <v>0.8</v>
      </c>
      <c r="B133" s="1">
        <f t="shared" si="79"/>
        <v>0.1</v>
      </c>
      <c r="C133" s="1">
        <f ca="1" t="shared" si="60"/>
        <v>104</v>
      </c>
      <c r="D133" s="1">
        <f ca="1" t="shared" si="61"/>
        <v>829440</v>
      </c>
      <c r="E133" s="1">
        <f ca="1" t="shared" si="68"/>
        <v>82944</v>
      </c>
      <c r="F133" s="5">
        <f ca="1" t="shared" si="80"/>
        <v>459648</v>
      </c>
      <c r="G133" s="1">
        <f ca="1" t="shared" si="62"/>
        <v>528</v>
      </c>
      <c r="H133" s="1">
        <f ca="1" t="shared" si="69"/>
        <v>52.8</v>
      </c>
      <c r="I133" s="5">
        <f ca="1" t="shared" si="81"/>
        <v>292.8</v>
      </c>
      <c r="J133" s="1">
        <f ca="1" t="shared" si="63"/>
        <v>0.15</v>
      </c>
      <c r="K133" s="1">
        <f ca="1" t="shared" si="70"/>
        <v>0.015</v>
      </c>
      <c r="L133" s="5">
        <f ca="1" t="shared" si="82"/>
        <v>0.05964</v>
      </c>
      <c r="M133" s="5">
        <f ca="1">L133*控制台!$E$4819</f>
        <v>0.047712</v>
      </c>
      <c r="N133" s="5">
        <f ca="1">L133*控制台!$E$4820</f>
        <v>1.091412</v>
      </c>
      <c r="O133" s="1">
        <f ca="1" t="shared" si="64"/>
        <v>0</v>
      </c>
      <c r="P133" s="1">
        <f ca="1" t="shared" si="65"/>
        <v>0</v>
      </c>
      <c r="Q133" s="5">
        <f ca="1" t="shared" si="83"/>
        <v>0</v>
      </c>
      <c r="R133" s="1">
        <f ca="1" t="shared" si="71"/>
        <v>240</v>
      </c>
      <c r="S133" s="1">
        <f ca="1" t="shared" si="72"/>
        <v>24</v>
      </c>
      <c r="T133" s="5">
        <f ca="1" t="shared" si="84"/>
        <v>110.4</v>
      </c>
      <c r="U133" s="1">
        <f ca="1" t="shared" si="73"/>
        <v>0</v>
      </c>
      <c r="V133" s="1">
        <f ca="1" t="shared" si="74"/>
        <v>0</v>
      </c>
      <c r="W133" s="5">
        <f ca="1" t="shared" si="85"/>
        <v>0</v>
      </c>
      <c r="X133" s="1">
        <f ca="1" t="shared" si="75"/>
        <v>0</v>
      </c>
      <c r="Y133" s="1">
        <f ca="1" t="shared" si="76"/>
        <v>0</v>
      </c>
      <c r="Z133" s="5">
        <f ca="1" t="shared" si="86"/>
        <v>0</v>
      </c>
      <c r="AA133" s="1">
        <f ca="1" t="shared" si="77"/>
        <v>0</v>
      </c>
      <c r="AB133" s="1">
        <f ca="1" t="shared" si="78"/>
        <v>0</v>
      </c>
      <c r="AC133" s="5">
        <f ca="1" t="shared" si="87"/>
        <v>0</v>
      </c>
      <c r="AD133" s="1">
        <f ca="1" t="shared" si="66"/>
        <v>48</v>
      </c>
      <c r="AE133" s="1">
        <f ca="1" t="shared" si="67"/>
        <v>4.8</v>
      </c>
      <c r="AF133" s="5">
        <f ca="1" t="shared" si="88"/>
        <v>33.6</v>
      </c>
    </row>
    <row r="134" spans="1:32">
      <c r="A134" s="7">
        <v>0.9</v>
      </c>
      <c r="B134" s="1">
        <f t="shared" si="79"/>
        <v>0.1</v>
      </c>
      <c r="C134" s="1">
        <f ca="1" t="shared" si="60"/>
        <v>104</v>
      </c>
      <c r="D134" s="1">
        <f ca="1" t="shared" si="61"/>
        <v>829440</v>
      </c>
      <c r="E134" s="1">
        <f ca="1" t="shared" si="68"/>
        <v>82944</v>
      </c>
      <c r="F134" s="5">
        <f ca="1" t="shared" si="80"/>
        <v>542592</v>
      </c>
      <c r="G134" s="1">
        <f ca="1" t="shared" si="62"/>
        <v>528</v>
      </c>
      <c r="H134" s="1">
        <f ca="1" t="shared" si="69"/>
        <v>52.8</v>
      </c>
      <c r="I134" s="5">
        <f ca="1" t="shared" si="81"/>
        <v>345.6</v>
      </c>
      <c r="J134" s="1">
        <f ca="1" t="shared" si="63"/>
        <v>0.15</v>
      </c>
      <c r="K134" s="1">
        <f ca="1" t="shared" si="70"/>
        <v>0.015</v>
      </c>
      <c r="L134" s="5">
        <f ca="1" t="shared" si="82"/>
        <v>0.07464</v>
      </c>
      <c r="M134" s="5">
        <f ca="1">L134*控制台!$E$4819</f>
        <v>0.059712</v>
      </c>
      <c r="N134" s="5">
        <f ca="1">L134*控制台!$E$4820</f>
        <v>1.365912</v>
      </c>
      <c r="O134" s="1">
        <f ca="1" t="shared" si="64"/>
        <v>0</v>
      </c>
      <c r="P134" s="1">
        <f ca="1" t="shared" si="65"/>
        <v>0</v>
      </c>
      <c r="Q134" s="5">
        <f ca="1" t="shared" si="83"/>
        <v>0</v>
      </c>
      <c r="R134" s="1">
        <f ca="1" t="shared" si="71"/>
        <v>240</v>
      </c>
      <c r="S134" s="1">
        <f ca="1" t="shared" si="72"/>
        <v>24</v>
      </c>
      <c r="T134" s="5">
        <f ca="1" t="shared" si="84"/>
        <v>134.4</v>
      </c>
      <c r="U134" s="1">
        <f ca="1" t="shared" si="73"/>
        <v>0</v>
      </c>
      <c r="V134" s="1">
        <f ca="1" t="shared" si="74"/>
        <v>0</v>
      </c>
      <c r="W134" s="5">
        <f ca="1" t="shared" si="85"/>
        <v>0</v>
      </c>
      <c r="X134" s="1">
        <f ca="1" t="shared" si="75"/>
        <v>0</v>
      </c>
      <c r="Y134" s="1">
        <f ca="1" t="shared" si="76"/>
        <v>0</v>
      </c>
      <c r="Z134" s="5">
        <f ca="1" t="shared" si="86"/>
        <v>0</v>
      </c>
      <c r="AA134" s="1">
        <f ca="1" t="shared" si="77"/>
        <v>0</v>
      </c>
      <c r="AB134" s="1">
        <f ca="1" t="shared" si="78"/>
        <v>0</v>
      </c>
      <c r="AC134" s="5">
        <f ca="1" t="shared" si="87"/>
        <v>0</v>
      </c>
      <c r="AD134" s="1">
        <f ca="1" t="shared" si="66"/>
        <v>48</v>
      </c>
      <c r="AE134" s="1">
        <f ca="1" t="shared" si="67"/>
        <v>4.8</v>
      </c>
      <c r="AF134" s="5">
        <f ca="1" t="shared" si="88"/>
        <v>38.4</v>
      </c>
    </row>
    <row r="135" spans="1:32">
      <c r="A135" s="7">
        <v>1</v>
      </c>
      <c r="B135" s="1">
        <f t="shared" si="79"/>
        <v>0.1</v>
      </c>
      <c r="C135" s="1">
        <f ca="1" t="shared" si="60"/>
        <v>105</v>
      </c>
      <c r="D135" s="1">
        <f ca="1" t="shared" si="61"/>
        <v>924480</v>
      </c>
      <c r="E135" s="1">
        <f ca="1" t="shared" si="68"/>
        <v>92448</v>
      </c>
      <c r="F135" s="5">
        <f ca="1" t="shared" si="80"/>
        <v>635040</v>
      </c>
      <c r="G135" s="1">
        <f ca="1" t="shared" si="62"/>
        <v>576</v>
      </c>
      <c r="H135" s="1">
        <f ca="1" t="shared" si="69"/>
        <v>57.6</v>
      </c>
      <c r="I135" s="5">
        <f ca="1" t="shared" si="81"/>
        <v>403.2</v>
      </c>
      <c r="J135" s="1">
        <f ca="1" t="shared" si="63"/>
        <v>0.1872</v>
      </c>
      <c r="K135" s="1">
        <f ca="1" t="shared" si="70"/>
        <v>0.01872</v>
      </c>
      <c r="L135" s="5">
        <f ca="1" t="shared" si="82"/>
        <v>0.09336</v>
      </c>
      <c r="M135" s="5">
        <f ca="1">L135*控制台!$E$4819</f>
        <v>0.074688</v>
      </c>
      <c r="N135" s="5">
        <f ca="1">L135*控制台!$E$4820</f>
        <v>1.708488</v>
      </c>
      <c r="O135" s="1">
        <f ca="1" t="shared" si="64"/>
        <v>0</v>
      </c>
      <c r="P135" s="1">
        <f ca="1" t="shared" si="65"/>
        <v>0</v>
      </c>
      <c r="Q135" s="5">
        <f ca="1" t="shared" si="83"/>
        <v>0</v>
      </c>
      <c r="R135" s="1">
        <f ca="1" t="shared" si="71"/>
        <v>288</v>
      </c>
      <c r="S135" s="1">
        <f ca="1" t="shared" si="72"/>
        <v>28.8</v>
      </c>
      <c r="T135" s="5">
        <f ca="1" t="shared" si="84"/>
        <v>163.2</v>
      </c>
      <c r="U135" s="1">
        <f ca="1" t="shared" si="73"/>
        <v>0</v>
      </c>
      <c r="V135" s="1">
        <f ca="1" t="shared" si="74"/>
        <v>0</v>
      </c>
      <c r="W135" s="5">
        <f ca="1" t="shared" si="85"/>
        <v>0</v>
      </c>
      <c r="X135" s="1">
        <f ca="1" t="shared" si="75"/>
        <v>0</v>
      </c>
      <c r="Y135" s="1">
        <f ca="1" t="shared" si="76"/>
        <v>0</v>
      </c>
      <c r="Z135" s="5">
        <f ca="1" t="shared" si="86"/>
        <v>0</v>
      </c>
      <c r="AA135" s="1">
        <f ca="1" t="shared" si="77"/>
        <v>0</v>
      </c>
      <c r="AB135" s="1">
        <f ca="1" t="shared" si="78"/>
        <v>0</v>
      </c>
      <c r="AC135" s="5">
        <f ca="1" t="shared" si="87"/>
        <v>0</v>
      </c>
      <c r="AD135" s="1">
        <f ca="1" t="shared" si="66"/>
        <v>48</v>
      </c>
      <c r="AE135" s="1">
        <f ca="1" t="shared" si="67"/>
        <v>4.8</v>
      </c>
      <c r="AF135" s="5">
        <f ca="1" t="shared" si="88"/>
        <v>43.2</v>
      </c>
    </row>
    <row r="136" spans="1:32">
      <c r="A136" s="9">
        <v>1.5</v>
      </c>
      <c r="B136" s="1">
        <f t="shared" si="79"/>
        <v>0.5</v>
      </c>
      <c r="C136" s="1">
        <f ca="1" t="shared" si="60"/>
        <v>201</v>
      </c>
      <c r="D136" s="1">
        <f ca="1" t="shared" si="61"/>
        <v>976320</v>
      </c>
      <c r="E136" s="1">
        <f ca="1" t="shared" si="68"/>
        <v>488160</v>
      </c>
      <c r="F136" s="5">
        <f ca="1" t="shared" si="80"/>
        <v>1123200</v>
      </c>
      <c r="G136" s="1">
        <f ca="1" t="shared" si="62"/>
        <v>624</v>
      </c>
      <c r="H136" s="1">
        <f ca="1" t="shared" si="69"/>
        <v>312</v>
      </c>
      <c r="I136" s="5">
        <f ca="1" t="shared" si="81"/>
        <v>715.2</v>
      </c>
      <c r="J136" s="1">
        <f ca="1" t="shared" si="63"/>
        <v>0.2052</v>
      </c>
      <c r="K136" s="1">
        <f ca="1" t="shared" si="70"/>
        <v>0.1026</v>
      </c>
      <c r="L136" s="5">
        <f ca="1" t="shared" si="82"/>
        <v>0.19596</v>
      </c>
      <c r="M136" s="5">
        <f ca="1">L136*控制台!$E$4819</f>
        <v>0.156768</v>
      </c>
      <c r="N136" s="5">
        <f ca="1">L136*控制台!$E$4820</f>
        <v>3.586068</v>
      </c>
      <c r="O136" s="1">
        <f ca="1" t="shared" si="64"/>
        <v>15</v>
      </c>
      <c r="P136" s="1">
        <f ca="1" t="shared" si="65"/>
        <v>7.5</v>
      </c>
      <c r="Q136" s="5">
        <f ca="1" t="shared" si="83"/>
        <v>7.5</v>
      </c>
      <c r="R136" s="1">
        <f ca="1" t="shared" si="71"/>
        <v>288</v>
      </c>
      <c r="S136" s="1">
        <f ca="1" t="shared" si="72"/>
        <v>144</v>
      </c>
      <c r="T136" s="5">
        <f ca="1" t="shared" si="84"/>
        <v>307.2</v>
      </c>
      <c r="U136" s="1">
        <f ca="1" t="shared" si="73"/>
        <v>34560</v>
      </c>
      <c r="V136" s="1">
        <f ca="1" t="shared" si="74"/>
        <v>17280</v>
      </c>
      <c r="W136" s="5">
        <f ca="1" t="shared" si="85"/>
        <v>17280</v>
      </c>
      <c r="X136" s="1">
        <f ca="1" t="shared" si="75"/>
        <v>0</v>
      </c>
      <c r="Y136" s="1">
        <f ca="1" t="shared" si="76"/>
        <v>0</v>
      </c>
      <c r="Z136" s="5">
        <f ca="1" t="shared" si="86"/>
        <v>0</v>
      </c>
      <c r="AA136" s="1">
        <f ca="1" t="shared" si="77"/>
        <v>0</v>
      </c>
      <c r="AB136" s="1">
        <f ca="1" t="shared" si="78"/>
        <v>0</v>
      </c>
      <c r="AC136" s="5">
        <f ca="1" t="shared" si="87"/>
        <v>0</v>
      </c>
      <c r="AD136" s="1">
        <f ca="1" t="shared" si="66"/>
        <v>48</v>
      </c>
      <c r="AE136" s="1">
        <f ca="1" t="shared" si="67"/>
        <v>24</v>
      </c>
      <c r="AF136" s="5">
        <f ca="1" t="shared" si="88"/>
        <v>67.2</v>
      </c>
    </row>
    <row r="137" spans="1:32">
      <c r="A137" s="9">
        <v>2</v>
      </c>
      <c r="B137" s="1">
        <f t="shared" si="79"/>
        <v>0.5</v>
      </c>
      <c r="C137" s="1">
        <f ca="1" t="shared" si="60"/>
        <v>202</v>
      </c>
      <c r="D137" s="1">
        <f ca="1" t="shared" si="61"/>
        <v>1028160</v>
      </c>
      <c r="E137" s="1">
        <f ca="1" t="shared" si="68"/>
        <v>514080</v>
      </c>
      <c r="F137" s="5">
        <f ca="1" t="shared" si="80"/>
        <v>1637280</v>
      </c>
      <c r="G137" s="1">
        <f ca="1" t="shared" si="62"/>
        <v>624</v>
      </c>
      <c r="H137" s="1">
        <f ca="1" t="shared" si="69"/>
        <v>312</v>
      </c>
      <c r="I137" s="5">
        <f ca="1" t="shared" si="81"/>
        <v>1027.2</v>
      </c>
      <c r="J137" s="1">
        <f ca="1" t="shared" si="63"/>
        <v>0.2244</v>
      </c>
      <c r="K137" s="1">
        <f ca="1" t="shared" si="70"/>
        <v>0.1122</v>
      </c>
      <c r="L137" s="5">
        <f ca="1" t="shared" si="82"/>
        <v>0.30816</v>
      </c>
      <c r="M137" s="5">
        <f ca="1">L137*控制台!$E$4819</f>
        <v>0.246528</v>
      </c>
      <c r="N137" s="5">
        <f ca="1">L137*控制台!$E$4820</f>
        <v>5.639328</v>
      </c>
      <c r="O137" s="1">
        <f ca="1" t="shared" si="64"/>
        <v>30</v>
      </c>
      <c r="P137" s="1">
        <f ca="1" t="shared" si="65"/>
        <v>15</v>
      </c>
      <c r="Q137" s="5">
        <f ca="1" t="shared" si="83"/>
        <v>22.5</v>
      </c>
      <c r="R137" s="1">
        <f ca="1" t="shared" si="71"/>
        <v>336</v>
      </c>
      <c r="S137" s="1">
        <f ca="1" t="shared" si="72"/>
        <v>168</v>
      </c>
      <c r="T137" s="5">
        <f ca="1" t="shared" si="84"/>
        <v>475.2</v>
      </c>
      <c r="U137" s="1">
        <f ca="1" t="shared" si="73"/>
        <v>112320</v>
      </c>
      <c r="V137" s="1">
        <f ca="1" t="shared" si="74"/>
        <v>56160</v>
      </c>
      <c r="W137" s="5">
        <f ca="1" t="shared" si="85"/>
        <v>73440</v>
      </c>
      <c r="X137" s="1">
        <f ca="1" t="shared" si="75"/>
        <v>48</v>
      </c>
      <c r="Y137" s="1">
        <f ca="1" t="shared" si="76"/>
        <v>24</v>
      </c>
      <c r="Z137" s="5">
        <f ca="1" t="shared" si="86"/>
        <v>24</v>
      </c>
      <c r="AA137" s="1">
        <f ca="1" t="shared" si="77"/>
        <v>0</v>
      </c>
      <c r="AB137" s="1">
        <f ca="1" t="shared" si="78"/>
        <v>0</v>
      </c>
      <c r="AC137" s="5">
        <f ca="1" t="shared" si="87"/>
        <v>0</v>
      </c>
      <c r="AD137" s="1">
        <f ca="1" t="shared" si="66"/>
        <v>96</v>
      </c>
      <c r="AE137" s="1">
        <f ca="1" t="shared" si="67"/>
        <v>48</v>
      </c>
      <c r="AF137" s="5">
        <f ca="1" t="shared" si="88"/>
        <v>115.2</v>
      </c>
    </row>
    <row r="138" spans="1:32">
      <c r="A138" s="9">
        <v>2.5</v>
      </c>
      <c r="B138" s="1">
        <f t="shared" si="79"/>
        <v>0.5</v>
      </c>
      <c r="C138" s="1">
        <f ca="1" t="shared" si="60"/>
        <v>203</v>
      </c>
      <c r="D138" s="1">
        <f ca="1" t="shared" si="61"/>
        <v>1080000</v>
      </c>
      <c r="E138" s="1">
        <f ca="1" t="shared" si="68"/>
        <v>540000</v>
      </c>
      <c r="F138" s="5">
        <f ca="1" t="shared" si="80"/>
        <v>2177280</v>
      </c>
      <c r="G138" s="1">
        <f ca="1" t="shared" si="62"/>
        <v>672</v>
      </c>
      <c r="H138" s="1">
        <f ca="1" t="shared" si="69"/>
        <v>336</v>
      </c>
      <c r="I138" s="5">
        <f ca="1" t="shared" si="81"/>
        <v>1363.2</v>
      </c>
      <c r="J138" s="1">
        <f ca="1" t="shared" si="63"/>
        <v>0.2436</v>
      </c>
      <c r="K138" s="1">
        <f ca="1" t="shared" si="70"/>
        <v>0.1218</v>
      </c>
      <c r="L138" s="5">
        <f ca="1" t="shared" si="82"/>
        <v>0.42996</v>
      </c>
      <c r="M138" s="5">
        <f ca="1">L138*控制台!$E$4819</f>
        <v>0.343968</v>
      </c>
      <c r="N138" s="5">
        <f ca="1">L138*控制台!$E$4820</f>
        <v>7.868268</v>
      </c>
      <c r="O138" s="1">
        <f ca="1" t="shared" si="64"/>
        <v>45</v>
      </c>
      <c r="P138" s="1">
        <f ca="1" t="shared" si="65"/>
        <v>22.5</v>
      </c>
      <c r="Q138" s="5">
        <f ca="1" t="shared" si="83"/>
        <v>45</v>
      </c>
      <c r="R138" s="1">
        <f ca="1" t="shared" si="71"/>
        <v>336</v>
      </c>
      <c r="S138" s="1">
        <f ca="1" t="shared" si="72"/>
        <v>168</v>
      </c>
      <c r="T138" s="5">
        <f ca="1" t="shared" si="84"/>
        <v>643.2</v>
      </c>
      <c r="U138" s="1">
        <f ca="1" t="shared" si="73"/>
        <v>190080</v>
      </c>
      <c r="V138" s="1">
        <f ca="1" t="shared" si="74"/>
        <v>95040</v>
      </c>
      <c r="W138" s="5">
        <f ca="1" t="shared" si="85"/>
        <v>168480</v>
      </c>
      <c r="X138" s="1">
        <f ca="1" t="shared" si="75"/>
        <v>96</v>
      </c>
      <c r="Y138" s="1">
        <f ca="1" t="shared" si="76"/>
        <v>48</v>
      </c>
      <c r="Z138" s="5">
        <f ca="1" t="shared" si="86"/>
        <v>72</v>
      </c>
      <c r="AA138" s="1">
        <f ca="1" t="shared" si="77"/>
        <v>0</v>
      </c>
      <c r="AB138" s="1">
        <f ca="1" t="shared" si="78"/>
        <v>0</v>
      </c>
      <c r="AC138" s="5">
        <f ca="1" t="shared" si="87"/>
        <v>0</v>
      </c>
      <c r="AD138" s="1">
        <f ca="1" t="shared" si="66"/>
        <v>96</v>
      </c>
      <c r="AE138" s="1">
        <f ca="1" t="shared" si="67"/>
        <v>48</v>
      </c>
      <c r="AF138" s="5">
        <f ca="1" t="shared" si="88"/>
        <v>163.2</v>
      </c>
    </row>
    <row r="139" spans="1:32">
      <c r="A139" s="9">
        <v>3</v>
      </c>
      <c r="B139" s="1">
        <f t="shared" si="79"/>
        <v>0.5</v>
      </c>
      <c r="C139" s="1">
        <f ca="1" t="shared" si="60"/>
        <v>205</v>
      </c>
      <c r="D139" s="1">
        <f ca="1" t="shared" si="61"/>
        <v>1175040</v>
      </c>
      <c r="E139" s="1">
        <f ca="1" t="shared" si="68"/>
        <v>587520</v>
      </c>
      <c r="F139" s="5">
        <f ca="1" t="shared" si="80"/>
        <v>2764800</v>
      </c>
      <c r="G139" s="1">
        <f ca="1" t="shared" si="62"/>
        <v>720</v>
      </c>
      <c r="H139" s="1">
        <f ca="1" t="shared" si="69"/>
        <v>360</v>
      </c>
      <c r="I139" s="5">
        <f ca="1" t="shared" si="81"/>
        <v>1723.2</v>
      </c>
      <c r="J139" s="1">
        <f ca="1" t="shared" si="63"/>
        <v>0.2808</v>
      </c>
      <c r="K139" s="1">
        <f ca="1" t="shared" si="70"/>
        <v>0.1404</v>
      </c>
      <c r="L139" s="5">
        <f ca="1" t="shared" si="82"/>
        <v>0.57036</v>
      </c>
      <c r="M139" s="5">
        <f ca="1">L139*控制台!$E$4819</f>
        <v>0.456288</v>
      </c>
      <c r="N139" s="5">
        <f ca="1">L139*控制台!$E$4820</f>
        <v>10.437588</v>
      </c>
      <c r="O139" s="1">
        <f ca="1" t="shared" si="64"/>
        <v>75</v>
      </c>
      <c r="P139" s="1">
        <f ca="1" t="shared" si="65"/>
        <v>37.5</v>
      </c>
      <c r="Q139" s="5">
        <f ca="1" t="shared" si="83"/>
        <v>82.5</v>
      </c>
      <c r="R139" s="1">
        <f ca="1" t="shared" si="71"/>
        <v>384</v>
      </c>
      <c r="S139" s="1">
        <f ca="1" t="shared" si="72"/>
        <v>192</v>
      </c>
      <c r="T139" s="5">
        <f ca="1" t="shared" si="84"/>
        <v>835.2</v>
      </c>
      <c r="U139" s="1">
        <f ca="1" t="shared" si="73"/>
        <v>336960</v>
      </c>
      <c r="V139" s="1">
        <f ca="1" t="shared" si="74"/>
        <v>168480</v>
      </c>
      <c r="W139" s="5">
        <f ca="1" t="shared" si="85"/>
        <v>336960</v>
      </c>
      <c r="X139" s="1">
        <f ca="1" t="shared" si="75"/>
        <v>192</v>
      </c>
      <c r="Y139" s="1">
        <f ca="1" t="shared" si="76"/>
        <v>96</v>
      </c>
      <c r="Z139" s="5">
        <f ca="1" t="shared" si="86"/>
        <v>168</v>
      </c>
      <c r="AA139" s="1">
        <f ca="1" t="shared" si="77"/>
        <v>0</v>
      </c>
      <c r="AB139" s="1">
        <f ca="1" t="shared" si="78"/>
        <v>0</v>
      </c>
      <c r="AC139" s="5">
        <f ca="1" t="shared" si="87"/>
        <v>0</v>
      </c>
      <c r="AD139" s="1">
        <f ca="1" t="shared" si="66"/>
        <v>96</v>
      </c>
      <c r="AE139" s="1">
        <f ca="1" t="shared" si="67"/>
        <v>48</v>
      </c>
      <c r="AF139" s="5">
        <f ca="1" t="shared" si="88"/>
        <v>211.2</v>
      </c>
    </row>
    <row r="140" spans="1:32">
      <c r="A140" s="9">
        <v>3.5</v>
      </c>
      <c r="B140" s="1">
        <f t="shared" si="79"/>
        <v>0.5</v>
      </c>
      <c r="C140" s="1">
        <f ca="1" t="shared" si="60"/>
        <v>206</v>
      </c>
      <c r="D140" s="1">
        <f ca="1" t="shared" si="61"/>
        <v>1226880</v>
      </c>
      <c r="E140" s="1">
        <f ca="1" t="shared" si="68"/>
        <v>613440</v>
      </c>
      <c r="F140" s="5">
        <f ca="1" t="shared" si="80"/>
        <v>3378240</v>
      </c>
      <c r="G140" s="1">
        <f ca="1" t="shared" si="62"/>
        <v>768</v>
      </c>
      <c r="H140" s="1">
        <f ca="1" t="shared" si="69"/>
        <v>384</v>
      </c>
      <c r="I140" s="5">
        <f ca="1" t="shared" si="81"/>
        <v>2107.2</v>
      </c>
      <c r="J140" s="1">
        <f ca="1" t="shared" si="63"/>
        <v>0.3</v>
      </c>
      <c r="K140" s="1">
        <f ca="1" t="shared" si="70"/>
        <v>0.15</v>
      </c>
      <c r="L140" s="5">
        <f ca="1" t="shared" si="82"/>
        <v>0.72036</v>
      </c>
      <c r="M140" s="5">
        <f ca="1">L140*控制台!$E$4819</f>
        <v>0.576288</v>
      </c>
      <c r="N140" s="5">
        <f ca="1">L140*控制台!$E$4820</f>
        <v>13.182588</v>
      </c>
      <c r="O140" s="1">
        <f ca="1" t="shared" si="64"/>
        <v>90</v>
      </c>
      <c r="P140" s="1">
        <f ca="1" t="shared" si="65"/>
        <v>45</v>
      </c>
      <c r="Q140" s="5">
        <f ca="1" t="shared" si="83"/>
        <v>127.5</v>
      </c>
      <c r="R140" s="1">
        <f ca="1" t="shared" si="71"/>
        <v>384</v>
      </c>
      <c r="S140" s="1">
        <f ca="1" t="shared" si="72"/>
        <v>192</v>
      </c>
      <c r="T140" s="5">
        <f ca="1" t="shared" si="84"/>
        <v>1027.2</v>
      </c>
      <c r="U140" s="1">
        <f ca="1" t="shared" si="73"/>
        <v>414720</v>
      </c>
      <c r="V140" s="1">
        <f ca="1" t="shared" si="74"/>
        <v>207360</v>
      </c>
      <c r="W140" s="5">
        <f ca="1" t="shared" si="85"/>
        <v>544320</v>
      </c>
      <c r="X140" s="1">
        <f ca="1" t="shared" si="75"/>
        <v>240</v>
      </c>
      <c r="Y140" s="1">
        <f ca="1" t="shared" si="76"/>
        <v>120</v>
      </c>
      <c r="Z140" s="5">
        <f ca="1" t="shared" si="86"/>
        <v>288</v>
      </c>
      <c r="AA140" s="1">
        <f ca="1" t="shared" si="77"/>
        <v>0</v>
      </c>
      <c r="AB140" s="1">
        <f ca="1" t="shared" si="78"/>
        <v>0</v>
      </c>
      <c r="AC140" s="5">
        <f ca="1" t="shared" si="87"/>
        <v>0</v>
      </c>
      <c r="AD140" s="1">
        <f ca="1" t="shared" si="66"/>
        <v>96</v>
      </c>
      <c r="AE140" s="1">
        <f ca="1" t="shared" si="67"/>
        <v>48</v>
      </c>
      <c r="AF140" s="5">
        <f ca="1" t="shared" si="88"/>
        <v>259.2</v>
      </c>
    </row>
    <row r="141" spans="1:32">
      <c r="A141" s="9">
        <v>4</v>
      </c>
      <c r="B141" s="1">
        <f t="shared" si="79"/>
        <v>0.5</v>
      </c>
      <c r="C141" s="1">
        <f ca="1" t="shared" si="60"/>
        <v>207</v>
      </c>
      <c r="D141" s="1">
        <f ca="1" t="shared" si="61"/>
        <v>1278720</v>
      </c>
      <c r="E141" s="1">
        <f ca="1" t="shared" si="68"/>
        <v>639360</v>
      </c>
      <c r="F141" s="5">
        <f ca="1" t="shared" si="80"/>
        <v>4017600</v>
      </c>
      <c r="G141" s="1">
        <f ca="1" t="shared" si="62"/>
        <v>768</v>
      </c>
      <c r="H141" s="1">
        <f ca="1" t="shared" si="69"/>
        <v>384</v>
      </c>
      <c r="I141" s="5">
        <f ca="1" t="shared" si="81"/>
        <v>2491.2</v>
      </c>
      <c r="J141" s="1">
        <f ca="1" t="shared" si="63"/>
        <v>0.318</v>
      </c>
      <c r="K141" s="1">
        <f ca="1" t="shared" si="70"/>
        <v>0.159</v>
      </c>
      <c r="L141" s="5">
        <f ca="1" t="shared" si="82"/>
        <v>0.87936</v>
      </c>
      <c r="M141" s="5">
        <f ca="1">L141*控制台!$E$4819</f>
        <v>0.703488</v>
      </c>
      <c r="N141" s="5">
        <f ca="1">L141*控制台!$E$4820</f>
        <v>16.092288</v>
      </c>
      <c r="O141" s="1">
        <f ca="1" t="shared" si="64"/>
        <v>105</v>
      </c>
      <c r="P141" s="1">
        <f ca="1" t="shared" si="65"/>
        <v>52.5</v>
      </c>
      <c r="Q141" s="5">
        <f ca="1" t="shared" si="83"/>
        <v>180</v>
      </c>
      <c r="R141" s="1">
        <f ca="1" t="shared" si="71"/>
        <v>432</v>
      </c>
      <c r="S141" s="1">
        <f ca="1" t="shared" si="72"/>
        <v>216</v>
      </c>
      <c r="T141" s="5">
        <f ca="1" t="shared" si="84"/>
        <v>1243.2</v>
      </c>
      <c r="U141" s="1">
        <f ca="1" t="shared" si="73"/>
        <v>483840</v>
      </c>
      <c r="V141" s="1">
        <f ca="1" t="shared" si="74"/>
        <v>241920</v>
      </c>
      <c r="W141" s="5">
        <f ca="1" t="shared" si="85"/>
        <v>786240</v>
      </c>
      <c r="X141" s="1">
        <f ca="1" t="shared" si="75"/>
        <v>288</v>
      </c>
      <c r="Y141" s="1">
        <f ca="1" t="shared" si="76"/>
        <v>144</v>
      </c>
      <c r="Z141" s="5">
        <f ca="1" t="shared" si="86"/>
        <v>432</v>
      </c>
      <c r="AA141" s="1">
        <f ca="1" t="shared" si="77"/>
        <v>0</v>
      </c>
      <c r="AB141" s="1">
        <f ca="1" t="shared" si="78"/>
        <v>0</v>
      </c>
      <c r="AC141" s="5">
        <f ca="1" t="shared" si="87"/>
        <v>0</v>
      </c>
      <c r="AD141" s="1">
        <f ca="1" t="shared" si="66"/>
        <v>96</v>
      </c>
      <c r="AE141" s="1">
        <f ca="1" t="shared" si="67"/>
        <v>48</v>
      </c>
      <c r="AF141" s="5">
        <f ca="1" t="shared" si="88"/>
        <v>307.2</v>
      </c>
    </row>
    <row r="142" spans="1:32">
      <c r="A142" s="9">
        <v>4.5</v>
      </c>
      <c r="B142" s="1">
        <f t="shared" si="79"/>
        <v>0.5</v>
      </c>
      <c r="C142" s="1">
        <f ca="1" t="shared" si="60"/>
        <v>208</v>
      </c>
      <c r="D142" s="1">
        <f ca="1" t="shared" si="61"/>
        <v>1330560</v>
      </c>
      <c r="E142" s="1">
        <f ca="1" t="shared" si="68"/>
        <v>665280</v>
      </c>
      <c r="F142" s="5">
        <f ca="1" t="shared" si="80"/>
        <v>4682880</v>
      </c>
      <c r="G142" s="1">
        <f ca="1" t="shared" si="62"/>
        <v>816</v>
      </c>
      <c r="H142" s="1">
        <f ca="1" t="shared" si="69"/>
        <v>408</v>
      </c>
      <c r="I142" s="5">
        <f ca="1" t="shared" si="81"/>
        <v>2899.2</v>
      </c>
      <c r="J142" s="1">
        <f ca="1" t="shared" si="63"/>
        <v>0.3372</v>
      </c>
      <c r="K142" s="1">
        <f ca="1" t="shared" si="70"/>
        <v>0.1686</v>
      </c>
      <c r="L142" s="5">
        <f ca="1" t="shared" si="82"/>
        <v>1.04796</v>
      </c>
      <c r="M142" s="5">
        <f ca="1">L142*控制台!$E$4819</f>
        <v>0.838368</v>
      </c>
      <c r="N142" s="5">
        <f ca="1">L142*控制台!$E$4820</f>
        <v>19.177668</v>
      </c>
      <c r="O142" s="1">
        <f ca="1" t="shared" si="64"/>
        <v>120</v>
      </c>
      <c r="P142" s="1">
        <f ca="1" t="shared" si="65"/>
        <v>60</v>
      </c>
      <c r="Q142" s="5">
        <f ca="1" t="shared" si="83"/>
        <v>240</v>
      </c>
      <c r="R142" s="1">
        <f ca="1" t="shared" si="71"/>
        <v>432</v>
      </c>
      <c r="S142" s="1">
        <f ca="1" t="shared" si="72"/>
        <v>216</v>
      </c>
      <c r="T142" s="5">
        <f ca="1" t="shared" si="84"/>
        <v>1459.2</v>
      </c>
      <c r="U142" s="1">
        <f ca="1" t="shared" si="73"/>
        <v>561600</v>
      </c>
      <c r="V142" s="1">
        <f ca="1" t="shared" si="74"/>
        <v>280800</v>
      </c>
      <c r="W142" s="5">
        <f ca="1" t="shared" si="85"/>
        <v>1067040</v>
      </c>
      <c r="X142" s="1">
        <f ca="1" t="shared" si="75"/>
        <v>336</v>
      </c>
      <c r="Y142" s="1">
        <f ca="1" t="shared" si="76"/>
        <v>168</v>
      </c>
      <c r="Z142" s="5">
        <f ca="1" t="shared" si="86"/>
        <v>600</v>
      </c>
      <c r="AA142" s="1">
        <f ca="1" t="shared" si="77"/>
        <v>0</v>
      </c>
      <c r="AB142" s="1">
        <f ca="1" t="shared" si="78"/>
        <v>0</v>
      </c>
      <c r="AC142" s="5">
        <f ca="1" t="shared" si="87"/>
        <v>0</v>
      </c>
      <c r="AD142" s="1">
        <f ca="1" t="shared" si="66"/>
        <v>144</v>
      </c>
      <c r="AE142" s="1">
        <f ca="1" t="shared" si="67"/>
        <v>72</v>
      </c>
      <c r="AF142" s="5">
        <f ca="1" t="shared" si="88"/>
        <v>379.2</v>
      </c>
    </row>
    <row r="143" spans="1:32">
      <c r="A143" s="9">
        <v>5</v>
      </c>
      <c r="B143" s="1">
        <f t="shared" si="79"/>
        <v>0.5</v>
      </c>
      <c r="C143" s="1">
        <f ca="1" t="shared" si="60"/>
        <v>210</v>
      </c>
      <c r="D143" s="1">
        <f ca="1" t="shared" si="61"/>
        <v>1425600</v>
      </c>
      <c r="E143" s="1">
        <f ca="1" t="shared" si="68"/>
        <v>712800</v>
      </c>
      <c r="F143" s="5">
        <f ca="1" t="shared" si="80"/>
        <v>5395680</v>
      </c>
      <c r="G143" s="1">
        <f ca="1" t="shared" si="62"/>
        <v>864</v>
      </c>
      <c r="H143" s="1">
        <f ca="1" t="shared" si="69"/>
        <v>432</v>
      </c>
      <c r="I143" s="5">
        <f ca="1" t="shared" si="81"/>
        <v>3331.2</v>
      </c>
      <c r="J143" s="1">
        <f ca="1" t="shared" si="63"/>
        <v>0.3744</v>
      </c>
      <c r="K143" s="1">
        <f ca="1" t="shared" si="70"/>
        <v>0.1872</v>
      </c>
      <c r="L143" s="5">
        <f ca="1" t="shared" si="82"/>
        <v>1.23516</v>
      </c>
      <c r="M143" s="5">
        <f ca="1">L143*控制台!$E$4819</f>
        <v>0.988128</v>
      </c>
      <c r="N143" s="5">
        <f ca="1">L143*控制台!$E$4820</f>
        <v>22.603428</v>
      </c>
      <c r="O143" s="1">
        <f ca="1" t="shared" si="64"/>
        <v>150</v>
      </c>
      <c r="P143" s="1">
        <f ca="1" t="shared" si="65"/>
        <v>75</v>
      </c>
      <c r="Q143" s="5">
        <f ca="1" t="shared" si="83"/>
        <v>315</v>
      </c>
      <c r="R143" s="1">
        <f ca="1" t="shared" si="71"/>
        <v>480</v>
      </c>
      <c r="S143" s="1">
        <f ca="1" t="shared" si="72"/>
        <v>240</v>
      </c>
      <c r="T143" s="5">
        <f ca="1" t="shared" si="84"/>
        <v>1699.2</v>
      </c>
      <c r="U143" s="1">
        <f ca="1" t="shared" si="73"/>
        <v>708480</v>
      </c>
      <c r="V143" s="1">
        <f ca="1" t="shared" si="74"/>
        <v>354240</v>
      </c>
      <c r="W143" s="5">
        <f ca="1" t="shared" si="85"/>
        <v>1421280</v>
      </c>
      <c r="X143" s="1">
        <f ca="1" t="shared" si="75"/>
        <v>432</v>
      </c>
      <c r="Y143" s="1">
        <f ca="1" t="shared" si="76"/>
        <v>216</v>
      </c>
      <c r="Z143" s="5">
        <f ca="1" t="shared" si="86"/>
        <v>816</v>
      </c>
      <c r="AA143" s="1">
        <f ca="1" t="shared" si="77"/>
        <v>0</v>
      </c>
      <c r="AB143" s="1">
        <f ca="1" t="shared" si="78"/>
        <v>0</v>
      </c>
      <c r="AC143" s="5">
        <f ca="1" t="shared" si="87"/>
        <v>0</v>
      </c>
      <c r="AD143" s="1">
        <f ca="1" t="shared" si="66"/>
        <v>144</v>
      </c>
      <c r="AE143" s="1">
        <f ca="1" t="shared" si="67"/>
        <v>72</v>
      </c>
      <c r="AF143" s="5">
        <f ca="1" t="shared" si="88"/>
        <v>451.2</v>
      </c>
    </row>
    <row r="144" spans="1:32">
      <c r="A144" s="9">
        <v>5.5</v>
      </c>
      <c r="B144" s="1">
        <f t="shared" si="79"/>
        <v>0.5</v>
      </c>
      <c r="C144" s="1">
        <f ca="1" t="shared" si="60"/>
        <v>210</v>
      </c>
      <c r="D144" s="1">
        <f ca="1" t="shared" si="61"/>
        <v>1425600</v>
      </c>
      <c r="E144" s="1">
        <f ca="1" t="shared" si="68"/>
        <v>712800</v>
      </c>
      <c r="F144" s="5">
        <f ca="1" t="shared" si="80"/>
        <v>6108480</v>
      </c>
      <c r="G144" s="1">
        <f ca="1" t="shared" si="62"/>
        <v>864</v>
      </c>
      <c r="H144" s="1">
        <f ca="1" t="shared" si="69"/>
        <v>432</v>
      </c>
      <c r="I144" s="5">
        <f ca="1" t="shared" si="81"/>
        <v>3763.2</v>
      </c>
      <c r="J144" s="1">
        <f ca="1" t="shared" si="63"/>
        <v>0.3744</v>
      </c>
      <c r="K144" s="1">
        <f ca="1" t="shared" si="70"/>
        <v>0.1872</v>
      </c>
      <c r="L144" s="5">
        <f ca="1" t="shared" si="82"/>
        <v>1.42236</v>
      </c>
      <c r="M144" s="5">
        <f ca="1">L144*控制台!$E$4819</f>
        <v>1.137888</v>
      </c>
      <c r="N144" s="5">
        <f ca="1">L144*控制台!$E$4820</f>
        <v>26.029188</v>
      </c>
      <c r="O144" s="1">
        <f ca="1" t="shared" si="64"/>
        <v>150</v>
      </c>
      <c r="P144" s="1">
        <f ca="1" t="shared" si="65"/>
        <v>75</v>
      </c>
      <c r="Q144" s="5">
        <f ca="1" t="shared" si="83"/>
        <v>390</v>
      </c>
      <c r="R144" s="1">
        <f ca="1" t="shared" si="71"/>
        <v>480</v>
      </c>
      <c r="S144" s="1">
        <f ca="1" t="shared" si="72"/>
        <v>240</v>
      </c>
      <c r="T144" s="5">
        <f ca="1" t="shared" si="84"/>
        <v>1939.2</v>
      </c>
      <c r="U144" s="1">
        <f ca="1" t="shared" si="73"/>
        <v>708480</v>
      </c>
      <c r="V144" s="1">
        <f ca="1" t="shared" si="74"/>
        <v>354240</v>
      </c>
      <c r="W144" s="5">
        <f ca="1" t="shared" si="85"/>
        <v>1775520</v>
      </c>
      <c r="X144" s="1">
        <f ca="1" t="shared" si="75"/>
        <v>432</v>
      </c>
      <c r="Y144" s="1">
        <f ca="1" t="shared" si="76"/>
        <v>216</v>
      </c>
      <c r="Z144" s="5">
        <f ca="1" t="shared" si="86"/>
        <v>1032</v>
      </c>
      <c r="AA144" s="1">
        <f ca="1" t="shared" si="77"/>
        <v>0</v>
      </c>
      <c r="AB144" s="1">
        <f ca="1" t="shared" si="78"/>
        <v>0</v>
      </c>
      <c r="AC144" s="5">
        <f ca="1" t="shared" si="87"/>
        <v>0</v>
      </c>
      <c r="AD144" s="1">
        <f ca="1" t="shared" si="66"/>
        <v>144</v>
      </c>
      <c r="AE144" s="1">
        <f ca="1" t="shared" si="67"/>
        <v>72</v>
      </c>
      <c r="AF144" s="5">
        <f ca="1" t="shared" si="88"/>
        <v>523.2</v>
      </c>
    </row>
    <row r="145" spans="1:32">
      <c r="A145" s="9">
        <v>6</v>
      </c>
      <c r="B145" s="1">
        <f t="shared" si="79"/>
        <v>0.5</v>
      </c>
      <c r="C145" s="1">
        <f ca="1" t="shared" si="60"/>
        <v>301</v>
      </c>
      <c r="D145" s="1">
        <f ca="1" t="shared" si="61"/>
        <v>1477440</v>
      </c>
      <c r="E145" s="1">
        <f ca="1" t="shared" si="68"/>
        <v>738720</v>
      </c>
      <c r="F145" s="5">
        <f ca="1" t="shared" si="80"/>
        <v>6847200</v>
      </c>
      <c r="G145" s="1">
        <f ca="1" t="shared" si="62"/>
        <v>912</v>
      </c>
      <c r="H145" s="1">
        <f ca="1" t="shared" si="69"/>
        <v>456</v>
      </c>
      <c r="I145" s="5">
        <f ca="1" t="shared" si="81"/>
        <v>4219.2</v>
      </c>
      <c r="J145" s="1">
        <f ca="1" t="shared" si="63"/>
        <v>0.3936</v>
      </c>
      <c r="K145" s="1">
        <f ca="1" t="shared" si="70"/>
        <v>0.1968</v>
      </c>
      <c r="L145" s="5">
        <f ca="1" t="shared" si="82"/>
        <v>1.61916</v>
      </c>
      <c r="M145" s="5">
        <f ca="1">L145*控制台!$E$4819</f>
        <v>1.295328</v>
      </c>
      <c r="N145" s="5">
        <f ca="1">L145*控制台!$E$4820</f>
        <v>29.630628</v>
      </c>
      <c r="O145" s="1">
        <f ca="1" t="shared" si="64"/>
        <v>165</v>
      </c>
      <c r="P145" s="1">
        <f ca="1" t="shared" si="65"/>
        <v>82.5</v>
      </c>
      <c r="Q145" s="5">
        <f ca="1" t="shared" si="83"/>
        <v>472.5</v>
      </c>
      <c r="R145" s="1">
        <f ca="1" t="shared" si="71"/>
        <v>528</v>
      </c>
      <c r="S145" s="1">
        <f ca="1" t="shared" si="72"/>
        <v>264</v>
      </c>
      <c r="T145" s="5">
        <f ca="1" t="shared" si="84"/>
        <v>2203.2</v>
      </c>
      <c r="U145" s="1">
        <f ca="1" t="shared" si="73"/>
        <v>734400</v>
      </c>
      <c r="V145" s="1">
        <f ca="1" t="shared" si="74"/>
        <v>367200</v>
      </c>
      <c r="W145" s="5">
        <f ca="1" t="shared" si="85"/>
        <v>2142720</v>
      </c>
      <c r="X145" s="1">
        <f ca="1" t="shared" si="75"/>
        <v>432</v>
      </c>
      <c r="Y145" s="1">
        <f ca="1" t="shared" si="76"/>
        <v>216</v>
      </c>
      <c r="Z145" s="5">
        <f ca="1" t="shared" si="86"/>
        <v>1248</v>
      </c>
      <c r="AA145" s="1">
        <f ca="1" t="shared" si="77"/>
        <v>13.3333333333332</v>
      </c>
      <c r="AB145" s="1">
        <f ca="1" t="shared" si="78"/>
        <v>6.66666666666661</v>
      </c>
      <c r="AC145" s="5">
        <f ca="1" t="shared" si="87"/>
        <v>6.66666666666661</v>
      </c>
      <c r="AD145" s="1">
        <f ca="1" t="shared" si="66"/>
        <v>144</v>
      </c>
      <c r="AE145" s="1">
        <f ca="1" t="shared" si="67"/>
        <v>72</v>
      </c>
      <c r="AF145" s="5">
        <f ca="1" t="shared" si="88"/>
        <v>595.2</v>
      </c>
    </row>
    <row r="146" spans="1:32">
      <c r="A146" s="9">
        <v>6.5</v>
      </c>
      <c r="B146" s="1">
        <f t="shared" si="79"/>
        <v>0.5</v>
      </c>
      <c r="C146" s="1">
        <f ca="1" t="shared" si="60"/>
        <v>301</v>
      </c>
      <c r="D146" s="1">
        <f ca="1" t="shared" si="61"/>
        <v>1477440</v>
      </c>
      <c r="E146" s="1">
        <f ca="1" t="shared" si="68"/>
        <v>738720</v>
      </c>
      <c r="F146" s="5">
        <f ca="1" t="shared" si="80"/>
        <v>7585920</v>
      </c>
      <c r="G146" s="1">
        <f ca="1" t="shared" si="62"/>
        <v>912</v>
      </c>
      <c r="H146" s="1">
        <f ca="1" t="shared" si="69"/>
        <v>456</v>
      </c>
      <c r="I146" s="5">
        <f ca="1" t="shared" si="81"/>
        <v>4675.2</v>
      </c>
      <c r="J146" s="1">
        <f ca="1" t="shared" si="63"/>
        <v>0.3936</v>
      </c>
      <c r="K146" s="1">
        <f ca="1" t="shared" si="70"/>
        <v>0.1968</v>
      </c>
      <c r="L146" s="5">
        <f ca="1" t="shared" si="82"/>
        <v>1.81596</v>
      </c>
      <c r="M146" s="5">
        <f ca="1">L146*控制台!$E$4819</f>
        <v>1.452768</v>
      </c>
      <c r="N146" s="5">
        <f ca="1">L146*控制台!$E$4820</f>
        <v>33.232068</v>
      </c>
      <c r="O146" s="1">
        <f ca="1" t="shared" si="64"/>
        <v>165</v>
      </c>
      <c r="P146" s="1">
        <f ca="1" t="shared" si="65"/>
        <v>82.5</v>
      </c>
      <c r="Q146" s="5">
        <f ca="1" t="shared" si="83"/>
        <v>555</v>
      </c>
      <c r="R146" s="1">
        <f ca="1" t="shared" si="71"/>
        <v>528</v>
      </c>
      <c r="S146" s="1">
        <f ca="1" t="shared" si="72"/>
        <v>264</v>
      </c>
      <c r="T146" s="5">
        <f ca="1" t="shared" si="84"/>
        <v>2467.2</v>
      </c>
      <c r="U146" s="1">
        <f ca="1" t="shared" si="73"/>
        <v>734400</v>
      </c>
      <c r="V146" s="1">
        <f ca="1" t="shared" si="74"/>
        <v>367200</v>
      </c>
      <c r="W146" s="5">
        <f ca="1" t="shared" si="85"/>
        <v>2509920</v>
      </c>
      <c r="X146" s="1">
        <f ca="1" t="shared" si="75"/>
        <v>432</v>
      </c>
      <c r="Y146" s="1">
        <f ca="1" t="shared" si="76"/>
        <v>216</v>
      </c>
      <c r="Z146" s="5">
        <f ca="1" t="shared" si="86"/>
        <v>1464</v>
      </c>
      <c r="AA146" s="1">
        <f ca="1" t="shared" si="77"/>
        <v>13.3333333333332</v>
      </c>
      <c r="AB146" s="1">
        <f ca="1" t="shared" si="78"/>
        <v>6.66666666666661</v>
      </c>
      <c r="AC146" s="5">
        <f ca="1" t="shared" si="87"/>
        <v>13.3333333333332</v>
      </c>
      <c r="AD146" s="1">
        <f ca="1" t="shared" si="66"/>
        <v>144</v>
      </c>
      <c r="AE146" s="1">
        <f ca="1" t="shared" si="67"/>
        <v>72</v>
      </c>
      <c r="AF146" s="5">
        <f ca="1" t="shared" si="88"/>
        <v>667.2</v>
      </c>
    </row>
    <row r="147" spans="1:32">
      <c r="A147" s="9">
        <v>7</v>
      </c>
      <c r="B147" s="1">
        <f t="shared" si="79"/>
        <v>0.5</v>
      </c>
      <c r="C147" s="1">
        <f ca="1" t="shared" si="60"/>
        <v>302</v>
      </c>
      <c r="D147" s="1">
        <f ca="1" t="shared" si="61"/>
        <v>1529280</v>
      </c>
      <c r="E147" s="1">
        <f ca="1" t="shared" si="68"/>
        <v>764640</v>
      </c>
      <c r="F147" s="5">
        <f ca="1" t="shared" si="80"/>
        <v>8350560</v>
      </c>
      <c r="G147" s="1">
        <f ca="1" t="shared" si="62"/>
        <v>960</v>
      </c>
      <c r="H147" s="1">
        <f ca="1" t="shared" si="69"/>
        <v>480</v>
      </c>
      <c r="I147" s="5">
        <f ca="1" t="shared" si="81"/>
        <v>5155.2</v>
      </c>
      <c r="J147" s="1">
        <f ca="1" t="shared" si="63"/>
        <v>0.4116</v>
      </c>
      <c r="K147" s="1">
        <f ca="1" t="shared" si="70"/>
        <v>0.2058</v>
      </c>
      <c r="L147" s="5">
        <f ca="1" t="shared" si="82"/>
        <v>2.02176</v>
      </c>
      <c r="M147" s="5">
        <f ca="1">L147*控制台!$E$4819</f>
        <v>1.617408</v>
      </c>
      <c r="N147" s="5">
        <f ca="1">L147*控制台!$E$4820</f>
        <v>36.998208</v>
      </c>
      <c r="O147" s="1">
        <f ca="1" t="shared" si="64"/>
        <v>180</v>
      </c>
      <c r="P147" s="1">
        <f ca="1" t="shared" si="65"/>
        <v>90</v>
      </c>
      <c r="Q147" s="5">
        <f ca="1" t="shared" si="83"/>
        <v>645</v>
      </c>
      <c r="R147" s="1">
        <f ca="1" t="shared" si="71"/>
        <v>576</v>
      </c>
      <c r="S147" s="1">
        <f ca="1" t="shared" si="72"/>
        <v>288</v>
      </c>
      <c r="T147" s="5">
        <f ca="1" t="shared" si="84"/>
        <v>2755.2</v>
      </c>
      <c r="U147" s="1">
        <f ca="1" t="shared" si="73"/>
        <v>760320</v>
      </c>
      <c r="V147" s="1">
        <f ca="1" t="shared" si="74"/>
        <v>380160</v>
      </c>
      <c r="W147" s="5">
        <f ca="1" t="shared" si="85"/>
        <v>2890080</v>
      </c>
      <c r="X147" s="1">
        <f ca="1" t="shared" si="75"/>
        <v>480</v>
      </c>
      <c r="Y147" s="1">
        <f ca="1" t="shared" si="76"/>
        <v>240</v>
      </c>
      <c r="Z147" s="5">
        <f ca="1" t="shared" si="86"/>
        <v>1704</v>
      </c>
      <c r="AA147" s="1">
        <f ca="1" t="shared" si="77"/>
        <v>13.3333333333332</v>
      </c>
      <c r="AB147" s="1">
        <f ca="1" t="shared" si="78"/>
        <v>6.66666666666661</v>
      </c>
      <c r="AC147" s="5">
        <f ca="1" t="shared" si="87"/>
        <v>19.9999999999998</v>
      </c>
      <c r="AD147" s="1">
        <f ca="1" t="shared" si="66"/>
        <v>144</v>
      </c>
      <c r="AE147" s="1">
        <f ca="1" t="shared" si="67"/>
        <v>72</v>
      </c>
      <c r="AF147" s="5">
        <f ca="1" t="shared" si="88"/>
        <v>739.2</v>
      </c>
    </row>
    <row r="148" spans="1:32">
      <c r="A148" s="10">
        <v>8</v>
      </c>
      <c r="B148" s="1">
        <f t="shared" si="79"/>
        <v>1</v>
      </c>
      <c r="C148" s="1">
        <f ca="1" t="shared" si="60"/>
        <v>303</v>
      </c>
      <c r="D148" s="1">
        <f ca="1" t="shared" si="61"/>
        <v>1572480</v>
      </c>
      <c r="E148" s="1">
        <f ca="1" t="shared" si="68"/>
        <v>1572480</v>
      </c>
      <c r="F148" s="5">
        <f ca="1" t="shared" si="80"/>
        <v>9923040</v>
      </c>
      <c r="G148" s="1">
        <f ca="1" t="shared" si="62"/>
        <v>960</v>
      </c>
      <c r="H148" s="1">
        <f ca="1" t="shared" si="69"/>
        <v>960</v>
      </c>
      <c r="I148" s="5">
        <f ca="1" t="shared" si="81"/>
        <v>6115.2</v>
      </c>
      <c r="J148" s="1">
        <f ca="1" t="shared" si="63"/>
        <v>0.4308</v>
      </c>
      <c r="K148" s="1">
        <f ca="1" t="shared" si="70"/>
        <v>0.4308</v>
      </c>
      <c r="L148" s="5">
        <f ca="1" t="shared" si="82"/>
        <v>2.45256</v>
      </c>
      <c r="M148" s="5">
        <f ca="1">L148*控制台!$E$4819</f>
        <v>1.962048</v>
      </c>
      <c r="N148" s="5">
        <f ca="1">L148*控制台!$E$4820</f>
        <v>44.881848</v>
      </c>
      <c r="O148" s="1">
        <f ca="1" t="shared" si="64"/>
        <v>195</v>
      </c>
      <c r="P148" s="1">
        <f ca="1" t="shared" si="65"/>
        <v>195</v>
      </c>
      <c r="Q148" s="5">
        <f ca="1" t="shared" si="83"/>
        <v>840</v>
      </c>
      <c r="R148" s="1">
        <f ca="1" t="shared" si="71"/>
        <v>624</v>
      </c>
      <c r="S148" s="1">
        <f ca="1" t="shared" si="72"/>
        <v>624</v>
      </c>
      <c r="T148" s="5">
        <f ca="1" t="shared" si="84"/>
        <v>3379.2</v>
      </c>
      <c r="U148" s="1">
        <f ca="1" t="shared" si="73"/>
        <v>786240</v>
      </c>
      <c r="V148" s="1">
        <f ca="1" t="shared" si="74"/>
        <v>786240</v>
      </c>
      <c r="W148" s="5">
        <f ca="1" t="shared" si="85"/>
        <v>3676320</v>
      </c>
      <c r="X148" s="1">
        <f ca="1" t="shared" si="75"/>
        <v>480</v>
      </c>
      <c r="Y148" s="1">
        <f ca="1" t="shared" si="76"/>
        <v>480</v>
      </c>
      <c r="Z148" s="5">
        <f ca="1" t="shared" si="86"/>
        <v>2184</v>
      </c>
      <c r="AA148" s="1">
        <f ca="1" t="shared" si="77"/>
        <v>13.3333333333332</v>
      </c>
      <c r="AB148" s="1">
        <f ca="1" t="shared" si="78"/>
        <v>13.3333333333332</v>
      </c>
      <c r="AC148" s="5">
        <f ca="1" t="shared" si="87"/>
        <v>33.333333333333</v>
      </c>
      <c r="AD148" s="1">
        <f ca="1" t="shared" si="66"/>
        <v>144</v>
      </c>
      <c r="AE148" s="1">
        <f ca="1" t="shared" si="67"/>
        <v>144</v>
      </c>
      <c r="AF148" s="5">
        <f ca="1" t="shared" si="88"/>
        <v>883.2</v>
      </c>
    </row>
    <row r="149" spans="1:32">
      <c r="A149" s="10">
        <v>9</v>
      </c>
      <c r="B149" s="1">
        <f t="shared" si="79"/>
        <v>1</v>
      </c>
      <c r="C149" s="1">
        <f ca="1" t="shared" si="60"/>
        <v>305</v>
      </c>
      <c r="D149" s="1">
        <f ca="1" t="shared" si="61"/>
        <v>1676160</v>
      </c>
      <c r="E149" s="1">
        <f ca="1" t="shared" si="68"/>
        <v>1676160</v>
      </c>
      <c r="F149" s="5">
        <f ca="1" t="shared" si="80"/>
        <v>11599200</v>
      </c>
      <c r="G149" s="1">
        <f ca="1" t="shared" si="62"/>
        <v>1008</v>
      </c>
      <c r="H149" s="1">
        <f ca="1" t="shared" si="69"/>
        <v>1008</v>
      </c>
      <c r="I149" s="5">
        <f ca="1" t="shared" si="81"/>
        <v>7123.2</v>
      </c>
      <c r="J149" s="1">
        <f ca="1" t="shared" si="63"/>
        <v>0.468</v>
      </c>
      <c r="K149" s="1">
        <f ca="1" t="shared" si="70"/>
        <v>0.468</v>
      </c>
      <c r="L149" s="5">
        <f ca="1" t="shared" si="82"/>
        <v>2.92056</v>
      </c>
      <c r="M149" s="5">
        <f ca="1">L149*控制台!$E$4819</f>
        <v>2.336448</v>
      </c>
      <c r="N149" s="5">
        <f ca="1">L149*控制台!$E$4820</f>
        <v>53.446248</v>
      </c>
      <c r="O149" s="1">
        <f ca="1" t="shared" si="64"/>
        <v>225</v>
      </c>
      <c r="P149" s="1">
        <f ca="1" t="shared" si="65"/>
        <v>225</v>
      </c>
      <c r="Q149" s="5">
        <f ca="1" t="shared" si="83"/>
        <v>1065</v>
      </c>
      <c r="R149" s="1">
        <f ca="1" t="shared" si="71"/>
        <v>720</v>
      </c>
      <c r="S149" s="1">
        <f ca="1" t="shared" si="72"/>
        <v>720</v>
      </c>
      <c r="T149" s="5">
        <f ca="1" t="shared" si="84"/>
        <v>4099.2</v>
      </c>
      <c r="U149" s="1">
        <f ca="1" t="shared" si="73"/>
        <v>838080</v>
      </c>
      <c r="V149" s="1">
        <f ca="1" t="shared" si="74"/>
        <v>838080</v>
      </c>
      <c r="W149" s="5">
        <f ca="1" t="shared" si="85"/>
        <v>4514400</v>
      </c>
      <c r="X149" s="1">
        <f ca="1" t="shared" si="75"/>
        <v>480</v>
      </c>
      <c r="Y149" s="1">
        <f ca="1" t="shared" si="76"/>
        <v>480</v>
      </c>
      <c r="Z149" s="5">
        <f ca="1" t="shared" si="86"/>
        <v>2664</v>
      </c>
      <c r="AA149" s="1">
        <f ca="1" t="shared" si="77"/>
        <v>13.3333333333332</v>
      </c>
      <c r="AB149" s="1">
        <f ca="1" t="shared" si="78"/>
        <v>13.3333333333332</v>
      </c>
      <c r="AC149" s="5">
        <f ca="1" t="shared" si="87"/>
        <v>46.6666666666663</v>
      </c>
      <c r="AD149" s="1">
        <f ca="1" t="shared" si="66"/>
        <v>144</v>
      </c>
      <c r="AE149" s="1">
        <f ca="1" t="shared" si="67"/>
        <v>144</v>
      </c>
      <c r="AF149" s="5">
        <f ca="1" t="shared" si="88"/>
        <v>1027.2</v>
      </c>
    </row>
    <row r="150" spans="1:32">
      <c r="A150" s="10">
        <v>10</v>
      </c>
      <c r="B150" s="1">
        <f t="shared" si="79"/>
        <v>1</v>
      </c>
      <c r="C150" s="1">
        <f ca="1" t="shared" si="60"/>
        <v>306</v>
      </c>
      <c r="D150" s="1">
        <f ca="1" t="shared" si="61"/>
        <v>1728000</v>
      </c>
      <c r="E150" s="1">
        <f ca="1" t="shared" si="68"/>
        <v>1728000</v>
      </c>
      <c r="F150" s="5">
        <f ca="1" t="shared" si="80"/>
        <v>13327200</v>
      </c>
      <c r="G150" s="1">
        <f ca="1" t="shared" si="62"/>
        <v>1056</v>
      </c>
      <c r="H150" s="1">
        <f ca="1" t="shared" si="69"/>
        <v>1056</v>
      </c>
      <c r="I150" s="5">
        <f ca="1" t="shared" si="81"/>
        <v>8179.2</v>
      </c>
      <c r="J150" s="1">
        <f ca="1" t="shared" si="63"/>
        <v>0.4872</v>
      </c>
      <c r="K150" s="1">
        <f ca="1" t="shared" si="70"/>
        <v>0.4872</v>
      </c>
      <c r="L150" s="5">
        <f ca="1" t="shared" si="82"/>
        <v>3.40776</v>
      </c>
      <c r="M150" s="5">
        <f ca="1">L150*控制台!$E$4819</f>
        <v>2.726208</v>
      </c>
      <c r="N150" s="5">
        <f ca="1">L150*控制台!$E$4820</f>
        <v>62.362008</v>
      </c>
      <c r="O150" s="1">
        <f ca="1" t="shared" si="64"/>
        <v>240</v>
      </c>
      <c r="P150" s="1">
        <f ca="1" t="shared" si="65"/>
        <v>240</v>
      </c>
      <c r="Q150" s="5">
        <f ca="1" t="shared" si="83"/>
        <v>1305</v>
      </c>
      <c r="R150" s="1">
        <f ca="1" t="shared" si="71"/>
        <v>768</v>
      </c>
      <c r="S150" s="1">
        <f ca="1" t="shared" si="72"/>
        <v>768</v>
      </c>
      <c r="T150" s="5">
        <f ca="1" t="shared" si="84"/>
        <v>4867.2</v>
      </c>
      <c r="U150" s="1">
        <f ca="1" t="shared" si="73"/>
        <v>864000</v>
      </c>
      <c r="V150" s="1">
        <f ca="1" t="shared" si="74"/>
        <v>864000</v>
      </c>
      <c r="W150" s="5">
        <f ca="1" t="shared" si="85"/>
        <v>5378400</v>
      </c>
      <c r="X150" s="1">
        <f ca="1" t="shared" si="75"/>
        <v>528</v>
      </c>
      <c r="Y150" s="1">
        <f ca="1" t="shared" si="76"/>
        <v>528</v>
      </c>
      <c r="Z150" s="5">
        <f ca="1" t="shared" si="86"/>
        <v>3192</v>
      </c>
      <c r="AA150" s="1">
        <f ca="1" t="shared" si="77"/>
        <v>13.3333333333332</v>
      </c>
      <c r="AB150" s="1">
        <f ca="1" t="shared" si="78"/>
        <v>13.3333333333332</v>
      </c>
      <c r="AC150" s="5">
        <f ca="1" t="shared" si="87"/>
        <v>59.9999999999995</v>
      </c>
      <c r="AD150" s="1">
        <f ca="1" t="shared" si="66"/>
        <v>144</v>
      </c>
      <c r="AE150" s="1">
        <f ca="1" t="shared" si="67"/>
        <v>144</v>
      </c>
      <c r="AF150" s="5">
        <f ca="1" t="shared" si="88"/>
        <v>1171.2</v>
      </c>
    </row>
    <row r="151" spans="1:32">
      <c r="A151" s="10">
        <v>11</v>
      </c>
      <c r="B151" s="1">
        <f t="shared" si="79"/>
        <v>1</v>
      </c>
      <c r="C151" s="1">
        <f ca="1" t="shared" si="60"/>
        <v>307</v>
      </c>
      <c r="D151" s="1">
        <f ca="1" t="shared" si="61"/>
        <v>1779840</v>
      </c>
      <c r="E151" s="1">
        <f ca="1" t="shared" si="68"/>
        <v>1779840</v>
      </c>
      <c r="F151" s="5">
        <f ca="1" t="shared" si="80"/>
        <v>15107040</v>
      </c>
      <c r="G151" s="1">
        <f ca="1" t="shared" si="62"/>
        <v>1104</v>
      </c>
      <c r="H151" s="1">
        <f ca="1" t="shared" si="69"/>
        <v>1104</v>
      </c>
      <c r="I151" s="5">
        <f ca="1" t="shared" si="81"/>
        <v>9283.2</v>
      </c>
      <c r="J151" s="1">
        <f ca="1" t="shared" si="63"/>
        <v>0.5052</v>
      </c>
      <c r="K151" s="1">
        <f ca="1" t="shared" si="70"/>
        <v>0.5052</v>
      </c>
      <c r="L151" s="5">
        <f ca="1" t="shared" si="82"/>
        <v>3.91296</v>
      </c>
      <c r="M151" s="5">
        <f ca="1">L151*控制台!$E$4819</f>
        <v>3.130368</v>
      </c>
      <c r="N151" s="5">
        <f ca="1">L151*控制台!$E$4820</f>
        <v>71.607168</v>
      </c>
      <c r="O151" s="1">
        <f ca="1" t="shared" si="64"/>
        <v>255</v>
      </c>
      <c r="P151" s="1">
        <f ca="1" t="shared" si="65"/>
        <v>255</v>
      </c>
      <c r="Q151" s="5">
        <f ca="1" t="shared" si="83"/>
        <v>1560</v>
      </c>
      <c r="R151" s="1">
        <f ca="1" t="shared" si="71"/>
        <v>816</v>
      </c>
      <c r="S151" s="1">
        <f ca="1" t="shared" si="72"/>
        <v>816</v>
      </c>
      <c r="T151" s="5">
        <f ca="1" t="shared" si="84"/>
        <v>5683.2</v>
      </c>
      <c r="U151" s="1">
        <f ca="1" t="shared" si="73"/>
        <v>889920</v>
      </c>
      <c r="V151" s="1">
        <f ca="1" t="shared" si="74"/>
        <v>889920</v>
      </c>
      <c r="W151" s="5">
        <f ca="1" t="shared" si="85"/>
        <v>6268320</v>
      </c>
      <c r="X151" s="1">
        <f ca="1" t="shared" si="75"/>
        <v>528</v>
      </c>
      <c r="Y151" s="1">
        <f ca="1" t="shared" si="76"/>
        <v>528</v>
      </c>
      <c r="Z151" s="5">
        <f ca="1" t="shared" si="86"/>
        <v>3720</v>
      </c>
      <c r="AA151" s="1">
        <f ca="1" t="shared" si="77"/>
        <v>13.3333333333332</v>
      </c>
      <c r="AB151" s="1">
        <f ca="1" t="shared" si="78"/>
        <v>13.3333333333332</v>
      </c>
      <c r="AC151" s="5">
        <f ca="1" t="shared" si="87"/>
        <v>73.3333333333327</v>
      </c>
      <c r="AD151" s="1">
        <f ca="1" t="shared" si="66"/>
        <v>144</v>
      </c>
      <c r="AE151" s="1">
        <f ca="1" t="shared" si="67"/>
        <v>144</v>
      </c>
      <c r="AF151" s="5">
        <f ca="1" t="shared" si="88"/>
        <v>1315.2</v>
      </c>
    </row>
    <row r="152" spans="1:32">
      <c r="A152" s="10">
        <v>12</v>
      </c>
      <c r="B152" s="1">
        <f t="shared" si="79"/>
        <v>1</v>
      </c>
      <c r="C152" s="1">
        <f ca="1" t="shared" si="60"/>
        <v>308</v>
      </c>
      <c r="D152" s="1">
        <f ca="1" t="shared" si="61"/>
        <v>1823040</v>
      </c>
      <c r="E152" s="1">
        <f ca="1" t="shared" si="68"/>
        <v>1823040</v>
      </c>
      <c r="F152" s="5">
        <f ca="1" t="shared" si="80"/>
        <v>16930080</v>
      </c>
      <c r="G152" s="1">
        <f ca="1" t="shared" si="62"/>
        <v>1104</v>
      </c>
      <c r="H152" s="1">
        <f ca="1" t="shared" si="69"/>
        <v>1104</v>
      </c>
      <c r="I152" s="5">
        <f ca="1" t="shared" si="81"/>
        <v>10387.2</v>
      </c>
      <c r="J152" s="1">
        <f ca="1" t="shared" si="63"/>
        <v>0.5244</v>
      </c>
      <c r="K152" s="1">
        <f ca="1" t="shared" si="70"/>
        <v>0.5244</v>
      </c>
      <c r="L152" s="5">
        <f ca="1" t="shared" si="82"/>
        <v>4.43736</v>
      </c>
      <c r="M152" s="5">
        <f ca="1">L152*控制台!$E$4819</f>
        <v>3.549888</v>
      </c>
      <c r="N152" s="5">
        <f ca="1">L152*控制台!$E$4820</f>
        <v>81.203688</v>
      </c>
      <c r="O152" s="1">
        <f ca="1" t="shared" si="64"/>
        <v>270</v>
      </c>
      <c r="P152" s="1">
        <f ca="1" t="shared" si="65"/>
        <v>270</v>
      </c>
      <c r="Q152" s="5">
        <f ca="1" t="shared" si="83"/>
        <v>1830</v>
      </c>
      <c r="R152" s="1">
        <f ca="1" t="shared" si="71"/>
        <v>864</v>
      </c>
      <c r="S152" s="1">
        <f ca="1" t="shared" si="72"/>
        <v>864</v>
      </c>
      <c r="T152" s="5">
        <f ca="1" t="shared" si="84"/>
        <v>6547.2</v>
      </c>
      <c r="U152" s="1">
        <f ca="1" t="shared" si="73"/>
        <v>907200</v>
      </c>
      <c r="V152" s="1">
        <f ca="1" t="shared" si="74"/>
        <v>907200</v>
      </c>
      <c r="W152" s="5">
        <f ca="1" t="shared" si="85"/>
        <v>7175520</v>
      </c>
      <c r="X152" s="1">
        <f ca="1" t="shared" si="75"/>
        <v>528</v>
      </c>
      <c r="Y152" s="1">
        <f ca="1" t="shared" si="76"/>
        <v>528</v>
      </c>
      <c r="Z152" s="5">
        <f ca="1" t="shared" si="86"/>
        <v>4248</v>
      </c>
      <c r="AA152" s="1">
        <f ca="1" t="shared" si="77"/>
        <v>13.3333333333332</v>
      </c>
      <c r="AB152" s="1">
        <f ca="1" t="shared" si="78"/>
        <v>13.3333333333332</v>
      </c>
      <c r="AC152" s="5">
        <f ca="1" t="shared" si="87"/>
        <v>86.6666666666659</v>
      </c>
      <c r="AD152" s="1">
        <f ca="1" t="shared" si="66"/>
        <v>192</v>
      </c>
      <c r="AE152" s="1">
        <f ca="1" t="shared" si="67"/>
        <v>192</v>
      </c>
      <c r="AF152" s="5">
        <f ca="1" t="shared" si="88"/>
        <v>1507.2</v>
      </c>
    </row>
    <row r="153" spans="1:32">
      <c r="A153" s="10">
        <v>13</v>
      </c>
      <c r="B153" s="1">
        <f t="shared" si="79"/>
        <v>1</v>
      </c>
      <c r="C153" s="1">
        <f ca="1" t="shared" si="60"/>
        <v>310</v>
      </c>
      <c r="D153" s="1">
        <f ca="1" t="shared" si="61"/>
        <v>1926720</v>
      </c>
      <c r="E153" s="1">
        <f ca="1" t="shared" si="68"/>
        <v>1926720</v>
      </c>
      <c r="F153" s="5">
        <f ca="1" t="shared" si="80"/>
        <v>18856800</v>
      </c>
      <c r="G153" s="1">
        <f ca="1" t="shared" si="62"/>
        <v>1200</v>
      </c>
      <c r="H153" s="1">
        <f ca="1" t="shared" si="69"/>
        <v>1200</v>
      </c>
      <c r="I153" s="5">
        <f ca="1" t="shared" si="81"/>
        <v>11587.2</v>
      </c>
      <c r="J153" s="1">
        <f ca="1" t="shared" si="63"/>
        <v>0.5616</v>
      </c>
      <c r="K153" s="1">
        <f ca="1" t="shared" si="70"/>
        <v>0.5616</v>
      </c>
      <c r="L153" s="5">
        <f ca="1" t="shared" si="82"/>
        <v>4.99896</v>
      </c>
      <c r="M153" s="5">
        <f ca="1">L153*控制台!$E$4819</f>
        <v>3.999168</v>
      </c>
      <c r="N153" s="5">
        <f ca="1">L153*控制台!$E$4820</f>
        <v>91.480968</v>
      </c>
      <c r="O153" s="1">
        <f ca="1" t="shared" si="64"/>
        <v>300</v>
      </c>
      <c r="P153" s="1">
        <f ca="1" t="shared" si="65"/>
        <v>300</v>
      </c>
      <c r="Q153" s="5">
        <f ca="1" t="shared" si="83"/>
        <v>2130</v>
      </c>
      <c r="R153" s="1">
        <f ca="1" t="shared" si="71"/>
        <v>960</v>
      </c>
      <c r="S153" s="1">
        <f ca="1" t="shared" si="72"/>
        <v>960</v>
      </c>
      <c r="T153" s="5">
        <f ca="1" t="shared" si="84"/>
        <v>7507.2</v>
      </c>
      <c r="U153" s="1">
        <f ca="1" t="shared" si="73"/>
        <v>959040</v>
      </c>
      <c r="V153" s="1">
        <f ca="1" t="shared" si="74"/>
        <v>959040</v>
      </c>
      <c r="W153" s="5">
        <f ca="1" t="shared" si="85"/>
        <v>8134560</v>
      </c>
      <c r="X153" s="1">
        <f ca="1" t="shared" si="75"/>
        <v>576</v>
      </c>
      <c r="Y153" s="1">
        <f ca="1" t="shared" si="76"/>
        <v>576</v>
      </c>
      <c r="Z153" s="5">
        <f ca="1" t="shared" si="86"/>
        <v>4824</v>
      </c>
      <c r="AA153" s="1">
        <f ca="1" t="shared" si="77"/>
        <v>13.3333333333332</v>
      </c>
      <c r="AB153" s="1">
        <f ca="1" t="shared" si="78"/>
        <v>13.3333333333332</v>
      </c>
      <c r="AC153" s="5">
        <f ca="1" t="shared" si="87"/>
        <v>99.9999999999991</v>
      </c>
      <c r="AD153" s="1">
        <f ca="1" t="shared" si="66"/>
        <v>192</v>
      </c>
      <c r="AE153" s="1">
        <f ca="1" t="shared" si="67"/>
        <v>192</v>
      </c>
      <c r="AF153" s="5">
        <f ca="1" t="shared" si="88"/>
        <v>1699.2</v>
      </c>
    </row>
    <row r="154" spans="1:32">
      <c r="A154" s="10">
        <v>14</v>
      </c>
      <c r="B154" s="1">
        <f t="shared" si="79"/>
        <v>1</v>
      </c>
      <c r="C154" s="1">
        <f ca="1" t="shared" si="60"/>
        <v>401</v>
      </c>
      <c r="D154" s="1">
        <f ca="1" t="shared" si="61"/>
        <v>1978560</v>
      </c>
      <c r="E154" s="1">
        <f ca="1" t="shared" si="68"/>
        <v>1978560</v>
      </c>
      <c r="F154" s="5">
        <f ca="1" t="shared" si="80"/>
        <v>20835360</v>
      </c>
      <c r="G154" s="1">
        <f ca="1" t="shared" si="62"/>
        <v>1200</v>
      </c>
      <c r="H154" s="1">
        <f ca="1" t="shared" si="69"/>
        <v>1200</v>
      </c>
      <c r="I154" s="5">
        <f ca="1" t="shared" si="81"/>
        <v>12787.2</v>
      </c>
      <c r="J154" s="1">
        <f ca="1" t="shared" si="63"/>
        <v>0.5808</v>
      </c>
      <c r="K154" s="1">
        <f ca="1" t="shared" si="70"/>
        <v>0.5808</v>
      </c>
      <c r="L154" s="5">
        <f ca="1" t="shared" si="82"/>
        <v>5.57976</v>
      </c>
      <c r="M154" s="5">
        <f ca="1">L154*控制台!$E$4819</f>
        <v>4.463808</v>
      </c>
      <c r="N154" s="5">
        <f ca="1">L154*控制台!$E$4820</f>
        <v>102.109608</v>
      </c>
      <c r="O154" s="1">
        <f ca="1" t="shared" si="64"/>
        <v>330</v>
      </c>
      <c r="P154" s="1">
        <f ca="1" t="shared" si="65"/>
        <v>330</v>
      </c>
      <c r="Q154" s="5">
        <f ca="1" t="shared" si="83"/>
        <v>2460</v>
      </c>
      <c r="R154" s="1">
        <f ca="1" t="shared" si="71"/>
        <v>1056</v>
      </c>
      <c r="S154" s="1">
        <f ca="1" t="shared" si="72"/>
        <v>1056</v>
      </c>
      <c r="T154" s="5">
        <f ca="1" t="shared" si="84"/>
        <v>8563.2</v>
      </c>
      <c r="U154" s="1">
        <f ca="1" t="shared" si="73"/>
        <v>984960</v>
      </c>
      <c r="V154" s="1">
        <f ca="1" t="shared" si="74"/>
        <v>984960</v>
      </c>
      <c r="W154" s="5">
        <f ca="1" t="shared" si="85"/>
        <v>9119520</v>
      </c>
      <c r="X154" s="1">
        <f ca="1" t="shared" si="75"/>
        <v>576</v>
      </c>
      <c r="Y154" s="1">
        <f ca="1" t="shared" si="76"/>
        <v>576</v>
      </c>
      <c r="Z154" s="5">
        <f ca="1" t="shared" si="86"/>
        <v>5400</v>
      </c>
      <c r="AA154" s="1">
        <f ca="1" t="shared" si="77"/>
        <v>16.6666666666667</v>
      </c>
      <c r="AB154" s="1">
        <f ca="1" t="shared" si="78"/>
        <v>16.6666666666667</v>
      </c>
      <c r="AC154" s="5">
        <f ca="1" t="shared" si="87"/>
        <v>116.666666666666</v>
      </c>
      <c r="AD154" s="1">
        <f ca="1" t="shared" si="66"/>
        <v>192</v>
      </c>
      <c r="AE154" s="1">
        <f ca="1" t="shared" si="67"/>
        <v>192</v>
      </c>
      <c r="AF154" s="5">
        <f ca="1" t="shared" si="88"/>
        <v>1891.2</v>
      </c>
    </row>
    <row r="155" spans="1:32">
      <c r="A155" s="10">
        <v>15</v>
      </c>
      <c r="B155" s="1">
        <f t="shared" si="79"/>
        <v>1</v>
      </c>
      <c r="C155" s="1">
        <f ca="1" t="shared" si="60"/>
        <v>402</v>
      </c>
      <c r="D155" s="1">
        <f ca="1" t="shared" si="61"/>
        <v>2030400</v>
      </c>
      <c r="E155" s="1">
        <f ca="1" t="shared" si="68"/>
        <v>2030400</v>
      </c>
      <c r="F155" s="5">
        <f ca="1" t="shared" si="80"/>
        <v>22865760</v>
      </c>
      <c r="G155" s="1">
        <f ca="1" t="shared" si="62"/>
        <v>1248</v>
      </c>
      <c r="H155" s="1">
        <f ca="1" t="shared" si="69"/>
        <v>1248</v>
      </c>
      <c r="I155" s="5">
        <f ca="1" t="shared" si="81"/>
        <v>14035.2</v>
      </c>
      <c r="J155" s="1">
        <f ca="1" t="shared" si="63"/>
        <v>0.6</v>
      </c>
      <c r="K155" s="1">
        <f ca="1" t="shared" si="70"/>
        <v>0.6</v>
      </c>
      <c r="L155" s="5">
        <f ca="1" t="shared" si="82"/>
        <v>6.17976</v>
      </c>
      <c r="M155" s="5">
        <f ca="1">L155*控制台!$E$4819</f>
        <v>4.943808</v>
      </c>
      <c r="N155" s="5">
        <f ca="1">L155*控制台!$E$4820</f>
        <v>113.089608</v>
      </c>
      <c r="O155" s="1">
        <f ca="1" t="shared" si="64"/>
        <v>360</v>
      </c>
      <c r="P155" s="1">
        <f ca="1" t="shared" si="65"/>
        <v>360</v>
      </c>
      <c r="Q155" s="5">
        <f ca="1" t="shared" si="83"/>
        <v>2820</v>
      </c>
      <c r="R155" s="1">
        <f ca="1" t="shared" si="71"/>
        <v>1200</v>
      </c>
      <c r="S155" s="1">
        <f ca="1" t="shared" si="72"/>
        <v>1200</v>
      </c>
      <c r="T155" s="5">
        <f ca="1" t="shared" si="84"/>
        <v>9763.2</v>
      </c>
      <c r="U155" s="1">
        <f ca="1" t="shared" si="73"/>
        <v>1010880</v>
      </c>
      <c r="V155" s="1">
        <f ca="1" t="shared" si="74"/>
        <v>1010880</v>
      </c>
      <c r="W155" s="5">
        <f ca="1" t="shared" si="85"/>
        <v>10130400</v>
      </c>
      <c r="X155" s="1">
        <f ca="1" t="shared" si="75"/>
        <v>624</v>
      </c>
      <c r="Y155" s="1">
        <f ca="1" t="shared" si="76"/>
        <v>624</v>
      </c>
      <c r="Z155" s="5">
        <f ca="1" t="shared" si="86"/>
        <v>6024</v>
      </c>
      <c r="AA155" s="1">
        <f ca="1" t="shared" si="77"/>
        <v>16.6666666666667</v>
      </c>
      <c r="AB155" s="1">
        <f ca="1" t="shared" si="78"/>
        <v>16.6666666666667</v>
      </c>
      <c r="AC155" s="5">
        <f ca="1" t="shared" si="87"/>
        <v>133.333333333333</v>
      </c>
      <c r="AD155" s="1">
        <f ca="1" t="shared" si="66"/>
        <v>240</v>
      </c>
      <c r="AE155" s="1">
        <f ca="1" t="shared" si="67"/>
        <v>240</v>
      </c>
      <c r="AF155" s="5">
        <f ca="1" t="shared" si="88"/>
        <v>2131.2</v>
      </c>
    </row>
    <row r="156" spans="1:32">
      <c r="A156" s="10">
        <v>16</v>
      </c>
      <c r="B156" s="1">
        <f t="shared" si="79"/>
        <v>1</v>
      </c>
      <c r="C156" s="1">
        <f ca="1" t="shared" si="60"/>
        <v>403</v>
      </c>
      <c r="D156" s="1">
        <f ca="1" t="shared" si="61"/>
        <v>2073600</v>
      </c>
      <c r="E156" s="1">
        <f ca="1" t="shared" si="68"/>
        <v>2073600</v>
      </c>
      <c r="F156" s="5">
        <f ca="1" t="shared" si="80"/>
        <v>24939360</v>
      </c>
      <c r="G156" s="1">
        <f ca="1" t="shared" si="62"/>
        <v>1248</v>
      </c>
      <c r="H156" s="1">
        <f ca="1" t="shared" si="69"/>
        <v>1248</v>
      </c>
      <c r="I156" s="5">
        <f ca="1" t="shared" si="81"/>
        <v>15283.2</v>
      </c>
      <c r="J156" s="1">
        <f ca="1" t="shared" si="63"/>
        <v>0.618</v>
      </c>
      <c r="K156" s="1">
        <f ca="1" t="shared" si="70"/>
        <v>0.618</v>
      </c>
      <c r="L156" s="5">
        <f ca="1" t="shared" si="82"/>
        <v>6.79776</v>
      </c>
      <c r="M156" s="5">
        <f ca="1">L156*控制台!$E$4819</f>
        <v>5.438208</v>
      </c>
      <c r="N156" s="5">
        <f ca="1">L156*控制台!$E$4820</f>
        <v>124.399008</v>
      </c>
      <c r="O156" s="1">
        <f ca="1" t="shared" si="64"/>
        <v>390</v>
      </c>
      <c r="P156" s="1">
        <f ca="1" t="shared" si="65"/>
        <v>390</v>
      </c>
      <c r="Q156" s="5">
        <f ca="1" t="shared" si="83"/>
        <v>3210</v>
      </c>
      <c r="R156" s="1">
        <f ca="1" t="shared" si="71"/>
        <v>1296</v>
      </c>
      <c r="S156" s="1">
        <f ca="1" t="shared" si="72"/>
        <v>1296</v>
      </c>
      <c r="T156" s="5">
        <f ca="1" t="shared" si="84"/>
        <v>11059.2</v>
      </c>
      <c r="U156" s="1">
        <f ca="1" t="shared" si="73"/>
        <v>1036800</v>
      </c>
      <c r="V156" s="1">
        <f ca="1" t="shared" si="74"/>
        <v>1036800</v>
      </c>
      <c r="W156" s="5">
        <f ca="1" t="shared" si="85"/>
        <v>11167200</v>
      </c>
      <c r="X156" s="1">
        <f ca="1" t="shared" si="75"/>
        <v>624</v>
      </c>
      <c r="Y156" s="1">
        <f ca="1" t="shared" si="76"/>
        <v>624</v>
      </c>
      <c r="Z156" s="5">
        <f ca="1" t="shared" si="86"/>
        <v>6648</v>
      </c>
      <c r="AA156" s="1">
        <f ca="1" t="shared" si="77"/>
        <v>16.6666666666667</v>
      </c>
      <c r="AB156" s="1">
        <f ca="1" t="shared" si="78"/>
        <v>16.6666666666667</v>
      </c>
      <c r="AC156" s="5">
        <f ca="1" t="shared" si="87"/>
        <v>149.999999999999</v>
      </c>
      <c r="AD156" s="1">
        <f ca="1" t="shared" si="66"/>
        <v>240</v>
      </c>
      <c r="AE156" s="1">
        <f ca="1" t="shared" si="67"/>
        <v>240</v>
      </c>
      <c r="AF156" s="5">
        <f ca="1" t="shared" si="88"/>
        <v>2371.2</v>
      </c>
    </row>
    <row r="157" spans="1:32">
      <c r="A157" s="10">
        <v>17</v>
      </c>
      <c r="B157" s="1">
        <f t="shared" si="79"/>
        <v>1</v>
      </c>
      <c r="C157" s="1">
        <f ca="1" t="shared" ref="C157:C188" si="89">IFERROR(OFFSET($A$6,MATCH(A157,$L$6:$L$120,1)-1,0),0)</f>
        <v>404</v>
      </c>
      <c r="D157" s="1">
        <f ca="1" t="shared" ref="D157:D188" si="90">IF(C157=0,0,OFFSET($H$6,MATCH(C157,$A$6:$A$120,0)-1,0))</f>
        <v>2125440</v>
      </c>
      <c r="E157" s="1">
        <f ca="1" t="shared" si="68"/>
        <v>2125440</v>
      </c>
      <c r="F157" s="5">
        <f ca="1" t="shared" si="80"/>
        <v>27064800</v>
      </c>
      <c r="G157" s="1">
        <f ca="1" t="shared" ref="G157:G188" si="91">IF(C157=0,0,OFFSET($S$6,MATCH(C157,$A$6:$A$120,0)-1,0))</f>
        <v>1296</v>
      </c>
      <c r="H157" s="1">
        <f ca="1" t="shared" si="69"/>
        <v>1296</v>
      </c>
      <c r="I157" s="5">
        <f ca="1" t="shared" si="81"/>
        <v>16579.2</v>
      </c>
      <c r="J157" s="1">
        <f ca="1" t="shared" ref="J157:J188" si="92">IF(C157=0,0,OFFSET($Z$6,MATCH(C157,$A$6:$A$120,0)-1,0))</f>
        <v>0.6372</v>
      </c>
      <c r="K157" s="1">
        <f ca="1" t="shared" si="70"/>
        <v>0.6372</v>
      </c>
      <c r="L157" s="5">
        <f ca="1" t="shared" si="82"/>
        <v>7.43496</v>
      </c>
      <c r="M157" s="5">
        <f ca="1">L157*控制台!$E$4819</f>
        <v>5.947968</v>
      </c>
      <c r="N157" s="5">
        <f ca="1">L157*控制台!$E$4820</f>
        <v>136.059768</v>
      </c>
      <c r="O157" s="1">
        <f ca="1" t="shared" ref="O157:O188" si="93">IF(C157=0,0,OFFSET($AG$6,MATCH(C157,$A$6:$A$120,0)-1,0))</f>
        <v>420</v>
      </c>
      <c r="P157" s="1">
        <f ca="1" t="shared" ref="P157:P188" si="94">O157*B157</f>
        <v>420</v>
      </c>
      <c r="Q157" s="5">
        <f ca="1" t="shared" si="83"/>
        <v>3630</v>
      </c>
      <c r="R157" s="1">
        <f ca="1" t="shared" si="71"/>
        <v>1392</v>
      </c>
      <c r="S157" s="1">
        <f ca="1" t="shared" si="72"/>
        <v>1392</v>
      </c>
      <c r="T157" s="5">
        <f ca="1" t="shared" si="84"/>
        <v>12451.2</v>
      </c>
      <c r="U157" s="1">
        <f ca="1" t="shared" si="73"/>
        <v>1062720</v>
      </c>
      <c r="V157" s="1">
        <f ca="1" t="shared" si="74"/>
        <v>1062720</v>
      </c>
      <c r="W157" s="5">
        <f ca="1" t="shared" si="85"/>
        <v>12229920</v>
      </c>
      <c r="X157" s="1">
        <f ca="1" t="shared" si="75"/>
        <v>624</v>
      </c>
      <c r="Y157" s="1">
        <f ca="1" t="shared" si="76"/>
        <v>624</v>
      </c>
      <c r="Z157" s="5">
        <f ca="1" t="shared" si="86"/>
        <v>7272</v>
      </c>
      <c r="AA157" s="1">
        <f ca="1" t="shared" si="77"/>
        <v>16.6666666666667</v>
      </c>
      <c r="AB157" s="1">
        <f ca="1" t="shared" si="78"/>
        <v>16.6666666666667</v>
      </c>
      <c r="AC157" s="5">
        <f ca="1" t="shared" si="87"/>
        <v>166.666666666666</v>
      </c>
      <c r="AD157" s="1">
        <f ca="1" t="shared" ref="AD157:AD188" si="95">IF(C157=0,0,OFFSET($BL$6,MATCH(C157,$A$6:$A$120,0)-1,0))</f>
        <v>240</v>
      </c>
      <c r="AE157" s="1">
        <f ca="1" t="shared" ref="AE157:AE188" si="96">AD157*B157</f>
        <v>240</v>
      </c>
      <c r="AF157" s="5">
        <f ca="1" t="shared" si="88"/>
        <v>2611.2</v>
      </c>
    </row>
    <row r="158" spans="1:32">
      <c r="A158" s="10">
        <v>18</v>
      </c>
      <c r="B158" s="1">
        <f t="shared" si="79"/>
        <v>1</v>
      </c>
      <c r="C158" s="1">
        <f ca="1" t="shared" si="89"/>
        <v>405</v>
      </c>
      <c r="D158" s="1">
        <f ca="1" t="shared" si="90"/>
        <v>2177280</v>
      </c>
      <c r="E158" s="1">
        <f ca="1" t="shared" si="68"/>
        <v>2177280</v>
      </c>
      <c r="F158" s="5">
        <f ca="1" t="shared" si="80"/>
        <v>29242080</v>
      </c>
      <c r="G158" s="1">
        <f ca="1" t="shared" si="91"/>
        <v>1344</v>
      </c>
      <c r="H158" s="1">
        <f ca="1" t="shared" si="69"/>
        <v>1344</v>
      </c>
      <c r="I158" s="5">
        <f ca="1" t="shared" si="81"/>
        <v>17923.2</v>
      </c>
      <c r="J158" s="1">
        <f ca="1" t="shared" si="92"/>
        <v>0.6552</v>
      </c>
      <c r="K158" s="1">
        <f ca="1" t="shared" si="70"/>
        <v>0.6552</v>
      </c>
      <c r="L158" s="5">
        <f ca="1" t="shared" si="82"/>
        <v>8.09016</v>
      </c>
      <c r="M158" s="5">
        <f ca="1">L158*控制台!$E$4819</f>
        <v>6.472128</v>
      </c>
      <c r="N158" s="5">
        <f ca="1">L158*控制台!$E$4820</f>
        <v>148.049928</v>
      </c>
      <c r="O158" s="1">
        <f ca="1" t="shared" si="93"/>
        <v>450</v>
      </c>
      <c r="P158" s="1">
        <f ca="1" t="shared" si="94"/>
        <v>450</v>
      </c>
      <c r="Q158" s="5">
        <f ca="1" t="shared" si="83"/>
        <v>4080</v>
      </c>
      <c r="R158" s="1">
        <f ca="1" t="shared" si="71"/>
        <v>1488</v>
      </c>
      <c r="S158" s="1">
        <f ca="1" t="shared" si="72"/>
        <v>1488</v>
      </c>
      <c r="T158" s="5">
        <f ca="1" t="shared" si="84"/>
        <v>13939.2</v>
      </c>
      <c r="U158" s="1">
        <f ca="1" t="shared" si="73"/>
        <v>1088640</v>
      </c>
      <c r="V158" s="1">
        <f ca="1" t="shared" si="74"/>
        <v>1088640</v>
      </c>
      <c r="W158" s="5">
        <f ca="1" t="shared" si="85"/>
        <v>13318560</v>
      </c>
      <c r="X158" s="1">
        <f ca="1" t="shared" si="75"/>
        <v>672</v>
      </c>
      <c r="Y158" s="1">
        <f ca="1" t="shared" si="76"/>
        <v>672</v>
      </c>
      <c r="Z158" s="5">
        <f ca="1" t="shared" si="86"/>
        <v>7944</v>
      </c>
      <c r="AA158" s="1">
        <f ca="1" t="shared" si="77"/>
        <v>16.6666666666667</v>
      </c>
      <c r="AB158" s="1">
        <f ca="1" t="shared" si="78"/>
        <v>16.6666666666667</v>
      </c>
      <c r="AC158" s="5">
        <f ca="1" t="shared" si="87"/>
        <v>183.333333333333</v>
      </c>
      <c r="AD158" s="1">
        <f ca="1" t="shared" si="95"/>
        <v>288</v>
      </c>
      <c r="AE158" s="1">
        <f ca="1" t="shared" si="96"/>
        <v>288</v>
      </c>
      <c r="AF158" s="5">
        <f ca="1" t="shared" si="88"/>
        <v>2899.2</v>
      </c>
    </row>
    <row r="159" spans="1:32">
      <c r="A159" s="10">
        <v>19</v>
      </c>
      <c r="B159" s="1">
        <f t="shared" si="79"/>
        <v>1</v>
      </c>
      <c r="C159" s="1">
        <f ca="1" t="shared" si="89"/>
        <v>406</v>
      </c>
      <c r="D159" s="1">
        <f ca="1" t="shared" si="90"/>
        <v>2229120</v>
      </c>
      <c r="E159" s="1">
        <f ca="1" t="shared" si="68"/>
        <v>2229120</v>
      </c>
      <c r="F159" s="5">
        <f ca="1" t="shared" si="80"/>
        <v>31471200</v>
      </c>
      <c r="G159" s="1">
        <f ca="1" t="shared" si="91"/>
        <v>1344</v>
      </c>
      <c r="H159" s="1">
        <f ca="1" t="shared" si="69"/>
        <v>1344</v>
      </c>
      <c r="I159" s="5">
        <f ca="1" t="shared" si="81"/>
        <v>19267.2</v>
      </c>
      <c r="J159" s="1">
        <f ca="1" t="shared" si="92"/>
        <v>0.6744</v>
      </c>
      <c r="K159" s="1">
        <f ca="1" t="shared" si="70"/>
        <v>0.6744</v>
      </c>
      <c r="L159" s="5">
        <f ca="1" t="shared" si="82"/>
        <v>8.76456</v>
      </c>
      <c r="M159" s="5">
        <f ca="1">L159*控制台!$E$4819</f>
        <v>7.011648</v>
      </c>
      <c r="N159" s="5">
        <f ca="1">L159*控制台!$E$4820</f>
        <v>160.391448</v>
      </c>
      <c r="O159" s="1">
        <f ca="1" t="shared" si="93"/>
        <v>480</v>
      </c>
      <c r="P159" s="1">
        <f ca="1" t="shared" si="94"/>
        <v>480</v>
      </c>
      <c r="Q159" s="5">
        <f ca="1" t="shared" si="83"/>
        <v>4560</v>
      </c>
      <c r="R159" s="1">
        <f ca="1" t="shared" si="71"/>
        <v>1584</v>
      </c>
      <c r="S159" s="1">
        <f ca="1" t="shared" si="72"/>
        <v>1584</v>
      </c>
      <c r="T159" s="5">
        <f ca="1" t="shared" si="84"/>
        <v>15523.2</v>
      </c>
      <c r="U159" s="1">
        <f ca="1" t="shared" si="73"/>
        <v>1114560</v>
      </c>
      <c r="V159" s="1">
        <f ca="1" t="shared" si="74"/>
        <v>1114560</v>
      </c>
      <c r="W159" s="5">
        <f ca="1" t="shared" si="85"/>
        <v>14433120</v>
      </c>
      <c r="X159" s="1">
        <f ca="1" t="shared" si="75"/>
        <v>672</v>
      </c>
      <c r="Y159" s="1">
        <f ca="1" t="shared" si="76"/>
        <v>672</v>
      </c>
      <c r="Z159" s="5">
        <f ca="1" t="shared" si="86"/>
        <v>8616</v>
      </c>
      <c r="AA159" s="1">
        <f ca="1" t="shared" si="77"/>
        <v>16.6666666666667</v>
      </c>
      <c r="AB159" s="1">
        <f ca="1" t="shared" si="78"/>
        <v>16.6666666666667</v>
      </c>
      <c r="AC159" s="5">
        <f ca="1" t="shared" si="87"/>
        <v>199.999999999999</v>
      </c>
      <c r="AD159" s="1">
        <f ca="1" t="shared" si="95"/>
        <v>288</v>
      </c>
      <c r="AE159" s="1">
        <f ca="1" t="shared" si="96"/>
        <v>288</v>
      </c>
      <c r="AF159" s="5">
        <f ca="1" t="shared" si="88"/>
        <v>3187.2</v>
      </c>
    </row>
    <row r="160" spans="1:32">
      <c r="A160" s="10">
        <v>20</v>
      </c>
      <c r="B160" s="1">
        <f t="shared" si="79"/>
        <v>1</v>
      </c>
      <c r="C160" s="1">
        <f ca="1" t="shared" si="89"/>
        <v>407</v>
      </c>
      <c r="D160" s="1">
        <f ca="1" t="shared" si="90"/>
        <v>2272320</v>
      </c>
      <c r="E160" s="1">
        <f ca="1" t="shared" si="68"/>
        <v>2272320</v>
      </c>
      <c r="F160" s="5">
        <f ca="1" t="shared" si="80"/>
        <v>33743520</v>
      </c>
      <c r="G160" s="1">
        <f ca="1" t="shared" si="91"/>
        <v>1392</v>
      </c>
      <c r="H160" s="1">
        <f ca="1" t="shared" si="69"/>
        <v>1392</v>
      </c>
      <c r="I160" s="5">
        <f ca="1" t="shared" si="81"/>
        <v>20659.2</v>
      </c>
      <c r="J160" s="1">
        <f ca="1" t="shared" si="92"/>
        <v>0.6936</v>
      </c>
      <c r="K160" s="1">
        <f ca="1" t="shared" si="70"/>
        <v>0.6936</v>
      </c>
      <c r="L160" s="5">
        <f ca="1" t="shared" si="82"/>
        <v>9.45816</v>
      </c>
      <c r="M160" s="5">
        <f ca="1">L160*控制台!$E$4819</f>
        <v>7.566528</v>
      </c>
      <c r="N160" s="5">
        <f ca="1">L160*控制台!$E$4820</f>
        <v>173.084328</v>
      </c>
      <c r="O160" s="1">
        <f ca="1" t="shared" si="93"/>
        <v>510</v>
      </c>
      <c r="P160" s="1">
        <f ca="1" t="shared" si="94"/>
        <v>510</v>
      </c>
      <c r="Q160" s="5">
        <f ca="1" t="shared" si="83"/>
        <v>5070</v>
      </c>
      <c r="R160" s="1">
        <f ca="1" t="shared" si="71"/>
        <v>1680</v>
      </c>
      <c r="S160" s="1">
        <f ca="1" t="shared" si="72"/>
        <v>1680</v>
      </c>
      <c r="T160" s="5">
        <f ca="1" t="shared" si="84"/>
        <v>17203.2</v>
      </c>
      <c r="U160" s="1">
        <f ca="1" t="shared" si="73"/>
        <v>1131840</v>
      </c>
      <c r="V160" s="1">
        <f ca="1" t="shared" si="74"/>
        <v>1131840</v>
      </c>
      <c r="W160" s="5">
        <f ca="1" t="shared" si="85"/>
        <v>15564960</v>
      </c>
      <c r="X160" s="1">
        <f ca="1" t="shared" si="75"/>
        <v>672</v>
      </c>
      <c r="Y160" s="1">
        <f ca="1" t="shared" si="76"/>
        <v>672</v>
      </c>
      <c r="Z160" s="5">
        <f ca="1" t="shared" si="86"/>
        <v>9288</v>
      </c>
      <c r="AA160" s="1">
        <f ca="1" t="shared" si="77"/>
        <v>16.6666666666667</v>
      </c>
      <c r="AB160" s="1">
        <f ca="1" t="shared" si="78"/>
        <v>16.6666666666667</v>
      </c>
      <c r="AC160" s="5">
        <f ca="1" t="shared" si="87"/>
        <v>216.666666666666</v>
      </c>
      <c r="AD160" s="1">
        <f ca="1" t="shared" si="95"/>
        <v>336</v>
      </c>
      <c r="AE160" s="1">
        <f ca="1" t="shared" si="96"/>
        <v>336</v>
      </c>
      <c r="AF160" s="5">
        <f ca="1" t="shared" si="88"/>
        <v>3523.2</v>
      </c>
    </row>
    <row r="161" spans="1:32">
      <c r="A161" s="10">
        <v>21</v>
      </c>
      <c r="B161" s="1">
        <f t="shared" si="79"/>
        <v>1</v>
      </c>
      <c r="C161" s="1">
        <f ca="1" t="shared" si="89"/>
        <v>408</v>
      </c>
      <c r="D161" s="1">
        <f ca="1" t="shared" si="90"/>
        <v>2324160</v>
      </c>
      <c r="E161" s="1">
        <f ca="1" t="shared" si="68"/>
        <v>2324160</v>
      </c>
      <c r="F161" s="5">
        <f ca="1" t="shared" si="80"/>
        <v>36067680</v>
      </c>
      <c r="G161" s="1">
        <f ca="1" t="shared" si="91"/>
        <v>1440</v>
      </c>
      <c r="H161" s="1">
        <f ca="1" t="shared" si="69"/>
        <v>1440</v>
      </c>
      <c r="I161" s="5">
        <f ca="1" t="shared" si="81"/>
        <v>22099.2</v>
      </c>
      <c r="J161" s="1">
        <f ca="1" t="shared" si="92"/>
        <v>0.7116</v>
      </c>
      <c r="K161" s="1">
        <f ca="1" t="shared" si="70"/>
        <v>0.7116</v>
      </c>
      <c r="L161" s="5">
        <f ca="1" t="shared" si="82"/>
        <v>10.16976</v>
      </c>
      <c r="M161" s="5">
        <f ca="1">L161*控制台!$E$4819</f>
        <v>8.135808</v>
      </c>
      <c r="N161" s="5">
        <f ca="1">L161*控制台!$E$4820</f>
        <v>186.106608</v>
      </c>
      <c r="O161" s="1">
        <f ca="1" t="shared" si="93"/>
        <v>540</v>
      </c>
      <c r="P161" s="1">
        <f ca="1" t="shared" si="94"/>
        <v>540</v>
      </c>
      <c r="Q161" s="5">
        <f ca="1" t="shared" si="83"/>
        <v>5610</v>
      </c>
      <c r="R161" s="1">
        <f ca="1" t="shared" si="71"/>
        <v>1776</v>
      </c>
      <c r="S161" s="1">
        <f ca="1" t="shared" si="72"/>
        <v>1776</v>
      </c>
      <c r="T161" s="5">
        <f ca="1" t="shared" si="84"/>
        <v>18979.2</v>
      </c>
      <c r="U161" s="1">
        <f ca="1" t="shared" si="73"/>
        <v>1157760</v>
      </c>
      <c r="V161" s="1">
        <f ca="1" t="shared" si="74"/>
        <v>1157760</v>
      </c>
      <c r="W161" s="5">
        <f ca="1" t="shared" si="85"/>
        <v>16722720</v>
      </c>
      <c r="X161" s="1">
        <f ca="1" t="shared" si="75"/>
        <v>720</v>
      </c>
      <c r="Y161" s="1">
        <f ca="1" t="shared" si="76"/>
        <v>720</v>
      </c>
      <c r="Z161" s="5">
        <f ca="1" t="shared" si="86"/>
        <v>10008</v>
      </c>
      <c r="AA161" s="1">
        <f ca="1" t="shared" si="77"/>
        <v>16.6666666666667</v>
      </c>
      <c r="AB161" s="1">
        <f ca="1" t="shared" si="78"/>
        <v>16.6666666666667</v>
      </c>
      <c r="AC161" s="5">
        <f ca="1" t="shared" si="87"/>
        <v>233.333333333333</v>
      </c>
      <c r="AD161" s="1">
        <f ca="1" t="shared" si="95"/>
        <v>336</v>
      </c>
      <c r="AE161" s="1">
        <f ca="1" t="shared" si="96"/>
        <v>336</v>
      </c>
      <c r="AF161" s="5">
        <f ca="1" t="shared" si="88"/>
        <v>3859.2</v>
      </c>
    </row>
    <row r="162" spans="1:32">
      <c r="A162" s="10">
        <v>22</v>
      </c>
      <c r="B162" s="1">
        <f t="shared" si="79"/>
        <v>1</v>
      </c>
      <c r="C162" s="1">
        <f ca="1" t="shared" si="89"/>
        <v>409</v>
      </c>
      <c r="D162" s="1">
        <f ca="1" t="shared" si="90"/>
        <v>2376000</v>
      </c>
      <c r="E162" s="1">
        <f ca="1" t="shared" si="68"/>
        <v>2376000</v>
      </c>
      <c r="F162" s="5">
        <f ca="1" t="shared" si="80"/>
        <v>38443680</v>
      </c>
      <c r="G162" s="1">
        <f ca="1" t="shared" si="91"/>
        <v>1440</v>
      </c>
      <c r="H162" s="1">
        <f ca="1" t="shared" si="69"/>
        <v>1440</v>
      </c>
      <c r="I162" s="5">
        <f ca="1" t="shared" si="81"/>
        <v>23539.2</v>
      </c>
      <c r="J162" s="1">
        <f ca="1" t="shared" si="92"/>
        <v>0.7308</v>
      </c>
      <c r="K162" s="1">
        <f ca="1" t="shared" si="70"/>
        <v>0.7308</v>
      </c>
      <c r="L162" s="5">
        <f ca="1" t="shared" si="82"/>
        <v>10.90056</v>
      </c>
      <c r="M162" s="5">
        <f ca="1">L162*控制台!$E$4819</f>
        <v>8.720448</v>
      </c>
      <c r="N162" s="5">
        <f ca="1">L162*控制台!$E$4820</f>
        <v>199.480248</v>
      </c>
      <c r="O162" s="1">
        <f ca="1" t="shared" si="93"/>
        <v>570</v>
      </c>
      <c r="P162" s="1">
        <f ca="1" t="shared" si="94"/>
        <v>570</v>
      </c>
      <c r="Q162" s="5">
        <f ca="1" t="shared" si="83"/>
        <v>6180</v>
      </c>
      <c r="R162" s="1">
        <f ca="1" t="shared" si="71"/>
        <v>1872</v>
      </c>
      <c r="S162" s="1">
        <f ca="1" t="shared" si="72"/>
        <v>1872</v>
      </c>
      <c r="T162" s="5">
        <f ca="1" t="shared" si="84"/>
        <v>20851.2</v>
      </c>
      <c r="U162" s="1">
        <f ca="1" t="shared" si="73"/>
        <v>1183680</v>
      </c>
      <c r="V162" s="1">
        <f ca="1" t="shared" si="74"/>
        <v>1183680</v>
      </c>
      <c r="W162" s="5">
        <f ca="1" t="shared" si="85"/>
        <v>17906400</v>
      </c>
      <c r="X162" s="1">
        <f ca="1" t="shared" si="75"/>
        <v>720</v>
      </c>
      <c r="Y162" s="1">
        <f ca="1" t="shared" si="76"/>
        <v>720</v>
      </c>
      <c r="Z162" s="5">
        <f ca="1" t="shared" si="86"/>
        <v>10728</v>
      </c>
      <c r="AA162" s="1">
        <f ca="1" t="shared" si="77"/>
        <v>16.6666666666667</v>
      </c>
      <c r="AB162" s="1">
        <f ca="1" t="shared" si="78"/>
        <v>16.6666666666667</v>
      </c>
      <c r="AC162" s="5">
        <f ca="1" t="shared" si="87"/>
        <v>249.999999999999</v>
      </c>
      <c r="AD162" s="1">
        <f ca="1" t="shared" si="95"/>
        <v>336</v>
      </c>
      <c r="AE162" s="1">
        <f ca="1" t="shared" si="96"/>
        <v>336</v>
      </c>
      <c r="AF162" s="5">
        <f ca="1" t="shared" si="88"/>
        <v>4195.2</v>
      </c>
    </row>
    <row r="163" spans="1:32">
      <c r="A163" s="10">
        <v>23</v>
      </c>
      <c r="B163" s="1">
        <f t="shared" si="79"/>
        <v>1</v>
      </c>
      <c r="C163" s="1">
        <f ca="1" t="shared" si="89"/>
        <v>410</v>
      </c>
      <c r="D163" s="1">
        <f ca="1" t="shared" si="90"/>
        <v>2427840</v>
      </c>
      <c r="E163" s="1">
        <f ca="1" t="shared" si="68"/>
        <v>2427840</v>
      </c>
      <c r="F163" s="5">
        <f ca="1" t="shared" si="80"/>
        <v>40871520</v>
      </c>
      <c r="G163" s="1">
        <f ca="1" t="shared" si="91"/>
        <v>1488</v>
      </c>
      <c r="H163" s="1">
        <f ca="1" t="shared" si="69"/>
        <v>1488</v>
      </c>
      <c r="I163" s="5">
        <f ca="1" t="shared" si="81"/>
        <v>25027.2</v>
      </c>
      <c r="J163" s="1">
        <f ca="1" t="shared" si="92"/>
        <v>0.75</v>
      </c>
      <c r="K163" s="1">
        <f ca="1" t="shared" si="70"/>
        <v>0.75</v>
      </c>
      <c r="L163" s="5">
        <f ca="1" t="shared" si="82"/>
        <v>11.65056</v>
      </c>
      <c r="M163" s="5">
        <f ca="1">L163*控制台!$E$4819</f>
        <v>9.320448</v>
      </c>
      <c r="N163" s="5">
        <f ca="1">L163*控制台!$E$4820</f>
        <v>213.205248</v>
      </c>
      <c r="O163" s="1">
        <f ca="1" t="shared" si="93"/>
        <v>600</v>
      </c>
      <c r="P163" s="1">
        <f ca="1" t="shared" si="94"/>
        <v>600</v>
      </c>
      <c r="Q163" s="5">
        <f ca="1" t="shared" si="83"/>
        <v>6780</v>
      </c>
      <c r="R163" s="1">
        <f ca="1" t="shared" si="71"/>
        <v>1968</v>
      </c>
      <c r="S163" s="1">
        <f ca="1" t="shared" si="72"/>
        <v>1968</v>
      </c>
      <c r="T163" s="5">
        <f ca="1" t="shared" si="84"/>
        <v>22819.2</v>
      </c>
      <c r="U163" s="1">
        <f ca="1" t="shared" si="73"/>
        <v>1209600</v>
      </c>
      <c r="V163" s="1">
        <f ca="1" t="shared" si="74"/>
        <v>1209600</v>
      </c>
      <c r="W163" s="5">
        <f ca="1" t="shared" si="85"/>
        <v>19116000</v>
      </c>
      <c r="X163" s="1">
        <f ca="1" t="shared" si="75"/>
        <v>720</v>
      </c>
      <c r="Y163" s="1">
        <f ca="1" t="shared" si="76"/>
        <v>720</v>
      </c>
      <c r="Z163" s="5">
        <f ca="1" t="shared" si="86"/>
        <v>11448</v>
      </c>
      <c r="AA163" s="1">
        <f ca="1" t="shared" si="77"/>
        <v>16.6666666666667</v>
      </c>
      <c r="AB163" s="1">
        <f ca="1" t="shared" si="78"/>
        <v>16.6666666666667</v>
      </c>
      <c r="AC163" s="5">
        <f ca="1" t="shared" si="87"/>
        <v>266.666666666666</v>
      </c>
      <c r="AD163" s="1">
        <f ca="1" t="shared" si="95"/>
        <v>384</v>
      </c>
      <c r="AE163" s="1">
        <f ca="1" t="shared" si="96"/>
        <v>384</v>
      </c>
      <c r="AF163" s="5">
        <f ca="1" t="shared" si="88"/>
        <v>4579.2</v>
      </c>
    </row>
    <row r="164" spans="1:32">
      <c r="A164" s="10">
        <v>24</v>
      </c>
      <c r="B164" s="1">
        <f t="shared" si="79"/>
        <v>1</v>
      </c>
      <c r="C164" s="1">
        <f ca="1" t="shared" si="89"/>
        <v>410</v>
      </c>
      <c r="D164" s="1">
        <f ca="1" t="shared" si="90"/>
        <v>2427840</v>
      </c>
      <c r="E164" s="1">
        <f ca="1" t="shared" si="68"/>
        <v>2427840</v>
      </c>
      <c r="F164" s="5">
        <f ca="1" t="shared" si="80"/>
        <v>43299360</v>
      </c>
      <c r="G164" s="1">
        <f ca="1" t="shared" si="91"/>
        <v>1488</v>
      </c>
      <c r="H164" s="1">
        <f ca="1" t="shared" si="69"/>
        <v>1488</v>
      </c>
      <c r="I164" s="5">
        <f ca="1" t="shared" si="81"/>
        <v>26515.2</v>
      </c>
      <c r="J164" s="1">
        <f ca="1" t="shared" si="92"/>
        <v>0.75</v>
      </c>
      <c r="K164" s="1">
        <f ca="1" t="shared" si="70"/>
        <v>0.75</v>
      </c>
      <c r="L164" s="5">
        <f ca="1" t="shared" si="82"/>
        <v>12.40056</v>
      </c>
      <c r="M164" s="5">
        <f ca="1">L164*控制台!$E$4819</f>
        <v>9.920448</v>
      </c>
      <c r="N164" s="5">
        <f ca="1">L164*控制台!$E$4820</f>
        <v>226.930248</v>
      </c>
      <c r="O164" s="1">
        <f ca="1" t="shared" si="93"/>
        <v>600</v>
      </c>
      <c r="P164" s="1">
        <f ca="1" t="shared" si="94"/>
        <v>600</v>
      </c>
      <c r="Q164" s="5">
        <f ca="1" t="shared" si="83"/>
        <v>7380</v>
      </c>
      <c r="R164" s="1">
        <f ca="1" t="shared" si="71"/>
        <v>1968</v>
      </c>
      <c r="S164" s="1">
        <f ca="1" t="shared" si="72"/>
        <v>1968</v>
      </c>
      <c r="T164" s="5">
        <f ca="1" t="shared" si="84"/>
        <v>24787.2</v>
      </c>
      <c r="U164" s="1">
        <f ca="1" t="shared" si="73"/>
        <v>1209600</v>
      </c>
      <c r="V164" s="1">
        <f ca="1" t="shared" si="74"/>
        <v>1209600</v>
      </c>
      <c r="W164" s="5">
        <f ca="1" t="shared" si="85"/>
        <v>20325600</v>
      </c>
      <c r="X164" s="1">
        <f ca="1" t="shared" si="75"/>
        <v>720</v>
      </c>
      <c r="Y164" s="1">
        <f ca="1" t="shared" si="76"/>
        <v>720</v>
      </c>
      <c r="Z164" s="5">
        <f ca="1" t="shared" si="86"/>
        <v>12168</v>
      </c>
      <c r="AA164" s="1">
        <f ca="1" t="shared" si="77"/>
        <v>16.6666666666667</v>
      </c>
      <c r="AB164" s="1">
        <f ca="1" t="shared" si="78"/>
        <v>16.6666666666667</v>
      </c>
      <c r="AC164" s="5">
        <f ca="1" t="shared" si="87"/>
        <v>283.333333333333</v>
      </c>
      <c r="AD164" s="1">
        <f ca="1" t="shared" si="95"/>
        <v>384</v>
      </c>
      <c r="AE164" s="1">
        <f ca="1" t="shared" si="96"/>
        <v>384</v>
      </c>
      <c r="AF164" s="5">
        <f ca="1" t="shared" si="88"/>
        <v>4963.2</v>
      </c>
    </row>
    <row r="165" spans="1:32">
      <c r="A165" s="10">
        <v>25</v>
      </c>
      <c r="B165" s="1">
        <f t="shared" si="79"/>
        <v>1</v>
      </c>
      <c r="C165" s="1">
        <f ca="1" t="shared" si="89"/>
        <v>501</v>
      </c>
      <c r="D165" s="1">
        <f ca="1" t="shared" si="90"/>
        <v>2479680</v>
      </c>
      <c r="E165" s="1">
        <f ca="1" t="shared" si="68"/>
        <v>2479680</v>
      </c>
      <c r="F165" s="5">
        <f ca="1" t="shared" si="80"/>
        <v>45779040</v>
      </c>
      <c r="G165" s="1">
        <f ca="1" t="shared" si="91"/>
        <v>1488</v>
      </c>
      <c r="H165" s="1">
        <f ca="1" t="shared" si="69"/>
        <v>1488</v>
      </c>
      <c r="I165" s="5">
        <f ca="1" t="shared" si="81"/>
        <v>28003.2</v>
      </c>
      <c r="J165" s="1">
        <f ca="1" t="shared" si="92"/>
        <v>0.7872</v>
      </c>
      <c r="K165" s="1">
        <f ca="1" t="shared" si="70"/>
        <v>0.7872</v>
      </c>
      <c r="L165" s="5">
        <f ca="1" t="shared" si="82"/>
        <v>13.18776</v>
      </c>
      <c r="M165" s="5">
        <f ca="1">L165*控制台!$E$4819</f>
        <v>10.550208</v>
      </c>
      <c r="N165" s="5">
        <f ca="1">L165*控制台!$E$4820</f>
        <v>241.336008</v>
      </c>
      <c r="O165" s="1">
        <f ca="1" t="shared" si="93"/>
        <v>630</v>
      </c>
      <c r="P165" s="1">
        <f ca="1" t="shared" si="94"/>
        <v>630</v>
      </c>
      <c r="Q165" s="5">
        <f ca="1" t="shared" si="83"/>
        <v>8010</v>
      </c>
      <c r="R165" s="1">
        <f ca="1" t="shared" si="71"/>
        <v>2064</v>
      </c>
      <c r="S165" s="1">
        <f ca="1" t="shared" si="72"/>
        <v>2064</v>
      </c>
      <c r="T165" s="5">
        <f ca="1" t="shared" si="84"/>
        <v>26851.2</v>
      </c>
      <c r="U165" s="1">
        <f ca="1" t="shared" si="73"/>
        <v>1235520</v>
      </c>
      <c r="V165" s="1">
        <f ca="1" t="shared" si="74"/>
        <v>1235520</v>
      </c>
      <c r="W165" s="5">
        <f ca="1" t="shared" si="85"/>
        <v>21561120</v>
      </c>
      <c r="X165" s="1">
        <f ca="1" t="shared" si="75"/>
        <v>720</v>
      </c>
      <c r="Y165" s="1">
        <f ca="1" t="shared" si="76"/>
        <v>720</v>
      </c>
      <c r="Z165" s="5">
        <f ca="1" t="shared" si="86"/>
        <v>12888</v>
      </c>
      <c r="AA165" s="1">
        <f ca="1" t="shared" si="77"/>
        <v>16.6666666666667</v>
      </c>
      <c r="AB165" s="1">
        <f ca="1" t="shared" si="78"/>
        <v>16.6666666666667</v>
      </c>
      <c r="AC165" s="5">
        <f ca="1" t="shared" si="87"/>
        <v>299.999999999999</v>
      </c>
      <c r="AD165" s="1">
        <f ca="1" t="shared" si="95"/>
        <v>384</v>
      </c>
      <c r="AE165" s="1">
        <f ca="1" t="shared" si="96"/>
        <v>384</v>
      </c>
      <c r="AF165" s="5">
        <f ca="1" t="shared" si="88"/>
        <v>5347.2</v>
      </c>
    </row>
    <row r="166" spans="1:32">
      <c r="A166" s="10">
        <v>26</v>
      </c>
      <c r="B166" s="1">
        <f t="shared" si="79"/>
        <v>1</v>
      </c>
      <c r="C166" s="1">
        <f ca="1" t="shared" si="89"/>
        <v>502</v>
      </c>
      <c r="D166" s="1">
        <f ca="1" t="shared" si="90"/>
        <v>2522880</v>
      </c>
      <c r="E166" s="1">
        <f ca="1" t="shared" si="68"/>
        <v>2522880</v>
      </c>
      <c r="F166" s="5">
        <f ca="1" t="shared" si="80"/>
        <v>48301920</v>
      </c>
      <c r="G166" s="1">
        <f ca="1" t="shared" si="91"/>
        <v>1536</v>
      </c>
      <c r="H166" s="1">
        <f ca="1" t="shared" si="69"/>
        <v>1536</v>
      </c>
      <c r="I166" s="5">
        <f ca="1" t="shared" si="81"/>
        <v>29539.2</v>
      </c>
      <c r="J166" s="1">
        <f ca="1" t="shared" si="92"/>
        <v>0.8244</v>
      </c>
      <c r="K166" s="1">
        <f ca="1" t="shared" si="70"/>
        <v>0.8244</v>
      </c>
      <c r="L166" s="5">
        <f ca="1" t="shared" si="82"/>
        <v>14.01216</v>
      </c>
      <c r="M166" s="5">
        <f ca="1">L166*控制台!$E$4819</f>
        <v>11.209728</v>
      </c>
      <c r="N166" s="5">
        <f ca="1">L166*控制台!$E$4820</f>
        <v>256.422528</v>
      </c>
      <c r="O166" s="1">
        <f ca="1" t="shared" si="93"/>
        <v>660</v>
      </c>
      <c r="P166" s="1">
        <f ca="1" t="shared" si="94"/>
        <v>660</v>
      </c>
      <c r="Q166" s="5">
        <f ca="1" t="shared" si="83"/>
        <v>8670</v>
      </c>
      <c r="R166" s="1">
        <f ca="1" t="shared" si="71"/>
        <v>2160</v>
      </c>
      <c r="S166" s="1">
        <f ca="1" t="shared" si="72"/>
        <v>2160</v>
      </c>
      <c r="T166" s="5">
        <f ca="1" t="shared" si="84"/>
        <v>29011.2</v>
      </c>
      <c r="U166" s="1">
        <f ca="1" t="shared" si="73"/>
        <v>1261440</v>
      </c>
      <c r="V166" s="1">
        <f ca="1" t="shared" si="74"/>
        <v>1261440</v>
      </c>
      <c r="W166" s="5">
        <f ca="1" t="shared" si="85"/>
        <v>22822560</v>
      </c>
      <c r="X166" s="1">
        <f ca="1" t="shared" si="75"/>
        <v>768</v>
      </c>
      <c r="Y166" s="1">
        <f ca="1" t="shared" si="76"/>
        <v>768</v>
      </c>
      <c r="Z166" s="5">
        <f ca="1" t="shared" si="86"/>
        <v>13656</v>
      </c>
      <c r="AA166" s="1">
        <f ca="1" t="shared" si="77"/>
        <v>16.6666666666667</v>
      </c>
      <c r="AB166" s="1">
        <f ca="1" t="shared" si="78"/>
        <v>16.6666666666667</v>
      </c>
      <c r="AC166" s="5">
        <f ca="1" t="shared" si="87"/>
        <v>316.666666666666</v>
      </c>
      <c r="AD166" s="1">
        <f ca="1" t="shared" si="95"/>
        <v>432</v>
      </c>
      <c r="AE166" s="1">
        <f ca="1" t="shared" si="96"/>
        <v>432</v>
      </c>
      <c r="AF166" s="5">
        <f ca="1" t="shared" si="88"/>
        <v>5779.2</v>
      </c>
    </row>
    <row r="167" spans="1:32">
      <c r="A167" s="10">
        <v>27</v>
      </c>
      <c r="B167" s="1">
        <f t="shared" si="79"/>
        <v>1</v>
      </c>
      <c r="C167" s="1">
        <f ca="1" t="shared" si="89"/>
        <v>503</v>
      </c>
      <c r="D167" s="1">
        <f ca="1" t="shared" si="90"/>
        <v>2574720</v>
      </c>
      <c r="E167" s="1">
        <f ca="1" t="shared" si="68"/>
        <v>2574720</v>
      </c>
      <c r="F167" s="5">
        <f ca="1" t="shared" si="80"/>
        <v>50876640</v>
      </c>
      <c r="G167" s="1">
        <f ca="1" t="shared" si="91"/>
        <v>1584</v>
      </c>
      <c r="H167" s="1">
        <f ca="1" t="shared" si="69"/>
        <v>1584</v>
      </c>
      <c r="I167" s="5">
        <f ca="1" t="shared" si="81"/>
        <v>31123.2</v>
      </c>
      <c r="J167" s="1">
        <f ca="1" t="shared" si="92"/>
        <v>0.8616</v>
      </c>
      <c r="K167" s="1">
        <f ca="1" t="shared" si="70"/>
        <v>0.8616</v>
      </c>
      <c r="L167" s="5">
        <f ca="1" t="shared" si="82"/>
        <v>14.87376</v>
      </c>
      <c r="M167" s="5">
        <f ca="1">L167*控制台!$E$4819</f>
        <v>11.899008</v>
      </c>
      <c r="N167" s="5">
        <f ca="1">L167*控制台!$E$4820</f>
        <v>272.189808</v>
      </c>
      <c r="O167" s="1">
        <f ca="1" t="shared" si="93"/>
        <v>690</v>
      </c>
      <c r="P167" s="1">
        <f ca="1" t="shared" si="94"/>
        <v>690</v>
      </c>
      <c r="Q167" s="5">
        <f ca="1" t="shared" si="83"/>
        <v>9360</v>
      </c>
      <c r="R167" s="1">
        <f ca="1" t="shared" si="71"/>
        <v>2256</v>
      </c>
      <c r="S167" s="1">
        <f ca="1" t="shared" si="72"/>
        <v>2256</v>
      </c>
      <c r="T167" s="5">
        <f ca="1" t="shared" si="84"/>
        <v>31267.2</v>
      </c>
      <c r="U167" s="1">
        <f ca="1" t="shared" si="73"/>
        <v>1287360</v>
      </c>
      <c r="V167" s="1">
        <f ca="1" t="shared" si="74"/>
        <v>1287360</v>
      </c>
      <c r="W167" s="5">
        <f ca="1" t="shared" si="85"/>
        <v>24109920</v>
      </c>
      <c r="X167" s="1">
        <f ca="1" t="shared" si="75"/>
        <v>768</v>
      </c>
      <c r="Y167" s="1">
        <f ca="1" t="shared" si="76"/>
        <v>768</v>
      </c>
      <c r="Z167" s="5">
        <f ca="1" t="shared" si="86"/>
        <v>14424</v>
      </c>
      <c r="AA167" s="1">
        <f ca="1" t="shared" si="77"/>
        <v>16.6666666666667</v>
      </c>
      <c r="AB167" s="1">
        <f ca="1" t="shared" si="78"/>
        <v>16.6666666666667</v>
      </c>
      <c r="AC167" s="5">
        <f ca="1" t="shared" si="87"/>
        <v>333.333333333333</v>
      </c>
      <c r="AD167" s="1">
        <f ca="1" t="shared" si="95"/>
        <v>432</v>
      </c>
      <c r="AE167" s="1">
        <f ca="1" t="shared" si="96"/>
        <v>432</v>
      </c>
      <c r="AF167" s="5">
        <f ca="1" t="shared" si="88"/>
        <v>6211.2</v>
      </c>
    </row>
    <row r="168" spans="1:32">
      <c r="A168" s="10">
        <v>28</v>
      </c>
      <c r="B168" s="1">
        <f t="shared" si="79"/>
        <v>1</v>
      </c>
      <c r="C168" s="1">
        <f ca="1" t="shared" si="89"/>
        <v>504</v>
      </c>
      <c r="D168" s="1">
        <f ca="1" t="shared" si="90"/>
        <v>2626560</v>
      </c>
      <c r="E168" s="1">
        <f ca="1" t="shared" si="68"/>
        <v>2626560</v>
      </c>
      <c r="F168" s="5">
        <f ca="1" t="shared" si="80"/>
        <v>53503200</v>
      </c>
      <c r="G168" s="1">
        <f ca="1" t="shared" si="91"/>
        <v>1584</v>
      </c>
      <c r="H168" s="1">
        <f ca="1" t="shared" si="69"/>
        <v>1584</v>
      </c>
      <c r="I168" s="5">
        <f ca="1" t="shared" si="81"/>
        <v>32707.2</v>
      </c>
      <c r="J168" s="1">
        <f ca="1" t="shared" si="92"/>
        <v>0.9</v>
      </c>
      <c r="K168" s="1">
        <f ca="1" t="shared" si="70"/>
        <v>0.9</v>
      </c>
      <c r="L168" s="5">
        <f ca="1" t="shared" si="82"/>
        <v>15.77376</v>
      </c>
      <c r="M168" s="5">
        <f ca="1">L168*控制台!$E$4819</f>
        <v>12.619008</v>
      </c>
      <c r="N168" s="5">
        <f ca="1">L168*控制台!$E$4820</f>
        <v>288.659808</v>
      </c>
      <c r="O168" s="1">
        <f ca="1" t="shared" si="93"/>
        <v>720</v>
      </c>
      <c r="P168" s="1">
        <f ca="1" t="shared" si="94"/>
        <v>720</v>
      </c>
      <c r="Q168" s="5">
        <f ca="1" t="shared" si="83"/>
        <v>10080</v>
      </c>
      <c r="R168" s="1">
        <f ca="1" t="shared" si="71"/>
        <v>2400</v>
      </c>
      <c r="S168" s="1">
        <f ca="1" t="shared" si="72"/>
        <v>2400</v>
      </c>
      <c r="T168" s="5">
        <f ca="1" t="shared" si="84"/>
        <v>33667.2</v>
      </c>
      <c r="U168" s="1">
        <f ca="1" t="shared" si="73"/>
        <v>1313280</v>
      </c>
      <c r="V168" s="1">
        <f ca="1" t="shared" si="74"/>
        <v>1313280</v>
      </c>
      <c r="W168" s="5">
        <f ca="1" t="shared" si="85"/>
        <v>25423200</v>
      </c>
      <c r="X168" s="1">
        <f ca="1" t="shared" si="75"/>
        <v>768</v>
      </c>
      <c r="Y168" s="1">
        <f ca="1" t="shared" si="76"/>
        <v>768</v>
      </c>
      <c r="Z168" s="5">
        <f ca="1" t="shared" si="86"/>
        <v>15192</v>
      </c>
      <c r="AA168" s="1">
        <f ca="1" t="shared" si="77"/>
        <v>16.6666666666667</v>
      </c>
      <c r="AB168" s="1">
        <f ca="1" t="shared" si="78"/>
        <v>16.6666666666667</v>
      </c>
      <c r="AC168" s="5">
        <f ca="1" t="shared" si="87"/>
        <v>349.999999999999</v>
      </c>
      <c r="AD168" s="1">
        <f ca="1" t="shared" si="95"/>
        <v>480</v>
      </c>
      <c r="AE168" s="1">
        <f ca="1" t="shared" si="96"/>
        <v>480</v>
      </c>
      <c r="AF168" s="5">
        <f ca="1" t="shared" si="88"/>
        <v>6691.2</v>
      </c>
    </row>
    <row r="169" spans="1:32">
      <c r="A169" s="10">
        <v>29</v>
      </c>
      <c r="B169" s="1">
        <f t="shared" si="79"/>
        <v>1</v>
      </c>
      <c r="C169" s="1">
        <f ca="1" t="shared" si="89"/>
        <v>505</v>
      </c>
      <c r="D169" s="1">
        <f ca="1" t="shared" si="90"/>
        <v>2678400</v>
      </c>
      <c r="E169" s="1">
        <f ca="1" t="shared" si="68"/>
        <v>2678400</v>
      </c>
      <c r="F169" s="5">
        <f ca="1" t="shared" si="80"/>
        <v>56181600</v>
      </c>
      <c r="G169" s="1">
        <f ca="1" t="shared" si="91"/>
        <v>1632</v>
      </c>
      <c r="H169" s="1">
        <f ca="1" t="shared" si="69"/>
        <v>1632</v>
      </c>
      <c r="I169" s="5">
        <f ca="1" t="shared" si="81"/>
        <v>34339.2</v>
      </c>
      <c r="J169" s="1">
        <f ca="1" t="shared" si="92"/>
        <v>0.9372</v>
      </c>
      <c r="K169" s="1">
        <f ca="1" t="shared" si="70"/>
        <v>0.9372</v>
      </c>
      <c r="L169" s="5">
        <f ca="1" t="shared" si="82"/>
        <v>16.71096</v>
      </c>
      <c r="M169" s="5">
        <f ca="1">L169*控制台!$E$4819</f>
        <v>13.368768</v>
      </c>
      <c r="N169" s="5">
        <f ca="1">L169*控制台!$E$4820</f>
        <v>305.810568</v>
      </c>
      <c r="O169" s="1">
        <f ca="1" t="shared" si="93"/>
        <v>750</v>
      </c>
      <c r="P169" s="1">
        <f ca="1" t="shared" si="94"/>
        <v>750</v>
      </c>
      <c r="Q169" s="5">
        <f ca="1" t="shared" si="83"/>
        <v>10830</v>
      </c>
      <c r="R169" s="1">
        <f ca="1" t="shared" si="71"/>
        <v>2496</v>
      </c>
      <c r="S169" s="1">
        <f ca="1" t="shared" si="72"/>
        <v>2496</v>
      </c>
      <c r="T169" s="5">
        <f ca="1" t="shared" si="84"/>
        <v>36163.2</v>
      </c>
      <c r="U169" s="1">
        <f ca="1" t="shared" si="73"/>
        <v>1339200</v>
      </c>
      <c r="V169" s="1">
        <f ca="1" t="shared" si="74"/>
        <v>1339200</v>
      </c>
      <c r="W169" s="5">
        <f ca="1" t="shared" si="85"/>
        <v>26762400</v>
      </c>
      <c r="X169" s="1">
        <f ca="1" t="shared" si="75"/>
        <v>816</v>
      </c>
      <c r="Y169" s="1">
        <f ca="1" t="shared" si="76"/>
        <v>816</v>
      </c>
      <c r="Z169" s="5">
        <f ca="1" t="shared" si="86"/>
        <v>16008</v>
      </c>
      <c r="AA169" s="1">
        <f ca="1" t="shared" si="77"/>
        <v>16.6666666666667</v>
      </c>
      <c r="AB169" s="1">
        <f ca="1" t="shared" si="78"/>
        <v>16.6666666666667</v>
      </c>
      <c r="AC169" s="5">
        <f ca="1" t="shared" si="87"/>
        <v>366.666666666666</v>
      </c>
      <c r="AD169" s="1">
        <f ca="1" t="shared" si="95"/>
        <v>480</v>
      </c>
      <c r="AE169" s="1">
        <f ca="1" t="shared" si="96"/>
        <v>480</v>
      </c>
      <c r="AF169" s="5">
        <f ca="1" t="shared" si="88"/>
        <v>7171.2</v>
      </c>
    </row>
    <row r="170" spans="1:32">
      <c r="A170" s="10">
        <v>30</v>
      </c>
      <c r="B170" s="1">
        <f t="shared" si="79"/>
        <v>1</v>
      </c>
      <c r="C170" s="1">
        <f ca="1" t="shared" si="89"/>
        <v>505</v>
      </c>
      <c r="D170" s="1">
        <f ca="1" t="shared" si="90"/>
        <v>2678400</v>
      </c>
      <c r="E170" s="1">
        <f ca="1" t="shared" si="68"/>
        <v>2678400</v>
      </c>
      <c r="F170" s="5">
        <f ca="1" t="shared" si="80"/>
        <v>58860000</v>
      </c>
      <c r="G170" s="1">
        <f ca="1" t="shared" si="91"/>
        <v>1632</v>
      </c>
      <c r="H170" s="1">
        <f ca="1" t="shared" si="69"/>
        <v>1632</v>
      </c>
      <c r="I170" s="5">
        <f ca="1" t="shared" si="81"/>
        <v>35971.2</v>
      </c>
      <c r="J170" s="1">
        <f ca="1" t="shared" si="92"/>
        <v>0.9372</v>
      </c>
      <c r="K170" s="1">
        <f ca="1" t="shared" si="70"/>
        <v>0.9372</v>
      </c>
      <c r="L170" s="5">
        <f ca="1" t="shared" si="82"/>
        <v>17.64816</v>
      </c>
      <c r="M170" s="5">
        <f ca="1">L170*控制台!$E$4819</f>
        <v>14.118528</v>
      </c>
      <c r="N170" s="5">
        <f ca="1">L170*控制台!$E$4820</f>
        <v>322.961328</v>
      </c>
      <c r="O170" s="1">
        <f ca="1" t="shared" si="93"/>
        <v>750</v>
      </c>
      <c r="P170" s="1">
        <f ca="1" t="shared" si="94"/>
        <v>750</v>
      </c>
      <c r="Q170" s="5">
        <f ca="1" t="shared" si="83"/>
        <v>11580</v>
      </c>
      <c r="R170" s="1">
        <f ca="1" t="shared" si="71"/>
        <v>2496</v>
      </c>
      <c r="S170" s="1">
        <f ca="1" t="shared" si="72"/>
        <v>2496</v>
      </c>
      <c r="T170" s="5">
        <f ca="1" t="shared" si="84"/>
        <v>38659.2</v>
      </c>
      <c r="U170" s="1">
        <f ca="1" t="shared" si="73"/>
        <v>1339200</v>
      </c>
      <c r="V170" s="1">
        <f ca="1" t="shared" si="74"/>
        <v>1339200</v>
      </c>
      <c r="W170" s="5">
        <f ca="1" t="shared" si="85"/>
        <v>28101600</v>
      </c>
      <c r="X170" s="1">
        <f ca="1" t="shared" si="75"/>
        <v>816</v>
      </c>
      <c r="Y170" s="1">
        <f ca="1" t="shared" si="76"/>
        <v>816</v>
      </c>
      <c r="Z170" s="5">
        <f ca="1" t="shared" si="86"/>
        <v>16824</v>
      </c>
      <c r="AA170" s="1">
        <f ca="1" t="shared" si="77"/>
        <v>16.6666666666667</v>
      </c>
      <c r="AB170" s="1">
        <f ca="1" t="shared" si="78"/>
        <v>16.6666666666667</v>
      </c>
      <c r="AC170" s="5">
        <f ca="1" t="shared" si="87"/>
        <v>383.333333333333</v>
      </c>
      <c r="AD170" s="1">
        <f ca="1" t="shared" si="95"/>
        <v>480</v>
      </c>
      <c r="AE170" s="1">
        <f ca="1" t="shared" si="96"/>
        <v>480</v>
      </c>
      <c r="AF170" s="5">
        <f ca="1" t="shared" si="88"/>
        <v>7651.2</v>
      </c>
    </row>
    <row r="171" spans="1:32">
      <c r="A171" s="11">
        <v>35</v>
      </c>
      <c r="B171" s="1">
        <f t="shared" si="79"/>
        <v>5</v>
      </c>
      <c r="C171" s="1">
        <f ca="1" t="shared" si="89"/>
        <v>510</v>
      </c>
      <c r="D171" s="1">
        <f ca="1" t="shared" si="90"/>
        <v>2928960</v>
      </c>
      <c r="E171" s="1">
        <f ca="1" t="shared" si="68"/>
        <v>14644800</v>
      </c>
      <c r="F171" s="5">
        <f ca="1" t="shared" si="80"/>
        <v>73504800</v>
      </c>
      <c r="G171" s="1">
        <f ca="1" t="shared" si="91"/>
        <v>1776</v>
      </c>
      <c r="H171" s="1">
        <f ca="1" t="shared" si="69"/>
        <v>8880</v>
      </c>
      <c r="I171" s="5">
        <f ca="1" t="shared" si="81"/>
        <v>44851.2</v>
      </c>
      <c r="J171" s="1">
        <f ca="1" t="shared" si="92"/>
        <v>1.1244</v>
      </c>
      <c r="K171" s="1">
        <f ca="1" t="shared" si="70"/>
        <v>5.622</v>
      </c>
      <c r="L171" s="5">
        <f ca="1" t="shared" si="82"/>
        <v>23.27016</v>
      </c>
      <c r="M171" s="5">
        <f ca="1">L171*控制台!$E$4819</f>
        <v>18.616128</v>
      </c>
      <c r="N171" s="5">
        <f ca="1">L171*控制台!$E$4820</f>
        <v>425.843928</v>
      </c>
      <c r="O171" s="1">
        <f ca="1" t="shared" si="93"/>
        <v>900</v>
      </c>
      <c r="P171" s="1">
        <f ca="1" t="shared" si="94"/>
        <v>4500</v>
      </c>
      <c r="Q171" s="5">
        <f ca="1" t="shared" si="83"/>
        <v>16080</v>
      </c>
      <c r="R171" s="1">
        <f ca="1" t="shared" si="71"/>
        <v>2976</v>
      </c>
      <c r="S171" s="1">
        <f ca="1" t="shared" si="72"/>
        <v>14880</v>
      </c>
      <c r="T171" s="5">
        <f ca="1" t="shared" si="84"/>
        <v>53539.2</v>
      </c>
      <c r="U171" s="1">
        <f ca="1" t="shared" si="73"/>
        <v>1460160</v>
      </c>
      <c r="V171" s="1">
        <f ca="1" t="shared" si="74"/>
        <v>7300800</v>
      </c>
      <c r="W171" s="5">
        <f ca="1" t="shared" si="85"/>
        <v>35402400</v>
      </c>
      <c r="X171" s="1">
        <f ca="1" t="shared" si="75"/>
        <v>864</v>
      </c>
      <c r="Y171" s="1">
        <f ca="1" t="shared" si="76"/>
        <v>4320</v>
      </c>
      <c r="Z171" s="5">
        <f ca="1" t="shared" si="86"/>
        <v>21144</v>
      </c>
      <c r="AA171" s="1">
        <f ca="1" t="shared" si="77"/>
        <v>16.6666666666667</v>
      </c>
      <c r="AB171" s="1">
        <f ca="1" t="shared" si="78"/>
        <v>83.3333333333335</v>
      </c>
      <c r="AC171" s="5">
        <f ca="1" t="shared" si="87"/>
        <v>466.666666666666</v>
      </c>
      <c r="AD171" s="1">
        <f ca="1" t="shared" si="95"/>
        <v>576</v>
      </c>
      <c r="AE171" s="1">
        <f ca="1" t="shared" si="96"/>
        <v>2880</v>
      </c>
      <c r="AF171" s="5">
        <f ca="1" t="shared" si="88"/>
        <v>10531.2</v>
      </c>
    </row>
    <row r="172" spans="1:32">
      <c r="A172" s="11">
        <v>40</v>
      </c>
      <c r="B172" s="1">
        <f t="shared" si="79"/>
        <v>5</v>
      </c>
      <c r="C172" s="1">
        <f ca="1" t="shared" si="89"/>
        <v>603</v>
      </c>
      <c r="D172" s="1">
        <f ca="1" t="shared" si="90"/>
        <v>3075840</v>
      </c>
      <c r="E172" s="1">
        <f ca="1" t="shared" si="68"/>
        <v>15379200</v>
      </c>
      <c r="F172" s="5">
        <f ca="1" t="shared" si="80"/>
        <v>88884000</v>
      </c>
      <c r="G172" s="1">
        <f ca="1" t="shared" si="91"/>
        <v>1872</v>
      </c>
      <c r="H172" s="1">
        <f ca="1" t="shared" si="69"/>
        <v>9360</v>
      </c>
      <c r="I172" s="5">
        <f ca="1" t="shared" si="81"/>
        <v>54211.2</v>
      </c>
      <c r="J172" s="1">
        <f ca="1" t="shared" si="92"/>
        <v>1.2372</v>
      </c>
      <c r="K172" s="1">
        <f ca="1" t="shared" si="70"/>
        <v>6.186</v>
      </c>
      <c r="L172" s="5">
        <f ca="1" t="shared" si="82"/>
        <v>29.45616</v>
      </c>
      <c r="M172" s="5">
        <f ca="1">L172*控制台!$E$4819</f>
        <v>23.564928</v>
      </c>
      <c r="N172" s="5">
        <f ca="1">L172*控制台!$E$4820</f>
        <v>539.047728</v>
      </c>
      <c r="O172" s="1">
        <f ca="1" t="shared" si="93"/>
        <v>990</v>
      </c>
      <c r="P172" s="1">
        <f ca="1" t="shared" si="94"/>
        <v>4950</v>
      </c>
      <c r="Q172" s="5">
        <f ca="1" t="shared" si="83"/>
        <v>21030</v>
      </c>
      <c r="R172" s="1">
        <f ca="1" t="shared" si="71"/>
        <v>3264</v>
      </c>
      <c r="S172" s="1">
        <f ca="1" t="shared" si="72"/>
        <v>16320</v>
      </c>
      <c r="T172" s="5">
        <f ca="1" t="shared" si="84"/>
        <v>69859.2</v>
      </c>
      <c r="U172" s="1">
        <f ca="1" t="shared" si="73"/>
        <v>1537920</v>
      </c>
      <c r="V172" s="1">
        <f ca="1" t="shared" si="74"/>
        <v>7689600</v>
      </c>
      <c r="W172" s="5">
        <f ca="1" t="shared" si="85"/>
        <v>43092000</v>
      </c>
      <c r="X172" s="1">
        <f ca="1" t="shared" si="75"/>
        <v>912</v>
      </c>
      <c r="Y172" s="1">
        <f ca="1" t="shared" si="76"/>
        <v>4560</v>
      </c>
      <c r="Z172" s="5">
        <f ca="1" t="shared" si="86"/>
        <v>25704</v>
      </c>
      <c r="AA172" s="1">
        <f ca="1" t="shared" si="77"/>
        <v>16.6666666666667</v>
      </c>
      <c r="AB172" s="1">
        <f ca="1" t="shared" si="78"/>
        <v>83.3333333333335</v>
      </c>
      <c r="AC172" s="5">
        <f ca="1" t="shared" si="87"/>
        <v>550</v>
      </c>
      <c r="AD172" s="1">
        <f ca="1" t="shared" si="95"/>
        <v>768</v>
      </c>
      <c r="AE172" s="1">
        <f ca="1" t="shared" si="96"/>
        <v>3840</v>
      </c>
      <c r="AF172" s="5">
        <f ca="1" t="shared" si="88"/>
        <v>14371.2</v>
      </c>
    </row>
    <row r="173" spans="1:32">
      <c r="A173" s="11">
        <v>45</v>
      </c>
      <c r="B173" s="1">
        <f t="shared" si="79"/>
        <v>5</v>
      </c>
      <c r="C173" s="1">
        <f ca="1" t="shared" si="89"/>
        <v>606</v>
      </c>
      <c r="D173" s="1">
        <f ca="1" t="shared" si="90"/>
        <v>3222720</v>
      </c>
      <c r="E173" s="1">
        <f ca="1" t="shared" si="68"/>
        <v>16113600</v>
      </c>
      <c r="F173" s="5">
        <f ca="1" t="shared" si="80"/>
        <v>104997600</v>
      </c>
      <c r="G173" s="1">
        <f ca="1" t="shared" si="91"/>
        <v>1968</v>
      </c>
      <c r="H173" s="1">
        <f ca="1" t="shared" si="69"/>
        <v>9840</v>
      </c>
      <c r="I173" s="5">
        <f ca="1" t="shared" si="81"/>
        <v>64051.2</v>
      </c>
      <c r="J173" s="1">
        <f ca="1" t="shared" si="92"/>
        <v>1.35</v>
      </c>
      <c r="K173" s="1">
        <f ca="1" t="shared" si="70"/>
        <v>6.75</v>
      </c>
      <c r="L173" s="5">
        <f ca="1" t="shared" si="82"/>
        <v>36.20616</v>
      </c>
      <c r="M173" s="5">
        <f ca="1">L173*控制台!$E$4819</f>
        <v>28.964928</v>
      </c>
      <c r="N173" s="5">
        <f ca="1">L173*控制台!$E$4820</f>
        <v>662.572728</v>
      </c>
      <c r="O173" s="1">
        <f ca="1" t="shared" si="93"/>
        <v>1080</v>
      </c>
      <c r="P173" s="1">
        <f ca="1" t="shared" si="94"/>
        <v>5400</v>
      </c>
      <c r="Q173" s="5">
        <f ca="1" t="shared" si="83"/>
        <v>26430</v>
      </c>
      <c r="R173" s="1">
        <f ca="1" t="shared" si="71"/>
        <v>3600</v>
      </c>
      <c r="S173" s="1">
        <f ca="1" t="shared" si="72"/>
        <v>18000</v>
      </c>
      <c r="T173" s="5">
        <f ca="1" t="shared" si="84"/>
        <v>87859.2</v>
      </c>
      <c r="U173" s="1">
        <f ca="1" t="shared" si="73"/>
        <v>1607040</v>
      </c>
      <c r="V173" s="1">
        <f ca="1" t="shared" si="74"/>
        <v>8035200</v>
      </c>
      <c r="W173" s="5">
        <f ca="1" t="shared" si="85"/>
        <v>51127200</v>
      </c>
      <c r="X173" s="1">
        <f ca="1" t="shared" si="75"/>
        <v>960</v>
      </c>
      <c r="Y173" s="1">
        <f ca="1" t="shared" si="76"/>
        <v>4800</v>
      </c>
      <c r="Z173" s="5">
        <f ca="1" t="shared" si="86"/>
        <v>30504</v>
      </c>
      <c r="AA173" s="1">
        <f ca="1" t="shared" si="77"/>
        <v>16.6666666666667</v>
      </c>
      <c r="AB173" s="1">
        <f ca="1" t="shared" si="78"/>
        <v>83.3333333333335</v>
      </c>
      <c r="AC173" s="5">
        <f ca="1" t="shared" si="87"/>
        <v>633.333333333333</v>
      </c>
      <c r="AD173" s="1">
        <f ca="1" t="shared" si="95"/>
        <v>960</v>
      </c>
      <c r="AE173" s="1">
        <f ca="1" t="shared" si="96"/>
        <v>4800</v>
      </c>
      <c r="AF173" s="5">
        <f ca="1" t="shared" si="88"/>
        <v>19171.2</v>
      </c>
    </row>
    <row r="174" spans="1:32">
      <c r="A174" s="11">
        <v>50</v>
      </c>
      <c r="B174" s="1">
        <f t="shared" si="79"/>
        <v>5</v>
      </c>
      <c r="C174" s="1">
        <f ca="1" t="shared" si="89"/>
        <v>610</v>
      </c>
      <c r="D174" s="1">
        <f ca="1" t="shared" si="90"/>
        <v>3430080</v>
      </c>
      <c r="E174" s="1">
        <f ca="1" t="shared" si="68"/>
        <v>17150400</v>
      </c>
      <c r="F174" s="5">
        <f ca="1" t="shared" si="80"/>
        <v>122148000</v>
      </c>
      <c r="G174" s="1">
        <f ca="1" t="shared" si="91"/>
        <v>2064</v>
      </c>
      <c r="H174" s="1">
        <f ca="1" t="shared" si="69"/>
        <v>10320</v>
      </c>
      <c r="I174" s="5">
        <f ca="1" t="shared" si="81"/>
        <v>74371.2</v>
      </c>
      <c r="J174" s="1">
        <f ca="1" t="shared" si="92"/>
        <v>1.5</v>
      </c>
      <c r="K174" s="1">
        <f ca="1" t="shared" si="70"/>
        <v>7.5</v>
      </c>
      <c r="L174" s="5">
        <f ca="1" t="shared" si="82"/>
        <v>43.70616</v>
      </c>
      <c r="M174" s="5">
        <f ca="1">L174*控制台!$E$4819</f>
        <v>34.964928</v>
      </c>
      <c r="N174" s="5">
        <f ca="1">L174*控制台!$E$4820</f>
        <v>799.822728</v>
      </c>
      <c r="O174" s="1">
        <f ca="1" t="shared" si="93"/>
        <v>1200</v>
      </c>
      <c r="P174" s="1">
        <f ca="1" t="shared" si="94"/>
        <v>6000</v>
      </c>
      <c r="Q174" s="5">
        <f ca="1" t="shared" si="83"/>
        <v>32430</v>
      </c>
      <c r="R174" s="1">
        <f ca="1" t="shared" si="71"/>
        <v>3984</v>
      </c>
      <c r="S174" s="1">
        <f ca="1" t="shared" si="72"/>
        <v>19920</v>
      </c>
      <c r="T174" s="5">
        <f ca="1" t="shared" si="84"/>
        <v>107779.2</v>
      </c>
      <c r="U174" s="1">
        <f ca="1" t="shared" si="73"/>
        <v>1710720</v>
      </c>
      <c r="V174" s="1">
        <f ca="1" t="shared" si="74"/>
        <v>8553600</v>
      </c>
      <c r="W174" s="5">
        <f ca="1" t="shared" si="85"/>
        <v>59680800</v>
      </c>
      <c r="X174" s="1">
        <f ca="1" t="shared" si="75"/>
        <v>1008</v>
      </c>
      <c r="Y174" s="1">
        <f ca="1" t="shared" si="76"/>
        <v>5040</v>
      </c>
      <c r="Z174" s="5">
        <f ca="1" t="shared" si="86"/>
        <v>35544</v>
      </c>
      <c r="AA174" s="1">
        <f ca="1" t="shared" si="77"/>
        <v>16.6666666666667</v>
      </c>
      <c r="AB174" s="1">
        <f ca="1" t="shared" si="78"/>
        <v>83.3333333333335</v>
      </c>
      <c r="AC174" s="5">
        <f ca="1" t="shared" si="87"/>
        <v>716.666666666667</v>
      </c>
      <c r="AD174" s="1">
        <f ca="1" t="shared" si="95"/>
        <v>1200</v>
      </c>
      <c r="AE174" s="1">
        <f ca="1" t="shared" si="96"/>
        <v>6000</v>
      </c>
      <c r="AF174" s="5">
        <f ca="1" t="shared" si="88"/>
        <v>25171.2</v>
      </c>
    </row>
    <row r="175" spans="1:32">
      <c r="A175" s="11">
        <v>55</v>
      </c>
      <c r="B175" s="1">
        <f t="shared" si="79"/>
        <v>5</v>
      </c>
      <c r="C175" s="1">
        <f ca="1" t="shared" si="89"/>
        <v>702</v>
      </c>
      <c r="D175" s="1">
        <f ca="1" t="shared" si="90"/>
        <v>3525120</v>
      </c>
      <c r="E175" s="1">
        <f ca="1" t="shared" si="68"/>
        <v>17625600</v>
      </c>
      <c r="F175" s="5">
        <f ca="1" t="shared" si="80"/>
        <v>139773600</v>
      </c>
      <c r="G175" s="1">
        <f ca="1" t="shared" si="91"/>
        <v>2160</v>
      </c>
      <c r="H175" s="1">
        <f ca="1" t="shared" si="69"/>
        <v>10800</v>
      </c>
      <c r="I175" s="5">
        <f ca="1" t="shared" si="81"/>
        <v>85171.2</v>
      </c>
      <c r="J175" s="1">
        <f ca="1" t="shared" si="92"/>
        <v>1.5744</v>
      </c>
      <c r="K175" s="1">
        <f ca="1" t="shared" si="70"/>
        <v>7.872</v>
      </c>
      <c r="L175" s="5">
        <f ca="1" t="shared" si="82"/>
        <v>51.57816</v>
      </c>
      <c r="M175" s="5">
        <f ca="1">L175*控制台!$E$4819</f>
        <v>41.262528</v>
      </c>
      <c r="N175" s="5">
        <f ca="1">L175*控制台!$E$4820</f>
        <v>943.880328</v>
      </c>
      <c r="O175" s="1">
        <f ca="1" t="shared" si="93"/>
        <v>1260</v>
      </c>
      <c r="P175" s="1">
        <f ca="1" t="shared" si="94"/>
        <v>6300</v>
      </c>
      <c r="Q175" s="5">
        <f ca="1" t="shared" si="83"/>
        <v>38730</v>
      </c>
      <c r="R175" s="1">
        <f ca="1" t="shared" si="71"/>
        <v>4176</v>
      </c>
      <c r="S175" s="1">
        <f ca="1" t="shared" si="72"/>
        <v>20880</v>
      </c>
      <c r="T175" s="5">
        <f ca="1" t="shared" si="84"/>
        <v>128659.2</v>
      </c>
      <c r="U175" s="1">
        <f ca="1" t="shared" si="73"/>
        <v>1762560</v>
      </c>
      <c r="V175" s="1">
        <f ca="1" t="shared" si="74"/>
        <v>8812800</v>
      </c>
      <c r="W175" s="5">
        <f ca="1" t="shared" si="85"/>
        <v>68493600</v>
      </c>
      <c r="X175" s="1">
        <f ca="1" t="shared" si="75"/>
        <v>1056</v>
      </c>
      <c r="Y175" s="1">
        <f ca="1" t="shared" si="76"/>
        <v>5280</v>
      </c>
      <c r="Z175" s="5">
        <f ca="1" t="shared" si="86"/>
        <v>40824</v>
      </c>
      <c r="AA175" s="1">
        <f ca="1" t="shared" si="77"/>
        <v>33.3333333333334</v>
      </c>
      <c r="AB175" s="1">
        <f ca="1" t="shared" si="78"/>
        <v>166.666666666667</v>
      </c>
      <c r="AC175" s="5">
        <f ca="1" t="shared" si="87"/>
        <v>883.333333333334</v>
      </c>
      <c r="AD175" s="1">
        <f ca="1" t="shared" si="95"/>
        <v>1248</v>
      </c>
      <c r="AE175" s="1">
        <f ca="1" t="shared" si="96"/>
        <v>6240</v>
      </c>
      <c r="AF175" s="5">
        <f ca="1" t="shared" si="88"/>
        <v>31411.2</v>
      </c>
    </row>
    <row r="176" spans="1:32">
      <c r="A176" s="11">
        <v>60</v>
      </c>
      <c r="B176" s="1">
        <f t="shared" si="79"/>
        <v>5</v>
      </c>
      <c r="C176" s="1">
        <f ca="1" t="shared" si="89"/>
        <v>704</v>
      </c>
      <c r="D176" s="1">
        <f ca="1" t="shared" si="90"/>
        <v>3628800</v>
      </c>
      <c r="E176" s="1">
        <f ca="1" t="shared" si="68"/>
        <v>18144000</v>
      </c>
      <c r="F176" s="5">
        <f ca="1" t="shared" si="80"/>
        <v>157917600</v>
      </c>
      <c r="G176" s="1">
        <f ca="1" t="shared" si="91"/>
        <v>2208</v>
      </c>
      <c r="H176" s="1">
        <f ca="1" t="shared" si="69"/>
        <v>11040</v>
      </c>
      <c r="I176" s="5">
        <f ca="1" t="shared" si="81"/>
        <v>96211.2</v>
      </c>
      <c r="J176" s="1">
        <f ca="1" t="shared" si="92"/>
        <v>1.65</v>
      </c>
      <c r="K176" s="1">
        <f ca="1" t="shared" si="70"/>
        <v>8.25</v>
      </c>
      <c r="L176" s="5">
        <f ca="1" t="shared" si="82"/>
        <v>59.82816</v>
      </c>
      <c r="M176" s="5">
        <f ca="1">L176*控制台!$E$4819</f>
        <v>47.862528</v>
      </c>
      <c r="N176" s="5">
        <f ca="1">L176*控制台!$E$4820</f>
        <v>1094.855328</v>
      </c>
      <c r="O176" s="1">
        <f ca="1" t="shared" si="93"/>
        <v>1320</v>
      </c>
      <c r="P176" s="1">
        <f ca="1" t="shared" si="94"/>
        <v>6600</v>
      </c>
      <c r="Q176" s="5">
        <f ca="1" t="shared" si="83"/>
        <v>45330</v>
      </c>
      <c r="R176" s="1">
        <f ca="1" t="shared" si="71"/>
        <v>4368</v>
      </c>
      <c r="S176" s="1">
        <f ca="1" t="shared" si="72"/>
        <v>21840</v>
      </c>
      <c r="T176" s="5">
        <f ca="1" t="shared" si="84"/>
        <v>150499.2</v>
      </c>
      <c r="U176" s="1">
        <f ca="1" t="shared" si="73"/>
        <v>1814400</v>
      </c>
      <c r="V176" s="1">
        <f ca="1" t="shared" si="74"/>
        <v>9072000</v>
      </c>
      <c r="W176" s="5">
        <f ca="1" t="shared" si="85"/>
        <v>77565600</v>
      </c>
      <c r="X176" s="1">
        <f ca="1" t="shared" si="75"/>
        <v>1104</v>
      </c>
      <c r="Y176" s="1">
        <f ca="1" t="shared" si="76"/>
        <v>5520</v>
      </c>
      <c r="Z176" s="5">
        <f ca="1" t="shared" si="86"/>
        <v>46344</v>
      </c>
      <c r="AA176" s="1">
        <f ca="1" t="shared" si="77"/>
        <v>33.3333333333334</v>
      </c>
      <c r="AB176" s="1">
        <f ca="1" t="shared" si="78"/>
        <v>166.666666666667</v>
      </c>
      <c r="AC176" s="5">
        <f ca="1" t="shared" si="87"/>
        <v>1050</v>
      </c>
      <c r="AD176" s="1">
        <f ca="1" t="shared" si="95"/>
        <v>1344</v>
      </c>
      <c r="AE176" s="1">
        <f ca="1" t="shared" si="96"/>
        <v>6720</v>
      </c>
      <c r="AF176" s="5">
        <f ca="1" t="shared" si="88"/>
        <v>38131.2</v>
      </c>
    </row>
    <row r="177" spans="1:32">
      <c r="A177" s="11">
        <v>65</v>
      </c>
      <c r="B177" s="1">
        <f t="shared" si="79"/>
        <v>5</v>
      </c>
      <c r="C177" s="1">
        <f ca="1" t="shared" si="89"/>
        <v>706</v>
      </c>
      <c r="D177" s="1">
        <f ca="1" t="shared" si="90"/>
        <v>3723840</v>
      </c>
      <c r="E177" s="1">
        <f ca="1" t="shared" si="68"/>
        <v>18619200</v>
      </c>
      <c r="F177" s="5">
        <f ca="1" t="shared" si="80"/>
        <v>176536800</v>
      </c>
      <c r="G177" s="1">
        <f ca="1" t="shared" si="91"/>
        <v>2256</v>
      </c>
      <c r="H177" s="1">
        <f ca="1" t="shared" si="69"/>
        <v>11280</v>
      </c>
      <c r="I177" s="5">
        <f ca="1" t="shared" si="81"/>
        <v>107491.2</v>
      </c>
      <c r="J177" s="1">
        <f ca="1" t="shared" si="92"/>
        <v>1.7244</v>
      </c>
      <c r="K177" s="1">
        <f ca="1" t="shared" si="70"/>
        <v>8.622</v>
      </c>
      <c r="L177" s="5">
        <f ca="1" t="shared" si="82"/>
        <v>68.45016</v>
      </c>
      <c r="M177" s="5">
        <f ca="1">L177*控制台!$E$4819</f>
        <v>54.760128</v>
      </c>
      <c r="N177" s="5">
        <f ca="1">L177*控制台!$E$4820</f>
        <v>1252.637928</v>
      </c>
      <c r="O177" s="1">
        <f ca="1" t="shared" si="93"/>
        <v>1380</v>
      </c>
      <c r="P177" s="1">
        <f ca="1" t="shared" si="94"/>
        <v>6900</v>
      </c>
      <c r="Q177" s="5">
        <f ca="1" t="shared" si="83"/>
        <v>52230</v>
      </c>
      <c r="R177" s="1">
        <f ca="1" t="shared" si="71"/>
        <v>4560</v>
      </c>
      <c r="S177" s="1">
        <f ca="1" t="shared" si="72"/>
        <v>22800</v>
      </c>
      <c r="T177" s="5">
        <f ca="1" t="shared" si="84"/>
        <v>173299.2</v>
      </c>
      <c r="U177" s="1">
        <f ca="1" t="shared" si="73"/>
        <v>1857600</v>
      </c>
      <c r="V177" s="1">
        <f ca="1" t="shared" si="74"/>
        <v>9288000</v>
      </c>
      <c r="W177" s="5">
        <f ca="1" t="shared" si="85"/>
        <v>86853600</v>
      </c>
      <c r="X177" s="1">
        <f ca="1" t="shared" si="75"/>
        <v>1104</v>
      </c>
      <c r="Y177" s="1">
        <f ca="1" t="shared" si="76"/>
        <v>5520</v>
      </c>
      <c r="Z177" s="5">
        <f ca="1" t="shared" si="86"/>
        <v>51864</v>
      </c>
      <c r="AA177" s="1">
        <f ca="1" t="shared" si="77"/>
        <v>33.3333333333334</v>
      </c>
      <c r="AB177" s="1">
        <f ca="1" t="shared" si="78"/>
        <v>166.666666666667</v>
      </c>
      <c r="AC177" s="5">
        <f ca="1" t="shared" si="87"/>
        <v>1216.66666666667</v>
      </c>
      <c r="AD177" s="1">
        <f ca="1" t="shared" si="95"/>
        <v>1440</v>
      </c>
      <c r="AE177" s="1">
        <f ca="1" t="shared" si="96"/>
        <v>7200</v>
      </c>
      <c r="AF177" s="5">
        <f ca="1" t="shared" si="88"/>
        <v>45331.2</v>
      </c>
    </row>
    <row r="178" spans="1:32">
      <c r="A178" s="11">
        <v>70</v>
      </c>
      <c r="B178" s="1">
        <f t="shared" si="79"/>
        <v>5</v>
      </c>
      <c r="C178" s="1">
        <f ca="1" t="shared" si="89"/>
        <v>708</v>
      </c>
      <c r="D178" s="1">
        <f ca="1" t="shared" si="90"/>
        <v>3827520</v>
      </c>
      <c r="E178" s="1">
        <f ca="1" t="shared" si="68"/>
        <v>19137600</v>
      </c>
      <c r="F178" s="5">
        <f ca="1" t="shared" si="80"/>
        <v>195674400</v>
      </c>
      <c r="G178" s="1">
        <f ca="1" t="shared" si="91"/>
        <v>2304</v>
      </c>
      <c r="H178" s="1">
        <f ca="1" t="shared" si="69"/>
        <v>11520</v>
      </c>
      <c r="I178" s="5">
        <f ca="1" t="shared" si="81"/>
        <v>119011.2</v>
      </c>
      <c r="J178" s="1">
        <f ca="1" t="shared" si="92"/>
        <v>1.8</v>
      </c>
      <c r="K178" s="1">
        <f ca="1" t="shared" si="70"/>
        <v>9</v>
      </c>
      <c r="L178" s="5">
        <f ca="1" t="shared" si="82"/>
        <v>77.45016</v>
      </c>
      <c r="M178" s="5">
        <f ca="1">L178*控制台!$E$4819</f>
        <v>61.960128</v>
      </c>
      <c r="N178" s="5">
        <f ca="1">L178*控制台!$E$4820</f>
        <v>1417.337928</v>
      </c>
      <c r="O178" s="1">
        <f ca="1" t="shared" si="93"/>
        <v>1440</v>
      </c>
      <c r="P178" s="1">
        <f ca="1" t="shared" si="94"/>
        <v>7200</v>
      </c>
      <c r="Q178" s="5">
        <f ca="1" t="shared" si="83"/>
        <v>59430</v>
      </c>
      <c r="R178" s="1">
        <f ca="1" t="shared" si="71"/>
        <v>4800</v>
      </c>
      <c r="S178" s="1">
        <f ca="1" t="shared" si="72"/>
        <v>24000</v>
      </c>
      <c r="T178" s="5">
        <f ca="1" t="shared" si="84"/>
        <v>197299.2</v>
      </c>
      <c r="U178" s="1">
        <f ca="1" t="shared" si="73"/>
        <v>1909440</v>
      </c>
      <c r="V178" s="1">
        <f ca="1" t="shared" si="74"/>
        <v>9547200</v>
      </c>
      <c r="W178" s="5">
        <f ca="1" t="shared" si="85"/>
        <v>96400800</v>
      </c>
      <c r="X178" s="1">
        <f ca="1" t="shared" si="75"/>
        <v>1152</v>
      </c>
      <c r="Y178" s="1">
        <f ca="1" t="shared" si="76"/>
        <v>5760</v>
      </c>
      <c r="Z178" s="5">
        <f ca="1" t="shared" si="86"/>
        <v>57624</v>
      </c>
      <c r="AA178" s="1">
        <f ca="1" t="shared" si="77"/>
        <v>33.3333333333334</v>
      </c>
      <c r="AB178" s="1">
        <f ca="1" t="shared" si="78"/>
        <v>166.666666666667</v>
      </c>
      <c r="AC178" s="5">
        <f ca="1" t="shared" si="87"/>
        <v>1383.33333333333</v>
      </c>
      <c r="AD178" s="1">
        <f ca="1" t="shared" si="95"/>
        <v>1488</v>
      </c>
      <c r="AE178" s="1">
        <f ca="1" t="shared" si="96"/>
        <v>7440</v>
      </c>
      <c r="AF178" s="5">
        <f ca="1" t="shared" si="88"/>
        <v>52771.2</v>
      </c>
    </row>
    <row r="179" spans="1:32">
      <c r="A179" s="11">
        <v>75</v>
      </c>
      <c r="B179" s="1">
        <f t="shared" si="79"/>
        <v>5</v>
      </c>
      <c r="C179" s="1">
        <f ca="1" t="shared" si="89"/>
        <v>710</v>
      </c>
      <c r="D179" s="1">
        <f ca="1" t="shared" si="90"/>
        <v>3922560</v>
      </c>
      <c r="E179" s="1">
        <f ca="1" t="shared" si="68"/>
        <v>19612800</v>
      </c>
      <c r="F179" s="5">
        <f ca="1" t="shared" si="80"/>
        <v>215287200</v>
      </c>
      <c r="G179" s="1">
        <f ca="1" t="shared" si="91"/>
        <v>2400</v>
      </c>
      <c r="H179" s="1">
        <f ca="1" t="shared" si="69"/>
        <v>12000</v>
      </c>
      <c r="I179" s="5">
        <f ca="1" t="shared" si="81"/>
        <v>131011.2</v>
      </c>
      <c r="J179" s="1">
        <f ca="1" t="shared" si="92"/>
        <v>1.8744</v>
      </c>
      <c r="K179" s="1">
        <f ca="1" t="shared" si="70"/>
        <v>9.372</v>
      </c>
      <c r="L179" s="5">
        <f ca="1" t="shared" si="82"/>
        <v>86.82216</v>
      </c>
      <c r="M179" s="5">
        <f ca="1">L179*控制台!$E$4819</f>
        <v>69.457728</v>
      </c>
      <c r="N179" s="5">
        <f ca="1">L179*控制台!$E$4820</f>
        <v>1588.845528</v>
      </c>
      <c r="O179" s="1">
        <f ca="1" t="shared" si="93"/>
        <v>1500</v>
      </c>
      <c r="P179" s="1">
        <f ca="1" t="shared" si="94"/>
        <v>7500</v>
      </c>
      <c r="Q179" s="5">
        <f ca="1" t="shared" si="83"/>
        <v>66930</v>
      </c>
      <c r="R179" s="1">
        <f ca="1" t="shared" si="71"/>
        <v>4992</v>
      </c>
      <c r="S179" s="1">
        <f ca="1" t="shared" si="72"/>
        <v>24960</v>
      </c>
      <c r="T179" s="5">
        <f ca="1" t="shared" si="84"/>
        <v>222259.2</v>
      </c>
      <c r="U179" s="1">
        <f ca="1" t="shared" si="73"/>
        <v>1961280</v>
      </c>
      <c r="V179" s="1">
        <f ca="1" t="shared" si="74"/>
        <v>9806400</v>
      </c>
      <c r="W179" s="5">
        <f ca="1" t="shared" si="85"/>
        <v>106207200</v>
      </c>
      <c r="X179" s="1">
        <f ca="1" t="shared" si="75"/>
        <v>1200</v>
      </c>
      <c r="Y179" s="1">
        <f ca="1" t="shared" si="76"/>
        <v>6000</v>
      </c>
      <c r="Z179" s="5">
        <f ca="1" t="shared" si="86"/>
        <v>63624</v>
      </c>
      <c r="AA179" s="1">
        <f ca="1" t="shared" si="77"/>
        <v>33.3333333333334</v>
      </c>
      <c r="AB179" s="1">
        <f ca="1" t="shared" si="78"/>
        <v>166.666666666667</v>
      </c>
      <c r="AC179" s="5">
        <f ca="1" t="shared" si="87"/>
        <v>1550</v>
      </c>
      <c r="AD179" s="1">
        <f ca="1" t="shared" si="95"/>
        <v>1584</v>
      </c>
      <c r="AE179" s="1">
        <f ca="1" t="shared" si="96"/>
        <v>7920</v>
      </c>
      <c r="AF179" s="5">
        <f ca="1" t="shared" si="88"/>
        <v>60691.2</v>
      </c>
    </row>
    <row r="180" spans="1:32">
      <c r="A180" s="11">
        <v>80</v>
      </c>
      <c r="B180" s="1">
        <f t="shared" si="79"/>
        <v>5</v>
      </c>
      <c r="C180" s="1">
        <f ca="1" t="shared" si="89"/>
        <v>801</v>
      </c>
      <c r="D180" s="1">
        <f ca="1" t="shared" si="90"/>
        <v>3948480</v>
      </c>
      <c r="E180" s="1">
        <f ca="1" t="shared" si="68"/>
        <v>19742400</v>
      </c>
      <c r="F180" s="5">
        <f ca="1" t="shared" si="80"/>
        <v>235029600</v>
      </c>
      <c r="G180" s="1">
        <f ca="1" t="shared" si="91"/>
        <v>2400</v>
      </c>
      <c r="H180" s="1">
        <f ca="1" t="shared" si="69"/>
        <v>12000</v>
      </c>
      <c r="I180" s="5">
        <f ca="1" t="shared" si="81"/>
        <v>143011.2</v>
      </c>
      <c r="J180" s="1">
        <f ca="1" t="shared" si="92"/>
        <v>1.9116</v>
      </c>
      <c r="K180" s="1">
        <f ca="1" t="shared" si="70"/>
        <v>9.558</v>
      </c>
      <c r="L180" s="5">
        <f ca="1" t="shared" si="82"/>
        <v>96.38016</v>
      </c>
      <c r="M180" s="5">
        <f ca="1">L180*控制台!$E$4819</f>
        <v>77.104128</v>
      </c>
      <c r="N180" s="5">
        <f ca="1">L180*控制台!$E$4820</f>
        <v>1763.756928</v>
      </c>
      <c r="O180" s="1">
        <f ca="1" t="shared" si="93"/>
        <v>1530</v>
      </c>
      <c r="P180" s="1">
        <f ca="1" t="shared" si="94"/>
        <v>7650</v>
      </c>
      <c r="Q180" s="5">
        <f ca="1" t="shared" si="83"/>
        <v>74580</v>
      </c>
      <c r="R180" s="1">
        <f ca="1" t="shared" si="71"/>
        <v>5088</v>
      </c>
      <c r="S180" s="1">
        <f ca="1" t="shared" si="72"/>
        <v>25440</v>
      </c>
      <c r="T180" s="5">
        <f ca="1" t="shared" si="84"/>
        <v>247699.2</v>
      </c>
      <c r="U180" s="1">
        <f ca="1" t="shared" si="73"/>
        <v>1969920</v>
      </c>
      <c r="V180" s="1">
        <f ca="1" t="shared" si="74"/>
        <v>9849600</v>
      </c>
      <c r="W180" s="5">
        <f ca="1" t="shared" si="85"/>
        <v>116056800</v>
      </c>
      <c r="X180" s="1">
        <f ca="1" t="shared" si="75"/>
        <v>1200</v>
      </c>
      <c r="Y180" s="1">
        <f ca="1" t="shared" si="76"/>
        <v>6000</v>
      </c>
      <c r="Z180" s="5">
        <f ca="1" t="shared" si="86"/>
        <v>69624</v>
      </c>
      <c r="AA180" s="1">
        <f ca="1" t="shared" si="77"/>
        <v>33.3333333333334</v>
      </c>
      <c r="AB180" s="1">
        <f ca="1" t="shared" si="78"/>
        <v>166.666666666667</v>
      </c>
      <c r="AC180" s="5">
        <f ca="1" t="shared" si="87"/>
        <v>1716.66666666667</v>
      </c>
      <c r="AD180" s="1">
        <f ca="1" t="shared" si="95"/>
        <v>1632</v>
      </c>
      <c r="AE180" s="1">
        <f ca="1" t="shared" si="96"/>
        <v>8160</v>
      </c>
      <c r="AF180" s="5">
        <f ca="1" t="shared" si="88"/>
        <v>68851.2</v>
      </c>
    </row>
    <row r="181" spans="1:32">
      <c r="A181" s="11">
        <v>85</v>
      </c>
      <c r="B181" s="1">
        <f t="shared" si="79"/>
        <v>5</v>
      </c>
      <c r="C181" s="1">
        <f ca="1" t="shared" si="89"/>
        <v>802</v>
      </c>
      <c r="D181" s="1">
        <f ca="1" t="shared" si="90"/>
        <v>3965760</v>
      </c>
      <c r="E181" s="1">
        <f ca="1" t="shared" si="68"/>
        <v>19828800</v>
      </c>
      <c r="F181" s="5">
        <f ca="1" t="shared" si="80"/>
        <v>254858400</v>
      </c>
      <c r="G181" s="1">
        <f ca="1" t="shared" si="91"/>
        <v>2400</v>
      </c>
      <c r="H181" s="1">
        <f ca="1" t="shared" si="69"/>
        <v>12000</v>
      </c>
      <c r="I181" s="5">
        <f ca="1" t="shared" si="81"/>
        <v>155011.2</v>
      </c>
      <c r="J181" s="1">
        <f ca="1" t="shared" si="92"/>
        <v>1.95</v>
      </c>
      <c r="K181" s="1">
        <f ca="1" t="shared" si="70"/>
        <v>9.75</v>
      </c>
      <c r="L181" s="5">
        <f ca="1" t="shared" si="82"/>
        <v>106.13016</v>
      </c>
      <c r="M181" s="5">
        <f ca="1">L181*控制台!$E$4819</f>
        <v>84.904128</v>
      </c>
      <c r="N181" s="5">
        <f ca="1">L181*控制台!$E$4820</f>
        <v>1942.181928</v>
      </c>
      <c r="O181" s="1">
        <f ca="1" t="shared" si="93"/>
        <v>1560</v>
      </c>
      <c r="P181" s="1">
        <f ca="1" t="shared" si="94"/>
        <v>7800</v>
      </c>
      <c r="Q181" s="5">
        <f ca="1" t="shared" si="83"/>
        <v>82380</v>
      </c>
      <c r="R181" s="1">
        <f ca="1" t="shared" si="71"/>
        <v>5184</v>
      </c>
      <c r="S181" s="1">
        <f ca="1" t="shared" si="72"/>
        <v>25920</v>
      </c>
      <c r="T181" s="5">
        <f ca="1" t="shared" si="84"/>
        <v>273619.2</v>
      </c>
      <c r="U181" s="1">
        <f ca="1" t="shared" si="73"/>
        <v>1978560</v>
      </c>
      <c r="V181" s="1">
        <f ca="1" t="shared" si="74"/>
        <v>9892800</v>
      </c>
      <c r="W181" s="5">
        <f ca="1" t="shared" si="85"/>
        <v>125949600</v>
      </c>
      <c r="X181" s="1">
        <f ca="1" t="shared" si="75"/>
        <v>1200</v>
      </c>
      <c r="Y181" s="1">
        <f ca="1" t="shared" si="76"/>
        <v>6000</v>
      </c>
      <c r="Z181" s="5">
        <f ca="1" t="shared" si="86"/>
        <v>75624</v>
      </c>
      <c r="AA181" s="1">
        <f ca="1" t="shared" si="77"/>
        <v>33.3333333333334</v>
      </c>
      <c r="AB181" s="1">
        <f ca="1" t="shared" si="78"/>
        <v>166.666666666667</v>
      </c>
      <c r="AC181" s="5">
        <f ca="1" t="shared" si="87"/>
        <v>1883.33333333334</v>
      </c>
      <c r="AD181" s="1">
        <f ca="1" t="shared" si="95"/>
        <v>1680</v>
      </c>
      <c r="AE181" s="1">
        <f ca="1" t="shared" si="96"/>
        <v>8400</v>
      </c>
      <c r="AF181" s="5">
        <f ca="1" t="shared" si="88"/>
        <v>77251.2</v>
      </c>
    </row>
    <row r="182" spans="1:32">
      <c r="A182" s="11">
        <v>90</v>
      </c>
      <c r="B182" s="1">
        <f t="shared" si="79"/>
        <v>5</v>
      </c>
      <c r="C182" s="1">
        <f ca="1" t="shared" si="89"/>
        <v>803</v>
      </c>
      <c r="D182" s="1">
        <f ca="1" t="shared" si="90"/>
        <v>3983040</v>
      </c>
      <c r="E182" s="1">
        <f ca="1" t="shared" si="68"/>
        <v>19915200</v>
      </c>
      <c r="F182" s="5">
        <f ca="1" t="shared" si="80"/>
        <v>274773600</v>
      </c>
      <c r="G182" s="1">
        <f ca="1" t="shared" si="91"/>
        <v>2400</v>
      </c>
      <c r="H182" s="1">
        <f ca="1" t="shared" si="69"/>
        <v>12000</v>
      </c>
      <c r="I182" s="5">
        <f ca="1" t="shared" si="81"/>
        <v>167011.2</v>
      </c>
      <c r="J182" s="1">
        <f ca="1" t="shared" si="92"/>
        <v>1.9872</v>
      </c>
      <c r="K182" s="1">
        <f ca="1" t="shared" si="70"/>
        <v>9.936</v>
      </c>
      <c r="L182" s="5">
        <f ca="1" t="shared" si="82"/>
        <v>116.06616</v>
      </c>
      <c r="M182" s="5">
        <f ca="1">L182*控制台!$E$4819</f>
        <v>92.852928</v>
      </c>
      <c r="N182" s="5">
        <f ca="1">L182*控制台!$E$4820</f>
        <v>2124.010728</v>
      </c>
      <c r="O182" s="1">
        <f ca="1" t="shared" si="93"/>
        <v>1590</v>
      </c>
      <c r="P182" s="1">
        <f ca="1" t="shared" si="94"/>
        <v>7950</v>
      </c>
      <c r="Q182" s="5">
        <f ca="1" t="shared" si="83"/>
        <v>90330</v>
      </c>
      <c r="R182" s="1">
        <f ca="1" t="shared" si="71"/>
        <v>5280</v>
      </c>
      <c r="S182" s="1">
        <f ca="1" t="shared" si="72"/>
        <v>26400</v>
      </c>
      <c r="T182" s="5">
        <f ca="1" t="shared" si="84"/>
        <v>300019.2</v>
      </c>
      <c r="U182" s="1">
        <f ca="1" t="shared" si="73"/>
        <v>1987200</v>
      </c>
      <c r="V182" s="1">
        <f ca="1" t="shared" si="74"/>
        <v>9936000</v>
      </c>
      <c r="W182" s="5">
        <f ca="1" t="shared" si="85"/>
        <v>135885600</v>
      </c>
      <c r="X182" s="1">
        <f ca="1" t="shared" si="75"/>
        <v>1200</v>
      </c>
      <c r="Y182" s="1">
        <f ca="1" t="shared" si="76"/>
        <v>6000</v>
      </c>
      <c r="Z182" s="5">
        <f ca="1" t="shared" si="86"/>
        <v>81624</v>
      </c>
      <c r="AA182" s="1">
        <f ca="1" t="shared" si="77"/>
        <v>33.3333333333334</v>
      </c>
      <c r="AB182" s="1">
        <f ca="1" t="shared" si="78"/>
        <v>166.666666666667</v>
      </c>
      <c r="AC182" s="5">
        <f ca="1" t="shared" si="87"/>
        <v>2050</v>
      </c>
      <c r="AD182" s="1">
        <f ca="1" t="shared" si="95"/>
        <v>1680</v>
      </c>
      <c r="AE182" s="1">
        <f ca="1" t="shared" si="96"/>
        <v>8400</v>
      </c>
      <c r="AF182" s="5">
        <f ca="1" t="shared" si="88"/>
        <v>85651.2</v>
      </c>
    </row>
    <row r="183" spans="1:32">
      <c r="A183" s="11">
        <v>95</v>
      </c>
      <c r="B183" s="1">
        <f t="shared" si="79"/>
        <v>5</v>
      </c>
      <c r="C183" s="1">
        <f ca="1" t="shared" si="89"/>
        <v>804</v>
      </c>
      <c r="D183" s="1">
        <f ca="1" t="shared" si="90"/>
        <v>4008960</v>
      </c>
      <c r="E183" s="1">
        <f ca="1" t="shared" si="68"/>
        <v>20044800</v>
      </c>
      <c r="F183" s="5">
        <f ca="1" t="shared" si="80"/>
        <v>294818400</v>
      </c>
      <c r="G183" s="1">
        <f ca="1" t="shared" si="91"/>
        <v>2448</v>
      </c>
      <c r="H183" s="1">
        <f ca="1" t="shared" si="69"/>
        <v>12240</v>
      </c>
      <c r="I183" s="5">
        <f ca="1" t="shared" si="81"/>
        <v>179251.2</v>
      </c>
      <c r="J183" s="1">
        <f ca="1" t="shared" si="92"/>
        <v>2.0244</v>
      </c>
      <c r="K183" s="1">
        <f ca="1" t="shared" si="70"/>
        <v>10.122</v>
      </c>
      <c r="L183" s="5">
        <f ca="1" t="shared" si="82"/>
        <v>126.18816</v>
      </c>
      <c r="M183" s="5">
        <f ca="1">L183*控制台!$E$4819</f>
        <v>100.950528</v>
      </c>
      <c r="N183" s="5">
        <f ca="1">L183*控制台!$E$4820</f>
        <v>2309.243328</v>
      </c>
      <c r="O183" s="1">
        <f ca="1" t="shared" si="93"/>
        <v>1620</v>
      </c>
      <c r="P183" s="1">
        <f ca="1" t="shared" si="94"/>
        <v>8100</v>
      </c>
      <c r="Q183" s="5">
        <f ca="1" t="shared" si="83"/>
        <v>98430</v>
      </c>
      <c r="R183" s="1">
        <f ca="1" t="shared" si="71"/>
        <v>5376</v>
      </c>
      <c r="S183" s="1">
        <f ca="1" t="shared" si="72"/>
        <v>26880</v>
      </c>
      <c r="T183" s="5">
        <f ca="1" t="shared" si="84"/>
        <v>326899.2</v>
      </c>
      <c r="U183" s="1">
        <f ca="1" t="shared" si="73"/>
        <v>2004480</v>
      </c>
      <c r="V183" s="1">
        <f ca="1" t="shared" si="74"/>
        <v>10022400</v>
      </c>
      <c r="W183" s="5">
        <f ca="1" t="shared" si="85"/>
        <v>145908000</v>
      </c>
      <c r="X183" s="1">
        <f ca="1" t="shared" si="75"/>
        <v>1200</v>
      </c>
      <c r="Y183" s="1">
        <f ca="1" t="shared" si="76"/>
        <v>6000</v>
      </c>
      <c r="Z183" s="5">
        <f ca="1" t="shared" si="86"/>
        <v>87624</v>
      </c>
      <c r="AA183" s="1">
        <f ca="1" t="shared" si="77"/>
        <v>33.3333333333334</v>
      </c>
      <c r="AB183" s="1">
        <f ca="1" t="shared" si="78"/>
        <v>166.666666666667</v>
      </c>
      <c r="AC183" s="5">
        <f ca="1" t="shared" si="87"/>
        <v>2216.66666666667</v>
      </c>
      <c r="AD183" s="1">
        <f ca="1" t="shared" si="95"/>
        <v>1728</v>
      </c>
      <c r="AE183" s="1">
        <f ca="1" t="shared" si="96"/>
        <v>8640</v>
      </c>
      <c r="AF183" s="5">
        <f ca="1" t="shared" si="88"/>
        <v>94291.2</v>
      </c>
    </row>
    <row r="184" spans="1:32">
      <c r="A184" s="11">
        <v>100</v>
      </c>
      <c r="B184" s="1">
        <f t="shared" si="79"/>
        <v>5</v>
      </c>
      <c r="C184" s="1">
        <f ca="1" t="shared" si="89"/>
        <v>805</v>
      </c>
      <c r="D184" s="1">
        <f ca="1" t="shared" si="90"/>
        <v>4026240</v>
      </c>
      <c r="E184" s="1">
        <f ca="1" t="shared" si="68"/>
        <v>20131200</v>
      </c>
      <c r="F184" s="5">
        <f ca="1" t="shared" si="80"/>
        <v>314949600</v>
      </c>
      <c r="G184" s="1">
        <f ca="1" t="shared" si="91"/>
        <v>2448</v>
      </c>
      <c r="H184" s="1">
        <f ca="1" t="shared" si="69"/>
        <v>12240</v>
      </c>
      <c r="I184" s="5">
        <f ca="1" t="shared" si="81"/>
        <v>191491.2</v>
      </c>
      <c r="J184" s="1">
        <f ca="1" t="shared" si="92"/>
        <v>2.0616</v>
      </c>
      <c r="K184" s="1">
        <f ca="1" t="shared" si="70"/>
        <v>10.308</v>
      </c>
      <c r="L184" s="5">
        <f ca="1" t="shared" si="82"/>
        <v>136.49616</v>
      </c>
      <c r="M184" s="5">
        <f ca="1">L184*控制台!$E$4819</f>
        <v>109.196928</v>
      </c>
      <c r="N184" s="5">
        <f ca="1">L184*控制台!$E$4820</f>
        <v>2497.879728</v>
      </c>
      <c r="O184" s="1">
        <f ca="1" t="shared" si="93"/>
        <v>1650</v>
      </c>
      <c r="P184" s="1">
        <f ca="1" t="shared" si="94"/>
        <v>8250</v>
      </c>
      <c r="Q184" s="5">
        <f ca="1" t="shared" si="83"/>
        <v>106680</v>
      </c>
      <c r="R184" s="1">
        <f ca="1" t="shared" si="71"/>
        <v>5472</v>
      </c>
      <c r="S184" s="1">
        <f ca="1" t="shared" si="72"/>
        <v>27360</v>
      </c>
      <c r="T184" s="5">
        <f ca="1" t="shared" si="84"/>
        <v>354259.2</v>
      </c>
      <c r="U184" s="1">
        <f ca="1" t="shared" si="73"/>
        <v>2013120</v>
      </c>
      <c r="V184" s="1">
        <f ca="1" t="shared" si="74"/>
        <v>10065600</v>
      </c>
      <c r="W184" s="5">
        <f ca="1" t="shared" si="85"/>
        <v>155973600</v>
      </c>
      <c r="X184" s="1">
        <f ca="1" t="shared" si="75"/>
        <v>1200</v>
      </c>
      <c r="Y184" s="1">
        <f ca="1" t="shared" si="76"/>
        <v>6000</v>
      </c>
      <c r="Z184" s="5">
        <f ca="1" t="shared" si="86"/>
        <v>93624</v>
      </c>
      <c r="AA184" s="1">
        <f ca="1" t="shared" si="77"/>
        <v>33.3333333333334</v>
      </c>
      <c r="AB184" s="1">
        <f ca="1" t="shared" si="78"/>
        <v>166.666666666667</v>
      </c>
      <c r="AC184" s="5">
        <f ca="1" t="shared" si="87"/>
        <v>2383.33333333334</v>
      </c>
      <c r="AD184" s="1">
        <f ca="1" t="shared" si="95"/>
        <v>1776</v>
      </c>
      <c r="AE184" s="1">
        <f ca="1" t="shared" si="96"/>
        <v>8880</v>
      </c>
      <c r="AF184" s="5">
        <f ca="1" t="shared" si="88"/>
        <v>103171.2</v>
      </c>
    </row>
    <row r="185" spans="1:32">
      <c r="A185" s="11">
        <v>105</v>
      </c>
      <c r="B185" s="1">
        <f t="shared" si="79"/>
        <v>5</v>
      </c>
      <c r="C185" s="1">
        <f ca="1" t="shared" si="89"/>
        <v>806</v>
      </c>
      <c r="D185" s="1">
        <f ca="1" t="shared" si="90"/>
        <v>4043520</v>
      </c>
      <c r="E185" s="1">
        <f ca="1" t="shared" si="68"/>
        <v>20217600</v>
      </c>
      <c r="F185" s="5">
        <f ca="1" t="shared" si="80"/>
        <v>335167200</v>
      </c>
      <c r="G185" s="1">
        <f ca="1" t="shared" si="91"/>
        <v>2448</v>
      </c>
      <c r="H185" s="1">
        <f ca="1" t="shared" si="69"/>
        <v>12240</v>
      </c>
      <c r="I185" s="5">
        <f ca="1" t="shared" si="81"/>
        <v>203731.2</v>
      </c>
      <c r="J185" s="1">
        <f ca="1" t="shared" si="92"/>
        <v>2.1</v>
      </c>
      <c r="K185" s="1">
        <f ca="1" t="shared" si="70"/>
        <v>10.5</v>
      </c>
      <c r="L185" s="5">
        <f ca="1" t="shared" si="82"/>
        <v>146.99616</v>
      </c>
      <c r="M185" s="5">
        <f ca="1">L185*控制台!$E$4819</f>
        <v>117.596928</v>
      </c>
      <c r="N185" s="5">
        <f ca="1">L185*控制台!$E$4820</f>
        <v>2690.029728</v>
      </c>
      <c r="O185" s="1">
        <f ca="1" t="shared" si="93"/>
        <v>1680</v>
      </c>
      <c r="P185" s="1">
        <f ca="1" t="shared" si="94"/>
        <v>8400</v>
      </c>
      <c r="Q185" s="5">
        <f ca="1" t="shared" si="83"/>
        <v>115080</v>
      </c>
      <c r="R185" s="1">
        <f ca="1" t="shared" si="71"/>
        <v>5568</v>
      </c>
      <c r="S185" s="1">
        <f ca="1" t="shared" si="72"/>
        <v>27840</v>
      </c>
      <c r="T185" s="5">
        <f ca="1" t="shared" si="84"/>
        <v>382099.2</v>
      </c>
      <c r="U185" s="1">
        <f ca="1" t="shared" si="73"/>
        <v>2021760</v>
      </c>
      <c r="V185" s="1">
        <f ca="1" t="shared" si="74"/>
        <v>10108800</v>
      </c>
      <c r="W185" s="5">
        <f ca="1" t="shared" si="85"/>
        <v>166082400</v>
      </c>
      <c r="X185" s="1">
        <f ca="1" t="shared" si="75"/>
        <v>1200</v>
      </c>
      <c r="Y185" s="1">
        <f ca="1" t="shared" si="76"/>
        <v>6000</v>
      </c>
      <c r="Z185" s="5">
        <f ca="1" t="shared" si="86"/>
        <v>99624</v>
      </c>
      <c r="AA185" s="1">
        <f ca="1" t="shared" si="77"/>
        <v>33.3333333333334</v>
      </c>
      <c r="AB185" s="1">
        <f ca="1" t="shared" si="78"/>
        <v>166.666666666667</v>
      </c>
      <c r="AC185" s="5">
        <f ca="1" t="shared" si="87"/>
        <v>2550</v>
      </c>
      <c r="AD185" s="1">
        <f ca="1" t="shared" si="95"/>
        <v>1824</v>
      </c>
      <c r="AE185" s="1">
        <f ca="1" t="shared" si="96"/>
        <v>9120</v>
      </c>
      <c r="AF185" s="5">
        <f ca="1" t="shared" si="88"/>
        <v>112291.2</v>
      </c>
    </row>
    <row r="186" spans="1:32">
      <c r="A186" s="11">
        <v>110</v>
      </c>
      <c r="B186" s="1">
        <f t="shared" si="79"/>
        <v>5</v>
      </c>
      <c r="C186" s="1">
        <f ca="1" t="shared" si="89"/>
        <v>807</v>
      </c>
      <c r="D186" s="1">
        <f ca="1" t="shared" si="90"/>
        <v>4069440</v>
      </c>
      <c r="E186" s="1">
        <f ca="1" t="shared" si="68"/>
        <v>20347200</v>
      </c>
      <c r="F186" s="5">
        <f ca="1" t="shared" si="80"/>
        <v>355514400</v>
      </c>
      <c r="G186" s="1">
        <f ca="1" t="shared" si="91"/>
        <v>2448</v>
      </c>
      <c r="H186" s="1">
        <f ca="1" t="shared" si="69"/>
        <v>12240</v>
      </c>
      <c r="I186" s="5">
        <f ca="1" t="shared" si="81"/>
        <v>215971.2</v>
      </c>
      <c r="J186" s="1">
        <f ca="1" t="shared" si="92"/>
        <v>2.1372</v>
      </c>
      <c r="K186" s="1">
        <f ca="1" t="shared" si="70"/>
        <v>10.686</v>
      </c>
      <c r="L186" s="5">
        <f ca="1" t="shared" si="82"/>
        <v>157.68216</v>
      </c>
      <c r="M186" s="5">
        <f ca="1">L186*控制台!$E$4819</f>
        <v>126.145728</v>
      </c>
      <c r="N186" s="5">
        <f ca="1">L186*控制台!$E$4820</f>
        <v>2885.583528</v>
      </c>
      <c r="O186" s="1">
        <f ca="1" t="shared" si="93"/>
        <v>1710</v>
      </c>
      <c r="P186" s="1">
        <f ca="1" t="shared" si="94"/>
        <v>8550</v>
      </c>
      <c r="Q186" s="5">
        <f ca="1" t="shared" si="83"/>
        <v>123630</v>
      </c>
      <c r="R186" s="1">
        <f ca="1" t="shared" si="71"/>
        <v>5664</v>
      </c>
      <c r="S186" s="1">
        <f ca="1" t="shared" si="72"/>
        <v>28320</v>
      </c>
      <c r="T186" s="5">
        <f ca="1" t="shared" si="84"/>
        <v>410419.2</v>
      </c>
      <c r="U186" s="1">
        <f ca="1" t="shared" si="73"/>
        <v>2030400</v>
      </c>
      <c r="V186" s="1">
        <f ca="1" t="shared" si="74"/>
        <v>10152000</v>
      </c>
      <c r="W186" s="5">
        <f ca="1" t="shared" si="85"/>
        <v>176234400</v>
      </c>
      <c r="X186" s="1">
        <f ca="1" t="shared" si="75"/>
        <v>1200</v>
      </c>
      <c r="Y186" s="1">
        <f ca="1" t="shared" si="76"/>
        <v>6000</v>
      </c>
      <c r="Z186" s="5">
        <f ca="1" t="shared" si="86"/>
        <v>105624</v>
      </c>
      <c r="AA186" s="1">
        <f ca="1" t="shared" si="77"/>
        <v>33.3333333333334</v>
      </c>
      <c r="AB186" s="1">
        <f ca="1" t="shared" si="78"/>
        <v>166.666666666667</v>
      </c>
      <c r="AC186" s="5">
        <f ca="1" t="shared" si="87"/>
        <v>2716.66666666667</v>
      </c>
      <c r="AD186" s="1">
        <f ca="1" t="shared" si="95"/>
        <v>1872</v>
      </c>
      <c r="AE186" s="1">
        <f ca="1" t="shared" si="96"/>
        <v>9360</v>
      </c>
      <c r="AF186" s="5">
        <f ca="1" t="shared" si="88"/>
        <v>121651.2</v>
      </c>
    </row>
    <row r="187" spans="1:32">
      <c r="A187" s="11">
        <v>115</v>
      </c>
      <c r="B187" s="1">
        <f t="shared" si="79"/>
        <v>5</v>
      </c>
      <c r="C187" s="1">
        <f ca="1" t="shared" si="89"/>
        <v>808</v>
      </c>
      <c r="D187" s="1">
        <f ca="1" t="shared" si="90"/>
        <v>4086720</v>
      </c>
      <c r="E187" s="1">
        <f ca="1" t="shared" si="68"/>
        <v>20433600</v>
      </c>
      <c r="F187" s="5">
        <f ca="1" t="shared" si="80"/>
        <v>375948000</v>
      </c>
      <c r="G187" s="1">
        <f ca="1" t="shared" si="91"/>
        <v>2496</v>
      </c>
      <c r="H187" s="1">
        <f ca="1" t="shared" si="69"/>
        <v>12480</v>
      </c>
      <c r="I187" s="5">
        <f ca="1" t="shared" si="81"/>
        <v>228451.2</v>
      </c>
      <c r="J187" s="1">
        <f ca="1" t="shared" si="92"/>
        <v>2.1744</v>
      </c>
      <c r="K187" s="1">
        <f ca="1" t="shared" si="70"/>
        <v>10.872</v>
      </c>
      <c r="L187" s="5">
        <f ca="1" t="shared" si="82"/>
        <v>168.55416</v>
      </c>
      <c r="M187" s="5">
        <f ca="1">L187*控制台!$E$4819</f>
        <v>134.843328</v>
      </c>
      <c r="N187" s="5">
        <f ca="1">L187*控制台!$E$4820</f>
        <v>3084.541128</v>
      </c>
      <c r="O187" s="1">
        <f ca="1" t="shared" si="93"/>
        <v>1740</v>
      </c>
      <c r="P187" s="1">
        <f ca="1" t="shared" si="94"/>
        <v>8700</v>
      </c>
      <c r="Q187" s="5">
        <f ca="1" t="shared" si="83"/>
        <v>132330</v>
      </c>
      <c r="R187" s="1">
        <f ca="1" t="shared" si="71"/>
        <v>5760</v>
      </c>
      <c r="S187" s="1">
        <f ca="1" t="shared" si="72"/>
        <v>28800</v>
      </c>
      <c r="T187" s="5">
        <f ca="1" t="shared" si="84"/>
        <v>439219.2</v>
      </c>
      <c r="U187" s="1">
        <f ca="1" t="shared" si="73"/>
        <v>2039040</v>
      </c>
      <c r="V187" s="1">
        <f ca="1" t="shared" si="74"/>
        <v>10195200</v>
      </c>
      <c r="W187" s="5">
        <f ca="1" t="shared" si="85"/>
        <v>186429600</v>
      </c>
      <c r="X187" s="1">
        <f ca="1" t="shared" si="75"/>
        <v>1248</v>
      </c>
      <c r="Y187" s="1">
        <f ca="1" t="shared" si="76"/>
        <v>6240</v>
      </c>
      <c r="Z187" s="5">
        <f ca="1" t="shared" si="86"/>
        <v>111864</v>
      </c>
      <c r="AA187" s="1">
        <f ca="1" t="shared" si="77"/>
        <v>33.3333333333334</v>
      </c>
      <c r="AB187" s="1">
        <f ca="1" t="shared" si="78"/>
        <v>166.666666666667</v>
      </c>
      <c r="AC187" s="5">
        <f ca="1" t="shared" si="87"/>
        <v>2883.33333333334</v>
      </c>
      <c r="AD187" s="1">
        <f ca="1" t="shared" si="95"/>
        <v>1920</v>
      </c>
      <c r="AE187" s="1">
        <f ca="1" t="shared" si="96"/>
        <v>9600</v>
      </c>
      <c r="AF187" s="5">
        <f ca="1" t="shared" si="88"/>
        <v>131251.2</v>
      </c>
    </row>
    <row r="188" spans="1:32">
      <c r="A188" s="11">
        <v>120</v>
      </c>
      <c r="B188" s="1">
        <f t="shared" si="79"/>
        <v>5</v>
      </c>
      <c r="C188" s="1">
        <f ca="1" t="shared" si="89"/>
        <v>810</v>
      </c>
      <c r="D188" s="1">
        <f ca="1" t="shared" si="90"/>
        <v>4129920</v>
      </c>
      <c r="E188" s="1">
        <f ca="1" t="shared" si="68"/>
        <v>20649600</v>
      </c>
      <c r="F188" s="5">
        <f ca="1" t="shared" si="80"/>
        <v>396597600</v>
      </c>
      <c r="G188" s="1">
        <f ca="1" t="shared" si="91"/>
        <v>2496</v>
      </c>
      <c r="H188" s="1">
        <f ca="1" t="shared" si="69"/>
        <v>12480</v>
      </c>
      <c r="I188" s="5">
        <f ca="1" t="shared" si="81"/>
        <v>240931.2</v>
      </c>
      <c r="J188" s="1">
        <f ca="1" t="shared" si="92"/>
        <v>2.25</v>
      </c>
      <c r="K188" s="1">
        <f ca="1" t="shared" si="70"/>
        <v>11.25</v>
      </c>
      <c r="L188" s="5">
        <f ca="1" t="shared" si="82"/>
        <v>179.80416</v>
      </c>
      <c r="M188" s="5">
        <f ca="1">L188*控制台!$E$4819</f>
        <v>143.843328</v>
      </c>
      <c r="N188" s="5">
        <f ca="1">L188*控制台!$E$4820</f>
        <v>3290.416128</v>
      </c>
      <c r="O188" s="1">
        <f ca="1" t="shared" si="93"/>
        <v>1800</v>
      </c>
      <c r="P188" s="1">
        <f ca="1" t="shared" si="94"/>
        <v>9000</v>
      </c>
      <c r="Q188" s="5">
        <f ca="1" t="shared" si="83"/>
        <v>141330</v>
      </c>
      <c r="R188" s="1">
        <f ca="1" t="shared" si="71"/>
        <v>6000</v>
      </c>
      <c r="S188" s="1">
        <f ca="1" t="shared" si="72"/>
        <v>30000</v>
      </c>
      <c r="T188" s="5">
        <f ca="1" t="shared" si="84"/>
        <v>469219.2</v>
      </c>
      <c r="U188" s="1">
        <f ca="1" t="shared" si="73"/>
        <v>2064960</v>
      </c>
      <c r="V188" s="1">
        <f ca="1" t="shared" si="74"/>
        <v>10324800</v>
      </c>
      <c r="W188" s="5">
        <f ca="1" t="shared" si="85"/>
        <v>196754400</v>
      </c>
      <c r="X188" s="1">
        <f ca="1" t="shared" si="75"/>
        <v>1248</v>
      </c>
      <c r="Y188" s="1">
        <f ca="1" t="shared" si="76"/>
        <v>6240</v>
      </c>
      <c r="Z188" s="5">
        <f ca="1" t="shared" si="86"/>
        <v>118104</v>
      </c>
      <c r="AA188" s="1">
        <f ca="1" t="shared" si="77"/>
        <v>33.3333333333334</v>
      </c>
      <c r="AB188" s="1">
        <f ca="1" t="shared" si="78"/>
        <v>166.666666666667</v>
      </c>
      <c r="AC188" s="5">
        <f ca="1" t="shared" si="87"/>
        <v>3050</v>
      </c>
      <c r="AD188" s="1">
        <f ca="1" t="shared" si="95"/>
        <v>1968</v>
      </c>
      <c r="AE188" s="1">
        <f ca="1" t="shared" si="96"/>
        <v>9840</v>
      </c>
      <c r="AF188" s="5">
        <f ca="1" t="shared" si="88"/>
        <v>141091.2</v>
      </c>
    </row>
    <row r="189" spans="1:32">
      <c r="A189" s="12">
        <v>150</v>
      </c>
      <c r="B189" s="1">
        <f t="shared" si="79"/>
        <v>30</v>
      </c>
      <c r="C189" s="1">
        <f ca="1" t="shared" ref="C189:C196" si="97">IFERROR(OFFSET($A$6,MATCH(A189,$L$6:$L$120,1)-1,0),0)</f>
        <v>905</v>
      </c>
      <c r="D189" s="1">
        <f ca="1" t="shared" ref="D189:D196" si="98">IF(C189=0,0,OFFSET($H$6,MATCH(C189,$A$6:$A$120,0)-1,0))</f>
        <v>4224960</v>
      </c>
      <c r="E189" s="1">
        <f ca="1" t="shared" si="68"/>
        <v>126748800</v>
      </c>
      <c r="F189" s="5">
        <f ca="1" t="shared" si="80"/>
        <v>523346400</v>
      </c>
      <c r="G189" s="1">
        <f ca="1" t="shared" ref="G189:G196" si="99">IF(C189=0,0,OFFSET($S$6,MATCH(C189,$A$6:$A$120,0)-1,0))</f>
        <v>2544</v>
      </c>
      <c r="H189" s="1">
        <f ca="1" t="shared" si="69"/>
        <v>76320</v>
      </c>
      <c r="I189" s="5">
        <f ca="1" t="shared" si="81"/>
        <v>317251.2</v>
      </c>
      <c r="J189" s="1">
        <f ca="1" t="shared" ref="J189:J196" si="100">IF(C189=0,0,OFFSET($Z$6,MATCH(C189,$A$6:$A$120,0)-1,0))</f>
        <v>2.4372</v>
      </c>
      <c r="K189" s="1">
        <f ca="1" t="shared" si="70"/>
        <v>73.116</v>
      </c>
      <c r="L189" s="5">
        <f ca="1" t="shared" si="82"/>
        <v>252.92016</v>
      </c>
      <c r="M189" s="5">
        <f ca="1">L189*控制台!$E$4819</f>
        <v>202.336128</v>
      </c>
      <c r="N189" s="5">
        <f ca="1">L189*控制台!$E$4820</f>
        <v>4628.438928</v>
      </c>
      <c r="O189" s="1">
        <f ca="1" t="shared" ref="O189:O196" si="101">IF(C189=0,0,OFFSET($AG$6,MATCH(C189,$A$6:$A$120,0)-1,0))</f>
        <v>1950</v>
      </c>
      <c r="P189" s="1">
        <f ca="1" t="shared" ref="P189:P196" si="102">O189*B189</f>
        <v>58500</v>
      </c>
      <c r="Q189" s="5">
        <f ca="1" t="shared" si="83"/>
        <v>199830</v>
      </c>
      <c r="R189" s="1">
        <f ca="1" t="shared" si="71"/>
        <v>6480</v>
      </c>
      <c r="S189" s="1">
        <f ca="1" t="shared" si="72"/>
        <v>194400</v>
      </c>
      <c r="T189" s="5">
        <f ca="1" t="shared" si="84"/>
        <v>663619.2</v>
      </c>
      <c r="U189" s="1">
        <f ca="1" t="shared" si="73"/>
        <v>2108160</v>
      </c>
      <c r="V189" s="1">
        <f ca="1" t="shared" si="74"/>
        <v>63244800</v>
      </c>
      <c r="W189" s="5">
        <f ca="1" t="shared" si="85"/>
        <v>259999200</v>
      </c>
      <c r="X189" s="1">
        <f ca="1" t="shared" si="75"/>
        <v>1248</v>
      </c>
      <c r="Y189" s="1">
        <f ca="1" t="shared" si="76"/>
        <v>37440</v>
      </c>
      <c r="Z189" s="5">
        <f ca="1" t="shared" si="86"/>
        <v>155544</v>
      </c>
      <c r="AA189" s="1">
        <f ca="1" t="shared" si="77"/>
        <v>37.5533333333334</v>
      </c>
      <c r="AB189" s="1">
        <f ca="1" t="shared" si="78"/>
        <v>1126.6</v>
      </c>
      <c r="AC189" s="5">
        <f ca="1" t="shared" si="87"/>
        <v>4176.60000000001</v>
      </c>
      <c r="AD189" s="1">
        <f ca="1" t="shared" ref="AD189:AD196" si="103">IF(C189=0,0,OFFSET($BL$6,MATCH(C189,$A$6:$A$120,0)-1,0))</f>
        <v>2160</v>
      </c>
      <c r="AE189" s="1">
        <f ca="1" t="shared" ref="AE189:AE196" si="104">AD189*B189</f>
        <v>64800</v>
      </c>
      <c r="AF189" s="5">
        <f ca="1" t="shared" si="88"/>
        <v>205891.2</v>
      </c>
    </row>
    <row r="190" spans="1:32">
      <c r="A190" s="12">
        <v>180</v>
      </c>
      <c r="B190" s="1">
        <f t="shared" si="79"/>
        <v>30</v>
      </c>
      <c r="C190" s="1">
        <f ca="1" t="shared" si="97"/>
        <v>910</v>
      </c>
      <c r="D190" s="1">
        <f ca="1" t="shared" si="98"/>
        <v>4328640</v>
      </c>
      <c r="E190" s="1">
        <f ca="1" t="shared" ref="E190:E196" si="105">B190*D190</f>
        <v>129859200</v>
      </c>
      <c r="F190" s="5">
        <f ca="1" t="shared" si="80"/>
        <v>653205600</v>
      </c>
      <c r="G190" s="1">
        <f ca="1" t="shared" si="99"/>
        <v>2640</v>
      </c>
      <c r="H190" s="1">
        <f ca="1" t="shared" ref="H190:H196" si="106">G190*B190</f>
        <v>79200</v>
      </c>
      <c r="I190" s="5">
        <f ca="1" t="shared" si="81"/>
        <v>396451.2</v>
      </c>
      <c r="J190" s="1">
        <f ca="1" t="shared" si="100"/>
        <v>2.6244</v>
      </c>
      <c r="K190" s="1">
        <f ca="1" t="shared" ref="K190:K196" si="107">J190*B190</f>
        <v>78.732</v>
      </c>
      <c r="L190" s="5">
        <f ca="1" t="shared" si="82"/>
        <v>331.65216</v>
      </c>
      <c r="M190" s="5">
        <f ca="1">L190*控制台!$E$4819</f>
        <v>265.321728</v>
      </c>
      <c r="N190" s="5">
        <f ca="1">L190*控制台!$E$4820</f>
        <v>6069.234528</v>
      </c>
      <c r="O190" s="1">
        <f ca="1" t="shared" si="101"/>
        <v>2100</v>
      </c>
      <c r="P190" s="1">
        <f ca="1" t="shared" si="102"/>
        <v>63000</v>
      </c>
      <c r="Q190" s="5">
        <f ca="1" t="shared" si="83"/>
        <v>262830</v>
      </c>
      <c r="R190" s="1">
        <f ca="1" t="shared" ref="R190:R196" si="108">IF(C190=0,0,OFFSET($AN$6,MATCH(C190,$A$6:$A$120,0)-1,0))</f>
        <v>6960</v>
      </c>
      <c r="S190" s="1">
        <f ca="1" t="shared" ref="S190:S196" si="109">R190*B190</f>
        <v>208800</v>
      </c>
      <c r="T190" s="5">
        <f ca="1" t="shared" si="84"/>
        <v>872419.2</v>
      </c>
      <c r="U190" s="1">
        <f ca="1" t="shared" ref="U190:U196" si="110">IF(C190=0,0,OFFSET($AU$6,MATCH(C190,$A$6:$A$120,0)-1,0))</f>
        <v>2160000</v>
      </c>
      <c r="V190" s="1">
        <f ca="1" t="shared" ref="V190:V196" si="111">B190*U190</f>
        <v>64800000</v>
      </c>
      <c r="W190" s="5">
        <f ca="1" t="shared" si="85"/>
        <v>324799200</v>
      </c>
      <c r="X190" s="1">
        <f ca="1" t="shared" ref="X190:X196" si="112">IF(C190=0,0,OFFSET($BB$6,MATCH(C190,$A$6:$A$120,0)-1,0))</f>
        <v>1296</v>
      </c>
      <c r="Y190" s="1">
        <f ca="1" t="shared" ref="Y190:Y196" si="113">X190*B190</f>
        <v>38880</v>
      </c>
      <c r="Z190" s="5">
        <f ca="1" t="shared" si="86"/>
        <v>194424</v>
      </c>
      <c r="AA190" s="1">
        <f ca="1" t="shared" ref="AA190:AA196" si="114">IF(C190=0,0,OFFSET($BE$6,MATCH(C190,$A$6:$A$120,0)-1,0))</f>
        <v>37.5533333333334</v>
      </c>
      <c r="AB190" s="1">
        <f ca="1" t="shared" ref="AB190:AB196" si="115">AA190*B190</f>
        <v>1126.6</v>
      </c>
      <c r="AC190" s="5">
        <f ca="1" t="shared" si="87"/>
        <v>5303.20000000001</v>
      </c>
      <c r="AD190" s="1">
        <f ca="1" t="shared" si="103"/>
        <v>2400</v>
      </c>
      <c r="AE190" s="1">
        <f ca="1" t="shared" si="104"/>
        <v>72000</v>
      </c>
      <c r="AF190" s="5">
        <f ca="1" t="shared" si="88"/>
        <v>277891.2</v>
      </c>
    </row>
    <row r="191" spans="1:32">
      <c r="A191" s="12">
        <v>210</v>
      </c>
      <c r="B191" s="1">
        <f t="shared" ref="B191:B196" si="116">A191-A190</f>
        <v>30</v>
      </c>
      <c r="C191" s="1">
        <f ca="1" t="shared" si="97"/>
        <v>1005</v>
      </c>
      <c r="D191" s="1">
        <f ca="1" t="shared" si="98"/>
        <v>4423680</v>
      </c>
      <c r="E191" s="1">
        <f ca="1" t="shared" si="105"/>
        <v>132710400</v>
      </c>
      <c r="F191" s="5">
        <f ca="1" t="shared" ref="F191:F196" si="117">F190+E191</f>
        <v>785916000</v>
      </c>
      <c r="G191" s="1">
        <f ca="1" t="shared" si="99"/>
        <v>2688</v>
      </c>
      <c r="H191" s="1">
        <f ca="1" t="shared" si="106"/>
        <v>80640</v>
      </c>
      <c r="I191" s="5">
        <f ca="1" t="shared" ref="I191:I196" si="118">I190+H191</f>
        <v>477091.2</v>
      </c>
      <c r="J191" s="1">
        <f ca="1" t="shared" si="100"/>
        <v>2.8116</v>
      </c>
      <c r="K191" s="1">
        <f ca="1" t="shared" si="107"/>
        <v>84.348</v>
      </c>
      <c r="L191" s="5">
        <f ca="1" t="shared" ref="L191:L196" si="119">L190+K191</f>
        <v>416.00016</v>
      </c>
      <c r="M191" s="5">
        <f ca="1">L191*控制台!$E$4819</f>
        <v>332.800128</v>
      </c>
      <c r="N191" s="5">
        <f ca="1">L191*控制台!$E$4820</f>
        <v>7612.802928</v>
      </c>
      <c r="O191" s="1">
        <f ca="1" t="shared" si="101"/>
        <v>2250</v>
      </c>
      <c r="P191" s="1">
        <f ca="1" t="shared" si="102"/>
        <v>67500</v>
      </c>
      <c r="Q191" s="5">
        <f ca="1" t="shared" ref="Q191:Q196" si="120">Q190+P191</f>
        <v>330330</v>
      </c>
      <c r="R191" s="1">
        <f ca="1" t="shared" si="108"/>
        <v>7488</v>
      </c>
      <c r="S191" s="1">
        <f ca="1" t="shared" si="109"/>
        <v>224640</v>
      </c>
      <c r="T191" s="5">
        <f ca="1" t="shared" ref="T191:T196" si="121">T190+S191</f>
        <v>1097059.2</v>
      </c>
      <c r="U191" s="1">
        <f ca="1" t="shared" si="110"/>
        <v>2211840</v>
      </c>
      <c r="V191" s="1">
        <f ca="1" t="shared" si="111"/>
        <v>66355200</v>
      </c>
      <c r="W191" s="5">
        <f ca="1" t="shared" ref="W191:W196" si="122">W190+V191</f>
        <v>391154400</v>
      </c>
      <c r="X191" s="1">
        <f ca="1" t="shared" si="112"/>
        <v>1344</v>
      </c>
      <c r="Y191" s="1">
        <f ca="1" t="shared" si="113"/>
        <v>40320</v>
      </c>
      <c r="Z191" s="5">
        <f ca="1" t="shared" ref="Z191:Z196" si="123">Z190+Y191</f>
        <v>234744</v>
      </c>
      <c r="AA191" s="1">
        <f ca="1" t="shared" si="114"/>
        <v>42.3533333333334</v>
      </c>
      <c r="AB191" s="1">
        <f ca="1" t="shared" si="115"/>
        <v>1270.6</v>
      </c>
      <c r="AC191" s="5">
        <f ca="1" t="shared" ref="AC191:AC196" si="124">AC190+AB191</f>
        <v>6573.80000000001</v>
      </c>
      <c r="AD191" s="1">
        <f ca="1" t="shared" si="103"/>
        <v>2592</v>
      </c>
      <c r="AE191" s="1">
        <f ca="1" t="shared" si="104"/>
        <v>77760</v>
      </c>
      <c r="AF191" s="5">
        <f ca="1" t="shared" ref="AF191:AF196" si="125">AF190+AE191</f>
        <v>355651.2</v>
      </c>
    </row>
    <row r="192" spans="1:32">
      <c r="A192" s="12">
        <v>240</v>
      </c>
      <c r="B192" s="1">
        <f t="shared" si="116"/>
        <v>30</v>
      </c>
      <c r="C192" s="1">
        <f ca="1" t="shared" si="97"/>
        <v>1010</v>
      </c>
      <c r="D192" s="1">
        <f ca="1" t="shared" si="98"/>
        <v>4527360</v>
      </c>
      <c r="E192" s="1">
        <f ca="1" t="shared" si="105"/>
        <v>135820800</v>
      </c>
      <c r="F192" s="5">
        <f ca="1" t="shared" si="117"/>
        <v>921736800</v>
      </c>
      <c r="G192" s="1">
        <f ca="1" t="shared" si="99"/>
        <v>2736</v>
      </c>
      <c r="H192" s="1">
        <f ca="1" t="shared" si="106"/>
        <v>82080</v>
      </c>
      <c r="I192" s="5">
        <f ca="1" t="shared" si="118"/>
        <v>559171.2</v>
      </c>
      <c r="J192" s="1">
        <f ca="1" t="shared" si="100"/>
        <v>3</v>
      </c>
      <c r="K192" s="1">
        <f ca="1" t="shared" si="107"/>
        <v>90</v>
      </c>
      <c r="L192" s="5">
        <f ca="1" t="shared" si="119"/>
        <v>506.00016</v>
      </c>
      <c r="M192" s="5">
        <f ca="1">L192*控制台!$E$4819</f>
        <v>404.800128</v>
      </c>
      <c r="N192" s="5">
        <f ca="1">L192*控制台!$E$4820</f>
        <v>9259.802928</v>
      </c>
      <c r="O192" s="1">
        <f ca="1" t="shared" si="101"/>
        <v>2400</v>
      </c>
      <c r="P192" s="1">
        <f ca="1" t="shared" si="102"/>
        <v>72000</v>
      </c>
      <c r="Q192" s="5">
        <f ca="1" t="shared" si="120"/>
        <v>402330</v>
      </c>
      <c r="R192" s="1">
        <f ca="1" t="shared" si="108"/>
        <v>7968</v>
      </c>
      <c r="S192" s="1">
        <f ca="1" t="shared" si="109"/>
        <v>239040</v>
      </c>
      <c r="T192" s="5">
        <f ca="1" t="shared" si="121"/>
        <v>1336099.2</v>
      </c>
      <c r="U192" s="1">
        <f ca="1" t="shared" si="110"/>
        <v>2263680</v>
      </c>
      <c r="V192" s="1">
        <f ca="1" t="shared" si="111"/>
        <v>67910400</v>
      </c>
      <c r="W192" s="5">
        <f ca="1" t="shared" si="122"/>
        <v>459064800</v>
      </c>
      <c r="X192" s="1">
        <f ca="1" t="shared" si="112"/>
        <v>1344</v>
      </c>
      <c r="Y192" s="1">
        <f ca="1" t="shared" si="113"/>
        <v>40320</v>
      </c>
      <c r="Z192" s="5">
        <f ca="1" t="shared" si="123"/>
        <v>275064</v>
      </c>
      <c r="AA192" s="1">
        <f ca="1" t="shared" si="114"/>
        <v>42.3533333333334</v>
      </c>
      <c r="AB192" s="1">
        <f ca="1" t="shared" si="115"/>
        <v>1270.6</v>
      </c>
      <c r="AC192" s="5">
        <f ca="1" t="shared" si="124"/>
        <v>7844.40000000002</v>
      </c>
      <c r="AD192" s="1">
        <f ca="1" t="shared" si="103"/>
        <v>2784</v>
      </c>
      <c r="AE192" s="1">
        <f ca="1" t="shared" si="104"/>
        <v>83520</v>
      </c>
      <c r="AF192" s="5">
        <f ca="1" t="shared" si="125"/>
        <v>439171.2</v>
      </c>
    </row>
    <row r="193" spans="1:32">
      <c r="A193" s="12">
        <v>270</v>
      </c>
      <c r="B193" s="1">
        <f t="shared" si="116"/>
        <v>30</v>
      </c>
      <c r="C193" s="1">
        <f ca="1" t="shared" si="97"/>
        <v>1105</v>
      </c>
      <c r="D193" s="1">
        <f ca="1" t="shared" si="98"/>
        <v>4622400</v>
      </c>
      <c r="E193" s="1">
        <f ca="1" t="shared" si="105"/>
        <v>138672000</v>
      </c>
      <c r="F193" s="5">
        <f ca="1" t="shared" si="117"/>
        <v>1060408800</v>
      </c>
      <c r="G193" s="1">
        <f ca="1" t="shared" si="99"/>
        <v>2784</v>
      </c>
      <c r="H193" s="1">
        <f ca="1" t="shared" si="106"/>
        <v>83520</v>
      </c>
      <c r="I193" s="5">
        <f ca="1" t="shared" si="118"/>
        <v>642691.2</v>
      </c>
      <c r="J193" s="1">
        <f ca="1" t="shared" si="100"/>
        <v>3.1872</v>
      </c>
      <c r="K193" s="1">
        <f ca="1" t="shared" si="107"/>
        <v>95.616</v>
      </c>
      <c r="L193" s="5">
        <f ca="1" t="shared" si="119"/>
        <v>601.61616</v>
      </c>
      <c r="M193" s="5">
        <f ca="1">L193*控制台!$E$4819</f>
        <v>481.292928</v>
      </c>
      <c r="N193" s="5">
        <f ca="1">L193*控制台!$E$4820</f>
        <v>11009.575728</v>
      </c>
      <c r="O193" s="1">
        <f ca="1" t="shared" si="101"/>
        <v>2550</v>
      </c>
      <c r="P193" s="1">
        <f ca="1" t="shared" si="102"/>
        <v>76500</v>
      </c>
      <c r="Q193" s="5">
        <f ca="1" t="shared" si="120"/>
        <v>478830</v>
      </c>
      <c r="R193" s="1">
        <f ca="1" t="shared" si="108"/>
        <v>8496</v>
      </c>
      <c r="S193" s="1">
        <f ca="1" t="shared" si="109"/>
        <v>254880</v>
      </c>
      <c r="T193" s="5">
        <f ca="1" t="shared" si="121"/>
        <v>1590979.2</v>
      </c>
      <c r="U193" s="1">
        <f ca="1" t="shared" si="110"/>
        <v>2306880</v>
      </c>
      <c r="V193" s="1">
        <f ca="1" t="shared" si="111"/>
        <v>69206400</v>
      </c>
      <c r="W193" s="5">
        <f ca="1" t="shared" si="122"/>
        <v>528271200</v>
      </c>
      <c r="X193" s="1">
        <f ca="1" t="shared" si="112"/>
        <v>1392</v>
      </c>
      <c r="Y193" s="1">
        <f ca="1" t="shared" si="113"/>
        <v>41760</v>
      </c>
      <c r="Z193" s="5">
        <f ca="1" t="shared" si="123"/>
        <v>316824</v>
      </c>
      <c r="AA193" s="1">
        <f ca="1" t="shared" si="114"/>
        <v>49.5533333333334</v>
      </c>
      <c r="AB193" s="1">
        <f ca="1" t="shared" si="115"/>
        <v>1486.6</v>
      </c>
      <c r="AC193" s="5">
        <f ca="1" t="shared" si="124"/>
        <v>9331.00000000002</v>
      </c>
      <c r="AD193" s="1">
        <f ca="1" t="shared" si="103"/>
        <v>3072</v>
      </c>
      <c r="AE193" s="1">
        <f ca="1" t="shared" si="104"/>
        <v>92160</v>
      </c>
      <c r="AF193" s="5">
        <f ca="1" t="shared" si="125"/>
        <v>531331.2</v>
      </c>
    </row>
    <row r="194" spans="1:32">
      <c r="A194" s="12">
        <v>300</v>
      </c>
      <c r="B194" s="1">
        <f t="shared" si="116"/>
        <v>30</v>
      </c>
      <c r="C194" s="1">
        <f ca="1" t="shared" si="97"/>
        <v>1110</v>
      </c>
      <c r="D194" s="1">
        <f ca="1" t="shared" si="98"/>
        <v>4726080</v>
      </c>
      <c r="E194" s="1">
        <f ca="1" t="shared" si="105"/>
        <v>141782400</v>
      </c>
      <c r="F194" s="5">
        <f ca="1" t="shared" si="117"/>
        <v>1202191200</v>
      </c>
      <c r="G194" s="1">
        <f ca="1" t="shared" si="99"/>
        <v>2880</v>
      </c>
      <c r="H194" s="1">
        <f ca="1" t="shared" si="106"/>
        <v>86400</v>
      </c>
      <c r="I194" s="5">
        <f ca="1" t="shared" si="118"/>
        <v>729091.2</v>
      </c>
      <c r="J194" s="1">
        <f ca="1" t="shared" si="100"/>
        <v>3.3744</v>
      </c>
      <c r="K194" s="1">
        <f ca="1" t="shared" si="107"/>
        <v>101.232</v>
      </c>
      <c r="L194" s="5">
        <f ca="1" t="shared" si="119"/>
        <v>702.84816</v>
      </c>
      <c r="M194" s="5">
        <f ca="1">L194*控制台!$E$4819</f>
        <v>562.278528</v>
      </c>
      <c r="N194" s="5">
        <f ca="1">L194*控制台!$E$4820</f>
        <v>12862.121328</v>
      </c>
      <c r="O194" s="1">
        <f ca="1" t="shared" si="101"/>
        <v>2700</v>
      </c>
      <c r="P194" s="1">
        <f ca="1" t="shared" si="102"/>
        <v>81000</v>
      </c>
      <c r="Q194" s="5">
        <f ca="1" t="shared" si="120"/>
        <v>559830</v>
      </c>
      <c r="R194" s="1">
        <f ca="1" t="shared" si="108"/>
        <v>8976</v>
      </c>
      <c r="S194" s="1">
        <f ca="1" t="shared" si="109"/>
        <v>269280</v>
      </c>
      <c r="T194" s="5">
        <f ca="1" t="shared" si="121"/>
        <v>1860259.2</v>
      </c>
      <c r="U194" s="1">
        <f ca="1" t="shared" si="110"/>
        <v>2358720</v>
      </c>
      <c r="V194" s="1">
        <f ca="1" t="shared" si="111"/>
        <v>70761600</v>
      </c>
      <c r="W194" s="5">
        <f ca="1" t="shared" si="122"/>
        <v>599032800</v>
      </c>
      <c r="X194" s="1">
        <f ca="1" t="shared" si="112"/>
        <v>1440</v>
      </c>
      <c r="Y194" s="1">
        <f ca="1" t="shared" si="113"/>
        <v>43200</v>
      </c>
      <c r="Z194" s="5">
        <f ca="1" t="shared" si="123"/>
        <v>360024</v>
      </c>
      <c r="AA194" s="1">
        <f ca="1" t="shared" si="114"/>
        <v>49.5533333333334</v>
      </c>
      <c r="AB194" s="1">
        <f ca="1" t="shared" si="115"/>
        <v>1486.6</v>
      </c>
      <c r="AC194" s="5">
        <f ca="1" t="shared" si="124"/>
        <v>10817.6</v>
      </c>
      <c r="AD194" s="1">
        <f ca="1" t="shared" si="103"/>
        <v>3360</v>
      </c>
      <c r="AE194" s="1">
        <f ca="1" t="shared" si="104"/>
        <v>100800</v>
      </c>
      <c r="AF194" s="5">
        <f ca="1" t="shared" si="125"/>
        <v>632131.2</v>
      </c>
    </row>
    <row r="195" spans="1:32">
      <c r="A195" s="12">
        <v>330</v>
      </c>
      <c r="B195" s="1">
        <f t="shared" si="116"/>
        <v>30</v>
      </c>
      <c r="C195" s="1">
        <f ca="1" t="shared" si="97"/>
        <v>1205</v>
      </c>
      <c r="D195" s="1">
        <f ca="1" t="shared" si="98"/>
        <v>4829760</v>
      </c>
      <c r="E195" s="1">
        <f ca="1" t="shared" si="105"/>
        <v>144892800</v>
      </c>
      <c r="F195" s="5">
        <f ca="1" t="shared" si="117"/>
        <v>1347084000</v>
      </c>
      <c r="G195" s="1">
        <f ca="1" t="shared" si="99"/>
        <v>2928</v>
      </c>
      <c r="H195" s="1">
        <f ca="1" t="shared" si="106"/>
        <v>87840</v>
      </c>
      <c r="I195" s="5">
        <f ca="1" t="shared" si="118"/>
        <v>816931.2</v>
      </c>
      <c r="J195" s="1">
        <f ca="1" t="shared" si="100"/>
        <v>3.5616</v>
      </c>
      <c r="K195" s="1">
        <f ca="1" t="shared" si="107"/>
        <v>106.848</v>
      </c>
      <c r="L195" s="5">
        <f ca="1" t="shared" si="119"/>
        <v>809.69616</v>
      </c>
      <c r="M195" s="5">
        <f ca="1">L195*控制台!$E$4819</f>
        <v>647.756928</v>
      </c>
      <c r="N195" s="5">
        <f ca="1">L195*控制台!$E$4820</f>
        <v>14817.439728</v>
      </c>
      <c r="O195" s="1">
        <f ca="1" t="shared" si="101"/>
        <v>2850</v>
      </c>
      <c r="P195" s="1">
        <f ca="1" t="shared" si="102"/>
        <v>85500</v>
      </c>
      <c r="Q195" s="5">
        <f ca="1" t="shared" si="120"/>
        <v>645330</v>
      </c>
      <c r="R195" s="1">
        <f ca="1" t="shared" si="108"/>
        <v>9456</v>
      </c>
      <c r="S195" s="1">
        <f ca="1" t="shared" si="109"/>
        <v>283680</v>
      </c>
      <c r="T195" s="5">
        <f ca="1" t="shared" si="121"/>
        <v>2143939.2</v>
      </c>
      <c r="U195" s="1">
        <f ca="1" t="shared" si="110"/>
        <v>2410560</v>
      </c>
      <c r="V195" s="1">
        <f ca="1" t="shared" si="111"/>
        <v>72316800</v>
      </c>
      <c r="W195" s="5">
        <f ca="1" t="shared" si="122"/>
        <v>671349600</v>
      </c>
      <c r="X195" s="1">
        <f ca="1" t="shared" si="112"/>
        <v>1440</v>
      </c>
      <c r="Y195" s="1">
        <f ca="1" t="shared" si="113"/>
        <v>43200</v>
      </c>
      <c r="Z195" s="5">
        <f ca="1" t="shared" si="123"/>
        <v>403224</v>
      </c>
      <c r="AA195" s="1">
        <f ca="1" t="shared" si="114"/>
        <v>56.7533333333334</v>
      </c>
      <c r="AB195" s="1">
        <f ca="1" t="shared" si="115"/>
        <v>1702.6</v>
      </c>
      <c r="AC195" s="5">
        <f ca="1" t="shared" si="124"/>
        <v>12520.2</v>
      </c>
      <c r="AD195" s="1">
        <f ca="1" t="shared" si="103"/>
        <v>3696</v>
      </c>
      <c r="AE195" s="1">
        <f ca="1" t="shared" si="104"/>
        <v>110880</v>
      </c>
      <c r="AF195" s="5">
        <f ca="1" t="shared" si="125"/>
        <v>743011.2</v>
      </c>
    </row>
    <row r="196" spans="1:32">
      <c r="A196" s="12">
        <v>360</v>
      </c>
      <c r="B196" s="1">
        <f t="shared" si="116"/>
        <v>30</v>
      </c>
      <c r="C196" s="1">
        <f ca="1" t="shared" si="97"/>
        <v>1210</v>
      </c>
      <c r="D196" s="1">
        <f ca="1" t="shared" si="98"/>
        <v>4924800</v>
      </c>
      <c r="E196" s="1">
        <f ca="1" t="shared" si="105"/>
        <v>147744000</v>
      </c>
      <c r="F196" s="5">
        <f ca="1" t="shared" si="117"/>
        <v>1494828000</v>
      </c>
      <c r="G196" s="1">
        <f ca="1" t="shared" si="99"/>
        <v>2976</v>
      </c>
      <c r="H196" s="1">
        <f ca="1" t="shared" si="106"/>
        <v>89280</v>
      </c>
      <c r="I196" s="5">
        <f ca="1" t="shared" si="118"/>
        <v>906211.2</v>
      </c>
      <c r="J196" s="1">
        <f ca="1" t="shared" si="100"/>
        <v>3.75</v>
      </c>
      <c r="K196" s="1">
        <f ca="1" t="shared" si="107"/>
        <v>112.5</v>
      </c>
      <c r="L196" s="5">
        <f ca="1" t="shared" si="119"/>
        <v>922.19616</v>
      </c>
      <c r="M196" s="5">
        <f ca="1">L196*控制台!$E$4819</f>
        <v>737.756928</v>
      </c>
      <c r="N196" s="5">
        <f ca="1">L196*控制台!$E$4820</f>
        <v>16876.189728</v>
      </c>
      <c r="O196" s="1">
        <f ca="1" t="shared" si="101"/>
        <v>3000</v>
      </c>
      <c r="P196" s="1">
        <f ca="1" t="shared" si="102"/>
        <v>90000</v>
      </c>
      <c r="Q196" s="5">
        <f ca="1" t="shared" si="120"/>
        <v>735330</v>
      </c>
      <c r="R196" s="1">
        <f ca="1" t="shared" si="108"/>
        <v>9984</v>
      </c>
      <c r="S196" s="1">
        <f ca="1" t="shared" si="109"/>
        <v>299520</v>
      </c>
      <c r="T196" s="5">
        <f ca="1" t="shared" si="121"/>
        <v>2443459.2</v>
      </c>
      <c r="U196" s="1">
        <f ca="1" t="shared" si="110"/>
        <v>2462400</v>
      </c>
      <c r="V196" s="1">
        <f ca="1" t="shared" si="111"/>
        <v>73872000</v>
      </c>
      <c r="W196" s="5">
        <f ca="1" t="shared" si="122"/>
        <v>745221600</v>
      </c>
      <c r="X196" s="1">
        <f ca="1" t="shared" si="112"/>
        <v>1488</v>
      </c>
      <c r="Y196" s="1">
        <f ca="1" t="shared" si="113"/>
        <v>44640</v>
      </c>
      <c r="Z196" s="5">
        <f ca="1" t="shared" si="123"/>
        <v>447864</v>
      </c>
      <c r="AA196" s="1">
        <f ca="1" t="shared" si="114"/>
        <v>56.7533333333334</v>
      </c>
      <c r="AB196" s="1">
        <f ca="1" t="shared" si="115"/>
        <v>1702.6</v>
      </c>
      <c r="AC196" s="5">
        <f ca="1" t="shared" si="124"/>
        <v>14222.8</v>
      </c>
      <c r="AD196" s="1">
        <f ca="1" t="shared" si="103"/>
        <v>3984</v>
      </c>
      <c r="AE196" s="1">
        <f ca="1" t="shared" si="104"/>
        <v>119520</v>
      </c>
      <c r="AF196" s="5">
        <f ca="1" t="shared" si="125"/>
        <v>862531.2</v>
      </c>
    </row>
  </sheetData>
  <hyperlinks>
    <hyperlink ref="A1" location="控制台_206_副本挂机" display="返回控制台_副本挂机"/>
  </hyperlinks>
  <pageMargins left="0.699305555555556" right="0.699305555555556" top="0.75" bottom="0.75" header="0.3" footer="0.3"/>
  <pageSetup paperSize="9" orientation="portrait"/>
  <headerFooter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07">
    <tabColor theme="9" tint="0.599993896298105"/>
  </sheetPr>
  <dimension ref="A1:P77"/>
  <sheetViews>
    <sheetView zoomScale="70" zoomScaleNormal="70" workbookViewId="0">
      <selection activeCell="A1" sqref="A1"/>
    </sheetView>
  </sheetViews>
  <sheetFormatPr defaultColWidth="8.70967741935484" defaultRowHeight="13.1"/>
  <cols>
    <col min="1" max="1" width="9.62903225806452" style="1" customWidth="1"/>
    <col min="2" max="4" width="9.25" style="1" customWidth="1"/>
    <col min="5" max="5" width="10.75" style="1" customWidth="1"/>
    <col min="6" max="6" width="12" style="1" customWidth="1"/>
    <col min="7" max="7" width="13.25" style="1" customWidth="1"/>
    <col min="8" max="16384" width="9.62903225806452" style="1"/>
  </cols>
  <sheetData>
    <row r="1" spans="1:14">
      <c r="A1" s="3" t="s">
        <v>2977</v>
      </c>
      <c r="E1" s="4"/>
      <c r="F1" s="5"/>
      <c r="G1" s="4"/>
      <c r="H1" s="5"/>
      <c r="K1" s="5"/>
      <c r="N1" s="5"/>
    </row>
    <row r="2" spans="5:14">
      <c r="E2" s="4"/>
      <c r="F2" s="5"/>
      <c r="G2" s="4"/>
      <c r="H2" s="5"/>
      <c r="K2" s="5"/>
      <c r="N2" s="5"/>
    </row>
    <row r="3" s="2" customFormat="1" spans="1:1">
      <c r="A3" s="2" t="s">
        <v>2885</v>
      </c>
    </row>
    <row r="4" spans="5:14">
      <c r="E4" s="4"/>
      <c r="F4" s="5"/>
      <c r="G4" s="4"/>
      <c r="H4" s="5"/>
      <c r="K4" s="5"/>
      <c r="N4" s="5"/>
    </row>
    <row r="5" spans="1:16">
      <c r="A5" s="1" t="s">
        <v>382</v>
      </c>
      <c r="B5" s="1" t="s">
        <v>2759</v>
      </c>
      <c r="C5" s="1" t="s">
        <v>138</v>
      </c>
      <c r="D5" s="1" t="s">
        <v>1315</v>
      </c>
      <c r="E5" s="1" t="s">
        <v>1390</v>
      </c>
      <c r="F5" s="1" t="s">
        <v>2934</v>
      </c>
      <c r="G5" s="5" t="s">
        <v>863</v>
      </c>
      <c r="H5" s="1" t="s">
        <v>1392</v>
      </c>
      <c r="I5" s="1" t="s">
        <v>1193</v>
      </c>
      <c r="J5" s="5" t="s">
        <v>1664</v>
      </c>
      <c r="K5" s="1" t="s">
        <v>1393</v>
      </c>
      <c r="L5" s="1" t="s">
        <v>2939</v>
      </c>
      <c r="M5" s="5" t="s">
        <v>2940</v>
      </c>
      <c r="N5" s="1" t="s">
        <v>2943</v>
      </c>
      <c r="O5" s="1" t="s">
        <v>2944</v>
      </c>
      <c r="P5" s="5" t="s">
        <v>1662</v>
      </c>
    </row>
    <row r="6" spans="1:16">
      <c r="A6" s="7">
        <v>0</v>
      </c>
      <c r="B6" s="1">
        <f>A6</f>
        <v>0</v>
      </c>
      <c r="C6" s="1">
        <f ca="1">IF(控制台!C107="",INDIRECT(ADDRESS(ROW()-1,COLUMN())),控制台!C107)</f>
        <v>0</v>
      </c>
      <c r="D6" s="14">
        <f ca="1">OFFSET(控制台!$E$3099,MATCH(C6,控制台!$B$3099:$B$3131,1)-1,0)</f>
        <v>0</v>
      </c>
      <c r="E6" s="1">
        <f ca="1">D6*控制台!$E$3063</f>
        <v>0</v>
      </c>
      <c r="F6" s="1">
        <f ca="1">B6*E6</f>
        <v>0</v>
      </c>
      <c r="G6" s="5">
        <f ca="1">F6</f>
        <v>0</v>
      </c>
      <c r="H6" s="1">
        <f ca="1">D6*控制台!$E$3067</f>
        <v>0</v>
      </c>
      <c r="I6" s="1">
        <f ca="1">H6*B6</f>
        <v>0</v>
      </c>
      <c r="J6" s="5">
        <f ca="1">I6</f>
        <v>0</v>
      </c>
      <c r="K6" s="1">
        <f ca="1">D6*控制台!$E$3071</f>
        <v>0</v>
      </c>
      <c r="L6" s="1">
        <f ca="1">K6*B6</f>
        <v>0</v>
      </c>
      <c r="M6" s="5">
        <f ca="1">L6</f>
        <v>0</v>
      </c>
      <c r="N6" s="1">
        <f ca="1">D6*控制台!$E$3075</f>
        <v>0</v>
      </c>
      <c r="O6" s="1">
        <f ca="1">N6*B6</f>
        <v>0</v>
      </c>
      <c r="P6" s="5">
        <f ca="1">O6</f>
        <v>0</v>
      </c>
    </row>
    <row r="7" spans="1:16">
      <c r="A7" s="7">
        <v>0.1</v>
      </c>
      <c r="B7" s="1">
        <f>A7-A6</f>
        <v>0.1</v>
      </c>
      <c r="C7" s="1">
        <f ca="1">IF(控制台!C108="",INDIRECT(ADDRESS(ROW()-1,COLUMN())),控制台!C108)</f>
        <v>1</v>
      </c>
      <c r="D7" s="14">
        <f ca="1">OFFSET(控制台!$E$3099,MATCH(C7,控制台!$B$3099:$B$3131,1)-1,0)</f>
        <v>0.133333333333333</v>
      </c>
      <c r="E7" s="1">
        <f ca="1">D7*控制台!$E$3063</f>
        <v>959999.999999998</v>
      </c>
      <c r="F7" s="1">
        <f ca="1" t="shared" ref="F7:F70" si="0">B7*E7</f>
        <v>95999.9999999998</v>
      </c>
      <c r="G7" s="5">
        <f ca="1">G6+F7</f>
        <v>95999.9999999998</v>
      </c>
      <c r="H7" s="1">
        <f ca="1">D7*控制台!$E$3067</f>
        <v>0.533333333333332</v>
      </c>
      <c r="I7" s="1">
        <f ca="1" t="shared" ref="I7:I70" si="1">H7*B7</f>
        <v>0.0533333333333332</v>
      </c>
      <c r="J7" s="5">
        <f ca="1">J6+I7</f>
        <v>0.0533333333333332</v>
      </c>
      <c r="K7" s="1">
        <f ca="1">D7*控制台!$E$3071</f>
        <v>39.9999999999999</v>
      </c>
      <c r="L7" s="1">
        <f ca="1" t="shared" ref="L7:L70" si="2">K7*B7</f>
        <v>3.99999999999999</v>
      </c>
      <c r="M7" s="5">
        <f ca="1">M6+L7</f>
        <v>3.99999999999999</v>
      </c>
      <c r="N7" s="1">
        <f ca="1">D7*控制台!$E$3075</f>
        <v>20</v>
      </c>
      <c r="O7" s="1">
        <f ca="1" t="shared" ref="O7:O70" si="3">N7*B7</f>
        <v>2</v>
      </c>
      <c r="P7" s="5">
        <f ca="1">P6+O7</f>
        <v>2</v>
      </c>
    </row>
    <row r="8" spans="1:16">
      <c r="A8" s="7">
        <v>0.2</v>
      </c>
      <c r="B8" s="1">
        <f t="shared" ref="B8:B71" si="4">A8-A7</f>
        <v>0.1</v>
      </c>
      <c r="C8" s="1">
        <f ca="1">IF(控制台!C109="",INDIRECT(ADDRESS(ROW()-1,COLUMN())),控制台!C109)</f>
        <v>2</v>
      </c>
      <c r="D8" s="14">
        <f ca="1">OFFSET(控制台!$E$3099,MATCH(C8,控制台!$B$3099:$B$3131,1)-1,0)</f>
        <v>0.133333333333333</v>
      </c>
      <c r="E8" s="1">
        <f ca="1">D8*控制台!$E$3063</f>
        <v>959999.999999998</v>
      </c>
      <c r="F8" s="1">
        <f ca="1" t="shared" si="0"/>
        <v>95999.9999999998</v>
      </c>
      <c r="G8" s="5">
        <f ca="1" t="shared" ref="G8:G71" si="5">G7+F8</f>
        <v>192000</v>
      </c>
      <c r="H8" s="1">
        <f ca="1">D8*控制台!$E$3067</f>
        <v>0.533333333333332</v>
      </c>
      <c r="I8" s="1">
        <f ca="1" t="shared" si="1"/>
        <v>0.0533333333333332</v>
      </c>
      <c r="J8" s="5">
        <f ca="1" t="shared" ref="J8:J71" si="6">J7+I8</f>
        <v>0.106666666666666</v>
      </c>
      <c r="K8" s="1">
        <f ca="1">D8*控制台!$E$3071</f>
        <v>39.9999999999999</v>
      </c>
      <c r="L8" s="1">
        <f ca="1" t="shared" si="2"/>
        <v>3.99999999999999</v>
      </c>
      <c r="M8" s="5">
        <f ca="1" t="shared" ref="M8:M71" si="7">M7+L8</f>
        <v>7.99999999999998</v>
      </c>
      <c r="N8" s="1">
        <f ca="1">D8*控制台!$E$3075</f>
        <v>20</v>
      </c>
      <c r="O8" s="1">
        <f ca="1" t="shared" si="3"/>
        <v>2</v>
      </c>
      <c r="P8" s="5">
        <f ca="1" t="shared" ref="P8:P71" si="8">P7+O8</f>
        <v>3.99999999999999</v>
      </c>
    </row>
    <row r="9" spans="1:16">
      <c r="A9" s="7">
        <v>0.3</v>
      </c>
      <c r="B9" s="1">
        <f t="shared" si="4"/>
        <v>0.1</v>
      </c>
      <c r="C9" s="1">
        <f ca="1">IF(控制台!C110="",INDIRECT(ADDRESS(ROW()-1,COLUMN())),控制台!C110)</f>
        <v>3</v>
      </c>
      <c r="D9" s="14">
        <f ca="1">OFFSET(控制台!$E$3099,MATCH(C9,控制台!$B$3099:$B$3131,1)-1,0)</f>
        <v>0.133333333333333</v>
      </c>
      <c r="E9" s="1">
        <f ca="1">D9*控制台!$E$3063</f>
        <v>959999.999999998</v>
      </c>
      <c r="F9" s="1">
        <f ca="1" t="shared" si="0"/>
        <v>95999.9999999998</v>
      </c>
      <c r="G9" s="5">
        <f ca="1" t="shared" si="5"/>
        <v>287999.999999999</v>
      </c>
      <c r="H9" s="1">
        <f ca="1">D9*控制台!$E$3067</f>
        <v>0.533333333333332</v>
      </c>
      <c r="I9" s="1">
        <f ca="1" t="shared" si="1"/>
        <v>0.0533333333333332</v>
      </c>
      <c r="J9" s="5">
        <f ca="1" t="shared" si="6"/>
        <v>0.16</v>
      </c>
      <c r="K9" s="1">
        <f ca="1">D9*控制台!$E$3071</f>
        <v>39.9999999999999</v>
      </c>
      <c r="L9" s="1">
        <f ca="1" t="shared" si="2"/>
        <v>3.99999999999999</v>
      </c>
      <c r="M9" s="5">
        <f ca="1" t="shared" si="7"/>
        <v>12</v>
      </c>
      <c r="N9" s="1">
        <f ca="1">D9*控制台!$E$3075</f>
        <v>20</v>
      </c>
      <c r="O9" s="1">
        <f ca="1" t="shared" si="3"/>
        <v>2</v>
      </c>
      <c r="P9" s="5">
        <f ca="1" t="shared" si="8"/>
        <v>5.99999999999999</v>
      </c>
    </row>
    <row r="10" spans="1:16">
      <c r="A10" s="7">
        <v>0.4</v>
      </c>
      <c r="B10" s="1">
        <f t="shared" si="4"/>
        <v>0.1</v>
      </c>
      <c r="C10" s="1">
        <f ca="1">IF(控制台!C111="",INDIRECT(ADDRESS(ROW()-1,COLUMN())),控制台!C111)</f>
        <v>4</v>
      </c>
      <c r="D10" s="14">
        <f ca="1">OFFSET(控制台!$E$3099,MATCH(C10,控制台!$B$3099:$B$3131,1)-1,0)</f>
        <v>0.2</v>
      </c>
      <c r="E10" s="1">
        <f ca="1">D10*控制台!$E$3063</f>
        <v>1440000</v>
      </c>
      <c r="F10" s="1">
        <f ca="1" t="shared" si="0"/>
        <v>144000</v>
      </c>
      <c r="G10" s="5">
        <f ca="1" t="shared" si="5"/>
        <v>431999.999999999</v>
      </c>
      <c r="H10" s="1">
        <f ca="1">D10*控制台!$E$3067</f>
        <v>0.8</v>
      </c>
      <c r="I10" s="1">
        <f ca="1" t="shared" si="1"/>
        <v>0.08</v>
      </c>
      <c r="J10" s="5">
        <f ca="1" t="shared" si="6"/>
        <v>0.24</v>
      </c>
      <c r="K10" s="1">
        <f ca="1">D10*控制台!$E$3071</f>
        <v>60</v>
      </c>
      <c r="L10" s="1">
        <f ca="1" t="shared" si="2"/>
        <v>6</v>
      </c>
      <c r="M10" s="5">
        <f ca="1" t="shared" si="7"/>
        <v>18</v>
      </c>
      <c r="N10" s="1">
        <f ca="1">D10*控制台!$E$3075</f>
        <v>30</v>
      </c>
      <c r="O10" s="1">
        <f ca="1" t="shared" si="3"/>
        <v>3</v>
      </c>
      <c r="P10" s="5">
        <f ca="1" t="shared" si="8"/>
        <v>8.99999999999999</v>
      </c>
    </row>
    <row r="11" spans="1:16">
      <c r="A11" s="7">
        <v>0.5</v>
      </c>
      <c r="B11" s="1">
        <f t="shared" si="4"/>
        <v>0.1</v>
      </c>
      <c r="C11" s="1">
        <f ca="1">IF(控制台!C112="",INDIRECT(ADDRESS(ROW()-1,COLUMN())),控制台!C112)</f>
        <v>5</v>
      </c>
      <c r="D11" s="14">
        <f ca="1">OFFSET(控制台!$E$3099,MATCH(C11,控制台!$B$3099:$B$3131,1)-1,0)</f>
        <v>0.2</v>
      </c>
      <c r="E11" s="1">
        <f ca="1">D11*控制台!$E$3063</f>
        <v>1440000</v>
      </c>
      <c r="F11" s="1">
        <f ca="1" t="shared" si="0"/>
        <v>144000</v>
      </c>
      <c r="G11" s="5">
        <f ca="1" t="shared" si="5"/>
        <v>575999.999999999</v>
      </c>
      <c r="H11" s="1">
        <f ca="1">D11*控制台!$E$3067</f>
        <v>0.8</v>
      </c>
      <c r="I11" s="1">
        <f ca="1" t="shared" si="1"/>
        <v>0.08</v>
      </c>
      <c r="J11" s="5">
        <f ca="1" t="shared" si="6"/>
        <v>0.32</v>
      </c>
      <c r="K11" s="1">
        <f ca="1">D11*控制台!$E$3071</f>
        <v>60</v>
      </c>
      <c r="L11" s="1">
        <f ca="1" t="shared" si="2"/>
        <v>6</v>
      </c>
      <c r="M11" s="5">
        <f ca="1" t="shared" si="7"/>
        <v>24</v>
      </c>
      <c r="N11" s="1">
        <f ca="1">D11*控制台!$E$3075</f>
        <v>30</v>
      </c>
      <c r="O11" s="1">
        <f ca="1" t="shared" si="3"/>
        <v>3</v>
      </c>
      <c r="P11" s="5">
        <f ca="1" t="shared" si="8"/>
        <v>12</v>
      </c>
    </row>
    <row r="12" spans="1:16">
      <c r="A12" s="7">
        <v>0.6</v>
      </c>
      <c r="B12" s="1">
        <f t="shared" si="4"/>
        <v>0.1</v>
      </c>
      <c r="C12" s="1">
        <f ca="1">IF(控制台!C113="",INDIRECT(ADDRESS(ROW()-1,COLUMN())),控制台!C113)</f>
        <v>6</v>
      </c>
      <c r="D12" s="14">
        <f ca="1">OFFSET(控制台!$E$3099,MATCH(C12,控制台!$B$3099:$B$3131,1)-1,0)</f>
        <v>0.2</v>
      </c>
      <c r="E12" s="1">
        <f ca="1">D12*控制台!$E$3063</f>
        <v>1440000</v>
      </c>
      <c r="F12" s="1">
        <f ca="1" t="shared" si="0"/>
        <v>144000</v>
      </c>
      <c r="G12" s="5">
        <f ca="1" t="shared" si="5"/>
        <v>719999.999999999</v>
      </c>
      <c r="H12" s="1">
        <f ca="1">D12*控制台!$E$3067</f>
        <v>0.8</v>
      </c>
      <c r="I12" s="1">
        <f ca="1" t="shared" si="1"/>
        <v>0.08</v>
      </c>
      <c r="J12" s="5">
        <f ca="1" t="shared" si="6"/>
        <v>0.4</v>
      </c>
      <c r="K12" s="1">
        <f ca="1">D12*控制台!$E$3071</f>
        <v>60</v>
      </c>
      <c r="L12" s="1">
        <f ca="1" t="shared" si="2"/>
        <v>6</v>
      </c>
      <c r="M12" s="5">
        <f ca="1" t="shared" si="7"/>
        <v>30</v>
      </c>
      <c r="N12" s="1">
        <f ca="1">D12*控制台!$E$3075</f>
        <v>30</v>
      </c>
      <c r="O12" s="1">
        <f ca="1" t="shared" si="3"/>
        <v>3</v>
      </c>
      <c r="P12" s="5">
        <f ca="1" t="shared" si="8"/>
        <v>15</v>
      </c>
    </row>
    <row r="13" spans="1:16">
      <c r="A13" s="7">
        <v>0.7</v>
      </c>
      <c r="B13" s="1">
        <f t="shared" si="4"/>
        <v>0.1</v>
      </c>
      <c r="C13" s="1">
        <f ca="1">IF(控制台!C114="",INDIRECT(ADDRESS(ROW()-1,COLUMN())),控制台!C114)</f>
        <v>6</v>
      </c>
      <c r="D13" s="14">
        <f ca="1">OFFSET(控制台!$E$3099,MATCH(C13,控制台!$B$3099:$B$3131,1)-1,0)</f>
        <v>0.2</v>
      </c>
      <c r="E13" s="1">
        <f ca="1">D13*控制台!$E$3063</f>
        <v>1440000</v>
      </c>
      <c r="F13" s="1">
        <f ca="1" t="shared" si="0"/>
        <v>144000</v>
      </c>
      <c r="G13" s="5">
        <f ca="1" t="shared" si="5"/>
        <v>863999.999999999</v>
      </c>
      <c r="H13" s="1">
        <f ca="1">D13*控制台!$E$3067</f>
        <v>0.8</v>
      </c>
      <c r="I13" s="1">
        <f ca="1" t="shared" si="1"/>
        <v>0.08</v>
      </c>
      <c r="J13" s="5">
        <f ca="1" t="shared" si="6"/>
        <v>0.48</v>
      </c>
      <c r="K13" s="1">
        <f ca="1">D13*控制台!$E$3071</f>
        <v>60</v>
      </c>
      <c r="L13" s="1">
        <f ca="1" t="shared" si="2"/>
        <v>6</v>
      </c>
      <c r="M13" s="5">
        <f ca="1" t="shared" si="7"/>
        <v>36</v>
      </c>
      <c r="N13" s="1">
        <f ca="1">D13*控制台!$E$3075</f>
        <v>30</v>
      </c>
      <c r="O13" s="1">
        <f ca="1" t="shared" si="3"/>
        <v>3</v>
      </c>
      <c r="P13" s="5">
        <f ca="1" t="shared" si="8"/>
        <v>18</v>
      </c>
    </row>
    <row r="14" spans="1:16">
      <c r="A14" s="7">
        <v>0.8</v>
      </c>
      <c r="B14" s="1">
        <f t="shared" si="4"/>
        <v>0.1</v>
      </c>
      <c r="C14" s="1">
        <f ca="1">IF(控制台!C115="",INDIRECT(ADDRESS(ROW()-1,COLUMN())),控制台!C115)</f>
        <v>7</v>
      </c>
      <c r="D14" s="14">
        <f ca="1">OFFSET(控制台!$E$3099,MATCH(C14,控制台!$B$3099:$B$3131,1)-1,0)</f>
        <v>0.2</v>
      </c>
      <c r="E14" s="1">
        <f ca="1">D14*控制台!$E$3063</f>
        <v>1440000</v>
      </c>
      <c r="F14" s="1">
        <f ca="1" t="shared" si="0"/>
        <v>144000</v>
      </c>
      <c r="G14" s="5">
        <f ca="1" t="shared" si="5"/>
        <v>1008000</v>
      </c>
      <c r="H14" s="1">
        <f ca="1">D14*控制台!$E$3067</f>
        <v>0.8</v>
      </c>
      <c r="I14" s="1">
        <f ca="1" t="shared" si="1"/>
        <v>0.08</v>
      </c>
      <c r="J14" s="5">
        <f ca="1" t="shared" si="6"/>
        <v>0.56</v>
      </c>
      <c r="K14" s="1">
        <f ca="1">D14*控制台!$E$3071</f>
        <v>60</v>
      </c>
      <c r="L14" s="1">
        <f ca="1" t="shared" si="2"/>
        <v>6</v>
      </c>
      <c r="M14" s="5">
        <f ca="1" t="shared" si="7"/>
        <v>42</v>
      </c>
      <c r="N14" s="1">
        <f ca="1">D14*控制台!$E$3075</f>
        <v>30</v>
      </c>
      <c r="O14" s="1">
        <f ca="1" t="shared" si="3"/>
        <v>3</v>
      </c>
      <c r="P14" s="5">
        <f ca="1" t="shared" si="8"/>
        <v>21</v>
      </c>
    </row>
    <row r="15" spans="1:16">
      <c r="A15" s="7">
        <v>0.9</v>
      </c>
      <c r="B15" s="1">
        <f t="shared" si="4"/>
        <v>0.1</v>
      </c>
      <c r="C15" s="1">
        <f ca="1">IF(控制台!C116="",INDIRECT(ADDRESS(ROW()-1,COLUMN())),控制台!C116)</f>
        <v>7</v>
      </c>
      <c r="D15" s="14">
        <f ca="1">OFFSET(控制台!$E$3099,MATCH(C15,控制台!$B$3099:$B$3131,1)-1,0)</f>
        <v>0.2</v>
      </c>
      <c r="E15" s="1">
        <f ca="1">D15*控制台!$E$3063</f>
        <v>1440000</v>
      </c>
      <c r="F15" s="1">
        <f ca="1" t="shared" si="0"/>
        <v>144000</v>
      </c>
      <c r="G15" s="5">
        <f ca="1" t="shared" si="5"/>
        <v>1152000</v>
      </c>
      <c r="H15" s="1">
        <f ca="1">D15*控制台!$E$3067</f>
        <v>0.8</v>
      </c>
      <c r="I15" s="1">
        <f ca="1" t="shared" si="1"/>
        <v>0.08</v>
      </c>
      <c r="J15" s="5">
        <f ca="1" t="shared" si="6"/>
        <v>0.64</v>
      </c>
      <c r="K15" s="1">
        <f ca="1">D15*控制台!$E$3071</f>
        <v>60</v>
      </c>
      <c r="L15" s="1">
        <f ca="1" t="shared" si="2"/>
        <v>6</v>
      </c>
      <c r="M15" s="5">
        <f ca="1" t="shared" si="7"/>
        <v>48</v>
      </c>
      <c r="N15" s="1">
        <f ca="1">D15*控制台!$E$3075</f>
        <v>30</v>
      </c>
      <c r="O15" s="1">
        <f ca="1" t="shared" si="3"/>
        <v>3</v>
      </c>
      <c r="P15" s="5">
        <f ca="1" t="shared" si="8"/>
        <v>24</v>
      </c>
    </row>
    <row r="16" spans="1:16">
      <c r="A16" s="7">
        <v>1</v>
      </c>
      <c r="B16" s="1">
        <f t="shared" si="4"/>
        <v>0.1</v>
      </c>
      <c r="C16" s="1">
        <f ca="1">IF(控制台!C117="",INDIRECT(ADDRESS(ROW()-1,COLUMN())),控制台!C117)</f>
        <v>8</v>
      </c>
      <c r="D16" s="14">
        <f ca="1">OFFSET(控制台!$E$3099,MATCH(C16,控制台!$B$3099:$B$3131,1)-1,0)</f>
        <v>0.266666666666667</v>
      </c>
      <c r="E16" s="1">
        <f ca="1">D16*控制台!$E$3063</f>
        <v>1920000</v>
      </c>
      <c r="F16" s="1">
        <f ca="1" t="shared" si="0"/>
        <v>192000</v>
      </c>
      <c r="G16" s="5">
        <f ca="1" t="shared" si="5"/>
        <v>1344000</v>
      </c>
      <c r="H16" s="1">
        <f ca="1">D16*控制台!$E$3067</f>
        <v>1.06666666666667</v>
      </c>
      <c r="I16" s="1">
        <f ca="1" t="shared" si="1"/>
        <v>0.106666666666667</v>
      </c>
      <c r="J16" s="5">
        <f ca="1" t="shared" si="6"/>
        <v>0.746666666666666</v>
      </c>
      <c r="K16" s="1">
        <f ca="1">D16*控制台!$E$3071</f>
        <v>80.0000000000001</v>
      </c>
      <c r="L16" s="1">
        <f ca="1" t="shared" si="2"/>
        <v>8.00000000000001</v>
      </c>
      <c r="M16" s="5">
        <f ca="1" t="shared" si="7"/>
        <v>56</v>
      </c>
      <c r="N16" s="1">
        <f ca="1">D16*控制台!$E$3075</f>
        <v>40</v>
      </c>
      <c r="O16" s="1">
        <f ca="1" t="shared" si="3"/>
        <v>4.00000000000001</v>
      </c>
      <c r="P16" s="5">
        <f ca="1" t="shared" si="8"/>
        <v>28</v>
      </c>
    </row>
    <row r="17" spans="1:16">
      <c r="A17" s="9">
        <v>1.5</v>
      </c>
      <c r="B17" s="1">
        <f t="shared" si="4"/>
        <v>0.5</v>
      </c>
      <c r="C17" s="1">
        <f ca="1">IF(控制台!C118="",INDIRECT(ADDRESS(ROW()-1,COLUMN())),控制台!C118)</f>
        <v>9</v>
      </c>
      <c r="D17" s="14">
        <f ca="1">OFFSET(控制台!$E$3099,MATCH(C17,控制台!$B$3099:$B$3131,1)-1,0)</f>
        <v>0.266666666666667</v>
      </c>
      <c r="E17" s="1">
        <f ca="1">D17*控制台!$E$3063</f>
        <v>1920000</v>
      </c>
      <c r="F17" s="1">
        <f ca="1" t="shared" si="0"/>
        <v>960000.000000001</v>
      </c>
      <c r="G17" s="5">
        <f ca="1" t="shared" si="5"/>
        <v>2304000</v>
      </c>
      <c r="H17" s="1">
        <f ca="1">D17*控制台!$E$3067</f>
        <v>1.06666666666667</v>
      </c>
      <c r="I17" s="1">
        <f ca="1" t="shared" si="1"/>
        <v>0.533333333333334</v>
      </c>
      <c r="J17" s="5">
        <f ca="1" t="shared" si="6"/>
        <v>1.28</v>
      </c>
      <c r="K17" s="1">
        <f ca="1">D17*控制台!$E$3071</f>
        <v>80.0000000000001</v>
      </c>
      <c r="L17" s="1">
        <f ca="1" t="shared" si="2"/>
        <v>40</v>
      </c>
      <c r="M17" s="5">
        <f ca="1" t="shared" si="7"/>
        <v>96</v>
      </c>
      <c r="N17" s="1">
        <f ca="1">D17*控制台!$E$3075</f>
        <v>40</v>
      </c>
      <c r="O17" s="1">
        <f ca="1" t="shared" si="3"/>
        <v>20</v>
      </c>
      <c r="P17" s="5">
        <f ca="1" t="shared" si="8"/>
        <v>48</v>
      </c>
    </row>
    <row r="18" spans="1:16">
      <c r="A18" s="9">
        <v>2</v>
      </c>
      <c r="B18" s="1">
        <f t="shared" si="4"/>
        <v>0.5</v>
      </c>
      <c r="C18" s="1">
        <f ca="1">IF(控制台!C119="",INDIRECT(ADDRESS(ROW()-1,COLUMN())),控制台!C119)</f>
        <v>10</v>
      </c>
      <c r="D18" s="14">
        <f ca="1">OFFSET(控制台!$E$3099,MATCH(C18,控制台!$B$3099:$B$3131,1)-1,0)</f>
        <v>0.266666666666667</v>
      </c>
      <c r="E18" s="1">
        <f ca="1">D18*控制台!$E$3063</f>
        <v>1920000</v>
      </c>
      <c r="F18" s="1">
        <f ca="1" t="shared" si="0"/>
        <v>960000.000000001</v>
      </c>
      <c r="G18" s="5">
        <f ca="1" t="shared" si="5"/>
        <v>3264000</v>
      </c>
      <c r="H18" s="1">
        <f ca="1">D18*控制台!$E$3067</f>
        <v>1.06666666666667</v>
      </c>
      <c r="I18" s="1">
        <f ca="1" t="shared" si="1"/>
        <v>0.533333333333334</v>
      </c>
      <c r="J18" s="5">
        <f ca="1" t="shared" si="6"/>
        <v>1.81333333333333</v>
      </c>
      <c r="K18" s="1">
        <f ca="1">D18*控制台!$E$3071</f>
        <v>80.0000000000001</v>
      </c>
      <c r="L18" s="1">
        <f ca="1" t="shared" si="2"/>
        <v>40</v>
      </c>
      <c r="M18" s="5">
        <f ca="1" t="shared" si="7"/>
        <v>136</v>
      </c>
      <c r="N18" s="1">
        <f ca="1">D18*控制台!$E$3075</f>
        <v>40</v>
      </c>
      <c r="O18" s="1">
        <f ca="1" t="shared" si="3"/>
        <v>20</v>
      </c>
      <c r="P18" s="5">
        <f ca="1" t="shared" si="8"/>
        <v>68</v>
      </c>
    </row>
    <row r="19" spans="1:16">
      <c r="A19" s="9">
        <v>2.5</v>
      </c>
      <c r="B19" s="1">
        <f t="shared" si="4"/>
        <v>0.5</v>
      </c>
      <c r="C19" s="1">
        <f ca="1">IF(控制台!C120="",INDIRECT(ADDRESS(ROW()-1,COLUMN())),控制台!C120)</f>
        <v>11</v>
      </c>
      <c r="D19" s="14">
        <f ca="1">OFFSET(控制台!$E$3099,MATCH(C19,控制台!$B$3099:$B$3131,1)-1,0)</f>
        <v>0.266666666666667</v>
      </c>
      <c r="E19" s="1">
        <f ca="1">D19*控制台!$E$3063</f>
        <v>1920000</v>
      </c>
      <c r="F19" s="1">
        <f ca="1" t="shared" si="0"/>
        <v>960000.000000001</v>
      </c>
      <c r="G19" s="5">
        <f ca="1" t="shared" si="5"/>
        <v>4224000</v>
      </c>
      <c r="H19" s="1">
        <f ca="1">D19*控制台!$E$3067</f>
        <v>1.06666666666667</v>
      </c>
      <c r="I19" s="1">
        <f ca="1" t="shared" si="1"/>
        <v>0.533333333333334</v>
      </c>
      <c r="J19" s="5">
        <f ca="1" t="shared" si="6"/>
        <v>2.34666666666667</v>
      </c>
      <c r="K19" s="1">
        <f ca="1">D19*控制台!$E$3071</f>
        <v>80.0000000000001</v>
      </c>
      <c r="L19" s="1">
        <f ca="1" t="shared" si="2"/>
        <v>40</v>
      </c>
      <c r="M19" s="5">
        <f ca="1" t="shared" si="7"/>
        <v>176</v>
      </c>
      <c r="N19" s="1">
        <f ca="1">D19*控制台!$E$3075</f>
        <v>40</v>
      </c>
      <c r="O19" s="1">
        <f ca="1" t="shared" si="3"/>
        <v>20</v>
      </c>
      <c r="P19" s="5">
        <f ca="1" t="shared" si="8"/>
        <v>88.0000000000001</v>
      </c>
    </row>
    <row r="20" spans="1:16">
      <c r="A20" s="9">
        <v>3</v>
      </c>
      <c r="B20" s="1">
        <f t="shared" si="4"/>
        <v>0.5</v>
      </c>
      <c r="C20" s="1">
        <f ca="1">IF(控制台!C121="",INDIRECT(ADDRESS(ROW()-1,COLUMN())),控制台!C121)</f>
        <v>12</v>
      </c>
      <c r="D20" s="14">
        <f ca="1">OFFSET(控制台!$E$3099,MATCH(C20,控制台!$B$3099:$B$3131,1)-1,0)</f>
        <v>0.266666666666667</v>
      </c>
      <c r="E20" s="1">
        <f ca="1">D20*控制台!$E$3063</f>
        <v>1920000</v>
      </c>
      <c r="F20" s="1">
        <f ca="1" t="shared" si="0"/>
        <v>960000.000000001</v>
      </c>
      <c r="G20" s="5">
        <f ca="1" t="shared" si="5"/>
        <v>5184000</v>
      </c>
      <c r="H20" s="1">
        <f ca="1">D20*控制台!$E$3067</f>
        <v>1.06666666666667</v>
      </c>
      <c r="I20" s="1">
        <f ca="1" t="shared" si="1"/>
        <v>0.533333333333334</v>
      </c>
      <c r="J20" s="5">
        <f ca="1" t="shared" si="6"/>
        <v>2.88</v>
      </c>
      <c r="K20" s="1">
        <f ca="1">D20*控制台!$E$3071</f>
        <v>80.0000000000001</v>
      </c>
      <c r="L20" s="1">
        <f ca="1" t="shared" si="2"/>
        <v>40</v>
      </c>
      <c r="M20" s="5">
        <f ca="1" t="shared" si="7"/>
        <v>216</v>
      </c>
      <c r="N20" s="1">
        <f ca="1">D20*控制台!$E$3075</f>
        <v>40</v>
      </c>
      <c r="O20" s="1">
        <f ca="1" t="shared" si="3"/>
        <v>20</v>
      </c>
      <c r="P20" s="5">
        <f ca="1" t="shared" si="8"/>
        <v>108</v>
      </c>
    </row>
    <row r="21" spans="1:16">
      <c r="A21" s="9">
        <v>3.5</v>
      </c>
      <c r="B21" s="1">
        <f t="shared" si="4"/>
        <v>0.5</v>
      </c>
      <c r="C21" s="1">
        <f ca="1">IF(控制台!C122="",INDIRECT(ADDRESS(ROW()-1,COLUMN())),控制台!C122)</f>
        <v>12</v>
      </c>
      <c r="D21" s="14">
        <f ca="1">OFFSET(控制台!$E$3099,MATCH(C21,控制台!$B$3099:$B$3131,1)-1,0)</f>
        <v>0.266666666666667</v>
      </c>
      <c r="E21" s="1">
        <f ca="1">D21*控制台!$E$3063</f>
        <v>1920000</v>
      </c>
      <c r="F21" s="1">
        <f ca="1" t="shared" si="0"/>
        <v>960000.000000001</v>
      </c>
      <c r="G21" s="5">
        <f ca="1" t="shared" si="5"/>
        <v>6144000</v>
      </c>
      <c r="H21" s="1">
        <f ca="1">D21*控制台!$E$3067</f>
        <v>1.06666666666667</v>
      </c>
      <c r="I21" s="1">
        <f ca="1" t="shared" si="1"/>
        <v>0.533333333333334</v>
      </c>
      <c r="J21" s="5">
        <f ca="1" t="shared" si="6"/>
        <v>3.41333333333334</v>
      </c>
      <c r="K21" s="1">
        <f ca="1">D21*控制台!$E$3071</f>
        <v>80.0000000000001</v>
      </c>
      <c r="L21" s="1">
        <f ca="1" t="shared" si="2"/>
        <v>40</v>
      </c>
      <c r="M21" s="5">
        <f ca="1" t="shared" si="7"/>
        <v>256</v>
      </c>
      <c r="N21" s="1">
        <f ca="1">D21*控制台!$E$3075</f>
        <v>40</v>
      </c>
      <c r="O21" s="1">
        <f ca="1" t="shared" si="3"/>
        <v>20</v>
      </c>
      <c r="P21" s="5">
        <f ca="1" t="shared" si="8"/>
        <v>128</v>
      </c>
    </row>
    <row r="22" spans="1:16">
      <c r="A22" s="9">
        <v>4</v>
      </c>
      <c r="B22" s="1">
        <f t="shared" si="4"/>
        <v>0.5</v>
      </c>
      <c r="C22" s="1">
        <f ca="1">IF(控制台!C123="",INDIRECT(ADDRESS(ROW()-1,COLUMN())),控制台!C123)</f>
        <v>13</v>
      </c>
      <c r="D22" s="14">
        <f ca="1">OFFSET(控制台!$E$3099,MATCH(C22,控制台!$B$3099:$B$3131,1)-1,0)</f>
        <v>0.4</v>
      </c>
      <c r="E22" s="1">
        <f ca="1">D22*控制台!$E$3063</f>
        <v>2880000</v>
      </c>
      <c r="F22" s="1">
        <f ca="1" t="shared" si="0"/>
        <v>1440000</v>
      </c>
      <c r="G22" s="5">
        <f ca="1" t="shared" si="5"/>
        <v>7584000</v>
      </c>
      <c r="H22" s="1">
        <f ca="1">D22*控制台!$E$3067</f>
        <v>1.6</v>
      </c>
      <c r="I22" s="1">
        <f ca="1" t="shared" si="1"/>
        <v>0.8</v>
      </c>
      <c r="J22" s="5">
        <f ca="1" t="shared" si="6"/>
        <v>4.21333333333334</v>
      </c>
      <c r="K22" s="1">
        <f ca="1">D22*控制台!$E$3071</f>
        <v>120</v>
      </c>
      <c r="L22" s="1">
        <f ca="1" t="shared" si="2"/>
        <v>60</v>
      </c>
      <c r="M22" s="5">
        <f ca="1" t="shared" si="7"/>
        <v>316</v>
      </c>
      <c r="N22" s="1">
        <f ca="1">D22*控制台!$E$3075</f>
        <v>60</v>
      </c>
      <c r="O22" s="1">
        <f ca="1" t="shared" si="3"/>
        <v>30</v>
      </c>
      <c r="P22" s="5">
        <f ca="1" t="shared" si="8"/>
        <v>158</v>
      </c>
    </row>
    <row r="23" spans="1:16">
      <c r="A23" s="9">
        <v>4.5</v>
      </c>
      <c r="B23" s="1">
        <f t="shared" si="4"/>
        <v>0.5</v>
      </c>
      <c r="C23" s="1">
        <f ca="1">IF(控制台!C124="",INDIRECT(ADDRESS(ROW()-1,COLUMN())),控制台!C124)</f>
        <v>13</v>
      </c>
      <c r="D23" s="14">
        <f ca="1">OFFSET(控制台!$E$3099,MATCH(C23,控制台!$B$3099:$B$3131,1)-1,0)</f>
        <v>0.4</v>
      </c>
      <c r="E23" s="1">
        <f ca="1">D23*控制台!$E$3063</f>
        <v>2880000</v>
      </c>
      <c r="F23" s="1">
        <f ca="1" t="shared" si="0"/>
        <v>1440000</v>
      </c>
      <c r="G23" s="5">
        <f ca="1" t="shared" si="5"/>
        <v>9024000</v>
      </c>
      <c r="H23" s="1">
        <f ca="1">D23*控制台!$E$3067</f>
        <v>1.6</v>
      </c>
      <c r="I23" s="1">
        <f ca="1" t="shared" si="1"/>
        <v>0.8</v>
      </c>
      <c r="J23" s="5">
        <f ca="1" t="shared" si="6"/>
        <v>5.01333333333334</v>
      </c>
      <c r="K23" s="1">
        <f ca="1">D23*控制台!$E$3071</f>
        <v>120</v>
      </c>
      <c r="L23" s="1">
        <f ca="1" t="shared" si="2"/>
        <v>60</v>
      </c>
      <c r="M23" s="5">
        <f ca="1" t="shared" si="7"/>
        <v>376</v>
      </c>
      <c r="N23" s="1">
        <f ca="1">D23*控制台!$E$3075</f>
        <v>60</v>
      </c>
      <c r="O23" s="1">
        <f ca="1" t="shared" si="3"/>
        <v>30</v>
      </c>
      <c r="P23" s="5">
        <f ca="1" t="shared" si="8"/>
        <v>188</v>
      </c>
    </row>
    <row r="24" spans="1:16">
      <c r="A24" s="9">
        <v>5</v>
      </c>
      <c r="B24" s="1">
        <f t="shared" si="4"/>
        <v>0.5</v>
      </c>
      <c r="C24" s="1">
        <f ca="1">IF(控制台!C125="",INDIRECT(ADDRESS(ROW()-1,COLUMN())),控制台!C125)</f>
        <v>14</v>
      </c>
      <c r="D24" s="14">
        <f ca="1">OFFSET(控制台!$E$3099,MATCH(C24,控制台!$B$3099:$B$3131,1)-1,0)</f>
        <v>0.4</v>
      </c>
      <c r="E24" s="1">
        <f ca="1">D24*控制台!$E$3063</f>
        <v>2880000</v>
      </c>
      <c r="F24" s="1">
        <f ca="1" t="shared" si="0"/>
        <v>1440000</v>
      </c>
      <c r="G24" s="5">
        <f ca="1" t="shared" si="5"/>
        <v>10464000</v>
      </c>
      <c r="H24" s="1">
        <f ca="1">D24*控制台!$E$3067</f>
        <v>1.6</v>
      </c>
      <c r="I24" s="1">
        <f ca="1" t="shared" si="1"/>
        <v>0.8</v>
      </c>
      <c r="J24" s="5">
        <f ca="1" t="shared" si="6"/>
        <v>5.81333333333334</v>
      </c>
      <c r="K24" s="1">
        <f ca="1">D24*控制台!$E$3071</f>
        <v>120</v>
      </c>
      <c r="L24" s="1">
        <f ca="1" t="shared" si="2"/>
        <v>60</v>
      </c>
      <c r="M24" s="5">
        <f ca="1" t="shared" si="7"/>
        <v>436</v>
      </c>
      <c r="N24" s="1">
        <f ca="1">D24*控制台!$E$3075</f>
        <v>60</v>
      </c>
      <c r="O24" s="1">
        <f ca="1" t="shared" si="3"/>
        <v>30</v>
      </c>
      <c r="P24" s="5">
        <f ca="1" t="shared" si="8"/>
        <v>218</v>
      </c>
    </row>
    <row r="25" spans="1:16">
      <c r="A25" s="9">
        <v>5.5</v>
      </c>
      <c r="B25" s="1">
        <f t="shared" si="4"/>
        <v>0.5</v>
      </c>
      <c r="C25" s="1">
        <f ca="1">IF(控制台!C126="",INDIRECT(ADDRESS(ROW()-1,COLUMN())),控制台!C126)</f>
        <v>14</v>
      </c>
      <c r="D25" s="14">
        <f ca="1">OFFSET(控制台!$E$3099,MATCH(C25,控制台!$B$3099:$B$3131,1)-1,0)</f>
        <v>0.4</v>
      </c>
      <c r="E25" s="1">
        <f ca="1">D25*控制台!$E$3063</f>
        <v>2880000</v>
      </c>
      <c r="F25" s="1">
        <f ca="1" t="shared" si="0"/>
        <v>1440000</v>
      </c>
      <c r="G25" s="5">
        <f ca="1" t="shared" si="5"/>
        <v>11904000</v>
      </c>
      <c r="H25" s="1">
        <f ca="1">D25*控制台!$E$3067</f>
        <v>1.6</v>
      </c>
      <c r="I25" s="1">
        <f ca="1" t="shared" si="1"/>
        <v>0.8</v>
      </c>
      <c r="J25" s="5">
        <f ca="1" t="shared" si="6"/>
        <v>6.61333333333334</v>
      </c>
      <c r="K25" s="1">
        <f ca="1">D25*控制台!$E$3071</f>
        <v>120</v>
      </c>
      <c r="L25" s="1">
        <f ca="1" t="shared" si="2"/>
        <v>60</v>
      </c>
      <c r="M25" s="5">
        <f ca="1" t="shared" si="7"/>
        <v>496</v>
      </c>
      <c r="N25" s="1">
        <f ca="1">D25*控制台!$E$3075</f>
        <v>60</v>
      </c>
      <c r="O25" s="1">
        <f ca="1" t="shared" si="3"/>
        <v>30</v>
      </c>
      <c r="P25" s="5">
        <f ca="1" t="shared" si="8"/>
        <v>248</v>
      </c>
    </row>
    <row r="26" spans="1:16">
      <c r="A26" s="9">
        <v>6</v>
      </c>
      <c r="B26" s="1">
        <f t="shared" si="4"/>
        <v>0.5</v>
      </c>
      <c r="C26" s="1">
        <f ca="1">IF(控制台!C127="",INDIRECT(ADDRESS(ROW()-1,COLUMN())),控制台!C127)</f>
        <v>14</v>
      </c>
      <c r="D26" s="14">
        <f ca="1">OFFSET(控制台!$E$3099,MATCH(C26,控制台!$B$3099:$B$3131,1)-1,0)</f>
        <v>0.4</v>
      </c>
      <c r="E26" s="1">
        <f ca="1">D26*控制台!$E$3063</f>
        <v>2880000</v>
      </c>
      <c r="F26" s="1">
        <f ca="1" t="shared" si="0"/>
        <v>1440000</v>
      </c>
      <c r="G26" s="5">
        <f ca="1" t="shared" si="5"/>
        <v>13344000</v>
      </c>
      <c r="H26" s="1">
        <f ca="1">D26*控制台!$E$3067</f>
        <v>1.6</v>
      </c>
      <c r="I26" s="1">
        <f ca="1" t="shared" si="1"/>
        <v>0.8</v>
      </c>
      <c r="J26" s="5">
        <f ca="1" t="shared" si="6"/>
        <v>7.41333333333334</v>
      </c>
      <c r="K26" s="1">
        <f ca="1">D26*控制台!$E$3071</f>
        <v>120</v>
      </c>
      <c r="L26" s="1">
        <f ca="1" t="shared" si="2"/>
        <v>60</v>
      </c>
      <c r="M26" s="5">
        <f ca="1" t="shared" si="7"/>
        <v>556</v>
      </c>
      <c r="N26" s="1">
        <f ca="1">D26*控制台!$E$3075</f>
        <v>60</v>
      </c>
      <c r="O26" s="1">
        <f ca="1" t="shared" si="3"/>
        <v>30</v>
      </c>
      <c r="P26" s="5">
        <f ca="1" t="shared" si="8"/>
        <v>278</v>
      </c>
    </row>
    <row r="27" spans="1:16">
      <c r="A27" s="9">
        <v>6.5</v>
      </c>
      <c r="B27" s="1">
        <f t="shared" si="4"/>
        <v>0.5</v>
      </c>
      <c r="C27" s="1">
        <f ca="1">IF(控制台!C128="",INDIRECT(ADDRESS(ROW()-1,COLUMN())),控制台!C128)</f>
        <v>14</v>
      </c>
      <c r="D27" s="14">
        <f ca="1">OFFSET(控制台!$E$3099,MATCH(C27,控制台!$B$3099:$B$3131,1)-1,0)</f>
        <v>0.4</v>
      </c>
      <c r="E27" s="1">
        <f ca="1">D27*控制台!$E$3063</f>
        <v>2880000</v>
      </c>
      <c r="F27" s="1">
        <f ca="1" t="shared" si="0"/>
        <v>1440000</v>
      </c>
      <c r="G27" s="5">
        <f ca="1" t="shared" si="5"/>
        <v>14784000</v>
      </c>
      <c r="H27" s="1">
        <f ca="1">D27*控制台!$E$3067</f>
        <v>1.6</v>
      </c>
      <c r="I27" s="1">
        <f ca="1" t="shared" si="1"/>
        <v>0.8</v>
      </c>
      <c r="J27" s="5">
        <f ca="1" t="shared" si="6"/>
        <v>8.21333333333334</v>
      </c>
      <c r="K27" s="1">
        <f ca="1">D27*控制台!$E$3071</f>
        <v>120</v>
      </c>
      <c r="L27" s="1">
        <f ca="1" t="shared" si="2"/>
        <v>60</v>
      </c>
      <c r="M27" s="5">
        <f ca="1" t="shared" si="7"/>
        <v>616</v>
      </c>
      <c r="N27" s="1">
        <f ca="1">D27*控制台!$E$3075</f>
        <v>60</v>
      </c>
      <c r="O27" s="1">
        <f ca="1" t="shared" si="3"/>
        <v>30</v>
      </c>
      <c r="P27" s="5">
        <f ca="1" t="shared" si="8"/>
        <v>308</v>
      </c>
    </row>
    <row r="28" spans="1:16">
      <c r="A28" s="9">
        <v>7</v>
      </c>
      <c r="B28" s="1">
        <f t="shared" si="4"/>
        <v>0.5</v>
      </c>
      <c r="C28" s="1">
        <f ca="1">IF(控制台!C129="",INDIRECT(ADDRESS(ROW()-1,COLUMN())),控制台!C129)</f>
        <v>15</v>
      </c>
      <c r="D28" s="14">
        <f ca="1">OFFSET(控制台!$E$3099,MATCH(C28,控制台!$B$3099:$B$3131,1)-1,0)</f>
        <v>0.4</v>
      </c>
      <c r="E28" s="1">
        <f ca="1">D28*控制台!$E$3063</f>
        <v>2880000</v>
      </c>
      <c r="F28" s="1">
        <f ca="1" t="shared" si="0"/>
        <v>1440000</v>
      </c>
      <c r="G28" s="5">
        <f ca="1" t="shared" si="5"/>
        <v>16224000</v>
      </c>
      <c r="H28" s="1">
        <f ca="1">D28*控制台!$E$3067</f>
        <v>1.6</v>
      </c>
      <c r="I28" s="1">
        <f ca="1" t="shared" si="1"/>
        <v>0.8</v>
      </c>
      <c r="J28" s="5">
        <f ca="1" t="shared" si="6"/>
        <v>9.01333333333334</v>
      </c>
      <c r="K28" s="1">
        <f ca="1">D28*控制台!$E$3071</f>
        <v>120</v>
      </c>
      <c r="L28" s="1">
        <f ca="1" t="shared" si="2"/>
        <v>60</v>
      </c>
      <c r="M28" s="5">
        <f ca="1" t="shared" si="7"/>
        <v>676</v>
      </c>
      <c r="N28" s="1">
        <f ca="1">D28*控制台!$E$3075</f>
        <v>60</v>
      </c>
      <c r="O28" s="1">
        <f ca="1" t="shared" si="3"/>
        <v>30</v>
      </c>
      <c r="P28" s="5">
        <f ca="1" t="shared" si="8"/>
        <v>338</v>
      </c>
    </row>
    <row r="29" spans="1:16">
      <c r="A29" s="10">
        <v>8</v>
      </c>
      <c r="B29" s="1">
        <f t="shared" si="4"/>
        <v>1</v>
      </c>
      <c r="C29" s="1">
        <f ca="1">IF(控制台!C130="",INDIRECT(ADDRESS(ROW()-1,COLUMN())),控制台!C130)</f>
        <v>15</v>
      </c>
      <c r="D29" s="14">
        <f ca="1">OFFSET(控制台!$E$3099,MATCH(C29,控制台!$B$3099:$B$3131,1)-1,0)</f>
        <v>0.4</v>
      </c>
      <c r="E29" s="1">
        <f ca="1">D29*控制台!$E$3063</f>
        <v>2880000</v>
      </c>
      <c r="F29" s="1">
        <f ca="1" t="shared" si="0"/>
        <v>2880000</v>
      </c>
      <c r="G29" s="5">
        <f ca="1" t="shared" si="5"/>
        <v>19104000</v>
      </c>
      <c r="H29" s="1">
        <f ca="1">D29*控制台!$E$3067</f>
        <v>1.6</v>
      </c>
      <c r="I29" s="1">
        <f ca="1" t="shared" si="1"/>
        <v>1.6</v>
      </c>
      <c r="J29" s="5">
        <f ca="1" t="shared" si="6"/>
        <v>10.6133333333333</v>
      </c>
      <c r="K29" s="1">
        <f ca="1">D29*控制台!$E$3071</f>
        <v>120</v>
      </c>
      <c r="L29" s="1">
        <f ca="1" t="shared" si="2"/>
        <v>120</v>
      </c>
      <c r="M29" s="5">
        <f ca="1" t="shared" si="7"/>
        <v>796</v>
      </c>
      <c r="N29" s="1">
        <f ca="1">D29*控制台!$E$3075</f>
        <v>60</v>
      </c>
      <c r="O29" s="1">
        <f ca="1" t="shared" si="3"/>
        <v>60</v>
      </c>
      <c r="P29" s="5">
        <f ca="1" t="shared" si="8"/>
        <v>398</v>
      </c>
    </row>
    <row r="30" spans="1:16">
      <c r="A30" s="10">
        <v>9</v>
      </c>
      <c r="B30" s="1">
        <f t="shared" si="4"/>
        <v>1</v>
      </c>
      <c r="C30" s="1">
        <f ca="1">IF(控制台!C131="",INDIRECT(ADDRESS(ROW()-1,COLUMN())),控制台!C131)</f>
        <v>16</v>
      </c>
      <c r="D30" s="14">
        <f ca="1">OFFSET(控制台!$E$3099,MATCH(C30,控制台!$B$3099:$B$3131,1)-1,0)</f>
        <v>0.4</v>
      </c>
      <c r="E30" s="1">
        <f ca="1">D30*控制台!$E$3063</f>
        <v>2880000</v>
      </c>
      <c r="F30" s="1">
        <f ca="1" t="shared" si="0"/>
        <v>2880000</v>
      </c>
      <c r="G30" s="5">
        <f ca="1" t="shared" si="5"/>
        <v>21984000</v>
      </c>
      <c r="H30" s="1">
        <f ca="1">D30*控制台!$E$3067</f>
        <v>1.6</v>
      </c>
      <c r="I30" s="1">
        <f ca="1" t="shared" si="1"/>
        <v>1.6</v>
      </c>
      <c r="J30" s="5">
        <f ca="1" t="shared" si="6"/>
        <v>12.2133333333333</v>
      </c>
      <c r="K30" s="1">
        <f ca="1">D30*控制台!$E$3071</f>
        <v>120</v>
      </c>
      <c r="L30" s="1">
        <f ca="1" t="shared" si="2"/>
        <v>120</v>
      </c>
      <c r="M30" s="5">
        <f ca="1" t="shared" si="7"/>
        <v>916</v>
      </c>
      <c r="N30" s="1">
        <f ca="1">D30*控制台!$E$3075</f>
        <v>60</v>
      </c>
      <c r="O30" s="1">
        <f ca="1" t="shared" si="3"/>
        <v>60</v>
      </c>
      <c r="P30" s="5">
        <f ca="1" t="shared" si="8"/>
        <v>458</v>
      </c>
    </row>
    <row r="31" spans="1:16">
      <c r="A31" s="10">
        <v>10</v>
      </c>
      <c r="B31" s="1">
        <f t="shared" si="4"/>
        <v>1</v>
      </c>
      <c r="C31" s="1">
        <f ca="1">IF(控制台!C132="",INDIRECT(ADDRESS(ROW()-1,COLUMN())),控制台!C132)</f>
        <v>16</v>
      </c>
      <c r="D31" s="14">
        <f ca="1">OFFSET(控制台!$E$3099,MATCH(C31,控制台!$B$3099:$B$3131,1)-1,0)</f>
        <v>0.4</v>
      </c>
      <c r="E31" s="1">
        <f ca="1">D31*控制台!$E$3063</f>
        <v>2880000</v>
      </c>
      <c r="F31" s="1">
        <f ca="1" t="shared" si="0"/>
        <v>2880000</v>
      </c>
      <c r="G31" s="5">
        <f ca="1" t="shared" si="5"/>
        <v>24864000</v>
      </c>
      <c r="H31" s="1">
        <f ca="1">D31*控制台!$E$3067</f>
        <v>1.6</v>
      </c>
      <c r="I31" s="1">
        <f ca="1" t="shared" si="1"/>
        <v>1.6</v>
      </c>
      <c r="J31" s="5">
        <f ca="1" t="shared" si="6"/>
        <v>13.8133333333333</v>
      </c>
      <c r="K31" s="1">
        <f ca="1">D31*控制台!$E$3071</f>
        <v>120</v>
      </c>
      <c r="L31" s="1">
        <f ca="1" t="shared" si="2"/>
        <v>120</v>
      </c>
      <c r="M31" s="5">
        <f ca="1" t="shared" si="7"/>
        <v>1036</v>
      </c>
      <c r="N31" s="1">
        <f ca="1">D31*控制台!$E$3075</f>
        <v>60</v>
      </c>
      <c r="O31" s="1">
        <f ca="1" t="shared" si="3"/>
        <v>60</v>
      </c>
      <c r="P31" s="5">
        <f ca="1" t="shared" si="8"/>
        <v>518</v>
      </c>
    </row>
    <row r="32" spans="1:16">
      <c r="A32" s="10">
        <v>11</v>
      </c>
      <c r="B32" s="1">
        <f t="shared" si="4"/>
        <v>1</v>
      </c>
      <c r="C32" s="1">
        <f ca="1">IF(控制台!C133="",INDIRECT(ADDRESS(ROW()-1,COLUMN())),控制台!C133)</f>
        <v>17</v>
      </c>
      <c r="D32" s="14">
        <f ca="1">OFFSET(控制台!$E$3099,MATCH(C32,控制台!$B$3099:$B$3131,1)-1,0)</f>
        <v>0.4</v>
      </c>
      <c r="E32" s="1">
        <f ca="1">D32*控制台!$E$3063</f>
        <v>2880000</v>
      </c>
      <c r="F32" s="1">
        <f ca="1" t="shared" si="0"/>
        <v>2880000</v>
      </c>
      <c r="G32" s="5">
        <f ca="1" t="shared" si="5"/>
        <v>27744000</v>
      </c>
      <c r="H32" s="1">
        <f ca="1">D32*控制台!$E$3067</f>
        <v>1.6</v>
      </c>
      <c r="I32" s="1">
        <f ca="1" t="shared" si="1"/>
        <v>1.6</v>
      </c>
      <c r="J32" s="5">
        <f ca="1" t="shared" si="6"/>
        <v>15.4133333333333</v>
      </c>
      <c r="K32" s="1">
        <f ca="1">D32*控制台!$E$3071</f>
        <v>120</v>
      </c>
      <c r="L32" s="1">
        <f ca="1" t="shared" si="2"/>
        <v>120</v>
      </c>
      <c r="M32" s="5">
        <f ca="1" t="shared" si="7"/>
        <v>1156</v>
      </c>
      <c r="N32" s="1">
        <f ca="1">D32*控制台!$E$3075</f>
        <v>60</v>
      </c>
      <c r="O32" s="1">
        <f ca="1" t="shared" si="3"/>
        <v>60</v>
      </c>
      <c r="P32" s="5">
        <f ca="1" t="shared" si="8"/>
        <v>578</v>
      </c>
    </row>
    <row r="33" spans="1:16">
      <c r="A33" s="10">
        <v>12</v>
      </c>
      <c r="B33" s="1">
        <f t="shared" si="4"/>
        <v>1</v>
      </c>
      <c r="C33" s="1">
        <f ca="1">IF(控制台!C134="",INDIRECT(ADDRESS(ROW()-1,COLUMN())),控制台!C134)</f>
        <v>17</v>
      </c>
      <c r="D33" s="14">
        <f ca="1">OFFSET(控制台!$E$3099,MATCH(C33,控制台!$B$3099:$B$3131,1)-1,0)</f>
        <v>0.4</v>
      </c>
      <c r="E33" s="1">
        <f ca="1">D33*控制台!$E$3063</f>
        <v>2880000</v>
      </c>
      <c r="F33" s="1">
        <f ca="1" t="shared" si="0"/>
        <v>2880000</v>
      </c>
      <c r="G33" s="5">
        <f ca="1" t="shared" si="5"/>
        <v>30624000</v>
      </c>
      <c r="H33" s="1">
        <f ca="1">D33*控制台!$E$3067</f>
        <v>1.6</v>
      </c>
      <c r="I33" s="1">
        <f ca="1" t="shared" si="1"/>
        <v>1.6</v>
      </c>
      <c r="J33" s="5">
        <f ca="1" t="shared" si="6"/>
        <v>17.0133333333333</v>
      </c>
      <c r="K33" s="1">
        <f ca="1">D33*控制台!$E$3071</f>
        <v>120</v>
      </c>
      <c r="L33" s="1">
        <f ca="1" t="shared" si="2"/>
        <v>120</v>
      </c>
      <c r="M33" s="5">
        <f ca="1" t="shared" si="7"/>
        <v>1276</v>
      </c>
      <c r="N33" s="1">
        <f ca="1">D33*控制台!$E$3075</f>
        <v>60</v>
      </c>
      <c r="O33" s="1">
        <f ca="1" t="shared" si="3"/>
        <v>60</v>
      </c>
      <c r="P33" s="5">
        <f ca="1" t="shared" si="8"/>
        <v>638</v>
      </c>
    </row>
    <row r="34" spans="1:16">
      <c r="A34" s="10">
        <v>13</v>
      </c>
      <c r="B34" s="1">
        <f t="shared" si="4"/>
        <v>1</v>
      </c>
      <c r="C34" s="1">
        <f ca="1">IF(控制台!C135="",INDIRECT(ADDRESS(ROW()-1,COLUMN())),控制台!C135)</f>
        <v>17</v>
      </c>
      <c r="D34" s="14">
        <f ca="1">OFFSET(控制台!$E$3099,MATCH(C34,控制台!$B$3099:$B$3131,1)-1,0)</f>
        <v>0.4</v>
      </c>
      <c r="E34" s="1">
        <f ca="1">D34*控制台!$E$3063</f>
        <v>2880000</v>
      </c>
      <c r="F34" s="1">
        <f ca="1" t="shared" si="0"/>
        <v>2880000</v>
      </c>
      <c r="G34" s="5">
        <f ca="1" t="shared" si="5"/>
        <v>33504000</v>
      </c>
      <c r="H34" s="1">
        <f ca="1">D34*控制台!$E$3067</f>
        <v>1.6</v>
      </c>
      <c r="I34" s="1">
        <f ca="1" t="shared" si="1"/>
        <v>1.6</v>
      </c>
      <c r="J34" s="5">
        <f ca="1" t="shared" si="6"/>
        <v>18.6133333333333</v>
      </c>
      <c r="K34" s="1">
        <f ca="1">D34*控制台!$E$3071</f>
        <v>120</v>
      </c>
      <c r="L34" s="1">
        <f ca="1" t="shared" si="2"/>
        <v>120</v>
      </c>
      <c r="M34" s="5">
        <f ca="1" t="shared" si="7"/>
        <v>1396</v>
      </c>
      <c r="N34" s="1">
        <f ca="1">D34*控制台!$E$3075</f>
        <v>60</v>
      </c>
      <c r="O34" s="1">
        <f ca="1" t="shared" si="3"/>
        <v>60</v>
      </c>
      <c r="P34" s="5">
        <f ca="1" t="shared" si="8"/>
        <v>698</v>
      </c>
    </row>
    <row r="35" spans="1:16">
      <c r="A35" s="10">
        <v>14</v>
      </c>
      <c r="B35" s="1">
        <f t="shared" si="4"/>
        <v>1</v>
      </c>
      <c r="C35" s="1">
        <f ca="1">IF(控制台!C136="",INDIRECT(ADDRESS(ROW()-1,COLUMN())),控制台!C136)</f>
        <v>18</v>
      </c>
      <c r="D35" s="14">
        <f ca="1">OFFSET(控制台!$E$3099,MATCH(C35,控制台!$B$3099:$B$3131,1)-1,0)</f>
        <v>0.4</v>
      </c>
      <c r="E35" s="1">
        <f ca="1">D35*控制台!$E$3063</f>
        <v>2880000</v>
      </c>
      <c r="F35" s="1">
        <f ca="1" t="shared" si="0"/>
        <v>2880000</v>
      </c>
      <c r="G35" s="5">
        <f ca="1" t="shared" si="5"/>
        <v>36384000</v>
      </c>
      <c r="H35" s="1">
        <f ca="1">D35*控制台!$E$3067</f>
        <v>1.6</v>
      </c>
      <c r="I35" s="1">
        <f ca="1" t="shared" si="1"/>
        <v>1.6</v>
      </c>
      <c r="J35" s="5">
        <f ca="1" t="shared" si="6"/>
        <v>20.2133333333333</v>
      </c>
      <c r="K35" s="1">
        <f ca="1">D35*控制台!$E$3071</f>
        <v>120</v>
      </c>
      <c r="L35" s="1">
        <f ca="1" t="shared" si="2"/>
        <v>120</v>
      </c>
      <c r="M35" s="5">
        <f ca="1" t="shared" si="7"/>
        <v>1516</v>
      </c>
      <c r="N35" s="1">
        <f ca="1">D35*控制台!$E$3075</f>
        <v>60</v>
      </c>
      <c r="O35" s="1">
        <f ca="1" t="shared" si="3"/>
        <v>60</v>
      </c>
      <c r="P35" s="5">
        <f ca="1" t="shared" si="8"/>
        <v>758</v>
      </c>
    </row>
    <row r="36" spans="1:16">
      <c r="A36" s="10">
        <v>15</v>
      </c>
      <c r="B36" s="1">
        <f t="shared" si="4"/>
        <v>1</v>
      </c>
      <c r="C36" s="1">
        <f ca="1">IF(控制台!C137="",INDIRECT(ADDRESS(ROW()-1,COLUMN())),控制台!C137)</f>
        <v>18</v>
      </c>
      <c r="D36" s="14">
        <f ca="1">OFFSET(控制台!$E$3099,MATCH(C36,控制台!$B$3099:$B$3131,1)-1,0)</f>
        <v>0.4</v>
      </c>
      <c r="E36" s="1">
        <f ca="1">D36*控制台!$E$3063</f>
        <v>2880000</v>
      </c>
      <c r="F36" s="1">
        <f ca="1" t="shared" si="0"/>
        <v>2880000</v>
      </c>
      <c r="G36" s="5">
        <f ca="1" t="shared" si="5"/>
        <v>39264000</v>
      </c>
      <c r="H36" s="1">
        <f ca="1">D36*控制台!$E$3067</f>
        <v>1.6</v>
      </c>
      <c r="I36" s="1">
        <f ca="1" t="shared" si="1"/>
        <v>1.6</v>
      </c>
      <c r="J36" s="5">
        <f ca="1" t="shared" si="6"/>
        <v>21.8133333333333</v>
      </c>
      <c r="K36" s="1">
        <f ca="1">D36*控制台!$E$3071</f>
        <v>120</v>
      </c>
      <c r="L36" s="1">
        <f ca="1" t="shared" si="2"/>
        <v>120</v>
      </c>
      <c r="M36" s="5">
        <f ca="1" t="shared" si="7"/>
        <v>1636</v>
      </c>
      <c r="N36" s="1">
        <f ca="1">D36*控制台!$E$3075</f>
        <v>60</v>
      </c>
      <c r="O36" s="1">
        <f ca="1" t="shared" si="3"/>
        <v>60</v>
      </c>
      <c r="P36" s="5">
        <f ca="1" t="shared" si="8"/>
        <v>818</v>
      </c>
    </row>
    <row r="37" spans="1:16">
      <c r="A37" s="10">
        <v>16</v>
      </c>
      <c r="B37" s="1">
        <f t="shared" si="4"/>
        <v>1</v>
      </c>
      <c r="C37" s="1">
        <f ca="1">IF(控制台!C138="",INDIRECT(ADDRESS(ROW()-1,COLUMN())),控制台!C138)</f>
        <v>18</v>
      </c>
      <c r="D37" s="14">
        <f ca="1">OFFSET(控制台!$E$3099,MATCH(C37,控制台!$B$3099:$B$3131,1)-1,0)</f>
        <v>0.4</v>
      </c>
      <c r="E37" s="1">
        <f ca="1">D37*控制台!$E$3063</f>
        <v>2880000</v>
      </c>
      <c r="F37" s="1">
        <f ca="1" t="shared" si="0"/>
        <v>2880000</v>
      </c>
      <c r="G37" s="5">
        <f ca="1" t="shared" si="5"/>
        <v>42144000</v>
      </c>
      <c r="H37" s="1">
        <f ca="1">D37*控制台!$E$3067</f>
        <v>1.6</v>
      </c>
      <c r="I37" s="1">
        <f ca="1" t="shared" si="1"/>
        <v>1.6</v>
      </c>
      <c r="J37" s="5">
        <f ca="1" t="shared" si="6"/>
        <v>23.4133333333333</v>
      </c>
      <c r="K37" s="1">
        <f ca="1">D37*控制台!$E$3071</f>
        <v>120</v>
      </c>
      <c r="L37" s="1">
        <f ca="1" t="shared" si="2"/>
        <v>120</v>
      </c>
      <c r="M37" s="5">
        <f ca="1" t="shared" si="7"/>
        <v>1756</v>
      </c>
      <c r="N37" s="1">
        <f ca="1">D37*控制台!$E$3075</f>
        <v>60</v>
      </c>
      <c r="O37" s="1">
        <f ca="1" t="shared" si="3"/>
        <v>60</v>
      </c>
      <c r="P37" s="5">
        <f ca="1" t="shared" si="8"/>
        <v>878</v>
      </c>
    </row>
    <row r="38" spans="1:16">
      <c r="A38" s="10">
        <v>17</v>
      </c>
      <c r="B38" s="1">
        <f t="shared" si="4"/>
        <v>1</v>
      </c>
      <c r="C38" s="1">
        <f ca="1">IF(控制台!C139="",INDIRECT(ADDRESS(ROW()-1,COLUMN())),控制台!C139)</f>
        <v>19</v>
      </c>
      <c r="D38" s="14">
        <f ca="1">OFFSET(控制台!$E$3099,MATCH(C38,控制台!$B$3099:$B$3131,1)-1,0)</f>
        <v>0.4</v>
      </c>
      <c r="E38" s="1">
        <f ca="1">D38*控制台!$E$3063</f>
        <v>2880000</v>
      </c>
      <c r="F38" s="1">
        <f ca="1" t="shared" si="0"/>
        <v>2880000</v>
      </c>
      <c r="G38" s="5">
        <f ca="1" t="shared" si="5"/>
        <v>45024000</v>
      </c>
      <c r="H38" s="1">
        <f ca="1">D38*控制台!$E$3067</f>
        <v>1.6</v>
      </c>
      <c r="I38" s="1">
        <f ca="1" t="shared" si="1"/>
        <v>1.6</v>
      </c>
      <c r="J38" s="5">
        <f ca="1" t="shared" si="6"/>
        <v>25.0133333333333</v>
      </c>
      <c r="K38" s="1">
        <f ca="1">D38*控制台!$E$3071</f>
        <v>120</v>
      </c>
      <c r="L38" s="1">
        <f ca="1" t="shared" si="2"/>
        <v>120</v>
      </c>
      <c r="M38" s="5">
        <f ca="1" t="shared" si="7"/>
        <v>1876</v>
      </c>
      <c r="N38" s="1">
        <f ca="1">D38*控制台!$E$3075</f>
        <v>60</v>
      </c>
      <c r="O38" s="1">
        <f ca="1" t="shared" si="3"/>
        <v>60</v>
      </c>
      <c r="P38" s="5">
        <f ca="1" t="shared" si="8"/>
        <v>938</v>
      </c>
    </row>
    <row r="39" spans="1:16">
      <c r="A39" s="10">
        <v>18</v>
      </c>
      <c r="B39" s="1">
        <f t="shared" si="4"/>
        <v>1</v>
      </c>
      <c r="C39" s="1">
        <f ca="1">IF(控制台!C140="",INDIRECT(ADDRESS(ROW()-1,COLUMN())),控制台!C140)</f>
        <v>19</v>
      </c>
      <c r="D39" s="14">
        <f ca="1">OFFSET(控制台!$E$3099,MATCH(C39,控制台!$B$3099:$B$3131,1)-1,0)</f>
        <v>0.4</v>
      </c>
      <c r="E39" s="1">
        <f ca="1">D39*控制台!$E$3063</f>
        <v>2880000</v>
      </c>
      <c r="F39" s="1">
        <f ca="1" t="shared" si="0"/>
        <v>2880000</v>
      </c>
      <c r="G39" s="5">
        <f ca="1" t="shared" si="5"/>
        <v>47904000</v>
      </c>
      <c r="H39" s="1">
        <f ca="1">D39*控制台!$E$3067</f>
        <v>1.6</v>
      </c>
      <c r="I39" s="1">
        <f ca="1" t="shared" si="1"/>
        <v>1.6</v>
      </c>
      <c r="J39" s="5">
        <f ca="1" t="shared" si="6"/>
        <v>26.6133333333333</v>
      </c>
      <c r="K39" s="1">
        <f ca="1">D39*控制台!$E$3071</f>
        <v>120</v>
      </c>
      <c r="L39" s="1">
        <f ca="1" t="shared" si="2"/>
        <v>120</v>
      </c>
      <c r="M39" s="5">
        <f ca="1" t="shared" si="7"/>
        <v>1996</v>
      </c>
      <c r="N39" s="1">
        <f ca="1">D39*控制台!$E$3075</f>
        <v>60</v>
      </c>
      <c r="O39" s="1">
        <f ca="1" t="shared" si="3"/>
        <v>60</v>
      </c>
      <c r="P39" s="5">
        <f ca="1" t="shared" si="8"/>
        <v>998</v>
      </c>
    </row>
    <row r="40" spans="1:16">
      <c r="A40" s="10">
        <v>19</v>
      </c>
      <c r="B40" s="1">
        <f t="shared" si="4"/>
        <v>1</v>
      </c>
      <c r="C40" s="1">
        <f ca="1">IF(控制台!C141="",INDIRECT(ADDRESS(ROW()-1,COLUMN())),控制台!C141)</f>
        <v>19</v>
      </c>
      <c r="D40" s="14">
        <f ca="1">OFFSET(控制台!$E$3099,MATCH(C40,控制台!$B$3099:$B$3131,1)-1,0)</f>
        <v>0.4</v>
      </c>
      <c r="E40" s="1">
        <f ca="1">D40*控制台!$E$3063</f>
        <v>2880000</v>
      </c>
      <c r="F40" s="1">
        <f ca="1" t="shared" si="0"/>
        <v>2880000</v>
      </c>
      <c r="G40" s="5">
        <f ca="1" t="shared" si="5"/>
        <v>50784000</v>
      </c>
      <c r="H40" s="1">
        <f ca="1">D40*控制台!$E$3067</f>
        <v>1.6</v>
      </c>
      <c r="I40" s="1">
        <f ca="1" t="shared" si="1"/>
        <v>1.6</v>
      </c>
      <c r="J40" s="5">
        <f ca="1" t="shared" si="6"/>
        <v>28.2133333333333</v>
      </c>
      <c r="K40" s="1">
        <f ca="1">D40*控制台!$E$3071</f>
        <v>120</v>
      </c>
      <c r="L40" s="1">
        <f ca="1" t="shared" si="2"/>
        <v>120</v>
      </c>
      <c r="M40" s="5">
        <f ca="1" t="shared" si="7"/>
        <v>2116</v>
      </c>
      <c r="N40" s="1">
        <f ca="1">D40*控制台!$E$3075</f>
        <v>60</v>
      </c>
      <c r="O40" s="1">
        <f ca="1" t="shared" si="3"/>
        <v>60</v>
      </c>
      <c r="P40" s="5">
        <f ca="1" t="shared" si="8"/>
        <v>1058</v>
      </c>
    </row>
    <row r="41" spans="1:16">
      <c r="A41" s="10">
        <v>20</v>
      </c>
      <c r="B41" s="1">
        <f t="shared" si="4"/>
        <v>1</v>
      </c>
      <c r="C41" s="1">
        <f ca="1">IF(控制台!C142="",INDIRECT(ADDRESS(ROW()-1,COLUMN())),控制台!C142)</f>
        <v>20</v>
      </c>
      <c r="D41" s="14">
        <f ca="1">OFFSET(控制台!$E$3099,MATCH(C41,控制台!$B$3099:$B$3131,1)-1,0)</f>
        <v>0.666666666666667</v>
      </c>
      <c r="E41" s="1">
        <f ca="1">D41*控制台!$E$3063</f>
        <v>4800000</v>
      </c>
      <c r="F41" s="1">
        <f ca="1" t="shared" si="0"/>
        <v>4800000</v>
      </c>
      <c r="G41" s="5">
        <f ca="1" t="shared" si="5"/>
        <v>55584000</v>
      </c>
      <c r="H41" s="1">
        <f ca="1">D41*控制台!$E$3067</f>
        <v>2.66666666666667</v>
      </c>
      <c r="I41" s="1">
        <f ca="1" t="shared" si="1"/>
        <v>2.66666666666667</v>
      </c>
      <c r="J41" s="5">
        <f ca="1" t="shared" si="6"/>
        <v>30.88</v>
      </c>
      <c r="K41" s="1">
        <f ca="1">D41*控制台!$E$3071</f>
        <v>200</v>
      </c>
      <c r="L41" s="1">
        <f ca="1" t="shared" si="2"/>
        <v>200</v>
      </c>
      <c r="M41" s="5">
        <f ca="1" t="shared" si="7"/>
        <v>2316</v>
      </c>
      <c r="N41" s="1">
        <f ca="1">D41*控制台!$E$3075</f>
        <v>100</v>
      </c>
      <c r="O41" s="1">
        <f ca="1" t="shared" si="3"/>
        <v>100</v>
      </c>
      <c r="P41" s="5">
        <f ca="1" t="shared" si="8"/>
        <v>1158</v>
      </c>
    </row>
    <row r="42" spans="1:16">
      <c r="A42" s="10">
        <v>21</v>
      </c>
      <c r="B42" s="1">
        <f t="shared" si="4"/>
        <v>1</v>
      </c>
      <c r="C42" s="1">
        <f ca="1">IF(控制台!C143="",INDIRECT(ADDRESS(ROW()-1,COLUMN())),控制台!C143)</f>
        <v>20</v>
      </c>
      <c r="D42" s="14">
        <f ca="1">OFFSET(控制台!$E$3099,MATCH(C42,控制台!$B$3099:$B$3131,1)-1,0)</f>
        <v>0.666666666666667</v>
      </c>
      <c r="E42" s="1">
        <f ca="1">D42*控制台!$E$3063</f>
        <v>4800000</v>
      </c>
      <c r="F42" s="1">
        <f ca="1" t="shared" si="0"/>
        <v>4800000</v>
      </c>
      <c r="G42" s="5">
        <f ca="1" t="shared" si="5"/>
        <v>60384000</v>
      </c>
      <c r="H42" s="1">
        <f ca="1">D42*控制台!$E$3067</f>
        <v>2.66666666666667</v>
      </c>
      <c r="I42" s="1">
        <f ca="1" t="shared" si="1"/>
        <v>2.66666666666667</v>
      </c>
      <c r="J42" s="5">
        <f ca="1" t="shared" si="6"/>
        <v>33.5466666666667</v>
      </c>
      <c r="K42" s="1">
        <f ca="1">D42*控制台!$E$3071</f>
        <v>200</v>
      </c>
      <c r="L42" s="1">
        <f ca="1" t="shared" si="2"/>
        <v>200</v>
      </c>
      <c r="M42" s="5">
        <f ca="1" t="shared" si="7"/>
        <v>2516</v>
      </c>
      <c r="N42" s="1">
        <f ca="1">D42*控制台!$E$3075</f>
        <v>100</v>
      </c>
      <c r="O42" s="1">
        <f ca="1" t="shared" si="3"/>
        <v>100</v>
      </c>
      <c r="P42" s="5">
        <f ca="1" t="shared" si="8"/>
        <v>1258</v>
      </c>
    </row>
    <row r="43" spans="1:16">
      <c r="A43" s="10">
        <v>22</v>
      </c>
      <c r="B43" s="1">
        <f t="shared" si="4"/>
        <v>1</v>
      </c>
      <c r="C43" s="1">
        <f ca="1">IF(控制台!C144="",INDIRECT(ADDRESS(ROW()-1,COLUMN())),控制台!C144)</f>
        <v>20</v>
      </c>
      <c r="D43" s="14">
        <f ca="1">OFFSET(控制台!$E$3099,MATCH(C43,控制台!$B$3099:$B$3131,1)-1,0)</f>
        <v>0.666666666666667</v>
      </c>
      <c r="E43" s="1">
        <f ca="1">D43*控制台!$E$3063</f>
        <v>4800000</v>
      </c>
      <c r="F43" s="1">
        <f ca="1" t="shared" si="0"/>
        <v>4800000</v>
      </c>
      <c r="G43" s="5">
        <f ca="1" t="shared" si="5"/>
        <v>65184000</v>
      </c>
      <c r="H43" s="1">
        <f ca="1">D43*控制台!$E$3067</f>
        <v>2.66666666666667</v>
      </c>
      <c r="I43" s="1">
        <f ca="1" t="shared" si="1"/>
        <v>2.66666666666667</v>
      </c>
      <c r="J43" s="5">
        <f ca="1" t="shared" si="6"/>
        <v>36.2133333333334</v>
      </c>
      <c r="K43" s="1">
        <f ca="1">D43*控制台!$E$3071</f>
        <v>200</v>
      </c>
      <c r="L43" s="1">
        <f ca="1" t="shared" si="2"/>
        <v>200</v>
      </c>
      <c r="M43" s="5">
        <f ca="1" t="shared" si="7"/>
        <v>2716</v>
      </c>
      <c r="N43" s="1">
        <f ca="1">D43*控制台!$E$3075</f>
        <v>100</v>
      </c>
      <c r="O43" s="1">
        <f ca="1" t="shared" si="3"/>
        <v>100</v>
      </c>
      <c r="P43" s="5">
        <f ca="1" t="shared" si="8"/>
        <v>1358</v>
      </c>
    </row>
    <row r="44" spans="1:16">
      <c r="A44" s="10">
        <v>23</v>
      </c>
      <c r="B44" s="1">
        <f t="shared" si="4"/>
        <v>1</v>
      </c>
      <c r="C44" s="1">
        <f ca="1">IF(控制台!C145="",INDIRECT(ADDRESS(ROW()-1,COLUMN())),控制台!C145)</f>
        <v>21</v>
      </c>
      <c r="D44" s="14">
        <f ca="1">OFFSET(控制台!$E$3099,MATCH(C44,控制台!$B$3099:$B$3131,1)-1,0)</f>
        <v>0.666666666666667</v>
      </c>
      <c r="E44" s="1">
        <f ca="1">D44*控制台!$E$3063</f>
        <v>4800000</v>
      </c>
      <c r="F44" s="1">
        <f ca="1" t="shared" si="0"/>
        <v>4800000</v>
      </c>
      <c r="G44" s="5">
        <f ca="1" t="shared" si="5"/>
        <v>69984000</v>
      </c>
      <c r="H44" s="1">
        <f ca="1">D44*控制台!$E$3067</f>
        <v>2.66666666666667</v>
      </c>
      <c r="I44" s="1">
        <f ca="1" t="shared" si="1"/>
        <v>2.66666666666667</v>
      </c>
      <c r="J44" s="5">
        <f ca="1" t="shared" si="6"/>
        <v>38.88</v>
      </c>
      <c r="K44" s="1">
        <f ca="1">D44*控制台!$E$3071</f>
        <v>200</v>
      </c>
      <c r="L44" s="1">
        <f ca="1" t="shared" si="2"/>
        <v>200</v>
      </c>
      <c r="M44" s="5">
        <f ca="1" t="shared" si="7"/>
        <v>2916</v>
      </c>
      <c r="N44" s="1">
        <f ca="1">D44*控制台!$E$3075</f>
        <v>100</v>
      </c>
      <c r="O44" s="1">
        <f ca="1" t="shared" si="3"/>
        <v>100</v>
      </c>
      <c r="P44" s="5">
        <f ca="1" t="shared" si="8"/>
        <v>1458</v>
      </c>
    </row>
    <row r="45" spans="1:16">
      <c r="A45" s="10">
        <v>24</v>
      </c>
      <c r="B45" s="1">
        <f t="shared" si="4"/>
        <v>1</v>
      </c>
      <c r="C45" s="1">
        <f ca="1">IF(控制台!C146="",INDIRECT(ADDRESS(ROW()-1,COLUMN())),控制台!C146)</f>
        <v>21</v>
      </c>
      <c r="D45" s="14">
        <f ca="1">OFFSET(控制台!$E$3099,MATCH(C45,控制台!$B$3099:$B$3131,1)-1,0)</f>
        <v>0.666666666666667</v>
      </c>
      <c r="E45" s="1">
        <f ca="1">D45*控制台!$E$3063</f>
        <v>4800000</v>
      </c>
      <c r="F45" s="1">
        <f ca="1" t="shared" si="0"/>
        <v>4800000</v>
      </c>
      <c r="G45" s="5">
        <f ca="1" t="shared" si="5"/>
        <v>74784000</v>
      </c>
      <c r="H45" s="1">
        <f ca="1">D45*控制台!$E$3067</f>
        <v>2.66666666666667</v>
      </c>
      <c r="I45" s="1">
        <f ca="1" t="shared" si="1"/>
        <v>2.66666666666667</v>
      </c>
      <c r="J45" s="5">
        <f ca="1" t="shared" si="6"/>
        <v>41.5466666666667</v>
      </c>
      <c r="K45" s="1">
        <f ca="1">D45*控制台!$E$3071</f>
        <v>200</v>
      </c>
      <c r="L45" s="1">
        <f ca="1" t="shared" si="2"/>
        <v>200</v>
      </c>
      <c r="M45" s="5">
        <f ca="1" t="shared" si="7"/>
        <v>3116</v>
      </c>
      <c r="N45" s="1">
        <f ca="1">D45*控制台!$E$3075</f>
        <v>100</v>
      </c>
      <c r="O45" s="1">
        <f ca="1" t="shared" si="3"/>
        <v>100</v>
      </c>
      <c r="P45" s="5">
        <f ca="1" t="shared" si="8"/>
        <v>1558</v>
      </c>
    </row>
    <row r="46" spans="1:16">
      <c r="A46" s="10">
        <v>25</v>
      </c>
      <c r="B46" s="1">
        <f t="shared" si="4"/>
        <v>1</v>
      </c>
      <c r="C46" s="1">
        <f ca="1">IF(控制台!C147="",INDIRECT(ADDRESS(ROW()-1,COLUMN())),控制台!C147)</f>
        <v>21</v>
      </c>
      <c r="D46" s="14">
        <f ca="1">OFFSET(控制台!$E$3099,MATCH(C46,控制台!$B$3099:$B$3131,1)-1,0)</f>
        <v>0.666666666666667</v>
      </c>
      <c r="E46" s="1">
        <f ca="1">D46*控制台!$E$3063</f>
        <v>4800000</v>
      </c>
      <c r="F46" s="1">
        <f ca="1" t="shared" si="0"/>
        <v>4800000</v>
      </c>
      <c r="G46" s="5">
        <f ca="1" t="shared" si="5"/>
        <v>79584000</v>
      </c>
      <c r="H46" s="1">
        <f ca="1">D46*控制台!$E$3067</f>
        <v>2.66666666666667</v>
      </c>
      <c r="I46" s="1">
        <f ca="1" t="shared" si="1"/>
        <v>2.66666666666667</v>
      </c>
      <c r="J46" s="5">
        <f ca="1" t="shared" si="6"/>
        <v>44.2133333333334</v>
      </c>
      <c r="K46" s="1">
        <f ca="1">D46*控制台!$E$3071</f>
        <v>200</v>
      </c>
      <c r="L46" s="1">
        <f ca="1" t="shared" si="2"/>
        <v>200</v>
      </c>
      <c r="M46" s="5">
        <f ca="1" t="shared" si="7"/>
        <v>3316</v>
      </c>
      <c r="N46" s="1">
        <f ca="1">D46*控制台!$E$3075</f>
        <v>100</v>
      </c>
      <c r="O46" s="1">
        <f ca="1" t="shared" si="3"/>
        <v>100</v>
      </c>
      <c r="P46" s="5">
        <f ca="1" t="shared" si="8"/>
        <v>1658</v>
      </c>
    </row>
    <row r="47" spans="1:16">
      <c r="A47" s="10">
        <v>26</v>
      </c>
      <c r="B47" s="1">
        <f t="shared" si="4"/>
        <v>1</v>
      </c>
      <c r="C47" s="1">
        <f ca="1">IF(控制台!C148="",INDIRECT(ADDRESS(ROW()-1,COLUMN())),控制台!C148)</f>
        <v>22</v>
      </c>
      <c r="D47" s="14">
        <f ca="1">OFFSET(控制台!$E$3099,MATCH(C47,控制台!$B$3099:$B$3131,1)-1,0)</f>
        <v>0.666666666666667</v>
      </c>
      <c r="E47" s="1">
        <f ca="1">D47*控制台!$E$3063</f>
        <v>4800000</v>
      </c>
      <c r="F47" s="1">
        <f ca="1" t="shared" si="0"/>
        <v>4800000</v>
      </c>
      <c r="G47" s="5">
        <f ca="1" t="shared" si="5"/>
        <v>84384000</v>
      </c>
      <c r="H47" s="1">
        <f ca="1">D47*控制台!$E$3067</f>
        <v>2.66666666666667</v>
      </c>
      <c r="I47" s="1">
        <f ca="1" t="shared" si="1"/>
        <v>2.66666666666667</v>
      </c>
      <c r="J47" s="5">
        <f ca="1" t="shared" si="6"/>
        <v>46.88</v>
      </c>
      <c r="K47" s="1">
        <f ca="1">D47*控制台!$E$3071</f>
        <v>200</v>
      </c>
      <c r="L47" s="1">
        <f ca="1" t="shared" si="2"/>
        <v>200</v>
      </c>
      <c r="M47" s="5">
        <f ca="1" t="shared" si="7"/>
        <v>3516</v>
      </c>
      <c r="N47" s="1">
        <f ca="1">D47*控制台!$E$3075</f>
        <v>100</v>
      </c>
      <c r="O47" s="1">
        <f ca="1" t="shared" si="3"/>
        <v>100</v>
      </c>
      <c r="P47" s="5">
        <f ca="1" t="shared" si="8"/>
        <v>1758</v>
      </c>
    </row>
    <row r="48" spans="1:16">
      <c r="A48" s="10">
        <v>27</v>
      </c>
      <c r="B48" s="1">
        <f t="shared" si="4"/>
        <v>1</v>
      </c>
      <c r="C48" s="1">
        <f ca="1">IF(控制台!C149="",INDIRECT(ADDRESS(ROW()-1,COLUMN())),控制台!C149)</f>
        <v>22</v>
      </c>
      <c r="D48" s="14">
        <f ca="1">OFFSET(控制台!$E$3099,MATCH(C48,控制台!$B$3099:$B$3131,1)-1,0)</f>
        <v>0.666666666666667</v>
      </c>
      <c r="E48" s="1">
        <f ca="1">D48*控制台!$E$3063</f>
        <v>4800000</v>
      </c>
      <c r="F48" s="1">
        <f ca="1" t="shared" si="0"/>
        <v>4800000</v>
      </c>
      <c r="G48" s="5">
        <f ca="1" t="shared" si="5"/>
        <v>89184000</v>
      </c>
      <c r="H48" s="1">
        <f ca="1">D48*控制台!$E$3067</f>
        <v>2.66666666666667</v>
      </c>
      <c r="I48" s="1">
        <f ca="1" t="shared" si="1"/>
        <v>2.66666666666667</v>
      </c>
      <c r="J48" s="5">
        <f ca="1" t="shared" si="6"/>
        <v>49.5466666666667</v>
      </c>
      <c r="K48" s="1">
        <f ca="1">D48*控制台!$E$3071</f>
        <v>200</v>
      </c>
      <c r="L48" s="1">
        <f ca="1" t="shared" si="2"/>
        <v>200</v>
      </c>
      <c r="M48" s="5">
        <f ca="1" t="shared" si="7"/>
        <v>3716</v>
      </c>
      <c r="N48" s="1">
        <f ca="1">D48*控制台!$E$3075</f>
        <v>100</v>
      </c>
      <c r="O48" s="1">
        <f ca="1" t="shared" si="3"/>
        <v>100</v>
      </c>
      <c r="P48" s="5">
        <f ca="1" t="shared" si="8"/>
        <v>1858</v>
      </c>
    </row>
    <row r="49" spans="1:16">
      <c r="A49" s="10">
        <v>28</v>
      </c>
      <c r="B49" s="1">
        <f t="shared" si="4"/>
        <v>1</v>
      </c>
      <c r="C49" s="1">
        <f ca="1">IF(控制台!C150="",INDIRECT(ADDRESS(ROW()-1,COLUMN())),控制台!C150)</f>
        <v>22</v>
      </c>
      <c r="D49" s="14">
        <f ca="1">OFFSET(控制台!$E$3099,MATCH(C49,控制台!$B$3099:$B$3131,1)-1,0)</f>
        <v>0.666666666666667</v>
      </c>
      <c r="E49" s="1">
        <f ca="1">D49*控制台!$E$3063</f>
        <v>4800000</v>
      </c>
      <c r="F49" s="1">
        <f ca="1" t="shared" si="0"/>
        <v>4800000</v>
      </c>
      <c r="G49" s="5">
        <f ca="1" t="shared" si="5"/>
        <v>93984000</v>
      </c>
      <c r="H49" s="1">
        <f ca="1">D49*控制台!$E$3067</f>
        <v>2.66666666666667</v>
      </c>
      <c r="I49" s="1">
        <f ca="1" t="shared" si="1"/>
        <v>2.66666666666667</v>
      </c>
      <c r="J49" s="5">
        <f ca="1" t="shared" si="6"/>
        <v>52.2133333333334</v>
      </c>
      <c r="K49" s="1">
        <f ca="1">D49*控制台!$E$3071</f>
        <v>200</v>
      </c>
      <c r="L49" s="1">
        <f ca="1" t="shared" si="2"/>
        <v>200</v>
      </c>
      <c r="M49" s="5">
        <f ca="1" t="shared" si="7"/>
        <v>3916</v>
      </c>
      <c r="N49" s="1">
        <f ca="1">D49*控制台!$E$3075</f>
        <v>100</v>
      </c>
      <c r="O49" s="1">
        <f ca="1" t="shared" si="3"/>
        <v>100</v>
      </c>
      <c r="P49" s="5">
        <f ca="1" t="shared" si="8"/>
        <v>1958</v>
      </c>
    </row>
    <row r="50" spans="1:16">
      <c r="A50" s="10">
        <v>29</v>
      </c>
      <c r="B50" s="1">
        <f t="shared" si="4"/>
        <v>1</v>
      </c>
      <c r="C50" s="1">
        <f ca="1">IF(控制台!C151="",INDIRECT(ADDRESS(ROW()-1,COLUMN())),控制台!C151)</f>
        <v>22</v>
      </c>
      <c r="D50" s="14">
        <f ca="1">OFFSET(控制台!$E$3099,MATCH(C50,控制台!$B$3099:$B$3131,1)-1,0)</f>
        <v>0.666666666666667</v>
      </c>
      <c r="E50" s="1">
        <f ca="1">D50*控制台!$E$3063</f>
        <v>4800000</v>
      </c>
      <c r="F50" s="1">
        <f ca="1" t="shared" si="0"/>
        <v>4800000</v>
      </c>
      <c r="G50" s="5">
        <f ca="1" t="shared" si="5"/>
        <v>98784000</v>
      </c>
      <c r="H50" s="1">
        <f ca="1">D50*控制台!$E$3067</f>
        <v>2.66666666666667</v>
      </c>
      <c r="I50" s="1">
        <f ca="1" t="shared" si="1"/>
        <v>2.66666666666667</v>
      </c>
      <c r="J50" s="5">
        <f ca="1" t="shared" si="6"/>
        <v>54.8800000000001</v>
      </c>
      <c r="K50" s="1">
        <f ca="1">D50*控制台!$E$3071</f>
        <v>200</v>
      </c>
      <c r="L50" s="1">
        <f ca="1" t="shared" si="2"/>
        <v>200</v>
      </c>
      <c r="M50" s="5">
        <f ca="1" t="shared" si="7"/>
        <v>4116</v>
      </c>
      <c r="N50" s="1">
        <f ca="1">D50*控制台!$E$3075</f>
        <v>100</v>
      </c>
      <c r="O50" s="1">
        <f ca="1" t="shared" si="3"/>
        <v>100</v>
      </c>
      <c r="P50" s="5">
        <f ca="1" t="shared" si="8"/>
        <v>2058</v>
      </c>
    </row>
    <row r="51" spans="1:16">
      <c r="A51" s="10">
        <v>30</v>
      </c>
      <c r="B51" s="1">
        <f t="shared" si="4"/>
        <v>1</v>
      </c>
      <c r="C51" s="1">
        <f ca="1">IF(控制台!C152="",INDIRECT(ADDRESS(ROW()-1,COLUMN())),控制台!C152)</f>
        <v>23</v>
      </c>
      <c r="D51" s="14">
        <f ca="1">OFFSET(控制台!$E$3099,MATCH(C51,控制台!$B$3099:$B$3131,1)-1,0)</f>
        <v>0.666666666666667</v>
      </c>
      <c r="E51" s="1">
        <f ca="1">D51*控制台!$E$3063</f>
        <v>4800000</v>
      </c>
      <c r="F51" s="1">
        <f ca="1" t="shared" si="0"/>
        <v>4800000</v>
      </c>
      <c r="G51" s="5">
        <f ca="1" t="shared" si="5"/>
        <v>103584000</v>
      </c>
      <c r="H51" s="1">
        <f ca="1">D51*控制台!$E$3067</f>
        <v>2.66666666666667</v>
      </c>
      <c r="I51" s="1">
        <f ca="1" t="shared" si="1"/>
        <v>2.66666666666667</v>
      </c>
      <c r="J51" s="5">
        <f ca="1" t="shared" si="6"/>
        <v>57.5466666666667</v>
      </c>
      <c r="K51" s="1">
        <f ca="1">D51*控制台!$E$3071</f>
        <v>200</v>
      </c>
      <c r="L51" s="1">
        <f ca="1" t="shared" si="2"/>
        <v>200</v>
      </c>
      <c r="M51" s="5">
        <f ca="1" t="shared" si="7"/>
        <v>4316</v>
      </c>
      <c r="N51" s="1">
        <f ca="1">D51*控制台!$E$3075</f>
        <v>100</v>
      </c>
      <c r="O51" s="1">
        <f ca="1" t="shared" si="3"/>
        <v>100</v>
      </c>
      <c r="P51" s="5">
        <f ca="1" t="shared" si="8"/>
        <v>2158</v>
      </c>
    </row>
    <row r="52" spans="1:16">
      <c r="A52" s="11">
        <v>35</v>
      </c>
      <c r="B52" s="1">
        <f t="shared" si="4"/>
        <v>5</v>
      </c>
      <c r="C52" s="1">
        <f ca="1">IF(控制台!C153="",INDIRECT(ADDRESS(ROW()-1,COLUMN())),控制台!C153)</f>
        <v>23</v>
      </c>
      <c r="D52" s="14">
        <f ca="1">OFFSET(控制台!$E$3099,MATCH(C52,控制台!$B$3099:$B$3131,1)-1,0)</f>
        <v>0.666666666666667</v>
      </c>
      <c r="E52" s="1">
        <f ca="1">D52*控制台!$E$3063</f>
        <v>4800000</v>
      </c>
      <c r="F52" s="1">
        <f ca="1" t="shared" si="0"/>
        <v>24000000</v>
      </c>
      <c r="G52" s="5">
        <f ca="1" t="shared" si="5"/>
        <v>127584000</v>
      </c>
      <c r="H52" s="1">
        <f ca="1">D52*控制台!$E$3067</f>
        <v>2.66666666666667</v>
      </c>
      <c r="I52" s="1">
        <f ca="1" t="shared" si="1"/>
        <v>13.3333333333333</v>
      </c>
      <c r="J52" s="5">
        <f ca="1" t="shared" si="6"/>
        <v>70.8800000000001</v>
      </c>
      <c r="K52" s="1">
        <f ca="1">D52*控制台!$E$3071</f>
        <v>200</v>
      </c>
      <c r="L52" s="1">
        <f ca="1" t="shared" si="2"/>
        <v>1000</v>
      </c>
      <c r="M52" s="5">
        <f ca="1" t="shared" si="7"/>
        <v>5316</v>
      </c>
      <c r="N52" s="1">
        <f ca="1">D52*控制台!$E$3075</f>
        <v>100</v>
      </c>
      <c r="O52" s="1">
        <f ca="1" t="shared" si="3"/>
        <v>500</v>
      </c>
      <c r="P52" s="5">
        <f ca="1" t="shared" si="8"/>
        <v>2658</v>
      </c>
    </row>
    <row r="53" spans="1:16">
      <c r="A53" s="11">
        <v>40</v>
      </c>
      <c r="B53" s="1">
        <f t="shared" si="4"/>
        <v>5</v>
      </c>
      <c r="C53" s="1">
        <f ca="1">IF(控制台!C154="",INDIRECT(ADDRESS(ROW()-1,COLUMN())),控制台!C154)</f>
        <v>24</v>
      </c>
      <c r="D53" s="14">
        <f ca="1">OFFSET(控制台!$E$3099,MATCH(C53,控制台!$B$3099:$B$3131,1)-1,0)</f>
        <v>0.666666666666667</v>
      </c>
      <c r="E53" s="1">
        <f ca="1">D53*控制台!$E$3063</f>
        <v>4800000</v>
      </c>
      <c r="F53" s="1">
        <f ca="1" t="shared" si="0"/>
        <v>24000000</v>
      </c>
      <c r="G53" s="5">
        <f ca="1" t="shared" si="5"/>
        <v>151584000</v>
      </c>
      <c r="H53" s="1">
        <f ca="1">D53*控制台!$E$3067</f>
        <v>2.66666666666667</v>
      </c>
      <c r="I53" s="1">
        <f ca="1" t="shared" si="1"/>
        <v>13.3333333333333</v>
      </c>
      <c r="J53" s="5">
        <f ca="1" t="shared" si="6"/>
        <v>84.2133333333334</v>
      </c>
      <c r="K53" s="1">
        <f ca="1">D53*控制台!$E$3071</f>
        <v>200</v>
      </c>
      <c r="L53" s="1">
        <f ca="1" t="shared" si="2"/>
        <v>1000</v>
      </c>
      <c r="M53" s="5">
        <f ca="1" t="shared" si="7"/>
        <v>6316</v>
      </c>
      <c r="N53" s="1">
        <f ca="1">D53*控制台!$E$3075</f>
        <v>100</v>
      </c>
      <c r="O53" s="1">
        <f ca="1" t="shared" si="3"/>
        <v>500</v>
      </c>
      <c r="P53" s="5">
        <f ca="1" t="shared" si="8"/>
        <v>3158</v>
      </c>
    </row>
    <row r="54" spans="1:16">
      <c r="A54" s="11">
        <v>45</v>
      </c>
      <c r="B54" s="1">
        <f t="shared" si="4"/>
        <v>5</v>
      </c>
      <c r="C54" s="1">
        <f ca="1">IF(控制台!C155="",INDIRECT(ADDRESS(ROW()-1,COLUMN())),控制台!C155)</f>
        <v>24</v>
      </c>
      <c r="D54" s="14">
        <f ca="1">OFFSET(控制台!$E$3099,MATCH(C54,控制台!$B$3099:$B$3131,1)-1,0)</f>
        <v>0.666666666666667</v>
      </c>
      <c r="E54" s="1">
        <f ca="1">D54*控制台!$E$3063</f>
        <v>4800000</v>
      </c>
      <c r="F54" s="1">
        <f ca="1" t="shared" si="0"/>
        <v>24000000</v>
      </c>
      <c r="G54" s="5">
        <f ca="1" t="shared" si="5"/>
        <v>175584000</v>
      </c>
      <c r="H54" s="1">
        <f ca="1">D54*控制台!$E$3067</f>
        <v>2.66666666666667</v>
      </c>
      <c r="I54" s="1">
        <f ca="1" t="shared" si="1"/>
        <v>13.3333333333333</v>
      </c>
      <c r="J54" s="5">
        <f ca="1" t="shared" si="6"/>
        <v>97.5466666666668</v>
      </c>
      <c r="K54" s="1">
        <f ca="1">D54*控制台!$E$3071</f>
        <v>200</v>
      </c>
      <c r="L54" s="1">
        <f ca="1" t="shared" si="2"/>
        <v>1000</v>
      </c>
      <c r="M54" s="5">
        <f ca="1" t="shared" si="7"/>
        <v>7316</v>
      </c>
      <c r="N54" s="1">
        <f ca="1">D54*控制台!$E$3075</f>
        <v>100</v>
      </c>
      <c r="O54" s="1">
        <f ca="1" t="shared" si="3"/>
        <v>500</v>
      </c>
      <c r="P54" s="5">
        <f ca="1" t="shared" si="8"/>
        <v>3658</v>
      </c>
    </row>
    <row r="55" spans="1:16">
      <c r="A55" s="11">
        <v>50</v>
      </c>
      <c r="B55" s="1">
        <f t="shared" si="4"/>
        <v>5</v>
      </c>
      <c r="C55" s="1">
        <f ca="1">IF(控制台!C156="",INDIRECT(ADDRESS(ROW()-1,COLUMN())),控制台!C156)</f>
        <v>25</v>
      </c>
      <c r="D55" s="14">
        <f ca="1">OFFSET(控制台!$E$3099,MATCH(C55,控制台!$B$3099:$B$3131,1)-1,0)</f>
        <v>0.666666666666667</v>
      </c>
      <c r="E55" s="1">
        <f ca="1">D55*控制台!$E$3063</f>
        <v>4800000</v>
      </c>
      <c r="F55" s="1">
        <f ca="1" t="shared" si="0"/>
        <v>24000000</v>
      </c>
      <c r="G55" s="5">
        <f ca="1" t="shared" si="5"/>
        <v>199584000</v>
      </c>
      <c r="H55" s="1">
        <f ca="1">D55*控制台!$E$3067</f>
        <v>2.66666666666667</v>
      </c>
      <c r="I55" s="1">
        <f ca="1" t="shared" si="1"/>
        <v>13.3333333333333</v>
      </c>
      <c r="J55" s="5">
        <f ca="1" t="shared" si="6"/>
        <v>110.88</v>
      </c>
      <c r="K55" s="1">
        <f ca="1">D55*控制台!$E$3071</f>
        <v>200</v>
      </c>
      <c r="L55" s="1">
        <f ca="1" t="shared" si="2"/>
        <v>1000</v>
      </c>
      <c r="M55" s="5">
        <f ca="1" t="shared" si="7"/>
        <v>8316</v>
      </c>
      <c r="N55" s="1">
        <f ca="1">D55*控制台!$E$3075</f>
        <v>100</v>
      </c>
      <c r="O55" s="1">
        <f ca="1" t="shared" si="3"/>
        <v>500</v>
      </c>
      <c r="P55" s="5">
        <f ca="1" t="shared" si="8"/>
        <v>4158</v>
      </c>
    </row>
    <row r="56" spans="1:16">
      <c r="A56" s="11">
        <v>55</v>
      </c>
      <c r="B56" s="1">
        <f t="shared" si="4"/>
        <v>5</v>
      </c>
      <c r="C56" s="1">
        <f ca="1">IF(控制台!C157="",INDIRECT(ADDRESS(ROW()-1,COLUMN())),控制台!C157)</f>
        <v>25</v>
      </c>
      <c r="D56" s="14">
        <f ca="1">OFFSET(控制台!$E$3099,MATCH(C56,控制台!$B$3099:$B$3131,1)-1,0)</f>
        <v>0.666666666666667</v>
      </c>
      <c r="E56" s="1">
        <f ca="1">D56*控制台!$E$3063</f>
        <v>4800000</v>
      </c>
      <c r="F56" s="1">
        <f ca="1" t="shared" si="0"/>
        <v>24000000</v>
      </c>
      <c r="G56" s="5">
        <f ca="1" t="shared" si="5"/>
        <v>223584000</v>
      </c>
      <c r="H56" s="1">
        <f ca="1">D56*控制台!$E$3067</f>
        <v>2.66666666666667</v>
      </c>
      <c r="I56" s="1">
        <f ca="1" t="shared" si="1"/>
        <v>13.3333333333333</v>
      </c>
      <c r="J56" s="5">
        <f ca="1" t="shared" si="6"/>
        <v>124.213333333333</v>
      </c>
      <c r="K56" s="1">
        <f ca="1">D56*控制台!$E$3071</f>
        <v>200</v>
      </c>
      <c r="L56" s="1">
        <f ca="1" t="shared" si="2"/>
        <v>1000</v>
      </c>
      <c r="M56" s="5">
        <f ca="1" t="shared" si="7"/>
        <v>9316</v>
      </c>
      <c r="N56" s="1">
        <f ca="1">D56*控制台!$E$3075</f>
        <v>100</v>
      </c>
      <c r="O56" s="1">
        <f ca="1" t="shared" si="3"/>
        <v>500</v>
      </c>
      <c r="P56" s="5">
        <f ca="1" t="shared" si="8"/>
        <v>4658</v>
      </c>
    </row>
    <row r="57" spans="1:16">
      <c r="A57" s="11">
        <v>60</v>
      </c>
      <c r="B57" s="1">
        <f t="shared" si="4"/>
        <v>5</v>
      </c>
      <c r="C57" s="1">
        <f ca="1">IF(控制台!C158="",INDIRECT(ADDRESS(ROW()-1,COLUMN())),控制台!C158)</f>
        <v>26</v>
      </c>
      <c r="D57" s="14">
        <f ca="1">OFFSET(控制台!$E$3099,MATCH(C57,控制台!$B$3099:$B$3131,1)-1,0)</f>
        <v>0.666666666666667</v>
      </c>
      <c r="E57" s="1">
        <f ca="1">D57*控制台!$E$3063</f>
        <v>4800000</v>
      </c>
      <c r="F57" s="1">
        <f ca="1" t="shared" si="0"/>
        <v>24000000</v>
      </c>
      <c r="G57" s="5">
        <f ca="1" t="shared" si="5"/>
        <v>247584000</v>
      </c>
      <c r="H57" s="1">
        <f ca="1">D57*控制台!$E$3067</f>
        <v>2.66666666666667</v>
      </c>
      <c r="I57" s="1">
        <f ca="1" t="shared" si="1"/>
        <v>13.3333333333333</v>
      </c>
      <c r="J57" s="5">
        <f ca="1" t="shared" si="6"/>
        <v>137.546666666667</v>
      </c>
      <c r="K57" s="1">
        <f ca="1">D57*控制台!$E$3071</f>
        <v>200</v>
      </c>
      <c r="L57" s="1">
        <f ca="1" t="shared" si="2"/>
        <v>1000</v>
      </c>
      <c r="M57" s="5">
        <f ca="1" t="shared" si="7"/>
        <v>10316</v>
      </c>
      <c r="N57" s="1">
        <f ca="1">D57*控制台!$E$3075</f>
        <v>100</v>
      </c>
      <c r="O57" s="1">
        <f ca="1" t="shared" si="3"/>
        <v>500</v>
      </c>
      <c r="P57" s="5">
        <f ca="1" t="shared" si="8"/>
        <v>5158</v>
      </c>
    </row>
    <row r="58" spans="1:16">
      <c r="A58" s="11">
        <v>65</v>
      </c>
      <c r="B58" s="1">
        <f t="shared" si="4"/>
        <v>5</v>
      </c>
      <c r="C58" s="1">
        <f ca="1">IF(控制台!C159="",INDIRECT(ADDRESS(ROW()-1,COLUMN())),控制台!C159)</f>
        <v>26</v>
      </c>
      <c r="D58" s="14">
        <f ca="1">OFFSET(控制台!$E$3099,MATCH(C58,控制台!$B$3099:$B$3131,1)-1,0)</f>
        <v>0.666666666666667</v>
      </c>
      <c r="E58" s="1">
        <f ca="1">D58*控制台!$E$3063</f>
        <v>4800000</v>
      </c>
      <c r="F58" s="1">
        <f ca="1" t="shared" si="0"/>
        <v>24000000</v>
      </c>
      <c r="G58" s="5">
        <f ca="1" t="shared" si="5"/>
        <v>271584000</v>
      </c>
      <c r="H58" s="1">
        <f ca="1">D58*控制台!$E$3067</f>
        <v>2.66666666666667</v>
      </c>
      <c r="I58" s="1">
        <f ca="1" t="shared" si="1"/>
        <v>13.3333333333333</v>
      </c>
      <c r="J58" s="5">
        <f ca="1" t="shared" si="6"/>
        <v>150.88</v>
      </c>
      <c r="K58" s="1">
        <f ca="1">D58*控制台!$E$3071</f>
        <v>200</v>
      </c>
      <c r="L58" s="1">
        <f ca="1" t="shared" si="2"/>
        <v>1000</v>
      </c>
      <c r="M58" s="5">
        <f ca="1" t="shared" si="7"/>
        <v>11316</v>
      </c>
      <c r="N58" s="1">
        <f ca="1">D58*控制台!$E$3075</f>
        <v>100</v>
      </c>
      <c r="O58" s="1">
        <f ca="1" t="shared" si="3"/>
        <v>500</v>
      </c>
      <c r="P58" s="5">
        <f ca="1" t="shared" si="8"/>
        <v>5658</v>
      </c>
    </row>
    <row r="59" spans="1:16">
      <c r="A59" s="11">
        <v>70</v>
      </c>
      <c r="B59" s="1">
        <f t="shared" si="4"/>
        <v>5</v>
      </c>
      <c r="C59" s="1">
        <f ca="1">IF(控制台!C160="",INDIRECT(ADDRESS(ROW()-1,COLUMN())),控制台!C160)</f>
        <v>26</v>
      </c>
      <c r="D59" s="14">
        <f ca="1">OFFSET(控制台!$E$3099,MATCH(C59,控制台!$B$3099:$B$3131,1)-1,0)</f>
        <v>0.666666666666667</v>
      </c>
      <c r="E59" s="1">
        <f ca="1">D59*控制台!$E$3063</f>
        <v>4800000</v>
      </c>
      <c r="F59" s="1">
        <f ca="1" t="shared" si="0"/>
        <v>24000000</v>
      </c>
      <c r="G59" s="5">
        <f ca="1" t="shared" si="5"/>
        <v>295584000</v>
      </c>
      <c r="H59" s="1">
        <f ca="1">D59*控制台!$E$3067</f>
        <v>2.66666666666667</v>
      </c>
      <c r="I59" s="1">
        <f ca="1" t="shared" si="1"/>
        <v>13.3333333333333</v>
      </c>
      <c r="J59" s="5">
        <f ca="1" t="shared" si="6"/>
        <v>164.213333333333</v>
      </c>
      <c r="K59" s="1">
        <f ca="1">D59*控制台!$E$3071</f>
        <v>200</v>
      </c>
      <c r="L59" s="1">
        <f ca="1" t="shared" si="2"/>
        <v>1000</v>
      </c>
      <c r="M59" s="5">
        <f ca="1" t="shared" si="7"/>
        <v>12316</v>
      </c>
      <c r="N59" s="1">
        <f ca="1">D59*控制台!$E$3075</f>
        <v>100</v>
      </c>
      <c r="O59" s="1">
        <f ca="1" t="shared" si="3"/>
        <v>500</v>
      </c>
      <c r="P59" s="5">
        <f ca="1" t="shared" si="8"/>
        <v>6158</v>
      </c>
    </row>
    <row r="60" spans="1:16">
      <c r="A60" s="11">
        <v>75</v>
      </c>
      <c r="B60" s="1">
        <f t="shared" si="4"/>
        <v>5</v>
      </c>
      <c r="C60" s="1">
        <f ca="1">IF(控制台!C161="",INDIRECT(ADDRESS(ROW()-1,COLUMN())),控制台!C161)</f>
        <v>26</v>
      </c>
      <c r="D60" s="14">
        <f ca="1">OFFSET(控制台!$E$3099,MATCH(C60,控制台!$B$3099:$B$3131,1)-1,0)</f>
        <v>0.666666666666667</v>
      </c>
      <c r="E60" s="1">
        <f ca="1">D60*控制台!$E$3063</f>
        <v>4800000</v>
      </c>
      <c r="F60" s="1">
        <f ca="1" t="shared" si="0"/>
        <v>24000000</v>
      </c>
      <c r="G60" s="5">
        <f ca="1" t="shared" si="5"/>
        <v>319584000</v>
      </c>
      <c r="H60" s="1">
        <f ca="1">D60*控制台!$E$3067</f>
        <v>2.66666666666667</v>
      </c>
      <c r="I60" s="1">
        <f ca="1" t="shared" si="1"/>
        <v>13.3333333333333</v>
      </c>
      <c r="J60" s="5">
        <f ca="1" t="shared" si="6"/>
        <v>177.546666666667</v>
      </c>
      <c r="K60" s="1">
        <f ca="1">D60*控制台!$E$3071</f>
        <v>200</v>
      </c>
      <c r="L60" s="1">
        <f ca="1" t="shared" si="2"/>
        <v>1000</v>
      </c>
      <c r="M60" s="5">
        <f ca="1" t="shared" si="7"/>
        <v>13316</v>
      </c>
      <c r="N60" s="1">
        <f ca="1">D60*控制台!$E$3075</f>
        <v>100</v>
      </c>
      <c r="O60" s="1">
        <f ca="1" t="shared" si="3"/>
        <v>500</v>
      </c>
      <c r="P60" s="5">
        <f ca="1" t="shared" si="8"/>
        <v>6658</v>
      </c>
    </row>
    <row r="61" spans="1:16">
      <c r="A61" s="11">
        <v>80</v>
      </c>
      <c r="B61" s="1">
        <f t="shared" si="4"/>
        <v>5</v>
      </c>
      <c r="C61" s="1">
        <f ca="1">IF(控制台!C162="",INDIRECT(ADDRESS(ROW()-1,COLUMN())),控制台!C162)</f>
        <v>26</v>
      </c>
      <c r="D61" s="14">
        <f ca="1">OFFSET(控制台!$E$3099,MATCH(C61,控制台!$B$3099:$B$3131,1)-1,0)</f>
        <v>0.666666666666667</v>
      </c>
      <c r="E61" s="1">
        <f ca="1">D61*控制台!$E$3063</f>
        <v>4800000</v>
      </c>
      <c r="F61" s="1">
        <f ca="1" t="shared" si="0"/>
        <v>24000000</v>
      </c>
      <c r="G61" s="5">
        <f ca="1" t="shared" si="5"/>
        <v>343584000</v>
      </c>
      <c r="H61" s="1">
        <f ca="1">D61*控制台!$E$3067</f>
        <v>2.66666666666667</v>
      </c>
      <c r="I61" s="1">
        <f ca="1" t="shared" si="1"/>
        <v>13.3333333333333</v>
      </c>
      <c r="J61" s="5">
        <f ca="1" t="shared" si="6"/>
        <v>190.88</v>
      </c>
      <c r="K61" s="1">
        <f ca="1">D61*控制台!$E$3071</f>
        <v>200</v>
      </c>
      <c r="L61" s="1">
        <f ca="1" t="shared" si="2"/>
        <v>1000</v>
      </c>
      <c r="M61" s="5">
        <f ca="1" t="shared" si="7"/>
        <v>14316</v>
      </c>
      <c r="N61" s="1">
        <f ca="1">D61*控制台!$E$3075</f>
        <v>100</v>
      </c>
      <c r="O61" s="1">
        <f ca="1" t="shared" si="3"/>
        <v>500</v>
      </c>
      <c r="P61" s="5">
        <f ca="1" t="shared" si="8"/>
        <v>7158</v>
      </c>
    </row>
    <row r="62" spans="1:16">
      <c r="A62" s="11">
        <v>85</v>
      </c>
      <c r="B62" s="1">
        <f t="shared" si="4"/>
        <v>5</v>
      </c>
      <c r="C62" s="1">
        <f ca="1">IF(控制台!C163="",INDIRECT(ADDRESS(ROW()-1,COLUMN())),控制台!C163)</f>
        <v>26</v>
      </c>
      <c r="D62" s="14">
        <f ca="1">OFFSET(控制台!$E$3099,MATCH(C62,控制台!$B$3099:$B$3131,1)-1,0)</f>
        <v>0.666666666666667</v>
      </c>
      <c r="E62" s="1">
        <f ca="1">D62*控制台!$E$3063</f>
        <v>4800000</v>
      </c>
      <c r="F62" s="1">
        <f ca="1" t="shared" si="0"/>
        <v>24000000</v>
      </c>
      <c r="G62" s="5">
        <f ca="1" t="shared" si="5"/>
        <v>367584000</v>
      </c>
      <c r="H62" s="1">
        <f ca="1">D62*控制台!$E$3067</f>
        <v>2.66666666666667</v>
      </c>
      <c r="I62" s="1">
        <f ca="1" t="shared" si="1"/>
        <v>13.3333333333333</v>
      </c>
      <c r="J62" s="5">
        <f ca="1" t="shared" si="6"/>
        <v>204.213333333333</v>
      </c>
      <c r="K62" s="1">
        <f ca="1">D62*控制台!$E$3071</f>
        <v>200</v>
      </c>
      <c r="L62" s="1">
        <f ca="1" t="shared" si="2"/>
        <v>1000</v>
      </c>
      <c r="M62" s="5">
        <f ca="1" t="shared" si="7"/>
        <v>15316</v>
      </c>
      <c r="N62" s="1">
        <f ca="1">D62*控制台!$E$3075</f>
        <v>100</v>
      </c>
      <c r="O62" s="1">
        <f ca="1" t="shared" si="3"/>
        <v>500</v>
      </c>
      <c r="P62" s="5">
        <f ca="1" t="shared" si="8"/>
        <v>7658</v>
      </c>
    </row>
    <row r="63" spans="1:16">
      <c r="A63" s="11">
        <v>90</v>
      </c>
      <c r="B63" s="1">
        <f t="shared" si="4"/>
        <v>5</v>
      </c>
      <c r="C63" s="1">
        <f ca="1">IF(控制台!C164="",INDIRECT(ADDRESS(ROW()-1,COLUMN())),控制台!C164)</f>
        <v>27</v>
      </c>
      <c r="D63" s="14">
        <f ca="1">OFFSET(控制台!$E$3099,MATCH(C63,控制台!$B$3099:$B$3131,1)-1,0)</f>
        <v>1</v>
      </c>
      <c r="E63" s="1">
        <f ca="1">D63*控制台!$E$3063</f>
        <v>7200000</v>
      </c>
      <c r="F63" s="1">
        <f ca="1" t="shared" si="0"/>
        <v>36000000</v>
      </c>
      <c r="G63" s="5">
        <f ca="1" t="shared" si="5"/>
        <v>403584000</v>
      </c>
      <c r="H63" s="1">
        <f ca="1">D63*控制台!$E$3067</f>
        <v>4</v>
      </c>
      <c r="I63" s="1">
        <f ca="1" t="shared" si="1"/>
        <v>20</v>
      </c>
      <c r="J63" s="5">
        <f ca="1" t="shared" si="6"/>
        <v>224.213333333333</v>
      </c>
      <c r="K63" s="1">
        <f ca="1">D63*控制台!$E$3071</f>
        <v>300</v>
      </c>
      <c r="L63" s="1">
        <f ca="1" t="shared" si="2"/>
        <v>1500</v>
      </c>
      <c r="M63" s="5">
        <f ca="1" t="shared" si="7"/>
        <v>16816</v>
      </c>
      <c r="N63" s="1">
        <f ca="1">D63*控制台!$E$3075</f>
        <v>150</v>
      </c>
      <c r="O63" s="1">
        <f ca="1" t="shared" si="3"/>
        <v>750</v>
      </c>
      <c r="P63" s="5">
        <f ca="1" t="shared" si="8"/>
        <v>8408</v>
      </c>
    </row>
    <row r="64" spans="1:16">
      <c r="A64" s="11">
        <v>95</v>
      </c>
      <c r="B64" s="1">
        <f t="shared" si="4"/>
        <v>5</v>
      </c>
      <c r="C64" s="1">
        <f ca="1">IF(控制台!C165="",INDIRECT(ADDRESS(ROW()-1,COLUMN())),控制台!C165)</f>
        <v>27</v>
      </c>
      <c r="D64" s="14">
        <f ca="1">OFFSET(控制台!$E$3099,MATCH(C64,控制台!$B$3099:$B$3131,1)-1,0)</f>
        <v>1</v>
      </c>
      <c r="E64" s="1">
        <f ca="1">D64*控制台!$E$3063</f>
        <v>7200000</v>
      </c>
      <c r="F64" s="1">
        <f ca="1" t="shared" si="0"/>
        <v>36000000</v>
      </c>
      <c r="G64" s="5">
        <f ca="1" t="shared" si="5"/>
        <v>439584000</v>
      </c>
      <c r="H64" s="1">
        <f ca="1">D64*控制台!$E$3067</f>
        <v>4</v>
      </c>
      <c r="I64" s="1">
        <f ca="1" t="shared" si="1"/>
        <v>20</v>
      </c>
      <c r="J64" s="5">
        <f ca="1" t="shared" si="6"/>
        <v>244.213333333333</v>
      </c>
      <c r="K64" s="1">
        <f ca="1">D64*控制台!$E$3071</f>
        <v>300</v>
      </c>
      <c r="L64" s="1">
        <f ca="1" t="shared" si="2"/>
        <v>1500</v>
      </c>
      <c r="M64" s="5">
        <f ca="1" t="shared" si="7"/>
        <v>18316</v>
      </c>
      <c r="N64" s="1">
        <f ca="1">D64*控制台!$E$3075</f>
        <v>150</v>
      </c>
      <c r="O64" s="1">
        <f ca="1" t="shared" si="3"/>
        <v>750</v>
      </c>
      <c r="P64" s="5">
        <f ca="1" t="shared" si="8"/>
        <v>9158</v>
      </c>
    </row>
    <row r="65" spans="1:16">
      <c r="A65" s="11">
        <v>100</v>
      </c>
      <c r="B65" s="1">
        <f t="shared" si="4"/>
        <v>5</v>
      </c>
      <c r="C65" s="1">
        <f ca="1">IF(控制台!C166="",INDIRECT(ADDRESS(ROW()-1,COLUMN())),控制台!C166)</f>
        <v>27</v>
      </c>
      <c r="D65" s="14">
        <f ca="1">OFFSET(控制台!$E$3099,MATCH(C65,控制台!$B$3099:$B$3131,1)-1,0)</f>
        <v>1</v>
      </c>
      <c r="E65" s="1">
        <f ca="1">D65*控制台!$E$3063</f>
        <v>7200000</v>
      </c>
      <c r="F65" s="1">
        <f ca="1" t="shared" si="0"/>
        <v>36000000</v>
      </c>
      <c r="G65" s="5">
        <f ca="1" t="shared" si="5"/>
        <v>475584000</v>
      </c>
      <c r="H65" s="1">
        <f ca="1">D65*控制台!$E$3067</f>
        <v>4</v>
      </c>
      <c r="I65" s="1">
        <f ca="1" t="shared" si="1"/>
        <v>20</v>
      </c>
      <c r="J65" s="5">
        <f ca="1" t="shared" si="6"/>
        <v>264.213333333333</v>
      </c>
      <c r="K65" s="1">
        <f ca="1">D65*控制台!$E$3071</f>
        <v>300</v>
      </c>
      <c r="L65" s="1">
        <f ca="1" t="shared" si="2"/>
        <v>1500</v>
      </c>
      <c r="M65" s="5">
        <f ca="1" t="shared" si="7"/>
        <v>19816</v>
      </c>
      <c r="N65" s="1">
        <f ca="1">D65*控制台!$E$3075</f>
        <v>150</v>
      </c>
      <c r="O65" s="1">
        <f ca="1" t="shared" si="3"/>
        <v>750</v>
      </c>
      <c r="P65" s="5">
        <f ca="1" t="shared" si="8"/>
        <v>9908</v>
      </c>
    </row>
    <row r="66" spans="1:16">
      <c r="A66" s="11">
        <v>105</v>
      </c>
      <c r="B66" s="1">
        <f t="shared" si="4"/>
        <v>5</v>
      </c>
      <c r="C66" s="1">
        <f ca="1">IF(控制台!C167="",INDIRECT(ADDRESS(ROW()-1,COLUMN())),控制台!C167)</f>
        <v>27</v>
      </c>
      <c r="D66" s="14">
        <f ca="1">OFFSET(控制台!$E$3099,MATCH(C66,控制台!$B$3099:$B$3131,1)-1,0)</f>
        <v>1</v>
      </c>
      <c r="E66" s="1">
        <f ca="1">D66*控制台!$E$3063</f>
        <v>7200000</v>
      </c>
      <c r="F66" s="1">
        <f ca="1" t="shared" si="0"/>
        <v>36000000</v>
      </c>
      <c r="G66" s="5">
        <f ca="1" t="shared" si="5"/>
        <v>511584000</v>
      </c>
      <c r="H66" s="1">
        <f ca="1">D66*控制台!$E$3067</f>
        <v>4</v>
      </c>
      <c r="I66" s="1">
        <f ca="1" t="shared" si="1"/>
        <v>20</v>
      </c>
      <c r="J66" s="5">
        <f ca="1" t="shared" si="6"/>
        <v>284.213333333333</v>
      </c>
      <c r="K66" s="1">
        <f ca="1">D66*控制台!$E$3071</f>
        <v>300</v>
      </c>
      <c r="L66" s="1">
        <f ca="1" t="shared" si="2"/>
        <v>1500</v>
      </c>
      <c r="M66" s="5">
        <f ca="1" t="shared" si="7"/>
        <v>21316</v>
      </c>
      <c r="N66" s="1">
        <f ca="1">D66*控制台!$E$3075</f>
        <v>150</v>
      </c>
      <c r="O66" s="1">
        <f ca="1" t="shared" si="3"/>
        <v>750</v>
      </c>
      <c r="P66" s="5">
        <f ca="1" t="shared" si="8"/>
        <v>10658</v>
      </c>
    </row>
    <row r="67" spans="1:16">
      <c r="A67" s="11">
        <v>110</v>
      </c>
      <c r="B67" s="1">
        <f t="shared" si="4"/>
        <v>5</v>
      </c>
      <c r="C67" s="1">
        <f ca="1">IF(控制台!C168="",INDIRECT(ADDRESS(ROW()-1,COLUMN())),控制台!C168)</f>
        <v>27</v>
      </c>
      <c r="D67" s="14">
        <f ca="1">OFFSET(控制台!$E$3099,MATCH(C67,控制台!$B$3099:$B$3131,1)-1,0)</f>
        <v>1</v>
      </c>
      <c r="E67" s="1">
        <f ca="1">D67*控制台!$E$3063</f>
        <v>7200000</v>
      </c>
      <c r="F67" s="1">
        <f ca="1" t="shared" si="0"/>
        <v>36000000</v>
      </c>
      <c r="G67" s="5">
        <f ca="1" t="shared" si="5"/>
        <v>547584000</v>
      </c>
      <c r="H67" s="1">
        <f ca="1">D67*控制台!$E$3067</f>
        <v>4</v>
      </c>
      <c r="I67" s="1">
        <f ca="1" t="shared" si="1"/>
        <v>20</v>
      </c>
      <c r="J67" s="5">
        <f ca="1" t="shared" si="6"/>
        <v>304.213333333333</v>
      </c>
      <c r="K67" s="1">
        <f ca="1">D67*控制台!$E$3071</f>
        <v>300</v>
      </c>
      <c r="L67" s="1">
        <f ca="1" t="shared" si="2"/>
        <v>1500</v>
      </c>
      <c r="M67" s="5">
        <f ca="1" t="shared" si="7"/>
        <v>22816</v>
      </c>
      <c r="N67" s="1">
        <f ca="1">D67*控制台!$E$3075</f>
        <v>150</v>
      </c>
      <c r="O67" s="1">
        <f ca="1" t="shared" si="3"/>
        <v>750</v>
      </c>
      <c r="P67" s="5">
        <f ca="1" t="shared" si="8"/>
        <v>11408</v>
      </c>
    </row>
    <row r="68" spans="1:16">
      <c r="A68" s="11">
        <v>115</v>
      </c>
      <c r="B68" s="1">
        <f t="shared" si="4"/>
        <v>5</v>
      </c>
      <c r="C68" s="1">
        <f ca="1">IF(控制台!C169="",INDIRECT(ADDRESS(ROW()-1,COLUMN())),控制台!C169)</f>
        <v>27</v>
      </c>
      <c r="D68" s="14">
        <f ca="1">OFFSET(控制台!$E$3099,MATCH(C68,控制台!$B$3099:$B$3131,1)-1,0)</f>
        <v>1</v>
      </c>
      <c r="E68" s="1">
        <f ca="1">D68*控制台!$E$3063</f>
        <v>7200000</v>
      </c>
      <c r="F68" s="1">
        <f ca="1" t="shared" si="0"/>
        <v>36000000</v>
      </c>
      <c r="G68" s="5">
        <f ca="1" t="shared" si="5"/>
        <v>583584000</v>
      </c>
      <c r="H68" s="1">
        <f ca="1">D68*控制台!$E$3067</f>
        <v>4</v>
      </c>
      <c r="I68" s="1">
        <f ca="1" t="shared" si="1"/>
        <v>20</v>
      </c>
      <c r="J68" s="5">
        <f ca="1" t="shared" si="6"/>
        <v>324.213333333333</v>
      </c>
      <c r="K68" s="1">
        <f ca="1">D68*控制台!$E$3071</f>
        <v>300</v>
      </c>
      <c r="L68" s="1">
        <f ca="1" t="shared" si="2"/>
        <v>1500</v>
      </c>
      <c r="M68" s="5">
        <f ca="1" t="shared" si="7"/>
        <v>24316</v>
      </c>
      <c r="N68" s="1">
        <f ca="1">D68*控制台!$E$3075</f>
        <v>150</v>
      </c>
      <c r="O68" s="1">
        <f ca="1" t="shared" si="3"/>
        <v>750</v>
      </c>
      <c r="P68" s="5">
        <f ca="1" t="shared" si="8"/>
        <v>12158</v>
      </c>
    </row>
    <row r="69" spans="1:16">
      <c r="A69" s="11">
        <v>120</v>
      </c>
      <c r="B69" s="1">
        <f t="shared" si="4"/>
        <v>5</v>
      </c>
      <c r="C69" s="1">
        <f ca="1">IF(控制台!C170="",INDIRECT(ADDRESS(ROW()-1,COLUMN())),控制台!C170)</f>
        <v>28</v>
      </c>
      <c r="D69" s="14">
        <f ca="1">OFFSET(控制台!$E$3099,MATCH(C69,控制台!$B$3099:$B$3131,1)-1,0)</f>
        <v>1</v>
      </c>
      <c r="E69" s="1">
        <f ca="1">D69*控制台!$E$3063</f>
        <v>7200000</v>
      </c>
      <c r="F69" s="1">
        <f ca="1" t="shared" si="0"/>
        <v>36000000</v>
      </c>
      <c r="G69" s="5">
        <f ca="1" t="shared" si="5"/>
        <v>619584000</v>
      </c>
      <c r="H69" s="1">
        <f ca="1">D69*控制台!$E$3067</f>
        <v>4</v>
      </c>
      <c r="I69" s="1">
        <f ca="1" t="shared" si="1"/>
        <v>20</v>
      </c>
      <c r="J69" s="5">
        <f ca="1" t="shared" si="6"/>
        <v>344.213333333333</v>
      </c>
      <c r="K69" s="1">
        <f ca="1">D69*控制台!$E$3071</f>
        <v>300</v>
      </c>
      <c r="L69" s="1">
        <f ca="1" t="shared" si="2"/>
        <v>1500</v>
      </c>
      <c r="M69" s="5">
        <f ca="1" t="shared" si="7"/>
        <v>25816</v>
      </c>
      <c r="N69" s="1">
        <f ca="1">D69*控制台!$E$3075</f>
        <v>150</v>
      </c>
      <c r="O69" s="1">
        <f ca="1" t="shared" si="3"/>
        <v>750</v>
      </c>
      <c r="P69" s="5">
        <f ca="1" t="shared" si="8"/>
        <v>12908</v>
      </c>
    </row>
    <row r="70" spans="1:16">
      <c r="A70" s="12">
        <v>150</v>
      </c>
      <c r="B70" s="1">
        <f t="shared" si="4"/>
        <v>30</v>
      </c>
      <c r="C70" s="1">
        <f ca="1">IF(控制台!C171="",INDIRECT(ADDRESS(ROW()-1,COLUMN())),控制台!C171)</f>
        <v>28</v>
      </c>
      <c r="D70" s="14">
        <f ca="1">OFFSET(控制台!$E$3099,MATCH(C70,控制台!$B$3099:$B$3131,1)-1,0)</f>
        <v>1</v>
      </c>
      <c r="E70" s="1">
        <f ca="1">D70*控制台!$E$3063</f>
        <v>7200000</v>
      </c>
      <c r="F70" s="1">
        <f ca="1" t="shared" si="0"/>
        <v>216000000</v>
      </c>
      <c r="G70" s="5">
        <f ca="1" t="shared" si="5"/>
        <v>835584000</v>
      </c>
      <c r="H70" s="1">
        <f ca="1">D70*控制台!$E$3067</f>
        <v>4</v>
      </c>
      <c r="I70" s="1">
        <f ca="1" t="shared" si="1"/>
        <v>120</v>
      </c>
      <c r="J70" s="5">
        <f ca="1" t="shared" si="6"/>
        <v>464.213333333333</v>
      </c>
      <c r="K70" s="1">
        <f ca="1">D70*控制台!$E$3071</f>
        <v>300</v>
      </c>
      <c r="L70" s="1">
        <f ca="1" t="shared" si="2"/>
        <v>9000</v>
      </c>
      <c r="M70" s="5">
        <f ca="1" t="shared" si="7"/>
        <v>34816</v>
      </c>
      <c r="N70" s="1">
        <f ca="1">D70*控制台!$E$3075</f>
        <v>150</v>
      </c>
      <c r="O70" s="1">
        <f ca="1" t="shared" si="3"/>
        <v>4500</v>
      </c>
      <c r="P70" s="5">
        <f ca="1" t="shared" si="8"/>
        <v>17408</v>
      </c>
    </row>
    <row r="71" spans="1:16">
      <c r="A71" s="12">
        <v>180</v>
      </c>
      <c r="B71" s="1">
        <f t="shared" si="4"/>
        <v>30</v>
      </c>
      <c r="C71" s="1">
        <f ca="1">IF(控制台!C172="",INDIRECT(ADDRESS(ROW()-1,COLUMN())),控制台!C172)</f>
        <v>29</v>
      </c>
      <c r="D71" s="14">
        <f ca="1">OFFSET(控制台!$E$3099,MATCH(C71,控制台!$B$3099:$B$3131,1)-1,0)</f>
        <v>1</v>
      </c>
      <c r="E71" s="1">
        <f ca="1">D71*控制台!$E$3063</f>
        <v>7200000</v>
      </c>
      <c r="F71" s="1">
        <f ca="1" t="shared" ref="F71:F77" si="9">B71*E71</f>
        <v>216000000</v>
      </c>
      <c r="G71" s="5">
        <f ca="1" t="shared" si="5"/>
        <v>1051584000</v>
      </c>
      <c r="H71" s="1">
        <f ca="1">D71*控制台!$E$3067</f>
        <v>4</v>
      </c>
      <c r="I71" s="1">
        <f ca="1" t="shared" ref="I71:I77" si="10">H71*B71</f>
        <v>120</v>
      </c>
      <c r="J71" s="5">
        <f ca="1" t="shared" si="6"/>
        <v>584.213333333333</v>
      </c>
      <c r="K71" s="1">
        <f ca="1">D71*控制台!$E$3071</f>
        <v>300</v>
      </c>
      <c r="L71" s="1">
        <f ca="1" t="shared" ref="L71:L77" si="11">K71*B71</f>
        <v>9000</v>
      </c>
      <c r="M71" s="5">
        <f ca="1" t="shared" si="7"/>
        <v>43816</v>
      </c>
      <c r="N71" s="1">
        <f ca="1">D71*控制台!$E$3075</f>
        <v>150</v>
      </c>
      <c r="O71" s="1">
        <f ca="1" t="shared" ref="O71:O77" si="12">N71*B71</f>
        <v>4500</v>
      </c>
      <c r="P71" s="5">
        <f ca="1" t="shared" si="8"/>
        <v>21908</v>
      </c>
    </row>
    <row r="72" spans="1:16">
      <c r="A72" s="12">
        <v>210</v>
      </c>
      <c r="B72" s="1">
        <f t="shared" ref="B72:B77" si="13">A72-A71</f>
        <v>30</v>
      </c>
      <c r="C72" s="1">
        <f ca="1">IF(控制台!C173="",INDIRECT(ADDRESS(ROW()-1,COLUMN())),控制台!C173)</f>
        <v>29</v>
      </c>
      <c r="D72" s="14">
        <f ca="1">OFFSET(控制台!$E$3099,MATCH(C72,控制台!$B$3099:$B$3131,1)-1,0)</f>
        <v>1</v>
      </c>
      <c r="E72" s="1">
        <f ca="1">D72*控制台!$E$3063</f>
        <v>7200000</v>
      </c>
      <c r="F72" s="1">
        <f ca="1" t="shared" si="9"/>
        <v>216000000</v>
      </c>
      <c r="G72" s="5">
        <f ca="1" t="shared" ref="G72:G77" si="14">G71+F72</f>
        <v>1267584000</v>
      </c>
      <c r="H72" s="1">
        <f ca="1">D72*控制台!$E$3067</f>
        <v>4</v>
      </c>
      <c r="I72" s="1">
        <f ca="1" t="shared" si="10"/>
        <v>120</v>
      </c>
      <c r="J72" s="5">
        <f ca="1" t="shared" ref="J72:J77" si="15">J71+I72</f>
        <v>704.213333333333</v>
      </c>
      <c r="K72" s="1">
        <f ca="1">D72*控制台!$E$3071</f>
        <v>300</v>
      </c>
      <c r="L72" s="1">
        <f ca="1" t="shared" si="11"/>
        <v>9000</v>
      </c>
      <c r="M72" s="5">
        <f ca="1" t="shared" ref="M72:M77" si="16">M71+L72</f>
        <v>52816</v>
      </c>
      <c r="N72" s="1">
        <f ca="1">D72*控制台!$E$3075</f>
        <v>150</v>
      </c>
      <c r="O72" s="1">
        <f ca="1" t="shared" si="12"/>
        <v>4500</v>
      </c>
      <c r="P72" s="5">
        <f ca="1" t="shared" ref="P72:P77" si="17">P71+O72</f>
        <v>26408</v>
      </c>
    </row>
    <row r="73" spans="1:16">
      <c r="A73" s="12">
        <v>240</v>
      </c>
      <c r="B73" s="1">
        <f t="shared" si="13"/>
        <v>30</v>
      </c>
      <c r="C73" s="1">
        <f ca="1">IF(控制台!C174="",INDIRECT(ADDRESS(ROW()-1,COLUMN())),控制台!C174)</f>
        <v>30</v>
      </c>
      <c r="D73" s="14">
        <f ca="1">OFFSET(控制台!$E$3099,MATCH(C73,控制台!$B$3099:$B$3131,1)-1,0)</f>
        <v>1</v>
      </c>
      <c r="E73" s="1">
        <f ca="1">D73*控制台!$E$3063</f>
        <v>7200000</v>
      </c>
      <c r="F73" s="1">
        <f ca="1" t="shared" si="9"/>
        <v>216000000</v>
      </c>
      <c r="G73" s="5">
        <f ca="1" t="shared" si="14"/>
        <v>1483584000</v>
      </c>
      <c r="H73" s="1">
        <f ca="1">D73*控制台!$E$3067</f>
        <v>4</v>
      </c>
      <c r="I73" s="1">
        <f ca="1" t="shared" si="10"/>
        <v>120</v>
      </c>
      <c r="J73" s="5">
        <f ca="1" t="shared" si="15"/>
        <v>824.213333333333</v>
      </c>
      <c r="K73" s="1">
        <f ca="1">D73*控制台!$E$3071</f>
        <v>300</v>
      </c>
      <c r="L73" s="1">
        <f ca="1" t="shared" si="11"/>
        <v>9000</v>
      </c>
      <c r="M73" s="5">
        <f ca="1" t="shared" si="16"/>
        <v>61816</v>
      </c>
      <c r="N73" s="1">
        <f ca="1">D73*控制台!$E$3075</f>
        <v>150</v>
      </c>
      <c r="O73" s="1">
        <f ca="1" t="shared" si="12"/>
        <v>4500</v>
      </c>
      <c r="P73" s="5">
        <f ca="1" t="shared" si="17"/>
        <v>30908</v>
      </c>
    </row>
    <row r="74" spans="1:16">
      <c r="A74" s="12">
        <v>270</v>
      </c>
      <c r="B74" s="1">
        <f t="shared" si="13"/>
        <v>30</v>
      </c>
      <c r="C74" s="1">
        <f ca="1">IF(控制台!C175="",INDIRECT(ADDRESS(ROW()-1,COLUMN())),控制台!C175)</f>
        <v>30</v>
      </c>
      <c r="D74" s="14">
        <f ca="1">OFFSET(控制台!$E$3099,MATCH(C74,控制台!$B$3099:$B$3131,1)-1,0)</f>
        <v>1</v>
      </c>
      <c r="E74" s="1">
        <f ca="1">D74*控制台!$E$3063</f>
        <v>7200000</v>
      </c>
      <c r="F74" s="1">
        <f ca="1" t="shared" si="9"/>
        <v>216000000</v>
      </c>
      <c r="G74" s="5">
        <f ca="1" t="shared" si="14"/>
        <v>1699584000</v>
      </c>
      <c r="H74" s="1">
        <f ca="1">D74*控制台!$E$3067</f>
        <v>4</v>
      </c>
      <c r="I74" s="1">
        <f ca="1" t="shared" si="10"/>
        <v>120</v>
      </c>
      <c r="J74" s="5">
        <f ca="1" t="shared" si="15"/>
        <v>944.213333333333</v>
      </c>
      <c r="K74" s="1">
        <f ca="1">D74*控制台!$E$3071</f>
        <v>300</v>
      </c>
      <c r="L74" s="1">
        <f ca="1" t="shared" si="11"/>
        <v>9000</v>
      </c>
      <c r="M74" s="5">
        <f ca="1" t="shared" si="16"/>
        <v>70816</v>
      </c>
      <c r="N74" s="1">
        <f ca="1">D74*控制台!$E$3075</f>
        <v>150</v>
      </c>
      <c r="O74" s="1">
        <f ca="1" t="shared" si="12"/>
        <v>4500</v>
      </c>
      <c r="P74" s="5">
        <f ca="1" t="shared" si="17"/>
        <v>35408</v>
      </c>
    </row>
    <row r="75" spans="1:16">
      <c r="A75" s="12">
        <v>300</v>
      </c>
      <c r="B75" s="1">
        <f t="shared" si="13"/>
        <v>30</v>
      </c>
      <c r="C75" s="1">
        <f ca="1">IF(控制台!C176="",INDIRECT(ADDRESS(ROW()-1,COLUMN())),控制台!C176)</f>
        <v>31</v>
      </c>
      <c r="D75" s="14">
        <f ca="1">OFFSET(控制台!$E$3099,MATCH(C75,控制台!$B$3099:$B$3131,1)-1,0)</f>
        <v>1</v>
      </c>
      <c r="E75" s="1">
        <f ca="1">D75*控制台!$E$3063</f>
        <v>7200000</v>
      </c>
      <c r="F75" s="1">
        <f ca="1" t="shared" si="9"/>
        <v>216000000</v>
      </c>
      <c r="G75" s="5">
        <f ca="1" t="shared" si="14"/>
        <v>1915584000</v>
      </c>
      <c r="H75" s="1">
        <f ca="1">D75*控制台!$E$3067</f>
        <v>4</v>
      </c>
      <c r="I75" s="1">
        <f ca="1" t="shared" si="10"/>
        <v>120</v>
      </c>
      <c r="J75" s="5">
        <f ca="1" t="shared" si="15"/>
        <v>1064.21333333333</v>
      </c>
      <c r="K75" s="1">
        <f ca="1">D75*控制台!$E$3071</f>
        <v>300</v>
      </c>
      <c r="L75" s="1">
        <f ca="1" t="shared" si="11"/>
        <v>9000</v>
      </c>
      <c r="M75" s="5">
        <f ca="1" t="shared" si="16"/>
        <v>79816</v>
      </c>
      <c r="N75" s="1">
        <f ca="1">D75*控制台!$E$3075</f>
        <v>150</v>
      </c>
      <c r="O75" s="1">
        <f ca="1" t="shared" si="12"/>
        <v>4500</v>
      </c>
      <c r="P75" s="5">
        <f ca="1" t="shared" si="17"/>
        <v>39908</v>
      </c>
    </row>
    <row r="76" spans="1:16">
      <c r="A76" s="12">
        <v>330</v>
      </c>
      <c r="B76" s="1">
        <f t="shared" si="13"/>
        <v>30</v>
      </c>
      <c r="C76" s="1">
        <f ca="1">IF(控制台!C177="",INDIRECT(ADDRESS(ROW()-1,COLUMN())),控制台!C177)</f>
        <v>31</v>
      </c>
      <c r="D76" s="14">
        <f ca="1">OFFSET(控制台!$E$3099,MATCH(C76,控制台!$B$3099:$B$3131,1)-1,0)</f>
        <v>1</v>
      </c>
      <c r="E76" s="1">
        <f ca="1">D76*控制台!$E$3063</f>
        <v>7200000</v>
      </c>
      <c r="F76" s="1">
        <f ca="1" t="shared" si="9"/>
        <v>216000000</v>
      </c>
      <c r="G76" s="5">
        <f ca="1" t="shared" si="14"/>
        <v>2131584000</v>
      </c>
      <c r="H76" s="1">
        <f ca="1">D76*控制台!$E$3067</f>
        <v>4</v>
      </c>
      <c r="I76" s="1">
        <f ca="1" t="shared" si="10"/>
        <v>120</v>
      </c>
      <c r="J76" s="5">
        <f ca="1" t="shared" si="15"/>
        <v>1184.21333333333</v>
      </c>
      <c r="K76" s="1">
        <f ca="1">D76*控制台!$E$3071</f>
        <v>300</v>
      </c>
      <c r="L76" s="1">
        <f ca="1" t="shared" si="11"/>
        <v>9000</v>
      </c>
      <c r="M76" s="5">
        <f ca="1" t="shared" si="16"/>
        <v>88816</v>
      </c>
      <c r="N76" s="1">
        <f ca="1">D76*控制台!$E$3075</f>
        <v>150</v>
      </c>
      <c r="O76" s="1">
        <f ca="1" t="shared" si="12"/>
        <v>4500</v>
      </c>
      <c r="P76" s="5">
        <f ca="1" t="shared" si="17"/>
        <v>44408</v>
      </c>
    </row>
    <row r="77" spans="1:16">
      <c r="A77" s="12">
        <v>360</v>
      </c>
      <c r="B77" s="1">
        <f t="shared" si="13"/>
        <v>30</v>
      </c>
      <c r="C77" s="1">
        <f ca="1">IF(控制台!C178="",INDIRECT(ADDRESS(ROW()-1,COLUMN())),控制台!C178)</f>
        <v>32</v>
      </c>
      <c r="D77" s="14">
        <f ca="1">OFFSET(控制台!$E$3099,MATCH(C77,控制台!$B$3099:$B$3131,1)-1,0)</f>
        <v>1</v>
      </c>
      <c r="E77" s="1">
        <f ca="1">D77*控制台!$E$3063</f>
        <v>7200000</v>
      </c>
      <c r="F77" s="1">
        <f ca="1" t="shared" si="9"/>
        <v>216000000</v>
      </c>
      <c r="G77" s="5">
        <f ca="1" t="shared" si="14"/>
        <v>2347584000</v>
      </c>
      <c r="H77" s="1">
        <f ca="1">D77*控制台!$E$3067</f>
        <v>4</v>
      </c>
      <c r="I77" s="1">
        <f ca="1" t="shared" si="10"/>
        <v>120</v>
      </c>
      <c r="J77" s="5">
        <f ca="1" t="shared" si="15"/>
        <v>1304.21333333333</v>
      </c>
      <c r="K77" s="1">
        <f ca="1">D77*控制台!$E$3071</f>
        <v>300</v>
      </c>
      <c r="L77" s="1">
        <f ca="1" t="shared" si="11"/>
        <v>9000</v>
      </c>
      <c r="M77" s="5">
        <f ca="1" t="shared" si="16"/>
        <v>97816</v>
      </c>
      <c r="N77" s="1">
        <f ca="1">D77*控制台!$E$3075</f>
        <v>150</v>
      </c>
      <c r="O77" s="1">
        <f ca="1" t="shared" si="12"/>
        <v>4500</v>
      </c>
      <c r="P77" s="5">
        <f ca="1" t="shared" si="17"/>
        <v>48908</v>
      </c>
    </row>
  </sheetData>
  <hyperlinks>
    <hyperlink ref="A1" location="控制台_207_空投" display="返回控制台_空投"/>
  </hyperlinks>
  <pageMargins left="0.699305555555556" right="0.699305555555556" top="0.75" bottom="0.75" header="0.3" footer="0.3"/>
  <pageSetup paperSize="9" orientation="portrait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08">
    <tabColor theme="9" tint="0.599993896298105"/>
  </sheetPr>
  <dimension ref="A1:AD341"/>
  <sheetViews>
    <sheetView zoomScale="70" zoomScaleNormal="70" workbookViewId="0">
      <selection activeCell="P33" sqref="P33"/>
    </sheetView>
  </sheetViews>
  <sheetFormatPr defaultColWidth="8.70967741935484" defaultRowHeight="13.1"/>
  <cols>
    <col min="1" max="1" width="9.62903225806452" style="1" customWidth="1"/>
    <col min="2" max="3" width="9.37903225806452" style="1" customWidth="1"/>
    <col min="4" max="4" width="9.62903225806452" style="1" customWidth="1"/>
    <col min="5" max="5" width="10.8790322580645" style="1" customWidth="1"/>
    <col min="6" max="6" width="10.75" style="1" customWidth="1"/>
    <col min="7" max="16384" width="9.62903225806452" style="1"/>
  </cols>
  <sheetData>
    <row r="1" spans="1:6">
      <c r="A1" s="3" t="s">
        <v>2978</v>
      </c>
      <c r="F1" s="4"/>
    </row>
    <row r="2" spans="6:6">
      <c r="F2" s="4"/>
    </row>
    <row r="3" s="2" customFormat="1" spans="1:1">
      <c r="A3" s="2" t="s">
        <v>2885</v>
      </c>
    </row>
    <row r="4" spans="6:6">
      <c r="F4" s="4"/>
    </row>
    <row r="5" spans="1:30">
      <c r="A5" s="1" t="s">
        <v>382</v>
      </c>
      <c r="B5" s="1" t="s">
        <v>2759</v>
      </c>
      <c r="C5" s="1" t="s">
        <v>1315</v>
      </c>
      <c r="D5" s="1" t="s">
        <v>1391</v>
      </c>
      <c r="E5" s="1" t="s">
        <v>2760</v>
      </c>
      <c r="F5" s="5" t="s">
        <v>864</v>
      </c>
      <c r="G5" s="1" t="s">
        <v>1392</v>
      </c>
      <c r="H5" s="1" t="s">
        <v>1193</v>
      </c>
      <c r="I5" s="5" t="s">
        <v>1664</v>
      </c>
      <c r="J5" s="1" t="s">
        <v>2979</v>
      </c>
      <c r="K5" s="1" t="s">
        <v>2980</v>
      </c>
      <c r="L5" s="5" t="s">
        <v>2981</v>
      </c>
      <c r="M5" s="1" t="s">
        <v>2932</v>
      </c>
      <c r="N5" s="1" t="s">
        <v>2929</v>
      </c>
      <c r="O5" s="5" t="s">
        <v>1649</v>
      </c>
      <c r="P5" s="1" t="s">
        <v>1393</v>
      </c>
      <c r="Q5" s="1" t="s">
        <v>2939</v>
      </c>
      <c r="R5" s="5" t="s">
        <v>2940</v>
      </c>
      <c r="S5" s="1" t="s">
        <v>1394</v>
      </c>
      <c r="T5" s="1" t="s">
        <v>2941</v>
      </c>
      <c r="U5" s="5" t="s">
        <v>1652</v>
      </c>
      <c r="V5" s="1" t="s">
        <v>2962</v>
      </c>
      <c r="W5" s="1" t="s">
        <v>2965</v>
      </c>
      <c r="X5" s="5" t="s">
        <v>2966</v>
      </c>
      <c r="Y5" s="1" t="s">
        <v>2967</v>
      </c>
      <c r="Z5" s="1" t="s">
        <v>2970</v>
      </c>
      <c r="AA5" s="5" t="s">
        <v>1659</v>
      </c>
      <c r="AB5" s="1" t="s">
        <v>2943</v>
      </c>
      <c r="AC5" s="1" t="s">
        <v>2944</v>
      </c>
      <c r="AD5" s="5" t="s">
        <v>1662</v>
      </c>
    </row>
    <row r="6" spans="1:30">
      <c r="A6" s="7">
        <v>0</v>
      </c>
      <c r="B6" s="1">
        <f>A6</f>
        <v>0</v>
      </c>
      <c r="C6" s="13">
        <f ca="1">IF(A6-1&lt;0,控制台!$C$3185,OFFSET(控制台!$C$3185,MATCH(A6-1,控制台!$B$3185:$B$3190,1)-1,0))</f>
        <v>0.1</v>
      </c>
      <c r="D6" s="1">
        <f ca="1">控制台!$E$3140*$C6</f>
        <v>138.24</v>
      </c>
      <c r="E6" s="1">
        <f ca="1">D6*$B6</f>
        <v>0</v>
      </c>
      <c r="F6" s="5">
        <f ca="1">E6</f>
        <v>0</v>
      </c>
      <c r="G6" s="1">
        <f ca="1">控制台!$E$3144*$C6</f>
        <v>0.15</v>
      </c>
      <c r="H6" s="1">
        <f ca="1">G6*$B6</f>
        <v>0</v>
      </c>
      <c r="I6" s="5">
        <f ca="1">H6</f>
        <v>0</v>
      </c>
      <c r="J6" s="1">
        <f ca="1">控制台!$E$3148*$C6</f>
        <v>30000</v>
      </c>
      <c r="K6" s="1">
        <f ca="1">J6*$B6</f>
        <v>0</v>
      </c>
      <c r="L6" s="5">
        <f ca="1">K6</f>
        <v>0</v>
      </c>
      <c r="M6" s="1">
        <f ca="1">控制台!$E$3152*$C6</f>
        <v>20</v>
      </c>
      <c r="N6" s="1">
        <f ca="1">M6*$B6</f>
        <v>0</v>
      </c>
      <c r="O6" s="5">
        <f ca="1">N6</f>
        <v>0</v>
      </c>
      <c r="P6" s="1">
        <f ca="1">控制台!$E$3156*$C6</f>
        <v>6</v>
      </c>
      <c r="Q6" s="1">
        <f ca="1">P6*$B6</f>
        <v>0</v>
      </c>
      <c r="R6" s="5">
        <f ca="1">Q6</f>
        <v>0</v>
      </c>
      <c r="S6" s="1">
        <f ca="1">控制台!$E$3160*$C6</f>
        <v>36</v>
      </c>
      <c r="T6" s="1">
        <f ca="1">S6*$B6</f>
        <v>0</v>
      </c>
      <c r="U6" s="5">
        <f ca="1">T6</f>
        <v>0</v>
      </c>
      <c r="V6" s="1">
        <f ca="1">控制台!$E$3168*$C6</f>
        <v>15000</v>
      </c>
      <c r="W6" s="1">
        <f ca="1">V6*$B6</f>
        <v>0</v>
      </c>
      <c r="X6" s="5">
        <f ca="1">W6</f>
        <v>0</v>
      </c>
      <c r="Y6" s="1">
        <f ca="1">控制台!$E$3172*$C6</f>
        <v>10</v>
      </c>
      <c r="Z6" s="1">
        <f ca="1">Y6*$B6</f>
        <v>0</v>
      </c>
      <c r="AA6" s="5">
        <f ca="1">Z6</f>
        <v>0</v>
      </c>
      <c r="AB6" s="1">
        <f ca="1">控制台!$E$3176*$C6</f>
        <v>3</v>
      </c>
      <c r="AC6" s="1">
        <f ca="1">AB6*$B6</f>
        <v>0</v>
      </c>
      <c r="AD6" s="5">
        <f ca="1">AC6</f>
        <v>0</v>
      </c>
    </row>
    <row r="7" spans="1:30">
      <c r="A7" s="7">
        <v>0.1</v>
      </c>
      <c r="B7" s="1">
        <f>A7-A6</f>
        <v>0.1</v>
      </c>
      <c r="C7" s="13">
        <f ca="1">IF(A7-1&lt;0,控制台!$C$3185,OFFSET(控制台!$C$3185,MATCH(A7-1,控制台!$B$3185:$B$3190,1)-1,0))</f>
        <v>0.1</v>
      </c>
      <c r="D7" s="1">
        <f ca="1">控制台!$E$3140*$C7</f>
        <v>138.24</v>
      </c>
      <c r="E7" s="1">
        <f ca="1" t="shared" ref="E7:E70" si="0">D7*$B7</f>
        <v>13.824</v>
      </c>
      <c r="F7" s="5">
        <f ca="1">F6+E7</f>
        <v>13.824</v>
      </c>
      <c r="G7" s="1">
        <f ca="1">控制台!$E$3144*$C7</f>
        <v>0.15</v>
      </c>
      <c r="H7" s="1">
        <f ca="1" t="shared" ref="H7:H70" si="1">G7*$B7</f>
        <v>0.015</v>
      </c>
      <c r="I7" s="5">
        <f ca="1">I6+H7</f>
        <v>0.015</v>
      </c>
      <c r="J7" s="1">
        <f ca="1">控制台!$E$3148*$C7</f>
        <v>30000</v>
      </c>
      <c r="K7" s="1">
        <f ca="1" t="shared" ref="K7:K70" si="2">J7*$B7</f>
        <v>3000</v>
      </c>
      <c r="L7" s="5">
        <f ca="1">L6+K7</f>
        <v>3000</v>
      </c>
      <c r="M7" s="1">
        <f ca="1">控制台!$E$3152*$C7</f>
        <v>20</v>
      </c>
      <c r="N7" s="1">
        <f ca="1" t="shared" ref="N7:N70" si="3">M7*$B7</f>
        <v>2</v>
      </c>
      <c r="O7" s="5">
        <f ca="1">O6+N7</f>
        <v>2</v>
      </c>
      <c r="P7" s="1">
        <f ca="1">控制台!$E$3156*$C7</f>
        <v>6</v>
      </c>
      <c r="Q7" s="1">
        <f ca="1" t="shared" ref="Q7:Q70" si="4">P7*$B7</f>
        <v>0.6</v>
      </c>
      <c r="R7" s="5">
        <f ca="1">R6+Q7</f>
        <v>0.6</v>
      </c>
      <c r="S7" s="1">
        <f ca="1">控制台!$E$3160*$C7</f>
        <v>36</v>
      </c>
      <c r="T7" s="1">
        <f ca="1" t="shared" ref="T7:T70" si="5">S7*$B7</f>
        <v>3.6</v>
      </c>
      <c r="U7" s="5">
        <f ca="1">U6+T7</f>
        <v>3.6</v>
      </c>
      <c r="V7" s="1">
        <f ca="1">控制台!$E$3168*$C7</f>
        <v>15000</v>
      </c>
      <c r="W7" s="1">
        <f ca="1" t="shared" ref="W7:W70" si="6">V7*$B7</f>
        <v>1500</v>
      </c>
      <c r="X7" s="5">
        <f ca="1">X6+W7</f>
        <v>1500</v>
      </c>
      <c r="Y7" s="1">
        <f ca="1">控制台!$E$3172*$C7</f>
        <v>10</v>
      </c>
      <c r="Z7" s="1">
        <f ca="1" t="shared" ref="Z7" si="7">Y7*$B7</f>
        <v>1</v>
      </c>
      <c r="AA7" s="5">
        <f ca="1">AA6+Z7</f>
        <v>1</v>
      </c>
      <c r="AB7" s="1">
        <f ca="1">控制台!$E$3176*$C7</f>
        <v>3</v>
      </c>
      <c r="AC7" s="1">
        <f ca="1" t="shared" ref="AC7" si="8">AB7*$B7</f>
        <v>0.3</v>
      </c>
      <c r="AD7" s="5">
        <f ca="1">AD6+AC7</f>
        <v>0.3</v>
      </c>
    </row>
    <row r="8" spans="1:30">
      <c r="A8" s="7">
        <v>0.2</v>
      </c>
      <c r="B8" s="1">
        <f t="shared" ref="B8:B71" si="9">A8-A7</f>
        <v>0.1</v>
      </c>
      <c r="C8" s="13">
        <f ca="1">IF(A8-1&lt;0,控制台!$C$3185,OFFSET(控制台!$C$3185,MATCH(A8-1,控制台!$B$3185:$B$3190,1)-1,0))</f>
        <v>0.1</v>
      </c>
      <c r="D8" s="1">
        <f ca="1">控制台!$E$3140*$C8</f>
        <v>138.24</v>
      </c>
      <c r="E8" s="1">
        <f ca="1" t="shared" si="0"/>
        <v>13.824</v>
      </c>
      <c r="F8" s="5">
        <f ca="1" t="shared" ref="F8:F71" si="10">F7+E8</f>
        <v>27.648</v>
      </c>
      <c r="G8" s="1">
        <f ca="1">控制台!$E$3144*$C8</f>
        <v>0.15</v>
      </c>
      <c r="H8" s="1">
        <f ca="1" t="shared" si="1"/>
        <v>0.015</v>
      </c>
      <c r="I8" s="5">
        <f ca="1" t="shared" ref="I8:I71" si="11">I7+H8</f>
        <v>0.03</v>
      </c>
      <c r="J8" s="1">
        <f ca="1">控制台!$E$3148*$C8</f>
        <v>30000</v>
      </c>
      <c r="K8" s="1">
        <f ca="1" t="shared" si="2"/>
        <v>3000</v>
      </c>
      <c r="L8" s="5">
        <f ca="1" t="shared" ref="L8:L71" si="12">L7+K8</f>
        <v>6000</v>
      </c>
      <c r="M8" s="1">
        <f ca="1">控制台!$E$3152*$C8</f>
        <v>20</v>
      </c>
      <c r="N8" s="1">
        <f ca="1" t="shared" si="3"/>
        <v>2</v>
      </c>
      <c r="O8" s="5">
        <f ca="1" t="shared" ref="O8:O71" si="13">O7+N8</f>
        <v>4</v>
      </c>
      <c r="P8" s="1">
        <f ca="1">控制台!$E$3156*$C8</f>
        <v>6</v>
      </c>
      <c r="Q8" s="1">
        <f ca="1" t="shared" si="4"/>
        <v>0.6</v>
      </c>
      <c r="R8" s="5">
        <f ca="1" t="shared" ref="R8:R71" si="14">R7+Q8</f>
        <v>1.2</v>
      </c>
      <c r="S8" s="1">
        <f ca="1">控制台!$E$3160*$C8</f>
        <v>36</v>
      </c>
      <c r="T8" s="1">
        <f ca="1" t="shared" si="5"/>
        <v>3.6</v>
      </c>
      <c r="U8" s="5">
        <f ca="1" t="shared" ref="U8:U71" si="15">U7+T8</f>
        <v>7.2</v>
      </c>
      <c r="V8" s="1">
        <f ca="1">控制台!$E$3168*$C8</f>
        <v>15000</v>
      </c>
      <c r="W8" s="1">
        <f ca="1" t="shared" si="6"/>
        <v>1500</v>
      </c>
      <c r="X8" s="5">
        <f ca="1" t="shared" ref="X8:X71" si="16">X7+W8</f>
        <v>3000</v>
      </c>
      <c r="Y8" s="1">
        <f ca="1">控制台!$E$3172*$C8</f>
        <v>10</v>
      </c>
      <c r="Z8" s="1">
        <f ca="1" t="shared" ref="Z8:Z71" si="17">Y8*$B8</f>
        <v>1</v>
      </c>
      <c r="AA8" s="5">
        <f ca="1" t="shared" ref="AA8:AA71" si="18">AA7+Z8</f>
        <v>2</v>
      </c>
      <c r="AB8" s="1">
        <f ca="1">控制台!$E$3176*$C8</f>
        <v>3</v>
      </c>
      <c r="AC8" s="1">
        <f ca="1" t="shared" ref="AC8:AC71" si="19">AB8*$B8</f>
        <v>0.3</v>
      </c>
      <c r="AD8" s="5">
        <f ca="1" t="shared" ref="AD8:AD71" si="20">AD7+AC8</f>
        <v>0.6</v>
      </c>
    </row>
    <row r="9" spans="1:30">
      <c r="A9" s="7">
        <v>0.3</v>
      </c>
      <c r="B9" s="1">
        <f t="shared" si="9"/>
        <v>0.1</v>
      </c>
      <c r="C9" s="13">
        <f ca="1">IF(A9-1&lt;0,控制台!$C$3185,OFFSET(控制台!$C$3185,MATCH(A9-1,控制台!$B$3185:$B$3190,1)-1,0))</f>
        <v>0.1</v>
      </c>
      <c r="D9" s="1">
        <f ca="1">控制台!$E$3140*$C9</f>
        <v>138.24</v>
      </c>
      <c r="E9" s="1">
        <f ca="1" t="shared" si="0"/>
        <v>13.824</v>
      </c>
      <c r="F9" s="5">
        <f ca="1" t="shared" si="10"/>
        <v>41.472</v>
      </c>
      <c r="G9" s="1">
        <f ca="1">控制台!$E$3144*$C9</f>
        <v>0.15</v>
      </c>
      <c r="H9" s="1">
        <f ca="1" t="shared" si="1"/>
        <v>0.015</v>
      </c>
      <c r="I9" s="5">
        <f ca="1" t="shared" si="11"/>
        <v>0.045</v>
      </c>
      <c r="J9" s="1">
        <f ca="1">控制台!$E$3148*$C9</f>
        <v>30000</v>
      </c>
      <c r="K9" s="1">
        <f ca="1" t="shared" si="2"/>
        <v>3000</v>
      </c>
      <c r="L9" s="5">
        <f ca="1" t="shared" si="12"/>
        <v>9000</v>
      </c>
      <c r="M9" s="1">
        <f ca="1">控制台!$E$3152*$C9</f>
        <v>20</v>
      </c>
      <c r="N9" s="1">
        <f ca="1" t="shared" si="3"/>
        <v>2</v>
      </c>
      <c r="O9" s="5">
        <f ca="1" t="shared" si="13"/>
        <v>6</v>
      </c>
      <c r="P9" s="1">
        <f ca="1">控制台!$E$3156*$C9</f>
        <v>6</v>
      </c>
      <c r="Q9" s="1">
        <f ca="1" t="shared" si="4"/>
        <v>0.6</v>
      </c>
      <c r="R9" s="5">
        <f ca="1" t="shared" si="14"/>
        <v>1.8</v>
      </c>
      <c r="S9" s="1">
        <f ca="1">控制台!$E$3160*$C9</f>
        <v>36</v>
      </c>
      <c r="T9" s="1">
        <f ca="1" t="shared" si="5"/>
        <v>3.6</v>
      </c>
      <c r="U9" s="5">
        <f ca="1" t="shared" si="15"/>
        <v>10.8</v>
      </c>
      <c r="V9" s="1">
        <f ca="1">控制台!$E$3168*$C9</f>
        <v>15000</v>
      </c>
      <c r="W9" s="1">
        <f ca="1" t="shared" si="6"/>
        <v>1500</v>
      </c>
      <c r="X9" s="5">
        <f ca="1" t="shared" si="16"/>
        <v>4500</v>
      </c>
      <c r="Y9" s="1">
        <f ca="1">控制台!$E$3172*$C9</f>
        <v>10</v>
      </c>
      <c r="Z9" s="1">
        <f ca="1" t="shared" si="17"/>
        <v>1</v>
      </c>
      <c r="AA9" s="5">
        <f ca="1" t="shared" si="18"/>
        <v>3</v>
      </c>
      <c r="AB9" s="1">
        <f ca="1">控制台!$E$3176*$C9</f>
        <v>3</v>
      </c>
      <c r="AC9" s="1">
        <f ca="1" t="shared" si="19"/>
        <v>0.3</v>
      </c>
      <c r="AD9" s="5">
        <f ca="1" t="shared" si="20"/>
        <v>0.9</v>
      </c>
    </row>
    <row r="10" spans="1:30">
      <c r="A10" s="7">
        <v>0.4</v>
      </c>
      <c r="B10" s="1">
        <f t="shared" si="9"/>
        <v>0.1</v>
      </c>
      <c r="C10" s="13">
        <f ca="1">IF(A10-1&lt;0,控制台!$C$3185,OFFSET(控制台!$C$3185,MATCH(A10-1,控制台!$B$3185:$B$3190,1)-1,0))</f>
        <v>0.1</v>
      </c>
      <c r="D10" s="1">
        <f ca="1">控制台!$E$3140*$C10</f>
        <v>138.24</v>
      </c>
      <c r="E10" s="1">
        <f ca="1" t="shared" si="0"/>
        <v>13.824</v>
      </c>
      <c r="F10" s="5">
        <f ca="1" t="shared" si="10"/>
        <v>55.296</v>
      </c>
      <c r="G10" s="1">
        <f ca="1">控制台!$E$3144*$C10</f>
        <v>0.15</v>
      </c>
      <c r="H10" s="1">
        <f ca="1" t="shared" si="1"/>
        <v>0.015</v>
      </c>
      <c r="I10" s="5">
        <f ca="1" t="shared" si="11"/>
        <v>0.06</v>
      </c>
      <c r="J10" s="1">
        <f ca="1">控制台!$E$3148*$C10</f>
        <v>30000</v>
      </c>
      <c r="K10" s="1">
        <f ca="1" t="shared" si="2"/>
        <v>3000</v>
      </c>
      <c r="L10" s="5">
        <f ca="1" t="shared" si="12"/>
        <v>12000</v>
      </c>
      <c r="M10" s="1">
        <f ca="1">控制台!$E$3152*$C10</f>
        <v>20</v>
      </c>
      <c r="N10" s="1">
        <f ca="1" t="shared" si="3"/>
        <v>2</v>
      </c>
      <c r="O10" s="5">
        <f ca="1" t="shared" si="13"/>
        <v>8</v>
      </c>
      <c r="P10" s="1">
        <f ca="1">控制台!$E$3156*$C10</f>
        <v>6</v>
      </c>
      <c r="Q10" s="1">
        <f ca="1" t="shared" si="4"/>
        <v>0.6</v>
      </c>
      <c r="R10" s="5">
        <f ca="1" t="shared" si="14"/>
        <v>2.4</v>
      </c>
      <c r="S10" s="1">
        <f ca="1">控制台!$E$3160*$C10</f>
        <v>36</v>
      </c>
      <c r="T10" s="1">
        <f ca="1" t="shared" si="5"/>
        <v>3.6</v>
      </c>
      <c r="U10" s="5">
        <f ca="1" t="shared" si="15"/>
        <v>14.4</v>
      </c>
      <c r="V10" s="1">
        <f ca="1">控制台!$E$3168*$C10</f>
        <v>15000</v>
      </c>
      <c r="W10" s="1">
        <f ca="1" t="shared" si="6"/>
        <v>1500</v>
      </c>
      <c r="X10" s="5">
        <f ca="1" t="shared" si="16"/>
        <v>6000</v>
      </c>
      <c r="Y10" s="1">
        <f ca="1">控制台!$E$3172*$C10</f>
        <v>10</v>
      </c>
      <c r="Z10" s="1">
        <f ca="1" t="shared" si="17"/>
        <v>1</v>
      </c>
      <c r="AA10" s="5">
        <f ca="1" t="shared" si="18"/>
        <v>4</v>
      </c>
      <c r="AB10" s="1">
        <f ca="1">控制台!$E$3176*$C10</f>
        <v>3</v>
      </c>
      <c r="AC10" s="1">
        <f ca="1" t="shared" si="19"/>
        <v>0.3</v>
      </c>
      <c r="AD10" s="5">
        <f ca="1" t="shared" si="20"/>
        <v>1.2</v>
      </c>
    </row>
    <row r="11" spans="1:30">
      <c r="A11" s="7">
        <v>0.5</v>
      </c>
      <c r="B11" s="1">
        <f t="shared" si="9"/>
        <v>0.1</v>
      </c>
      <c r="C11" s="13">
        <f ca="1">IF(A11-1&lt;0,控制台!$C$3185,OFFSET(控制台!$C$3185,MATCH(A11-1,控制台!$B$3185:$B$3190,1)-1,0))</f>
        <v>0.1</v>
      </c>
      <c r="D11" s="1">
        <f ca="1">控制台!$E$3140*$C11</f>
        <v>138.24</v>
      </c>
      <c r="E11" s="1">
        <f ca="1" t="shared" si="0"/>
        <v>13.824</v>
      </c>
      <c r="F11" s="5">
        <f ca="1" t="shared" si="10"/>
        <v>69.12</v>
      </c>
      <c r="G11" s="1">
        <f ca="1">控制台!$E$3144*$C11</f>
        <v>0.15</v>
      </c>
      <c r="H11" s="1">
        <f ca="1" t="shared" si="1"/>
        <v>0.015</v>
      </c>
      <c r="I11" s="5">
        <f ca="1" t="shared" si="11"/>
        <v>0.075</v>
      </c>
      <c r="J11" s="1">
        <f ca="1">控制台!$E$3148*$C11</f>
        <v>30000</v>
      </c>
      <c r="K11" s="1">
        <f ca="1" t="shared" si="2"/>
        <v>3000</v>
      </c>
      <c r="L11" s="5">
        <f ca="1" t="shared" si="12"/>
        <v>15000</v>
      </c>
      <c r="M11" s="1">
        <f ca="1">控制台!$E$3152*$C11</f>
        <v>20</v>
      </c>
      <c r="N11" s="1">
        <f ca="1" t="shared" si="3"/>
        <v>2</v>
      </c>
      <c r="O11" s="5">
        <f ca="1" t="shared" si="13"/>
        <v>10</v>
      </c>
      <c r="P11" s="1">
        <f ca="1">控制台!$E$3156*$C11</f>
        <v>6</v>
      </c>
      <c r="Q11" s="1">
        <f ca="1" t="shared" si="4"/>
        <v>0.6</v>
      </c>
      <c r="R11" s="5">
        <f ca="1" t="shared" si="14"/>
        <v>3</v>
      </c>
      <c r="S11" s="1">
        <f ca="1">控制台!$E$3160*$C11</f>
        <v>36</v>
      </c>
      <c r="T11" s="1">
        <f ca="1" t="shared" si="5"/>
        <v>3.6</v>
      </c>
      <c r="U11" s="5">
        <f ca="1" t="shared" si="15"/>
        <v>18</v>
      </c>
      <c r="V11" s="1">
        <f ca="1">控制台!$E$3168*$C11</f>
        <v>15000</v>
      </c>
      <c r="W11" s="1">
        <f ca="1" t="shared" si="6"/>
        <v>1500</v>
      </c>
      <c r="X11" s="5">
        <f ca="1" t="shared" si="16"/>
        <v>7500</v>
      </c>
      <c r="Y11" s="1">
        <f ca="1">控制台!$E$3172*$C11</f>
        <v>10</v>
      </c>
      <c r="Z11" s="1">
        <f ca="1" t="shared" si="17"/>
        <v>1</v>
      </c>
      <c r="AA11" s="5">
        <f ca="1" t="shared" si="18"/>
        <v>5</v>
      </c>
      <c r="AB11" s="1">
        <f ca="1">控制台!$E$3176*$C11</f>
        <v>3</v>
      </c>
      <c r="AC11" s="1">
        <f ca="1" t="shared" si="19"/>
        <v>0.3</v>
      </c>
      <c r="AD11" s="5">
        <f ca="1" t="shared" si="20"/>
        <v>1.5</v>
      </c>
    </row>
    <row r="12" spans="1:30">
      <c r="A12" s="7">
        <v>0.6</v>
      </c>
      <c r="B12" s="1">
        <f t="shared" si="9"/>
        <v>0.1</v>
      </c>
      <c r="C12" s="13">
        <f ca="1">IF(A12-1&lt;0,控制台!$C$3185,OFFSET(控制台!$C$3185,MATCH(A12-1,控制台!$B$3185:$B$3190,1)-1,0))</f>
        <v>0.1</v>
      </c>
      <c r="D12" s="1">
        <f ca="1">控制台!$E$3140*$C12</f>
        <v>138.24</v>
      </c>
      <c r="E12" s="1">
        <f ca="1" t="shared" si="0"/>
        <v>13.824</v>
      </c>
      <c r="F12" s="5">
        <f ca="1" t="shared" si="10"/>
        <v>82.944</v>
      </c>
      <c r="G12" s="1">
        <f ca="1">控制台!$E$3144*$C12</f>
        <v>0.15</v>
      </c>
      <c r="H12" s="1">
        <f ca="1" t="shared" si="1"/>
        <v>0.015</v>
      </c>
      <c r="I12" s="5">
        <f ca="1" t="shared" si="11"/>
        <v>0.09</v>
      </c>
      <c r="J12" s="1">
        <f ca="1">控制台!$E$3148*$C12</f>
        <v>30000</v>
      </c>
      <c r="K12" s="1">
        <f ca="1" t="shared" si="2"/>
        <v>3000</v>
      </c>
      <c r="L12" s="5">
        <f ca="1" t="shared" si="12"/>
        <v>18000</v>
      </c>
      <c r="M12" s="1">
        <f ca="1">控制台!$E$3152*$C12</f>
        <v>20</v>
      </c>
      <c r="N12" s="1">
        <f ca="1" t="shared" si="3"/>
        <v>2</v>
      </c>
      <c r="O12" s="5">
        <f ca="1" t="shared" si="13"/>
        <v>12</v>
      </c>
      <c r="P12" s="1">
        <f ca="1">控制台!$E$3156*$C12</f>
        <v>6</v>
      </c>
      <c r="Q12" s="1">
        <f ca="1" t="shared" si="4"/>
        <v>0.6</v>
      </c>
      <c r="R12" s="5">
        <f ca="1" t="shared" si="14"/>
        <v>3.6</v>
      </c>
      <c r="S12" s="1">
        <f ca="1">控制台!$E$3160*$C12</f>
        <v>36</v>
      </c>
      <c r="T12" s="1">
        <f ca="1" t="shared" si="5"/>
        <v>3.6</v>
      </c>
      <c r="U12" s="5">
        <f ca="1" t="shared" si="15"/>
        <v>21.6</v>
      </c>
      <c r="V12" s="1">
        <f ca="1">控制台!$E$3168*$C12</f>
        <v>15000</v>
      </c>
      <c r="W12" s="1">
        <f ca="1" t="shared" si="6"/>
        <v>1500</v>
      </c>
      <c r="X12" s="5">
        <f ca="1" t="shared" si="16"/>
        <v>9000</v>
      </c>
      <c r="Y12" s="1">
        <f ca="1">控制台!$E$3172*$C12</f>
        <v>10</v>
      </c>
      <c r="Z12" s="1">
        <f ca="1" t="shared" si="17"/>
        <v>1</v>
      </c>
      <c r="AA12" s="5">
        <f ca="1" t="shared" si="18"/>
        <v>6</v>
      </c>
      <c r="AB12" s="1">
        <f ca="1">控制台!$E$3176*$C12</f>
        <v>3</v>
      </c>
      <c r="AC12" s="1">
        <f ca="1" t="shared" si="19"/>
        <v>0.3</v>
      </c>
      <c r="AD12" s="5">
        <f ca="1" t="shared" si="20"/>
        <v>1.8</v>
      </c>
    </row>
    <row r="13" spans="1:30">
      <c r="A13" s="7">
        <v>0.7</v>
      </c>
      <c r="B13" s="1">
        <f t="shared" si="9"/>
        <v>0.1</v>
      </c>
      <c r="C13" s="13">
        <f ca="1">IF(A13-1&lt;0,控制台!$C$3185,OFFSET(控制台!$C$3185,MATCH(A13-1,控制台!$B$3185:$B$3190,1)-1,0))</f>
        <v>0.1</v>
      </c>
      <c r="D13" s="1">
        <f ca="1">控制台!$E$3140*$C13</f>
        <v>138.24</v>
      </c>
      <c r="E13" s="1">
        <f ca="1" t="shared" si="0"/>
        <v>13.824</v>
      </c>
      <c r="F13" s="5">
        <f ca="1" t="shared" si="10"/>
        <v>96.768</v>
      </c>
      <c r="G13" s="1">
        <f ca="1">控制台!$E$3144*$C13</f>
        <v>0.15</v>
      </c>
      <c r="H13" s="1">
        <f ca="1" t="shared" si="1"/>
        <v>0.015</v>
      </c>
      <c r="I13" s="5">
        <f ca="1" t="shared" si="11"/>
        <v>0.105</v>
      </c>
      <c r="J13" s="1">
        <f ca="1">控制台!$E$3148*$C13</f>
        <v>30000</v>
      </c>
      <c r="K13" s="1">
        <f ca="1" t="shared" si="2"/>
        <v>3000</v>
      </c>
      <c r="L13" s="5">
        <f ca="1" t="shared" si="12"/>
        <v>21000</v>
      </c>
      <c r="M13" s="1">
        <f ca="1">控制台!$E$3152*$C13</f>
        <v>20</v>
      </c>
      <c r="N13" s="1">
        <f ca="1" t="shared" si="3"/>
        <v>2</v>
      </c>
      <c r="O13" s="5">
        <f ca="1" t="shared" si="13"/>
        <v>14</v>
      </c>
      <c r="P13" s="1">
        <f ca="1">控制台!$E$3156*$C13</f>
        <v>6</v>
      </c>
      <c r="Q13" s="1">
        <f ca="1" t="shared" si="4"/>
        <v>0.6</v>
      </c>
      <c r="R13" s="5">
        <f ca="1" t="shared" si="14"/>
        <v>4.2</v>
      </c>
      <c r="S13" s="1">
        <f ca="1">控制台!$E$3160*$C13</f>
        <v>36</v>
      </c>
      <c r="T13" s="1">
        <f ca="1" t="shared" si="5"/>
        <v>3.6</v>
      </c>
      <c r="U13" s="5">
        <f ca="1" t="shared" si="15"/>
        <v>25.2</v>
      </c>
      <c r="V13" s="1">
        <f ca="1">控制台!$E$3168*$C13</f>
        <v>15000</v>
      </c>
      <c r="W13" s="1">
        <f ca="1" t="shared" si="6"/>
        <v>1500</v>
      </c>
      <c r="X13" s="5">
        <f ca="1" t="shared" si="16"/>
        <v>10500</v>
      </c>
      <c r="Y13" s="1">
        <f ca="1">控制台!$E$3172*$C13</f>
        <v>10</v>
      </c>
      <c r="Z13" s="1">
        <f ca="1" t="shared" si="17"/>
        <v>1</v>
      </c>
      <c r="AA13" s="5">
        <f ca="1" t="shared" si="18"/>
        <v>7</v>
      </c>
      <c r="AB13" s="1">
        <f ca="1">控制台!$E$3176*$C13</f>
        <v>3</v>
      </c>
      <c r="AC13" s="1">
        <f ca="1" t="shared" si="19"/>
        <v>0.3</v>
      </c>
      <c r="AD13" s="5">
        <f ca="1" t="shared" si="20"/>
        <v>2.1</v>
      </c>
    </row>
    <row r="14" spans="1:30">
      <c r="A14" s="7">
        <v>0.8</v>
      </c>
      <c r="B14" s="1">
        <f t="shared" si="9"/>
        <v>0.1</v>
      </c>
      <c r="C14" s="13">
        <f ca="1">IF(A14-1&lt;0,控制台!$C$3185,OFFSET(控制台!$C$3185,MATCH(A14-1,控制台!$B$3185:$B$3190,1)-1,0))</f>
        <v>0.1</v>
      </c>
      <c r="D14" s="1">
        <f ca="1">控制台!$E$3140*$C14</f>
        <v>138.24</v>
      </c>
      <c r="E14" s="1">
        <f ca="1" t="shared" si="0"/>
        <v>13.824</v>
      </c>
      <c r="F14" s="5">
        <f ca="1" t="shared" si="10"/>
        <v>110.592</v>
      </c>
      <c r="G14" s="1">
        <f ca="1">控制台!$E$3144*$C14</f>
        <v>0.15</v>
      </c>
      <c r="H14" s="1">
        <f ca="1" t="shared" si="1"/>
        <v>0.015</v>
      </c>
      <c r="I14" s="5">
        <f ca="1" t="shared" si="11"/>
        <v>0.12</v>
      </c>
      <c r="J14" s="1">
        <f ca="1">控制台!$E$3148*$C14</f>
        <v>30000</v>
      </c>
      <c r="K14" s="1">
        <f ca="1" t="shared" si="2"/>
        <v>3000</v>
      </c>
      <c r="L14" s="5">
        <f ca="1" t="shared" si="12"/>
        <v>24000</v>
      </c>
      <c r="M14" s="1">
        <f ca="1">控制台!$E$3152*$C14</f>
        <v>20</v>
      </c>
      <c r="N14" s="1">
        <f ca="1" t="shared" si="3"/>
        <v>2</v>
      </c>
      <c r="O14" s="5">
        <f ca="1" t="shared" si="13"/>
        <v>16</v>
      </c>
      <c r="P14" s="1">
        <f ca="1">控制台!$E$3156*$C14</f>
        <v>6</v>
      </c>
      <c r="Q14" s="1">
        <f ca="1" t="shared" si="4"/>
        <v>0.6</v>
      </c>
      <c r="R14" s="5">
        <f ca="1" t="shared" si="14"/>
        <v>4.8</v>
      </c>
      <c r="S14" s="1">
        <f ca="1">控制台!$E$3160*$C14</f>
        <v>36</v>
      </c>
      <c r="T14" s="1">
        <f ca="1" t="shared" si="5"/>
        <v>3.6</v>
      </c>
      <c r="U14" s="5">
        <f ca="1" t="shared" si="15"/>
        <v>28.8</v>
      </c>
      <c r="V14" s="1">
        <f ca="1">控制台!$E$3168*$C14</f>
        <v>15000</v>
      </c>
      <c r="W14" s="1">
        <f ca="1" t="shared" si="6"/>
        <v>1500</v>
      </c>
      <c r="X14" s="5">
        <f ca="1" t="shared" si="16"/>
        <v>12000</v>
      </c>
      <c r="Y14" s="1">
        <f ca="1">控制台!$E$3172*$C14</f>
        <v>10</v>
      </c>
      <c r="Z14" s="1">
        <f ca="1" t="shared" si="17"/>
        <v>1</v>
      </c>
      <c r="AA14" s="5">
        <f ca="1" t="shared" si="18"/>
        <v>8</v>
      </c>
      <c r="AB14" s="1">
        <f ca="1">控制台!$E$3176*$C14</f>
        <v>3</v>
      </c>
      <c r="AC14" s="1">
        <f ca="1" t="shared" si="19"/>
        <v>0.3</v>
      </c>
      <c r="AD14" s="5">
        <f ca="1" t="shared" si="20"/>
        <v>2.4</v>
      </c>
    </row>
    <row r="15" spans="1:30">
      <c r="A15" s="7">
        <v>0.9</v>
      </c>
      <c r="B15" s="1">
        <f t="shared" si="9"/>
        <v>0.1</v>
      </c>
      <c r="C15" s="13">
        <f ca="1">IF(A15-1&lt;0,控制台!$C$3185,OFFSET(控制台!$C$3185,MATCH(A15-1,控制台!$B$3185:$B$3190,1)-1,0))</f>
        <v>0.1</v>
      </c>
      <c r="D15" s="1">
        <f ca="1">控制台!$E$3140*$C15</f>
        <v>138.24</v>
      </c>
      <c r="E15" s="1">
        <f ca="1" t="shared" si="0"/>
        <v>13.824</v>
      </c>
      <c r="F15" s="5">
        <f ca="1" t="shared" si="10"/>
        <v>124.416</v>
      </c>
      <c r="G15" s="1">
        <f ca="1">控制台!$E$3144*$C15</f>
        <v>0.15</v>
      </c>
      <c r="H15" s="1">
        <f ca="1" t="shared" si="1"/>
        <v>0.015</v>
      </c>
      <c r="I15" s="5">
        <f ca="1" t="shared" si="11"/>
        <v>0.135</v>
      </c>
      <c r="J15" s="1">
        <f ca="1">控制台!$E$3148*$C15</f>
        <v>30000</v>
      </c>
      <c r="K15" s="1">
        <f ca="1" t="shared" si="2"/>
        <v>3000</v>
      </c>
      <c r="L15" s="5">
        <f ca="1" t="shared" si="12"/>
        <v>27000</v>
      </c>
      <c r="M15" s="1">
        <f ca="1">控制台!$E$3152*$C15</f>
        <v>20</v>
      </c>
      <c r="N15" s="1">
        <f ca="1" t="shared" si="3"/>
        <v>2</v>
      </c>
      <c r="O15" s="5">
        <f ca="1" t="shared" si="13"/>
        <v>18</v>
      </c>
      <c r="P15" s="1">
        <f ca="1">控制台!$E$3156*$C15</f>
        <v>6</v>
      </c>
      <c r="Q15" s="1">
        <f ca="1" t="shared" si="4"/>
        <v>0.6</v>
      </c>
      <c r="R15" s="5">
        <f ca="1" t="shared" si="14"/>
        <v>5.4</v>
      </c>
      <c r="S15" s="1">
        <f ca="1">控制台!$E$3160*$C15</f>
        <v>36</v>
      </c>
      <c r="T15" s="1">
        <f ca="1" t="shared" si="5"/>
        <v>3.6</v>
      </c>
      <c r="U15" s="5">
        <f ca="1" t="shared" si="15"/>
        <v>32.4</v>
      </c>
      <c r="V15" s="1">
        <f ca="1">控制台!$E$3168*$C15</f>
        <v>15000</v>
      </c>
      <c r="W15" s="1">
        <f ca="1" t="shared" si="6"/>
        <v>1500</v>
      </c>
      <c r="X15" s="5">
        <f ca="1" t="shared" si="16"/>
        <v>13500</v>
      </c>
      <c r="Y15" s="1">
        <f ca="1">控制台!$E$3172*$C15</f>
        <v>10</v>
      </c>
      <c r="Z15" s="1">
        <f ca="1" t="shared" si="17"/>
        <v>1</v>
      </c>
      <c r="AA15" s="5">
        <f ca="1" t="shared" si="18"/>
        <v>9</v>
      </c>
      <c r="AB15" s="1">
        <f ca="1">控制台!$E$3176*$C15</f>
        <v>3</v>
      </c>
      <c r="AC15" s="1">
        <f ca="1" t="shared" si="19"/>
        <v>0.3</v>
      </c>
      <c r="AD15" s="5">
        <f ca="1" t="shared" si="20"/>
        <v>2.7</v>
      </c>
    </row>
    <row r="16" spans="1:30">
      <c r="A16" s="7">
        <v>1</v>
      </c>
      <c r="B16" s="1">
        <f t="shared" si="9"/>
        <v>0.1</v>
      </c>
      <c r="C16" s="13">
        <f ca="1">IF(A16-1&lt;0,控制台!$C$3185,OFFSET(控制台!$C$3185,MATCH(A16-1,控制台!$B$3185:$B$3190,1)-1,0))</f>
        <v>0.1</v>
      </c>
      <c r="D16" s="1">
        <f ca="1">控制台!$E$3140*$C16</f>
        <v>138.24</v>
      </c>
      <c r="E16" s="1">
        <f ca="1" t="shared" si="0"/>
        <v>13.824</v>
      </c>
      <c r="F16" s="5">
        <f ca="1" t="shared" si="10"/>
        <v>138.24</v>
      </c>
      <c r="G16" s="1">
        <f ca="1">控制台!$E$3144*$C16</f>
        <v>0.15</v>
      </c>
      <c r="H16" s="1">
        <f ca="1" t="shared" si="1"/>
        <v>0.015</v>
      </c>
      <c r="I16" s="5">
        <f ca="1" t="shared" si="11"/>
        <v>0.15</v>
      </c>
      <c r="J16" s="1">
        <f ca="1">控制台!$E$3148*$C16</f>
        <v>30000</v>
      </c>
      <c r="K16" s="1">
        <f ca="1" t="shared" si="2"/>
        <v>3000</v>
      </c>
      <c r="L16" s="5">
        <f ca="1" t="shared" si="12"/>
        <v>30000</v>
      </c>
      <c r="M16" s="1">
        <f ca="1">控制台!$E$3152*$C16</f>
        <v>20</v>
      </c>
      <c r="N16" s="1">
        <f ca="1" t="shared" si="3"/>
        <v>2</v>
      </c>
      <c r="O16" s="5">
        <f ca="1" t="shared" si="13"/>
        <v>20</v>
      </c>
      <c r="P16" s="1">
        <f ca="1">控制台!$E$3156*$C16</f>
        <v>6</v>
      </c>
      <c r="Q16" s="1">
        <f ca="1" t="shared" si="4"/>
        <v>0.6</v>
      </c>
      <c r="R16" s="5">
        <f ca="1" t="shared" si="14"/>
        <v>6</v>
      </c>
      <c r="S16" s="1">
        <f ca="1">控制台!$E$3160*$C16</f>
        <v>36</v>
      </c>
      <c r="T16" s="1">
        <f ca="1" t="shared" si="5"/>
        <v>3.6</v>
      </c>
      <c r="U16" s="5">
        <f ca="1" t="shared" si="15"/>
        <v>36</v>
      </c>
      <c r="V16" s="1">
        <f ca="1">控制台!$E$3168*$C16</f>
        <v>15000</v>
      </c>
      <c r="W16" s="1">
        <f ca="1" t="shared" si="6"/>
        <v>1500</v>
      </c>
      <c r="X16" s="5">
        <f ca="1" t="shared" si="16"/>
        <v>15000</v>
      </c>
      <c r="Y16" s="1">
        <f ca="1">控制台!$E$3172*$C16</f>
        <v>10</v>
      </c>
      <c r="Z16" s="1">
        <f ca="1" t="shared" si="17"/>
        <v>1</v>
      </c>
      <c r="AA16" s="5">
        <f ca="1" t="shared" si="18"/>
        <v>10</v>
      </c>
      <c r="AB16" s="1">
        <f ca="1">控制台!$E$3176*$C16</f>
        <v>3</v>
      </c>
      <c r="AC16" s="1">
        <f ca="1" t="shared" si="19"/>
        <v>0.3</v>
      </c>
      <c r="AD16" s="5">
        <f ca="1" t="shared" si="20"/>
        <v>3</v>
      </c>
    </row>
    <row r="17" spans="1:30">
      <c r="A17" s="9">
        <v>1.5</v>
      </c>
      <c r="B17" s="1">
        <f t="shared" si="9"/>
        <v>0.5</v>
      </c>
      <c r="C17" s="13">
        <f ca="1">IF(A17-1&lt;0,控制台!$C$3185,OFFSET(控制台!$C$3185,MATCH(A17-1,控制台!$B$3185:$B$3190,1)-1,0))</f>
        <v>0.1</v>
      </c>
      <c r="D17" s="1">
        <f ca="1">控制台!$E$3140*$C17</f>
        <v>138.24</v>
      </c>
      <c r="E17" s="1">
        <f ca="1" t="shared" si="0"/>
        <v>69.12</v>
      </c>
      <c r="F17" s="5">
        <f ca="1" t="shared" si="10"/>
        <v>207.36</v>
      </c>
      <c r="G17" s="1">
        <f ca="1">控制台!$E$3144*$C17</f>
        <v>0.15</v>
      </c>
      <c r="H17" s="1">
        <f ca="1" t="shared" si="1"/>
        <v>0.075</v>
      </c>
      <c r="I17" s="5">
        <f ca="1" t="shared" si="11"/>
        <v>0.225</v>
      </c>
      <c r="J17" s="1">
        <f ca="1">控制台!$E$3148*$C17</f>
        <v>30000</v>
      </c>
      <c r="K17" s="1">
        <f ca="1" t="shared" si="2"/>
        <v>15000</v>
      </c>
      <c r="L17" s="5">
        <f ca="1" t="shared" si="12"/>
        <v>45000</v>
      </c>
      <c r="M17" s="1">
        <f ca="1">控制台!$E$3152*$C17</f>
        <v>20</v>
      </c>
      <c r="N17" s="1">
        <f ca="1" t="shared" si="3"/>
        <v>10</v>
      </c>
      <c r="O17" s="5">
        <f ca="1" t="shared" si="13"/>
        <v>30</v>
      </c>
      <c r="P17" s="1">
        <f ca="1">控制台!$E$3156*$C17</f>
        <v>6</v>
      </c>
      <c r="Q17" s="1">
        <f ca="1" t="shared" si="4"/>
        <v>3</v>
      </c>
      <c r="R17" s="5">
        <f ca="1" t="shared" si="14"/>
        <v>9</v>
      </c>
      <c r="S17" s="1">
        <f ca="1">控制台!$E$3160*$C17</f>
        <v>36</v>
      </c>
      <c r="T17" s="1">
        <f ca="1" t="shared" si="5"/>
        <v>18</v>
      </c>
      <c r="U17" s="5">
        <f ca="1" t="shared" si="15"/>
        <v>54</v>
      </c>
      <c r="V17" s="1">
        <f ca="1">控制台!$E$3168*$C17</f>
        <v>15000</v>
      </c>
      <c r="W17" s="1">
        <f ca="1" t="shared" si="6"/>
        <v>7500</v>
      </c>
      <c r="X17" s="5">
        <f ca="1" t="shared" si="16"/>
        <v>22500</v>
      </c>
      <c r="Y17" s="1">
        <f ca="1">控制台!$E$3172*$C17</f>
        <v>10</v>
      </c>
      <c r="Z17" s="1">
        <f ca="1" t="shared" si="17"/>
        <v>5</v>
      </c>
      <c r="AA17" s="5">
        <f ca="1" t="shared" si="18"/>
        <v>15</v>
      </c>
      <c r="AB17" s="1">
        <f ca="1">控制台!$E$3176*$C17</f>
        <v>3</v>
      </c>
      <c r="AC17" s="1">
        <f ca="1" t="shared" si="19"/>
        <v>1.5</v>
      </c>
      <c r="AD17" s="5">
        <f ca="1" t="shared" si="20"/>
        <v>4.5</v>
      </c>
    </row>
    <row r="18" spans="1:30">
      <c r="A18" s="9">
        <v>2</v>
      </c>
      <c r="B18" s="1">
        <f t="shared" si="9"/>
        <v>0.5</v>
      </c>
      <c r="C18" s="13">
        <f ca="1">IF(A18-1&lt;0,控制台!$C$3185,OFFSET(控制台!$C$3185,MATCH(A18-1,控制台!$B$3185:$B$3190,1)-1,0))</f>
        <v>0.1</v>
      </c>
      <c r="D18" s="1">
        <f ca="1">控制台!$E$3140*$C18</f>
        <v>138.24</v>
      </c>
      <c r="E18" s="1">
        <f ca="1" t="shared" si="0"/>
        <v>69.12</v>
      </c>
      <c r="F18" s="5">
        <f ca="1" t="shared" si="10"/>
        <v>276.48</v>
      </c>
      <c r="G18" s="1">
        <f ca="1">控制台!$E$3144*$C18</f>
        <v>0.15</v>
      </c>
      <c r="H18" s="1">
        <f ca="1" t="shared" si="1"/>
        <v>0.075</v>
      </c>
      <c r="I18" s="5">
        <f ca="1" t="shared" si="11"/>
        <v>0.3</v>
      </c>
      <c r="J18" s="1">
        <f ca="1">控制台!$E$3148*$C18</f>
        <v>30000</v>
      </c>
      <c r="K18" s="1">
        <f ca="1" t="shared" si="2"/>
        <v>15000</v>
      </c>
      <c r="L18" s="5">
        <f ca="1" t="shared" si="12"/>
        <v>60000</v>
      </c>
      <c r="M18" s="1">
        <f ca="1">控制台!$E$3152*$C18</f>
        <v>20</v>
      </c>
      <c r="N18" s="1">
        <f ca="1" t="shared" si="3"/>
        <v>10</v>
      </c>
      <c r="O18" s="5">
        <f ca="1" t="shared" si="13"/>
        <v>40</v>
      </c>
      <c r="P18" s="1">
        <f ca="1">控制台!$E$3156*$C18</f>
        <v>6</v>
      </c>
      <c r="Q18" s="1">
        <f ca="1" t="shared" si="4"/>
        <v>3</v>
      </c>
      <c r="R18" s="5">
        <f ca="1" t="shared" si="14"/>
        <v>12</v>
      </c>
      <c r="S18" s="1">
        <f ca="1">控制台!$E$3160*$C18</f>
        <v>36</v>
      </c>
      <c r="T18" s="1">
        <f ca="1" t="shared" si="5"/>
        <v>18</v>
      </c>
      <c r="U18" s="5">
        <f ca="1" t="shared" si="15"/>
        <v>72</v>
      </c>
      <c r="V18" s="1">
        <f ca="1">控制台!$E$3168*$C18</f>
        <v>15000</v>
      </c>
      <c r="W18" s="1">
        <f ca="1" t="shared" si="6"/>
        <v>7500</v>
      </c>
      <c r="X18" s="5">
        <f ca="1" t="shared" si="16"/>
        <v>30000</v>
      </c>
      <c r="Y18" s="1">
        <f ca="1">控制台!$E$3172*$C18</f>
        <v>10</v>
      </c>
      <c r="Z18" s="1">
        <f ca="1" t="shared" si="17"/>
        <v>5</v>
      </c>
      <c r="AA18" s="5">
        <f ca="1" t="shared" si="18"/>
        <v>20</v>
      </c>
      <c r="AB18" s="1">
        <f ca="1">控制台!$E$3176*$C18</f>
        <v>3</v>
      </c>
      <c r="AC18" s="1">
        <f ca="1" t="shared" si="19"/>
        <v>1.5</v>
      </c>
      <c r="AD18" s="5">
        <f ca="1" t="shared" si="20"/>
        <v>6</v>
      </c>
    </row>
    <row r="19" spans="1:30">
      <c r="A19" s="9">
        <v>2.5</v>
      </c>
      <c r="B19" s="1">
        <f t="shared" si="9"/>
        <v>0.5</v>
      </c>
      <c r="C19" s="13">
        <f ca="1">IF(A19-1&lt;0,控制台!$C$3185,OFFSET(控制台!$C$3185,MATCH(A19-1,控制台!$B$3185:$B$3190,1)-1,0))</f>
        <v>0.1</v>
      </c>
      <c r="D19" s="1">
        <f ca="1">控制台!$E$3140*$C19</f>
        <v>138.24</v>
      </c>
      <c r="E19" s="1">
        <f ca="1" t="shared" si="0"/>
        <v>69.12</v>
      </c>
      <c r="F19" s="5">
        <f ca="1" t="shared" si="10"/>
        <v>345.6</v>
      </c>
      <c r="G19" s="1">
        <f ca="1">控制台!$E$3144*$C19</f>
        <v>0.15</v>
      </c>
      <c r="H19" s="1">
        <f ca="1" t="shared" si="1"/>
        <v>0.075</v>
      </c>
      <c r="I19" s="5">
        <f ca="1" t="shared" si="11"/>
        <v>0.375</v>
      </c>
      <c r="J19" s="1">
        <f ca="1">控制台!$E$3148*$C19</f>
        <v>30000</v>
      </c>
      <c r="K19" s="1">
        <f ca="1" t="shared" si="2"/>
        <v>15000</v>
      </c>
      <c r="L19" s="5">
        <f ca="1" t="shared" si="12"/>
        <v>75000</v>
      </c>
      <c r="M19" s="1">
        <f ca="1">控制台!$E$3152*$C19</f>
        <v>20</v>
      </c>
      <c r="N19" s="1">
        <f ca="1" t="shared" si="3"/>
        <v>10</v>
      </c>
      <c r="O19" s="5">
        <f ca="1" t="shared" si="13"/>
        <v>50</v>
      </c>
      <c r="P19" s="1">
        <f ca="1">控制台!$E$3156*$C19</f>
        <v>6</v>
      </c>
      <c r="Q19" s="1">
        <f ca="1" t="shared" si="4"/>
        <v>3</v>
      </c>
      <c r="R19" s="5">
        <f ca="1" t="shared" si="14"/>
        <v>15</v>
      </c>
      <c r="S19" s="1">
        <f ca="1">控制台!$E$3160*$C19</f>
        <v>36</v>
      </c>
      <c r="T19" s="1">
        <f ca="1" t="shared" si="5"/>
        <v>18</v>
      </c>
      <c r="U19" s="5">
        <f ca="1" t="shared" si="15"/>
        <v>90</v>
      </c>
      <c r="V19" s="1">
        <f ca="1">控制台!$E$3168*$C19</f>
        <v>15000</v>
      </c>
      <c r="W19" s="1">
        <f ca="1" t="shared" si="6"/>
        <v>7500</v>
      </c>
      <c r="X19" s="5">
        <f ca="1" t="shared" si="16"/>
        <v>37500</v>
      </c>
      <c r="Y19" s="1">
        <f ca="1">控制台!$E$3172*$C19</f>
        <v>10</v>
      </c>
      <c r="Z19" s="1">
        <f ca="1" t="shared" si="17"/>
        <v>5</v>
      </c>
      <c r="AA19" s="5">
        <f ca="1" t="shared" si="18"/>
        <v>25</v>
      </c>
      <c r="AB19" s="1">
        <f ca="1">控制台!$E$3176*$C19</f>
        <v>3</v>
      </c>
      <c r="AC19" s="1">
        <f ca="1" t="shared" si="19"/>
        <v>1.5</v>
      </c>
      <c r="AD19" s="5">
        <f ca="1" t="shared" si="20"/>
        <v>7.5</v>
      </c>
    </row>
    <row r="20" spans="1:30">
      <c r="A20" s="9">
        <v>3</v>
      </c>
      <c r="B20" s="1">
        <f t="shared" si="9"/>
        <v>0.5</v>
      </c>
      <c r="C20" s="13">
        <f ca="1">IF(A20-1&lt;0,控制台!$C$3185,OFFSET(控制台!$C$3185,MATCH(A20-1,控制台!$B$3185:$B$3190,1)-1,0))</f>
        <v>0.1</v>
      </c>
      <c r="D20" s="1">
        <f ca="1">控制台!$E$3140*$C20</f>
        <v>138.24</v>
      </c>
      <c r="E20" s="1">
        <f ca="1" t="shared" si="0"/>
        <v>69.12</v>
      </c>
      <c r="F20" s="5">
        <f ca="1" t="shared" si="10"/>
        <v>414.72</v>
      </c>
      <c r="G20" s="1">
        <f ca="1">控制台!$E$3144*$C20</f>
        <v>0.15</v>
      </c>
      <c r="H20" s="1">
        <f ca="1" t="shared" si="1"/>
        <v>0.075</v>
      </c>
      <c r="I20" s="5">
        <f ca="1" t="shared" si="11"/>
        <v>0.45</v>
      </c>
      <c r="J20" s="1">
        <f ca="1">控制台!$E$3148*$C20</f>
        <v>30000</v>
      </c>
      <c r="K20" s="1">
        <f ca="1" t="shared" si="2"/>
        <v>15000</v>
      </c>
      <c r="L20" s="5">
        <f ca="1" t="shared" si="12"/>
        <v>90000</v>
      </c>
      <c r="M20" s="1">
        <f ca="1">控制台!$E$3152*$C20</f>
        <v>20</v>
      </c>
      <c r="N20" s="1">
        <f ca="1" t="shared" si="3"/>
        <v>10</v>
      </c>
      <c r="O20" s="5">
        <f ca="1" t="shared" si="13"/>
        <v>60</v>
      </c>
      <c r="P20" s="1">
        <f ca="1">控制台!$E$3156*$C20</f>
        <v>6</v>
      </c>
      <c r="Q20" s="1">
        <f ca="1" t="shared" si="4"/>
        <v>3</v>
      </c>
      <c r="R20" s="5">
        <f ca="1" t="shared" si="14"/>
        <v>18</v>
      </c>
      <c r="S20" s="1">
        <f ca="1">控制台!$E$3160*$C20</f>
        <v>36</v>
      </c>
      <c r="T20" s="1">
        <f ca="1" t="shared" si="5"/>
        <v>18</v>
      </c>
      <c r="U20" s="5">
        <f ca="1" t="shared" si="15"/>
        <v>108</v>
      </c>
      <c r="V20" s="1">
        <f ca="1">控制台!$E$3168*$C20</f>
        <v>15000</v>
      </c>
      <c r="W20" s="1">
        <f ca="1" t="shared" si="6"/>
        <v>7500</v>
      </c>
      <c r="X20" s="5">
        <f ca="1" t="shared" si="16"/>
        <v>45000</v>
      </c>
      <c r="Y20" s="1">
        <f ca="1">控制台!$E$3172*$C20</f>
        <v>10</v>
      </c>
      <c r="Z20" s="1">
        <f ca="1" t="shared" si="17"/>
        <v>5</v>
      </c>
      <c r="AA20" s="5">
        <f ca="1" t="shared" si="18"/>
        <v>30</v>
      </c>
      <c r="AB20" s="1">
        <f ca="1">控制台!$E$3176*$C20</f>
        <v>3</v>
      </c>
      <c r="AC20" s="1">
        <f ca="1" t="shared" si="19"/>
        <v>1.5</v>
      </c>
      <c r="AD20" s="5">
        <f ca="1" t="shared" si="20"/>
        <v>9</v>
      </c>
    </row>
    <row r="21" spans="1:30">
      <c r="A21" s="9">
        <v>3.5</v>
      </c>
      <c r="B21" s="1">
        <f t="shared" si="9"/>
        <v>0.5</v>
      </c>
      <c r="C21" s="13">
        <f ca="1">IF(A21-1&lt;0,控制台!$C$3185,OFFSET(控制台!$C$3185,MATCH(A21-1,控制台!$B$3185:$B$3190,1)-1,0))</f>
        <v>0.1</v>
      </c>
      <c r="D21" s="1">
        <f ca="1">控制台!$E$3140*$C21</f>
        <v>138.24</v>
      </c>
      <c r="E21" s="1">
        <f ca="1" t="shared" si="0"/>
        <v>69.12</v>
      </c>
      <c r="F21" s="5">
        <f ca="1" t="shared" si="10"/>
        <v>483.84</v>
      </c>
      <c r="G21" s="1">
        <f ca="1">控制台!$E$3144*$C21</f>
        <v>0.15</v>
      </c>
      <c r="H21" s="1">
        <f ca="1" t="shared" si="1"/>
        <v>0.075</v>
      </c>
      <c r="I21" s="5">
        <f ca="1" t="shared" si="11"/>
        <v>0.525</v>
      </c>
      <c r="J21" s="1">
        <f ca="1">控制台!$E$3148*$C21</f>
        <v>30000</v>
      </c>
      <c r="K21" s="1">
        <f ca="1" t="shared" si="2"/>
        <v>15000</v>
      </c>
      <c r="L21" s="5">
        <f ca="1" t="shared" si="12"/>
        <v>105000</v>
      </c>
      <c r="M21" s="1">
        <f ca="1">控制台!$E$3152*$C21</f>
        <v>20</v>
      </c>
      <c r="N21" s="1">
        <f ca="1" t="shared" si="3"/>
        <v>10</v>
      </c>
      <c r="O21" s="5">
        <f ca="1" t="shared" si="13"/>
        <v>70</v>
      </c>
      <c r="P21" s="1">
        <f ca="1">控制台!$E$3156*$C21</f>
        <v>6</v>
      </c>
      <c r="Q21" s="1">
        <f ca="1" t="shared" si="4"/>
        <v>3</v>
      </c>
      <c r="R21" s="5">
        <f ca="1" t="shared" si="14"/>
        <v>21</v>
      </c>
      <c r="S21" s="1">
        <f ca="1">控制台!$E$3160*$C21</f>
        <v>36</v>
      </c>
      <c r="T21" s="1">
        <f ca="1" t="shared" si="5"/>
        <v>18</v>
      </c>
      <c r="U21" s="5">
        <f ca="1" t="shared" si="15"/>
        <v>126</v>
      </c>
      <c r="V21" s="1">
        <f ca="1">控制台!$E$3168*$C21</f>
        <v>15000</v>
      </c>
      <c r="W21" s="1">
        <f ca="1" t="shared" si="6"/>
        <v>7500</v>
      </c>
      <c r="X21" s="5">
        <f ca="1" t="shared" si="16"/>
        <v>52500</v>
      </c>
      <c r="Y21" s="1">
        <f ca="1">控制台!$E$3172*$C21</f>
        <v>10</v>
      </c>
      <c r="Z21" s="1">
        <f ca="1" t="shared" si="17"/>
        <v>5</v>
      </c>
      <c r="AA21" s="5">
        <f ca="1" t="shared" si="18"/>
        <v>35</v>
      </c>
      <c r="AB21" s="1">
        <f ca="1">控制台!$E$3176*$C21</f>
        <v>3</v>
      </c>
      <c r="AC21" s="1">
        <f ca="1" t="shared" si="19"/>
        <v>1.5</v>
      </c>
      <c r="AD21" s="5">
        <f ca="1" t="shared" si="20"/>
        <v>10.5</v>
      </c>
    </row>
    <row r="22" spans="1:30">
      <c r="A22" s="9">
        <v>4</v>
      </c>
      <c r="B22" s="1">
        <f t="shared" si="9"/>
        <v>0.5</v>
      </c>
      <c r="C22" s="13">
        <f ca="1">IF(A22-1&lt;0,控制台!$C$3185,OFFSET(控制台!$C$3185,MATCH(A22-1,控制台!$B$3185:$B$3190,1)-1,0))</f>
        <v>0.1</v>
      </c>
      <c r="D22" s="1">
        <f ca="1">控制台!$E$3140*$C22</f>
        <v>138.24</v>
      </c>
      <c r="E22" s="1">
        <f ca="1" t="shared" si="0"/>
        <v>69.12</v>
      </c>
      <c r="F22" s="5">
        <f ca="1" t="shared" si="10"/>
        <v>552.96</v>
      </c>
      <c r="G22" s="1">
        <f ca="1">控制台!$E$3144*$C22</f>
        <v>0.15</v>
      </c>
      <c r="H22" s="1">
        <f ca="1" t="shared" si="1"/>
        <v>0.075</v>
      </c>
      <c r="I22" s="5">
        <f ca="1" t="shared" si="11"/>
        <v>0.6</v>
      </c>
      <c r="J22" s="1">
        <f ca="1">控制台!$E$3148*$C22</f>
        <v>30000</v>
      </c>
      <c r="K22" s="1">
        <f ca="1" t="shared" si="2"/>
        <v>15000</v>
      </c>
      <c r="L22" s="5">
        <f ca="1" t="shared" si="12"/>
        <v>120000</v>
      </c>
      <c r="M22" s="1">
        <f ca="1">控制台!$E$3152*$C22</f>
        <v>20</v>
      </c>
      <c r="N22" s="1">
        <f ca="1" t="shared" si="3"/>
        <v>10</v>
      </c>
      <c r="O22" s="5">
        <f ca="1" t="shared" si="13"/>
        <v>80</v>
      </c>
      <c r="P22" s="1">
        <f ca="1">控制台!$E$3156*$C22</f>
        <v>6</v>
      </c>
      <c r="Q22" s="1">
        <f ca="1" t="shared" si="4"/>
        <v>3</v>
      </c>
      <c r="R22" s="5">
        <f ca="1" t="shared" si="14"/>
        <v>24</v>
      </c>
      <c r="S22" s="1">
        <f ca="1">控制台!$E$3160*$C22</f>
        <v>36</v>
      </c>
      <c r="T22" s="1">
        <f ca="1" t="shared" si="5"/>
        <v>18</v>
      </c>
      <c r="U22" s="5">
        <f ca="1" t="shared" si="15"/>
        <v>144</v>
      </c>
      <c r="V22" s="1">
        <f ca="1">控制台!$E$3168*$C22</f>
        <v>15000</v>
      </c>
      <c r="W22" s="1">
        <f ca="1" t="shared" si="6"/>
        <v>7500</v>
      </c>
      <c r="X22" s="5">
        <f ca="1" t="shared" si="16"/>
        <v>60000</v>
      </c>
      <c r="Y22" s="1">
        <f ca="1">控制台!$E$3172*$C22</f>
        <v>10</v>
      </c>
      <c r="Z22" s="1">
        <f ca="1" t="shared" si="17"/>
        <v>5</v>
      </c>
      <c r="AA22" s="5">
        <f ca="1" t="shared" si="18"/>
        <v>40</v>
      </c>
      <c r="AB22" s="1">
        <f ca="1">控制台!$E$3176*$C22</f>
        <v>3</v>
      </c>
      <c r="AC22" s="1">
        <f ca="1" t="shared" si="19"/>
        <v>1.5</v>
      </c>
      <c r="AD22" s="5">
        <f ca="1" t="shared" si="20"/>
        <v>12</v>
      </c>
    </row>
    <row r="23" spans="1:30">
      <c r="A23" s="9">
        <v>4.5</v>
      </c>
      <c r="B23" s="1">
        <f t="shared" si="9"/>
        <v>0.5</v>
      </c>
      <c r="C23" s="13">
        <f ca="1">IF(A23-1&lt;0,控制台!$C$3185,OFFSET(控制台!$C$3185,MATCH(A23-1,控制台!$B$3185:$B$3190,1)-1,0))</f>
        <v>0.1</v>
      </c>
      <c r="D23" s="1">
        <f ca="1">控制台!$E$3140*$C23</f>
        <v>138.24</v>
      </c>
      <c r="E23" s="1">
        <f ca="1" t="shared" si="0"/>
        <v>69.12</v>
      </c>
      <c r="F23" s="5">
        <f ca="1" t="shared" si="10"/>
        <v>622.08</v>
      </c>
      <c r="G23" s="1">
        <f ca="1">控制台!$E$3144*$C23</f>
        <v>0.15</v>
      </c>
      <c r="H23" s="1">
        <f ca="1" t="shared" si="1"/>
        <v>0.075</v>
      </c>
      <c r="I23" s="5">
        <f ca="1" t="shared" si="11"/>
        <v>0.675</v>
      </c>
      <c r="J23" s="1">
        <f ca="1">控制台!$E$3148*$C23</f>
        <v>30000</v>
      </c>
      <c r="K23" s="1">
        <f ca="1" t="shared" si="2"/>
        <v>15000</v>
      </c>
      <c r="L23" s="5">
        <f ca="1" t="shared" si="12"/>
        <v>135000</v>
      </c>
      <c r="M23" s="1">
        <f ca="1">控制台!$E$3152*$C23</f>
        <v>20</v>
      </c>
      <c r="N23" s="1">
        <f ca="1" t="shared" si="3"/>
        <v>10</v>
      </c>
      <c r="O23" s="5">
        <f ca="1" t="shared" si="13"/>
        <v>90</v>
      </c>
      <c r="P23" s="1">
        <f ca="1">控制台!$E$3156*$C23</f>
        <v>6</v>
      </c>
      <c r="Q23" s="1">
        <f ca="1" t="shared" si="4"/>
        <v>3</v>
      </c>
      <c r="R23" s="5">
        <f ca="1" t="shared" si="14"/>
        <v>27</v>
      </c>
      <c r="S23" s="1">
        <f ca="1">控制台!$E$3160*$C23</f>
        <v>36</v>
      </c>
      <c r="T23" s="1">
        <f ca="1" t="shared" si="5"/>
        <v>18</v>
      </c>
      <c r="U23" s="5">
        <f ca="1" t="shared" si="15"/>
        <v>162</v>
      </c>
      <c r="V23" s="1">
        <f ca="1">控制台!$E$3168*$C23</f>
        <v>15000</v>
      </c>
      <c r="W23" s="1">
        <f ca="1" t="shared" si="6"/>
        <v>7500</v>
      </c>
      <c r="X23" s="5">
        <f ca="1" t="shared" si="16"/>
        <v>67500</v>
      </c>
      <c r="Y23" s="1">
        <f ca="1">控制台!$E$3172*$C23</f>
        <v>10</v>
      </c>
      <c r="Z23" s="1">
        <f ca="1" t="shared" si="17"/>
        <v>5</v>
      </c>
      <c r="AA23" s="5">
        <f ca="1" t="shared" si="18"/>
        <v>45</v>
      </c>
      <c r="AB23" s="1">
        <f ca="1">控制台!$E$3176*$C23</f>
        <v>3</v>
      </c>
      <c r="AC23" s="1">
        <f ca="1" t="shared" si="19"/>
        <v>1.5</v>
      </c>
      <c r="AD23" s="5">
        <f ca="1" t="shared" si="20"/>
        <v>13.5</v>
      </c>
    </row>
    <row r="24" spans="1:30">
      <c r="A24" s="9">
        <v>5</v>
      </c>
      <c r="B24" s="1">
        <f t="shared" si="9"/>
        <v>0.5</v>
      </c>
      <c r="C24" s="13">
        <f ca="1">IF(A24-1&lt;0,控制台!$C$3185,OFFSET(控制台!$C$3185,MATCH(A24-1,控制台!$B$3185:$B$3190,1)-1,0))</f>
        <v>0.1</v>
      </c>
      <c r="D24" s="1">
        <f ca="1">控制台!$E$3140*$C24</f>
        <v>138.24</v>
      </c>
      <c r="E24" s="1">
        <f ca="1" t="shared" si="0"/>
        <v>69.12</v>
      </c>
      <c r="F24" s="5">
        <f ca="1" t="shared" si="10"/>
        <v>691.2</v>
      </c>
      <c r="G24" s="1">
        <f ca="1">控制台!$E$3144*$C24</f>
        <v>0.15</v>
      </c>
      <c r="H24" s="1">
        <f ca="1" t="shared" si="1"/>
        <v>0.075</v>
      </c>
      <c r="I24" s="5">
        <f ca="1" t="shared" si="11"/>
        <v>0.75</v>
      </c>
      <c r="J24" s="1">
        <f ca="1">控制台!$E$3148*$C24</f>
        <v>30000</v>
      </c>
      <c r="K24" s="1">
        <f ca="1" t="shared" si="2"/>
        <v>15000</v>
      </c>
      <c r="L24" s="5">
        <f ca="1" t="shared" si="12"/>
        <v>150000</v>
      </c>
      <c r="M24" s="1">
        <f ca="1">控制台!$E$3152*$C24</f>
        <v>20</v>
      </c>
      <c r="N24" s="1">
        <f ca="1" t="shared" si="3"/>
        <v>10</v>
      </c>
      <c r="O24" s="5">
        <f ca="1" t="shared" si="13"/>
        <v>100</v>
      </c>
      <c r="P24" s="1">
        <f ca="1">控制台!$E$3156*$C24</f>
        <v>6</v>
      </c>
      <c r="Q24" s="1">
        <f ca="1" t="shared" si="4"/>
        <v>3</v>
      </c>
      <c r="R24" s="5">
        <f ca="1" t="shared" si="14"/>
        <v>30</v>
      </c>
      <c r="S24" s="1">
        <f ca="1">控制台!$E$3160*$C24</f>
        <v>36</v>
      </c>
      <c r="T24" s="1">
        <f ca="1" t="shared" si="5"/>
        <v>18</v>
      </c>
      <c r="U24" s="5">
        <f ca="1" t="shared" si="15"/>
        <v>180</v>
      </c>
      <c r="V24" s="1">
        <f ca="1">控制台!$E$3168*$C24</f>
        <v>15000</v>
      </c>
      <c r="W24" s="1">
        <f ca="1" t="shared" si="6"/>
        <v>7500</v>
      </c>
      <c r="X24" s="5">
        <f ca="1" t="shared" si="16"/>
        <v>75000</v>
      </c>
      <c r="Y24" s="1">
        <f ca="1">控制台!$E$3172*$C24</f>
        <v>10</v>
      </c>
      <c r="Z24" s="1">
        <f ca="1" t="shared" si="17"/>
        <v>5</v>
      </c>
      <c r="AA24" s="5">
        <f ca="1" t="shared" si="18"/>
        <v>50</v>
      </c>
      <c r="AB24" s="1">
        <f ca="1">控制台!$E$3176*$C24</f>
        <v>3</v>
      </c>
      <c r="AC24" s="1">
        <f ca="1" t="shared" si="19"/>
        <v>1.5</v>
      </c>
      <c r="AD24" s="5">
        <f ca="1" t="shared" si="20"/>
        <v>15</v>
      </c>
    </row>
    <row r="25" spans="1:30">
      <c r="A25" s="9">
        <v>5.5</v>
      </c>
      <c r="B25" s="1">
        <f t="shared" si="9"/>
        <v>0.5</v>
      </c>
      <c r="C25" s="13">
        <f ca="1">IF(A25-1&lt;0,控制台!$C$3185,OFFSET(控制台!$C$3185,MATCH(A25-1,控制台!$B$3185:$B$3190,1)-1,0))</f>
        <v>0.1</v>
      </c>
      <c r="D25" s="1">
        <f ca="1">控制台!$E$3140*$C25</f>
        <v>138.24</v>
      </c>
      <c r="E25" s="1">
        <f ca="1" t="shared" si="0"/>
        <v>69.12</v>
      </c>
      <c r="F25" s="5">
        <f ca="1" t="shared" si="10"/>
        <v>760.32</v>
      </c>
      <c r="G25" s="1">
        <f ca="1">控制台!$E$3144*$C25</f>
        <v>0.15</v>
      </c>
      <c r="H25" s="1">
        <f ca="1" t="shared" si="1"/>
        <v>0.075</v>
      </c>
      <c r="I25" s="5">
        <f ca="1" t="shared" si="11"/>
        <v>0.825</v>
      </c>
      <c r="J25" s="1">
        <f ca="1">控制台!$E$3148*$C25</f>
        <v>30000</v>
      </c>
      <c r="K25" s="1">
        <f ca="1" t="shared" si="2"/>
        <v>15000</v>
      </c>
      <c r="L25" s="5">
        <f ca="1" t="shared" si="12"/>
        <v>165000</v>
      </c>
      <c r="M25" s="1">
        <f ca="1">控制台!$E$3152*$C25</f>
        <v>20</v>
      </c>
      <c r="N25" s="1">
        <f ca="1" t="shared" si="3"/>
        <v>10</v>
      </c>
      <c r="O25" s="5">
        <f ca="1" t="shared" si="13"/>
        <v>110</v>
      </c>
      <c r="P25" s="1">
        <f ca="1">控制台!$E$3156*$C25</f>
        <v>6</v>
      </c>
      <c r="Q25" s="1">
        <f ca="1" t="shared" si="4"/>
        <v>3</v>
      </c>
      <c r="R25" s="5">
        <f ca="1" t="shared" si="14"/>
        <v>33</v>
      </c>
      <c r="S25" s="1">
        <f ca="1">控制台!$E$3160*$C25</f>
        <v>36</v>
      </c>
      <c r="T25" s="1">
        <f ca="1" t="shared" si="5"/>
        <v>18</v>
      </c>
      <c r="U25" s="5">
        <f ca="1" t="shared" si="15"/>
        <v>198</v>
      </c>
      <c r="V25" s="1">
        <f ca="1">控制台!$E$3168*$C25</f>
        <v>15000</v>
      </c>
      <c r="W25" s="1">
        <f ca="1" t="shared" si="6"/>
        <v>7500</v>
      </c>
      <c r="X25" s="5">
        <f ca="1" t="shared" si="16"/>
        <v>82500</v>
      </c>
      <c r="Y25" s="1">
        <f ca="1">控制台!$E$3172*$C25</f>
        <v>10</v>
      </c>
      <c r="Z25" s="1">
        <f ca="1" t="shared" si="17"/>
        <v>5</v>
      </c>
      <c r="AA25" s="5">
        <f ca="1" t="shared" si="18"/>
        <v>55</v>
      </c>
      <c r="AB25" s="1">
        <f ca="1">控制台!$E$3176*$C25</f>
        <v>3</v>
      </c>
      <c r="AC25" s="1">
        <f ca="1" t="shared" si="19"/>
        <v>1.5</v>
      </c>
      <c r="AD25" s="5">
        <f ca="1" t="shared" si="20"/>
        <v>16.5</v>
      </c>
    </row>
    <row r="26" spans="1:30">
      <c r="A26" s="9">
        <v>6</v>
      </c>
      <c r="B26" s="1">
        <f t="shared" si="9"/>
        <v>0.5</v>
      </c>
      <c r="C26" s="13">
        <f ca="1">IF(A26-1&lt;0,控制台!$C$3185,OFFSET(控制台!$C$3185,MATCH(A26-1,控制台!$B$3185:$B$3190,1)-1,0))</f>
        <v>0.1</v>
      </c>
      <c r="D26" s="1">
        <f ca="1">控制台!$E$3140*$C26</f>
        <v>138.24</v>
      </c>
      <c r="E26" s="1">
        <f ca="1" t="shared" si="0"/>
        <v>69.12</v>
      </c>
      <c r="F26" s="5">
        <f ca="1" t="shared" si="10"/>
        <v>829.44</v>
      </c>
      <c r="G26" s="1">
        <f ca="1">控制台!$E$3144*$C26</f>
        <v>0.15</v>
      </c>
      <c r="H26" s="1">
        <f ca="1" t="shared" si="1"/>
        <v>0.075</v>
      </c>
      <c r="I26" s="5">
        <f ca="1" t="shared" si="11"/>
        <v>0.9</v>
      </c>
      <c r="J26" s="1">
        <f ca="1">控制台!$E$3148*$C26</f>
        <v>30000</v>
      </c>
      <c r="K26" s="1">
        <f ca="1" t="shared" si="2"/>
        <v>15000</v>
      </c>
      <c r="L26" s="5">
        <f ca="1" t="shared" si="12"/>
        <v>180000</v>
      </c>
      <c r="M26" s="1">
        <f ca="1">控制台!$E$3152*$C26</f>
        <v>20</v>
      </c>
      <c r="N26" s="1">
        <f ca="1" t="shared" si="3"/>
        <v>10</v>
      </c>
      <c r="O26" s="5">
        <f ca="1" t="shared" si="13"/>
        <v>120</v>
      </c>
      <c r="P26" s="1">
        <f ca="1">控制台!$E$3156*$C26</f>
        <v>6</v>
      </c>
      <c r="Q26" s="1">
        <f ca="1" t="shared" si="4"/>
        <v>3</v>
      </c>
      <c r="R26" s="5">
        <f ca="1" t="shared" si="14"/>
        <v>36</v>
      </c>
      <c r="S26" s="1">
        <f ca="1">控制台!$E$3160*$C26</f>
        <v>36</v>
      </c>
      <c r="T26" s="1">
        <f ca="1" t="shared" si="5"/>
        <v>18</v>
      </c>
      <c r="U26" s="5">
        <f ca="1" t="shared" si="15"/>
        <v>216</v>
      </c>
      <c r="V26" s="1">
        <f ca="1">控制台!$E$3168*$C26</f>
        <v>15000</v>
      </c>
      <c r="W26" s="1">
        <f ca="1" t="shared" si="6"/>
        <v>7500</v>
      </c>
      <c r="X26" s="5">
        <f ca="1" t="shared" si="16"/>
        <v>90000</v>
      </c>
      <c r="Y26" s="1">
        <f ca="1">控制台!$E$3172*$C26</f>
        <v>10</v>
      </c>
      <c r="Z26" s="1">
        <f ca="1" t="shared" si="17"/>
        <v>5</v>
      </c>
      <c r="AA26" s="5">
        <f ca="1" t="shared" si="18"/>
        <v>60</v>
      </c>
      <c r="AB26" s="1">
        <f ca="1">控制台!$E$3176*$C26</f>
        <v>3</v>
      </c>
      <c r="AC26" s="1">
        <f ca="1" t="shared" si="19"/>
        <v>1.5</v>
      </c>
      <c r="AD26" s="5">
        <f ca="1" t="shared" si="20"/>
        <v>18</v>
      </c>
    </row>
    <row r="27" spans="1:30">
      <c r="A27" s="9">
        <v>6.5</v>
      </c>
      <c r="B27" s="1">
        <f t="shared" si="9"/>
        <v>0.5</v>
      </c>
      <c r="C27" s="13">
        <f ca="1">IF(A27-1&lt;0,控制台!$C$3185,OFFSET(控制台!$C$3185,MATCH(A27-1,控制台!$B$3185:$B$3190,1)-1,0))</f>
        <v>0.1</v>
      </c>
      <c r="D27" s="1">
        <f ca="1">控制台!$E$3140*$C27</f>
        <v>138.24</v>
      </c>
      <c r="E27" s="1">
        <f ca="1" t="shared" si="0"/>
        <v>69.12</v>
      </c>
      <c r="F27" s="5">
        <f ca="1" t="shared" si="10"/>
        <v>898.56</v>
      </c>
      <c r="G27" s="1">
        <f ca="1">控制台!$E$3144*$C27</f>
        <v>0.15</v>
      </c>
      <c r="H27" s="1">
        <f ca="1" t="shared" si="1"/>
        <v>0.075</v>
      </c>
      <c r="I27" s="5">
        <f ca="1" t="shared" si="11"/>
        <v>0.975</v>
      </c>
      <c r="J27" s="1">
        <f ca="1">控制台!$E$3148*$C27</f>
        <v>30000</v>
      </c>
      <c r="K27" s="1">
        <f ca="1" t="shared" si="2"/>
        <v>15000</v>
      </c>
      <c r="L27" s="5">
        <f ca="1" t="shared" si="12"/>
        <v>195000</v>
      </c>
      <c r="M27" s="1">
        <f ca="1">控制台!$E$3152*$C27</f>
        <v>20</v>
      </c>
      <c r="N27" s="1">
        <f ca="1" t="shared" si="3"/>
        <v>10</v>
      </c>
      <c r="O27" s="5">
        <f ca="1" t="shared" si="13"/>
        <v>130</v>
      </c>
      <c r="P27" s="1">
        <f ca="1">控制台!$E$3156*$C27</f>
        <v>6</v>
      </c>
      <c r="Q27" s="1">
        <f ca="1" t="shared" si="4"/>
        <v>3</v>
      </c>
      <c r="R27" s="5">
        <f ca="1" t="shared" si="14"/>
        <v>39</v>
      </c>
      <c r="S27" s="1">
        <f ca="1">控制台!$E$3160*$C27</f>
        <v>36</v>
      </c>
      <c r="T27" s="1">
        <f ca="1" t="shared" si="5"/>
        <v>18</v>
      </c>
      <c r="U27" s="5">
        <f ca="1" t="shared" si="15"/>
        <v>234</v>
      </c>
      <c r="V27" s="1">
        <f ca="1">控制台!$E$3168*$C27</f>
        <v>15000</v>
      </c>
      <c r="W27" s="1">
        <f ca="1" t="shared" si="6"/>
        <v>7500</v>
      </c>
      <c r="X27" s="5">
        <f ca="1" t="shared" si="16"/>
        <v>97500</v>
      </c>
      <c r="Y27" s="1">
        <f ca="1">控制台!$E$3172*$C27</f>
        <v>10</v>
      </c>
      <c r="Z27" s="1">
        <f ca="1" t="shared" si="17"/>
        <v>5</v>
      </c>
      <c r="AA27" s="5">
        <f ca="1" t="shared" si="18"/>
        <v>65</v>
      </c>
      <c r="AB27" s="1">
        <f ca="1">控制台!$E$3176*$C27</f>
        <v>3</v>
      </c>
      <c r="AC27" s="1">
        <f ca="1" t="shared" si="19"/>
        <v>1.5</v>
      </c>
      <c r="AD27" s="5">
        <f ca="1" t="shared" si="20"/>
        <v>19.5</v>
      </c>
    </row>
    <row r="28" spans="1:30">
      <c r="A28" s="9">
        <v>7</v>
      </c>
      <c r="B28" s="1">
        <f t="shared" si="9"/>
        <v>0.5</v>
      </c>
      <c r="C28" s="13">
        <f ca="1">IF(A28-1&lt;0,控制台!$C$3185,OFFSET(控制台!$C$3185,MATCH(A28-1,控制台!$B$3185:$B$3190,1)-1,0))</f>
        <v>0.1</v>
      </c>
      <c r="D28" s="1">
        <f ca="1">控制台!$E$3140*$C28</f>
        <v>138.24</v>
      </c>
      <c r="E28" s="1">
        <f ca="1" t="shared" si="0"/>
        <v>69.12</v>
      </c>
      <c r="F28" s="5">
        <f ca="1" t="shared" si="10"/>
        <v>967.68</v>
      </c>
      <c r="G28" s="1">
        <f ca="1">控制台!$E$3144*$C28</f>
        <v>0.15</v>
      </c>
      <c r="H28" s="1">
        <f ca="1" t="shared" si="1"/>
        <v>0.075</v>
      </c>
      <c r="I28" s="5">
        <f ca="1" t="shared" si="11"/>
        <v>1.05</v>
      </c>
      <c r="J28" s="1">
        <f ca="1">控制台!$E$3148*$C28</f>
        <v>30000</v>
      </c>
      <c r="K28" s="1">
        <f ca="1" t="shared" si="2"/>
        <v>15000</v>
      </c>
      <c r="L28" s="5">
        <f ca="1" t="shared" si="12"/>
        <v>210000</v>
      </c>
      <c r="M28" s="1">
        <f ca="1">控制台!$E$3152*$C28</f>
        <v>20</v>
      </c>
      <c r="N28" s="1">
        <f ca="1" t="shared" si="3"/>
        <v>10</v>
      </c>
      <c r="O28" s="5">
        <f ca="1" t="shared" si="13"/>
        <v>140</v>
      </c>
      <c r="P28" s="1">
        <f ca="1">控制台!$E$3156*$C28</f>
        <v>6</v>
      </c>
      <c r="Q28" s="1">
        <f ca="1" t="shared" si="4"/>
        <v>3</v>
      </c>
      <c r="R28" s="5">
        <f ca="1" t="shared" si="14"/>
        <v>42</v>
      </c>
      <c r="S28" s="1">
        <f ca="1">控制台!$E$3160*$C28</f>
        <v>36</v>
      </c>
      <c r="T28" s="1">
        <f ca="1" t="shared" si="5"/>
        <v>18</v>
      </c>
      <c r="U28" s="5">
        <f ca="1" t="shared" si="15"/>
        <v>252</v>
      </c>
      <c r="V28" s="1">
        <f ca="1">控制台!$E$3168*$C28</f>
        <v>15000</v>
      </c>
      <c r="W28" s="1">
        <f ca="1" t="shared" si="6"/>
        <v>7500</v>
      </c>
      <c r="X28" s="5">
        <f ca="1" t="shared" si="16"/>
        <v>105000</v>
      </c>
      <c r="Y28" s="1">
        <f ca="1">控制台!$E$3172*$C28</f>
        <v>10</v>
      </c>
      <c r="Z28" s="1">
        <f ca="1" t="shared" si="17"/>
        <v>5</v>
      </c>
      <c r="AA28" s="5">
        <f ca="1" t="shared" si="18"/>
        <v>70</v>
      </c>
      <c r="AB28" s="1">
        <f ca="1">控制台!$E$3176*$C28</f>
        <v>3</v>
      </c>
      <c r="AC28" s="1">
        <f ca="1" t="shared" si="19"/>
        <v>1.5</v>
      </c>
      <c r="AD28" s="5">
        <f ca="1" t="shared" si="20"/>
        <v>21</v>
      </c>
    </row>
    <row r="29" spans="1:30">
      <c r="A29" s="10">
        <v>8</v>
      </c>
      <c r="B29" s="1">
        <f t="shared" si="9"/>
        <v>1</v>
      </c>
      <c r="C29" s="13">
        <f ca="1">IF(A29-1&lt;0,控制台!$C$3185,OFFSET(控制台!$C$3185,MATCH(A29-1,控制台!$B$3185:$B$3190,1)-1,0))</f>
        <v>0.2</v>
      </c>
      <c r="D29" s="1">
        <f ca="1">控制台!$E$3140*$C29</f>
        <v>276.48</v>
      </c>
      <c r="E29" s="1">
        <f ca="1" t="shared" si="0"/>
        <v>276.48</v>
      </c>
      <c r="F29" s="5">
        <f ca="1" t="shared" si="10"/>
        <v>1244.16</v>
      </c>
      <c r="G29" s="1">
        <f ca="1">控制台!$E$3144*$C29</f>
        <v>0.3</v>
      </c>
      <c r="H29" s="1">
        <f ca="1" t="shared" si="1"/>
        <v>0.3</v>
      </c>
      <c r="I29" s="5">
        <f ca="1" t="shared" si="11"/>
        <v>1.35</v>
      </c>
      <c r="J29" s="1">
        <f ca="1">控制台!$E$3148*$C29</f>
        <v>60000</v>
      </c>
      <c r="K29" s="1">
        <f ca="1" t="shared" si="2"/>
        <v>60000</v>
      </c>
      <c r="L29" s="5">
        <f ca="1" t="shared" si="12"/>
        <v>270000</v>
      </c>
      <c r="M29" s="1">
        <f ca="1">控制台!$E$3152*$C29</f>
        <v>40</v>
      </c>
      <c r="N29" s="1">
        <f ca="1" t="shared" si="3"/>
        <v>40</v>
      </c>
      <c r="O29" s="5">
        <f ca="1" t="shared" si="13"/>
        <v>180</v>
      </c>
      <c r="P29" s="1">
        <f ca="1">控制台!$E$3156*$C29</f>
        <v>12</v>
      </c>
      <c r="Q29" s="1">
        <f ca="1" t="shared" si="4"/>
        <v>12</v>
      </c>
      <c r="R29" s="5">
        <f ca="1" t="shared" si="14"/>
        <v>54</v>
      </c>
      <c r="S29" s="1">
        <f ca="1">控制台!$E$3160*$C29</f>
        <v>72</v>
      </c>
      <c r="T29" s="1">
        <f ca="1" t="shared" si="5"/>
        <v>72</v>
      </c>
      <c r="U29" s="5">
        <f ca="1" t="shared" si="15"/>
        <v>324</v>
      </c>
      <c r="V29" s="1">
        <f ca="1">控制台!$E$3168*$C29</f>
        <v>30000</v>
      </c>
      <c r="W29" s="1">
        <f ca="1" t="shared" si="6"/>
        <v>30000</v>
      </c>
      <c r="X29" s="5">
        <f ca="1" t="shared" si="16"/>
        <v>135000</v>
      </c>
      <c r="Y29" s="1">
        <f ca="1">控制台!$E$3172*$C29</f>
        <v>20</v>
      </c>
      <c r="Z29" s="1">
        <f ca="1" t="shared" si="17"/>
        <v>20</v>
      </c>
      <c r="AA29" s="5">
        <f ca="1" t="shared" si="18"/>
        <v>90</v>
      </c>
      <c r="AB29" s="1">
        <f ca="1">控制台!$E$3176*$C29</f>
        <v>6</v>
      </c>
      <c r="AC29" s="1">
        <f ca="1" t="shared" si="19"/>
        <v>6</v>
      </c>
      <c r="AD29" s="5">
        <f ca="1" t="shared" si="20"/>
        <v>27</v>
      </c>
    </row>
    <row r="30" spans="1:30">
      <c r="A30" s="10">
        <v>9</v>
      </c>
      <c r="B30" s="1">
        <f t="shared" si="9"/>
        <v>1</v>
      </c>
      <c r="C30" s="13">
        <f ca="1">IF(A30-1&lt;0,控制台!$C$3185,OFFSET(控制台!$C$3185,MATCH(A30-1,控制台!$B$3185:$B$3190,1)-1,0))</f>
        <v>0.2</v>
      </c>
      <c r="D30" s="1">
        <f ca="1">控制台!$E$3140*$C30</f>
        <v>276.48</v>
      </c>
      <c r="E30" s="1">
        <f ca="1" t="shared" si="0"/>
        <v>276.48</v>
      </c>
      <c r="F30" s="5">
        <f ca="1" t="shared" si="10"/>
        <v>1520.64</v>
      </c>
      <c r="G30" s="1">
        <f ca="1">控制台!$E$3144*$C30</f>
        <v>0.3</v>
      </c>
      <c r="H30" s="1">
        <f ca="1" t="shared" si="1"/>
        <v>0.3</v>
      </c>
      <c r="I30" s="5">
        <f ca="1" t="shared" si="11"/>
        <v>1.65</v>
      </c>
      <c r="J30" s="1">
        <f ca="1">控制台!$E$3148*$C30</f>
        <v>60000</v>
      </c>
      <c r="K30" s="1">
        <f ca="1" t="shared" si="2"/>
        <v>60000</v>
      </c>
      <c r="L30" s="5">
        <f ca="1" t="shared" si="12"/>
        <v>330000</v>
      </c>
      <c r="M30" s="1">
        <f ca="1">控制台!$E$3152*$C30</f>
        <v>40</v>
      </c>
      <c r="N30" s="1">
        <f ca="1" t="shared" si="3"/>
        <v>40</v>
      </c>
      <c r="O30" s="5">
        <f ca="1" t="shared" si="13"/>
        <v>220</v>
      </c>
      <c r="P30" s="1">
        <f ca="1">控制台!$E$3156*$C30</f>
        <v>12</v>
      </c>
      <c r="Q30" s="1">
        <f ca="1" t="shared" si="4"/>
        <v>12</v>
      </c>
      <c r="R30" s="5">
        <f ca="1" t="shared" si="14"/>
        <v>66</v>
      </c>
      <c r="S30" s="1">
        <f ca="1">控制台!$E$3160*$C30</f>
        <v>72</v>
      </c>
      <c r="T30" s="1">
        <f ca="1" t="shared" si="5"/>
        <v>72</v>
      </c>
      <c r="U30" s="5">
        <f ca="1" t="shared" si="15"/>
        <v>396</v>
      </c>
      <c r="V30" s="1">
        <f ca="1">控制台!$E$3168*$C30</f>
        <v>30000</v>
      </c>
      <c r="W30" s="1">
        <f ca="1" t="shared" si="6"/>
        <v>30000</v>
      </c>
      <c r="X30" s="5">
        <f ca="1" t="shared" si="16"/>
        <v>165000</v>
      </c>
      <c r="Y30" s="1">
        <f ca="1">控制台!$E$3172*$C30</f>
        <v>20</v>
      </c>
      <c r="Z30" s="1">
        <f ca="1" t="shared" si="17"/>
        <v>20</v>
      </c>
      <c r="AA30" s="5">
        <f ca="1" t="shared" si="18"/>
        <v>110</v>
      </c>
      <c r="AB30" s="1">
        <f ca="1">控制台!$E$3176*$C30</f>
        <v>6</v>
      </c>
      <c r="AC30" s="1">
        <f ca="1" t="shared" si="19"/>
        <v>6</v>
      </c>
      <c r="AD30" s="5">
        <f ca="1" t="shared" si="20"/>
        <v>33</v>
      </c>
    </row>
    <row r="31" spans="1:30">
      <c r="A31" s="10">
        <v>10</v>
      </c>
      <c r="B31" s="1">
        <f t="shared" si="9"/>
        <v>1</v>
      </c>
      <c r="C31" s="13">
        <f ca="1">IF(A31-1&lt;0,控制台!$C$3185,OFFSET(控制台!$C$3185,MATCH(A31-1,控制台!$B$3185:$B$3190,1)-1,0))</f>
        <v>0.2</v>
      </c>
      <c r="D31" s="1">
        <f ca="1">控制台!$E$3140*$C31</f>
        <v>276.48</v>
      </c>
      <c r="E31" s="1">
        <f ca="1" t="shared" si="0"/>
        <v>276.48</v>
      </c>
      <c r="F31" s="5">
        <f ca="1" t="shared" si="10"/>
        <v>1797.12</v>
      </c>
      <c r="G31" s="1">
        <f ca="1">控制台!$E$3144*$C31</f>
        <v>0.3</v>
      </c>
      <c r="H31" s="1">
        <f ca="1" t="shared" si="1"/>
        <v>0.3</v>
      </c>
      <c r="I31" s="5">
        <f ca="1" t="shared" si="11"/>
        <v>1.95</v>
      </c>
      <c r="J31" s="1">
        <f ca="1">控制台!$E$3148*$C31</f>
        <v>60000</v>
      </c>
      <c r="K31" s="1">
        <f ca="1" t="shared" si="2"/>
        <v>60000</v>
      </c>
      <c r="L31" s="5">
        <f ca="1" t="shared" si="12"/>
        <v>390000</v>
      </c>
      <c r="M31" s="1">
        <f ca="1">控制台!$E$3152*$C31</f>
        <v>40</v>
      </c>
      <c r="N31" s="1">
        <f ca="1" t="shared" si="3"/>
        <v>40</v>
      </c>
      <c r="O31" s="5">
        <f ca="1" t="shared" si="13"/>
        <v>260</v>
      </c>
      <c r="P31" s="1">
        <f ca="1">控制台!$E$3156*$C31</f>
        <v>12</v>
      </c>
      <c r="Q31" s="1">
        <f ca="1" t="shared" si="4"/>
        <v>12</v>
      </c>
      <c r="R31" s="5">
        <f ca="1" t="shared" si="14"/>
        <v>78</v>
      </c>
      <c r="S31" s="1">
        <f ca="1">控制台!$E$3160*$C31</f>
        <v>72</v>
      </c>
      <c r="T31" s="1">
        <f ca="1" t="shared" si="5"/>
        <v>72</v>
      </c>
      <c r="U31" s="5">
        <f ca="1" t="shared" si="15"/>
        <v>468</v>
      </c>
      <c r="V31" s="1">
        <f ca="1">控制台!$E$3168*$C31</f>
        <v>30000</v>
      </c>
      <c r="W31" s="1">
        <f ca="1" t="shared" si="6"/>
        <v>30000</v>
      </c>
      <c r="X31" s="5">
        <f ca="1" t="shared" si="16"/>
        <v>195000</v>
      </c>
      <c r="Y31" s="1">
        <f ca="1">控制台!$E$3172*$C31</f>
        <v>20</v>
      </c>
      <c r="Z31" s="1">
        <f ca="1" t="shared" si="17"/>
        <v>20</v>
      </c>
      <c r="AA31" s="5">
        <f ca="1" t="shared" si="18"/>
        <v>130</v>
      </c>
      <c r="AB31" s="1">
        <f ca="1">控制台!$E$3176*$C31</f>
        <v>6</v>
      </c>
      <c r="AC31" s="1">
        <f ca="1" t="shared" si="19"/>
        <v>6</v>
      </c>
      <c r="AD31" s="5">
        <f ca="1" t="shared" si="20"/>
        <v>39</v>
      </c>
    </row>
    <row r="32" spans="1:30">
      <c r="A32" s="10">
        <v>11</v>
      </c>
      <c r="B32" s="1">
        <f t="shared" si="9"/>
        <v>1</v>
      </c>
      <c r="C32" s="13">
        <f ca="1">IF(A32-1&lt;0,控制台!$C$3185,OFFSET(控制台!$C$3185,MATCH(A32-1,控制台!$B$3185:$B$3190,1)-1,0))</f>
        <v>0.2</v>
      </c>
      <c r="D32" s="1">
        <f ca="1">控制台!$E$3140*$C32</f>
        <v>276.48</v>
      </c>
      <c r="E32" s="1">
        <f ca="1" t="shared" si="0"/>
        <v>276.48</v>
      </c>
      <c r="F32" s="5">
        <f ca="1" t="shared" si="10"/>
        <v>2073.6</v>
      </c>
      <c r="G32" s="1">
        <f ca="1">控制台!$E$3144*$C32</f>
        <v>0.3</v>
      </c>
      <c r="H32" s="1">
        <f ca="1" t="shared" si="1"/>
        <v>0.3</v>
      </c>
      <c r="I32" s="5">
        <f ca="1" t="shared" si="11"/>
        <v>2.25</v>
      </c>
      <c r="J32" s="1">
        <f ca="1">控制台!$E$3148*$C32</f>
        <v>60000</v>
      </c>
      <c r="K32" s="1">
        <f ca="1" t="shared" si="2"/>
        <v>60000</v>
      </c>
      <c r="L32" s="5">
        <f ca="1" t="shared" si="12"/>
        <v>450000</v>
      </c>
      <c r="M32" s="1">
        <f ca="1">控制台!$E$3152*$C32</f>
        <v>40</v>
      </c>
      <c r="N32" s="1">
        <f ca="1" t="shared" si="3"/>
        <v>40</v>
      </c>
      <c r="O32" s="5">
        <f ca="1" t="shared" si="13"/>
        <v>300</v>
      </c>
      <c r="P32" s="1">
        <f ca="1">控制台!$E$3156*$C32</f>
        <v>12</v>
      </c>
      <c r="Q32" s="1">
        <f ca="1" t="shared" si="4"/>
        <v>12</v>
      </c>
      <c r="R32" s="5">
        <f ca="1" t="shared" si="14"/>
        <v>90</v>
      </c>
      <c r="S32" s="1">
        <f ca="1">控制台!$E$3160*$C32</f>
        <v>72</v>
      </c>
      <c r="T32" s="1">
        <f ca="1" t="shared" si="5"/>
        <v>72</v>
      </c>
      <c r="U32" s="5">
        <f ca="1" t="shared" si="15"/>
        <v>540</v>
      </c>
      <c r="V32" s="1">
        <f ca="1">控制台!$E$3168*$C32</f>
        <v>30000</v>
      </c>
      <c r="W32" s="1">
        <f ca="1" t="shared" si="6"/>
        <v>30000</v>
      </c>
      <c r="X32" s="5">
        <f ca="1" t="shared" si="16"/>
        <v>225000</v>
      </c>
      <c r="Y32" s="1">
        <f ca="1">控制台!$E$3172*$C32</f>
        <v>20</v>
      </c>
      <c r="Z32" s="1">
        <f ca="1" t="shared" si="17"/>
        <v>20</v>
      </c>
      <c r="AA32" s="5">
        <f ca="1" t="shared" si="18"/>
        <v>150</v>
      </c>
      <c r="AB32" s="1">
        <f ca="1">控制台!$E$3176*$C32</f>
        <v>6</v>
      </c>
      <c r="AC32" s="1">
        <f ca="1" t="shared" si="19"/>
        <v>6</v>
      </c>
      <c r="AD32" s="5">
        <f ca="1" t="shared" si="20"/>
        <v>45</v>
      </c>
    </row>
    <row r="33" spans="1:30">
      <c r="A33" s="10">
        <v>12</v>
      </c>
      <c r="B33" s="1">
        <f t="shared" si="9"/>
        <v>1</v>
      </c>
      <c r="C33" s="13">
        <f ca="1">IF(A33-1&lt;0,控制台!$C$3185,OFFSET(控制台!$C$3185,MATCH(A33-1,控制台!$B$3185:$B$3190,1)-1,0))</f>
        <v>0.2</v>
      </c>
      <c r="D33" s="1">
        <f ca="1">控制台!$E$3140*$C33</f>
        <v>276.48</v>
      </c>
      <c r="E33" s="1">
        <f ca="1" t="shared" si="0"/>
        <v>276.48</v>
      </c>
      <c r="F33" s="5">
        <f ca="1" t="shared" si="10"/>
        <v>2350.08</v>
      </c>
      <c r="G33" s="1">
        <f ca="1">控制台!$E$3144*$C33</f>
        <v>0.3</v>
      </c>
      <c r="H33" s="1">
        <f ca="1" t="shared" si="1"/>
        <v>0.3</v>
      </c>
      <c r="I33" s="5">
        <f ca="1" t="shared" si="11"/>
        <v>2.55</v>
      </c>
      <c r="J33" s="1">
        <f ca="1">控制台!$E$3148*$C33</f>
        <v>60000</v>
      </c>
      <c r="K33" s="1">
        <f ca="1" t="shared" si="2"/>
        <v>60000</v>
      </c>
      <c r="L33" s="5">
        <f ca="1" t="shared" si="12"/>
        <v>510000</v>
      </c>
      <c r="M33" s="1">
        <f ca="1">控制台!$E$3152*$C33</f>
        <v>40</v>
      </c>
      <c r="N33" s="1">
        <f ca="1" t="shared" si="3"/>
        <v>40</v>
      </c>
      <c r="O33" s="5">
        <f ca="1" t="shared" si="13"/>
        <v>340</v>
      </c>
      <c r="P33" s="1">
        <f ca="1">控制台!$E$3156*$C33</f>
        <v>12</v>
      </c>
      <c r="Q33" s="1">
        <f ca="1" t="shared" si="4"/>
        <v>12</v>
      </c>
      <c r="R33" s="5">
        <f ca="1" t="shared" si="14"/>
        <v>102</v>
      </c>
      <c r="S33" s="1">
        <f ca="1">控制台!$E$3160*$C33</f>
        <v>72</v>
      </c>
      <c r="T33" s="1">
        <f ca="1" t="shared" si="5"/>
        <v>72</v>
      </c>
      <c r="U33" s="5">
        <f ca="1" t="shared" si="15"/>
        <v>612</v>
      </c>
      <c r="V33" s="1">
        <f ca="1">控制台!$E$3168*$C33</f>
        <v>30000</v>
      </c>
      <c r="W33" s="1">
        <f ca="1" t="shared" si="6"/>
        <v>30000</v>
      </c>
      <c r="X33" s="5">
        <f ca="1" t="shared" si="16"/>
        <v>255000</v>
      </c>
      <c r="Y33" s="1">
        <f ca="1">控制台!$E$3172*$C33</f>
        <v>20</v>
      </c>
      <c r="Z33" s="1">
        <f ca="1" t="shared" si="17"/>
        <v>20</v>
      </c>
      <c r="AA33" s="5">
        <f ca="1" t="shared" si="18"/>
        <v>170</v>
      </c>
      <c r="AB33" s="1">
        <f ca="1">控制台!$E$3176*$C33</f>
        <v>6</v>
      </c>
      <c r="AC33" s="1">
        <f ca="1" t="shared" si="19"/>
        <v>6</v>
      </c>
      <c r="AD33" s="5">
        <f ca="1" t="shared" si="20"/>
        <v>51</v>
      </c>
    </row>
    <row r="34" spans="1:30">
      <c r="A34" s="10">
        <v>13</v>
      </c>
      <c r="B34" s="1">
        <f t="shared" si="9"/>
        <v>1</v>
      </c>
      <c r="C34" s="13">
        <f ca="1">IF(A34-1&lt;0,控制台!$C$3185,OFFSET(控制台!$C$3185,MATCH(A34-1,控制台!$B$3185:$B$3190,1)-1,0))</f>
        <v>0.2</v>
      </c>
      <c r="D34" s="1">
        <f ca="1">控制台!$E$3140*$C34</f>
        <v>276.48</v>
      </c>
      <c r="E34" s="1">
        <f ca="1" t="shared" si="0"/>
        <v>276.48</v>
      </c>
      <c r="F34" s="5">
        <f ca="1" t="shared" si="10"/>
        <v>2626.56</v>
      </c>
      <c r="G34" s="1">
        <f ca="1">控制台!$E$3144*$C34</f>
        <v>0.3</v>
      </c>
      <c r="H34" s="1">
        <f ca="1" t="shared" si="1"/>
        <v>0.3</v>
      </c>
      <c r="I34" s="5">
        <f ca="1" t="shared" si="11"/>
        <v>2.85</v>
      </c>
      <c r="J34" s="1">
        <f ca="1">控制台!$E$3148*$C34</f>
        <v>60000</v>
      </c>
      <c r="K34" s="1">
        <f ca="1" t="shared" si="2"/>
        <v>60000</v>
      </c>
      <c r="L34" s="5">
        <f ca="1" t="shared" si="12"/>
        <v>570000</v>
      </c>
      <c r="M34" s="1">
        <f ca="1">控制台!$E$3152*$C34</f>
        <v>40</v>
      </c>
      <c r="N34" s="1">
        <f ca="1" t="shared" si="3"/>
        <v>40</v>
      </c>
      <c r="O34" s="5">
        <f ca="1" t="shared" si="13"/>
        <v>380</v>
      </c>
      <c r="P34" s="1">
        <f ca="1">控制台!$E$3156*$C34</f>
        <v>12</v>
      </c>
      <c r="Q34" s="1">
        <f ca="1" t="shared" si="4"/>
        <v>12</v>
      </c>
      <c r="R34" s="5">
        <f ca="1" t="shared" si="14"/>
        <v>114</v>
      </c>
      <c r="S34" s="1">
        <f ca="1">控制台!$E$3160*$C34</f>
        <v>72</v>
      </c>
      <c r="T34" s="1">
        <f ca="1" t="shared" si="5"/>
        <v>72</v>
      </c>
      <c r="U34" s="5">
        <f ca="1" t="shared" si="15"/>
        <v>684</v>
      </c>
      <c r="V34" s="1">
        <f ca="1">控制台!$E$3168*$C34</f>
        <v>30000</v>
      </c>
      <c r="W34" s="1">
        <f ca="1" t="shared" si="6"/>
        <v>30000</v>
      </c>
      <c r="X34" s="5">
        <f ca="1" t="shared" si="16"/>
        <v>285000</v>
      </c>
      <c r="Y34" s="1">
        <f ca="1">控制台!$E$3172*$C34</f>
        <v>20</v>
      </c>
      <c r="Z34" s="1">
        <f ca="1" t="shared" si="17"/>
        <v>20</v>
      </c>
      <c r="AA34" s="5">
        <f ca="1" t="shared" si="18"/>
        <v>190</v>
      </c>
      <c r="AB34" s="1">
        <f ca="1">控制台!$E$3176*$C34</f>
        <v>6</v>
      </c>
      <c r="AC34" s="1">
        <f ca="1" t="shared" si="19"/>
        <v>6</v>
      </c>
      <c r="AD34" s="5">
        <f ca="1" t="shared" si="20"/>
        <v>57</v>
      </c>
    </row>
    <row r="35" spans="1:30">
      <c r="A35" s="10">
        <v>14</v>
      </c>
      <c r="B35" s="1">
        <f t="shared" si="9"/>
        <v>1</v>
      </c>
      <c r="C35" s="13">
        <f ca="1">IF(A35-1&lt;0,控制台!$C$3185,OFFSET(控制台!$C$3185,MATCH(A35-1,控制台!$B$3185:$B$3190,1)-1,0))</f>
        <v>0.2</v>
      </c>
      <c r="D35" s="1">
        <f ca="1">控制台!$E$3140*$C35</f>
        <v>276.48</v>
      </c>
      <c r="E35" s="1">
        <f ca="1" t="shared" si="0"/>
        <v>276.48</v>
      </c>
      <c r="F35" s="5">
        <f ca="1" t="shared" si="10"/>
        <v>2903.04</v>
      </c>
      <c r="G35" s="1">
        <f ca="1">控制台!$E$3144*$C35</f>
        <v>0.3</v>
      </c>
      <c r="H35" s="1">
        <f ca="1" t="shared" si="1"/>
        <v>0.3</v>
      </c>
      <c r="I35" s="5">
        <f ca="1" t="shared" si="11"/>
        <v>3.15</v>
      </c>
      <c r="J35" s="1">
        <f ca="1">控制台!$E$3148*$C35</f>
        <v>60000</v>
      </c>
      <c r="K35" s="1">
        <f ca="1" t="shared" si="2"/>
        <v>60000</v>
      </c>
      <c r="L35" s="5">
        <f ca="1" t="shared" si="12"/>
        <v>630000</v>
      </c>
      <c r="M35" s="1">
        <f ca="1">控制台!$E$3152*$C35</f>
        <v>40</v>
      </c>
      <c r="N35" s="1">
        <f ca="1" t="shared" si="3"/>
        <v>40</v>
      </c>
      <c r="O35" s="5">
        <f ca="1" t="shared" si="13"/>
        <v>420</v>
      </c>
      <c r="P35" s="1">
        <f ca="1">控制台!$E$3156*$C35</f>
        <v>12</v>
      </c>
      <c r="Q35" s="1">
        <f ca="1" t="shared" si="4"/>
        <v>12</v>
      </c>
      <c r="R35" s="5">
        <f ca="1" t="shared" si="14"/>
        <v>126</v>
      </c>
      <c r="S35" s="1">
        <f ca="1">控制台!$E$3160*$C35</f>
        <v>72</v>
      </c>
      <c r="T35" s="1">
        <f ca="1" t="shared" si="5"/>
        <v>72</v>
      </c>
      <c r="U35" s="5">
        <f ca="1" t="shared" si="15"/>
        <v>756</v>
      </c>
      <c r="V35" s="1">
        <f ca="1">控制台!$E$3168*$C35</f>
        <v>30000</v>
      </c>
      <c r="W35" s="1">
        <f ca="1" t="shared" si="6"/>
        <v>30000</v>
      </c>
      <c r="X35" s="5">
        <f ca="1" t="shared" si="16"/>
        <v>315000</v>
      </c>
      <c r="Y35" s="1">
        <f ca="1">控制台!$E$3172*$C35</f>
        <v>20</v>
      </c>
      <c r="Z35" s="1">
        <f ca="1" t="shared" si="17"/>
        <v>20</v>
      </c>
      <c r="AA35" s="5">
        <f ca="1" t="shared" si="18"/>
        <v>210</v>
      </c>
      <c r="AB35" s="1">
        <f ca="1">控制台!$E$3176*$C35</f>
        <v>6</v>
      </c>
      <c r="AC35" s="1">
        <f ca="1" t="shared" si="19"/>
        <v>6</v>
      </c>
      <c r="AD35" s="5">
        <f ca="1" t="shared" si="20"/>
        <v>63</v>
      </c>
    </row>
    <row r="36" spans="1:30">
      <c r="A36" s="10">
        <v>15</v>
      </c>
      <c r="B36" s="1">
        <f t="shared" si="9"/>
        <v>1</v>
      </c>
      <c r="C36" s="13">
        <f ca="1">IF(A36-1&lt;0,控制台!$C$3185,OFFSET(控制台!$C$3185,MATCH(A36-1,控制台!$B$3185:$B$3190,1)-1,0))</f>
        <v>0.4</v>
      </c>
      <c r="D36" s="1">
        <f ca="1">控制台!$E$3140*$C36</f>
        <v>552.96</v>
      </c>
      <c r="E36" s="1">
        <f ca="1" t="shared" si="0"/>
        <v>552.96</v>
      </c>
      <c r="F36" s="5">
        <f ca="1" t="shared" si="10"/>
        <v>3456</v>
      </c>
      <c r="G36" s="1">
        <f ca="1">控制台!$E$3144*$C36</f>
        <v>0.6</v>
      </c>
      <c r="H36" s="1">
        <f ca="1" t="shared" si="1"/>
        <v>0.6</v>
      </c>
      <c r="I36" s="5">
        <f ca="1" t="shared" si="11"/>
        <v>3.75</v>
      </c>
      <c r="J36" s="1">
        <f ca="1">控制台!$E$3148*$C36</f>
        <v>120000</v>
      </c>
      <c r="K36" s="1">
        <f ca="1" t="shared" si="2"/>
        <v>120000</v>
      </c>
      <c r="L36" s="5">
        <f ca="1" t="shared" si="12"/>
        <v>750000</v>
      </c>
      <c r="M36" s="1">
        <f ca="1">控制台!$E$3152*$C36</f>
        <v>80</v>
      </c>
      <c r="N36" s="1">
        <f ca="1" t="shared" si="3"/>
        <v>80</v>
      </c>
      <c r="O36" s="5">
        <f ca="1" t="shared" si="13"/>
        <v>500</v>
      </c>
      <c r="P36" s="1">
        <f ca="1">控制台!$E$3156*$C36</f>
        <v>24</v>
      </c>
      <c r="Q36" s="1">
        <f ca="1" t="shared" si="4"/>
        <v>24</v>
      </c>
      <c r="R36" s="5">
        <f ca="1" t="shared" si="14"/>
        <v>150</v>
      </c>
      <c r="S36" s="1">
        <f ca="1">控制台!$E$3160*$C36</f>
        <v>144</v>
      </c>
      <c r="T36" s="1">
        <f ca="1" t="shared" si="5"/>
        <v>144</v>
      </c>
      <c r="U36" s="5">
        <f ca="1" t="shared" si="15"/>
        <v>900</v>
      </c>
      <c r="V36" s="1">
        <f ca="1">控制台!$E$3168*$C36</f>
        <v>60000</v>
      </c>
      <c r="W36" s="1">
        <f ca="1" t="shared" si="6"/>
        <v>60000</v>
      </c>
      <c r="X36" s="5">
        <f ca="1" t="shared" si="16"/>
        <v>375000</v>
      </c>
      <c r="Y36" s="1">
        <f ca="1">控制台!$E$3172*$C36</f>
        <v>40</v>
      </c>
      <c r="Z36" s="1">
        <f ca="1" t="shared" si="17"/>
        <v>40</v>
      </c>
      <c r="AA36" s="5">
        <f ca="1" t="shared" si="18"/>
        <v>250</v>
      </c>
      <c r="AB36" s="1">
        <f ca="1">控制台!$E$3176*$C36</f>
        <v>12</v>
      </c>
      <c r="AC36" s="1">
        <f ca="1" t="shared" si="19"/>
        <v>12</v>
      </c>
      <c r="AD36" s="5">
        <f ca="1" t="shared" si="20"/>
        <v>75</v>
      </c>
    </row>
    <row r="37" spans="1:30">
      <c r="A37" s="10">
        <v>16</v>
      </c>
      <c r="B37" s="1">
        <f t="shared" si="9"/>
        <v>1</v>
      </c>
      <c r="C37" s="13">
        <f ca="1">IF(A37-1&lt;0,控制台!$C$3185,OFFSET(控制台!$C$3185,MATCH(A37-1,控制台!$B$3185:$B$3190,1)-1,0))</f>
        <v>0.4</v>
      </c>
      <c r="D37" s="1">
        <f ca="1">控制台!$E$3140*$C37</f>
        <v>552.96</v>
      </c>
      <c r="E37" s="1">
        <f ca="1" t="shared" si="0"/>
        <v>552.96</v>
      </c>
      <c r="F37" s="5">
        <f ca="1" t="shared" si="10"/>
        <v>4008.96</v>
      </c>
      <c r="G37" s="1">
        <f ca="1">控制台!$E$3144*$C37</f>
        <v>0.6</v>
      </c>
      <c r="H37" s="1">
        <f ca="1" t="shared" si="1"/>
        <v>0.6</v>
      </c>
      <c r="I37" s="5">
        <f ca="1" t="shared" si="11"/>
        <v>4.35</v>
      </c>
      <c r="J37" s="1">
        <f ca="1">控制台!$E$3148*$C37</f>
        <v>120000</v>
      </c>
      <c r="K37" s="1">
        <f ca="1" t="shared" si="2"/>
        <v>120000</v>
      </c>
      <c r="L37" s="5">
        <f ca="1" t="shared" si="12"/>
        <v>870000</v>
      </c>
      <c r="M37" s="1">
        <f ca="1">控制台!$E$3152*$C37</f>
        <v>80</v>
      </c>
      <c r="N37" s="1">
        <f ca="1" t="shared" si="3"/>
        <v>80</v>
      </c>
      <c r="O37" s="5">
        <f ca="1" t="shared" si="13"/>
        <v>580</v>
      </c>
      <c r="P37" s="1">
        <f ca="1">控制台!$E$3156*$C37</f>
        <v>24</v>
      </c>
      <c r="Q37" s="1">
        <f ca="1" t="shared" si="4"/>
        <v>24</v>
      </c>
      <c r="R37" s="5">
        <f ca="1" t="shared" si="14"/>
        <v>174</v>
      </c>
      <c r="S37" s="1">
        <f ca="1">控制台!$E$3160*$C37</f>
        <v>144</v>
      </c>
      <c r="T37" s="1">
        <f ca="1" t="shared" si="5"/>
        <v>144</v>
      </c>
      <c r="U37" s="5">
        <f ca="1" t="shared" si="15"/>
        <v>1044</v>
      </c>
      <c r="V37" s="1">
        <f ca="1">控制台!$E$3168*$C37</f>
        <v>60000</v>
      </c>
      <c r="W37" s="1">
        <f ca="1" t="shared" si="6"/>
        <v>60000</v>
      </c>
      <c r="X37" s="5">
        <f ca="1" t="shared" si="16"/>
        <v>435000</v>
      </c>
      <c r="Y37" s="1">
        <f ca="1">控制台!$E$3172*$C37</f>
        <v>40</v>
      </c>
      <c r="Z37" s="1">
        <f ca="1" t="shared" si="17"/>
        <v>40</v>
      </c>
      <c r="AA37" s="5">
        <f ca="1" t="shared" si="18"/>
        <v>290</v>
      </c>
      <c r="AB37" s="1">
        <f ca="1">控制台!$E$3176*$C37</f>
        <v>12</v>
      </c>
      <c r="AC37" s="1">
        <f ca="1" t="shared" si="19"/>
        <v>12</v>
      </c>
      <c r="AD37" s="5">
        <f ca="1" t="shared" si="20"/>
        <v>87</v>
      </c>
    </row>
    <row r="38" spans="1:30">
      <c r="A38" s="10">
        <v>17</v>
      </c>
      <c r="B38" s="1">
        <f t="shared" si="9"/>
        <v>1</v>
      </c>
      <c r="C38" s="13">
        <f ca="1">IF(A38-1&lt;0,控制台!$C$3185,OFFSET(控制台!$C$3185,MATCH(A38-1,控制台!$B$3185:$B$3190,1)-1,0))</f>
        <v>0.4</v>
      </c>
      <c r="D38" s="1">
        <f ca="1">控制台!$E$3140*$C38</f>
        <v>552.96</v>
      </c>
      <c r="E38" s="1">
        <f ca="1" t="shared" si="0"/>
        <v>552.96</v>
      </c>
      <c r="F38" s="5">
        <f ca="1" t="shared" si="10"/>
        <v>4561.92</v>
      </c>
      <c r="G38" s="1">
        <f ca="1">控制台!$E$3144*$C38</f>
        <v>0.6</v>
      </c>
      <c r="H38" s="1">
        <f ca="1" t="shared" si="1"/>
        <v>0.6</v>
      </c>
      <c r="I38" s="5">
        <f ca="1" t="shared" si="11"/>
        <v>4.95</v>
      </c>
      <c r="J38" s="1">
        <f ca="1">控制台!$E$3148*$C38</f>
        <v>120000</v>
      </c>
      <c r="K38" s="1">
        <f ca="1" t="shared" si="2"/>
        <v>120000</v>
      </c>
      <c r="L38" s="5">
        <f ca="1" t="shared" si="12"/>
        <v>990000</v>
      </c>
      <c r="M38" s="1">
        <f ca="1">控制台!$E$3152*$C38</f>
        <v>80</v>
      </c>
      <c r="N38" s="1">
        <f ca="1" t="shared" si="3"/>
        <v>80</v>
      </c>
      <c r="O38" s="5">
        <f ca="1" t="shared" si="13"/>
        <v>660</v>
      </c>
      <c r="P38" s="1">
        <f ca="1">控制台!$E$3156*$C38</f>
        <v>24</v>
      </c>
      <c r="Q38" s="1">
        <f ca="1" t="shared" si="4"/>
        <v>24</v>
      </c>
      <c r="R38" s="5">
        <f ca="1" t="shared" si="14"/>
        <v>198</v>
      </c>
      <c r="S38" s="1">
        <f ca="1">控制台!$E$3160*$C38</f>
        <v>144</v>
      </c>
      <c r="T38" s="1">
        <f ca="1" t="shared" si="5"/>
        <v>144</v>
      </c>
      <c r="U38" s="5">
        <f ca="1" t="shared" si="15"/>
        <v>1188</v>
      </c>
      <c r="V38" s="1">
        <f ca="1">控制台!$E$3168*$C38</f>
        <v>60000</v>
      </c>
      <c r="W38" s="1">
        <f ca="1" t="shared" si="6"/>
        <v>60000</v>
      </c>
      <c r="X38" s="5">
        <f ca="1" t="shared" si="16"/>
        <v>495000</v>
      </c>
      <c r="Y38" s="1">
        <f ca="1">控制台!$E$3172*$C38</f>
        <v>40</v>
      </c>
      <c r="Z38" s="1">
        <f ca="1" t="shared" si="17"/>
        <v>40</v>
      </c>
      <c r="AA38" s="5">
        <f ca="1" t="shared" si="18"/>
        <v>330</v>
      </c>
      <c r="AB38" s="1">
        <f ca="1">控制台!$E$3176*$C38</f>
        <v>12</v>
      </c>
      <c r="AC38" s="1">
        <f ca="1" t="shared" si="19"/>
        <v>12</v>
      </c>
      <c r="AD38" s="5">
        <f ca="1" t="shared" si="20"/>
        <v>99</v>
      </c>
    </row>
    <row r="39" spans="1:30">
      <c r="A39" s="10">
        <v>18</v>
      </c>
      <c r="B39" s="1">
        <f t="shared" si="9"/>
        <v>1</v>
      </c>
      <c r="C39" s="13">
        <f ca="1">IF(A39-1&lt;0,控制台!$C$3185,OFFSET(控制台!$C$3185,MATCH(A39-1,控制台!$B$3185:$B$3190,1)-1,0))</f>
        <v>0.4</v>
      </c>
      <c r="D39" s="1">
        <f ca="1">控制台!$E$3140*$C39</f>
        <v>552.96</v>
      </c>
      <c r="E39" s="1">
        <f ca="1" t="shared" si="0"/>
        <v>552.96</v>
      </c>
      <c r="F39" s="5">
        <f ca="1" t="shared" si="10"/>
        <v>5114.88</v>
      </c>
      <c r="G39" s="1">
        <f ca="1">控制台!$E$3144*$C39</f>
        <v>0.6</v>
      </c>
      <c r="H39" s="1">
        <f ca="1" t="shared" si="1"/>
        <v>0.6</v>
      </c>
      <c r="I39" s="5">
        <f ca="1" t="shared" si="11"/>
        <v>5.55</v>
      </c>
      <c r="J39" s="1">
        <f ca="1">控制台!$E$3148*$C39</f>
        <v>120000</v>
      </c>
      <c r="K39" s="1">
        <f ca="1" t="shared" si="2"/>
        <v>120000</v>
      </c>
      <c r="L39" s="5">
        <f ca="1" t="shared" si="12"/>
        <v>1110000</v>
      </c>
      <c r="M39" s="1">
        <f ca="1">控制台!$E$3152*$C39</f>
        <v>80</v>
      </c>
      <c r="N39" s="1">
        <f ca="1" t="shared" si="3"/>
        <v>80</v>
      </c>
      <c r="O39" s="5">
        <f ca="1" t="shared" si="13"/>
        <v>740</v>
      </c>
      <c r="P39" s="1">
        <f ca="1">控制台!$E$3156*$C39</f>
        <v>24</v>
      </c>
      <c r="Q39" s="1">
        <f ca="1" t="shared" si="4"/>
        <v>24</v>
      </c>
      <c r="R39" s="5">
        <f ca="1" t="shared" si="14"/>
        <v>222</v>
      </c>
      <c r="S39" s="1">
        <f ca="1">控制台!$E$3160*$C39</f>
        <v>144</v>
      </c>
      <c r="T39" s="1">
        <f ca="1" t="shared" si="5"/>
        <v>144</v>
      </c>
      <c r="U39" s="5">
        <f ca="1" t="shared" si="15"/>
        <v>1332</v>
      </c>
      <c r="V39" s="1">
        <f ca="1">控制台!$E$3168*$C39</f>
        <v>60000</v>
      </c>
      <c r="W39" s="1">
        <f ca="1" t="shared" si="6"/>
        <v>60000</v>
      </c>
      <c r="X39" s="5">
        <f ca="1" t="shared" si="16"/>
        <v>555000</v>
      </c>
      <c r="Y39" s="1">
        <f ca="1">控制台!$E$3172*$C39</f>
        <v>40</v>
      </c>
      <c r="Z39" s="1">
        <f ca="1" t="shared" si="17"/>
        <v>40</v>
      </c>
      <c r="AA39" s="5">
        <f ca="1" t="shared" si="18"/>
        <v>370</v>
      </c>
      <c r="AB39" s="1">
        <f ca="1">控制台!$E$3176*$C39</f>
        <v>12</v>
      </c>
      <c r="AC39" s="1">
        <f ca="1" t="shared" si="19"/>
        <v>12</v>
      </c>
      <c r="AD39" s="5">
        <f ca="1" t="shared" si="20"/>
        <v>111</v>
      </c>
    </row>
    <row r="40" spans="1:30">
      <c r="A40" s="10">
        <v>19</v>
      </c>
      <c r="B40" s="1">
        <f t="shared" si="9"/>
        <v>1</v>
      </c>
      <c r="C40" s="13">
        <f ca="1">IF(A40-1&lt;0,控制台!$C$3185,OFFSET(控制台!$C$3185,MATCH(A40-1,控制台!$B$3185:$B$3190,1)-1,0))</f>
        <v>0.4</v>
      </c>
      <c r="D40" s="1">
        <f ca="1">控制台!$E$3140*$C40</f>
        <v>552.96</v>
      </c>
      <c r="E40" s="1">
        <f ca="1" t="shared" si="0"/>
        <v>552.96</v>
      </c>
      <c r="F40" s="5">
        <f ca="1" t="shared" si="10"/>
        <v>5667.84</v>
      </c>
      <c r="G40" s="1">
        <f ca="1">控制台!$E$3144*$C40</f>
        <v>0.6</v>
      </c>
      <c r="H40" s="1">
        <f ca="1" t="shared" si="1"/>
        <v>0.6</v>
      </c>
      <c r="I40" s="5">
        <f ca="1" t="shared" si="11"/>
        <v>6.15</v>
      </c>
      <c r="J40" s="1">
        <f ca="1">控制台!$E$3148*$C40</f>
        <v>120000</v>
      </c>
      <c r="K40" s="1">
        <f ca="1" t="shared" si="2"/>
        <v>120000</v>
      </c>
      <c r="L40" s="5">
        <f ca="1" t="shared" si="12"/>
        <v>1230000</v>
      </c>
      <c r="M40" s="1">
        <f ca="1">控制台!$E$3152*$C40</f>
        <v>80</v>
      </c>
      <c r="N40" s="1">
        <f ca="1" t="shared" si="3"/>
        <v>80</v>
      </c>
      <c r="O40" s="5">
        <f ca="1" t="shared" si="13"/>
        <v>820</v>
      </c>
      <c r="P40" s="1">
        <f ca="1">控制台!$E$3156*$C40</f>
        <v>24</v>
      </c>
      <c r="Q40" s="1">
        <f ca="1" t="shared" si="4"/>
        <v>24</v>
      </c>
      <c r="R40" s="5">
        <f ca="1" t="shared" si="14"/>
        <v>246</v>
      </c>
      <c r="S40" s="1">
        <f ca="1">控制台!$E$3160*$C40</f>
        <v>144</v>
      </c>
      <c r="T40" s="1">
        <f ca="1" t="shared" si="5"/>
        <v>144</v>
      </c>
      <c r="U40" s="5">
        <f ca="1" t="shared" si="15"/>
        <v>1476</v>
      </c>
      <c r="V40" s="1">
        <f ca="1">控制台!$E$3168*$C40</f>
        <v>60000</v>
      </c>
      <c r="W40" s="1">
        <f ca="1" t="shared" si="6"/>
        <v>60000</v>
      </c>
      <c r="X40" s="5">
        <f ca="1" t="shared" si="16"/>
        <v>615000</v>
      </c>
      <c r="Y40" s="1">
        <f ca="1">控制台!$E$3172*$C40</f>
        <v>40</v>
      </c>
      <c r="Z40" s="1">
        <f ca="1" t="shared" si="17"/>
        <v>40</v>
      </c>
      <c r="AA40" s="5">
        <f ca="1" t="shared" si="18"/>
        <v>410</v>
      </c>
      <c r="AB40" s="1">
        <f ca="1">控制台!$E$3176*$C40</f>
        <v>12</v>
      </c>
      <c r="AC40" s="1">
        <f ca="1" t="shared" si="19"/>
        <v>12</v>
      </c>
      <c r="AD40" s="5">
        <f ca="1" t="shared" si="20"/>
        <v>123</v>
      </c>
    </row>
    <row r="41" spans="1:30">
      <c r="A41" s="10">
        <v>20</v>
      </c>
      <c r="B41" s="1">
        <f t="shared" si="9"/>
        <v>1</v>
      </c>
      <c r="C41" s="13">
        <f ca="1">IF(A41-1&lt;0,控制台!$C$3185,OFFSET(控制台!$C$3185,MATCH(A41-1,控制台!$B$3185:$B$3190,1)-1,0))</f>
        <v>0.4</v>
      </c>
      <c r="D41" s="1">
        <f ca="1">控制台!$E$3140*$C41</f>
        <v>552.96</v>
      </c>
      <c r="E41" s="1">
        <f ca="1" t="shared" si="0"/>
        <v>552.96</v>
      </c>
      <c r="F41" s="5">
        <f ca="1" t="shared" si="10"/>
        <v>6220.8</v>
      </c>
      <c r="G41" s="1">
        <f ca="1">控制台!$E$3144*$C41</f>
        <v>0.6</v>
      </c>
      <c r="H41" s="1">
        <f ca="1" t="shared" si="1"/>
        <v>0.6</v>
      </c>
      <c r="I41" s="5">
        <f ca="1" t="shared" si="11"/>
        <v>6.75</v>
      </c>
      <c r="J41" s="1">
        <f ca="1">控制台!$E$3148*$C41</f>
        <v>120000</v>
      </c>
      <c r="K41" s="1">
        <f ca="1" t="shared" si="2"/>
        <v>120000</v>
      </c>
      <c r="L41" s="5">
        <f ca="1" t="shared" si="12"/>
        <v>1350000</v>
      </c>
      <c r="M41" s="1">
        <f ca="1">控制台!$E$3152*$C41</f>
        <v>80</v>
      </c>
      <c r="N41" s="1">
        <f ca="1" t="shared" si="3"/>
        <v>80</v>
      </c>
      <c r="O41" s="5">
        <f ca="1" t="shared" si="13"/>
        <v>900</v>
      </c>
      <c r="P41" s="1">
        <f ca="1">控制台!$E$3156*$C41</f>
        <v>24</v>
      </c>
      <c r="Q41" s="1">
        <f ca="1" t="shared" si="4"/>
        <v>24</v>
      </c>
      <c r="R41" s="5">
        <f ca="1" t="shared" si="14"/>
        <v>270</v>
      </c>
      <c r="S41" s="1">
        <f ca="1">控制台!$E$3160*$C41</f>
        <v>144</v>
      </c>
      <c r="T41" s="1">
        <f ca="1" t="shared" si="5"/>
        <v>144</v>
      </c>
      <c r="U41" s="5">
        <f ca="1" t="shared" si="15"/>
        <v>1620</v>
      </c>
      <c r="V41" s="1">
        <f ca="1">控制台!$E$3168*$C41</f>
        <v>60000</v>
      </c>
      <c r="W41" s="1">
        <f ca="1" t="shared" si="6"/>
        <v>60000</v>
      </c>
      <c r="X41" s="5">
        <f ca="1" t="shared" si="16"/>
        <v>675000</v>
      </c>
      <c r="Y41" s="1">
        <f ca="1">控制台!$E$3172*$C41</f>
        <v>40</v>
      </c>
      <c r="Z41" s="1">
        <f ca="1" t="shared" si="17"/>
        <v>40</v>
      </c>
      <c r="AA41" s="5">
        <f ca="1" t="shared" si="18"/>
        <v>450</v>
      </c>
      <c r="AB41" s="1">
        <f ca="1">控制台!$E$3176*$C41</f>
        <v>12</v>
      </c>
      <c r="AC41" s="1">
        <f ca="1" t="shared" si="19"/>
        <v>12</v>
      </c>
      <c r="AD41" s="5">
        <f ca="1" t="shared" si="20"/>
        <v>135</v>
      </c>
    </row>
    <row r="42" spans="1:30">
      <c r="A42" s="10">
        <v>21</v>
      </c>
      <c r="B42" s="1">
        <f t="shared" si="9"/>
        <v>1</v>
      </c>
      <c r="C42" s="13">
        <f ca="1">IF(A42-1&lt;0,控制台!$C$3185,OFFSET(控制台!$C$3185,MATCH(A42-1,控制台!$B$3185:$B$3190,1)-1,0))</f>
        <v>0.4</v>
      </c>
      <c r="D42" s="1">
        <f ca="1">控制台!$E$3140*$C42</f>
        <v>552.96</v>
      </c>
      <c r="E42" s="1">
        <f ca="1" t="shared" si="0"/>
        <v>552.96</v>
      </c>
      <c r="F42" s="5">
        <f ca="1" t="shared" si="10"/>
        <v>6773.76</v>
      </c>
      <c r="G42" s="1">
        <f ca="1">控制台!$E$3144*$C42</f>
        <v>0.6</v>
      </c>
      <c r="H42" s="1">
        <f ca="1" t="shared" si="1"/>
        <v>0.6</v>
      </c>
      <c r="I42" s="5">
        <f ca="1" t="shared" si="11"/>
        <v>7.35</v>
      </c>
      <c r="J42" s="1">
        <f ca="1">控制台!$E$3148*$C42</f>
        <v>120000</v>
      </c>
      <c r="K42" s="1">
        <f ca="1" t="shared" si="2"/>
        <v>120000</v>
      </c>
      <c r="L42" s="5">
        <f ca="1" t="shared" si="12"/>
        <v>1470000</v>
      </c>
      <c r="M42" s="1">
        <f ca="1">控制台!$E$3152*$C42</f>
        <v>80</v>
      </c>
      <c r="N42" s="1">
        <f ca="1" t="shared" si="3"/>
        <v>80</v>
      </c>
      <c r="O42" s="5">
        <f ca="1" t="shared" si="13"/>
        <v>980</v>
      </c>
      <c r="P42" s="1">
        <f ca="1">控制台!$E$3156*$C42</f>
        <v>24</v>
      </c>
      <c r="Q42" s="1">
        <f ca="1" t="shared" si="4"/>
        <v>24</v>
      </c>
      <c r="R42" s="5">
        <f ca="1" t="shared" si="14"/>
        <v>294</v>
      </c>
      <c r="S42" s="1">
        <f ca="1">控制台!$E$3160*$C42</f>
        <v>144</v>
      </c>
      <c r="T42" s="1">
        <f ca="1" t="shared" si="5"/>
        <v>144</v>
      </c>
      <c r="U42" s="5">
        <f ca="1" t="shared" si="15"/>
        <v>1764</v>
      </c>
      <c r="V42" s="1">
        <f ca="1">控制台!$E$3168*$C42</f>
        <v>60000</v>
      </c>
      <c r="W42" s="1">
        <f ca="1" t="shared" si="6"/>
        <v>60000</v>
      </c>
      <c r="X42" s="5">
        <f ca="1" t="shared" si="16"/>
        <v>735000</v>
      </c>
      <c r="Y42" s="1">
        <f ca="1">控制台!$E$3172*$C42</f>
        <v>40</v>
      </c>
      <c r="Z42" s="1">
        <f ca="1" t="shared" si="17"/>
        <v>40</v>
      </c>
      <c r="AA42" s="5">
        <f ca="1" t="shared" si="18"/>
        <v>490</v>
      </c>
      <c r="AB42" s="1">
        <f ca="1">控制台!$E$3176*$C42</f>
        <v>12</v>
      </c>
      <c r="AC42" s="1">
        <f ca="1" t="shared" si="19"/>
        <v>12</v>
      </c>
      <c r="AD42" s="5">
        <f ca="1" t="shared" si="20"/>
        <v>147</v>
      </c>
    </row>
    <row r="43" spans="1:30">
      <c r="A43" s="10">
        <v>22</v>
      </c>
      <c r="B43" s="1">
        <f t="shared" si="9"/>
        <v>1</v>
      </c>
      <c r="C43" s="13">
        <f ca="1">IF(A43-1&lt;0,控制台!$C$3185,OFFSET(控制台!$C$3185,MATCH(A43-1,控制台!$B$3185:$B$3190,1)-1,0))</f>
        <v>0.4</v>
      </c>
      <c r="D43" s="1">
        <f ca="1">控制台!$E$3140*$C43</f>
        <v>552.96</v>
      </c>
      <c r="E43" s="1">
        <f ca="1" t="shared" si="0"/>
        <v>552.96</v>
      </c>
      <c r="F43" s="5">
        <f ca="1" t="shared" si="10"/>
        <v>7326.72</v>
      </c>
      <c r="G43" s="1">
        <f ca="1">控制台!$E$3144*$C43</f>
        <v>0.6</v>
      </c>
      <c r="H43" s="1">
        <f ca="1" t="shared" si="1"/>
        <v>0.6</v>
      </c>
      <c r="I43" s="5">
        <f ca="1" t="shared" si="11"/>
        <v>7.95</v>
      </c>
      <c r="J43" s="1">
        <f ca="1">控制台!$E$3148*$C43</f>
        <v>120000</v>
      </c>
      <c r="K43" s="1">
        <f ca="1" t="shared" si="2"/>
        <v>120000</v>
      </c>
      <c r="L43" s="5">
        <f ca="1" t="shared" si="12"/>
        <v>1590000</v>
      </c>
      <c r="M43" s="1">
        <f ca="1">控制台!$E$3152*$C43</f>
        <v>80</v>
      </c>
      <c r="N43" s="1">
        <f ca="1" t="shared" si="3"/>
        <v>80</v>
      </c>
      <c r="O43" s="5">
        <f ca="1" t="shared" si="13"/>
        <v>1060</v>
      </c>
      <c r="P43" s="1">
        <f ca="1">控制台!$E$3156*$C43</f>
        <v>24</v>
      </c>
      <c r="Q43" s="1">
        <f ca="1" t="shared" si="4"/>
        <v>24</v>
      </c>
      <c r="R43" s="5">
        <f ca="1" t="shared" si="14"/>
        <v>318</v>
      </c>
      <c r="S43" s="1">
        <f ca="1">控制台!$E$3160*$C43</f>
        <v>144</v>
      </c>
      <c r="T43" s="1">
        <f ca="1" t="shared" si="5"/>
        <v>144</v>
      </c>
      <c r="U43" s="5">
        <f ca="1" t="shared" si="15"/>
        <v>1908</v>
      </c>
      <c r="V43" s="1">
        <f ca="1">控制台!$E$3168*$C43</f>
        <v>60000</v>
      </c>
      <c r="W43" s="1">
        <f ca="1" t="shared" si="6"/>
        <v>60000</v>
      </c>
      <c r="X43" s="5">
        <f ca="1" t="shared" si="16"/>
        <v>795000</v>
      </c>
      <c r="Y43" s="1">
        <f ca="1">控制台!$E$3172*$C43</f>
        <v>40</v>
      </c>
      <c r="Z43" s="1">
        <f ca="1" t="shared" si="17"/>
        <v>40</v>
      </c>
      <c r="AA43" s="5">
        <f ca="1" t="shared" si="18"/>
        <v>530</v>
      </c>
      <c r="AB43" s="1">
        <f ca="1">控制台!$E$3176*$C43</f>
        <v>12</v>
      </c>
      <c r="AC43" s="1">
        <f ca="1" t="shared" si="19"/>
        <v>12</v>
      </c>
      <c r="AD43" s="5">
        <f ca="1" t="shared" si="20"/>
        <v>159</v>
      </c>
    </row>
    <row r="44" spans="1:30">
      <c r="A44" s="10">
        <v>23</v>
      </c>
      <c r="B44" s="1">
        <f t="shared" si="9"/>
        <v>1</v>
      </c>
      <c r="C44" s="13">
        <f ca="1">IF(A44-1&lt;0,控制台!$C$3185,OFFSET(控制台!$C$3185,MATCH(A44-1,控制台!$B$3185:$B$3190,1)-1,0))</f>
        <v>0.4</v>
      </c>
      <c r="D44" s="1">
        <f ca="1">控制台!$E$3140*$C44</f>
        <v>552.96</v>
      </c>
      <c r="E44" s="1">
        <f ca="1" t="shared" si="0"/>
        <v>552.96</v>
      </c>
      <c r="F44" s="5">
        <f ca="1" t="shared" si="10"/>
        <v>7879.68</v>
      </c>
      <c r="G44" s="1">
        <f ca="1">控制台!$E$3144*$C44</f>
        <v>0.6</v>
      </c>
      <c r="H44" s="1">
        <f ca="1" t="shared" si="1"/>
        <v>0.6</v>
      </c>
      <c r="I44" s="5">
        <f ca="1" t="shared" si="11"/>
        <v>8.55</v>
      </c>
      <c r="J44" s="1">
        <f ca="1">控制台!$E$3148*$C44</f>
        <v>120000</v>
      </c>
      <c r="K44" s="1">
        <f ca="1" t="shared" si="2"/>
        <v>120000</v>
      </c>
      <c r="L44" s="5">
        <f ca="1" t="shared" si="12"/>
        <v>1710000</v>
      </c>
      <c r="M44" s="1">
        <f ca="1">控制台!$E$3152*$C44</f>
        <v>80</v>
      </c>
      <c r="N44" s="1">
        <f ca="1" t="shared" si="3"/>
        <v>80</v>
      </c>
      <c r="O44" s="5">
        <f ca="1" t="shared" si="13"/>
        <v>1140</v>
      </c>
      <c r="P44" s="1">
        <f ca="1">控制台!$E$3156*$C44</f>
        <v>24</v>
      </c>
      <c r="Q44" s="1">
        <f ca="1" t="shared" si="4"/>
        <v>24</v>
      </c>
      <c r="R44" s="5">
        <f ca="1" t="shared" si="14"/>
        <v>342</v>
      </c>
      <c r="S44" s="1">
        <f ca="1">控制台!$E$3160*$C44</f>
        <v>144</v>
      </c>
      <c r="T44" s="1">
        <f ca="1" t="shared" si="5"/>
        <v>144</v>
      </c>
      <c r="U44" s="5">
        <f ca="1" t="shared" si="15"/>
        <v>2052</v>
      </c>
      <c r="V44" s="1">
        <f ca="1">控制台!$E$3168*$C44</f>
        <v>60000</v>
      </c>
      <c r="W44" s="1">
        <f ca="1" t="shared" si="6"/>
        <v>60000</v>
      </c>
      <c r="X44" s="5">
        <f ca="1" t="shared" si="16"/>
        <v>855000</v>
      </c>
      <c r="Y44" s="1">
        <f ca="1">控制台!$E$3172*$C44</f>
        <v>40</v>
      </c>
      <c r="Z44" s="1">
        <f ca="1" t="shared" si="17"/>
        <v>40</v>
      </c>
      <c r="AA44" s="5">
        <f ca="1" t="shared" si="18"/>
        <v>570</v>
      </c>
      <c r="AB44" s="1">
        <f ca="1">控制台!$E$3176*$C44</f>
        <v>12</v>
      </c>
      <c r="AC44" s="1">
        <f ca="1" t="shared" si="19"/>
        <v>12</v>
      </c>
      <c r="AD44" s="5">
        <f ca="1" t="shared" si="20"/>
        <v>171</v>
      </c>
    </row>
    <row r="45" spans="1:30">
      <c r="A45" s="10">
        <v>24</v>
      </c>
      <c r="B45" s="1">
        <f t="shared" si="9"/>
        <v>1</v>
      </c>
      <c r="C45" s="13">
        <f ca="1">IF(A45-1&lt;0,控制台!$C$3185,OFFSET(控制台!$C$3185,MATCH(A45-1,控制台!$B$3185:$B$3190,1)-1,0))</f>
        <v>0.4</v>
      </c>
      <c r="D45" s="1">
        <f ca="1">控制台!$E$3140*$C45</f>
        <v>552.96</v>
      </c>
      <c r="E45" s="1">
        <f ca="1" t="shared" si="0"/>
        <v>552.96</v>
      </c>
      <c r="F45" s="5">
        <f ca="1" t="shared" si="10"/>
        <v>8432.64</v>
      </c>
      <c r="G45" s="1">
        <f ca="1">控制台!$E$3144*$C45</f>
        <v>0.6</v>
      </c>
      <c r="H45" s="1">
        <f ca="1" t="shared" si="1"/>
        <v>0.6</v>
      </c>
      <c r="I45" s="5">
        <f ca="1" t="shared" si="11"/>
        <v>9.15</v>
      </c>
      <c r="J45" s="1">
        <f ca="1">控制台!$E$3148*$C45</f>
        <v>120000</v>
      </c>
      <c r="K45" s="1">
        <f ca="1" t="shared" si="2"/>
        <v>120000</v>
      </c>
      <c r="L45" s="5">
        <f ca="1" t="shared" si="12"/>
        <v>1830000</v>
      </c>
      <c r="M45" s="1">
        <f ca="1">控制台!$E$3152*$C45</f>
        <v>80</v>
      </c>
      <c r="N45" s="1">
        <f ca="1" t="shared" si="3"/>
        <v>80</v>
      </c>
      <c r="O45" s="5">
        <f ca="1" t="shared" si="13"/>
        <v>1220</v>
      </c>
      <c r="P45" s="1">
        <f ca="1">控制台!$E$3156*$C45</f>
        <v>24</v>
      </c>
      <c r="Q45" s="1">
        <f ca="1" t="shared" si="4"/>
        <v>24</v>
      </c>
      <c r="R45" s="5">
        <f ca="1" t="shared" si="14"/>
        <v>366</v>
      </c>
      <c r="S45" s="1">
        <f ca="1">控制台!$E$3160*$C45</f>
        <v>144</v>
      </c>
      <c r="T45" s="1">
        <f ca="1" t="shared" si="5"/>
        <v>144</v>
      </c>
      <c r="U45" s="5">
        <f ca="1" t="shared" si="15"/>
        <v>2196</v>
      </c>
      <c r="V45" s="1">
        <f ca="1">控制台!$E$3168*$C45</f>
        <v>60000</v>
      </c>
      <c r="W45" s="1">
        <f ca="1" t="shared" si="6"/>
        <v>60000</v>
      </c>
      <c r="X45" s="5">
        <f ca="1" t="shared" si="16"/>
        <v>915000</v>
      </c>
      <c r="Y45" s="1">
        <f ca="1">控制台!$E$3172*$C45</f>
        <v>40</v>
      </c>
      <c r="Z45" s="1">
        <f ca="1" t="shared" si="17"/>
        <v>40</v>
      </c>
      <c r="AA45" s="5">
        <f ca="1" t="shared" si="18"/>
        <v>610</v>
      </c>
      <c r="AB45" s="1">
        <f ca="1">控制台!$E$3176*$C45</f>
        <v>12</v>
      </c>
      <c r="AC45" s="1">
        <f ca="1" t="shared" si="19"/>
        <v>12</v>
      </c>
      <c r="AD45" s="5">
        <f ca="1" t="shared" si="20"/>
        <v>183</v>
      </c>
    </row>
    <row r="46" spans="1:30">
      <c r="A46" s="10">
        <v>25</v>
      </c>
      <c r="B46" s="1">
        <f t="shared" si="9"/>
        <v>1</v>
      </c>
      <c r="C46" s="13">
        <f ca="1">IF(A46-1&lt;0,控制台!$C$3185,OFFSET(控制台!$C$3185,MATCH(A46-1,控制台!$B$3185:$B$3190,1)-1,0))</f>
        <v>0.4</v>
      </c>
      <c r="D46" s="1">
        <f ca="1">控制台!$E$3140*$C46</f>
        <v>552.96</v>
      </c>
      <c r="E46" s="1">
        <f ca="1" t="shared" si="0"/>
        <v>552.96</v>
      </c>
      <c r="F46" s="5">
        <f ca="1" t="shared" si="10"/>
        <v>8985.6</v>
      </c>
      <c r="G46" s="1">
        <f ca="1">控制台!$E$3144*$C46</f>
        <v>0.6</v>
      </c>
      <c r="H46" s="1">
        <f ca="1" t="shared" si="1"/>
        <v>0.6</v>
      </c>
      <c r="I46" s="5">
        <f ca="1" t="shared" si="11"/>
        <v>9.75</v>
      </c>
      <c r="J46" s="1">
        <f ca="1">控制台!$E$3148*$C46</f>
        <v>120000</v>
      </c>
      <c r="K46" s="1">
        <f ca="1" t="shared" si="2"/>
        <v>120000</v>
      </c>
      <c r="L46" s="5">
        <f ca="1" t="shared" si="12"/>
        <v>1950000</v>
      </c>
      <c r="M46" s="1">
        <f ca="1">控制台!$E$3152*$C46</f>
        <v>80</v>
      </c>
      <c r="N46" s="1">
        <f ca="1" t="shared" si="3"/>
        <v>80</v>
      </c>
      <c r="O46" s="5">
        <f ca="1" t="shared" si="13"/>
        <v>1300</v>
      </c>
      <c r="P46" s="1">
        <f ca="1">控制台!$E$3156*$C46</f>
        <v>24</v>
      </c>
      <c r="Q46" s="1">
        <f ca="1" t="shared" si="4"/>
        <v>24</v>
      </c>
      <c r="R46" s="5">
        <f ca="1" t="shared" si="14"/>
        <v>390</v>
      </c>
      <c r="S46" s="1">
        <f ca="1">控制台!$E$3160*$C46</f>
        <v>144</v>
      </c>
      <c r="T46" s="1">
        <f ca="1" t="shared" si="5"/>
        <v>144</v>
      </c>
      <c r="U46" s="5">
        <f ca="1" t="shared" si="15"/>
        <v>2340</v>
      </c>
      <c r="V46" s="1">
        <f ca="1">控制台!$E$3168*$C46</f>
        <v>60000</v>
      </c>
      <c r="W46" s="1">
        <f ca="1" t="shared" si="6"/>
        <v>60000</v>
      </c>
      <c r="X46" s="5">
        <f ca="1" t="shared" si="16"/>
        <v>975000</v>
      </c>
      <c r="Y46" s="1">
        <f ca="1">控制台!$E$3172*$C46</f>
        <v>40</v>
      </c>
      <c r="Z46" s="1">
        <f ca="1" t="shared" si="17"/>
        <v>40</v>
      </c>
      <c r="AA46" s="5">
        <f ca="1" t="shared" si="18"/>
        <v>650</v>
      </c>
      <c r="AB46" s="1">
        <f ca="1">控制台!$E$3176*$C46</f>
        <v>12</v>
      </c>
      <c r="AC46" s="1">
        <f ca="1" t="shared" si="19"/>
        <v>12</v>
      </c>
      <c r="AD46" s="5">
        <f ca="1" t="shared" si="20"/>
        <v>195</v>
      </c>
    </row>
    <row r="47" spans="1:30">
      <c r="A47" s="10">
        <v>26</v>
      </c>
      <c r="B47" s="1">
        <f t="shared" si="9"/>
        <v>1</v>
      </c>
      <c r="C47" s="13">
        <f ca="1">IF(A47-1&lt;0,控制台!$C$3185,OFFSET(控制台!$C$3185,MATCH(A47-1,控制台!$B$3185:$B$3190,1)-1,0))</f>
        <v>0.4</v>
      </c>
      <c r="D47" s="1">
        <f ca="1">控制台!$E$3140*$C47</f>
        <v>552.96</v>
      </c>
      <c r="E47" s="1">
        <f ca="1" t="shared" si="0"/>
        <v>552.96</v>
      </c>
      <c r="F47" s="5">
        <f ca="1" t="shared" si="10"/>
        <v>9538.56</v>
      </c>
      <c r="G47" s="1">
        <f ca="1">控制台!$E$3144*$C47</f>
        <v>0.6</v>
      </c>
      <c r="H47" s="1">
        <f ca="1" t="shared" si="1"/>
        <v>0.6</v>
      </c>
      <c r="I47" s="5">
        <f ca="1" t="shared" si="11"/>
        <v>10.35</v>
      </c>
      <c r="J47" s="1">
        <f ca="1">控制台!$E$3148*$C47</f>
        <v>120000</v>
      </c>
      <c r="K47" s="1">
        <f ca="1" t="shared" si="2"/>
        <v>120000</v>
      </c>
      <c r="L47" s="5">
        <f ca="1" t="shared" si="12"/>
        <v>2070000</v>
      </c>
      <c r="M47" s="1">
        <f ca="1">控制台!$E$3152*$C47</f>
        <v>80</v>
      </c>
      <c r="N47" s="1">
        <f ca="1" t="shared" si="3"/>
        <v>80</v>
      </c>
      <c r="O47" s="5">
        <f ca="1" t="shared" si="13"/>
        <v>1380</v>
      </c>
      <c r="P47" s="1">
        <f ca="1">控制台!$E$3156*$C47</f>
        <v>24</v>
      </c>
      <c r="Q47" s="1">
        <f ca="1" t="shared" si="4"/>
        <v>24</v>
      </c>
      <c r="R47" s="5">
        <f ca="1" t="shared" si="14"/>
        <v>414</v>
      </c>
      <c r="S47" s="1">
        <f ca="1">控制台!$E$3160*$C47</f>
        <v>144</v>
      </c>
      <c r="T47" s="1">
        <f ca="1" t="shared" si="5"/>
        <v>144</v>
      </c>
      <c r="U47" s="5">
        <f ca="1" t="shared" si="15"/>
        <v>2484</v>
      </c>
      <c r="V47" s="1">
        <f ca="1">控制台!$E$3168*$C47</f>
        <v>60000</v>
      </c>
      <c r="W47" s="1">
        <f ca="1" t="shared" si="6"/>
        <v>60000</v>
      </c>
      <c r="X47" s="5">
        <f ca="1" t="shared" si="16"/>
        <v>1035000</v>
      </c>
      <c r="Y47" s="1">
        <f ca="1">控制台!$E$3172*$C47</f>
        <v>40</v>
      </c>
      <c r="Z47" s="1">
        <f ca="1" t="shared" si="17"/>
        <v>40</v>
      </c>
      <c r="AA47" s="5">
        <f ca="1" t="shared" si="18"/>
        <v>690</v>
      </c>
      <c r="AB47" s="1">
        <f ca="1">控制台!$E$3176*$C47</f>
        <v>12</v>
      </c>
      <c r="AC47" s="1">
        <f ca="1" t="shared" si="19"/>
        <v>12</v>
      </c>
      <c r="AD47" s="5">
        <f ca="1" t="shared" si="20"/>
        <v>207</v>
      </c>
    </row>
    <row r="48" spans="1:30">
      <c r="A48" s="10">
        <v>27</v>
      </c>
      <c r="B48" s="1">
        <f t="shared" si="9"/>
        <v>1</v>
      </c>
      <c r="C48" s="13">
        <f ca="1">IF(A48-1&lt;0,控制台!$C$3185,OFFSET(控制台!$C$3185,MATCH(A48-1,控制台!$B$3185:$B$3190,1)-1,0))</f>
        <v>0.4</v>
      </c>
      <c r="D48" s="1">
        <f ca="1">控制台!$E$3140*$C48</f>
        <v>552.96</v>
      </c>
      <c r="E48" s="1">
        <f ca="1" t="shared" si="0"/>
        <v>552.96</v>
      </c>
      <c r="F48" s="5">
        <f ca="1" t="shared" si="10"/>
        <v>10091.52</v>
      </c>
      <c r="G48" s="1">
        <f ca="1">控制台!$E$3144*$C48</f>
        <v>0.6</v>
      </c>
      <c r="H48" s="1">
        <f ca="1" t="shared" si="1"/>
        <v>0.6</v>
      </c>
      <c r="I48" s="5">
        <f ca="1" t="shared" si="11"/>
        <v>10.95</v>
      </c>
      <c r="J48" s="1">
        <f ca="1">控制台!$E$3148*$C48</f>
        <v>120000</v>
      </c>
      <c r="K48" s="1">
        <f ca="1" t="shared" si="2"/>
        <v>120000</v>
      </c>
      <c r="L48" s="5">
        <f ca="1" t="shared" si="12"/>
        <v>2190000</v>
      </c>
      <c r="M48" s="1">
        <f ca="1">控制台!$E$3152*$C48</f>
        <v>80</v>
      </c>
      <c r="N48" s="1">
        <f ca="1" t="shared" si="3"/>
        <v>80</v>
      </c>
      <c r="O48" s="5">
        <f ca="1" t="shared" si="13"/>
        <v>1460</v>
      </c>
      <c r="P48" s="1">
        <f ca="1">控制台!$E$3156*$C48</f>
        <v>24</v>
      </c>
      <c r="Q48" s="1">
        <f ca="1" t="shared" si="4"/>
        <v>24</v>
      </c>
      <c r="R48" s="5">
        <f ca="1" t="shared" si="14"/>
        <v>438</v>
      </c>
      <c r="S48" s="1">
        <f ca="1">控制台!$E$3160*$C48</f>
        <v>144</v>
      </c>
      <c r="T48" s="1">
        <f ca="1" t="shared" si="5"/>
        <v>144</v>
      </c>
      <c r="U48" s="5">
        <f ca="1" t="shared" si="15"/>
        <v>2628</v>
      </c>
      <c r="V48" s="1">
        <f ca="1">控制台!$E$3168*$C48</f>
        <v>60000</v>
      </c>
      <c r="W48" s="1">
        <f ca="1" t="shared" si="6"/>
        <v>60000</v>
      </c>
      <c r="X48" s="5">
        <f ca="1" t="shared" si="16"/>
        <v>1095000</v>
      </c>
      <c r="Y48" s="1">
        <f ca="1">控制台!$E$3172*$C48</f>
        <v>40</v>
      </c>
      <c r="Z48" s="1">
        <f ca="1" t="shared" si="17"/>
        <v>40</v>
      </c>
      <c r="AA48" s="5">
        <f ca="1" t="shared" si="18"/>
        <v>730</v>
      </c>
      <c r="AB48" s="1">
        <f ca="1">控制台!$E$3176*$C48</f>
        <v>12</v>
      </c>
      <c r="AC48" s="1">
        <f ca="1" t="shared" si="19"/>
        <v>12</v>
      </c>
      <c r="AD48" s="5">
        <f ca="1" t="shared" si="20"/>
        <v>219</v>
      </c>
    </row>
    <row r="49" spans="1:30">
      <c r="A49" s="10">
        <v>28</v>
      </c>
      <c r="B49" s="1">
        <f t="shared" si="9"/>
        <v>1</v>
      </c>
      <c r="C49" s="13">
        <f ca="1">IF(A49-1&lt;0,控制台!$C$3185,OFFSET(控制台!$C$3185,MATCH(A49-1,控制台!$B$3185:$B$3190,1)-1,0))</f>
        <v>0.4</v>
      </c>
      <c r="D49" s="1">
        <f ca="1">控制台!$E$3140*$C49</f>
        <v>552.96</v>
      </c>
      <c r="E49" s="1">
        <f ca="1" t="shared" si="0"/>
        <v>552.96</v>
      </c>
      <c r="F49" s="5">
        <f ca="1" t="shared" si="10"/>
        <v>10644.48</v>
      </c>
      <c r="G49" s="1">
        <f ca="1">控制台!$E$3144*$C49</f>
        <v>0.6</v>
      </c>
      <c r="H49" s="1">
        <f ca="1" t="shared" si="1"/>
        <v>0.6</v>
      </c>
      <c r="I49" s="5">
        <f ca="1" t="shared" si="11"/>
        <v>11.55</v>
      </c>
      <c r="J49" s="1">
        <f ca="1">控制台!$E$3148*$C49</f>
        <v>120000</v>
      </c>
      <c r="K49" s="1">
        <f ca="1" t="shared" si="2"/>
        <v>120000</v>
      </c>
      <c r="L49" s="5">
        <f ca="1" t="shared" si="12"/>
        <v>2310000</v>
      </c>
      <c r="M49" s="1">
        <f ca="1">控制台!$E$3152*$C49</f>
        <v>80</v>
      </c>
      <c r="N49" s="1">
        <f ca="1" t="shared" si="3"/>
        <v>80</v>
      </c>
      <c r="O49" s="5">
        <f ca="1" t="shared" si="13"/>
        <v>1540</v>
      </c>
      <c r="P49" s="1">
        <f ca="1">控制台!$E$3156*$C49</f>
        <v>24</v>
      </c>
      <c r="Q49" s="1">
        <f ca="1" t="shared" si="4"/>
        <v>24</v>
      </c>
      <c r="R49" s="5">
        <f ca="1" t="shared" si="14"/>
        <v>462</v>
      </c>
      <c r="S49" s="1">
        <f ca="1">控制台!$E$3160*$C49</f>
        <v>144</v>
      </c>
      <c r="T49" s="1">
        <f ca="1" t="shared" si="5"/>
        <v>144</v>
      </c>
      <c r="U49" s="5">
        <f ca="1" t="shared" si="15"/>
        <v>2772</v>
      </c>
      <c r="V49" s="1">
        <f ca="1">控制台!$E$3168*$C49</f>
        <v>60000</v>
      </c>
      <c r="W49" s="1">
        <f ca="1" t="shared" si="6"/>
        <v>60000</v>
      </c>
      <c r="X49" s="5">
        <f ca="1" t="shared" si="16"/>
        <v>1155000</v>
      </c>
      <c r="Y49" s="1">
        <f ca="1">控制台!$E$3172*$C49</f>
        <v>40</v>
      </c>
      <c r="Z49" s="1">
        <f ca="1" t="shared" si="17"/>
        <v>40</v>
      </c>
      <c r="AA49" s="5">
        <f ca="1" t="shared" si="18"/>
        <v>770</v>
      </c>
      <c r="AB49" s="1">
        <f ca="1">控制台!$E$3176*$C49</f>
        <v>12</v>
      </c>
      <c r="AC49" s="1">
        <f ca="1" t="shared" si="19"/>
        <v>12</v>
      </c>
      <c r="AD49" s="5">
        <f ca="1" t="shared" si="20"/>
        <v>231</v>
      </c>
    </row>
    <row r="50" spans="1:30">
      <c r="A50" s="10">
        <v>29</v>
      </c>
      <c r="B50" s="1">
        <f t="shared" si="9"/>
        <v>1</v>
      </c>
      <c r="C50" s="13">
        <f ca="1">IF(A50-1&lt;0,控制台!$C$3185,OFFSET(控制台!$C$3185,MATCH(A50-1,控制台!$B$3185:$B$3190,1)-1,0))</f>
        <v>0.4</v>
      </c>
      <c r="D50" s="1">
        <f ca="1">控制台!$E$3140*$C50</f>
        <v>552.96</v>
      </c>
      <c r="E50" s="1">
        <f ca="1" t="shared" si="0"/>
        <v>552.96</v>
      </c>
      <c r="F50" s="5">
        <f ca="1" t="shared" si="10"/>
        <v>11197.44</v>
      </c>
      <c r="G50" s="1">
        <f ca="1">控制台!$E$3144*$C50</f>
        <v>0.6</v>
      </c>
      <c r="H50" s="1">
        <f ca="1" t="shared" si="1"/>
        <v>0.6</v>
      </c>
      <c r="I50" s="5">
        <f ca="1" t="shared" si="11"/>
        <v>12.15</v>
      </c>
      <c r="J50" s="1">
        <f ca="1">控制台!$E$3148*$C50</f>
        <v>120000</v>
      </c>
      <c r="K50" s="1">
        <f ca="1" t="shared" si="2"/>
        <v>120000</v>
      </c>
      <c r="L50" s="5">
        <f ca="1" t="shared" si="12"/>
        <v>2430000</v>
      </c>
      <c r="M50" s="1">
        <f ca="1">控制台!$E$3152*$C50</f>
        <v>80</v>
      </c>
      <c r="N50" s="1">
        <f ca="1" t="shared" si="3"/>
        <v>80</v>
      </c>
      <c r="O50" s="5">
        <f ca="1" t="shared" si="13"/>
        <v>1620</v>
      </c>
      <c r="P50" s="1">
        <f ca="1">控制台!$E$3156*$C50</f>
        <v>24</v>
      </c>
      <c r="Q50" s="1">
        <f ca="1" t="shared" si="4"/>
        <v>24</v>
      </c>
      <c r="R50" s="5">
        <f ca="1" t="shared" si="14"/>
        <v>486</v>
      </c>
      <c r="S50" s="1">
        <f ca="1">控制台!$E$3160*$C50</f>
        <v>144</v>
      </c>
      <c r="T50" s="1">
        <f ca="1" t="shared" si="5"/>
        <v>144</v>
      </c>
      <c r="U50" s="5">
        <f ca="1" t="shared" si="15"/>
        <v>2916</v>
      </c>
      <c r="V50" s="1">
        <f ca="1">控制台!$E$3168*$C50</f>
        <v>60000</v>
      </c>
      <c r="W50" s="1">
        <f ca="1" t="shared" si="6"/>
        <v>60000</v>
      </c>
      <c r="X50" s="5">
        <f ca="1" t="shared" si="16"/>
        <v>1215000</v>
      </c>
      <c r="Y50" s="1">
        <f ca="1">控制台!$E$3172*$C50</f>
        <v>40</v>
      </c>
      <c r="Z50" s="1">
        <f ca="1" t="shared" si="17"/>
        <v>40</v>
      </c>
      <c r="AA50" s="5">
        <f ca="1" t="shared" si="18"/>
        <v>810</v>
      </c>
      <c r="AB50" s="1">
        <f ca="1">控制台!$E$3176*$C50</f>
        <v>12</v>
      </c>
      <c r="AC50" s="1">
        <f ca="1" t="shared" si="19"/>
        <v>12</v>
      </c>
      <c r="AD50" s="5">
        <f ca="1" t="shared" si="20"/>
        <v>243</v>
      </c>
    </row>
    <row r="51" spans="1:30">
      <c r="A51" s="10">
        <v>30</v>
      </c>
      <c r="B51" s="1">
        <f t="shared" si="9"/>
        <v>1</v>
      </c>
      <c r="C51" s="13">
        <f ca="1">IF(A51-1&lt;0,控制台!$C$3185,OFFSET(控制台!$C$3185,MATCH(A51-1,控制台!$B$3185:$B$3190,1)-1,0))</f>
        <v>0.4</v>
      </c>
      <c r="D51" s="1">
        <f ca="1">控制台!$E$3140*$C51</f>
        <v>552.96</v>
      </c>
      <c r="E51" s="1">
        <f ca="1" t="shared" si="0"/>
        <v>552.96</v>
      </c>
      <c r="F51" s="5">
        <f ca="1" t="shared" si="10"/>
        <v>11750.4</v>
      </c>
      <c r="G51" s="1">
        <f ca="1">控制台!$E$3144*$C51</f>
        <v>0.6</v>
      </c>
      <c r="H51" s="1">
        <f ca="1" t="shared" si="1"/>
        <v>0.6</v>
      </c>
      <c r="I51" s="5">
        <f ca="1" t="shared" si="11"/>
        <v>12.75</v>
      </c>
      <c r="J51" s="1">
        <f ca="1">控制台!$E$3148*$C51</f>
        <v>120000</v>
      </c>
      <c r="K51" s="1">
        <f ca="1" t="shared" si="2"/>
        <v>120000</v>
      </c>
      <c r="L51" s="5">
        <f ca="1" t="shared" si="12"/>
        <v>2550000</v>
      </c>
      <c r="M51" s="1">
        <f ca="1">控制台!$E$3152*$C51</f>
        <v>80</v>
      </c>
      <c r="N51" s="1">
        <f ca="1" t="shared" si="3"/>
        <v>80</v>
      </c>
      <c r="O51" s="5">
        <f ca="1" t="shared" si="13"/>
        <v>1700</v>
      </c>
      <c r="P51" s="1">
        <f ca="1">控制台!$E$3156*$C51</f>
        <v>24</v>
      </c>
      <c r="Q51" s="1">
        <f ca="1" t="shared" si="4"/>
        <v>24</v>
      </c>
      <c r="R51" s="5">
        <f ca="1" t="shared" si="14"/>
        <v>510</v>
      </c>
      <c r="S51" s="1">
        <f ca="1">控制台!$E$3160*$C51</f>
        <v>144</v>
      </c>
      <c r="T51" s="1">
        <f ca="1" t="shared" si="5"/>
        <v>144</v>
      </c>
      <c r="U51" s="5">
        <f ca="1" t="shared" si="15"/>
        <v>3060</v>
      </c>
      <c r="V51" s="1">
        <f ca="1">控制台!$E$3168*$C51</f>
        <v>60000</v>
      </c>
      <c r="W51" s="1">
        <f ca="1" t="shared" si="6"/>
        <v>60000</v>
      </c>
      <c r="X51" s="5">
        <f ca="1" t="shared" si="16"/>
        <v>1275000</v>
      </c>
      <c r="Y51" s="1">
        <f ca="1">控制台!$E$3172*$C51</f>
        <v>40</v>
      </c>
      <c r="Z51" s="1">
        <f ca="1" t="shared" si="17"/>
        <v>40</v>
      </c>
      <c r="AA51" s="5">
        <f ca="1" t="shared" si="18"/>
        <v>850</v>
      </c>
      <c r="AB51" s="1">
        <f ca="1">控制台!$E$3176*$C51</f>
        <v>12</v>
      </c>
      <c r="AC51" s="1">
        <f ca="1" t="shared" si="19"/>
        <v>12</v>
      </c>
      <c r="AD51" s="5">
        <f ca="1" t="shared" si="20"/>
        <v>255</v>
      </c>
    </row>
    <row r="52" spans="1:30">
      <c r="A52" s="11">
        <v>35</v>
      </c>
      <c r="B52" s="1">
        <f t="shared" si="9"/>
        <v>5</v>
      </c>
      <c r="C52" s="13">
        <f ca="1">IF(A52-1&lt;0,控制台!$C$3185,OFFSET(控制台!$C$3185,MATCH(A52-1,控制台!$B$3185:$B$3190,1)-1,0))</f>
        <v>0.6</v>
      </c>
      <c r="D52" s="1">
        <f ca="1">控制台!$E$3140*$C52</f>
        <v>829.44</v>
      </c>
      <c r="E52" s="1">
        <f ca="1" t="shared" si="0"/>
        <v>4147.2</v>
      </c>
      <c r="F52" s="5">
        <f ca="1" t="shared" si="10"/>
        <v>15897.6</v>
      </c>
      <c r="G52" s="1">
        <f ca="1">控制台!$E$3144*$C52</f>
        <v>0.9</v>
      </c>
      <c r="H52" s="1">
        <f ca="1" t="shared" si="1"/>
        <v>4.5</v>
      </c>
      <c r="I52" s="5">
        <f ca="1" t="shared" si="11"/>
        <v>17.25</v>
      </c>
      <c r="J52" s="1">
        <f ca="1">控制台!$E$3148*$C52</f>
        <v>180000</v>
      </c>
      <c r="K52" s="1">
        <f ca="1" t="shared" si="2"/>
        <v>900000</v>
      </c>
      <c r="L52" s="5">
        <f ca="1" t="shared" si="12"/>
        <v>3450000</v>
      </c>
      <c r="M52" s="1">
        <f ca="1">控制台!$E$3152*$C52</f>
        <v>120</v>
      </c>
      <c r="N52" s="1">
        <f ca="1" t="shared" si="3"/>
        <v>600</v>
      </c>
      <c r="O52" s="5">
        <f ca="1" t="shared" si="13"/>
        <v>2300</v>
      </c>
      <c r="P52" s="1">
        <f ca="1">控制台!$E$3156*$C52</f>
        <v>36</v>
      </c>
      <c r="Q52" s="1">
        <f ca="1" t="shared" si="4"/>
        <v>180</v>
      </c>
      <c r="R52" s="5">
        <f ca="1" t="shared" si="14"/>
        <v>690</v>
      </c>
      <c r="S52" s="1">
        <f ca="1">控制台!$E$3160*$C52</f>
        <v>216</v>
      </c>
      <c r="T52" s="1">
        <f ca="1" t="shared" si="5"/>
        <v>1080</v>
      </c>
      <c r="U52" s="5">
        <f ca="1" t="shared" si="15"/>
        <v>4140</v>
      </c>
      <c r="V52" s="1">
        <f ca="1">控制台!$E$3168*$C52</f>
        <v>90000</v>
      </c>
      <c r="W52" s="1">
        <f ca="1" t="shared" si="6"/>
        <v>450000</v>
      </c>
      <c r="X52" s="5">
        <f ca="1" t="shared" si="16"/>
        <v>1725000</v>
      </c>
      <c r="Y52" s="1">
        <f ca="1">控制台!$E$3172*$C52</f>
        <v>60</v>
      </c>
      <c r="Z52" s="1">
        <f ca="1" t="shared" si="17"/>
        <v>300</v>
      </c>
      <c r="AA52" s="5">
        <f ca="1" t="shared" si="18"/>
        <v>1150</v>
      </c>
      <c r="AB52" s="1">
        <f ca="1">控制台!$E$3176*$C52</f>
        <v>18</v>
      </c>
      <c r="AC52" s="1">
        <f ca="1" t="shared" si="19"/>
        <v>90</v>
      </c>
      <c r="AD52" s="5">
        <f ca="1" t="shared" si="20"/>
        <v>345</v>
      </c>
    </row>
    <row r="53" spans="1:30">
      <c r="A53" s="11">
        <v>40</v>
      </c>
      <c r="B53" s="1">
        <f t="shared" si="9"/>
        <v>5</v>
      </c>
      <c r="C53" s="13">
        <f ca="1">IF(A53-1&lt;0,控制台!$C$3185,OFFSET(控制台!$C$3185,MATCH(A53-1,控制台!$B$3185:$B$3190,1)-1,0))</f>
        <v>0.6</v>
      </c>
      <c r="D53" s="1">
        <f ca="1">控制台!$E$3140*$C53</f>
        <v>829.44</v>
      </c>
      <c r="E53" s="1">
        <f ca="1" t="shared" si="0"/>
        <v>4147.2</v>
      </c>
      <c r="F53" s="5">
        <f ca="1" t="shared" si="10"/>
        <v>20044.8</v>
      </c>
      <c r="G53" s="1">
        <f ca="1">控制台!$E$3144*$C53</f>
        <v>0.9</v>
      </c>
      <c r="H53" s="1">
        <f ca="1" t="shared" si="1"/>
        <v>4.5</v>
      </c>
      <c r="I53" s="5">
        <f ca="1" t="shared" si="11"/>
        <v>21.75</v>
      </c>
      <c r="J53" s="1">
        <f ca="1">控制台!$E$3148*$C53</f>
        <v>180000</v>
      </c>
      <c r="K53" s="1">
        <f ca="1" t="shared" si="2"/>
        <v>900000</v>
      </c>
      <c r="L53" s="5">
        <f ca="1" t="shared" si="12"/>
        <v>4350000</v>
      </c>
      <c r="M53" s="1">
        <f ca="1">控制台!$E$3152*$C53</f>
        <v>120</v>
      </c>
      <c r="N53" s="1">
        <f ca="1" t="shared" si="3"/>
        <v>600</v>
      </c>
      <c r="O53" s="5">
        <f ca="1" t="shared" si="13"/>
        <v>2900</v>
      </c>
      <c r="P53" s="1">
        <f ca="1">控制台!$E$3156*$C53</f>
        <v>36</v>
      </c>
      <c r="Q53" s="1">
        <f ca="1" t="shared" si="4"/>
        <v>180</v>
      </c>
      <c r="R53" s="5">
        <f ca="1" t="shared" si="14"/>
        <v>870</v>
      </c>
      <c r="S53" s="1">
        <f ca="1">控制台!$E$3160*$C53</f>
        <v>216</v>
      </c>
      <c r="T53" s="1">
        <f ca="1" t="shared" si="5"/>
        <v>1080</v>
      </c>
      <c r="U53" s="5">
        <f ca="1" t="shared" si="15"/>
        <v>5220</v>
      </c>
      <c r="V53" s="1">
        <f ca="1">控制台!$E$3168*$C53</f>
        <v>90000</v>
      </c>
      <c r="W53" s="1">
        <f ca="1" t="shared" si="6"/>
        <v>450000</v>
      </c>
      <c r="X53" s="5">
        <f ca="1" t="shared" si="16"/>
        <v>2175000</v>
      </c>
      <c r="Y53" s="1">
        <f ca="1">控制台!$E$3172*$C53</f>
        <v>60</v>
      </c>
      <c r="Z53" s="1">
        <f ca="1" t="shared" si="17"/>
        <v>300</v>
      </c>
      <c r="AA53" s="5">
        <f ca="1" t="shared" si="18"/>
        <v>1450</v>
      </c>
      <c r="AB53" s="1">
        <f ca="1">控制台!$E$3176*$C53</f>
        <v>18</v>
      </c>
      <c r="AC53" s="1">
        <f ca="1" t="shared" si="19"/>
        <v>90</v>
      </c>
      <c r="AD53" s="5">
        <f ca="1" t="shared" si="20"/>
        <v>435</v>
      </c>
    </row>
    <row r="54" spans="1:30">
      <c r="A54" s="11">
        <v>45</v>
      </c>
      <c r="B54" s="1">
        <f t="shared" si="9"/>
        <v>5</v>
      </c>
      <c r="C54" s="13">
        <f ca="1">IF(A54-1&lt;0,控制台!$C$3185,OFFSET(控制台!$C$3185,MATCH(A54-1,控制台!$B$3185:$B$3190,1)-1,0))</f>
        <v>0.6</v>
      </c>
      <c r="D54" s="1">
        <f ca="1">控制台!$E$3140*$C54</f>
        <v>829.44</v>
      </c>
      <c r="E54" s="1">
        <f ca="1" t="shared" si="0"/>
        <v>4147.2</v>
      </c>
      <c r="F54" s="5">
        <f ca="1" t="shared" si="10"/>
        <v>24192</v>
      </c>
      <c r="G54" s="1">
        <f ca="1">控制台!$E$3144*$C54</f>
        <v>0.9</v>
      </c>
      <c r="H54" s="1">
        <f ca="1" t="shared" si="1"/>
        <v>4.5</v>
      </c>
      <c r="I54" s="5">
        <f ca="1" t="shared" si="11"/>
        <v>26.25</v>
      </c>
      <c r="J54" s="1">
        <f ca="1">控制台!$E$3148*$C54</f>
        <v>180000</v>
      </c>
      <c r="K54" s="1">
        <f ca="1" t="shared" si="2"/>
        <v>900000</v>
      </c>
      <c r="L54" s="5">
        <f ca="1" t="shared" si="12"/>
        <v>5250000</v>
      </c>
      <c r="M54" s="1">
        <f ca="1">控制台!$E$3152*$C54</f>
        <v>120</v>
      </c>
      <c r="N54" s="1">
        <f ca="1" t="shared" si="3"/>
        <v>600</v>
      </c>
      <c r="O54" s="5">
        <f ca="1" t="shared" si="13"/>
        <v>3500</v>
      </c>
      <c r="P54" s="1">
        <f ca="1">控制台!$E$3156*$C54</f>
        <v>36</v>
      </c>
      <c r="Q54" s="1">
        <f ca="1" t="shared" si="4"/>
        <v>180</v>
      </c>
      <c r="R54" s="5">
        <f ca="1" t="shared" si="14"/>
        <v>1050</v>
      </c>
      <c r="S54" s="1">
        <f ca="1">控制台!$E$3160*$C54</f>
        <v>216</v>
      </c>
      <c r="T54" s="1">
        <f ca="1" t="shared" si="5"/>
        <v>1080</v>
      </c>
      <c r="U54" s="5">
        <f ca="1" t="shared" si="15"/>
        <v>6300</v>
      </c>
      <c r="V54" s="1">
        <f ca="1">控制台!$E$3168*$C54</f>
        <v>90000</v>
      </c>
      <c r="W54" s="1">
        <f ca="1" t="shared" si="6"/>
        <v>450000</v>
      </c>
      <c r="X54" s="5">
        <f ca="1" t="shared" si="16"/>
        <v>2625000</v>
      </c>
      <c r="Y54" s="1">
        <f ca="1">控制台!$E$3172*$C54</f>
        <v>60</v>
      </c>
      <c r="Z54" s="1">
        <f ca="1" t="shared" si="17"/>
        <v>300</v>
      </c>
      <c r="AA54" s="5">
        <f ca="1" t="shared" si="18"/>
        <v>1750</v>
      </c>
      <c r="AB54" s="1">
        <f ca="1">控制台!$E$3176*$C54</f>
        <v>18</v>
      </c>
      <c r="AC54" s="1">
        <f ca="1" t="shared" si="19"/>
        <v>90</v>
      </c>
      <c r="AD54" s="5">
        <f ca="1" t="shared" si="20"/>
        <v>525</v>
      </c>
    </row>
    <row r="55" spans="1:30">
      <c r="A55" s="11">
        <v>50</v>
      </c>
      <c r="B55" s="1">
        <f t="shared" si="9"/>
        <v>5</v>
      </c>
      <c r="C55" s="13">
        <f ca="1">IF(A55-1&lt;0,控制台!$C$3185,OFFSET(控制台!$C$3185,MATCH(A55-1,控制台!$B$3185:$B$3190,1)-1,0))</f>
        <v>0.6</v>
      </c>
      <c r="D55" s="1">
        <f ca="1">控制台!$E$3140*$C55</f>
        <v>829.44</v>
      </c>
      <c r="E55" s="1">
        <f ca="1" t="shared" si="0"/>
        <v>4147.2</v>
      </c>
      <c r="F55" s="5">
        <f ca="1" t="shared" si="10"/>
        <v>28339.2</v>
      </c>
      <c r="G55" s="1">
        <f ca="1">控制台!$E$3144*$C55</f>
        <v>0.9</v>
      </c>
      <c r="H55" s="1">
        <f ca="1" t="shared" si="1"/>
        <v>4.5</v>
      </c>
      <c r="I55" s="5">
        <f ca="1" t="shared" si="11"/>
        <v>30.75</v>
      </c>
      <c r="J55" s="1">
        <f ca="1">控制台!$E$3148*$C55</f>
        <v>180000</v>
      </c>
      <c r="K55" s="1">
        <f ca="1" t="shared" si="2"/>
        <v>900000</v>
      </c>
      <c r="L55" s="5">
        <f ca="1" t="shared" si="12"/>
        <v>6150000</v>
      </c>
      <c r="M55" s="1">
        <f ca="1">控制台!$E$3152*$C55</f>
        <v>120</v>
      </c>
      <c r="N55" s="1">
        <f ca="1" t="shared" si="3"/>
        <v>600</v>
      </c>
      <c r="O55" s="5">
        <f ca="1" t="shared" si="13"/>
        <v>4100</v>
      </c>
      <c r="P55" s="1">
        <f ca="1">控制台!$E$3156*$C55</f>
        <v>36</v>
      </c>
      <c r="Q55" s="1">
        <f ca="1" t="shared" si="4"/>
        <v>180</v>
      </c>
      <c r="R55" s="5">
        <f ca="1" t="shared" si="14"/>
        <v>1230</v>
      </c>
      <c r="S55" s="1">
        <f ca="1">控制台!$E$3160*$C55</f>
        <v>216</v>
      </c>
      <c r="T55" s="1">
        <f ca="1" t="shared" si="5"/>
        <v>1080</v>
      </c>
      <c r="U55" s="5">
        <f ca="1" t="shared" si="15"/>
        <v>7380</v>
      </c>
      <c r="V55" s="1">
        <f ca="1">控制台!$E$3168*$C55</f>
        <v>90000</v>
      </c>
      <c r="W55" s="1">
        <f ca="1" t="shared" si="6"/>
        <v>450000</v>
      </c>
      <c r="X55" s="5">
        <f ca="1" t="shared" si="16"/>
        <v>3075000</v>
      </c>
      <c r="Y55" s="1">
        <f ca="1">控制台!$E$3172*$C55</f>
        <v>60</v>
      </c>
      <c r="Z55" s="1">
        <f ca="1" t="shared" si="17"/>
        <v>300</v>
      </c>
      <c r="AA55" s="5">
        <f ca="1" t="shared" si="18"/>
        <v>2050</v>
      </c>
      <c r="AB55" s="1">
        <f ca="1">控制台!$E$3176*$C55</f>
        <v>18</v>
      </c>
      <c r="AC55" s="1">
        <f ca="1" t="shared" si="19"/>
        <v>90</v>
      </c>
      <c r="AD55" s="5">
        <f ca="1" t="shared" si="20"/>
        <v>615</v>
      </c>
    </row>
    <row r="56" spans="1:30">
      <c r="A56" s="11">
        <v>55</v>
      </c>
      <c r="B56" s="1">
        <f t="shared" si="9"/>
        <v>5</v>
      </c>
      <c r="C56" s="13">
        <f ca="1">IF(A56-1&lt;0,控制台!$C$3185,OFFSET(控制台!$C$3185,MATCH(A56-1,控制台!$B$3185:$B$3190,1)-1,0))</f>
        <v>0.6</v>
      </c>
      <c r="D56" s="1">
        <f ca="1">控制台!$E$3140*$C56</f>
        <v>829.44</v>
      </c>
      <c r="E56" s="1">
        <f ca="1" t="shared" si="0"/>
        <v>4147.2</v>
      </c>
      <c r="F56" s="5">
        <f ca="1" t="shared" si="10"/>
        <v>32486.4</v>
      </c>
      <c r="G56" s="1">
        <f ca="1">控制台!$E$3144*$C56</f>
        <v>0.9</v>
      </c>
      <c r="H56" s="1">
        <f ca="1" t="shared" si="1"/>
        <v>4.5</v>
      </c>
      <c r="I56" s="5">
        <f ca="1" t="shared" si="11"/>
        <v>35.25</v>
      </c>
      <c r="J56" s="1">
        <f ca="1">控制台!$E$3148*$C56</f>
        <v>180000</v>
      </c>
      <c r="K56" s="1">
        <f ca="1" t="shared" si="2"/>
        <v>900000</v>
      </c>
      <c r="L56" s="5">
        <f ca="1" t="shared" si="12"/>
        <v>7050000</v>
      </c>
      <c r="M56" s="1">
        <f ca="1">控制台!$E$3152*$C56</f>
        <v>120</v>
      </c>
      <c r="N56" s="1">
        <f ca="1" t="shared" si="3"/>
        <v>600</v>
      </c>
      <c r="O56" s="5">
        <f ca="1" t="shared" si="13"/>
        <v>4700</v>
      </c>
      <c r="P56" s="1">
        <f ca="1">控制台!$E$3156*$C56</f>
        <v>36</v>
      </c>
      <c r="Q56" s="1">
        <f ca="1" t="shared" si="4"/>
        <v>180</v>
      </c>
      <c r="R56" s="5">
        <f ca="1" t="shared" si="14"/>
        <v>1410</v>
      </c>
      <c r="S56" s="1">
        <f ca="1">控制台!$E$3160*$C56</f>
        <v>216</v>
      </c>
      <c r="T56" s="1">
        <f ca="1" t="shared" si="5"/>
        <v>1080</v>
      </c>
      <c r="U56" s="5">
        <f ca="1" t="shared" si="15"/>
        <v>8460</v>
      </c>
      <c r="V56" s="1">
        <f ca="1">控制台!$E$3168*$C56</f>
        <v>90000</v>
      </c>
      <c r="W56" s="1">
        <f ca="1" t="shared" si="6"/>
        <v>450000</v>
      </c>
      <c r="X56" s="5">
        <f ca="1" t="shared" si="16"/>
        <v>3525000</v>
      </c>
      <c r="Y56" s="1">
        <f ca="1">控制台!$E$3172*$C56</f>
        <v>60</v>
      </c>
      <c r="Z56" s="1">
        <f ca="1" t="shared" si="17"/>
        <v>300</v>
      </c>
      <c r="AA56" s="5">
        <f ca="1" t="shared" si="18"/>
        <v>2350</v>
      </c>
      <c r="AB56" s="1">
        <f ca="1">控制台!$E$3176*$C56</f>
        <v>18</v>
      </c>
      <c r="AC56" s="1">
        <f ca="1" t="shared" si="19"/>
        <v>90</v>
      </c>
      <c r="AD56" s="5">
        <f ca="1" t="shared" si="20"/>
        <v>705</v>
      </c>
    </row>
    <row r="57" spans="1:30">
      <c r="A57" s="11">
        <v>60</v>
      </c>
      <c r="B57" s="1">
        <f t="shared" si="9"/>
        <v>5</v>
      </c>
      <c r="C57" s="13">
        <f ca="1">IF(A57-1&lt;0,控制台!$C$3185,OFFSET(控制台!$C$3185,MATCH(A57-1,控制台!$B$3185:$B$3190,1)-1,0))</f>
        <v>0.6</v>
      </c>
      <c r="D57" s="1">
        <f ca="1">控制台!$E$3140*$C57</f>
        <v>829.44</v>
      </c>
      <c r="E57" s="1">
        <f ca="1" t="shared" si="0"/>
        <v>4147.2</v>
      </c>
      <c r="F57" s="5">
        <f ca="1" t="shared" si="10"/>
        <v>36633.6</v>
      </c>
      <c r="G57" s="1">
        <f ca="1">控制台!$E$3144*$C57</f>
        <v>0.9</v>
      </c>
      <c r="H57" s="1">
        <f ca="1" t="shared" si="1"/>
        <v>4.5</v>
      </c>
      <c r="I57" s="5">
        <f ca="1" t="shared" si="11"/>
        <v>39.75</v>
      </c>
      <c r="J57" s="1">
        <f ca="1">控制台!$E$3148*$C57</f>
        <v>180000</v>
      </c>
      <c r="K57" s="1">
        <f ca="1" t="shared" si="2"/>
        <v>900000</v>
      </c>
      <c r="L57" s="5">
        <f ca="1" t="shared" si="12"/>
        <v>7950000</v>
      </c>
      <c r="M57" s="1">
        <f ca="1">控制台!$E$3152*$C57</f>
        <v>120</v>
      </c>
      <c r="N57" s="1">
        <f ca="1" t="shared" si="3"/>
        <v>600</v>
      </c>
      <c r="O57" s="5">
        <f ca="1" t="shared" si="13"/>
        <v>5300</v>
      </c>
      <c r="P57" s="1">
        <f ca="1">控制台!$E$3156*$C57</f>
        <v>36</v>
      </c>
      <c r="Q57" s="1">
        <f ca="1" t="shared" si="4"/>
        <v>180</v>
      </c>
      <c r="R57" s="5">
        <f ca="1" t="shared" si="14"/>
        <v>1590</v>
      </c>
      <c r="S57" s="1">
        <f ca="1">控制台!$E$3160*$C57</f>
        <v>216</v>
      </c>
      <c r="T57" s="1">
        <f ca="1" t="shared" si="5"/>
        <v>1080</v>
      </c>
      <c r="U57" s="5">
        <f ca="1" t="shared" si="15"/>
        <v>9540</v>
      </c>
      <c r="V57" s="1">
        <f ca="1">控制台!$E$3168*$C57</f>
        <v>90000</v>
      </c>
      <c r="W57" s="1">
        <f ca="1" t="shared" si="6"/>
        <v>450000</v>
      </c>
      <c r="X57" s="5">
        <f ca="1" t="shared" si="16"/>
        <v>3975000</v>
      </c>
      <c r="Y57" s="1">
        <f ca="1">控制台!$E$3172*$C57</f>
        <v>60</v>
      </c>
      <c r="Z57" s="1">
        <f ca="1" t="shared" si="17"/>
        <v>300</v>
      </c>
      <c r="AA57" s="5">
        <f ca="1" t="shared" si="18"/>
        <v>2650</v>
      </c>
      <c r="AB57" s="1">
        <f ca="1">控制台!$E$3176*$C57</f>
        <v>18</v>
      </c>
      <c r="AC57" s="1">
        <f ca="1" t="shared" si="19"/>
        <v>90</v>
      </c>
      <c r="AD57" s="5">
        <f ca="1" t="shared" si="20"/>
        <v>795</v>
      </c>
    </row>
    <row r="58" spans="1:30">
      <c r="A58" s="11">
        <v>65</v>
      </c>
      <c r="B58" s="1">
        <f t="shared" si="9"/>
        <v>5</v>
      </c>
      <c r="C58" s="13">
        <f ca="1">IF(A58-1&lt;0,控制台!$C$3185,OFFSET(控制台!$C$3185,MATCH(A58-1,控制台!$B$3185:$B$3190,1)-1,0))</f>
        <v>0.8</v>
      </c>
      <c r="D58" s="1">
        <f ca="1">控制台!$E$3140*$C58</f>
        <v>1105.92</v>
      </c>
      <c r="E58" s="1">
        <f ca="1" t="shared" si="0"/>
        <v>5529.6</v>
      </c>
      <c r="F58" s="5">
        <f ca="1" t="shared" si="10"/>
        <v>42163.2</v>
      </c>
      <c r="G58" s="1">
        <f ca="1">控制台!$E$3144*$C58</f>
        <v>1.2</v>
      </c>
      <c r="H58" s="1">
        <f ca="1" t="shared" si="1"/>
        <v>6</v>
      </c>
      <c r="I58" s="5">
        <f ca="1" t="shared" si="11"/>
        <v>45.75</v>
      </c>
      <c r="J58" s="1">
        <f ca="1">控制台!$E$3148*$C58</f>
        <v>240000</v>
      </c>
      <c r="K58" s="1">
        <f ca="1" t="shared" si="2"/>
        <v>1200000</v>
      </c>
      <c r="L58" s="5">
        <f ca="1" t="shared" si="12"/>
        <v>9150000</v>
      </c>
      <c r="M58" s="1">
        <f ca="1">控制台!$E$3152*$C58</f>
        <v>160</v>
      </c>
      <c r="N58" s="1">
        <f ca="1" t="shared" si="3"/>
        <v>800</v>
      </c>
      <c r="O58" s="5">
        <f ca="1" t="shared" si="13"/>
        <v>6100</v>
      </c>
      <c r="P58" s="1">
        <f ca="1">控制台!$E$3156*$C58</f>
        <v>48</v>
      </c>
      <c r="Q58" s="1">
        <f ca="1" t="shared" si="4"/>
        <v>240</v>
      </c>
      <c r="R58" s="5">
        <f ca="1" t="shared" si="14"/>
        <v>1830</v>
      </c>
      <c r="S58" s="1">
        <f ca="1">控制台!$E$3160*$C58</f>
        <v>288</v>
      </c>
      <c r="T58" s="1">
        <f ca="1" t="shared" si="5"/>
        <v>1440</v>
      </c>
      <c r="U58" s="5">
        <f ca="1" t="shared" si="15"/>
        <v>10980</v>
      </c>
      <c r="V58" s="1">
        <f ca="1">控制台!$E$3168*$C58</f>
        <v>120000</v>
      </c>
      <c r="W58" s="1">
        <f ca="1" t="shared" si="6"/>
        <v>600000</v>
      </c>
      <c r="X58" s="5">
        <f ca="1" t="shared" si="16"/>
        <v>4575000</v>
      </c>
      <c r="Y58" s="1">
        <f ca="1">控制台!$E$3172*$C58</f>
        <v>80</v>
      </c>
      <c r="Z58" s="1">
        <f ca="1" t="shared" si="17"/>
        <v>400</v>
      </c>
      <c r="AA58" s="5">
        <f ca="1" t="shared" si="18"/>
        <v>3050</v>
      </c>
      <c r="AB58" s="1">
        <f ca="1">控制台!$E$3176*$C58</f>
        <v>24</v>
      </c>
      <c r="AC58" s="1">
        <f ca="1" t="shared" si="19"/>
        <v>120</v>
      </c>
      <c r="AD58" s="5">
        <f ca="1" t="shared" si="20"/>
        <v>915</v>
      </c>
    </row>
    <row r="59" spans="1:30">
      <c r="A59" s="11">
        <v>70</v>
      </c>
      <c r="B59" s="1">
        <f t="shared" si="9"/>
        <v>5</v>
      </c>
      <c r="C59" s="13">
        <f ca="1">IF(A59-1&lt;0,控制台!$C$3185,OFFSET(控制台!$C$3185,MATCH(A59-1,控制台!$B$3185:$B$3190,1)-1,0))</f>
        <v>0.8</v>
      </c>
      <c r="D59" s="1">
        <f ca="1">控制台!$E$3140*$C59</f>
        <v>1105.92</v>
      </c>
      <c r="E59" s="1">
        <f ca="1" t="shared" si="0"/>
        <v>5529.6</v>
      </c>
      <c r="F59" s="5">
        <f ca="1" t="shared" si="10"/>
        <v>47692.8</v>
      </c>
      <c r="G59" s="1">
        <f ca="1">控制台!$E$3144*$C59</f>
        <v>1.2</v>
      </c>
      <c r="H59" s="1">
        <f ca="1" t="shared" si="1"/>
        <v>6</v>
      </c>
      <c r="I59" s="5">
        <f ca="1" t="shared" si="11"/>
        <v>51.75</v>
      </c>
      <c r="J59" s="1">
        <f ca="1">控制台!$E$3148*$C59</f>
        <v>240000</v>
      </c>
      <c r="K59" s="1">
        <f ca="1" t="shared" si="2"/>
        <v>1200000</v>
      </c>
      <c r="L59" s="5">
        <f ca="1" t="shared" si="12"/>
        <v>10350000</v>
      </c>
      <c r="M59" s="1">
        <f ca="1">控制台!$E$3152*$C59</f>
        <v>160</v>
      </c>
      <c r="N59" s="1">
        <f ca="1" t="shared" si="3"/>
        <v>800</v>
      </c>
      <c r="O59" s="5">
        <f ca="1" t="shared" si="13"/>
        <v>6900</v>
      </c>
      <c r="P59" s="1">
        <f ca="1">控制台!$E$3156*$C59</f>
        <v>48</v>
      </c>
      <c r="Q59" s="1">
        <f ca="1" t="shared" si="4"/>
        <v>240</v>
      </c>
      <c r="R59" s="5">
        <f ca="1" t="shared" si="14"/>
        <v>2070</v>
      </c>
      <c r="S59" s="1">
        <f ca="1">控制台!$E$3160*$C59</f>
        <v>288</v>
      </c>
      <c r="T59" s="1">
        <f ca="1" t="shared" si="5"/>
        <v>1440</v>
      </c>
      <c r="U59" s="5">
        <f ca="1" t="shared" si="15"/>
        <v>12420</v>
      </c>
      <c r="V59" s="1">
        <f ca="1">控制台!$E$3168*$C59</f>
        <v>120000</v>
      </c>
      <c r="W59" s="1">
        <f ca="1" t="shared" si="6"/>
        <v>600000</v>
      </c>
      <c r="X59" s="5">
        <f ca="1" t="shared" si="16"/>
        <v>5175000</v>
      </c>
      <c r="Y59" s="1">
        <f ca="1">控制台!$E$3172*$C59</f>
        <v>80</v>
      </c>
      <c r="Z59" s="1">
        <f ca="1" t="shared" si="17"/>
        <v>400</v>
      </c>
      <c r="AA59" s="5">
        <f ca="1" t="shared" si="18"/>
        <v>3450</v>
      </c>
      <c r="AB59" s="1">
        <f ca="1">控制台!$E$3176*$C59</f>
        <v>24</v>
      </c>
      <c r="AC59" s="1">
        <f ca="1" t="shared" si="19"/>
        <v>120</v>
      </c>
      <c r="AD59" s="5">
        <f ca="1" t="shared" si="20"/>
        <v>1035</v>
      </c>
    </row>
    <row r="60" spans="1:30">
      <c r="A60" s="11">
        <v>75</v>
      </c>
      <c r="B60" s="1">
        <f t="shared" si="9"/>
        <v>5</v>
      </c>
      <c r="C60" s="13">
        <f ca="1">IF(A60-1&lt;0,控制台!$C$3185,OFFSET(控制台!$C$3185,MATCH(A60-1,控制台!$B$3185:$B$3190,1)-1,0))</f>
        <v>0.8</v>
      </c>
      <c r="D60" s="1">
        <f ca="1">控制台!$E$3140*$C60</f>
        <v>1105.92</v>
      </c>
      <c r="E60" s="1">
        <f ca="1" t="shared" si="0"/>
        <v>5529.6</v>
      </c>
      <c r="F60" s="5">
        <f ca="1" t="shared" si="10"/>
        <v>53222.4</v>
      </c>
      <c r="G60" s="1">
        <f ca="1">控制台!$E$3144*$C60</f>
        <v>1.2</v>
      </c>
      <c r="H60" s="1">
        <f ca="1" t="shared" si="1"/>
        <v>6</v>
      </c>
      <c r="I60" s="5">
        <f ca="1" t="shared" si="11"/>
        <v>57.75</v>
      </c>
      <c r="J60" s="1">
        <f ca="1">控制台!$E$3148*$C60</f>
        <v>240000</v>
      </c>
      <c r="K60" s="1">
        <f ca="1" t="shared" si="2"/>
        <v>1200000</v>
      </c>
      <c r="L60" s="5">
        <f ca="1" t="shared" si="12"/>
        <v>11550000</v>
      </c>
      <c r="M60" s="1">
        <f ca="1">控制台!$E$3152*$C60</f>
        <v>160</v>
      </c>
      <c r="N60" s="1">
        <f ca="1" t="shared" si="3"/>
        <v>800</v>
      </c>
      <c r="O60" s="5">
        <f ca="1" t="shared" si="13"/>
        <v>7700</v>
      </c>
      <c r="P60" s="1">
        <f ca="1">控制台!$E$3156*$C60</f>
        <v>48</v>
      </c>
      <c r="Q60" s="1">
        <f ca="1" t="shared" si="4"/>
        <v>240</v>
      </c>
      <c r="R60" s="5">
        <f ca="1" t="shared" si="14"/>
        <v>2310</v>
      </c>
      <c r="S60" s="1">
        <f ca="1">控制台!$E$3160*$C60</f>
        <v>288</v>
      </c>
      <c r="T60" s="1">
        <f ca="1" t="shared" si="5"/>
        <v>1440</v>
      </c>
      <c r="U60" s="5">
        <f ca="1" t="shared" si="15"/>
        <v>13860</v>
      </c>
      <c r="V60" s="1">
        <f ca="1">控制台!$E$3168*$C60</f>
        <v>120000</v>
      </c>
      <c r="W60" s="1">
        <f ca="1" t="shared" si="6"/>
        <v>600000</v>
      </c>
      <c r="X60" s="5">
        <f ca="1" t="shared" si="16"/>
        <v>5775000</v>
      </c>
      <c r="Y60" s="1">
        <f ca="1">控制台!$E$3172*$C60</f>
        <v>80</v>
      </c>
      <c r="Z60" s="1">
        <f ca="1" t="shared" si="17"/>
        <v>400</v>
      </c>
      <c r="AA60" s="5">
        <f ca="1" t="shared" si="18"/>
        <v>3850</v>
      </c>
      <c r="AB60" s="1">
        <f ca="1">控制台!$E$3176*$C60</f>
        <v>24</v>
      </c>
      <c r="AC60" s="1">
        <f ca="1" t="shared" si="19"/>
        <v>120</v>
      </c>
      <c r="AD60" s="5">
        <f ca="1" t="shared" si="20"/>
        <v>1155</v>
      </c>
    </row>
    <row r="61" spans="1:30">
      <c r="A61" s="11">
        <v>80</v>
      </c>
      <c r="B61" s="1">
        <f t="shared" si="9"/>
        <v>5</v>
      </c>
      <c r="C61" s="13">
        <f ca="1">IF(A61-1&lt;0,控制台!$C$3185,OFFSET(控制台!$C$3185,MATCH(A61-1,控制台!$B$3185:$B$3190,1)-1,0))</f>
        <v>0.8</v>
      </c>
      <c r="D61" s="1">
        <f ca="1">控制台!$E$3140*$C61</f>
        <v>1105.92</v>
      </c>
      <c r="E61" s="1">
        <f ca="1" t="shared" si="0"/>
        <v>5529.6</v>
      </c>
      <c r="F61" s="5">
        <f ca="1" t="shared" si="10"/>
        <v>58752</v>
      </c>
      <c r="G61" s="1">
        <f ca="1">控制台!$E$3144*$C61</f>
        <v>1.2</v>
      </c>
      <c r="H61" s="1">
        <f ca="1" t="shared" si="1"/>
        <v>6</v>
      </c>
      <c r="I61" s="5">
        <f ca="1" t="shared" si="11"/>
        <v>63.75</v>
      </c>
      <c r="J61" s="1">
        <f ca="1">控制台!$E$3148*$C61</f>
        <v>240000</v>
      </c>
      <c r="K61" s="1">
        <f ca="1" t="shared" si="2"/>
        <v>1200000</v>
      </c>
      <c r="L61" s="5">
        <f ca="1" t="shared" si="12"/>
        <v>12750000</v>
      </c>
      <c r="M61" s="1">
        <f ca="1">控制台!$E$3152*$C61</f>
        <v>160</v>
      </c>
      <c r="N61" s="1">
        <f ca="1" t="shared" si="3"/>
        <v>800</v>
      </c>
      <c r="O61" s="5">
        <f ca="1" t="shared" si="13"/>
        <v>8500</v>
      </c>
      <c r="P61" s="1">
        <f ca="1">控制台!$E$3156*$C61</f>
        <v>48</v>
      </c>
      <c r="Q61" s="1">
        <f ca="1" t="shared" si="4"/>
        <v>240</v>
      </c>
      <c r="R61" s="5">
        <f ca="1" t="shared" si="14"/>
        <v>2550</v>
      </c>
      <c r="S61" s="1">
        <f ca="1">控制台!$E$3160*$C61</f>
        <v>288</v>
      </c>
      <c r="T61" s="1">
        <f ca="1" t="shared" si="5"/>
        <v>1440</v>
      </c>
      <c r="U61" s="5">
        <f ca="1" t="shared" si="15"/>
        <v>15300</v>
      </c>
      <c r="V61" s="1">
        <f ca="1">控制台!$E$3168*$C61</f>
        <v>120000</v>
      </c>
      <c r="W61" s="1">
        <f ca="1" t="shared" si="6"/>
        <v>600000</v>
      </c>
      <c r="X61" s="5">
        <f ca="1" t="shared" si="16"/>
        <v>6375000</v>
      </c>
      <c r="Y61" s="1">
        <f ca="1">控制台!$E$3172*$C61</f>
        <v>80</v>
      </c>
      <c r="Z61" s="1">
        <f ca="1" t="shared" si="17"/>
        <v>400</v>
      </c>
      <c r="AA61" s="5">
        <f ca="1" t="shared" si="18"/>
        <v>4250</v>
      </c>
      <c r="AB61" s="1">
        <f ca="1">控制台!$E$3176*$C61</f>
        <v>24</v>
      </c>
      <c r="AC61" s="1">
        <f ca="1" t="shared" si="19"/>
        <v>120</v>
      </c>
      <c r="AD61" s="5">
        <f ca="1" t="shared" si="20"/>
        <v>1275</v>
      </c>
    </row>
    <row r="62" spans="1:30">
      <c r="A62" s="11">
        <v>85</v>
      </c>
      <c r="B62" s="1">
        <f t="shared" si="9"/>
        <v>5</v>
      </c>
      <c r="C62" s="13">
        <f ca="1">IF(A62-1&lt;0,控制台!$C$3185,OFFSET(控制台!$C$3185,MATCH(A62-1,控制台!$B$3185:$B$3190,1)-1,0))</f>
        <v>0.8</v>
      </c>
      <c r="D62" s="1">
        <f ca="1">控制台!$E$3140*$C62</f>
        <v>1105.92</v>
      </c>
      <c r="E62" s="1">
        <f ca="1" t="shared" si="0"/>
        <v>5529.6</v>
      </c>
      <c r="F62" s="5">
        <f ca="1" t="shared" si="10"/>
        <v>64281.6</v>
      </c>
      <c r="G62" s="1">
        <f ca="1">控制台!$E$3144*$C62</f>
        <v>1.2</v>
      </c>
      <c r="H62" s="1">
        <f ca="1" t="shared" si="1"/>
        <v>6</v>
      </c>
      <c r="I62" s="5">
        <f ca="1" t="shared" si="11"/>
        <v>69.75</v>
      </c>
      <c r="J62" s="1">
        <f ca="1">控制台!$E$3148*$C62</f>
        <v>240000</v>
      </c>
      <c r="K62" s="1">
        <f ca="1" t="shared" si="2"/>
        <v>1200000</v>
      </c>
      <c r="L62" s="5">
        <f ca="1" t="shared" si="12"/>
        <v>13950000</v>
      </c>
      <c r="M62" s="1">
        <f ca="1">控制台!$E$3152*$C62</f>
        <v>160</v>
      </c>
      <c r="N62" s="1">
        <f ca="1" t="shared" si="3"/>
        <v>800</v>
      </c>
      <c r="O62" s="5">
        <f ca="1" t="shared" si="13"/>
        <v>9300</v>
      </c>
      <c r="P62" s="1">
        <f ca="1">控制台!$E$3156*$C62</f>
        <v>48</v>
      </c>
      <c r="Q62" s="1">
        <f ca="1" t="shared" si="4"/>
        <v>240</v>
      </c>
      <c r="R62" s="5">
        <f ca="1" t="shared" si="14"/>
        <v>2790</v>
      </c>
      <c r="S62" s="1">
        <f ca="1">控制台!$E$3160*$C62</f>
        <v>288</v>
      </c>
      <c r="T62" s="1">
        <f ca="1" t="shared" si="5"/>
        <v>1440</v>
      </c>
      <c r="U62" s="5">
        <f ca="1" t="shared" si="15"/>
        <v>16740</v>
      </c>
      <c r="V62" s="1">
        <f ca="1">控制台!$E$3168*$C62</f>
        <v>120000</v>
      </c>
      <c r="W62" s="1">
        <f ca="1" t="shared" si="6"/>
        <v>600000</v>
      </c>
      <c r="X62" s="5">
        <f ca="1" t="shared" si="16"/>
        <v>6975000</v>
      </c>
      <c r="Y62" s="1">
        <f ca="1">控制台!$E$3172*$C62</f>
        <v>80</v>
      </c>
      <c r="Z62" s="1">
        <f ca="1" t="shared" si="17"/>
        <v>400</v>
      </c>
      <c r="AA62" s="5">
        <f ca="1" t="shared" si="18"/>
        <v>4650</v>
      </c>
      <c r="AB62" s="1">
        <f ca="1">控制台!$E$3176*$C62</f>
        <v>24</v>
      </c>
      <c r="AC62" s="1">
        <f ca="1" t="shared" si="19"/>
        <v>120</v>
      </c>
      <c r="AD62" s="5">
        <f ca="1" t="shared" si="20"/>
        <v>1395</v>
      </c>
    </row>
    <row r="63" spans="1:30">
      <c r="A63" s="11">
        <v>90</v>
      </c>
      <c r="B63" s="1">
        <f t="shared" si="9"/>
        <v>5</v>
      </c>
      <c r="C63" s="13">
        <f ca="1">IF(A63-1&lt;0,控制台!$C$3185,OFFSET(控制台!$C$3185,MATCH(A63-1,控制台!$B$3185:$B$3190,1)-1,0))</f>
        <v>0.8</v>
      </c>
      <c r="D63" s="1">
        <f ca="1">控制台!$E$3140*$C63</f>
        <v>1105.92</v>
      </c>
      <c r="E63" s="1">
        <f ca="1" t="shared" si="0"/>
        <v>5529.6</v>
      </c>
      <c r="F63" s="5">
        <f ca="1" t="shared" si="10"/>
        <v>69811.2</v>
      </c>
      <c r="G63" s="1">
        <f ca="1">控制台!$E$3144*$C63</f>
        <v>1.2</v>
      </c>
      <c r="H63" s="1">
        <f ca="1" t="shared" si="1"/>
        <v>6</v>
      </c>
      <c r="I63" s="5">
        <f ca="1" t="shared" si="11"/>
        <v>75.75</v>
      </c>
      <c r="J63" s="1">
        <f ca="1">控制台!$E$3148*$C63</f>
        <v>240000</v>
      </c>
      <c r="K63" s="1">
        <f ca="1" t="shared" si="2"/>
        <v>1200000</v>
      </c>
      <c r="L63" s="5">
        <f ca="1" t="shared" si="12"/>
        <v>15150000</v>
      </c>
      <c r="M63" s="1">
        <f ca="1">控制台!$E$3152*$C63</f>
        <v>160</v>
      </c>
      <c r="N63" s="1">
        <f ca="1" t="shared" si="3"/>
        <v>800</v>
      </c>
      <c r="O63" s="5">
        <f ca="1" t="shared" si="13"/>
        <v>10100</v>
      </c>
      <c r="P63" s="1">
        <f ca="1">控制台!$E$3156*$C63</f>
        <v>48</v>
      </c>
      <c r="Q63" s="1">
        <f ca="1" t="shared" si="4"/>
        <v>240</v>
      </c>
      <c r="R63" s="5">
        <f ca="1" t="shared" si="14"/>
        <v>3030</v>
      </c>
      <c r="S63" s="1">
        <f ca="1">控制台!$E$3160*$C63</f>
        <v>288</v>
      </c>
      <c r="T63" s="1">
        <f ca="1" t="shared" si="5"/>
        <v>1440</v>
      </c>
      <c r="U63" s="5">
        <f ca="1" t="shared" si="15"/>
        <v>18180</v>
      </c>
      <c r="V63" s="1">
        <f ca="1">控制台!$E$3168*$C63</f>
        <v>120000</v>
      </c>
      <c r="W63" s="1">
        <f ca="1" t="shared" si="6"/>
        <v>600000</v>
      </c>
      <c r="X63" s="5">
        <f ca="1" t="shared" si="16"/>
        <v>7575000</v>
      </c>
      <c r="Y63" s="1">
        <f ca="1">控制台!$E$3172*$C63</f>
        <v>80</v>
      </c>
      <c r="Z63" s="1">
        <f ca="1" t="shared" si="17"/>
        <v>400</v>
      </c>
      <c r="AA63" s="5">
        <f ca="1" t="shared" si="18"/>
        <v>5050</v>
      </c>
      <c r="AB63" s="1">
        <f ca="1">控制台!$E$3176*$C63</f>
        <v>24</v>
      </c>
      <c r="AC63" s="1">
        <f ca="1" t="shared" si="19"/>
        <v>120</v>
      </c>
      <c r="AD63" s="5">
        <f ca="1" t="shared" si="20"/>
        <v>1515</v>
      </c>
    </row>
    <row r="64" spans="1:30">
      <c r="A64" s="11">
        <v>95</v>
      </c>
      <c r="B64" s="1">
        <f t="shared" si="9"/>
        <v>5</v>
      </c>
      <c r="C64" s="13">
        <f ca="1">IF(A64-1&lt;0,控制台!$C$3185,OFFSET(控制台!$C$3185,MATCH(A64-1,控制台!$B$3185:$B$3190,1)-1,0))</f>
        <v>0.8</v>
      </c>
      <c r="D64" s="1">
        <f ca="1">控制台!$E$3140*$C64</f>
        <v>1105.92</v>
      </c>
      <c r="E64" s="1">
        <f ca="1" t="shared" si="0"/>
        <v>5529.6</v>
      </c>
      <c r="F64" s="5">
        <f ca="1" t="shared" si="10"/>
        <v>75340.8</v>
      </c>
      <c r="G64" s="1">
        <f ca="1">控制台!$E$3144*$C64</f>
        <v>1.2</v>
      </c>
      <c r="H64" s="1">
        <f ca="1" t="shared" si="1"/>
        <v>6</v>
      </c>
      <c r="I64" s="5">
        <f ca="1" t="shared" si="11"/>
        <v>81.75</v>
      </c>
      <c r="J64" s="1">
        <f ca="1">控制台!$E$3148*$C64</f>
        <v>240000</v>
      </c>
      <c r="K64" s="1">
        <f ca="1" t="shared" si="2"/>
        <v>1200000</v>
      </c>
      <c r="L64" s="5">
        <f ca="1" t="shared" si="12"/>
        <v>16350000</v>
      </c>
      <c r="M64" s="1">
        <f ca="1">控制台!$E$3152*$C64</f>
        <v>160</v>
      </c>
      <c r="N64" s="1">
        <f ca="1" t="shared" si="3"/>
        <v>800</v>
      </c>
      <c r="O64" s="5">
        <f ca="1" t="shared" si="13"/>
        <v>10900</v>
      </c>
      <c r="P64" s="1">
        <f ca="1">控制台!$E$3156*$C64</f>
        <v>48</v>
      </c>
      <c r="Q64" s="1">
        <f ca="1" t="shared" si="4"/>
        <v>240</v>
      </c>
      <c r="R64" s="5">
        <f ca="1" t="shared" si="14"/>
        <v>3270</v>
      </c>
      <c r="S64" s="1">
        <f ca="1">控制台!$E$3160*$C64</f>
        <v>288</v>
      </c>
      <c r="T64" s="1">
        <f ca="1" t="shared" si="5"/>
        <v>1440</v>
      </c>
      <c r="U64" s="5">
        <f ca="1" t="shared" si="15"/>
        <v>19620</v>
      </c>
      <c r="V64" s="1">
        <f ca="1">控制台!$E$3168*$C64</f>
        <v>120000</v>
      </c>
      <c r="W64" s="1">
        <f ca="1" t="shared" si="6"/>
        <v>600000</v>
      </c>
      <c r="X64" s="5">
        <f ca="1" t="shared" si="16"/>
        <v>8175000</v>
      </c>
      <c r="Y64" s="1">
        <f ca="1">控制台!$E$3172*$C64</f>
        <v>80</v>
      </c>
      <c r="Z64" s="1">
        <f ca="1" t="shared" si="17"/>
        <v>400</v>
      </c>
      <c r="AA64" s="5">
        <f ca="1" t="shared" si="18"/>
        <v>5450</v>
      </c>
      <c r="AB64" s="1">
        <f ca="1">控制台!$E$3176*$C64</f>
        <v>24</v>
      </c>
      <c r="AC64" s="1">
        <f ca="1" t="shared" si="19"/>
        <v>120</v>
      </c>
      <c r="AD64" s="5">
        <f ca="1" t="shared" si="20"/>
        <v>1635</v>
      </c>
    </row>
    <row r="65" spans="1:30">
      <c r="A65" s="11">
        <v>100</v>
      </c>
      <c r="B65" s="1">
        <f t="shared" si="9"/>
        <v>5</v>
      </c>
      <c r="C65" s="13">
        <f ca="1">IF(A65-1&lt;0,控制台!$C$3185,OFFSET(控制台!$C$3185,MATCH(A65-1,控制台!$B$3185:$B$3190,1)-1,0))</f>
        <v>0.8</v>
      </c>
      <c r="D65" s="1">
        <f ca="1">控制台!$E$3140*$C65</f>
        <v>1105.92</v>
      </c>
      <c r="E65" s="1">
        <f ca="1" t="shared" si="0"/>
        <v>5529.6</v>
      </c>
      <c r="F65" s="5">
        <f ca="1" t="shared" si="10"/>
        <v>80870.4</v>
      </c>
      <c r="G65" s="1">
        <f ca="1">控制台!$E$3144*$C65</f>
        <v>1.2</v>
      </c>
      <c r="H65" s="1">
        <f ca="1" t="shared" si="1"/>
        <v>6</v>
      </c>
      <c r="I65" s="5">
        <f ca="1" t="shared" si="11"/>
        <v>87.75</v>
      </c>
      <c r="J65" s="1">
        <f ca="1">控制台!$E$3148*$C65</f>
        <v>240000</v>
      </c>
      <c r="K65" s="1">
        <f ca="1" t="shared" si="2"/>
        <v>1200000</v>
      </c>
      <c r="L65" s="5">
        <f ca="1" t="shared" si="12"/>
        <v>17550000</v>
      </c>
      <c r="M65" s="1">
        <f ca="1">控制台!$E$3152*$C65</f>
        <v>160</v>
      </c>
      <c r="N65" s="1">
        <f ca="1" t="shared" si="3"/>
        <v>800</v>
      </c>
      <c r="O65" s="5">
        <f ca="1" t="shared" si="13"/>
        <v>11700</v>
      </c>
      <c r="P65" s="1">
        <f ca="1">控制台!$E$3156*$C65</f>
        <v>48</v>
      </c>
      <c r="Q65" s="1">
        <f ca="1" t="shared" si="4"/>
        <v>240</v>
      </c>
      <c r="R65" s="5">
        <f ca="1" t="shared" si="14"/>
        <v>3510</v>
      </c>
      <c r="S65" s="1">
        <f ca="1">控制台!$E$3160*$C65</f>
        <v>288</v>
      </c>
      <c r="T65" s="1">
        <f ca="1" t="shared" si="5"/>
        <v>1440</v>
      </c>
      <c r="U65" s="5">
        <f ca="1" t="shared" si="15"/>
        <v>21060</v>
      </c>
      <c r="V65" s="1">
        <f ca="1">控制台!$E$3168*$C65</f>
        <v>120000</v>
      </c>
      <c r="W65" s="1">
        <f ca="1" t="shared" si="6"/>
        <v>600000</v>
      </c>
      <c r="X65" s="5">
        <f ca="1" t="shared" si="16"/>
        <v>8775000</v>
      </c>
      <c r="Y65" s="1">
        <f ca="1">控制台!$E$3172*$C65</f>
        <v>80</v>
      </c>
      <c r="Z65" s="1">
        <f ca="1" t="shared" si="17"/>
        <v>400</v>
      </c>
      <c r="AA65" s="5">
        <f ca="1" t="shared" si="18"/>
        <v>5850</v>
      </c>
      <c r="AB65" s="1">
        <f ca="1">控制台!$E$3176*$C65</f>
        <v>24</v>
      </c>
      <c r="AC65" s="1">
        <f ca="1" t="shared" si="19"/>
        <v>120</v>
      </c>
      <c r="AD65" s="5">
        <f ca="1" t="shared" si="20"/>
        <v>1755</v>
      </c>
    </row>
    <row r="66" spans="1:30">
      <c r="A66" s="11">
        <v>105</v>
      </c>
      <c r="B66" s="1">
        <f t="shared" si="9"/>
        <v>5</v>
      </c>
      <c r="C66" s="13">
        <f ca="1">IF(A66-1&lt;0,控制台!$C$3185,OFFSET(控制台!$C$3185,MATCH(A66-1,控制台!$B$3185:$B$3190,1)-1,0))</f>
        <v>0.8</v>
      </c>
      <c r="D66" s="1">
        <f ca="1">控制台!$E$3140*$C66</f>
        <v>1105.92</v>
      </c>
      <c r="E66" s="1">
        <f ca="1" t="shared" si="0"/>
        <v>5529.6</v>
      </c>
      <c r="F66" s="5">
        <f ca="1" t="shared" si="10"/>
        <v>86400</v>
      </c>
      <c r="G66" s="1">
        <f ca="1">控制台!$E$3144*$C66</f>
        <v>1.2</v>
      </c>
      <c r="H66" s="1">
        <f ca="1" t="shared" si="1"/>
        <v>6</v>
      </c>
      <c r="I66" s="5">
        <f ca="1" t="shared" si="11"/>
        <v>93.75</v>
      </c>
      <c r="J66" s="1">
        <f ca="1">控制台!$E$3148*$C66</f>
        <v>240000</v>
      </c>
      <c r="K66" s="1">
        <f ca="1" t="shared" si="2"/>
        <v>1200000</v>
      </c>
      <c r="L66" s="5">
        <f ca="1" t="shared" si="12"/>
        <v>18750000</v>
      </c>
      <c r="M66" s="1">
        <f ca="1">控制台!$E$3152*$C66</f>
        <v>160</v>
      </c>
      <c r="N66" s="1">
        <f ca="1" t="shared" si="3"/>
        <v>800</v>
      </c>
      <c r="O66" s="5">
        <f ca="1" t="shared" si="13"/>
        <v>12500</v>
      </c>
      <c r="P66" s="1">
        <f ca="1">控制台!$E$3156*$C66</f>
        <v>48</v>
      </c>
      <c r="Q66" s="1">
        <f ca="1" t="shared" si="4"/>
        <v>240</v>
      </c>
      <c r="R66" s="5">
        <f ca="1" t="shared" si="14"/>
        <v>3750</v>
      </c>
      <c r="S66" s="1">
        <f ca="1">控制台!$E$3160*$C66</f>
        <v>288</v>
      </c>
      <c r="T66" s="1">
        <f ca="1" t="shared" si="5"/>
        <v>1440</v>
      </c>
      <c r="U66" s="5">
        <f ca="1" t="shared" si="15"/>
        <v>22500</v>
      </c>
      <c r="V66" s="1">
        <f ca="1">控制台!$E$3168*$C66</f>
        <v>120000</v>
      </c>
      <c r="W66" s="1">
        <f ca="1" t="shared" si="6"/>
        <v>600000</v>
      </c>
      <c r="X66" s="5">
        <f ca="1" t="shared" si="16"/>
        <v>9375000</v>
      </c>
      <c r="Y66" s="1">
        <f ca="1">控制台!$E$3172*$C66</f>
        <v>80</v>
      </c>
      <c r="Z66" s="1">
        <f ca="1" t="shared" si="17"/>
        <v>400</v>
      </c>
      <c r="AA66" s="5">
        <f ca="1" t="shared" si="18"/>
        <v>6250</v>
      </c>
      <c r="AB66" s="1">
        <f ca="1">控制台!$E$3176*$C66</f>
        <v>24</v>
      </c>
      <c r="AC66" s="1">
        <f ca="1" t="shared" si="19"/>
        <v>120</v>
      </c>
      <c r="AD66" s="5">
        <f ca="1" t="shared" si="20"/>
        <v>1875</v>
      </c>
    </row>
    <row r="67" spans="1:30">
      <c r="A67" s="11">
        <v>110</v>
      </c>
      <c r="B67" s="1">
        <f t="shared" si="9"/>
        <v>5</v>
      </c>
      <c r="C67" s="13">
        <f ca="1">IF(A67-1&lt;0,控制台!$C$3185,OFFSET(控制台!$C$3185,MATCH(A67-1,控制台!$B$3185:$B$3190,1)-1,0))</f>
        <v>0.8</v>
      </c>
      <c r="D67" s="1">
        <f ca="1">控制台!$E$3140*$C67</f>
        <v>1105.92</v>
      </c>
      <c r="E67" s="1">
        <f ca="1" t="shared" si="0"/>
        <v>5529.6</v>
      </c>
      <c r="F67" s="5">
        <f ca="1" t="shared" si="10"/>
        <v>91929.6</v>
      </c>
      <c r="G67" s="1">
        <f ca="1">控制台!$E$3144*$C67</f>
        <v>1.2</v>
      </c>
      <c r="H67" s="1">
        <f ca="1" t="shared" si="1"/>
        <v>6</v>
      </c>
      <c r="I67" s="5">
        <f ca="1" t="shared" si="11"/>
        <v>99.75</v>
      </c>
      <c r="J67" s="1">
        <f ca="1">控制台!$E$3148*$C67</f>
        <v>240000</v>
      </c>
      <c r="K67" s="1">
        <f ca="1" t="shared" si="2"/>
        <v>1200000</v>
      </c>
      <c r="L67" s="5">
        <f ca="1" t="shared" si="12"/>
        <v>19950000</v>
      </c>
      <c r="M67" s="1">
        <f ca="1">控制台!$E$3152*$C67</f>
        <v>160</v>
      </c>
      <c r="N67" s="1">
        <f ca="1" t="shared" si="3"/>
        <v>800</v>
      </c>
      <c r="O67" s="5">
        <f ca="1" t="shared" si="13"/>
        <v>13300</v>
      </c>
      <c r="P67" s="1">
        <f ca="1">控制台!$E$3156*$C67</f>
        <v>48</v>
      </c>
      <c r="Q67" s="1">
        <f ca="1" t="shared" si="4"/>
        <v>240</v>
      </c>
      <c r="R67" s="5">
        <f ca="1" t="shared" si="14"/>
        <v>3990</v>
      </c>
      <c r="S67" s="1">
        <f ca="1">控制台!$E$3160*$C67</f>
        <v>288</v>
      </c>
      <c r="T67" s="1">
        <f ca="1" t="shared" si="5"/>
        <v>1440</v>
      </c>
      <c r="U67" s="5">
        <f ca="1" t="shared" si="15"/>
        <v>23940</v>
      </c>
      <c r="V67" s="1">
        <f ca="1">控制台!$E$3168*$C67</f>
        <v>120000</v>
      </c>
      <c r="W67" s="1">
        <f ca="1" t="shared" si="6"/>
        <v>600000</v>
      </c>
      <c r="X67" s="5">
        <f ca="1" t="shared" si="16"/>
        <v>9975000</v>
      </c>
      <c r="Y67" s="1">
        <f ca="1">控制台!$E$3172*$C67</f>
        <v>80</v>
      </c>
      <c r="Z67" s="1">
        <f ca="1" t="shared" si="17"/>
        <v>400</v>
      </c>
      <c r="AA67" s="5">
        <f ca="1" t="shared" si="18"/>
        <v>6650</v>
      </c>
      <c r="AB67" s="1">
        <f ca="1">控制台!$E$3176*$C67</f>
        <v>24</v>
      </c>
      <c r="AC67" s="1">
        <f ca="1" t="shared" si="19"/>
        <v>120</v>
      </c>
      <c r="AD67" s="5">
        <f ca="1" t="shared" si="20"/>
        <v>1995</v>
      </c>
    </row>
    <row r="68" spans="1:30">
      <c r="A68" s="11">
        <v>115</v>
      </c>
      <c r="B68" s="1">
        <f t="shared" si="9"/>
        <v>5</v>
      </c>
      <c r="C68" s="13">
        <f ca="1">IF(A68-1&lt;0,控制台!$C$3185,OFFSET(控制台!$C$3185,MATCH(A68-1,控制台!$B$3185:$B$3190,1)-1,0))</f>
        <v>0.8</v>
      </c>
      <c r="D68" s="1">
        <f ca="1">控制台!$E$3140*$C68</f>
        <v>1105.92</v>
      </c>
      <c r="E68" s="1">
        <f ca="1" t="shared" si="0"/>
        <v>5529.6</v>
      </c>
      <c r="F68" s="5">
        <f ca="1" t="shared" si="10"/>
        <v>97459.2</v>
      </c>
      <c r="G68" s="1">
        <f ca="1">控制台!$E$3144*$C68</f>
        <v>1.2</v>
      </c>
      <c r="H68" s="1">
        <f ca="1" t="shared" si="1"/>
        <v>6</v>
      </c>
      <c r="I68" s="5">
        <f ca="1" t="shared" si="11"/>
        <v>105.75</v>
      </c>
      <c r="J68" s="1">
        <f ca="1">控制台!$E$3148*$C68</f>
        <v>240000</v>
      </c>
      <c r="K68" s="1">
        <f ca="1" t="shared" si="2"/>
        <v>1200000</v>
      </c>
      <c r="L68" s="5">
        <f ca="1" t="shared" si="12"/>
        <v>21150000</v>
      </c>
      <c r="M68" s="1">
        <f ca="1">控制台!$E$3152*$C68</f>
        <v>160</v>
      </c>
      <c r="N68" s="1">
        <f ca="1" t="shared" si="3"/>
        <v>800</v>
      </c>
      <c r="O68" s="5">
        <f ca="1" t="shared" si="13"/>
        <v>14100</v>
      </c>
      <c r="P68" s="1">
        <f ca="1">控制台!$E$3156*$C68</f>
        <v>48</v>
      </c>
      <c r="Q68" s="1">
        <f ca="1" t="shared" si="4"/>
        <v>240</v>
      </c>
      <c r="R68" s="5">
        <f ca="1" t="shared" si="14"/>
        <v>4230</v>
      </c>
      <c r="S68" s="1">
        <f ca="1">控制台!$E$3160*$C68</f>
        <v>288</v>
      </c>
      <c r="T68" s="1">
        <f ca="1" t="shared" si="5"/>
        <v>1440</v>
      </c>
      <c r="U68" s="5">
        <f ca="1" t="shared" si="15"/>
        <v>25380</v>
      </c>
      <c r="V68" s="1">
        <f ca="1">控制台!$E$3168*$C68</f>
        <v>120000</v>
      </c>
      <c r="W68" s="1">
        <f ca="1" t="shared" si="6"/>
        <v>600000</v>
      </c>
      <c r="X68" s="5">
        <f ca="1" t="shared" si="16"/>
        <v>10575000</v>
      </c>
      <c r="Y68" s="1">
        <f ca="1">控制台!$E$3172*$C68</f>
        <v>80</v>
      </c>
      <c r="Z68" s="1">
        <f ca="1" t="shared" si="17"/>
        <v>400</v>
      </c>
      <c r="AA68" s="5">
        <f ca="1" t="shared" si="18"/>
        <v>7050</v>
      </c>
      <c r="AB68" s="1">
        <f ca="1">控制台!$E$3176*$C68</f>
        <v>24</v>
      </c>
      <c r="AC68" s="1">
        <f ca="1" t="shared" si="19"/>
        <v>120</v>
      </c>
      <c r="AD68" s="5">
        <f ca="1" t="shared" si="20"/>
        <v>2115</v>
      </c>
    </row>
    <row r="69" spans="1:30">
      <c r="A69" s="11">
        <v>120</v>
      </c>
      <c r="B69" s="1">
        <f t="shared" si="9"/>
        <v>5</v>
      </c>
      <c r="C69" s="13">
        <f ca="1">IF(A69-1&lt;0,控制台!$C$3185,OFFSET(控制台!$C$3185,MATCH(A69-1,控制台!$B$3185:$B$3190,1)-1,0))</f>
        <v>0.8</v>
      </c>
      <c r="D69" s="1">
        <f ca="1">控制台!$E$3140*$C69</f>
        <v>1105.92</v>
      </c>
      <c r="E69" s="1">
        <f ca="1" t="shared" si="0"/>
        <v>5529.6</v>
      </c>
      <c r="F69" s="5">
        <f ca="1" t="shared" si="10"/>
        <v>102988.8</v>
      </c>
      <c r="G69" s="1">
        <f ca="1">控制台!$E$3144*$C69</f>
        <v>1.2</v>
      </c>
      <c r="H69" s="1">
        <f ca="1" t="shared" si="1"/>
        <v>6</v>
      </c>
      <c r="I69" s="5">
        <f ca="1" t="shared" si="11"/>
        <v>111.75</v>
      </c>
      <c r="J69" s="1">
        <f ca="1">控制台!$E$3148*$C69</f>
        <v>240000</v>
      </c>
      <c r="K69" s="1">
        <f ca="1" t="shared" si="2"/>
        <v>1200000</v>
      </c>
      <c r="L69" s="5">
        <f ca="1" t="shared" si="12"/>
        <v>22350000</v>
      </c>
      <c r="M69" s="1">
        <f ca="1">控制台!$E$3152*$C69</f>
        <v>160</v>
      </c>
      <c r="N69" s="1">
        <f ca="1" t="shared" si="3"/>
        <v>800</v>
      </c>
      <c r="O69" s="5">
        <f ca="1" t="shared" si="13"/>
        <v>14900</v>
      </c>
      <c r="P69" s="1">
        <f ca="1">控制台!$E$3156*$C69</f>
        <v>48</v>
      </c>
      <c r="Q69" s="1">
        <f ca="1" t="shared" si="4"/>
        <v>240</v>
      </c>
      <c r="R69" s="5">
        <f ca="1" t="shared" si="14"/>
        <v>4470</v>
      </c>
      <c r="S69" s="1">
        <f ca="1">控制台!$E$3160*$C69</f>
        <v>288</v>
      </c>
      <c r="T69" s="1">
        <f ca="1" t="shared" si="5"/>
        <v>1440</v>
      </c>
      <c r="U69" s="5">
        <f ca="1" t="shared" si="15"/>
        <v>26820</v>
      </c>
      <c r="V69" s="1">
        <f ca="1">控制台!$E$3168*$C69</f>
        <v>120000</v>
      </c>
      <c r="W69" s="1">
        <f ca="1" t="shared" si="6"/>
        <v>600000</v>
      </c>
      <c r="X69" s="5">
        <f ca="1" t="shared" si="16"/>
        <v>11175000</v>
      </c>
      <c r="Y69" s="1">
        <f ca="1">控制台!$E$3172*$C69</f>
        <v>80</v>
      </c>
      <c r="Z69" s="1">
        <f ca="1" t="shared" si="17"/>
        <v>400</v>
      </c>
      <c r="AA69" s="5">
        <f ca="1" t="shared" si="18"/>
        <v>7450</v>
      </c>
      <c r="AB69" s="1">
        <f ca="1">控制台!$E$3176*$C69</f>
        <v>24</v>
      </c>
      <c r="AC69" s="1">
        <f ca="1" t="shared" si="19"/>
        <v>120</v>
      </c>
      <c r="AD69" s="5">
        <f ca="1" t="shared" si="20"/>
        <v>2235</v>
      </c>
    </row>
    <row r="70" spans="1:30">
      <c r="A70" s="12">
        <v>150</v>
      </c>
      <c r="B70" s="1">
        <f t="shared" si="9"/>
        <v>30</v>
      </c>
      <c r="C70" s="13">
        <f ca="1">IF(A70-1&lt;0,控制台!$C$3185,OFFSET(控制台!$C$3185,MATCH(A70-1,控制台!$B$3185:$B$3190,1)-1,0))</f>
        <v>1</v>
      </c>
      <c r="D70" s="1">
        <f ca="1">控制台!$E$3140*$C70</f>
        <v>1382.4</v>
      </c>
      <c r="E70" s="1">
        <f ca="1" t="shared" si="0"/>
        <v>41472</v>
      </c>
      <c r="F70" s="5">
        <f ca="1" t="shared" si="10"/>
        <v>144460.8</v>
      </c>
      <c r="G70" s="1">
        <f ca="1">控制台!$E$3144*$C70</f>
        <v>1.5</v>
      </c>
      <c r="H70" s="1">
        <f ca="1" t="shared" si="1"/>
        <v>45</v>
      </c>
      <c r="I70" s="5">
        <f ca="1" t="shared" si="11"/>
        <v>156.75</v>
      </c>
      <c r="J70" s="1">
        <f ca="1">控制台!$E$3148*$C70</f>
        <v>300000</v>
      </c>
      <c r="K70" s="1">
        <f ca="1" t="shared" si="2"/>
        <v>9000000</v>
      </c>
      <c r="L70" s="5">
        <f ca="1" t="shared" si="12"/>
        <v>31350000</v>
      </c>
      <c r="M70" s="1">
        <f ca="1">控制台!$E$3152*$C70</f>
        <v>200</v>
      </c>
      <c r="N70" s="1">
        <f ca="1" t="shared" si="3"/>
        <v>6000</v>
      </c>
      <c r="O70" s="5">
        <f ca="1" t="shared" si="13"/>
        <v>20900</v>
      </c>
      <c r="P70" s="1">
        <f ca="1">控制台!$E$3156*$C70</f>
        <v>60</v>
      </c>
      <c r="Q70" s="1">
        <f ca="1" t="shared" si="4"/>
        <v>1800</v>
      </c>
      <c r="R70" s="5">
        <f ca="1" t="shared" si="14"/>
        <v>6270</v>
      </c>
      <c r="S70" s="1">
        <f ca="1">控制台!$E$3160*$C70</f>
        <v>360</v>
      </c>
      <c r="T70" s="1">
        <f ca="1" t="shared" si="5"/>
        <v>10800</v>
      </c>
      <c r="U70" s="5">
        <f ca="1" t="shared" si="15"/>
        <v>37620</v>
      </c>
      <c r="V70" s="1">
        <f ca="1">控制台!$E$3168*$C70</f>
        <v>150000</v>
      </c>
      <c r="W70" s="1">
        <f ca="1" t="shared" si="6"/>
        <v>4500000</v>
      </c>
      <c r="X70" s="5">
        <f ca="1" t="shared" si="16"/>
        <v>15675000</v>
      </c>
      <c r="Y70" s="1">
        <f ca="1">控制台!$E$3172*$C70</f>
        <v>100</v>
      </c>
      <c r="Z70" s="1">
        <f ca="1" t="shared" si="17"/>
        <v>3000</v>
      </c>
      <c r="AA70" s="5">
        <f ca="1" t="shared" si="18"/>
        <v>10450</v>
      </c>
      <c r="AB70" s="1">
        <f ca="1">控制台!$E$3176*$C70</f>
        <v>30</v>
      </c>
      <c r="AC70" s="1">
        <f ca="1" t="shared" si="19"/>
        <v>900</v>
      </c>
      <c r="AD70" s="5">
        <f ca="1" t="shared" si="20"/>
        <v>3135</v>
      </c>
    </row>
    <row r="71" spans="1:30">
      <c r="A71" s="12">
        <v>180</v>
      </c>
      <c r="B71" s="1">
        <f t="shared" si="9"/>
        <v>30</v>
      </c>
      <c r="C71" s="13">
        <f ca="1">IF(A71-1&lt;0,控制台!$C$3185,OFFSET(控制台!$C$3185,MATCH(A71-1,控制台!$B$3185:$B$3190,1)-1,0))</f>
        <v>1</v>
      </c>
      <c r="D71" s="1">
        <f ca="1">控制台!$E$3140*$C71</f>
        <v>1382.4</v>
      </c>
      <c r="E71" s="1">
        <f ca="1" t="shared" ref="E71:E77" si="21">D71*$B71</f>
        <v>41472</v>
      </c>
      <c r="F71" s="5">
        <f ca="1" t="shared" si="10"/>
        <v>185932.8</v>
      </c>
      <c r="G71" s="1">
        <f ca="1">控制台!$E$3144*$C71</f>
        <v>1.5</v>
      </c>
      <c r="H71" s="1">
        <f ca="1" t="shared" ref="H71:H77" si="22">G71*$B71</f>
        <v>45</v>
      </c>
      <c r="I71" s="5">
        <f ca="1" t="shared" si="11"/>
        <v>201.75</v>
      </c>
      <c r="J71" s="1">
        <f ca="1">控制台!$E$3148*$C71</f>
        <v>300000</v>
      </c>
      <c r="K71" s="1">
        <f ca="1" t="shared" ref="K71:K77" si="23">J71*$B71</f>
        <v>9000000</v>
      </c>
      <c r="L71" s="5">
        <f ca="1" t="shared" si="12"/>
        <v>40350000</v>
      </c>
      <c r="M71" s="1">
        <f ca="1">控制台!$E$3152*$C71</f>
        <v>200</v>
      </c>
      <c r="N71" s="1">
        <f ca="1" t="shared" ref="N71:N77" si="24">M71*$B71</f>
        <v>6000</v>
      </c>
      <c r="O71" s="5">
        <f ca="1" t="shared" si="13"/>
        <v>26900</v>
      </c>
      <c r="P71" s="1">
        <f ca="1">控制台!$E$3156*$C71</f>
        <v>60</v>
      </c>
      <c r="Q71" s="1">
        <f ca="1" t="shared" ref="Q71:Q77" si="25">P71*$B71</f>
        <v>1800</v>
      </c>
      <c r="R71" s="5">
        <f ca="1" t="shared" si="14"/>
        <v>8070</v>
      </c>
      <c r="S71" s="1">
        <f ca="1">控制台!$E$3160*$C71</f>
        <v>360</v>
      </c>
      <c r="T71" s="1">
        <f ca="1" t="shared" ref="T71:T77" si="26">S71*$B71</f>
        <v>10800</v>
      </c>
      <c r="U71" s="5">
        <f ca="1" t="shared" si="15"/>
        <v>48420</v>
      </c>
      <c r="V71" s="1">
        <f ca="1">控制台!$E$3168*$C71</f>
        <v>150000</v>
      </c>
      <c r="W71" s="1">
        <f ca="1" t="shared" ref="W71:W77" si="27">V71*$B71</f>
        <v>4500000</v>
      </c>
      <c r="X71" s="5">
        <f ca="1" t="shared" si="16"/>
        <v>20175000</v>
      </c>
      <c r="Y71" s="1">
        <f ca="1">控制台!$E$3172*$C71</f>
        <v>100</v>
      </c>
      <c r="Z71" s="1">
        <f ca="1" t="shared" si="17"/>
        <v>3000</v>
      </c>
      <c r="AA71" s="5">
        <f ca="1" t="shared" si="18"/>
        <v>13450</v>
      </c>
      <c r="AB71" s="1">
        <f ca="1">控制台!$E$3176*$C71</f>
        <v>30</v>
      </c>
      <c r="AC71" s="1">
        <f ca="1" t="shared" si="19"/>
        <v>900</v>
      </c>
      <c r="AD71" s="5">
        <f ca="1" t="shared" si="20"/>
        <v>4035</v>
      </c>
    </row>
    <row r="72" spans="1:30">
      <c r="A72" s="12">
        <v>210</v>
      </c>
      <c r="B72" s="1">
        <f t="shared" ref="B72:B77" si="28">A72-A71</f>
        <v>30</v>
      </c>
      <c r="C72" s="13">
        <f ca="1">IF(A72-1&lt;0,控制台!$C$3185,OFFSET(控制台!$C$3185,MATCH(A72-1,控制台!$B$3185:$B$3190,1)-1,0))</f>
        <v>1</v>
      </c>
      <c r="D72" s="1">
        <f ca="1">控制台!$E$3140*$C72</f>
        <v>1382.4</v>
      </c>
      <c r="E72" s="1">
        <f ca="1" t="shared" si="21"/>
        <v>41472</v>
      </c>
      <c r="F72" s="5">
        <f ca="1" t="shared" ref="F72:F77" si="29">F71+E72</f>
        <v>227404.8</v>
      </c>
      <c r="G72" s="1">
        <f ca="1">控制台!$E$3144*$C72</f>
        <v>1.5</v>
      </c>
      <c r="H72" s="1">
        <f ca="1" t="shared" si="22"/>
        <v>45</v>
      </c>
      <c r="I72" s="5">
        <f ca="1" t="shared" ref="I72:I77" si="30">I71+H72</f>
        <v>246.75</v>
      </c>
      <c r="J72" s="1">
        <f ca="1">控制台!$E$3148*$C72</f>
        <v>300000</v>
      </c>
      <c r="K72" s="1">
        <f ca="1" t="shared" si="23"/>
        <v>9000000</v>
      </c>
      <c r="L72" s="5">
        <f ca="1" t="shared" ref="L72:L77" si="31">L71+K72</f>
        <v>49350000</v>
      </c>
      <c r="M72" s="1">
        <f ca="1">控制台!$E$3152*$C72</f>
        <v>200</v>
      </c>
      <c r="N72" s="1">
        <f ca="1" t="shared" si="24"/>
        <v>6000</v>
      </c>
      <c r="O72" s="5">
        <f ca="1" t="shared" ref="O72:O77" si="32">O71+N72</f>
        <v>32900</v>
      </c>
      <c r="P72" s="1">
        <f ca="1">控制台!$E$3156*$C72</f>
        <v>60</v>
      </c>
      <c r="Q72" s="1">
        <f ca="1" t="shared" si="25"/>
        <v>1800</v>
      </c>
      <c r="R72" s="5">
        <f ca="1" t="shared" ref="R72:R77" si="33">R71+Q72</f>
        <v>9870</v>
      </c>
      <c r="S72" s="1">
        <f ca="1">控制台!$E$3160*$C72</f>
        <v>360</v>
      </c>
      <c r="T72" s="1">
        <f ca="1" t="shared" si="26"/>
        <v>10800</v>
      </c>
      <c r="U72" s="5">
        <f ca="1" t="shared" ref="U72:U77" si="34">U71+T72</f>
        <v>59220</v>
      </c>
      <c r="V72" s="1">
        <f ca="1">控制台!$E$3168*$C72</f>
        <v>150000</v>
      </c>
      <c r="W72" s="1">
        <f ca="1" t="shared" si="27"/>
        <v>4500000</v>
      </c>
      <c r="X72" s="5">
        <f ca="1" t="shared" ref="X72:X77" si="35">X71+W72</f>
        <v>24675000</v>
      </c>
      <c r="Y72" s="1">
        <f ca="1">控制台!$E$3172*$C72</f>
        <v>100</v>
      </c>
      <c r="Z72" s="1">
        <f ca="1" t="shared" ref="Z72:Z77" si="36">Y72*$B72</f>
        <v>3000</v>
      </c>
      <c r="AA72" s="5">
        <f ca="1" t="shared" ref="AA72:AA77" si="37">AA71+Z72</f>
        <v>16450</v>
      </c>
      <c r="AB72" s="1">
        <f ca="1">控制台!$E$3176*$C72</f>
        <v>30</v>
      </c>
      <c r="AC72" s="1">
        <f ca="1" t="shared" ref="AC72:AC77" si="38">AB72*$B72</f>
        <v>900</v>
      </c>
      <c r="AD72" s="5">
        <f ca="1" t="shared" ref="AD72:AD77" si="39">AD71+AC72</f>
        <v>4935</v>
      </c>
    </row>
    <row r="73" spans="1:30">
      <c r="A73" s="12">
        <v>240</v>
      </c>
      <c r="B73" s="1">
        <f t="shared" si="28"/>
        <v>30</v>
      </c>
      <c r="C73" s="13">
        <f ca="1">IF(A73-1&lt;0,控制台!$C$3185,OFFSET(控制台!$C$3185,MATCH(A73-1,控制台!$B$3185:$B$3190,1)-1,0))</f>
        <v>1</v>
      </c>
      <c r="D73" s="1">
        <f ca="1">控制台!$E$3140*$C73</f>
        <v>1382.4</v>
      </c>
      <c r="E73" s="1">
        <f ca="1" t="shared" si="21"/>
        <v>41472</v>
      </c>
      <c r="F73" s="5">
        <f ca="1" t="shared" si="29"/>
        <v>268876.8</v>
      </c>
      <c r="G73" s="1">
        <f ca="1">控制台!$E$3144*$C73</f>
        <v>1.5</v>
      </c>
      <c r="H73" s="1">
        <f ca="1" t="shared" si="22"/>
        <v>45</v>
      </c>
      <c r="I73" s="5">
        <f ca="1" t="shared" si="30"/>
        <v>291.75</v>
      </c>
      <c r="J73" s="1">
        <f ca="1">控制台!$E$3148*$C73</f>
        <v>300000</v>
      </c>
      <c r="K73" s="1">
        <f ca="1" t="shared" si="23"/>
        <v>9000000</v>
      </c>
      <c r="L73" s="5">
        <f ca="1" t="shared" si="31"/>
        <v>58350000</v>
      </c>
      <c r="M73" s="1">
        <f ca="1">控制台!$E$3152*$C73</f>
        <v>200</v>
      </c>
      <c r="N73" s="1">
        <f ca="1" t="shared" si="24"/>
        <v>6000</v>
      </c>
      <c r="O73" s="5">
        <f ca="1" t="shared" si="32"/>
        <v>38900</v>
      </c>
      <c r="P73" s="1">
        <f ca="1">控制台!$E$3156*$C73</f>
        <v>60</v>
      </c>
      <c r="Q73" s="1">
        <f ca="1" t="shared" si="25"/>
        <v>1800</v>
      </c>
      <c r="R73" s="5">
        <f ca="1" t="shared" si="33"/>
        <v>11670</v>
      </c>
      <c r="S73" s="1">
        <f ca="1">控制台!$E$3160*$C73</f>
        <v>360</v>
      </c>
      <c r="T73" s="1">
        <f ca="1" t="shared" si="26"/>
        <v>10800</v>
      </c>
      <c r="U73" s="5">
        <f ca="1" t="shared" si="34"/>
        <v>70020</v>
      </c>
      <c r="V73" s="1">
        <f ca="1">控制台!$E$3168*$C73</f>
        <v>150000</v>
      </c>
      <c r="W73" s="1">
        <f ca="1" t="shared" si="27"/>
        <v>4500000</v>
      </c>
      <c r="X73" s="5">
        <f ca="1" t="shared" si="35"/>
        <v>29175000</v>
      </c>
      <c r="Y73" s="1">
        <f ca="1">控制台!$E$3172*$C73</f>
        <v>100</v>
      </c>
      <c r="Z73" s="1">
        <f ca="1" t="shared" si="36"/>
        <v>3000</v>
      </c>
      <c r="AA73" s="5">
        <f ca="1" t="shared" si="37"/>
        <v>19450</v>
      </c>
      <c r="AB73" s="1">
        <f ca="1">控制台!$E$3176*$C73</f>
        <v>30</v>
      </c>
      <c r="AC73" s="1">
        <f ca="1" t="shared" si="38"/>
        <v>900</v>
      </c>
      <c r="AD73" s="5">
        <f ca="1" t="shared" si="39"/>
        <v>5835</v>
      </c>
    </row>
    <row r="74" spans="1:30">
      <c r="A74" s="12">
        <v>270</v>
      </c>
      <c r="B74" s="1">
        <f t="shared" si="28"/>
        <v>30</v>
      </c>
      <c r="C74" s="13">
        <f ca="1">IF(A74-1&lt;0,控制台!$C$3185,OFFSET(控制台!$C$3185,MATCH(A74-1,控制台!$B$3185:$B$3190,1)-1,0))</f>
        <v>1</v>
      </c>
      <c r="D74" s="1">
        <f ca="1">控制台!$E$3140*$C74</f>
        <v>1382.4</v>
      </c>
      <c r="E74" s="1">
        <f ca="1" t="shared" si="21"/>
        <v>41472</v>
      </c>
      <c r="F74" s="5">
        <f ca="1" t="shared" si="29"/>
        <v>310348.8</v>
      </c>
      <c r="G74" s="1">
        <f ca="1">控制台!$E$3144*$C74</f>
        <v>1.5</v>
      </c>
      <c r="H74" s="1">
        <f ca="1" t="shared" si="22"/>
        <v>45</v>
      </c>
      <c r="I74" s="5">
        <f ca="1" t="shared" si="30"/>
        <v>336.75</v>
      </c>
      <c r="J74" s="1">
        <f ca="1">控制台!$E$3148*$C74</f>
        <v>300000</v>
      </c>
      <c r="K74" s="1">
        <f ca="1" t="shared" si="23"/>
        <v>9000000</v>
      </c>
      <c r="L74" s="5">
        <f ca="1" t="shared" si="31"/>
        <v>67350000</v>
      </c>
      <c r="M74" s="1">
        <f ca="1">控制台!$E$3152*$C74</f>
        <v>200</v>
      </c>
      <c r="N74" s="1">
        <f ca="1" t="shared" si="24"/>
        <v>6000</v>
      </c>
      <c r="O74" s="5">
        <f ca="1" t="shared" si="32"/>
        <v>44900</v>
      </c>
      <c r="P74" s="1">
        <f ca="1">控制台!$E$3156*$C74</f>
        <v>60</v>
      </c>
      <c r="Q74" s="1">
        <f ca="1" t="shared" si="25"/>
        <v>1800</v>
      </c>
      <c r="R74" s="5">
        <f ca="1" t="shared" si="33"/>
        <v>13470</v>
      </c>
      <c r="S74" s="1">
        <f ca="1">控制台!$E$3160*$C74</f>
        <v>360</v>
      </c>
      <c r="T74" s="1">
        <f ca="1" t="shared" si="26"/>
        <v>10800</v>
      </c>
      <c r="U74" s="5">
        <f ca="1" t="shared" si="34"/>
        <v>80820</v>
      </c>
      <c r="V74" s="1">
        <f ca="1">控制台!$E$3168*$C74</f>
        <v>150000</v>
      </c>
      <c r="W74" s="1">
        <f ca="1" t="shared" si="27"/>
        <v>4500000</v>
      </c>
      <c r="X74" s="5">
        <f ca="1" t="shared" si="35"/>
        <v>33675000</v>
      </c>
      <c r="Y74" s="1">
        <f ca="1">控制台!$E$3172*$C74</f>
        <v>100</v>
      </c>
      <c r="Z74" s="1">
        <f ca="1" t="shared" si="36"/>
        <v>3000</v>
      </c>
      <c r="AA74" s="5">
        <f ca="1" t="shared" si="37"/>
        <v>22450</v>
      </c>
      <c r="AB74" s="1">
        <f ca="1">控制台!$E$3176*$C74</f>
        <v>30</v>
      </c>
      <c r="AC74" s="1">
        <f ca="1" t="shared" si="38"/>
        <v>900</v>
      </c>
      <c r="AD74" s="5">
        <f ca="1" t="shared" si="39"/>
        <v>6735</v>
      </c>
    </row>
    <row r="75" spans="1:30">
      <c r="A75" s="12">
        <v>300</v>
      </c>
      <c r="B75" s="1">
        <f t="shared" si="28"/>
        <v>30</v>
      </c>
      <c r="C75" s="13">
        <f ca="1">IF(A75-1&lt;0,控制台!$C$3185,OFFSET(控制台!$C$3185,MATCH(A75-1,控制台!$B$3185:$B$3190,1)-1,0))</f>
        <v>1</v>
      </c>
      <c r="D75" s="1">
        <f ca="1">控制台!$E$3140*$C75</f>
        <v>1382.4</v>
      </c>
      <c r="E75" s="1">
        <f ca="1" t="shared" si="21"/>
        <v>41472</v>
      </c>
      <c r="F75" s="5">
        <f ca="1" t="shared" si="29"/>
        <v>351820.8</v>
      </c>
      <c r="G75" s="1">
        <f ca="1">控制台!$E$3144*$C75</f>
        <v>1.5</v>
      </c>
      <c r="H75" s="1">
        <f ca="1" t="shared" si="22"/>
        <v>45</v>
      </c>
      <c r="I75" s="5">
        <f ca="1" t="shared" si="30"/>
        <v>381.75</v>
      </c>
      <c r="J75" s="1">
        <f ca="1">控制台!$E$3148*$C75</f>
        <v>300000</v>
      </c>
      <c r="K75" s="1">
        <f ca="1" t="shared" si="23"/>
        <v>9000000</v>
      </c>
      <c r="L75" s="5">
        <f ca="1" t="shared" si="31"/>
        <v>76350000</v>
      </c>
      <c r="M75" s="1">
        <f ca="1">控制台!$E$3152*$C75</f>
        <v>200</v>
      </c>
      <c r="N75" s="1">
        <f ca="1" t="shared" si="24"/>
        <v>6000</v>
      </c>
      <c r="O75" s="5">
        <f ca="1" t="shared" si="32"/>
        <v>50900</v>
      </c>
      <c r="P75" s="1">
        <f ca="1">控制台!$E$3156*$C75</f>
        <v>60</v>
      </c>
      <c r="Q75" s="1">
        <f ca="1" t="shared" si="25"/>
        <v>1800</v>
      </c>
      <c r="R75" s="5">
        <f ca="1" t="shared" si="33"/>
        <v>15270</v>
      </c>
      <c r="S75" s="1">
        <f ca="1">控制台!$E$3160*$C75</f>
        <v>360</v>
      </c>
      <c r="T75" s="1">
        <f ca="1" t="shared" si="26"/>
        <v>10800</v>
      </c>
      <c r="U75" s="5">
        <f ca="1" t="shared" si="34"/>
        <v>91620</v>
      </c>
      <c r="V75" s="1">
        <f ca="1">控制台!$E$3168*$C75</f>
        <v>150000</v>
      </c>
      <c r="W75" s="1">
        <f ca="1" t="shared" si="27"/>
        <v>4500000</v>
      </c>
      <c r="X75" s="5">
        <f ca="1" t="shared" si="35"/>
        <v>38175000</v>
      </c>
      <c r="Y75" s="1">
        <f ca="1">控制台!$E$3172*$C75</f>
        <v>100</v>
      </c>
      <c r="Z75" s="1">
        <f ca="1" t="shared" si="36"/>
        <v>3000</v>
      </c>
      <c r="AA75" s="5">
        <f ca="1" t="shared" si="37"/>
        <v>25450</v>
      </c>
      <c r="AB75" s="1">
        <f ca="1">控制台!$E$3176*$C75</f>
        <v>30</v>
      </c>
      <c r="AC75" s="1">
        <f ca="1" t="shared" si="38"/>
        <v>900</v>
      </c>
      <c r="AD75" s="5">
        <f ca="1" t="shared" si="39"/>
        <v>7635</v>
      </c>
    </row>
    <row r="76" spans="1:30">
      <c r="A76" s="12">
        <v>330</v>
      </c>
      <c r="B76" s="1">
        <f t="shared" si="28"/>
        <v>30</v>
      </c>
      <c r="C76" s="13">
        <f ca="1">IF(A76-1&lt;0,控制台!$C$3185,OFFSET(控制台!$C$3185,MATCH(A76-1,控制台!$B$3185:$B$3190,1)-1,0))</f>
        <v>1</v>
      </c>
      <c r="D76" s="1">
        <f ca="1">控制台!$E$3140*$C76</f>
        <v>1382.4</v>
      </c>
      <c r="E76" s="1">
        <f ca="1" t="shared" si="21"/>
        <v>41472</v>
      </c>
      <c r="F76" s="5">
        <f ca="1" t="shared" si="29"/>
        <v>393292.8</v>
      </c>
      <c r="G76" s="1">
        <f ca="1">控制台!$E$3144*$C76</f>
        <v>1.5</v>
      </c>
      <c r="H76" s="1">
        <f ca="1" t="shared" si="22"/>
        <v>45</v>
      </c>
      <c r="I76" s="5">
        <f ca="1" t="shared" si="30"/>
        <v>426.75</v>
      </c>
      <c r="J76" s="1">
        <f ca="1">控制台!$E$3148*$C76</f>
        <v>300000</v>
      </c>
      <c r="K76" s="1">
        <f ca="1" t="shared" si="23"/>
        <v>9000000</v>
      </c>
      <c r="L76" s="5">
        <f ca="1" t="shared" si="31"/>
        <v>85350000</v>
      </c>
      <c r="M76" s="1">
        <f ca="1">控制台!$E$3152*$C76</f>
        <v>200</v>
      </c>
      <c r="N76" s="1">
        <f ca="1" t="shared" si="24"/>
        <v>6000</v>
      </c>
      <c r="O76" s="5">
        <f ca="1" t="shared" si="32"/>
        <v>56900</v>
      </c>
      <c r="P76" s="1">
        <f ca="1">控制台!$E$3156*$C76</f>
        <v>60</v>
      </c>
      <c r="Q76" s="1">
        <f ca="1" t="shared" si="25"/>
        <v>1800</v>
      </c>
      <c r="R76" s="5">
        <f ca="1" t="shared" si="33"/>
        <v>17070</v>
      </c>
      <c r="S76" s="1">
        <f ca="1">控制台!$E$3160*$C76</f>
        <v>360</v>
      </c>
      <c r="T76" s="1">
        <f ca="1" t="shared" si="26"/>
        <v>10800</v>
      </c>
      <c r="U76" s="5">
        <f ca="1" t="shared" si="34"/>
        <v>102420</v>
      </c>
      <c r="V76" s="1">
        <f ca="1">控制台!$E$3168*$C76</f>
        <v>150000</v>
      </c>
      <c r="W76" s="1">
        <f ca="1" t="shared" si="27"/>
        <v>4500000</v>
      </c>
      <c r="X76" s="5">
        <f ca="1" t="shared" si="35"/>
        <v>42675000</v>
      </c>
      <c r="Y76" s="1">
        <f ca="1">控制台!$E$3172*$C76</f>
        <v>100</v>
      </c>
      <c r="Z76" s="1">
        <f ca="1" t="shared" si="36"/>
        <v>3000</v>
      </c>
      <c r="AA76" s="5">
        <f ca="1" t="shared" si="37"/>
        <v>28450</v>
      </c>
      <c r="AB76" s="1">
        <f ca="1">控制台!$E$3176*$C76</f>
        <v>30</v>
      </c>
      <c r="AC76" s="1">
        <f ca="1" t="shared" si="38"/>
        <v>900</v>
      </c>
      <c r="AD76" s="5">
        <f ca="1" t="shared" si="39"/>
        <v>8535</v>
      </c>
    </row>
    <row r="77" spans="1:30">
      <c r="A77" s="12">
        <v>360</v>
      </c>
      <c r="B77" s="1">
        <f t="shared" si="28"/>
        <v>30</v>
      </c>
      <c r="C77" s="13">
        <f ca="1">IF(A77-1&lt;0,控制台!$C$3185,OFFSET(控制台!$C$3185,MATCH(A77-1,控制台!$B$3185:$B$3190,1)-1,0))</f>
        <v>1</v>
      </c>
      <c r="D77" s="1">
        <f ca="1">控制台!$E$3140*$C77</f>
        <v>1382.4</v>
      </c>
      <c r="E77" s="1">
        <f ca="1" t="shared" si="21"/>
        <v>41472</v>
      </c>
      <c r="F77" s="5">
        <f ca="1" t="shared" si="29"/>
        <v>434764.8</v>
      </c>
      <c r="G77" s="1">
        <f ca="1">控制台!$E$3144*$C77</f>
        <v>1.5</v>
      </c>
      <c r="H77" s="1">
        <f ca="1" t="shared" si="22"/>
        <v>45</v>
      </c>
      <c r="I77" s="5">
        <f ca="1" t="shared" si="30"/>
        <v>471.75</v>
      </c>
      <c r="J77" s="1">
        <f ca="1">控制台!$E$3148*$C77</f>
        <v>300000</v>
      </c>
      <c r="K77" s="1">
        <f ca="1" t="shared" si="23"/>
        <v>9000000</v>
      </c>
      <c r="L77" s="5">
        <f ca="1" t="shared" si="31"/>
        <v>94350000</v>
      </c>
      <c r="M77" s="1">
        <f ca="1">控制台!$E$3152*$C77</f>
        <v>200</v>
      </c>
      <c r="N77" s="1">
        <f ca="1" t="shared" si="24"/>
        <v>6000</v>
      </c>
      <c r="O77" s="5">
        <f ca="1" t="shared" si="32"/>
        <v>62900</v>
      </c>
      <c r="P77" s="1">
        <f ca="1">控制台!$E$3156*$C77</f>
        <v>60</v>
      </c>
      <c r="Q77" s="1">
        <f ca="1" t="shared" si="25"/>
        <v>1800</v>
      </c>
      <c r="R77" s="5">
        <f ca="1" t="shared" si="33"/>
        <v>18870</v>
      </c>
      <c r="S77" s="1">
        <f ca="1">控制台!$E$3160*$C77</f>
        <v>360</v>
      </c>
      <c r="T77" s="1">
        <f ca="1" t="shared" si="26"/>
        <v>10800</v>
      </c>
      <c r="U77" s="5">
        <f ca="1" t="shared" si="34"/>
        <v>113220</v>
      </c>
      <c r="V77" s="1">
        <f ca="1">控制台!$E$3168*$C77</f>
        <v>150000</v>
      </c>
      <c r="W77" s="1">
        <f ca="1" t="shared" si="27"/>
        <v>4500000</v>
      </c>
      <c r="X77" s="5">
        <f ca="1" t="shared" si="35"/>
        <v>47175000</v>
      </c>
      <c r="Y77" s="1">
        <f ca="1">控制台!$E$3172*$C77</f>
        <v>100</v>
      </c>
      <c r="Z77" s="1">
        <f ca="1" t="shared" si="36"/>
        <v>3000</v>
      </c>
      <c r="AA77" s="5">
        <f ca="1" t="shared" si="37"/>
        <v>31450</v>
      </c>
      <c r="AB77" s="1">
        <f ca="1">控制台!$E$3176*$C77</f>
        <v>30</v>
      </c>
      <c r="AC77" s="1">
        <f ca="1" t="shared" si="38"/>
        <v>900</v>
      </c>
      <c r="AD77" s="5">
        <f ca="1" t="shared" si="39"/>
        <v>9435</v>
      </c>
    </row>
    <row r="79" s="2" customFormat="1" spans="1:1">
      <c r="A79" s="2" t="s">
        <v>2875</v>
      </c>
    </row>
    <row r="81" spans="1:7">
      <c r="A81" s="1" t="s">
        <v>1527</v>
      </c>
      <c r="B81" s="1" t="s">
        <v>2982</v>
      </c>
      <c r="C81" s="1" t="s">
        <v>2983</v>
      </c>
      <c r="D81" s="1" t="s">
        <v>2984</v>
      </c>
      <c r="E81" s="1" t="s">
        <v>2985</v>
      </c>
      <c r="F81" s="1" t="s">
        <v>2986</v>
      </c>
      <c r="G81" s="1" t="s">
        <v>2987</v>
      </c>
    </row>
    <row r="82" spans="1:7">
      <c r="A82" s="4" t="str">
        <f>控制台!B3261</f>
        <v>goods_resource_001</v>
      </c>
      <c r="B82" s="4" t="str">
        <f>控制台!D3261</f>
        <v>gold_10000_card</v>
      </c>
      <c r="C82" s="4">
        <f>控制台!G3261</f>
        <v>1</v>
      </c>
      <c r="D82" s="4" t="str">
        <f>控制台!J3261</f>
        <v>purple</v>
      </c>
      <c r="E82" s="4">
        <f>控制台!L3261</f>
        <v>-0.1</v>
      </c>
      <c r="F82" s="4" t="str">
        <f>控制台!M3261</f>
        <v>metal</v>
      </c>
      <c r="G82" s="4">
        <f>控制台!Q3261</f>
        <v>9000</v>
      </c>
    </row>
    <row r="83" spans="1:7">
      <c r="A83" s="4" t="str">
        <f>控制台!B3262</f>
        <v>goods_resource_002</v>
      </c>
      <c r="B83" s="4" t="str">
        <f>控制台!D3262</f>
        <v>gold_50000_card</v>
      </c>
      <c r="C83" s="4">
        <f>控制台!G3262</f>
        <v>1</v>
      </c>
      <c r="D83" s="4" t="str">
        <f>控制台!J3262</f>
        <v>purple</v>
      </c>
      <c r="E83" s="4">
        <f>控制台!L3262</f>
        <v>-0.1</v>
      </c>
      <c r="F83" s="4" t="str">
        <f>控制台!M3262</f>
        <v>metal</v>
      </c>
      <c r="G83" s="4">
        <f>控制台!Q3262</f>
        <v>45000</v>
      </c>
    </row>
    <row r="84" spans="1:7">
      <c r="A84" s="4" t="str">
        <f>控制台!B3263</f>
        <v>goods_resource_003</v>
      </c>
      <c r="B84" s="4" t="str">
        <f>控制台!D3263</f>
        <v>gold_150000_card</v>
      </c>
      <c r="C84" s="4">
        <f>控制台!G3263</f>
        <v>1</v>
      </c>
      <c r="D84" s="4" t="str">
        <f>控制台!J3263</f>
        <v>purple</v>
      </c>
      <c r="E84" s="4">
        <f>控制台!L3263</f>
        <v>-0.1</v>
      </c>
      <c r="F84" s="4" t="str">
        <f>控制台!M3263</f>
        <v>metal</v>
      </c>
      <c r="G84" s="4">
        <f>控制台!Q3263</f>
        <v>135000</v>
      </c>
    </row>
    <row r="85" spans="1:7">
      <c r="A85" s="4" t="str">
        <f>控制台!B3264</f>
        <v>goods_resource_004</v>
      </c>
      <c r="B85" s="4" t="str">
        <f>控制台!D3264</f>
        <v>gold_500000_card</v>
      </c>
      <c r="C85" s="4">
        <f>控制台!G3264</f>
        <v>1</v>
      </c>
      <c r="D85" s="4" t="str">
        <f>控制台!J3264</f>
        <v>purple</v>
      </c>
      <c r="E85" s="4">
        <f>控制台!L3264</f>
        <v>-0.1</v>
      </c>
      <c r="F85" s="4" t="str">
        <f>控制台!M3264</f>
        <v>metal</v>
      </c>
      <c r="G85" s="4">
        <f>控制台!Q3264</f>
        <v>450000</v>
      </c>
    </row>
    <row r="86" spans="1:7">
      <c r="A86" s="4" t="str">
        <f>控制台!B3265</f>
        <v>goods_resource_005</v>
      </c>
      <c r="B86" s="4" t="str">
        <f>控制台!D3265</f>
        <v>metal_10000_card</v>
      </c>
      <c r="C86" s="4">
        <f>控制台!G3265</f>
        <v>1</v>
      </c>
      <c r="D86" s="4" t="str">
        <f>控制台!J3265</f>
        <v>purple</v>
      </c>
      <c r="E86" s="4">
        <f>控制台!L3265</f>
        <v>-0.1</v>
      </c>
      <c r="F86" s="4" t="str">
        <f>控制台!M3265</f>
        <v>oil</v>
      </c>
      <c r="G86" s="4">
        <f>控制台!Q3265</f>
        <v>9000</v>
      </c>
    </row>
    <row r="87" spans="1:7">
      <c r="A87" s="4" t="str">
        <f>控制台!B3266</f>
        <v>goods_resource_006</v>
      </c>
      <c r="B87" s="4" t="str">
        <f>控制台!D3266</f>
        <v>metal_50000_card</v>
      </c>
      <c r="C87" s="4">
        <f>控制台!G3266</f>
        <v>1</v>
      </c>
      <c r="D87" s="4" t="str">
        <f>控制台!J3266</f>
        <v>purple</v>
      </c>
      <c r="E87" s="4">
        <f>控制台!L3266</f>
        <v>-0.1</v>
      </c>
      <c r="F87" s="4" t="str">
        <f>控制台!M3266</f>
        <v>oil</v>
      </c>
      <c r="G87" s="4">
        <f>控制台!Q3266</f>
        <v>45000</v>
      </c>
    </row>
    <row r="88" spans="1:7">
      <c r="A88" s="4" t="str">
        <f>控制台!B3267</f>
        <v>goods_resource_007</v>
      </c>
      <c r="B88" s="4" t="str">
        <f>控制台!D3267</f>
        <v>metal_150000_card</v>
      </c>
      <c r="C88" s="4">
        <f>控制台!G3267</f>
        <v>1</v>
      </c>
      <c r="D88" s="4" t="str">
        <f>控制台!J3267</f>
        <v>purple</v>
      </c>
      <c r="E88" s="4">
        <f>控制台!L3267</f>
        <v>-0.1</v>
      </c>
      <c r="F88" s="4" t="str">
        <f>控制台!M3267</f>
        <v>oil</v>
      </c>
      <c r="G88" s="4">
        <f>控制台!Q3267</f>
        <v>135000</v>
      </c>
    </row>
    <row r="89" spans="1:7">
      <c r="A89" s="4" t="str">
        <f>控制台!B3268</f>
        <v>goods_resource_008</v>
      </c>
      <c r="B89" s="4" t="str">
        <f>控制台!D3268</f>
        <v>metal_500000_card</v>
      </c>
      <c r="C89" s="4">
        <f>控制台!G3268</f>
        <v>1</v>
      </c>
      <c r="D89" s="4" t="str">
        <f>控制台!J3268</f>
        <v>purple</v>
      </c>
      <c r="E89" s="4">
        <f>控制台!L3268</f>
        <v>-0.1</v>
      </c>
      <c r="F89" s="4" t="str">
        <f>控制台!M3268</f>
        <v>oil</v>
      </c>
      <c r="G89" s="4">
        <f>控制台!Q3268</f>
        <v>450000</v>
      </c>
    </row>
    <row r="90" spans="1:7">
      <c r="A90" s="4" t="str">
        <f>控制台!B3269</f>
        <v>goods_resource_009</v>
      </c>
      <c r="B90" s="4" t="str">
        <f>控制台!D3269</f>
        <v>oil_10000_card</v>
      </c>
      <c r="C90" s="4">
        <f>控制台!G3269</f>
        <v>1</v>
      </c>
      <c r="D90" s="4" t="str">
        <f>控制台!J3269</f>
        <v>purple</v>
      </c>
      <c r="E90" s="4">
        <f>控制台!L3269</f>
        <v>-0.1</v>
      </c>
      <c r="F90" s="4" t="str">
        <f>控制台!M3269</f>
        <v>gold</v>
      </c>
      <c r="G90" s="4">
        <f>控制台!Q3269</f>
        <v>9000</v>
      </c>
    </row>
    <row r="91" spans="1:7">
      <c r="A91" s="4" t="str">
        <f>控制台!B3270</f>
        <v>goods_resource_010</v>
      </c>
      <c r="B91" s="4" t="str">
        <f>控制台!D3270</f>
        <v>oil_50000_card</v>
      </c>
      <c r="C91" s="4">
        <f>控制台!G3270</f>
        <v>1</v>
      </c>
      <c r="D91" s="4" t="str">
        <f>控制台!J3270</f>
        <v>purple</v>
      </c>
      <c r="E91" s="4">
        <f>控制台!L3270</f>
        <v>-0.1</v>
      </c>
      <c r="F91" s="4" t="str">
        <f>控制台!M3270</f>
        <v>gold</v>
      </c>
      <c r="G91" s="4">
        <f>控制台!Q3270</f>
        <v>45000</v>
      </c>
    </row>
    <row r="92" spans="1:7">
      <c r="A92" s="4" t="str">
        <f>控制台!B3271</f>
        <v>goods_resource_011</v>
      </c>
      <c r="B92" s="4" t="str">
        <f>控制台!D3271</f>
        <v>oil_150000_card</v>
      </c>
      <c r="C92" s="4">
        <f>控制台!G3271</f>
        <v>1</v>
      </c>
      <c r="D92" s="4" t="str">
        <f>控制台!J3271</f>
        <v>purple</v>
      </c>
      <c r="E92" s="4">
        <f>控制台!L3271</f>
        <v>-0.1</v>
      </c>
      <c r="F92" s="4" t="str">
        <f>控制台!M3271</f>
        <v>gold</v>
      </c>
      <c r="G92" s="4">
        <f>控制台!Q3271</f>
        <v>135000</v>
      </c>
    </row>
    <row r="93" spans="1:7">
      <c r="A93" s="4" t="str">
        <f>控制台!B3272</f>
        <v>goods_resource_012</v>
      </c>
      <c r="B93" s="4" t="str">
        <f>控制台!D3272</f>
        <v>oil_500000_card</v>
      </c>
      <c r="C93" s="4">
        <f>控制台!G3272</f>
        <v>1</v>
      </c>
      <c r="D93" s="4" t="str">
        <f>控制台!J3272</f>
        <v>purple</v>
      </c>
      <c r="E93" s="4">
        <f>控制台!L3272</f>
        <v>-0.1</v>
      </c>
      <c r="F93" s="4" t="str">
        <f>控制台!M3272</f>
        <v>gold</v>
      </c>
      <c r="G93" s="4">
        <f>控制台!Q3272</f>
        <v>450000</v>
      </c>
    </row>
    <row r="94" spans="1:7">
      <c r="A94" s="4" t="str">
        <f>控制台!B3273</f>
        <v>goods_resource_013</v>
      </c>
      <c r="B94" s="4" t="str">
        <f>控制台!D3273</f>
        <v>gold_10000_card</v>
      </c>
      <c r="C94" s="4">
        <f>控制台!G3273</f>
        <v>1</v>
      </c>
      <c r="D94" s="4" t="str">
        <f>控制台!J3273</f>
        <v>purple</v>
      </c>
      <c r="E94" s="4">
        <f>控制台!L3273</f>
        <v>-0.2</v>
      </c>
      <c r="F94" s="4" t="str">
        <f>控制台!M3273</f>
        <v>metal</v>
      </c>
      <c r="G94" s="4">
        <f>控制台!Q3273</f>
        <v>8000</v>
      </c>
    </row>
    <row r="95" spans="1:7">
      <c r="A95" s="4" t="str">
        <f>控制台!B3274</f>
        <v>goods_resource_014</v>
      </c>
      <c r="B95" s="4" t="str">
        <f>控制台!D3274</f>
        <v>gold_50000_card</v>
      </c>
      <c r="C95" s="4">
        <f>控制台!G3274</f>
        <v>1</v>
      </c>
      <c r="D95" s="4" t="str">
        <f>控制台!J3274</f>
        <v>purple</v>
      </c>
      <c r="E95" s="4">
        <f>控制台!L3274</f>
        <v>-0.2</v>
      </c>
      <c r="F95" s="4" t="str">
        <f>控制台!M3274</f>
        <v>metal</v>
      </c>
      <c r="G95" s="4">
        <f>控制台!Q3274</f>
        <v>40000</v>
      </c>
    </row>
    <row r="96" spans="1:7">
      <c r="A96" s="4" t="str">
        <f>控制台!B3275</f>
        <v>goods_resource_015</v>
      </c>
      <c r="B96" s="4" t="str">
        <f>控制台!D3275</f>
        <v>gold_150000_card</v>
      </c>
      <c r="C96" s="4">
        <f>控制台!G3275</f>
        <v>1</v>
      </c>
      <c r="D96" s="4" t="str">
        <f>控制台!J3275</f>
        <v>purple</v>
      </c>
      <c r="E96" s="4">
        <f>控制台!L3275</f>
        <v>-0.2</v>
      </c>
      <c r="F96" s="4" t="str">
        <f>控制台!M3275</f>
        <v>metal</v>
      </c>
      <c r="G96" s="4">
        <f>控制台!Q3275</f>
        <v>120000</v>
      </c>
    </row>
    <row r="97" spans="1:7">
      <c r="A97" s="4" t="str">
        <f>控制台!B3276</f>
        <v>goods_resource_016</v>
      </c>
      <c r="B97" s="4" t="str">
        <f>控制台!D3276</f>
        <v>gold_500000_card</v>
      </c>
      <c r="C97" s="4">
        <f>控制台!G3276</f>
        <v>1</v>
      </c>
      <c r="D97" s="4" t="str">
        <f>控制台!J3276</f>
        <v>purple</v>
      </c>
      <c r="E97" s="4">
        <f>控制台!L3276</f>
        <v>-0.2</v>
      </c>
      <c r="F97" s="4" t="str">
        <f>控制台!M3276</f>
        <v>metal</v>
      </c>
      <c r="G97" s="4">
        <f>控制台!Q3276</f>
        <v>400000</v>
      </c>
    </row>
    <row r="98" spans="1:7">
      <c r="A98" s="4" t="str">
        <f>控制台!B3277</f>
        <v>goods_resource_017</v>
      </c>
      <c r="B98" s="4" t="str">
        <f>控制台!D3277</f>
        <v>metal_10000_card</v>
      </c>
      <c r="C98" s="4">
        <f>控制台!G3277</f>
        <v>1</v>
      </c>
      <c r="D98" s="4" t="str">
        <f>控制台!J3277</f>
        <v>purple</v>
      </c>
      <c r="E98" s="4">
        <f>控制台!L3277</f>
        <v>-0.2</v>
      </c>
      <c r="F98" s="4" t="str">
        <f>控制台!M3277</f>
        <v>oil</v>
      </c>
      <c r="G98" s="4">
        <f>控制台!Q3277</f>
        <v>8000</v>
      </c>
    </row>
    <row r="99" spans="1:7">
      <c r="A99" s="4" t="str">
        <f>控制台!B3278</f>
        <v>goods_resource_018</v>
      </c>
      <c r="B99" s="4" t="str">
        <f>控制台!D3278</f>
        <v>metal_50000_card</v>
      </c>
      <c r="C99" s="4">
        <f>控制台!G3278</f>
        <v>1</v>
      </c>
      <c r="D99" s="4" t="str">
        <f>控制台!J3278</f>
        <v>purple</v>
      </c>
      <c r="E99" s="4">
        <f>控制台!L3278</f>
        <v>-0.2</v>
      </c>
      <c r="F99" s="4" t="str">
        <f>控制台!M3278</f>
        <v>oil</v>
      </c>
      <c r="G99" s="4">
        <f>控制台!Q3278</f>
        <v>40000</v>
      </c>
    </row>
    <row r="100" spans="1:7">
      <c r="A100" s="4" t="str">
        <f>控制台!B3279</f>
        <v>goods_resource_019</v>
      </c>
      <c r="B100" s="4" t="str">
        <f>控制台!D3279</f>
        <v>metal_150000_card</v>
      </c>
      <c r="C100" s="4">
        <f>控制台!G3279</f>
        <v>1</v>
      </c>
      <c r="D100" s="4" t="str">
        <f>控制台!J3279</f>
        <v>purple</v>
      </c>
      <c r="E100" s="4">
        <f>控制台!L3279</f>
        <v>-0.2</v>
      </c>
      <c r="F100" s="4" t="str">
        <f>控制台!M3279</f>
        <v>oil</v>
      </c>
      <c r="G100" s="4">
        <f>控制台!Q3279</f>
        <v>120000</v>
      </c>
    </row>
    <row r="101" spans="1:7">
      <c r="A101" s="4" t="str">
        <f>控制台!B3280</f>
        <v>goods_resource_020</v>
      </c>
      <c r="B101" s="4" t="str">
        <f>控制台!D3280</f>
        <v>metal_500000_card</v>
      </c>
      <c r="C101" s="4">
        <f>控制台!G3280</f>
        <v>1</v>
      </c>
      <c r="D101" s="4" t="str">
        <f>控制台!J3280</f>
        <v>purple</v>
      </c>
      <c r="E101" s="4">
        <f>控制台!L3280</f>
        <v>-0.2</v>
      </c>
      <c r="F101" s="4" t="str">
        <f>控制台!M3280</f>
        <v>oil</v>
      </c>
      <c r="G101" s="4">
        <f>控制台!Q3280</f>
        <v>400000</v>
      </c>
    </row>
    <row r="102" spans="1:7">
      <c r="A102" s="4" t="str">
        <f>控制台!B3281</f>
        <v>goods_resource_021</v>
      </c>
      <c r="B102" s="4" t="str">
        <f>控制台!D3281</f>
        <v>oil_10000_card</v>
      </c>
      <c r="C102" s="4">
        <f>控制台!G3281</f>
        <v>1</v>
      </c>
      <c r="D102" s="4" t="str">
        <f>控制台!J3281</f>
        <v>purple</v>
      </c>
      <c r="E102" s="4">
        <f>控制台!L3281</f>
        <v>-0.2</v>
      </c>
      <c r="F102" s="4" t="str">
        <f>控制台!M3281</f>
        <v>gold</v>
      </c>
      <c r="G102" s="4">
        <f>控制台!Q3281</f>
        <v>8000</v>
      </c>
    </row>
    <row r="103" spans="1:7">
      <c r="A103" s="4" t="str">
        <f>控制台!B3282</f>
        <v>goods_resource_022</v>
      </c>
      <c r="B103" s="4" t="str">
        <f>控制台!D3282</f>
        <v>oil_50000_card</v>
      </c>
      <c r="C103" s="4">
        <f>控制台!G3282</f>
        <v>1</v>
      </c>
      <c r="D103" s="4" t="str">
        <f>控制台!J3282</f>
        <v>purple</v>
      </c>
      <c r="E103" s="4">
        <f>控制台!L3282</f>
        <v>-0.2</v>
      </c>
      <c r="F103" s="4" t="str">
        <f>控制台!M3282</f>
        <v>gold</v>
      </c>
      <c r="G103" s="4">
        <f>控制台!Q3282</f>
        <v>40000</v>
      </c>
    </row>
    <row r="104" spans="1:7">
      <c r="A104" s="4" t="str">
        <f>控制台!B3283</f>
        <v>goods_resource_023</v>
      </c>
      <c r="B104" s="4" t="str">
        <f>控制台!D3283</f>
        <v>oil_150000_card</v>
      </c>
      <c r="C104" s="4">
        <f>控制台!G3283</f>
        <v>1</v>
      </c>
      <c r="D104" s="4" t="str">
        <f>控制台!J3283</f>
        <v>purple</v>
      </c>
      <c r="E104" s="4">
        <f>控制台!L3283</f>
        <v>-0.2</v>
      </c>
      <c r="F104" s="4" t="str">
        <f>控制台!M3283</f>
        <v>gold</v>
      </c>
      <c r="G104" s="4">
        <f>控制台!Q3283</f>
        <v>120000</v>
      </c>
    </row>
    <row r="105" spans="1:7">
      <c r="A105" s="4" t="str">
        <f>控制台!B3284</f>
        <v>goods_resource_024</v>
      </c>
      <c r="B105" s="4" t="str">
        <f>控制台!D3284</f>
        <v>oil_500000_card</v>
      </c>
      <c r="C105" s="4">
        <f>控制台!G3284</f>
        <v>1</v>
      </c>
      <c r="D105" s="4" t="str">
        <f>控制台!J3284</f>
        <v>purple</v>
      </c>
      <c r="E105" s="4">
        <f>控制台!L3284</f>
        <v>-0.2</v>
      </c>
      <c r="F105" s="4" t="str">
        <f>控制台!M3284</f>
        <v>gold</v>
      </c>
      <c r="G105" s="4">
        <f>控制台!Q3284</f>
        <v>400000</v>
      </c>
    </row>
    <row r="106" spans="1:7">
      <c r="A106" s="4" t="str">
        <f>控制台!B3285</f>
        <v>goods_resource_025</v>
      </c>
      <c r="B106" s="4" t="str">
        <f>控制台!D3285</f>
        <v>gold_10000_card</v>
      </c>
      <c r="C106" s="4">
        <f>控制台!G3285</f>
        <v>1</v>
      </c>
      <c r="D106" s="4" t="str">
        <f>控制台!J3285</f>
        <v>yellow</v>
      </c>
      <c r="E106" s="4">
        <f>控制台!L3285</f>
        <v>-0.7</v>
      </c>
      <c r="F106" s="4" t="str">
        <f>控制台!M3285</f>
        <v>l_coin</v>
      </c>
      <c r="G106" s="4">
        <f>控制台!Q3285</f>
        <v>3</v>
      </c>
    </row>
    <row r="107" spans="1:7">
      <c r="A107" s="4" t="str">
        <f>控制台!B3286</f>
        <v>goods_resource_026</v>
      </c>
      <c r="B107" s="4" t="str">
        <f>控制台!D3286</f>
        <v>gold_50000_card</v>
      </c>
      <c r="C107" s="4">
        <f>控制台!G3286</f>
        <v>1</v>
      </c>
      <c r="D107" s="4" t="str">
        <f>控制台!J3286</f>
        <v>yellow</v>
      </c>
      <c r="E107" s="4">
        <f>控制台!L3286</f>
        <v>-0.7</v>
      </c>
      <c r="F107" s="4" t="str">
        <f>控制台!M3286</f>
        <v>l_coin</v>
      </c>
      <c r="G107" s="4">
        <f>控制台!Q3286</f>
        <v>15</v>
      </c>
    </row>
    <row r="108" spans="1:7">
      <c r="A108" s="4" t="str">
        <f>控制台!B3287</f>
        <v>goods_resource_027</v>
      </c>
      <c r="B108" s="4" t="str">
        <f>控制台!D3287</f>
        <v>gold_150000_card</v>
      </c>
      <c r="C108" s="4">
        <f>控制台!G3287</f>
        <v>1</v>
      </c>
      <c r="D108" s="4" t="str">
        <f>控制台!J3287</f>
        <v>yellow</v>
      </c>
      <c r="E108" s="4">
        <f>控制台!L3287</f>
        <v>-0.6</v>
      </c>
      <c r="F108" s="4" t="str">
        <f>控制台!M3287</f>
        <v>l_coin</v>
      </c>
      <c r="G108" s="4">
        <f>控制台!Q3287</f>
        <v>60</v>
      </c>
    </row>
    <row r="109" spans="1:7">
      <c r="A109" s="4" t="str">
        <f>控制台!B3288</f>
        <v>goods_resource_028</v>
      </c>
      <c r="B109" s="4" t="str">
        <f>控制台!D3288</f>
        <v>gold_500000_card</v>
      </c>
      <c r="C109" s="4">
        <f>控制台!G3288</f>
        <v>1</v>
      </c>
      <c r="D109" s="4" t="str">
        <f>控制台!J3288</f>
        <v>yellow</v>
      </c>
      <c r="E109" s="4">
        <f>控制台!L3288</f>
        <v>-0.6</v>
      </c>
      <c r="F109" s="4" t="str">
        <f>控制台!M3288</f>
        <v>l_coin</v>
      </c>
      <c r="G109" s="4">
        <f>控制台!Q3288</f>
        <v>200</v>
      </c>
    </row>
    <row r="110" spans="1:7">
      <c r="A110" s="4" t="str">
        <f>控制台!B3289</f>
        <v>goods_resource_029</v>
      </c>
      <c r="B110" s="4" t="str">
        <f>控制台!D3289</f>
        <v>metal_10000_card</v>
      </c>
      <c r="C110" s="4">
        <f>控制台!G3289</f>
        <v>1</v>
      </c>
      <c r="D110" s="4" t="str">
        <f>控制台!J3289</f>
        <v>yellow</v>
      </c>
      <c r="E110" s="4">
        <f>控制台!L3289</f>
        <v>-0.7</v>
      </c>
      <c r="F110" s="4" t="str">
        <f>控制台!M3289</f>
        <v>l_coin</v>
      </c>
      <c r="G110" s="4">
        <f>控制台!Q3289</f>
        <v>3</v>
      </c>
    </row>
    <row r="111" spans="1:7">
      <c r="A111" s="4" t="str">
        <f>控制台!B3290</f>
        <v>goods_resource_030</v>
      </c>
      <c r="B111" s="4" t="str">
        <f>控制台!D3290</f>
        <v>metal_50000_card</v>
      </c>
      <c r="C111" s="4">
        <f>控制台!G3290</f>
        <v>1</v>
      </c>
      <c r="D111" s="4" t="str">
        <f>控制台!J3290</f>
        <v>yellow</v>
      </c>
      <c r="E111" s="4">
        <f>控制台!L3290</f>
        <v>-0.7</v>
      </c>
      <c r="F111" s="4" t="str">
        <f>控制台!M3290</f>
        <v>l_coin</v>
      </c>
      <c r="G111" s="4">
        <f>控制台!Q3290</f>
        <v>15</v>
      </c>
    </row>
    <row r="112" spans="1:7">
      <c r="A112" s="4" t="str">
        <f>控制台!B3291</f>
        <v>goods_resource_031</v>
      </c>
      <c r="B112" s="4" t="str">
        <f>控制台!D3291</f>
        <v>metal_150000_card</v>
      </c>
      <c r="C112" s="4">
        <f>控制台!G3291</f>
        <v>1</v>
      </c>
      <c r="D112" s="4" t="str">
        <f>控制台!J3291</f>
        <v>yellow</v>
      </c>
      <c r="E112" s="4">
        <f>控制台!L3291</f>
        <v>-0.6</v>
      </c>
      <c r="F112" s="4" t="str">
        <f>控制台!M3291</f>
        <v>l_coin</v>
      </c>
      <c r="G112" s="4">
        <f>控制台!Q3291</f>
        <v>60</v>
      </c>
    </row>
    <row r="113" spans="1:7">
      <c r="A113" s="4" t="str">
        <f>控制台!B3292</f>
        <v>goods_resource_032</v>
      </c>
      <c r="B113" s="4" t="str">
        <f>控制台!D3292</f>
        <v>metal_500000_card</v>
      </c>
      <c r="C113" s="4">
        <f>控制台!G3292</f>
        <v>1</v>
      </c>
      <c r="D113" s="4" t="str">
        <f>控制台!J3292</f>
        <v>yellow</v>
      </c>
      <c r="E113" s="4">
        <f>控制台!L3292</f>
        <v>-0.6</v>
      </c>
      <c r="F113" s="4" t="str">
        <f>控制台!M3292</f>
        <v>l_coin</v>
      </c>
      <c r="G113" s="4">
        <f>控制台!Q3292</f>
        <v>200</v>
      </c>
    </row>
    <row r="114" spans="1:7">
      <c r="A114" s="4" t="str">
        <f>控制台!B3293</f>
        <v>goods_resource_033</v>
      </c>
      <c r="B114" s="4" t="str">
        <f>控制台!D3293</f>
        <v>oil_10000_card</v>
      </c>
      <c r="C114" s="4">
        <f>控制台!G3293</f>
        <v>1</v>
      </c>
      <c r="D114" s="4" t="str">
        <f>控制台!J3293</f>
        <v>yellow</v>
      </c>
      <c r="E114" s="4">
        <f>控制台!L3293</f>
        <v>-0.7</v>
      </c>
      <c r="F114" s="4" t="str">
        <f>控制台!M3293</f>
        <v>l_coin</v>
      </c>
      <c r="G114" s="4">
        <f>控制台!Q3293</f>
        <v>3</v>
      </c>
    </row>
    <row r="115" spans="1:7">
      <c r="A115" s="4" t="str">
        <f>控制台!B3294</f>
        <v>goods_resource_034</v>
      </c>
      <c r="B115" s="4" t="str">
        <f>控制台!D3294</f>
        <v>oil_50000_card</v>
      </c>
      <c r="C115" s="4">
        <f>控制台!G3294</f>
        <v>1</v>
      </c>
      <c r="D115" s="4" t="str">
        <f>控制台!J3294</f>
        <v>yellow</v>
      </c>
      <c r="E115" s="4">
        <f>控制台!L3294</f>
        <v>-0.7</v>
      </c>
      <c r="F115" s="4" t="str">
        <f>控制台!M3294</f>
        <v>l_coin</v>
      </c>
      <c r="G115" s="4">
        <f>控制台!Q3294</f>
        <v>15</v>
      </c>
    </row>
    <row r="116" spans="1:7">
      <c r="A116" s="4" t="str">
        <f>控制台!B3295</f>
        <v>goods_resource_035</v>
      </c>
      <c r="B116" s="4" t="str">
        <f>控制台!D3295</f>
        <v>oil_150000_card</v>
      </c>
      <c r="C116" s="4">
        <f>控制台!G3295</f>
        <v>1</v>
      </c>
      <c r="D116" s="4" t="str">
        <f>控制台!J3295</f>
        <v>yellow</v>
      </c>
      <c r="E116" s="4">
        <f>控制台!L3295</f>
        <v>-0.6</v>
      </c>
      <c r="F116" s="4" t="str">
        <f>控制台!M3295</f>
        <v>l_coin</v>
      </c>
      <c r="G116" s="4">
        <f>控制台!Q3295</f>
        <v>60</v>
      </c>
    </row>
    <row r="117" spans="1:7">
      <c r="A117" s="4" t="str">
        <f>控制台!B3296</f>
        <v>goods_resource_036</v>
      </c>
      <c r="B117" s="4" t="str">
        <f>控制台!D3296</f>
        <v>oil_500000_card</v>
      </c>
      <c r="C117" s="4">
        <f>控制台!G3296</f>
        <v>1</v>
      </c>
      <c r="D117" s="4" t="str">
        <f>控制台!J3296</f>
        <v>yellow</v>
      </c>
      <c r="E117" s="4">
        <f>控制台!L3296</f>
        <v>-0.6</v>
      </c>
      <c r="F117" s="4" t="str">
        <f>控制台!M3296</f>
        <v>l_coin</v>
      </c>
      <c r="G117" s="4">
        <f>控制台!Q3296</f>
        <v>200</v>
      </c>
    </row>
    <row r="118" spans="1:7">
      <c r="A118" s="4" t="str">
        <f>控制台!B3297</f>
        <v>goods_resource_037</v>
      </c>
      <c r="B118" s="4" t="str">
        <f>控制台!D3297</f>
        <v>gold_10000_card</v>
      </c>
      <c r="C118" s="4">
        <f>控制台!G3297</f>
        <v>1</v>
      </c>
      <c r="D118" s="4" t="str">
        <f>控制台!J3297</f>
        <v>yellow</v>
      </c>
      <c r="E118" s="4">
        <f>控制台!L3297</f>
        <v>-0.9</v>
      </c>
      <c r="F118" s="4" t="str">
        <f>控制台!M3297</f>
        <v>l_coin</v>
      </c>
      <c r="G118" s="4">
        <f>控制台!Q3297</f>
        <v>1</v>
      </c>
    </row>
    <row r="119" spans="1:7">
      <c r="A119" s="4" t="str">
        <f>控制台!B3298</f>
        <v>goods_resource_038</v>
      </c>
      <c r="B119" s="4" t="str">
        <f>控制台!D3298</f>
        <v>gold_50000_card</v>
      </c>
      <c r="C119" s="4">
        <f>控制台!G3298</f>
        <v>1</v>
      </c>
      <c r="D119" s="4" t="str">
        <f>控制台!J3298</f>
        <v>yellow</v>
      </c>
      <c r="E119" s="4">
        <f>控制台!L3298</f>
        <v>-0.9</v>
      </c>
      <c r="F119" s="4" t="str">
        <f>控制台!M3298</f>
        <v>l_coin</v>
      </c>
      <c r="G119" s="4">
        <f>控制台!Q3298</f>
        <v>5</v>
      </c>
    </row>
    <row r="120" spans="1:7">
      <c r="A120" s="4" t="str">
        <f>控制台!B3299</f>
        <v>goods_resource_039</v>
      </c>
      <c r="B120" s="4" t="str">
        <f>控制台!D3299</f>
        <v>gold_150000_card</v>
      </c>
      <c r="C120" s="4">
        <f>控制台!G3299</f>
        <v>1</v>
      </c>
      <c r="D120" s="4" t="str">
        <f>控制台!J3299</f>
        <v>yellow</v>
      </c>
      <c r="E120" s="4">
        <f>控制台!L3299</f>
        <v>-0.8</v>
      </c>
      <c r="F120" s="4" t="str">
        <f>控制台!M3299</f>
        <v>l_coin</v>
      </c>
      <c r="G120" s="4">
        <f>控制台!Q3299</f>
        <v>30</v>
      </c>
    </row>
    <row r="121" spans="1:7">
      <c r="A121" s="4" t="str">
        <f>控制台!B3300</f>
        <v>goods_resource_040</v>
      </c>
      <c r="B121" s="4" t="str">
        <f>控制台!D3300</f>
        <v>gold_500000_card</v>
      </c>
      <c r="C121" s="4">
        <f>控制台!G3300</f>
        <v>1</v>
      </c>
      <c r="D121" s="4" t="str">
        <f>控制台!J3300</f>
        <v>yellow</v>
      </c>
      <c r="E121" s="4">
        <f>控制台!L3300</f>
        <v>-0.8</v>
      </c>
      <c r="F121" s="4" t="str">
        <f>控制台!M3300</f>
        <v>l_coin</v>
      </c>
      <c r="G121" s="4">
        <f>控制台!Q3300</f>
        <v>100</v>
      </c>
    </row>
    <row r="122" spans="1:7">
      <c r="A122" s="4" t="str">
        <f>控制台!B3301</f>
        <v>goods_resource_041</v>
      </c>
      <c r="B122" s="4" t="str">
        <f>控制台!D3301</f>
        <v>metal_10000_card</v>
      </c>
      <c r="C122" s="4">
        <f>控制台!G3301</f>
        <v>1</v>
      </c>
      <c r="D122" s="4" t="str">
        <f>控制台!J3301</f>
        <v>yellow</v>
      </c>
      <c r="E122" s="4">
        <f>控制台!L3301</f>
        <v>-0.9</v>
      </c>
      <c r="F122" s="4" t="str">
        <f>控制台!M3301</f>
        <v>l_coin</v>
      </c>
      <c r="G122" s="4">
        <f>控制台!Q3301</f>
        <v>1</v>
      </c>
    </row>
    <row r="123" spans="1:7">
      <c r="A123" s="4" t="str">
        <f>控制台!B3302</f>
        <v>goods_resource_042</v>
      </c>
      <c r="B123" s="4" t="str">
        <f>控制台!D3302</f>
        <v>metal_50000_card</v>
      </c>
      <c r="C123" s="4">
        <f>控制台!G3302</f>
        <v>1</v>
      </c>
      <c r="D123" s="4" t="str">
        <f>控制台!J3302</f>
        <v>yellow</v>
      </c>
      <c r="E123" s="4">
        <f>控制台!L3302</f>
        <v>-0.9</v>
      </c>
      <c r="F123" s="4" t="str">
        <f>控制台!M3302</f>
        <v>l_coin</v>
      </c>
      <c r="G123" s="4">
        <f>控制台!Q3302</f>
        <v>5</v>
      </c>
    </row>
    <row r="124" spans="1:7">
      <c r="A124" s="4" t="str">
        <f>控制台!B3303</f>
        <v>goods_resource_043</v>
      </c>
      <c r="B124" s="4" t="str">
        <f>控制台!D3303</f>
        <v>metal_150000_card</v>
      </c>
      <c r="C124" s="4">
        <f>控制台!G3303</f>
        <v>1</v>
      </c>
      <c r="D124" s="4" t="str">
        <f>控制台!J3303</f>
        <v>yellow</v>
      </c>
      <c r="E124" s="4">
        <f>控制台!L3303</f>
        <v>-0.8</v>
      </c>
      <c r="F124" s="4" t="str">
        <f>控制台!M3303</f>
        <v>l_coin</v>
      </c>
      <c r="G124" s="4">
        <f>控制台!Q3303</f>
        <v>30</v>
      </c>
    </row>
    <row r="125" spans="1:7">
      <c r="A125" s="4" t="str">
        <f>控制台!B3304</f>
        <v>goods_resource_044</v>
      </c>
      <c r="B125" s="4" t="str">
        <f>控制台!D3304</f>
        <v>metal_500000_card</v>
      </c>
      <c r="C125" s="4">
        <f>控制台!G3304</f>
        <v>1</v>
      </c>
      <c r="D125" s="4" t="str">
        <f>控制台!J3304</f>
        <v>yellow</v>
      </c>
      <c r="E125" s="4">
        <f>控制台!L3304</f>
        <v>-0.8</v>
      </c>
      <c r="F125" s="4" t="str">
        <f>控制台!M3304</f>
        <v>l_coin</v>
      </c>
      <c r="G125" s="4">
        <f>控制台!Q3304</f>
        <v>100</v>
      </c>
    </row>
    <row r="126" spans="1:7">
      <c r="A126" s="4" t="str">
        <f>控制台!B3305</f>
        <v>goods_resource_045</v>
      </c>
      <c r="B126" s="4" t="str">
        <f>控制台!D3305</f>
        <v>oil_10000_card</v>
      </c>
      <c r="C126" s="4">
        <f>控制台!G3305</f>
        <v>1</v>
      </c>
      <c r="D126" s="4" t="str">
        <f>控制台!J3305</f>
        <v>yellow</v>
      </c>
      <c r="E126" s="4">
        <f>控制台!L3305</f>
        <v>-0.9</v>
      </c>
      <c r="F126" s="4" t="str">
        <f>控制台!M3305</f>
        <v>l_coin</v>
      </c>
      <c r="G126" s="4">
        <f>控制台!Q3305</f>
        <v>1</v>
      </c>
    </row>
    <row r="127" spans="1:7">
      <c r="A127" s="4" t="str">
        <f>控制台!B3306</f>
        <v>goods_resource_046</v>
      </c>
      <c r="B127" s="4" t="str">
        <f>控制台!D3306</f>
        <v>oil_50000_card</v>
      </c>
      <c r="C127" s="4">
        <f>控制台!G3306</f>
        <v>1</v>
      </c>
      <c r="D127" s="4" t="str">
        <f>控制台!J3306</f>
        <v>yellow</v>
      </c>
      <c r="E127" s="4">
        <f>控制台!L3306</f>
        <v>-0.9</v>
      </c>
      <c r="F127" s="4" t="str">
        <f>控制台!M3306</f>
        <v>l_coin</v>
      </c>
      <c r="G127" s="4">
        <f>控制台!Q3306</f>
        <v>5</v>
      </c>
    </row>
    <row r="128" spans="1:7">
      <c r="A128" s="4" t="str">
        <f>控制台!B3307</f>
        <v>goods_resource_047</v>
      </c>
      <c r="B128" s="4" t="str">
        <f>控制台!D3307</f>
        <v>oil_150000_card</v>
      </c>
      <c r="C128" s="4">
        <f>控制台!G3307</f>
        <v>1</v>
      </c>
      <c r="D128" s="4" t="str">
        <f>控制台!J3307</f>
        <v>yellow</v>
      </c>
      <c r="E128" s="4">
        <f>控制台!L3307</f>
        <v>-0.8</v>
      </c>
      <c r="F128" s="4" t="str">
        <f>控制台!M3307</f>
        <v>l_coin</v>
      </c>
      <c r="G128" s="4">
        <f>控制台!Q3307</f>
        <v>30</v>
      </c>
    </row>
    <row r="129" spans="1:7">
      <c r="A129" s="4" t="str">
        <f>控制台!B3308</f>
        <v>goods_resource_048</v>
      </c>
      <c r="B129" s="4" t="str">
        <f>控制台!D3308</f>
        <v>oil_500000_card</v>
      </c>
      <c r="C129" s="4">
        <f>控制台!G3308</f>
        <v>1</v>
      </c>
      <c r="D129" s="4" t="str">
        <f>控制台!J3308</f>
        <v>yellow</v>
      </c>
      <c r="E129" s="4">
        <f>控制台!L3308</f>
        <v>-0.8</v>
      </c>
      <c r="F129" s="4" t="str">
        <f>控制台!M3308</f>
        <v>l_coin</v>
      </c>
      <c r="G129" s="4">
        <f>控制台!Q3308</f>
        <v>100</v>
      </c>
    </row>
    <row r="130" spans="1:7">
      <c r="A130" s="4" t="str">
        <f>控制台!B3320</f>
        <v>goods_material_001</v>
      </c>
      <c r="B130" s="4" t="str">
        <f>控制台!D3320</f>
        <v>board</v>
      </c>
      <c r="C130" s="4">
        <f>控制台!G3320</f>
        <v>20</v>
      </c>
      <c r="D130" s="4" t="str">
        <f>控制台!J3320</f>
        <v>purple</v>
      </c>
      <c r="E130" s="4">
        <f>控制台!L3320</f>
        <v>-0.1</v>
      </c>
      <c r="F130" s="4" t="str">
        <f>控制台!M3320</f>
        <v>gold</v>
      </c>
      <c r="G130" s="4">
        <f ca="1">控制台!Q3320</f>
        <v>54000</v>
      </c>
    </row>
    <row r="131" spans="1:7">
      <c r="A131" s="4" t="str">
        <f>控制台!B3321</f>
        <v>goods_material_002</v>
      </c>
      <c r="B131" s="4" t="str">
        <f>控制台!D3321</f>
        <v>brick</v>
      </c>
      <c r="C131" s="4">
        <f>控制台!G3321</f>
        <v>5</v>
      </c>
      <c r="D131" s="4" t="str">
        <f>控制台!J3321</f>
        <v>purple</v>
      </c>
      <c r="E131" s="4">
        <f>控制台!L3321</f>
        <v>-0.1</v>
      </c>
      <c r="F131" s="4" t="str">
        <f>控制台!M3321</f>
        <v>metal</v>
      </c>
      <c r="G131" s="4">
        <f ca="1">控制台!Q3321</f>
        <v>54000</v>
      </c>
    </row>
    <row r="132" spans="1:7">
      <c r="A132" s="4" t="str">
        <f>控制台!B3322</f>
        <v>goods_material_003</v>
      </c>
      <c r="B132" s="4" t="str">
        <f>控制台!D3322</f>
        <v>cement</v>
      </c>
      <c r="C132" s="4">
        <f>控制台!G3322</f>
        <v>1</v>
      </c>
      <c r="D132" s="4" t="str">
        <f>控制台!J3322</f>
        <v>purple</v>
      </c>
      <c r="E132" s="4">
        <f>控制台!L3322</f>
        <v>-0.1</v>
      </c>
      <c r="F132" s="4" t="str">
        <f>控制台!M3322</f>
        <v>oil</v>
      </c>
      <c r="G132" s="4">
        <f ca="1">控制台!Q3322</f>
        <v>54000</v>
      </c>
    </row>
    <row r="133" spans="1:7">
      <c r="A133" s="4" t="str">
        <f>控制台!B3323</f>
        <v>goods_material_004</v>
      </c>
      <c r="B133" s="4" t="str">
        <f>控制台!D3323</f>
        <v>steel</v>
      </c>
      <c r="C133" s="4">
        <f>控制台!G3323</f>
        <v>1</v>
      </c>
      <c r="D133" s="4" t="str">
        <f>控制台!J3323</f>
        <v>purple</v>
      </c>
      <c r="E133" s="4">
        <f>控制台!L3323</f>
        <v>-0.1</v>
      </c>
      <c r="F133" s="4" t="str">
        <f>控制台!M3323</f>
        <v>gold</v>
      </c>
      <c r="G133" s="4">
        <f ca="1">控制台!Q3323</f>
        <v>94000</v>
      </c>
    </row>
    <row r="134" spans="1:7">
      <c r="A134" s="4" t="str">
        <f>控制台!B3324</f>
        <v>goods_material_005</v>
      </c>
      <c r="B134" s="4" t="str">
        <f>控制台!D3324</f>
        <v>pitch</v>
      </c>
      <c r="C134" s="4">
        <f>控制台!G3324</f>
        <v>1</v>
      </c>
      <c r="D134" s="4" t="str">
        <f>控制台!J3324</f>
        <v>purple</v>
      </c>
      <c r="E134" s="4">
        <f>控制台!L3324</f>
        <v>-0.1</v>
      </c>
      <c r="F134" s="4" t="str">
        <f>控制台!M3324</f>
        <v>metal</v>
      </c>
      <c r="G134" s="4">
        <f ca="1">控制台!Q3324</f>
        <v>135000</v>
      </c>
    </row>
    <row r="135" spans="1:7">
      <c r="A135" s="4" t="str">
        <f>控制台!B3325</f>
        <v>goods_material_006</v>
      </c>
      <c r="B135" s="4" t="str">
        <f>控制台!D3325</f>
        <v>concrete</v>
      </c>
      <c r="C135" s="4">
        <f>控制台!G3325</f>
        <v>1</v>
      </c>
      <c r="D135" s="4" t="str">
        <f>控制台!J3325</f>
        <v>purple</v>
      </c>
      <c r="E135" s="4">
        <f>控制台!L3325</f>
        <v>-0.1</v>
      </c>
      <c r="F135" s="4" t="str">
        <f>控制台!M3325</f>
        <v>oil</v>
      </c>
      <c r="G135" s="4">
        <f ca="1">控制台!Q3325</f>
        <v>297000</v>
      </c>
    </row>
    <row r="136" spans="1:7">
      <c r="A136" s="4" t="str">
        <f>控制台!B3326</f>
        <v>goods_material_007</v>
      </c>
      <c r="B136" s="4" t="str">
        <f>控制台!D3326</f>
        <v>board</v>
      </c>
      <c r="C136" s="4">
        <f>控制台!G3326</f>
        <v>30</v>
      </c>
      <c r="D136" s="4" t="str">
        <f>控制台!J3326</f>
        <v>purple</v>
      </c>
      <c r="E136" s="4">
        <f>控制台!L3326</f>
        <v>-0.1</v>
      </c>
      <c r="F136" s="4" t="str">
        <f>控制台!M3326</f>
        <v>gold</v>
      </c>
      <c r="G136" s="4">
        <f ca="1">控制台!Q3326</f>
        <v>81000</v>
      </c>
    </row>
    <row r="137" spans="1:7">
      <c r="A137" s="4" t="str">
        <f>控制台!B3327</f>
        <v>goods_material_008</v>
      </c>
      <c r="B137" s="4" t="str">
        <f>控制台!D3327</f>
        <v>brick</v>
      </c>
      <c r="C137" s="4">
        <f>控制台!G3327</f>
        <v>10</v>
      </c>
      <c r="D137" s="4" t="str">
        <f>控制台!J3327</f>
        <v>purple</v>
      </c>
      <c r="E137" s="4">
        <f>控制台!L3327</f>
        <v>-0.1</v>
      </c>
      <c r="F137" s="4" t="str">
        <f>控制台!M3327</f>
        <v>metal</v>
      </c>
      <c r="G137" s="4">
        <f ca="1">控制台!Q3327</f>
        <v>108000</v>
      </c>
    </row>
    <row r="138" spans="1:7">
      <c r="A138" s="4" t="str">
        <f>控制台!B3328</f>
        <v>goods_material_009</v>
      </c>
      <c r="B138" s="4" t="str">
        <f>控制台!D3328</f>
        <v>cement</v>
      </c>
      <c r="C138" s="4">
        <f>控制台!G3328</f>
        <v>2</v>
      </c>
      <c r="D138" s="4" t="str">
        <f>控制台!J3328</f>
        <v>purple</v>
      </c>
      <c r="E138" s="4">
        <f>控制台!L3328</f>
        <v>-0.1</v>
      </c>
      <c r="F138" s="4" t="str">
        <f>控制台!M3328</f>
        <v>oil</v>
      </c>
      <c r="G138" s="4">
        <f ca="1">控制台!Q3328</f>
        <v>108000</v>
      </c>
    </row>
    <row r="139" spans="1:7">
      <c r="A139" s="4" t="str">
        <f>控制台!B3329</f>
        <v>goods_material_010</v>
      </c>
      <c r="B139" s="4" t="str">
        <f>控制台!D3329</f>
        <v>steel</v>
      </c>
      <c r="C139" s="4">
        <f>控制台!G3329</f>
        <v>2</v>
      </c>
      <c r="D139" s="4" t="str">
        <f>控制台!J3329</f>
        <v>purple</v>
      </c>
      <c r="E139" s="4">
        <f>控制台!L3329</f>
        <v>-0.1</v>
      </c>
      <c r="F139" s="4" t="str">
        <f>控制台!M3329</f>
        <v>gold</v>
      </c>
      <c r="G139" s="4">
        <f ca="1">控制台!Q3329</f>
        <v>189000</v>
      </c>
    </row>
    <row r="140" spans="1:7">
      <c r="A140" s="4" t="str">
        <f>控制台!B3330</f>
        <v>goods_material_011</v>
      </c>
      <c r="B140" s="4" t="str">
        <f>控制台!D3330</f>
        <v>pitch</v>
      </c>
      <c r="C140" s="4">
        <f>控制台!G3330</f>
        <v>2</v>
      </c>
      <c r="D140" s="4" t="str">
        <f>控制台!J3330</f>
        <v>purple</v>
      </c>
      <c r="E140" s="4">
        <f>控制台!L3330</f>
        <v>-0.1</v>
      </c>
      <c r="F140" s="4" t="str">
        <f>控制台!M3330</f>
        <v>metal</v>
      </c>
      <c r="G140" s="4">
        <f ca="1">控制台!Q3330</f>
        <v>270000</v>
      </c>
    </row>
    <row r="141" spans="1:7">
      <c r="A141" s="4" t="str">
        <f>控制台!B3331</f>
        <v>goods_material_012</v>
      </c>
      <c r="B141" s="4" t="str">
        <f>控制台!D3331</f>
        <v>concrete</v>
      </c>
      <c r="C141" s="4">
        <f>控制台!G3331</f>
        <v>2</v>
      </c>
      <c r="D141" s="4" t="str">
        <f>控制台!J3331</f>
        <v>purple</v>
      </c>
      <c r="E141" s="4">
        <f>控制台!L3331</f>
        <v>-0.1</v>
      </c>
      <c r="F141" s="4" t="str">
        <f>控制台!M3331</f>
        <v>oil</v>
      </c>
      <c r="G141" s="4">
        <f ca="1">控制台!Q3331</f>
        <v>594000</v>
      </c>
    </row>
    <row r="142" spans="1:7">
      <c r="A142" s="4" t="str">
        <f>控制台!B3332</f>
        <v>goods_material_013</v>
      </c>
      <c r="B142" s="4" t="str">
        <f>控制台!D3332</f>
        <v>board</v>
      </c>
      <c r="C142" s="4">
        <f>控制台!G3332</f>
        <v>20</v>
      </c>
      <c r="D142" s="4" t="str">
        <f>控制台!J3332</f>
        <v>purple</v>
      </c>
      <c r="E142" s="4">
        <f>控制台!L3332</f>
        <v>-0.2</v>
      </c>
      <c r="F142" s="4" t="str">
        <f>控制台!M3332</f>
        <v>gold</v>
      </c>
      <c r="G142" s="4">
        <f ca="1">控制台!Q3332</f>
        <v>48000</v>
      </c>
    </row>
    <row r="143" spans="1:7">
      <c r="A143" s="4" t="str">
        <f>控制台!B3333</f>
        <v>goods_material_014</v>
      </c>
      <c r="B143" s="4" t="str">
        <f>控制台!D3333</f>
        <v>brick</v>
      </c>
      <c r="C143" s="4">
        <f>控制台!G3333</f>
        <v>5</v>
      </c>
      <c r="D143" s="4" t="str">
        <f>控制台!J3333</f>
        <v>purple</v>
      </c>
      <c r="E143" s="4">
        <f>控制台!L3333</f>
        <v>-0.2</v>
      </c>
      <c r="F143" s="4" t="str">
        <f>控制台!M3333</f>
        <v>metal</v>
      </c>
      <c r="G143" s="4">
        <f ca="1">控制台!Q3333</f>
        <v>48000</v>
      </c>
    </row>
    <row r="144" spans="1:7">
      <c r="A144" s="4" t="str">
        <f>控制台!B3334</f>
        <v>goods_material_015</v>
      </c>
      <c r="B144" s="4" t="str">
        <f>控制台!D3334</f>
        <v>cement</v>
      </c>
      <c r="C144" s="4">
        <f>控制台!G3334</f>
        <v>1</v>
      </c>
      <c r="D144" s="4" t="str">
        <f>控制台!J3334</f>
        <v>purple</v>
      </c>
      <c r="E144" s="4">
        <f>控制台!L3334</f>
        <v>-0.2</v>
      </c>
      <c r="F144" s="4" t="str">
        <f>控制台!M3334</f>
        <v>oil</v>
      </c>
      <c r="G144" s="4">
        <f ca="1">控制台!Q3334</f>
        <v>48000</v>
      </c>
    </row>
    <row r="145" spans="1:7">
      <c r="A145" s="4" t="str">
        <f>控制台!B3335</f>
        <v>goods_material_016</v>
      </c>
      <c r="B145" s="4" t="str">
        <f>控制台!D3335</f>
        <v>steel</v>
      </c>
      <c r="C145" s="4">
        <f>控制台!G3335</f>
        <v>1</v>
      </c>
      <c r="D145" s="4" t="str">
        <f>控制台!J3335</f>
        <v>purple</v>
      </c>
      <c r="E145" s="4">
        <f>控制台!L3335</f>
        <v>-0.2</v>
      </c>
      <c r="F145" s="4" t="str">
        <f>控制台!M3335</f>
        <v>gold</v>
      </c>
      <c r="G145" s="4">
        <f ca="1">控制台!Q3335</f>
        <v>84000</v>
      </c>
    </row>
    <row r="146" spans="1:7">
      <c r="A146" s="4" t="str">
        <f>控制台!B3336</f>
        <v>goods_material_017</v>
      </c>
      <c r="B146" s="4" t="str">
        <f>控制台!D3336</f>
        <v>pitch</v>
      </c>
      <c r="C146" s="4">
        <f>控制台!G3336</f>
        <v>1</v>
      </c>
      <c r="D146" s="4" t="str">
        <f>控制台!J3336</f>
        <v>purple</v>
      </c>
      <c r="E146" s="4">
        <f>控制台!L3336</f>
        <v>-0.2</v>
      </c>
      <c r="F146" s="4" t="str">
        <f>控制台!M3336</f>
        <v>metal</v>
      </c>
      <c r="G146" s="4">
        <f ca="1">控制台!Q3336</f>
        <v>120000</v>
      </c>
    </row>
    <row r="147" spans="1:7">
      <c r="A147" s="4" t="str">
        <f>控制台!B3337</f>
        <v>goods_material_018</v>
      </c>
      <c r="B147" s="4" t="str">
        <f>控制台!D3337</f>
        <v>concrete</v>
      </c>
      <c r="C147" s="4">
        <f>控制台!G3337</f>
        <v>1</v>
      </c>
      <c r="D147" s="4" t="str">
        <f>控制台!J3337</f>
        <v>purple</v>
      </c>
      <c r="E147" s="4">
        <f>控制台!L3337</f>
        <v>-0.2</v>
      </c>
      <c r="F147" s="4" t="str">
        <f>控制台!M3337</f>
        <v>oil</v>
      </c>
      <c r="G147" s="4">
        <f ca="1">控制台!Q3337</f>
        <v>264000</v>
      </c>
    </row>
    <row r="148" spans="1:7">
      <c r="A148" s="4" t="str">
        <f>控制台!B3338</f>
        <v>goods_material_019</v>
      </c>
      <c r="B148" s="4" t="str">
        <f>控制台!D3338</f>
        <v>board</v>
      </c>
      <c r="C148" s="4">
        <f>控制台!G3338</f>
        <v>30</v>
      </c>
      <c r="D148" s="4" t="str">
        <f>控制台!J3338</f>
        <v>purple</v>
      </c>
      <c r="E148" s="4">
        <f>控制台!L3338</f>
        <v>-0.2</v>
      </c>
      <c r="F148" s="4" t="str">
        <f>控制台!M3338</f>
        <v>gold</v>
      </c>
      <c r="G148" s="4">
        <f ca="1">控制台!Q3338</f>
        <v>72000</v>
      </c>
    </row>
    <row r="149" spans="1:7">
      <c r="A149" s="4" t="str">
        <f>控制台!B3339</f>
        <v>goods_material_020</v>
      </c>
      <c r="B149" s="4" t="str">
        <f>控制台!D3339</f>
        <v>brick</v>
      </c>
      <c r="C149" s="4">
        <f>控制台!G3339</f>
        <v>10</v>
      </c>
      <c r="D149" s="4" t="str">
        <f>控制台!J3339</f>
        <v>purple</v>
      </c>
      <c r="E149" s="4">
        <f>控制台!L3339</f>
        <v>-0.2</v>
      </c>
      <c r="F149" s="4" t="str">
        <f>控制台!M3339</f>
        <v>metal</v>
      </c>
      <c r="G149" s="4">
        <f ca="1">控制台!Q3339</f>
        <v>96000</v>
      </c>
    </row>
    <row r="150" spans="1:7">
      <c r="A150" s="4" t="str">
        <f>控制台!B3340</f>
        <v>goods_material_021</v>
      </c>
      <c r="B150" s="4" t="str">
        <f>控制台!D3340</f>
        <v>cement</v>
      </c>
      <c r="C150" s="4">
        <f>控制台!G3340</f>
        <v>2</v>
      </c>
      <c r="D150" s="4" t="str">
        <f>控制台!J3340</f>
        <v>purple</v>
      </c>
      <c r="E150" s="4">
        <f>控制台!L3340</f>
        <v>-0.2</v>
      </c>
      <c r="F150" s="4" t="str">
        <f>控制台!M3340</f>
        <v>oil</v>
      </c>
      <c r="G150" s="4">
        <f ca="1">控制台!Q3340</f>
        <v>96000</v>
      </c>
    </row>
    <row r="151" spans="1:7">
      <c r="A151" s="4" t="str">
        <f>控制台!B3341</f>
        <v>goods_material_022</v>
      </c>
      <c r="B151" s="4" t="str">
        <f>控制台!D3341</f>
        <v>steel</v>
      </c>
      <c r="C151" s="4">
        <f>控制台!G3341</f>
        <v>2</v>
      </c>
      <c r="D151" s="4" t="str">
        <f>控制台!J3341</f>
        <v>purple</v>
      </c>
      <c r="E151" s="4">
        <f>控制台!L3341</f>
        <v>-0.2</v>
      </c>
      <c r="F151" s="4" t="str">
        <f>控制台!M3341</f>
        <v>gold</v>
      </c>
      <c r="G151" s="4">
        <f ca="1">控制台!Q3341</f>
        <v>168000</v>
      </c>
    </row>
    <row r="152" spans="1:7">
      <c r="A152" s="4" t="str">
        <f>控制台!B3342</f>
        <v>goods_material_023</v>
      </c>
      <c r="B152" s="4" t="str">
        <f>控制台!D3342</f>
        <v>pitch</v>
      </c>
      <c r="C152" s="4">
        <f>控制台!G3342</f>
        <v>2</v>
      </c>
      <c r="D152" s="4" t="str">
        <f>控制台!J3342</f>
        <v>purple</v>
      </c>
      <c r="E152" s="4">
        <f>控制台!L3342</f>
        <v>-0.2</v>
      </c>
      <c r="F152" s="4" t="str">
        <f>控制台!M3342</f>
        <v>metal</v>
      </c>
      <c r="G152" s="4">
        <f ca="1">控制台!Q3342</f>
        <v>240000</v>
      </c>
    </row>
    <row r="153" spans="1:7">
      <c r="A153" s="4" t="str">
        <f>控制台!B3343</f>
        <v>goods_material_024</v>
      </c>
      <c r="B153" s="4" t="str">
        <f>控制台!D3343</f>
        <v>concrete</v>
      </c>
      <c r="C153" s="4">
        <f>控制台!G3343</f>
        <v>2</v>
      </c>
      <c r="D153" s="4" t="str">
        <f>控制台!J3343</f>
        <v>purple</v>
      </c>
      <c r="E153" s="4">
        <f>控制台!L3343</f>
        <v>-0.2</v>
      </c>
      <c r="F153" s="4" t="str">
        <f>控制台!M3343</f>
        <v>oil</v>
      </c>
      <c r="G153" s="4">
        <f ca="1">控制台!Q3343</f>
        <v>528000</v>
      </c>
    </row>
    <row r="154" spans="1:7">
      <c r="A154" s="4" t="str">
        <f>控制台!B3344</f>
        <v>goods_material_025</v>
      </c>
      <c r="B154" s="4" t="str">
        <f>控制台!D3344</f>
        <v>board</v>
      </c>
      <c r="C154" s="4">
        <f>控制台!G3344</f>
        <v>20</v>
      </c>
      <c r="D154" s="4" t="str">
        <f>控制台!J3344</f>
        <v>yellow</v>
      </c>
      <c r="E154" s="4">
        <f>控制台!L3344</f>
        <v>-0.5</v>
      </c>
      <c r="F154" s="4" t="str">
        <f>控制台!M3344</f>
        <v>l_coin</v>
      </c>
      <c r="G154" s="4">
        <f ca="1">控制台!Q3344</f>
        <v>30</v>
      </c>
    </row>
    <row r="155" spans="1:7">
      <c r="A155" s="4" t="str">
        <f>控制台!B3345</f>
        <v>goods_material_026</v>
      </c>
      <c r="B155" s="4" t="str">
        <f>控制台!D3345</f>
        <v>brick</v>
      </c>
      <c r="C155" s="4">
        <f>控制台!G3345</f>
        <v>5</v>
      </c>
      <c r="D155" s="4" t="str">
        <f>控制台!J3345</f>
        <v>yellow</v>
      </c>
      <c r="E155" s="4">
        <f>控制台!L3345</f>
        <v>-0.5</v>
      </c>
      <c r="F155" s="4" t="str">
        <f>控制台!M3345</f>
        <v>l_coin</v>
      </c>
      <c r="G155" s="4">
        <f ca="1">控制台!Q3345</f>
        <v>30</v>
      </c>
    </row>
    <row r="156" spans="1:7">
      <c r="A156" s="4" t="str">
        <f>控制台!B3346</f>
        <v>goods_material_027</v>
      </c>
      <c r="B156" s="4" t="str">
        <f>控制台!D3346</f>
        <v>cement</v>
      </c>
      <c r="C156" s="4">
        <f>控制台!G3346</f>
        <v>1</v>
      </c>
      <c r="D156" s="4" t="str">
        <f>控制台!J3346</f>
        <v>yellow</v>
      </c>
      <c r="E156" s="4">
        <f>控制台!L3346</f>
        <v>-0.5</v>
      </c>
      <c r="F156" s="4" t="str">
        <f>控制台!M3346</f>
        <v>l_coin</v>
      </c>
      <c r="G156" s="4">
        <f ca="1">控制台!Q3346</f>
        <v>30</v>
      </c>
    </row>
    <row r="157" spans="1:7">
      <c r="A157" s="4" t="str">
        <f>控制台!B3347</f>
        <v>goods_material_028</v>
      </c>
      <c r="B157" s="4" t="str">
        <f>控制台!D3347</f>
        <v>steel</v>
      </c>
      <c r="C157" s="4">
        <f>控制台!G3347</f>
        <v>1</v>
      </c>
      <c r="D157" s="4" t="str">
        <f>控制台!J3347</f>
        <v>yellow</v>
      </c>
      <c r="E157" s="4">
        <f>控制台!L3347</f>
        <v>-0.5</v>
      </c>
      <c r="F157" s="4" t="str">
        <f>控制台!M3347</f>
        <v>l_coin</v>
      </c>
      <c r="G157" s="4">
        <f ca="1">控制台!Q3347</f>
        <v>52</v>
      </c>
    </row>
    <row r="158" spans="1:7">
      <c r="A158" s="4" t="str">
        <f>控制台!B3348</f>
        <v>goods_material_029</v>
      </c>
      <c r="B158" s="4" t="str">
        <f>控制台!D3348</f>
        <v>pitch</v>
      </c>
      <c r="C158" s="4">
        <f>控制台!G3348</f>
        <v>1</v>
      </c>
      <c r="D158" s="4" t="str">
        <f>控制台!J3348</f>
        <v>yellow</v>
      </c>
      <c r="E158" s="4">
        <f>控制台!L3348</f>
        <v>-0.5</v>
      </c>
      <c r="F158" s="4" t="str">
        <f>控制台!M3348</f>
        <v>l_coin</v>
      </c>
      <c r="G158" s="4">
        <f ca="1">控制台!Q3348</f>
        <v>75</v>
      </c>
    </row>
    <row r="159" spans="1:7">
      <c r="A159" s="4" t="str">
        <f>控制台!B3349</f>
        <v>goods_material_030</v>
      </c>
      <c r="B159" s="4" t="str">
        <f>控制台!D3349</f>
        <v>concrete</v>
      </c>
      <c r="C159" s="4">
        <f>控制台!G3349</f>
        <v>1</v>
      </c>
      <c r="D159" s="4" t="str">
        <f>控制台!J3349</f>
        <v>yellow</v>
      </c>
      <c r="E159" s="4">
        <f>控制台!L3349</f>
        <v>-0.5</v>
      </c>
      <c r="F159" s="4" t="str">
        <f>控制台!M3349</f>
        <v>l_coin</v>
      </c>
      <c r="G159" s="4">
        <f ca="1">控制台!Q3349</f>
        <v>165</v>
      </c>
    </row>
    <row r="160" spans="1:7">
      <c r="A160" s="4" t="str">
        <f>控制台!B3350</f>
        <v>goods_material_031</v>
      </c>
      <c r="B160" s="4" t="str">
        <f>控制台!D3350</f>
        <v>board</v>
      </c>
      <c r="C160" s="4">
        <f>控制台!G3350</f>
        <v>30</v>
      </c>
      <c r="D160" s="4" t="str">
        <f>控制台!J3350</f>
        <v>purple</v>
      </c>
      <c r="E160" s="4">
        <f>控制台!L3350</f>
        <v>-0.4</v>
      </c>
      <c r="F160" s="4" t="str">
        <f>控制台!M3350</f>
        <v>l_coin</v>
      </c>
      <c r="G160" s="4">
        <f ca="1">控制台!Q3350</f>
        <v>54</v>
      </c>
    </row>
    <row r="161" spans="1:7">
      <c r="A161" s="4" t="str">
        <f>控制台!B3351</f>
        <v>goods_material_032</v>
      </c>
      <c r="B161" s="4" t="str">
        <f>控制台!D3351</f>
        <v>brick</v>
      </c>
      <c r="C161" s="4">
        <f>控制台!G3351</f>
        <v>10</v>
      </c>
      <c r="D161" s="4" t="str">
        <f>控制台!J3351</f>
        <v>purple</v>
      </c>
      <c r="E161" s="4">
        <f>控制台!L3351</f>
        <v>-0.4</v>
      </c>
      <c r="F161" s="4" t="str">
        <f>控制台!M3351</f>
        <v>l_coin</v>
      </c>
      <c r="G161" s="4">
        <f ca="1">控制台!Q3351</f>
        <v>72</v>
      </c>
    </row>
    <row r="162" spans="1:7">
      <c r="A162" s="4" t="str">
        <f>控制台!B3352</f>
        <v>goods_material_033</v>
      </c>
      <c r="B162" s="4" t="str">
        <f>控制台!D3352</f>
        <v>cement</v>
      </c>
      <c r="C162" s="4">
        <f>控制台!G3352</f>
        <v>2</v>
      </c>
      <c r="D162" s="4" t="str">
        <f>控制台!J3352</f>
        <v>purple</v>
      </c>
      <c r="E162" s="4">
        <f>控制台!L3352</f>
        <v>-0.4</v>
      </c>
      <c r="F162" s="4" t="str">
        <f>控制台!M3352</f>
        <v>l_coin</v>
      </c>
      <c r="G162" s="4">
        <f ca="1">控制台!Q3352</f>
        <v>72</v>
      </c>
    </row>
    <row r="163" spans="1:7">
      <c r="A163" s="4" t="str">
        <f>控制台!B3353</f>
        <v>goods_material_034</v>
      </c>
      <c r="B163" s="4" t="str">
        <f>控制台!D3353</f>
        <v>steel</v>
      </c>
      <c r="C163" s="4">
        <f>控制台!G3353</f>
        <v>2</v>
      </c>
      <c r="D163" s="4" t="str">
        <f>控制台!J3353</f>
        <v>purple</v>
      </c>
      <c r="E163" s="4">
        <f>控制台!L3353</f>
        <v>-0.4</v>
      </c>
      <c r="F163" s="4" t="str">
        <f>控制台!M3353</f>
        <v>l_coin</v>
      </c>
      <c r="G163" s="4">
        <f ca="1">控制台!Q3353</f>
        <v>126</v>
      </c>
    </row>
    <row r="164" spans="1:7">
      <c r="A164" s="4" t="str">
        <f>控制台!B3354</f>
        <v>goods_material_035</v>
      </c>
      <c r="B164" s="4" t="str">
        <f>控制台!D3354</f>
        <v>pitch</v>
      </c>
      <c r="C164" s="4">
        <f>控制台!G3354</f>
        <v>2</v>
      </c>
      <c r="D164" s="4" t="str">
        <f>控制台!J3354</f>
        <v>purple</v>
      </c>
      <c r="E164" s="4">
        <f>控制台!L3354</f>
        <v>-0.4</v>
      </c>
      <c r="F164" s="4" t="str">
        <f>控制台!M3354</f>
        <v>l_coin</v>
      </c>
      <c r="G164" s="4">
        <f ca="1">控制台!Q3354</f>
        <v>180</v>
      </c>
    </row>
    <row r="165" spans="1:7">
      <c r="A165" s="4" t="str">
        <f>控制台!B3355</f>
        <v>goods_material_036</v>
      </c>
      <c r="B165" s="4" t="str">
        <f>控制台!D3355</f>
        <v>concrete</v>
      </c>
      <c r="C165" s="4">
        <f>控制台!G3355</f>
        <v>2</v>
      </c>
      <c r="D165" s="4" t="str">
        <f>控制台!J3355</f>
        <v>purple</v>
      </c>
      <c r="E165" s="4">
        <f>控制台!L3355</f>
        <v>-0.4</v>
      </c>
      <c r="F165" s="4" t="str">
        <f>控制台!M3355</f>
        <v>l_coin</v>
      </c>
      <c r="G165" s="4">
        <f ca="1">控制台!Q3355</f>
        <v>396</v>
      </c>
    </row>
    <row r="166" spans="1:7">
      <c r="A166" s="4" t="str">
        <f>控制台!B3356</f>
        <v>goods_material_037</v>
      </c>
      <c r="B166" s="4" t="str">
        <f>控制台!D3356</f>
        <v>board</v>
      </c>
      <c r="C166" s="4">
        <f>控制台!G3356</f>
        <v>20</v>
      </c>
      <c r="D166" s="4" t="str">
        <f>控制台!J3356</f>
        <v>yellow</v>
      </c>
      <c r="E166" s="4">
        <f>控制台!L3356</f>
        <v>-0.7</v>
      </c>
      <c r="F166" s="4" t="str">
        <f>控制台!M3356</f>
        <v>l_coin</v>
      </c>
      <c r="G166" s="4">
        <f ca="1">控制台!Q3356</f>
        <v>18</v>
      </c>
    </row>
    <row r="167" spans="1:7">
      <c r="A167" s="4" t="str">
        <f>控制台!B3357</f>
        <v>goods_material_038</v>
      </c>
      <c r="B167" s="4" t="str">
        <f>控制台!D3357</f>
        <v>brick</v>
      </c>
      <c r="C167" s="4">
        <f>控制台!G3357</f>
        <v>5</v>
      </c>
      <c r="D167" s="4" t="str">
        <f>控制台!J3357</f>
        <v>yellow</v>
      </c>
      <c r="E167" s="4">
        <f>控制台!L3357</f>
        <v>-0.7</v>
      </c>
      <c r="F167" s="4" t="str">
        <f>控制台!M3357</f>
        <v>l_coin</v>
      </c>
      <c r="G167" s="4">
        <f ca="1">控制台!Q3357</f>
        <v>18</v>
      </c>
    </row>
    <row r="168" spans="1:7">
      <c r="A168" s="4" t="str">
        <f>控制台!B3358</f>
        <v>goods_material_039</v>
      </c>
      <c r="B168" s="4" t="str">
        <f>控制台!D3358</f>
        <v>cement</v>
      </c>
      <c r="C168" s="4">
        <f>控制台!G3358</f>
        <v>1</v>
      </c>
      <c r="D168" s="4" t="str">
        <f>控制台!J3358</f>
        <v>yellow</v>
      </c>
      <c r="E168" s="4">
        <f>控制台!L3358</f>
        <v>-0.7</v>
      </c>
      <c r="F168" s="4" t="str">
        <f>控制台!M3358</f>
        <v>l_coin</v>
      </c>
      <c r="G168" s="4">
        <f ca="1">控制台!Q3358</f>
        <v>18</v>
      </c>
    </row>
    <row r="169" spans="1:7">
      <c r="A169" s="4" t="str">
        <f>控制台!B3359</f>
        <v>goods_material_040</v>
      </c>
      <c r="B169" s="4" t="str">
        <f>控制台!D3359</f>
        <v>steel</v>
      </c>
      <c r="C169" s="4">
        <f>控制台!G3359</f>
        <v>1</v>
      </c>
      <c r="D169" s="4" t="str">
        <f>控制台!J3359</f>
        <v>yellow</v>
      </c>
      <c r="E169" s="4">
        <f>控制台!L3359</f>
        <v>-0.7</v>
      </c>
      <c r="F169" s="4" t="str">
        <f>控制台!M3359</f>
        <v>l_coin</v>
      </c>
      <c r="G169" s="4">
        <f ca="1">控制台!Q3359</f>
        <v>31</v>
      </c>
    </row>
    <row r="170" spans="1:7">
      <c r="A170" s="4" t="str">
        <f>控制台!B3360</f>
        <v>goods_material_041</v>
      </c>
      <c r="B170" s="4" t="str">
        <f>控制台!D3360</f>
        <v>pitch</v>
      </c>
      <c r="C170" s="4">
        <f>控制台!G3360</f>
        <v>1</v>
      </c>
      <c r="D170" s="4" t="str">
        <f>控制台!J3360</f>
        <v>yellow</v>
      </c>
      <c r="E170" s="4">
        <f>控制台!L3360</f>
        <v>-0.7</v>
      </c>
      <c r="F170" s="4" t="str">
        <f>控制台!M3360</f>
        <v>l_coin</v>
      </c>
      <c r="G170" s="4">
        <f ca="1">控制台!Q3360</f>
        <v>45</v>
      </c>
    </row>
    <row r="171" spans="1:7">
      <c r="A171" s="4" t="str">
        <f>控制台!B3361</f>
        <v>goods_material_042</v>
      </c>
      <c r="B171" s="4" t="str">
        <f>控制台!D3361</f>
        <v>concrete</v>
      </c>
      <c r="C171" s="4">
        <f>控制台!G3361</f>
        <v>1</v>
      </c>
      <c r="D171" s="4" t="str">
        <f>控制台!J3361</f>
        <v>yellow</v>
      </c>
      <c r="E171" s="4">
        <f>控制台!L3361</f>
        <v>-0.7</v>
      </c>
      <c r="F171" s="4" t="str">
        <f>控制台!M3361</f>
        <v>l_coin</v>
      </c>
      <c r="G171" s="4">
        <f ca="1">控制台!Q3361</f>
        <v>99</v>
      </c>
    </row>
    <row r="172" spans="1:7">
      <c r="A172" s="4" t="str">
        <f>控制台!B3362</f>
        <v>goods_material_043</v>
      </c>
      <c r="B172" s="4" t="str">
        <f>控制台!D3362</f>
        <v>board</v>
      </c>
      <c r="C172" s="4">
        <f>控制台!G3362</f>
        <v>30</v>
      </c>
      <c r="D172" s="4" t="str">
        <f>控制台!J3362</f>
        <v>yellow</v>
      </c>
      <c r="E172" s="4">
        <f>控制台!L3362</f>
        <v>-0.6</v>
      </c>
      <c r="F172" s="4" t="str">
        <f>控制台!M3362</f>
        <v>l_coin</v>
      </c>
      <c r="G172" s="4">
        <f ca="1">控制台!Q3362</f>
        <v>36</v>
      </c>
    </row>
    <row r="173" spans="1:7">
      <c r="A173" s="4" t="str">
        <f>控制台!B3363</f>
        <v>goods_material_044</v>
      </c>
      <c r="B173" s="4" t="str">
        <f>控制台!D3363</f>
        <v>brick</v>
      </c>
      <c r="C173" s="4">
        <f>控制台!G3363</f>
        <v>10</v>
      </c>
      <c r="D173" s="4" t="str">
        <f>控制台!J3363</f>
        <v>yellow</v>
      </c>
      <c r="E173" s="4">
        <f>控制台!L3363</f>
        <v>-0.6</v>
      </c>
      <c r="F173" s="4" t="str">
        <f>控制台!M3363</f>
        <v>l_coin</v>
      </c>
      <c r="G173" s="4">
        <f ca="1">控制台!Q3363</f>
        <v>48</v>
      </c>
    </row>
    <row r="174" spans="1:7">
      <c r="A174" s="4" t="str">
        <f>控制台!B3364</f>
        <v>goods_material_045</v>
      </c>
      <c r="B174" s="4" t="str">
        <f>控制台!D3364</f>
        <v>cement</v>
      </c>
      <c r="C174" s="4">
        <f>控制台!G3364</f>
        <v>2</v>
      </c>
      <c r="D174" s="4" t="str">
        <f>控制台!J3364</f>
        <v>yellow</v>
      </c>
      <c r="E174" s="4">
        <f>控制台!L3364</f>
        <v>-0.6</v>
      </c>
      <c r="F174" s="4" t="str">
        <f>控制台!M3364</f>
        <v>l_coin</v>
      </c>
      <c r="G174" s="4">
        <f ca="1">控制台!Q3364</f>
        <v>48</v>
      </c>
    </row>
    <row r="175" spans="1:7">
      <c r="A175" s="4" t="str">
        <f>控制台!B3365</f>
        <v>goods_material_046</v>
      </c>
      <c r="B175" s="4" t="str">
        <f>控制台!D3365</f>
        <v>steel</v>
      </c>
      <c r="C175" s="4">
        <f>控制台!G3365</f>
        <v>2</v>
      </c>
      <c r="D175" s="4" t="str">
        <f>控制台!J3365</f>
        <v>yellow</v>
      </c>
      <c r="E175" s="4">
        <f>控制台!L3365</f>
        <v>-0.6</v>
      </c>
      <c r="F175" s="4" t="str">
        <f>控制台!M3365</f>
        <v>l_coin</v>
      </c>
      <c r="G175" s="4">
        <f ca="1">控制台!Q3365</f>
        <v>84</v>
      </c>
    </row>
    <row r="176" spans="1:7">
      <c r="A176" s="4" t="str">
        <f>控制台!B3366</f>
        <v>goods_material_047</v>
      </c>
      <c r="B176" s="4" t="str">
        <f>控制台!D3366</f>
        <v>pitch</v>
      </c>
      <c r="C176" s="4">
        <f>控制台!G3366</f>
        <v>2</v>
      </c>
      <c r="D176" s="4" t="str">
        <f>控制台!J3366</f>
        <v>yellow</v>
      </c>
      <c r="E176" s="4">
        <f>控制台!L3366</f>
        <v>-0.6</v>
      </c>
      <c r="F176" s="4" t="str">
        <f>控制台!M3366</f>
        <v>l_coin</v>
      </c>
      <c r="G176" s="4">
        <f ca="1">控制台!Q3366</f>
        <v>120</v>
      </c>
    </row>
    <row r="177" spans="1:7">
      <c r="A177" s="4" t="str">
        <f>控制台!B3367</f>
        <v>goods_material_048</v>
      </c>
      <c r="B177" s="4" t="str">
        <f>控制台!D3367</f>
        <v>concrete</v>
      </c>
      <c r="C177" s="4">
        <f>控制台!G3367</f>
        <v>2</v>
      </c>
      <c r="D177" s="4" t="str">
        <f>控制台!J3367</f>
        <v>yellow</v>
      </c>
      <c r="E177" s="4">
        <f>控制台!L3367</f>
        <v>-0.6</v>
      </c>
      <c r="F177" s="4" t="str">
        <f>控制台!M3367</f>
        <v>l_coin</v>
      </c>
      <c r="G177" s="4">
        <f ca="1">控制台!Q3367</f>
        <v>264</v>
      </c>
    </row>
    <row r="178" spans="1:7">
      <c r="A178" s="4" t="str">
        <f>控制台!B3374</f>
        <v>goods_speedup_001</v>
      </c>
      <c r="B178" s="4" t="str">
        <f>控制台!D3374</f>
        <v>rush_common_3m</v>
      </c>
      <c r="C178" s="4">
        <f>控制台!G3374</f>
        <v>3</v>
      </c>
      <c r="D178" s="4" t="str">
        <f>控制台!J3374</f>
        <v>purple</v>
      </c>
      <c r="E178" s="4">
        <f>控制台!L3374</f>
        <v>-0.1</v>
      </c>
      <c r="F178" s="4" t="str">
        <f>控制台!M3374</f>
        <v>gold</v>
      </c>
      <c r="G178" s="4">
        <f>控制台!Q3374</f>
        <v>24000</v>
      </c>
    </row>
    <row r="179" spans="1:7">
      <c r="A179" s="4" t="str">
        <f>控制台!B3375</f>
        <v>goods_speedup_002</v>
      </c>
      <c r="B179" s="4" t="str">
        <f>控制台!D3375</f>
        <v>rush_common_15m</v>
      </c>
      <c r="C179" s="4">
        <f>控制台!G3375</f>
        <v>1</v>
      </c>
      <c r="D179" s="4" t="str">
        <f>控制台!J3375</f>
        <v>purple</v>
      </c>
      <c r="E179" s="4">
        <f>控制台!L3375</f>
        <v>-0.1</v>
      </c>
      <c r="F179" s="4" t="str">
        <f>控制台!M3375</f>
        <v>gold</v>
      </c>
      <c r="G179" s="4">
        <f>控制台!Q3375</f>
        <v>40000</v>
      </c>
    </row>
    <row r="180" spans="1:7">
      <c r="A180" s="4" t="str">
        <f>控制台!B3376</f>
        <v>goods_speedup_003</v>
      </c>
      <c r="B180" s="4" t="str">
        <f>控制台!D3376</f>
        <v>rush_common_60m</v>
      </c>
      <c r="C180" s="4">
        <f>控制台!G3376</f>
        <v>1</v>
      </c>
      <c r="D180" s="4" t="str">
        <f>控制台!J3376</f>
        <v>purple</v>
      </c>
      <c r="E180" s="4">
        <f>控制台!L3376</f>
        <v>-0.1</v>
      </c>
      <c r="F180" s="4" t="str">
        <f>控制台!M3376</f>
        <v>gold</v>
      </c>
      <c r="G180" s="4">
        <f>控制台!Q3376</f>
        <v>162000</v>
      </c>
    </row>
    <row r="181" spans="1:7">
      <c r="A181" s="4" t="str">
        <f>控制台!B3377</f>
        <v>goods_speedup_004</v>
      </c>
      <c r="B181" s="4" t="str">
        <f>控制台!D3377</f>
        <v>rush_common_3m</v>
      </c>
      <c r="C181" s="4">
        <f>控制台!G3377</f>
        <v>15</v>
      </c>
      <c r="D181" s="4" t="str">
        <f>控制台!J3377</f>
        <v>purple</v>
      </c>
      <c r="E181" s="4">
        <f>控制台!L3377</f>
        <v>-0.1</v>
      </c>
      <c r="F181" s="4" t="str">
        <f>控制台!M3377</f>
        <v>gold</v>
      </c>
      <c r="G181" s="4">
        <f>控制台!Q3377</f>
        <v>121000</v>
      </c>
    </row>
    <row r="182" spans="1:7">
      <c r="A182" s="4" t="str">
        <f>控制台!B3378</f>
        <v>goods_speedup_005</v>
      </c>
      <c r="B182" s="4" t="str">
        <f>控制台!D3378</f>
        <v>rush_common_15m</v>
      </c>
      <c r="C182" s="4">
        <f>控制台!G3378</f>
        <v>5</v>
      </c>
      <c r="D182" s="4" t="str">
        <f>控制台!J3378</f>
        <v>purple</v>
      </c>
      <c r="E182" s="4">
        <f>控制台!L3378</f>
        <v>-0.1</v>
      </c>
      <c r="F182" s="4" t="str">
        <f>控制台!M3378</f>
        <v>gold</v>
      </c>
      <c r="G182" s="4">
        <f>控制台!Q3378</f>
        <v>202000</v>
      </c>
    </row>
    <row r="183" spans="1:7">
      <c r="A183" s="4" t="str">
        <f>控制台!B3379</f>
        <v>goods_speedup_006</v>
      </c>
      <c r="B183" s="4" t="str">
        <f>控制台!D3379</f>
        <v>rush_common_60m</v>
      </c>
      <c r="C183" s="4">
        <f>控制台!G3379</f>
        <v>2</v>
      </c>
      <c r="D183" s="4" t="str">
        <f>控制台!J3379</f>
        <v>purple</v>
      </c>
      <c r="E183" s="4">
        <f>控制台!L3379</f>
        <v>-0.1</v>
      </c>
      <c r="F183" s="4" t="str">
        <f>控制台!M3379</f>
        <v>gold</v>
      </c>
      <c r="G183" s="4">
        <f>控制台!Q3379</f>
        <v>324000</v>
      </c>
    </row>
    <row r="184" spans="1:7">
      <c r="A184" s="4" t="str">
        <f>控制台!B3380</f>
        <v>goods_speedup_007</v>
      </c>
      <c r="B184" s="4" t="str">
        <f>控制台!D3380</f>
        <v>rush_build_common_3m</v>
      </c>
      <c r="C184" s="4">
        <f>控制台!G3380</f>
        <v>3</v>
      </c>
      <c r="D184" s="4" t="str">
        <f>控制台!J3380</f>
        <v>purple</v>
      </c>
      <c r="E184" s="4">
        <f>控制台!L3380</f>
        <v>-0.1</v>
      </c>
      <c r="F184" s="4" t="str">
        <f>控制台!M3380</f>
        <v>metal</v>
      </c>
      <c r="G184" s="4">
        <f>控制台!Q3380</f>
        <v>24000</v>
      </c>
    </row>
    <row r="185" spans="1:7">
      <c r="A185" s="4" t="str">
        <f>控制台!B3381</f>
        <v>goods_speedup_008</v>
      </c>
      <c r="B185" s="4" t="str">
        <f>控制台!D3381</f>
        <v>rush_build_common_15m</v>
      </c>
      <c r="C185" s="4">
        <f>控制台!G3381</f>
        <v>1</v>
      </c>
      <c r="D185" s="4" t="str">
        <f>控制台!J3381</f>
        <v>purple</v>
      </c>
      <c r="E185" s="4">
        <f>控制台!L3381</f>
        <v>-0.1</v>
      </c>
      <c r="F185" s="4" t="str">
        <f>控制台!M3381</f>
        <v>metal</v>
      </c>
      <c r="G185" s="4">
        <f>控制台!Q3381</f>
        <v>40000</v>
      </c>
    </row>
    <row r="186" spans="1:7">
      <c r="A186" s="4" t="str">
        <f>控制台!B3382</f>
        <v>goods_speedup_009</v>
      </c>
      <c r="B186" s="4" t="str">
        <f>控制台!D3382</f>
        <v>rush_build_common_60m</v>
      </c>
      <c r="C186" s="4">
        <f>控制台!G3382</f>
        <v>1</v>
      </c>
      <c r="D186" s="4" t="str">
        <f>控制台!J3382</f>
        <v>purple</v>
      </c>
      <c r="E186" s="4">
        <f>控制台!L3382</f>
        <v>-0.1</v>
      </c>
      <c r="F186" s="4" t="str">
        <f>控制台!M3382</f>
        <v>metal</v>
      </c>
      <c r="G186" s="4">
        <f>控制台!Q3382</f>
        <v>162000</v>
      </c>
    </row>
    <row r="187" spans="1:7">
      <c r="A187" s="4" t="str">
        <f>控制台!B3383</f>
        <v>goods_speedup_010</v>
      </c>
      <c r="B187" s="4" t="str">
        <f>控制台!D3383</f>
        <v>rush_build_common_3m</v>
      </c>
      <c r="C187" s="4">
        <f>控制台!G3383</f>
        <v>15</v>
      </c>
      <c r="D187" s="4" t="str">
        <f>控制台!J3383</f>
        <v>purple</v>
      </c>
      <c r="E187" s="4">
        <f>控制台!L3383</f>
        <v>-0.1</v>
      </c>
      <c r="F187" s="4" t="str">
        <f>控制台!M3383</f>
        <v>metal</v>
      </c>
      <c r="G187" s="4">
        <f>控制台!Q3383</f>
        <v>121000</v>
      </c>
    </row>
    <row r="188" spans="1:7">
      <c r="A188" s="4" t="str">
        <f>控制台!B3384</f>
        <v>goods_speedup_011</v>
      </c>
      <c r="B188" s="4" t="str">
        <f>控制台!D3384</f>
        <v>rush_build_common_15m</v>
      </c>
      <c r="C188" s="4">
        <f>控制台!G3384</f>
        <v>5</v>
      </c>
      <c r="D188" s="4" t="str">
        <f>控制台!J3384</f>
        <v>purple</v>
      </c>
      <c r="E188" s="4">
        <f>控制台!L3384</f>
        <v>-0.1</v>
      </c>
      <c r="F188" s="4" t="str">
        <f>控制台!M3384</f>
        <v>metal</v>
      </c>
      <c r="G188" s="4">
        <f>控制台!Q3384</f>
        <v>202000</v>
      </c>
    </row>
    <row r="189" spans="1:7">
      <c r="A189" s="4" t="str">
        <f>控制台!B3385</f>
        <v>goods_speedup_012</v>
      </c>
      <c r="B189" s="4" t="str">
        <f>控制台!D3385</f>
        <v>rush_build_common_60m</v>
      </c>
      <c r="C189" s="4">
        <f>控制台!G3385</f>
        <v>2</v>
      </c>
      <c r="D189" s="4" t="str">
        <f>控制台!J3385</f>
        <v>purple</v>
      </c>
      <c r="E189" s="4">
        <f>控制台!L3385</f>
        <v>-0.1</v>
      </c>
      <c r="F189" s="4" t="str">
        <f>控制台!M3385</f>
        <v>metal</v>
      </c>
      <c r="G189" s="4">
        <f>控制台!Q3385</f>
        <v>324000</v>
      </c>
    </row>
    <row r="190" spans="1:7">
      <c r="A190" s="4" t="str">
        <f>控制台!B3386</f>
        <v>goods_speedup_013</v>
      </c>
      <c r="B190" s="4" t="str">
        <f>控制台!D3386</f>
        <v>rush_tech_common_3m</v>
      </c>
      <c r="C190" s="4">
        <f>控制台!G3386</f>
        <v>3</v>
      </c>
      <c r="D190" s="4" t="str">
        <f>控制台!J3386</f>
        <v>purple</v>
      </c>
      <c r="E190" s="4">
        <f>控制台!L3386</f>
        <v>-0.1</v>
      </c>
      <c r="F190" s="4" t="str">
        <f>控制台!M3386</f>
        <v>oil</v>
      </c>
      <c r="G190" s="4">
        <f>控制台!Q3386</f>
        <v>24000</v>
      </c>
    </row>
    <row r="191" spans="1:7">
      <c r="A191" s="4" t="str">
        <f>控制台!B3387</f>
        <v>goods_speedup_014</v>
      </c>
      <c r="B191" s="4" t="str">
        <f>控制台!D3387</f>
        <v>rush_tech_common_15m</v>
      </c>
      <c r="C191" s="4">
        <f>控制台!G3387</f>
        <v>1</v>
      </c>
      <c r="D191" s="4" t="str">
        <f>控制台!J3387</f>
        <v>purple</v>
      </c>
      <c r="E191" s="4">
        <f>控制台!L3387</f>
        <v>-0.1</v>
      </c>
      <c r="F191" s="4" t="str">
        <f>控制台!M3387</f>
        <v>oil</v>
      </c>
      <c r="G191" s="4">
        <f>控制台!Q3387</f>
        <v>40000</v>
      </c>
    </row>
    <row r="192" spans="1:7">
      <c r="A192" s="4" t="str">
        <f>控制台!B3388</f>
        <v>goods_speedup_015</v>
      </c>
      <c r="B192" s="4" t="str">
        <f>控制台!D3388</f>
        <v>rush_tech_common_60m</v>
      </c>
      <c r="C192" s="4">
        <f>控制台!G3388</f>
        <v>1</v>
      </c>
      <c r="D192" s="4" t="str">
        <f>控制台!J3388</f>
        <v>purple</v>
      </c>
      <c r="E192" s="4">
        <f>控制台!L3388</f>
        <v>-0.1</v>
      </c>
      <c r="F192" s="4" t="str">
        <f>控制台!M3388</f>
        <v>oil</v>
      </c>
      <c r="G192" s="4">
        <f>控制台!Q3388</f>
        <v>162000</v>
      </c>
    </row>
    <row r="193" spans="1:7">
      <c r="A193" s="4" t="str">
        <f>控制台!B3389</f>
        <v>goods_speedup_016</v>
      </c>
      <c r="B193" s="4" t="str">
        <f>控制台!D3389</f>
        <v>rush_tech_common_3m</v>
      </c>
      <c r="C193" s="4">
        <f>控制台!G3389</f>
        <v>15</v>
      </c>
      <c r="D193" s="4" t="str">
        <f>控制台!J3389</f>
        <v>purple</v>
      </c>
      <c r="E193" s="4">
        <f>控制台!L3389</f>
        <v>-0.1</v>
      </c>
      <c r="F193" s="4" t="str">
        <f>控制台!M3389</f>
        <v>oil</v>
      </c>
      <c r="G193" s="4">
        <f>控制台!Q3389</f>
        <v>121000</v>
      </c>
    </row>
    <row r="194" spans="1:7">
      <c r="A194" s="4" t="str">
        <f>控制台!B3390</f>
        <v>goods_speedup_017</v>
      </c>
      <c r="B194" s="4" t="str">
        <f>控制台!D3390</f>
        <v>rush_tech_common_15m</v>
      </c>
      <c r="C194" s="4">
        <f>控制台!G3390</f>
        <v>5</v>
      </c>
      <c r="D194" s="4" t="str">
        <f>控制台!J3390</f>
        <v>purple</v>
      </c>
      <c r="E194" s="4">
        <f>控制台!L3390</f>
        <v>-0.1</v>
      </c>
      <c r="F194" s="4" t="str">
        <f>控制台!M3390</f>
        <v>oil</v>
      </c>
      <c r="G194" s="4">
        <f>控制台!Q3390</f>
        <v>202000</v>
      </c>
    </row>
    <row r="195" spans="1:7">
      <c r="A195" s="4" t="str">
        <f>控制台!B3391</f>
        <v>goods_speedup_018</v>
      </c>
      <c r="B195" s="4" t="str">
        <f>控制台!D3391</f>
        <v>rush_tech_common_60m</v>
      </c>
      <c r="C195" s="4">
        <f>控制台!G3391</f>
        <v>2</v>
      </c>
      <c r="D195" s="4" t="str">
        <f>控制台!J3391</f>
        <v>purple</v>
      </c>
      <c r="E195" s="4">
        <f>控制台!L3391</f>
        <v>-0.1</v>
      </c>
      <c r="F195" s="4" t="str">
        <f>控制台!M3391</f>
        <v>oil</v>
      </c>
      <c r="G195" s="4">
        <f>控制台!Q3391</f>
        <v>324000</v>
      </c>
    </row>
    <row r="196" spans="1:7">
      <c r="A196" s="4" t="str">
        <f>控制台!B3392</f>
        <v>goods_speedup_019</v>
      </c>
      <c r="B196" s="4" t="str">
        <f>控制台!D3392</f>
        <v>rush_common_3m</v>
      </c>
      <c r="C196" s="4">
        <f>控制台!G3392</f>
        <v>3</v>
      </c>
      <c r="D196" s="4" t="str">
        <f>控制台!J3392</f>
        <v>purple</v>
      </c>
      <c r="E196" s="4">
        <f>控制台!L3392</f>
        <v>-0.2</v>
      </c>
      <c r="F196" s="4" t="str">
        <f>控制台!M3392</f>
        <v>gold</v>
      </c>
      <c r="G196" s="4">
        <f>控制台!Q3392</f>
        <v>21000</v>
      </c>
    </row>
    <row r="197" spans="1:7">
      <c r="A197" s="4" t="str">
        <f>控制台!B3393</f>
        <v>goods_speedup_020</v>
      </c>
      <c r="B197" s="4" t="str">
        <f>控制台!D3393</f>
        <v>rush_common_15m</v>
      </c>
      <c r="C197" s="4">
        <f>控制台!G3393</f>
        <v>1</v>
      </c>
      <c r="D197" s="4" t="str">
        <f>控制台!J3393</f>
        <v>purple</v>
      </c>
      <c r="E197" s="4">
        <f>控制台!L3393</f>
        <v>-0.2</v>
      </c>
      <c r="F197" s="4" t="str">
        <f>控制台!M3393</f>
        <v>gold</v>
      </c>
      <c r="G197" s="4">
        <f>控制台!Q3393</f>
        <v>36000</v>
      </c>
    </row>
    <row r="198" spans="1:7">
      <c r="A198" s="4" t="str">
        <f>控制台!B3394</f>
        <v>goods_speedup_021</v>
      </c>
      <c r="B198" s="4" t="str">
        <f>控制台!D3394</f>
        <v>rush_common_60m</v>
      </c>
      <c r="C198" s="4">
        <f>控制台!G3394</f>
        <v>1</v>
      </c>
      <c r="D198" s="4" t="str">
        <f>控制台!J3394</f>
        <v>purple</v>
      </c>
      <c r="E198" s="4">
        <f>控制台!L3394</f>
        <v>-0.2</v>
      </c>
      <c r="F198" s="4" t="str">
        <f>控制台!M3394</f>
        <v>gold</v>
      </c>
      <c r="G198" s="4">
        <f>控制台!Q3394</f>
        <v>144000</v>
      </c>
    </row>
    <row r="199" spans="1:7">
      <c r="A199" s="4" t="str">
        <f>控制台!B3395</f>
        <v>goods_speedup_022</v>
      </c>
      <c r="B199" s="4" t="str">
        <f>控制台!D3395</f>
        <v>rush_common_3m</v>
      </c>
      <c r="C199" s="4">
        <f>控制台!G3395</f>
        <v>15</v>
      </c>
      <c r="D199" s="4" t="str">
        <f>控制台!J3395</f>
        <v>purple</v>
      </c>
      <c r="E199" s="4">
        <f>控制台!L3395</f>
        <v>-0.2</v>
      </c>
      <c r="F199" s="4" t="str">
        <f>控制台!M3395</f>
        <v>gold</v>
      </c>
      <c r="G199" s="4">
        <f>控制台!Q3395</f>
        <v>108000</v>
      </c>
    </row>
    <row r="200" spans="1:7">
      <c r="A200" s="4" t="str">
        <f>控制台!B3396</f>
        <v>goods_speedup_023</v>
      </c>
      <c r="B200" s="4" t="str">
        <f>控制台!D3396</f>
        <v>rush_common_15m</v>
      </c>
      <c r="C200" s="4">
        <f>控制台!G3396</f>
        <v>5</v>
      </c>
      <c r="D200" s="4" t="str">
        <f>控制台!J3396</f>
        <v>purple</v>
      </c>
      <c r="E200" s="4">
        <f>控制台!L3396</f>
        <v>-0.2</v>
      </c>
      <c r="F200" s="4" t="str">
        <f>控制台!M3396</f>
        <v>gold</v>
      </c>
      <c r="G200" s="4">
        <f>控制台!Q3396</f>
        <v>180000</v>
      </c>
    </row>
    <row r="201" spans="1:7">
      <c r="A201" s="4" t="str">
        <f>控制台!B3397</f>
        <v>goods_speedup_024</v>
      </c>
      <c r="B201" s="4" t="str">
        <f>控制台!D3397</f>
        <v>rush_common_60m</v>
      </c>
      <c r="C201" s="4">
        <f>控制台!G3397</f>
        <v>2</v>
      </c>
      <c r="D201" s="4" t="str">
        <f>控制台!J3397</f>
        <v>purple</v>
      </c>
      <c r="E201" s="4">
        <f>控制台!L3397</f>
        <v>-0.2</v>
      </c>
      <c r="F201" s="4" t="str">
        <f>控制台!M3397</f>
        <v>gold</v>
      </c>
      <c r="G201" s="4">
        <f>控制台!Q3397</f>
        <v>288000</v>
      </c>
    </row>
    <row r="202" spans="1:7">
      <c r="A202" s="4" t="str">
        <f>控制台!B3398</f>
        <v>goods_speedup_025</v>
      </c>
      <c r="B202" s="4" t="str">
        <f>控制台!D3398</f>
        <v>rush_build_common_3m</v>
      </c>
      <c r="C202" s="4">
        <f>控制台!G3398</f>
        <v>3</v>
      </c>
      <c r="D202" s="4" t="str">
        <f>控制台!J3398</f>
        <v>purple</v>
      </c>
      <c r="E202" s="4">
        <f>控制台!L3398</f>
        <v>-0.2</v>
      </c>
      <c r="F202" s="4" t="str">
        <f>控制台!M3398</f>
        <v>metal</v>
      </c>
      <c r="G202" s="4">
        <f>控制台!Q3398</f>
        <v>21000</v>
      </c>
    </row>
    <row r="203" spans="1:7">
      <c r="A203" s="4" t="str">
        <f>控制台!B3399</f>
        <v>goods_speedup_026</v>
      </c>
      <c r="B203" s="4" t="str">
        <f>控制台!D3399</f>
        <v>rush_build_common_15m</v>
      </c>
      <c r="C203" s="4">
        <f>控制台!G3399</f>
        <v>1</v>
      </c>
      <c r="D203" s="4" t="str">
        <f>控制台!J3399</f>
        <v>purple</v>
      </c>
      <c r="E203" s="4">
        <f>控制台!L3399</f>
        <v>-0.2</v>
      </c>
      <c r="F203" s="4" t="str">
        <f>控制台!M3399</f>
        <v>metal</v>
      </c>
      <c r="G203" s="4">
        <f>控制台!Q3399</f>
        <v>36000</v>
      </c>
    </row>
    <row r="204" spans="1:7">
      <c r="A204" s="4" t="str">
        <f>控制台!B3400</f>
        <v>goods_speedup_027</v>
      </c>
      <c r="B204" s="4" t="str">
        <f>控制台!D3400</f>
        <v>rush_build_common_60m</v>
      </c>
      <c r="C204" s="4">
        <f>控制台!G3400</f>
        <v>1</v>
      </c>
      <c r="D204" s="4" t="str">
        <f>控制台!J3400</f>
        <v>purple</v>
      </c>
      <c r="E204" s="4">
        <f>控制台!L3400</f>
        <v>-0.2</v>
      </c>
      <c r="F204" s="4" t="str">
        <f>控制台!M3400</f>
        <v>metal</v>
      </c>
      <c r="G204" s="4">
        <f>控制台!Q3400</f>
        <v>144000</v>
      </c>
    </row>
    <row r="205" spans="1:7">
      <c r="A205" s="4" t="str">
        <f>控制台!B3401</f>
        <v>goods_speedup_028</v>
      </c>
      <c r="B205" s="4" t="str">
        <f>控制台!D3401</f>
        <v>rush_build_common_3m</v>
      </c>
      <c r="C205" s="4">
        <f>控制台!G3401</f>
        <v>15</v>
      </c>
      <c r="D205" s="4" t="str">
        <f>控制台!J3401</f>
        <v>purple</v>
      </c>
      <c r="E205" s="4">
        <f>控制台!L3401</f>
        <v>-0.2</v>
      </c>
      <c r="F205" s="4" t="str">
        <f>控制台!M3401</f>
        <v>metal</v>
      </c>
      <c r="G205" s="4">
        <f>控制台!Q3401</f>
        <v>108000</v>
      </c>
    </row>
    <row r="206" spans="1:7">
      <c r="A206" s="4" t="str">
        <f>控制台!B3402</f>
        <v>goods_speedup_029</v>
      </c>
      <c r="B206" s="4" t="str">
        <f>控制台!D3402</f>
        <v>rush_build_common_15m</v>
      </c>
      <c r="C206" s="4">
        <f>控制台!G3402</f>
        <v>5</v>
      </c>
      <c r="D206" s="4" t="str">
        <f>控制台!J3402</f>
        <v>purple</v>
      </c>
      <c r="E206" s="4">
        <f>控制台!L3402</f>
        <v>-0.2</v>
      </c>
      <c r="F206" s="4" t="str">
        <f>控制台!M3402</f>
        <v>metal</v>
      </c>
      <c r="G206" s="4">
        <f>控制台!Q3402</f>
        <v>180000</v>
      </c>
    </row>
    <row r="207" spans="1:7">
      <c r="A207" s="4" t="str">
        <f>控制台!B3403</f>
        <v>goods_speedup_030</v>
      </c>
      <c r="B207" s="4" t="str">
        <f>控制台!D3403</f>
        <v>rush_build_common_60m</v>
      </c>
      <c r="C207" s="4">
        <f>控制台!G3403</f>
        <v>2</v>
      </c>
      <c r="D207" s="4" t="str">
        <f>控制台!J3403</f>
        <v>purple</v>
      </c>
      <c r="E207" s="4">
        <f>控制台!L3403</f>
        <v>-0.2</v>
      </c>
      <c r="F207" s="4" t="str">
        <f>控制台!M3403</f>
        <v>metal</v>
      </c>
      <c r="G207" s="4">
        <f>控制台!Q3403</f>
        <v>288000</v>
      </c>
    </row>
    <row r="208" spans="1:7">
      <c r="A208" s="4" t="str">
        <f>控制台!B3404</f>
        <v>goods_speedup_031</v>
      </c>
      <c r="B208" s="4" t="str">
        <f>控制台!D3404</f>
        <v>rush_tech_common_3m</v>
      </c>
      <c r="C208" s="4">
        <f>控制台!G3404</f>
        <v>3</v>
      </c>
      <c r="D208" s="4" t="str">
        <f>控制台!J3404</f>
        <v>purple</v>
      </c>
      <c r="E208" s="4">
        <f>控制台!L3404</f>
        <v>-0.2</v>
      </c>
      <c r="F208" s="4" t="str">
        <f>控制台!M3404</f>
        <v>oil</v>
      </c>
      <c r="G208" s="4">
        <f>控制台!Q3404</f>
        <v>21000</v>
      </c>
    </row>
    <row r="209" spans="1:7">
      <c r="A209" s="4" t="str">
        <f>控制台!B3405</f>
        <v>goods_speedup_032</v>
      </c>
      <c r="B209" s="4" t="str">
        <f>控制台!D3405</f>
        <v>rush_tech_common_15m</v>
      </c>
      <c r="C209" s="4">
        <f>控制台!G3405</f>
        <v>1</v>
      </c>
      <c r="D209" s="4" t="str">
        <f>控制台!J3405</f>
        <v>purple</v>
      </c>
      <c r="E209" s="4">
        <f>控制台!L3405</f>
        <v>-0.2</v>
      </c>
      <c r="F209" s="4" t="str">
        <f>控制台!M3405</f>
        <v>oil</v>
      </c>
      <c r="G209" s="4">
        <f>控制台!Q3405</f>
        <v>36000</v>
      </c>
    </row>
    <row r="210" spans="1:7">
      <c r="A210" s="4" t="str">
        <f>控制台!B3406</f>
        <v>goods_speedup_033</v>
      </c>
      <c r="B210" s="4" t="str">
        <f>控制台!D3406</f>
        <v>rush_tech_common_60m</v>
      </c>
      <c r="C210" s="4">
        <f>控制台!G3406</f>
        <v>1</v>
      </c>
      <c r="D210" s="4" t="str">
        <f>控制台!J3406</f>
        <v>purple</v>
      </c>
      <c r="E210" s="4">
        <f>控制台!L3406</f>
        <v>-0.2</v>
      </c>
      <c r="F210" s="4" t="str">
        <f>控制台!M3406</f>
        <v>oil</v>
      </c>
      <c r="G210" s="4">
        <f>控制台!Q3406</f>
        <v>144000</v>
      </c>
    </row>
    <row r="211" spans="1:7">
      <c r="A211" s="4" t="str">
        <f>控制台!B3407</f>
        <v>goods_speedup_034</v>
      </c>
      <c r="B211" s="4" t="str">
        <f>控制台!D3407</f>
        <v>rush_tech_common_3m</v>
      </c>
      <c r="C211" s="4">
        <f>控制台!G3407</f>
        <v>15</v>
      </c>
      <c r="D211" s="4" t="str">
        <f>控制台!J3407</f>
        <v>purple</v>
      </c>
      <c r="E211" s="4">
        <f>控制台!L3407</f>
        <v>-0.2</v>
      </c>
      <c r="F211" s="4" t="str">
        <f>控制台!M3407</f>
        <v>oil</v>
      </c>
      <c r="G211" s="4">
        <f>控制台!Q3407</f>
        <v>108000</v>
      </c>
    </row>
    <row r="212" spans="1:7">
      <c r="A212" s="4" t="str">
        <f>控制台!B3408</f>
        <v>goods_speedup_035</v>
      </c>
      <c r="B212" s="4" t="str">
        <f>控制台!D3408</f>
        <v>rush_tech_common_15m</v>
      </c>
      <c r="C212" s="4">
        <f>控制台!G3408</f>
        <v>5</v>
      </c>
      <c r="D212" s="4" t="str">
        <f>控制台!J3408</f>
        <v>purple</v>
      </c>
      <c r="E212" s="4">
        <f>控制台!L3408</f>
        <v>-0.2</v>
      </c>
      <c r="F212" s="4" t="str">
        <f>控制台!M3408</f>
        <v>oil</v>
      </c>
      <c r="G212" s="4">
        <f>控制台!Q3408</f>
        <v>180000</v>
      </c>
    </row>
    <row r="213" spans="1:7">
      <c r="A213" s="4" t="str">
        <f>控制台!B3409</f>
        <v>goods_speedup_036</v>
      </c>
      <c r="B213" s="4" t="str">
        <f>控制台!D3409</f>
        <v>rush_tech_common_60m</v>
      </c>
      <c r="C213" s="4">
        <f>控制台!G3409</f>
        <v>2</v>
      </c>
      <c r="D213" s="4" t="str">
        <f>控制台!J3409</f>
        <v>purple</v>
      </c>
      <c r="E213" s="4">
        <f>控制台!L3409</f>
        <v>-0.2</v>
      </c>
      <c r="F213" s="4" t="str">
        <f>控制台!M3409</f>
        <v>oil</v>
      </c>
      <c r="G213" s="4">
        <f>控制台!Q3409</f>
        <v>288000</v>
      </c>
    </row>
    <row r="214" spans="1:7">
      <c r="A214" s="4" t="str">
        <f>控制台!B3410</f>
        <v>goods_speedup_037</v>
      </c>
      <c r="B214" s="4" t="str">
        <f>控制台!D3410</f>
        <v>rush_common_3m</v>
      </c>
      <c r="C214" s="4">
        <f>控制台!G3410</f>
        <v>3</v>
      </c>
      <c r="D214" s="4" t="str">
        <f>控制台!J3410</f>
        <v>yellow</v>
      </c>
      <c r="E214" s="4">
        <f>控制台!L3410</f>
        <v>-0.5</v>
      </c>
      <c r="F214" s="4" t="str">
        <f>控制台!M3410</f>
        <v>l_coin</v>
      </c>
      <c r="G214" s="4">
        <f>控制台!Q3410</f>
        <v>13</v>
      </c>
    </row>
    <row r="215" spans="1:7">
      <c r="A215" s="4" t="str">
        <f>控制台!B3411</f>
        <v>goods_speedup_038</v>
      </c>
      <c r="B215" s="4" t="str">
        <f>控制台!D3411</f>
        <v>rush_common_15m</v>
      </c>
      <c r="C215" s="4">
        <f>控制台!G3411</f>
        <v>1</v>
      </c>
      <c r="D215" s="4" t="str">
        <f>控制台!J3411</f>
        <v>yellow</v>
      </c>
      <c r="E215" s="4">
        <f>控制台!L3411</f>
        <v>-0.5</v>
      </c>
      <c r="F215" s="4" t="str">
        <f>控制台!M3411</f>
        <v>l_coin</v>
      </c>
      <c r="G215" s="4">
        <f>控制台!Q3411</f>
        <v>22</v>
      </c>
    </row>
    <row r="216" spans="1:7">
      <c r="A216" s="4" t="str">
        <f>控制台!B3412</f>
        <v>goods_speedup_039</v>
      </c>
      <c r="B216" s="4" t="str">
        <f>控制台!D3412</f>
        <v>rush_common_60m</v>
      </c>
      <c r="C216" s="4">
        <f>控制台!G3412</f>
        <v>1</v>
      </c>
      <c r="D216" s="4" t="str">
        <f>控制台!J3412</f>
        <v>yellow</v>
      </c>
      <c r="E216" s="4">
        <f>控制台!L3412</f>
        <v>-0.5</v>
      </c>
      <c r="F216" s="4" t="str">
        <f>控制台!M3412</f>
        <v>l_coin</v>
      </c>
      <c r="G216" s="4">
        <f>控制台!Q3412</f>
        <v>90</v>
      </c>
    </row>
    <row r="217" spans="1:7">
      <c r="A217" s="4" t="str">
        <f>控制台!B3413</f>
        <v>goods_speedup_040</v>
      </c>
      <c r="B217" s="4" t="str">
        <f>控制台!D3413</f>
        <v>rush_common_3m</v>
      </c>
      <c r="C217" s="4">
        <f>控制台!G3413</f>
        <v>15</v>
      </c>
      <c r="D217" s="4" t="str">
        <f>控制台!J3413</f>
        <v>purple</v>
      </c>
      <c r="E217" s="4">
        <f>控制台!L3413</f>
        <v>-0.4</v>
      </c>
      <c r="F217" s="4" t="str">
        <f>控制台!M3413</f>
        <v>l_coin</v>
      </c>
      <c r="G217" s="4">
        <f>控制台!Q3413</f>
        <v>81</v>
      </c>
    </row>
    <row r="218" spans="1:7">
      <c r="A218" s="4" t="str">
        <f>控制台!B3414</f>
        <v>goods_speedup_041</v>
      </c>
      <c r="B218" s="4" t="str">
        <f>控制台!D3414</f>
        <v>rush_common_15m</v>
      </c>
      <c r="C218" s="4">
        <f>控制台!G3414</f>
        <v>5</v>
      </c>
      <c r="D218" s="4" t="str">
        <f>控制台!J3414</f>
        <v>purple</v>
      </c>
      <c r="E218" s="4">
        <f>控制台!L3414</f>
        <v>-0.4</v>
      </c>
      <c r="F218" s="4" t="str">
        <f>控制台!M3414</f>
        <v>l_coin</v>
      </c>
      <c r="G218" s="4">
        <f>控制台!Q3414</f>
        <v>135</v>
      </c>
    </row>
    <row r="219" spans="1:7">
      <c r="A219" s="4" t="str">
        <f>控制台!B3415</f>
        <v>goods_speedup_042</v>
      </c>
      <c r="B219" s="4" t="str">
        <f>控制台!D3415</f>
        <v>rush_common_60m</v>
      </c>
      <c r="C219" s="4">
        <f>控制台!G3415</f>
        <v>2</v>
      </c>
      <c r="D219" s="4" t="str">
        <f>控制台!J3415</f>
        <v>purple</v>
      </c>
      <c r="E219" s="4">
        <f>控制台!L3415</f>
        <v>-0.4</v>
      </c>
      <c r="F219" s="4" t="str">
        <f>控制台!M3415</f>
        <v>l_coin</v>
      </c>
      <c r="G219" s="4">
        <f>控制台!Q3415</f>
        <v>216</v>
      </c>
    </row>
    <row r="220" spans="1:7">
      <c r="A220" s="4" t="str">
        <f>控制台!B3416</f>
        <v>goods_speedup_043</v>
      </c>
      <c r="B220" s="4" t="str">
        <f>控制台!D3416</f>
        <v>rush_build_common_3m</v>
      </c>
      <c r="C220" s="4">
        <f>控制台!G3416</f>
        <v>3</v>
      </c>
      <c r="D220" s="4" t="str">
        <f>控制台!J3416</f>
        <v>yellow</v>
      </c>
      <c r="E220" s="4">
        <f>控制台!L3416</f>
        <v>-0.5</v>
      </c>
      <c r="F220" s="4" t="str">
        <f>控制台!M3416</f>
        <v>l_coin</v>
      </c>
      <c r="G220" s="4">
        <f>控制台!Q3416</f>
        <v>13</v>
      </c>
    </row>
    <row r="221" spans="1:7">
      <c r="A221" s="4" t="str">
        <f>控制台!B3417</f>
        <v>goods_speedup_044</v>
      </c>
      <c r="B221" s="4" t="str">
        <f>控制台!D3417</f>
        <v>rush_build_common_15m</v>
      </c>
      <c r="C221" s="4">
        <f>控制台!G3417</f>
        <v>1</v>
      </c>
      <c r="D221" s="4" t="str">
        <f>控制台!J3417</f>
        <v>yellow</v>
      </c>
      <c r="E221" s="4">
        <f>控制台!L3417</f>
        <v>-0.5</v>
      </c>
      <c r="F221" s="4" t="str">
        <f>控制台!M3417</f>
        <v>l_coin</v>
      </c>
      <c r="G221" s="4">
        <f>控制台!Q3417</f>
        <v>22</v>
      </c>
    </row>
    <row r="222" spans="1:7">
      <c r="A222" s="4" t="str">
        <f>控制台!B3418</f>
        <v>goods_speedup_045</v>
      </c>
      <c r="B222" s="4" t="str">
        <f>控制台!D3418</f>
        <v>rush_build_common_60m</v>
      </c>
      <c r="C222" s="4">
        <f>控制台!G3418</f>
        <v>1</v>
      </c>
      <c r="D222" s="4" t="str">
        <f>控制台!J3418</f>
        <v>yellow</v>
      </c>
      <c r="E222" s="4">
        <f>控制台!L3418</f>
        <v>-0.5</v>
      </c>
      <c r="F222" s="4" t="str">
        <f>控制台!M3418</f>
        <v>l_coin</v>
      </c>
      <c r="G222" s="4">
        <f>控制台!Q3418</f>
        <v>90</v>
      </c>
    </row>
    <row r="223" spans="1:7">
      <c r="A223" s="4" t="str">
        <f>控制台!B3419</f>
        <v>goods_speedup_046</v>
      </c>
      <c r="B223" s="4" t="str">
        <f>控制台!D3419</f>
        <v>rush_build_common_3m</v>
      </c>
      <c r="C223" s="4">
        <f>控制台!G3419</f>
        <v>15</v>
      </c>
      <c r="D223" s="4" t="str">
        <f>控制台!J3419</f>
        <v>purple</v>
      </c>
      <c r="E223" s="4">
        <f>控制台!L3419</f>
        <v>-0.4</v>
      </c>
      <c r="F223" s="4" t="str">
        <f>控制台!M3419</f>
        <v>l_coin</v>
      </c>
      <c r="G223" s="4">
        <f>控制台!Q3419</f>
        <v>81</v>
      </c>
    </row>
    <row r="224" spans="1:7">
      <c r="A224" s="4" t="str">
        <f>控制台!B3420</f>
        <v>goods_speedup_047</v>
      </c>
      <c r="B224" s="4" t="str">
        <f>控制台!D3420</f>
        <v>rush_build_common_15m</v>
      </c>
      <c r="C224" s="4">
        <f>控制台!G3420</f>
        <v>5</v>
      </c>
      <c r="D224" s="4" t="str">
        <f>控制台!J3420</f>
        <v>purple</v>
      </c>
      <c r="E224" s="4">
        <f>控制台!L3420</f>
        <v>-0.4</v>
      </c>
      <c r="F224" s="4" t="str">
        <f>控制台!M3420</f>
        <v>l_coin</v>
      </c>
      <c r="G224" s="4">
        <f>控制台!Q3420</f>
        <v>135</v>
      </c>
    </row>
    <row r="225" spans="1:7">
      <c r="A225" s="4" t="str">
        <f>控制台!B3421</f>
        <v>goods_speedup_048</v>
      </c>
      <c r="B225" s="4" t="str">
        <f>控制台!D3421</f>
        <v>rush_build_common_60m</v>
      </c>
      <c r="C225" s="4">
        <f>控制台!G3421</f>
        <v>2</v>
      </c>
      <c r="D225" s="4" t="str">
        <f>控制台!J3421</f>
        <v>purple</v>
      </c>
      <c r="E225" s="4">
        <f>控制台!L3421</f>
        <v>-0.4</v>
      </c>
      <c r="F225" s="4" t="str">
        <f>控制台!M3421</f>
        <v>l_coin</v>
      </c>
      <c r="G225" s="4">
        <f>控制台!Q3421</f>
        <v>216</v>
      </c>
    </row>
    <row r="226" spans="1:7">
      <c r="A226" s="4" t="str">
        <f>控制台!B3422</f>
        <v>goods_speedup_049</v>
      </c>
      <c r="B226" s="4" t="str">
        <f>控制台!D3422</f>
        <v>rush_tech_common_3m</v>
      </c>
      <c r="C226" s="4">
        <f>控制台!G3422</f>
        <v>3</v>
      </c>
      <c r="D226" s="4" t="str">
        <f>控制台!J3422</f>
        <v>yellow</v>
      </c>
      <c r="E226" s="4">
        <f>控制台!L3422</f>
        <v>-0.5</v>
      </c>
      <c r="F226" s="4" t="str">
        <f>控制台!M3422</f>
        <v>l_coin</v>
      </c>
      <c r="G226" s="4">
        <f>控制台!Q3422</f>
        <v>13</v>
      </c>
    </row>
    <row r="227" spans="1:7">
      <c r="A227" s="4" t="str">
        <f>控制台!B3423</f>
        <v>goods_speedup_050</v>
      </c>
      <c r="B227" s="4" t="str">
        <f>控制台!D3423</f>
        <v>rush_tech_common_15m</v>
      </c>
      <c r="C227" s="4">
        <f>控制台!G3423</f>
        <v>1</v>
      </c>
      <c r="D227" s="4" t="str">
        <f>控制台!J3423</f>
        <v>yellow</v>
      </c>
      <c r="E227" s="4">
        <f>控制台!L3423</f>
        <v>-0.5</v>
      </c>
      <c r="F227" s="4" t="str">
        <f>控制台!M3423</f>
        <v>l_coin</v>
      </c>
      <c r="G227" s="4">
        <f>控制台!Q3423</f>
        <v>22</v>
      </c>
    </row>
    <row r="228" spans="1:7">
      <c r="A228" s="4" t="str">
        <f>控制台!B3424</f>
        <v>goods_speedup_051</v>
      </c>
      <c r="B228" s="4" t="str">
        <f>控制台!D3424</f>
        <v>rush_tech_common_60m</v>
      </c>
      <c r="C228" s="4">
        <f>控制台!G3424</f>
        <v>1</v>
      </c>
      <c r="D228" s="4" t="str">
        <f>控制台!J3424</f>
        <v>yellow</v>
      </c>
      <c r="E228" s="4">
        <f>控制台!L3424</f>
        <v>-0.5</v>
      </c>
      <c r="F228" s="4" t="str">
        <f>控制台!M3424</f>
        <v>l_coin</v>
      </c>
      <c r="G228" s="4">
        <f>控制台!Q3424</f>
        <v>90</v>
      </c>
    </row>
    <row r="229" spans="1:7">
      <c r="A229" s="4" t="str">
        <f>控制台!B3425</f>
        <v>goods_speedup_052</v>
      </c>
      <c r="B229" s="4" t="str">
        <f>控制台!D3425</f>
        <v>rush_tech_common_3m</v>
      </c>
      <c r="C229" s="4">
        <f>控制台!G3425</f>
        <v>15</v>
      </c>
      <c r="D229" s="4" t="str">
        <f>控制台!J3425</f>
        <v>purple</v>
      </c>
      <c r="E229" s="4">
        <f>控制台!L3425</f>
        <v>-0.4</v>
      </c>
      <c r="F229" s="4" t="str">
        <f>控制台!M3425</f>
        <v>l_coin</v>
      </c>
      <c r="G229" s="4">
        <f>控制台!Q3425</f>
        <v>81</v>
      </c>
    </row>
    <row r="230" spans="1:7">
      <c r="A230" s="4" t="str">
        <f>控制台!B3426</f>
        <v>goods_speedup_053</v>
      </c>
      <c r="B230" s="4" t="str">
        <f>控制台!D3426</f>
        <v>rush_tech_common_15m</v>
      </c>
      <c r="C230" s="4">
        <f>控制台!G3426</f>
        <v>5</v>
      </c>
      <c r="D230" s="4" t="str">
        <f>控制台!J3426</f>
        <v>purple</v>
      </c>
      <c r="E230" s="4">
        <f>控制台!L3426</f>
        <v>-0.4</v>
      </c>
      <c r="F230" s="4" t="str">
        <f>控制台!M3426</f>
        <v>l_coin</v>
      </c>
      <c r="G230" s="4">
        <f>控制台!Q3426</f>
        <v>135</v>
      </c>
    </row>
    <row r="231" spans="1:7">
      <c r="A231" s="4" t="str">
        <f>控制台!B3427</f>
        <v>goods_speedup_054</v>
      </c>
      <c r="B231" s="4" t="str">
        <f>控制台!D3427</f>
        <v>rush_tech_common_60m</v>
      </c>
      <c r="C231" s="4">
        <f>控制台!G3427</f>
        <v>2</v>
      </c>
      <c r="D231" s="4" t="str">
        <f>控制台!J3427</f>
        <v>purple</v>
      </c>
      <c r="E231" s="4">
        <f>控制台!L3427</f>
        <v>-0.4</v>
      </c>
      <c r="F231" s="4" t="str">
        <f>控制台!M3427</f>
        <v>l_coin</v>
      </c>
      <c r="G231" s="4">
        <f>控制台!Q3427</f>
        <v>216</v>
      </c>
    </row>
    <row r="232" spans="1:7">
      <c r="A232" s="4" t="str">
        <f>控制台!B3428</f>
        <v>goods_speedup_055</v>
      </c>
      <c r="B232" s="4" t="str">
        <f>控制台!D3428</f>
        <v>rush_common_3m</v>
      </c>
      <c r="C232" s="4">
        <f>控制台!G3428</f>
        <v>3</v>
      </c>
      <c r="D232" s="4" t="str">
        <f>控制台!J3428</f>
        <v>yellow</v>
      </c>
      <c r="E232" s="4">
        <f>控制台!L3428</f>
        <v>-0.8</v>
      </c>
      <c r="F232" s="4" t="str">
        <f>控制台!M3428</f>
        <v>l_coin</v>
      </c>
      <c r="G232" s="4">
        <f>控制台!Q3428</f>
        <v>5</v>
      </c>
    </row>
    <row r="233" spans="1:7">
      <c r="A233" s="4" t="str">
        <f>控制台!B3429</f>
        <v>goods_speedup_056</v>
      </c>
      <c r="B233" s="4" t="str">
        <f>控制台!D3429</f>
        <v>rush_common_15m</v>
      </c>
      <c r="C233" s="4">
        <f>控制台!G3429</f>
        <v>1</v>
      </c>
      <c r="D233" s="4" t="str">
        <f>控制台!J3429</f>
        <v>yellow</v>
      </c>
      <c r="E233" s="4">
        <f>控制台!L3429</f>
        <v>-0.7</v>
      </c>
      <c r="F233" s="4" t="str">
        <f>控制台!M3429</f>
        <v>l_coin</v>
      </c>
      <c r="G233" s="4">
        <f>控制台!Q3429</f>
        <v>13</v>
      </c>
    </row>
    <row r="234" spans="1:7">
      <c r="A234" s="4" t="str">
        <f>控制台!B3430</f>
        <v>goods_speedup_057</v>
      </c>
      <c r="B234" s="4" t="str">
        <f>控制台!D3430</f>
        <v>rush_common_60m</v>
      </c>
      <c r="C234" s="4">
        <f>控制台!G3430</f>
        <v>1</v>
      </c>
      <c r="D234" s="4" t="str">
        <f>控制台!J3430</f>
        <v>yellow</v>
      </c>
      <c r="E234" s="4">
        <f>控制台!L3430</f>
        <v>-0.7</v>
      </c>
      <c r="F234" s="4" t="str">
        <f>控制台!M3430</f>
        <v>l_coin</v>
      </c>
      <c r="G234" s="4">
        <f>控制台!Q3430</f>
        <v>54</v>
      </c>
    </row>
    <row r="235" spans="1:7">
      <c r="A235" s="4" t="str">
        <f>控制台!B3431</f>
        <v>goods_speedup_058</v>
      </c>
      <c r="B235" s="4" t="str">
        <f>控制台!D3431</f>
        <v>rush_common_3m</v>
      </c>
      <c r="C235" s="4">
        <f>控制台!G3431</f>
        <v>15</v>
      </c>
      <c r="D235" s="4" t="str">
        <f>控制台!J3431</f>
        <v>yellow</v>
      </c>
      <c r="E235" s="4">
        <f>控制台!L3431</f>
        <v>-0.6</v>
      </c>
      <c r="F235" s="4" t="str">
        <f>控制台!M3431</f>
        <v>l_coin</v>
      </c>
      <c r="G235" s="4">
        <f>控制台!Q3431</f>
        <v>54</v>
      </c>
    </row>
    <row r="236" spans="1:7">
      <c r="A236" s="4" t="str">
        <f>控制台!B3432</f>
        <v>goods_speedup_059</v>
      </c>
      <c r="B236" s="4" t="str">
        <f>控制台!D3432</f>
        <v>rush_common_15m</v>
      </c>
      <c r="C236" s="4">
        <f>控制台!G3432</f>
        <v>5</v>
      </c>
      <c r="D236" s="4" t="str">
        <f>控制台!J3432</f>
        <v>yellow</v>
      </c>
      <c r="E236" s="4">
        <f>控制台!L3432</f>
        <v>-0.6</v>
      </c>
      <c r="F236" s="4" t="str">
        <f>控制台!M3432</f>
        <v>l_coin</v>
      </c>
      <c r="G236" s="4">
        <f>控制台!Q3432</f>
        <v>90</v>
      </c>
    </row>
    <row r="237" spans="1:7">
      <c r="A237" s="4" t="str">
        <f>控制台!B3433</f>
        <v>goods_speedup_060</v>
      </c>
      <c r="B237" s="4" t="str">
        <f>控制台!D3433</f>
        <v>rush_common_60m</v>
      </c>
      <c r="C237" s="4">
        <f>控制台!G3433</f>
        <v>2</v>
      </c>
      <c r="D237" s="4" t="str">
        <f>控制台!J3433</f>
        <v>yellow</v>
      </c>
      <c r="E237" s="4">
        <f>控制台!L3433</f>
        <v>-0.6</v>
      </c>
      <c r="F237" s="4" t="str">
        <f>控制台!M3433</f>
        <v>l_coin</v>
      </c>
      <c r="G237" s="4">
        <f>控制台!Q3433</f>
        <v>144</v>
      </c>
    </row>
    <row r="238" spans="1:7">
      <c r="A238" s="4" t="str">
        <f>控制台!B3434</f>
        <v>goods_speedup_061</v>
      </c>
      <c r="B238" s="4" t="str">
        <f>控制台!D3434</f>
        <v>rush_build_common_3m</v>
      </c>
      <c r="C238" s="4">
        <f>控制台!G3434</f>
        <v>3</v>
      </c>
      <c r="D238" s="4" t="str">
        <f>控制台!J3434</f>
        <v>yellow</v>
      </c>
      <c r="E238" s="4">
        <f>控制台!L3434</f>
        <v>-0.8</v>
      </c>
      <c r="F238" s="4" t="str">
        <f>控制台!M3434</f>
        <v>l_coin</v>
      </c>
      <c r="G238" s="4">
        <f>控制台!Q3434</f>
        <v>5</v>
      </c>
    </row>
    <row r="239" spans="1:7">
      <c r="A239" s="4" t="str">
        <f>控制台!B3435</f>
        <v>goods_speedup_062</v>
      </c>
      <c r="B239" s="4" t="str">
        <f>控制台!D3435</f>
        <v>rush_build_common_15m</v>
      </c>
      <c r="C239" s="4">
        <f>控制台!G3435</f>
        <v>1</v>
      </c>
      <c r="D239" s="4" t="str">
        <f>控制台!J3435</f>
        <v>yellow</v>
      </c>
      <c r="E239" s="4">
        <f>控制台!L3435</f>
        <v>-0.7</v>
      </c>
      <c r="F239" s="4" t="str">
        <f>控制台!M3435</f>
        <v>l_coin</v>
      </c>
      <c r="G239" s="4">
        <f>控制台!Q3435</f>
        <v>13</v>
      </c>
    </row>
    <row r="240" spans="1:7">
      <c r="A240" s="4" t="str">
        <f>控制台!B3436</f>
        <v>goods_speedup_063</v>
      </c>
      <c r="B240" s="4" t="str">
        <f>控制台!D3436</f>
        <v>rush_build_common_60m</v>
      </c>
      <c r="C240" s="4">
        <f>控制台!G3436</f>
        <v>1</v>
      </c>
      <c r="D240" s="4" t="str">
        <f>控制台!J3436</f>
        <v>yellow</v>
      </c>
      <c r="E240" s="4">
        <f>控制台!L3436</f>
        <v>-0.7</v>
      </c>
      <c r="F240" s="4" t="str">
        <f>控制台!M3436</f>
        <v>l_coin</v>
      </c>
      <c r="G240" s="4">
        <f>控制台!Q3436</f>
        <v>54</v>
      </c>
    </row>
    <row r="241" spans="1:7">
      <c r="A241" s="4" t="str">
        <f>控制台!B3437</f>
        <v>goods_speedup_064</v>
      </c>
      <c r="B241" s="4" t="str">
        <f>控制台!D3437</f>
        <v>rush_build_common_3m</v>
      </c>
      <c r="C241" s="4">
        <f>控制台!G3437</f>
        <v>15</v>
      </c>
      <c r="D241" s="4" t="str">
        <f>控制台!J3437</f>
        <v>yellow</v>
      </c>
      <c r="E241" s="4">
        <f>控制台!L3437</f>
        <v>-0.6</v>
      </c>
      <c r="F241" s="4" t="str">
        <f>控制台!M3437</f>
        <v>l_coin</v>
      </c>
      <c r="G241" s="4">
        <f>控制台!Q3437</f>
        <v>54</v>
      </c>
    </row>
    <row r="242" spans="1:7">
      <c r="A242" s="4" t="str">
        <f>控制台!B3438</f>
        <v>goods_speedup_065</v>
      </c>
      <c r="B242" s="4" t="str">
        <f>控制台!D3438</f>
        <v>rush_build_common_15m</v>
      </c>
      <c r="C242" s="4">
        <f>控制台!G3438</f>
        <v>5</v>
      </c>
      <c r="D242" s="4" t="str">
        <f>控制台!J3438</f>
        <v>yellow</v>
      </c>
      <c r="E242" s="4">
        <f>控制台!L3438</f>
        <v>-0.6</v>
      </c>
      <c r="F242" s="4" t="str">
        <f>控制台!M3438</f>
        <v>l_coin</v>
      </c>
      <c r="G242" s="4">
        <f>控制台!Q3438</f>
        <v>90</v>
      </c>
    </row>
    <row r="243" spans="1:7">
      <c r="A243" s="4" t="str">
        <f>控制台!B3439</f>
        <v>goods_speedup_066</v>
      </c>
      <c r="B243" s="4" t="str">
        <f>控制台!D3439</f>
        <v>rush_build_common_60m</v>
      </c>
      <c r="C243" s="4">
        <f>控制台!G3439</f>
        <v>2</v>
      </c>
      <c r="D243" s="4" t="str">
        <f>控制台!J3439</f>
        <v>yellow</v>
      </c>
      <c r="E243" s="4">
        <f>控制台!L3439</f>
        <v>-0.6</v>
      </c>
      <c r="F243" s="4" t="str">
        <f>控制台!M3439</f>
        <v>l_coin</v>
      </c>
      <c r="G243" s="4">
        <f>控制台!Q3439</f>
        <v>144</v>
      </c>
    </row>
    <row r="244" spans="1:7">
      <c r="A244" s="4" t="str">
        <f>控制台!B3440</f>
        <v>goods_speedup_067</v>
      </c>
      <c r="B244" s="4" t="str">
        <f>控制台!D3440</f>
        <v>rush_tech_common_3m</v>
      </c>
      <c r="C244" s="4">
        <f>控制台!G3440</f>
        <v>3</v>
      </c>
      <c r="D244" s="4" t="str">
        <f>控制台!J3440</f>
        <v>yellow</v>
      </c>
      <c r="E244" s="4">
        <f>控制台!L3440</f>
        <v>-0.8</v>
      </c>
      <c r="F244" s="4" t="str">
        <f>控制台!M3440</f>
        <v>l_coin</v>
      </c>
      <c r="G244" s="4">
        <f>控制台!Q3440</f>
        <v>5</v>
      </c>
    </row>
    <row r="245" spans="1:7">
      <c r="A245" s="4" t="str">
        <f>控制台!B3441</f>
        <v>goods_speedup_068</v>
      </c>
      <c r="B245" s="4" t="str">
        <f>控制台!D3441</f>
        <v>rush_tech_common_15m</v>
      </c>
      <c r="C245" s="4">
        <f>控制台!G3441</f>
        <v>1</v>
      </c>
      <c r="D245" s="4" t="str">
        <f>控制台!J3441</f>
        <v>yellow</v>
      </c>
      <c r="E245" s="4">
        <f>控制台!L3441</f>
        <v>-0.7</v>
      </c>
      <c r="F245" s="4" t="str">
        <f>控制台!M3441</f>
        <v>l_coin</v>
      </c>
      <c r="G245" s="4">
        <f>控制台!Q3441</f>
        <v>13</v>
      </c>
    </row>
    <row r="246" spans="1:7">
      <c r="A246" s="4" t="str">
        <f>控制台!B3442</f>
        <v>goods_speedup_069</v>
      </c>
      <c r="B246" s="4" t="str">
        <f>控制台!D3442</f>
        <v>rush_tech_common_60m</v>
      </c>
      <c r="C246" s="4">
        <f>控制台!G3442</f>
        <v>1</v>
      </c>
      <c r="D246" s="4" t="str">
        <f>控制台!J3442</f>
        <v>yellow</v>
      </c>
      <c r="E246" s="4">
        <f>控制台!L3442</f>
        <v>-0.7</v>
      </c>
      <c r="F246" s="4" t="str">
        <f>控制台!M3442</f>
        <v>l_coin</v>
      </c>
      <c r="G246" s="4">
        <f>控制台!Q3442</f>
        <v>54</v>
      </c>
    </row>
    <row r="247" spans="1:7">
      <c r="A247" s="4" t="str">
        <f>控制台!B3443</f>
        <v>goods_speedup_070</v>
      </c>
      <c r="B247" s="4" t="str">
        <f>控制台!D3443</f>
        <v>rush_tech_common_3m</v>
      </c>
      <c r="C247" s="4">
        <f>控制台!G3443</f>
        <v>15</v>
      </c>
      <c r="D247" s="4" t="str">
        <f>控制台!J3443</f>
        <v>yellow</v>
      </c>
      <c r="E247" s="4">
        <f>控制台!L3443</f>
        <v>-0.6</v>
      </c>
      <c r="F247" s="4" t="str">
        <f>控制台!M3443</f>
        <v>l_coin</v>
      </c>
      <c r="G247" s="4">
        <f>控制台!Q3443</f>
        <v>54</v>
      </c>
    </row>
    <row r="248" spans="1:7">
      <c r="A248" s="4" t="str">
        <f>控制台!B3444</f>
        <v>goods_speedup_071</v>
      </c>
      <c r="B248" s="4" t="str">
        <f>控制台!D3444</f>
        <v>rush_tech_common_15m</v>
      </c>
      <c r="C248" s="4">
        <f>控制台!G3444</f>
        <v>5</v>
      </c>
      <c r="D248" s="4" t="str">
        <f>控制台!J3444</f>
        <v>yellow</v>
      </c>
      <c r="E248" s="4">
        <f>控制台!L3444</f>
        <v>-0.6</v>
      </c>
      <c r="F248" s="4" t="str">
        <f>控制台!M3444</f>
        <v>l_coin</v>
      </c>
      <c r="G248" s="4">
        <f>控制台!Q3444</f>
        <v>90</v>
      </c>
    </row>
    <row r="249" spans="1:7">
      <c r="A249" s="4" t="str">
        <f>控制台!B3445</f>
        <v>goods_speedup_072</v>
      </c>
      <c r="B249" s="4" t="str">
        <f>控制台!D3445</f>
        <v>rush_tech_common_60m</v>
      </c>
      <c r="C249" s="4">
        <f>控制台!G3445</f>
        <v>2</v>
      </c>
      <c r="D249" s="4" t="str">
        <f>控制台!J3445</f>
        <v>yellow</v>
      </c>
      <c r="E249" s="4">
        <f>控制台!L3445</f>
        <v>-0.6</v>
      </c>
      <c r="F249" s="4" t="str">
        <f>控制台!M3445</f>
        <v>l_coin</v>
      </c>
      <c r="G249" s="4">
        <f>控制台!Q3445</f>
        <v>144</v>
      </c>
    </row>
    <row r="250" spans="1:7">
      <c r="A250" s="4" t="str">
        <f>控制台!B3461</f>
        <v>goods_others_001</v>
      </c>
      <c r="B250" s="4" t="str">
        <f>控制台!D3461</f>
        <v>top_key</v>
      </c>
      <c r="C250" s="4">
        <f>控制台!G3461</f>
        <v>2</v>
      </c>
      <c r="D250" s="4" t="str">
        <f>控制台!R3461</f>
        <v>purple</v>
      </c>
      <c r="E250" s="4">
        <f>控制台!T3461</f>
        <v>-0.1</v>
      </c>
      <c r="F250" s="4" t="str">
        <f>控制台!U3461</f>
        <v>gold</v>
      </c>
      <c r="G250" s="4">
        <f>控制台!Y3461</f>
        <v>1620000</v>
      </c>
    </row>
    <row r="251" spans="1:7">
      <c r="A251" s="4" t="str">
        <f>控制台!B3462</f>
        <v>goods_others_002</v>
      </c>
      <c r="B251" s="4" t="str">
        <f>控制台!D3462</f>
        <v>top_key</v>
      </c>
      <c r="C251" s="4">
        <f>控制台!G3462</f>
        <v>4</v>
      </c>
      <c r="D251" s="4" t="str">
        <f>控制台!R3462</f>
        <v>purple</v>
      </c>
      <c r="E251" s="4">
        <f>控制台!T3462</f>
        <v>-0.1</v>
      </c>
      <c r="F251" s="4" t="str">
        <f>控制台!U3462</f>
        <v>gold</v>
      </c>
      <c r="G251" s="4">
        <f>控制台!Y3462</f>
        <v>3240000</v>
      </c>
    </row>
    <row r="252" spans="1:7">
      <c r="A252" s="4" t="str">
        <f>控制台!B3463</f>
        <v>goods_others_003</v>
      </c>
      <c r="B252" s="4" t="str">
        <f>控制台!D3463</f>
        <v>common_equipment_exp</v>
      </c>
      <c r="C252" s="4">
        <f>控制台!G3463</f>
        <v>80000</v>
      </c>
      <c r="D252" s="4" t="str">
        <f>控制台!R3463</f>
        <v>purple</v>
      </c>
      <c r="E252" s="4">
        <f>控制台!T3463</f>
        <v>-0.1</v>
      </c>
      <c r="F252" s="4" t="str">
        <f>控制台!U3463</f>
        <v>gold</v>
      </c>
      <c r="G252" s="4">
        <f>控制台!Y3463</f>
        <v>432000</v>
      </c>
    </row>
    <row r="253" spans="1:7">
      <c r="A253" s="4" t="str">
        <f>控制台!B3464</f>
        <v>goods_others_004</v>
      </c>
      <c r="B253" s="4" t="str">
        <f>控制台!D3464</f>
        <v>common_equipment_exp</v>
      </c>
      <c r="C253" s="4">
        <f>控制台!G3464</f>
        <v>160000</v>
      </c>
      <c r="D253" s="4" t="str">
        <f>控制台!R3464</f>
        <v>purple</v>
      </c>
      <c r="E253" s="4">
        <f>控制台!T3464</f>
        <v>-0.1</v>
      </c>
      <c r="F253" s="4" t="str">
        <f>控制台!U3464</f>
        <v>metal</v>
      </c>
      <c r="G253" s="4">
        <f>控制台!Y3464</f>
        <v>864000</v>
      </c>
    </row>
    <row r="254" spans="1:7">
      <c r="A254" s="4" t="str">
        <f>控制台!B3465</f>
        <v>goods_others_005</v>
      </c>
      <c r="B254" s="4" t="str">
        <f>控制台!D3465</f>
        <v>common_equipment_exp</v>
      </c>
      <c r="C254" s="4">
        <f>控制台!G3465</f>
        <v>300000</v>
      </c>
      <c r="D254" s="4" t="str">
        <f>控制台!R3465</f>
        <v>purple</v>
      </c>
      <c r="E254" s="4">
        <f>控制台!T3465</f>
        <v>-0.1</v>
      </c>
      <c r="F254" s="4" t="str">
        <f>控制台!U3465</f>
        <v>oil</v>
      </c>
      <c r="G254" s="4">
        <f>控制台!Y3465</f>
        <v>1620000</v>
      </c>
    </row>
    <row r="255" spans="1:7">
      <c r="A255" s="4" t="str">
        <f>控制台!B3466</f>
        <v>goods_others_006</v>
      </c>
      <c r="B255" s="4" t="str">
        <f>控制台!D3466</f>
        <v>ammunition</v>
      </c>
      <c r="C255" s="4">
        <f>控制台!G3466</f>
        <v>80</v>
      </c>
      <c r="D255" s="4" t="str">
        <f>控制台!R3466</f>
        <v>purple</v>
      </c>
      <c r="E255" s="4">
        <f>控制台!T3466</f>
        <v>-0.1</v>
      </c>
      <c r="F255" s="4" t="str">
        <f>控制台!U3466</f>
        <v>oil</v>
      </c>
      <c r="G255" s="4">
        <f>控制台!Y3466</f>
        <v>648000</v>
      </c>
    </row>
    <row r="256" spans="1:7">
      <c r="A256" s="4" t="str">
        <f>控制台!B3467</f>
        <v>goods_others_007</v>
      </c>
      <c r="B256" s="4" t="str">
        <f>控制台!D3467</f>
        <v>ammunition</v>
      </c>
      <c r="C256" s="4">
        <f>控制台!G3467</f>
        <v>120</v>
      </c>
      <c r="D256" s="4" t="str">
        <f>控制台!R3467</f>
        <v>purple</v>
      </c>
      <c r="E256" s="4">
        <f>控制台!T3467</f>
        <v>-0.1</v>
      </c>
      <c r="F256" s="4" t="str">
        <f>控制台!U3467</f>
        <v>metal</v>
      </c>
      <c r="G256" s="4">
        <f>控制台!Y3467</f>
        <v>972000</v>
      </c>
    </row>
    <row r="257" spans="1:7">
      <c r="A257" s="4" t="str">
        <f>控制台!B3468</f>
        <v>goods_others_008</v>
      </c>
      <c r="B257" s="4" t="str">
        <f>控制台!D3468</f>
        <v>ammunition</v>
      </c>
      <c r="C257" s="4">
        <f>控制台!G3468</f>
        <v>160</v>
      </c>
      <c r="D257" s="4" t="str">
        <f>控制台!R3468</f>
        <v>purple</v>
      </c>
      <c r="E257" s="4">
        <f>控制台!T3468</f>
        <v>-0.1</v>
      </c>
      <c r="F257" s="4" t="str">
        <f>控制台!U3468</f>
        <v>gold</v>
      </c>
      <c r="G257" s="4">
        <f>控制台!Y3468</f>
        <v>1296000</v>
      </c>
    </row>
    <row r="258" spans="1:7">
      <c r="A258" s="4" t="str">
        <f>控制台!B3469</f>
        <v>goods_others_009</v>
      </c>
      <c r="B258" s="4" t="str">
        <f>控制台!D3469</f>
        <v>elements</v>
      </c>
      <c r="C258" s="4">
        <f>控制台!G3469</f>
        <v>40</v>
      </c>
      <c r="D258" s="4" t="str">
        <f>控制台!R3469</f>
        <v>purple</v>
      </c>
      <c r="E258" s="4">
        <f>控制台!T3469</f>
        <v>-0.1</v>
      </c>
      <c r="F258" s="4" t="str">
        <f>控制台!U3469</f>
        <v>gold</v>
      </c>
      <c r="G258" s="4">
        <f>控制台!Y3469</f>
        <v>1080000</v>
      </c>
    </row>
    <row r="259" spans="1:7">
      <c r="A259" s="4" t="str">
        <f>控制台!B3470</f>
        <v>goods_others_010</v>
      </c>
      <c r="B259" s="4" t="str">
        <f>控制台!D3470</f>
        <v>elements</v>
      </c>
      <c r="C259" s="4">
        <f>控制台!G3470</f>
        <v>60</v>
      </c>
      <c r="D259" s="4" t="str">
        <f>控制台!R3470</f>
        <v>purple</v>
      </c>
      <c r="E259" s="4">
        <f>控制台!T3470</f>
        <v>-0.1</v>
      </c>
      <c r="F259" s="4" t="str">
        <f>控制台!U3470</f>
        <v>metal</v>
      </c>
      <c r="G259" s="4">
        <f>控制台!Y3470</f>
        <v>1620000</v>
      </c>
    </row>
    <row r="260" spans="1:7">
      <c r="A260" s="4" t="str">
        <f>控制台!B3471</f>
        <v>goods_others_011</v>
      </c>
      <c r="B260" s="4" t="str">
        <f>控制台!D3471</f>
        <v>elements</v>
      </c>
      <c r="C260" s="4">
        <f>控制台!G3471</f>
        <v>80</v>
      </c>
      <c r="D260" s="4" t="str">
        <f>控制台!R3471</f>
        <v>purple</v>
      </c>
      <c r="E260" s="4">
        <f>控制台!T3471</f>
        <v>-0.1</v>
      </c>
      <c r="F260" s="4" t="str">
        <f>控制台!U3471</f>
        <v>oil</v>
      </c>
      <c r="G260" s="4">
        <f>控制台!Y3471</f>
        <v>2160000</v>
      </c>
    </row>
    <row r="261" spans="1:7">
      <c r="A261" s="4" t="str">
        <f>控制台!B3475</f>
        <v>goods_others_012</v>
      </c>
      <c r="B261" s="4" t="str">
        <f>控制台!D3475</f>
        <v>chest_select_replacement_silver</v>
      </c>
      <c r="C261" s="4">
        <f>控制台!G3475</f>
        <v>1</v>
      </c>
      <c r="D261" s="4" t="str">
        <f>控制台!R3475</f>
        <v>purple</v>
      </c>
      <c r="E261" s="4">
        <f>控制台!T3475</f>
        <v>-0.1</v>
      </c>
      <c r="F261" s="4" t="str">
        <f>控制台!U3475</f>
        <v>oil</v>
      </c>
      <c r="G261" s="4">
        <f>控制台!Y3475</f>
        <v>450000</v>
      </c>
    </row>
    <row r="262" spans="1:7">
      <c r="A262" s="4" t="str">
        <f>控制台!B3476</f>
        <v>goods_others_013</v>
      </c>
      <c r="B262" s="4" t="str">
        <f>控制台!D3476</f>
        <v>chest_select_replacement_silver</v>
      </c>
      <c r="C262" s="4">
        <f>控制台!G3476</f>
        <v>2</v>
      </c>
      <c r="D262" s="4" t="str">
        <f>控制台!R3476</f>
        <v>purple</v>
      </c>
      <c r="E262" s="4">
        <f>控制台!T3476</f>
        <v>-0.1</v>
      </c>
      <c r="F262" s="4" t="str">
        <f>控制台!U3476</f>
        <v>metal</v>
      </c>
      <c r="G262" s="4">
        <f>控制台!Y3476</f>
        <v>900000</v>
      </c>
    </row>
    <row r="263" spans="1:7">
      <c r="A263" s="4" t="str">
        <f>控制台!B3477</f>
        <v>goods_others_014</v>
      </c>
      <c r="B263" s="4" t="str">
        <f>控制台!D3477</f>
        <v>chest_select_replacement_silver</v>
      </c>
      <c r="C263" s="4">
        <f>控制台!G3477</f>
        <v>3</v>
      </c>
      <c r="D263" s="4" t="str">
        <f>控制台!R3477</f>
        <v>purple</v>
      </c>
      <c r="E263" s="4">
        <f>控制台!T3477</f>
        <v>-0.1</v>
      </c>
      <c r="F263" s="4" t="str">
        <f>控制台!U3477</f>
        <v>gold</v>
      </c>
      <c r="G263" s="4">
        <f>控制台!Y3477</f>
        <v>1350000</v>
      </c>
    </row>
    <row r="264" spans="1:7">
      <c r="A264" s="4" t="str">
        <f>控制台!B3478</f>
        <v>goods_others_015</v>
      </c>
      <c r="B264" s="4" t="str">
        <f>控制台!D3478</f>
        <v>top_key</v>
      </c>
      <c r="C264" s="4">
        <f>控制台!G3478</f>
        <v>2</v>
      </c>
      <c r="D264" s="4" t="str">
        <f>控制台!R3478</f>
        <v>purple</v>
      </c>
      <c r="E264" s="4">
        <f>控制台!T3478</f>
        <v>-0.2</v>
      </c>
      <c r="F264" s="4" t="str">
        <f>控制台!U3478</f>
        <v>gold</v>
      </c>
      <c r="G264" s="4">
        <f>控制台!Y3478</f>
        <v>1440000</v>
      </c>
    </row>
    <row r="265" spans="1:7">
      <c r="A265" s="4" t="str">
        <f>控制台!B3479</f>
        <v>goods_others_016</v>
      </c>
      <c r="B265" s="4" t="str">
        <f>控制台!D3479</f>
        <v>top_key</v>
      </c>
      <c r="C265" s="4">
        <f>控制台!G3479</f>
        <v>4</v>
      </c>
      <c r="D265" s="4" t="str">
        <f>控制台!R3479</f>
        <v>purple</v>
      </c>
      <c r="E265" s="4">
        <f>控制台!T3479</f>
        <v>-0.2</v>
      </c>
      <c r="F265" s="4" t="str">
        <f>控制台!U3479</f>
        <v>gold</v>
      </c>
      <c r="G265" s="4">
        <f>控制台!Y3479</f>
        <v>2880000</v>
      </c>
    </row>
    <row r="266" spans="1:7">
      <c r="A266" s="4" t="str">
        <f>控制台!B3480</f>
        <v>goods_others_017</v>
      </c>
      <c r="B266" s="4" t="str">
        <f>控制台!D3480</f>
        <v>common_equipment_exp</v>
      </c>
      <c r="C266" s="4">
        <f>控制台!G3480</f>
        <v>80000</v>
      </c>
      <c r="D266" s="4" t="str">
        <f>控制台!R3480</f>
        <v>purple</v>
      </c>
      <c r="E266" s="4">
        <f>控制台!T3480</f>
        <v>-0.2</v>
      </c>
      <c r="F266" s="4" t="str">
        <f>控制台!U3480</f>
        <v>gold</v>
      </c>
      <c r="G266" s="4">
        <f>控制台!Y3480</f>
        <v>384000</v>
      </c>
    </row>
    <row r="267" spans="1:7">
      <c r="A267" s="4" t="str">
        <f>控制台!B3481</f>
        <v>goods_others_018</v>
      </c>
      <c r="B267" s="4" t="str">
        <f>控制台!D3481</f>
        <v>common_equipment_exp</v>
      </c>
      <c r="C267" s="4">
        <f>控制台!G3481</f>
        <v>160000</v>
      </c>
      <c r="D267" s="4" t="str">
        <f>控制台!R3481</f>
        <v>purple</v>
      </c>
      <c r="E267" s="4">
        <f>控制台!T3481</f>
        <v>-0.2</v>
      </c>
      <c r="F267" s="4" t="str">
        <f>控制台!U3481</f>
        <v>metal</v>
      </c>
      <c r="G267" s="4">
        <f>控制台!Y3481</f>
        <v>768000</v>
      </c>
    </row>
    <row r="268" spans="1:7">
      <c r="A268" s="4" t="str">
        <f>控制台!B3482</f>
        <v>goods_others_019</v>
      </c>
      <c r="B268" s="4" t="str">
        <f>控制台!D3482</f>
        <v>common_equipment_exp</v>
      </c>
      <c r="C268" s="4">
        <f>控制台!G3482</f>
        <v>300000</v>
      </c>
      <c r="D268" s="4" t="str">
        <f>控制台!R3482</f>
        <v>purple</v>
      </c>
      <c r="E268" s="4">
        <f>控制台!T3482</f>
        <v>-0.2</v>
      </c>
      <c r="F268" s="4" t="str">
        <f>控制台!U3482</f>
        <v>oil</v>
      </c>
      <c r="G268" s="4">
        <f>控制台!Y3482</f>
        <v>1440000</v>
      </c>
    </row>
    <row r="269" spans="1:7">
      <c r="A269" s="4" t="str">
        <f>控制台!B3483</f>
        <v>goods_others_020</v>
      </c>
      <c r="B269" s="4" t="str">
        <f>控制台!D3483</f>
        <v>ammunition</v>
      </c>
      <c r="C269" s="4">
        <f>控制台!G3483</f>
        <v>80</v>
      </c>
      <c r="D269" s="4" t="str">
        <f>控制台!R3483</f>
        <v>purple</v>
      </c>
      <c r="E269" s="4">
        <f>控制台!T3483</f>
        <v>-0.2</v>
      </c>
      <c r="F269" s="4" t="str">
        <f>控制台!U3483</f>
        <v>oil</v>
      </c>
      <c r="G269" s="4">
        <f>控制台!Y3483</f>
        <v>576000</v>
      </c>
    </row>
    <row r="270" spans="1:7">
      <c r="A270" s="4" t="str">
        <f>控制台!B3484</f>
        <v>goods_others_021</v>
      </c>
      <c r="B270" s="4" t="str">
        <f>控制台!D3484</f>
        <v>ammunition</v>
      </c>
      <c r="C270" s="4">
        <f>控制台!G3484</f>
        <v>120</v>
      </c>
      <c r="D270" s="4" t="str">
        <f>控制台!R3484</f>
        <v>purple</v>
      </c>
      <c r="E270" s="4">
        <f>控制台!T3484</f>
        <v>-0.2</v>
      </c>
      <c r="F270" s="4" t="str">
        <f>控制台!U3484</f>
        <v>metal</v>
      </c>
      <c r="G270" s="4">
        <f>控制台!Y3484</f>
        <v>864000</v>
      </c>
    </row>
    <row r="271" spans="1:7">
      <c r="A271" s="4" t="str">
        <f>控制台!B3485</f>
        <v>goods_others_022</v>
      </c>
      <c r="B271" s="4" t="str">
        <f>控制台!D3485</f>
        <v>ammunition</v>
      </c>
      <c r="C271" s="4">
        <f>控制台!G3485</f>
        <v>160</v>
      </c>
      <c r="D271" s="4" t="str">
        <f>控制台!R3485</f>
        <v>purple</v>
      </c>
      <c r="E271" s="4">
        <f>控制台!T3485</f>
        <v>-0.2</v>
      </c>
      <c r="F271" s="4" t="str">
        <f>控制台!U3485</f>
        <v>gold</v>
      </c>
      <c r="G271" s="4">
        <f>控制台!Y3485</f>
        <v>1152000</v>
      </c>
    </row>
    <row r="272" spans="1:7">
      <c r="A272" s="4" t="str">
        <f>控制台!B3486</f>
        <v>goods_others_023</v>
      </c>
      <c r="B272" s="4" t="str">
        <f>控制台!D3486</f>
        <v>elements</v>
      </c>
      <c r="C272" s="4">
        <f>控制台!G3486</f>
        <v>40</v>
      </c>
      <c r="D272" s="4" t="str">
        <f>控制台!R3486</f>
        <v>purple</v>
      </c>
      <c r="E272" s="4">
        <f>控制台!T3486</f>
        <v>-0.2</v>
      </c>
      <c r="F272" s="4" t="str">
        <f>控制台!U3486</f>
        <v>gold</v>
      </c>
      <c r="G272" s="4">
        <f>控制台!Y3486</f>
        <v>960000</v>
      </c>
    </row>
    <row r="273" spans="1:7">
      <c r="A273" s="4" t="str">
        <f>控制台!B3487</f>
        <v>goods_others_024</v>
      </c>
      <c r="B273" s="4" t="str">
        <f>控制台!D3487</f>
        <v>elements</v>
      </c>
      <c r="C273" s="4">
        <f>控制台!G3487</f>
        <v>60</v>
      </c>
      <c r="D273" s="4" t="str">
        <f>控制台!R3487</f>
        <v>purple</v>
      </c>
      <c r="E273" s="4">
        <f>控制台!T3487</f>
        <v>-0.2</v>
      </c>
      <c r="F273" s="4" t="str">
        <f>控制台!U3487</f>
        <v>metal</v>
      </c>
      <c r="G273" s="4">
        <f>控制台!Y3487</f>
        <v>1440000</v>
      </c>
    </row>
    <row r="274" spans="1:7">
      <c r="A274" s="4" t="str">
        <f>控制台!B3488</f>
        <v>goods_others_025</v>
      </c>
      <c r="B274" s="4" t="str">
        <f>控制台!D3488</f>
        <v>elements</v>
      </c>
      <c r="C274" s="4">
        <f>控制台!G3488</f>
        <v>80</v>
      </c>
      <c r="D274" s="4" t="str">
        <f>控制台!R3488</f>
        <v>purple</v>
      </c>
      <c r="E274" s="4">
        <f>控制台!T3488</f>
        <v>-0.2</v>
      </c>
      <c r="F274" s="4" t="str">
        <f>控制台!U3488</f>
        <v>oil</v>
      </c>
      <c r="G274" s="4">
        <f>控制台!Y3488</f>
        <v>1920000</v>
      </c>
    </row>
    <row r="275" spans="1:7">
      <c r="A275" s="4" t="str">
        <f>控制台!B3492</f>
        <v>goods_others_026</v>
      </c>
      <c r="B275" s="4" t="str">
        <f>控制台!D3492</f>
        <v>chest_select_replacement_silver</v>
      </c>
      <c r="C275" s="4">
        <f>控制台!G3492</f>
        <v>1</v>
      </c>
      <c r="D275" s="4" t="str">
        <f>控制台!R3492</f>
        <v>purple</v>
      </c>
      <c r="E275" s="4">
        <f>控制台!T3492</f>
        <v>-0.2</v>
      </c>
      <c r="F275" s="4" t="str">
        <f>控制台!U3492</f>
        <v>oil</v>
      </c>
      <c r="G275" s="4">
        <f>控制台!Y3492</f>
        <v>400000</v>
      </c>
    </row>
    <row r="276" spans="1:7">
      <c r="A276" s="4" t="str">
        <f>控制台!B3493</f>
        <v>goods_others_027</v>
      </c>
      <c r="B276" s="4" t="str">
        <f>控制台!D3493</f>
        <v>chest_select_replacement_silver</v>
      </c>
      <c r="C276" s="4">
        <f>控制台!G3493</f>
        <v>2</v>
      </c>
      <c r="D276" s="4" t="str">
        <f>控制台!R3493</f>
        <v>purple</v>
      </c>
      <c r="E276" s="4">
        <f>控制台!T3493</f>
        <v>-0.2</v>
      </c>
      <c r="F276" s="4" t="str">
        <f>控制台!U3493</f>
        <v>metal</v>
      </c>
      <c r="G276" s="4">
        <f>控制台!Y3493</f>
        <v>800000</v>
      </c>
    </row>
    <row r="277" spans="1:7">
      <c r="A277" s="4" t="str">
        <f>控制台!B3494</f>
        <v>goods_others_028</v>
      </c>
      <c r="B277" s="4" t="str">
        <f>控制台!D3494</f>
        <v>chest_select_replacement_silver</v>
      </c>
      <c r="C277" s="4">
        <f>控制台!G3494</f>
        <v>3</v>
      </c>
      <c r="D277" s="4" t="str">
        <f>控制台!R3494</f>
        <v>purple</v>
      </c>
      <c r="E277" s="4">
        <f>控制台!T3494</f>
        <v>-0.2</v>
      </c>
      <c r="F277" s="4" t="str">
        <f>控制台!U3494</f>
        <v>gold</v>
      </c>
      <c r="G277" s="4">
        <f>控制台!Y3494</f>
        <v>1200000</v>
      </c>
    </row>
    <row r="278" spans="1:7">
      <c r="A278" s="4" t="str">
        <f>控制台!B3495</f>
        <v>goods_others_029</v>
      </c>
      <c r="B278" s="4" t="str">
        <f>控制台!D3495</f>
        <v>top_key</v>
      </c>
      <c r="C278" s="4">
        <f>控制台!G3495</f>
        <v>2</v>
      </c>
      <c r="D278" s="4" t="str">
        <f>控制台!R3495</f>
        <v>purple</v>
      </c>
      <c r="E278" s="4">
        <f>控制台!T3495</f>
        <v>-0.4</v>
      </c>
      <c r="F278" s="4" t="str">
        <f>控制台!U3495</f>
        <v>l_coin</v>
      </c>
      <c r="G278" s="4">
        <f>控制台!Y3495</f>
        <v>1080</v>
      </c>
    </row>
    <row r="279" spans="1:7">
      <c r="A279" s="4" t="str">
        <f>控制台!B3496</f>
        <v>goods_others_030</v>
      </c>
      <c r="B279" s="4" t="str">
        <f>控制台!D3496</f>
        <v>top_key</v>
      </c>
      <c r="C279" s="4">
        <f>控制台!G3496</f>
        <v>4</v>
      </c>
      <c r="D279" s="4" t="str">
        <f>控制台!R3496</f>
        <v>purple</v>
      </c>
      <c r="E279" s="4">
        <f>控制台!T3496</f>
        <v>-0.3</v>
      </c>
      <c r="F279" s="4" t="str">
        <f>控制台!U3496</f>
        <v>l_coin</v>
      </c>
      <c r="G279" s="4">
        <f>控制台!Y3496</f>
        <v>2520</v>
      </c>
    </row>
    <row r="280" spans="1:7">
      <c r="A280" s="4" t="str">
        <f>控制台!B3497</f>
        <v>goods_others_031</v>
      </c>
      <c r="B280" s="4" t="str">
        <f>控制台!D3497</f>
        <v>common_equipment_exp</v>
      </c>
      <c r="C280" s="4">
        <f>控制台!G3497</f>
        <v>80000</v>
      </c>
      <c r="D280" s="4" t="str">
        <f>控制台!R3497</f>
        <v>yellow</v>
      </c>
      <c r="E280" s="4">
        <f>控制台!T3497</f>
        <v>-0.5</v>
      </c>
      <c r="F280" s="4" t="str">
        <f>控制台!U3497</f>
        <v>l_coin</v>
      </c>
      <c r="G280" s="4">
        <f>控制台!Y3497</f>
        <v>240</v>
      </c>
    </row>
    <row r="281" spans="1:7">
      <c r="A281" s="4" t="str">
        <f>控制台!B3498</f>
        <v>goods_others_032</v>
      </c>
      <c r="B281" s="4" t="str">
        <f>控制台!D3498</f>
        <v>common_equipment_exp</v>
      </c>
      <c r="C281" s="4">
        <f>控制台!G3498</f>
        <v>160000</v>
      </c>
      <c r="D281" s="4" t="str">
        <f>控制台!R3498</f>
        <v>yellow</v>
      </c>
      <c r="E281" s="4">
        <f>控制台!T3498</f>
        <v>-0.5</v>
      </c>
      <c r="F281" s="4" t="str">
        <f>控制台!U3498</f>
        <v>l_coin</v>
      </c>
      <c r="G281" s="4">
        <f>控制台!Y3498</f>
        <v>480</v>
      </c>
    </row>
    <row r="282" spans="1:7">
      <c r="A282" s="4" t="str">
        <f>控制台!B3499</f>
        <v>goods_others_033</v>
      </c>
      <c r="B282" s="4" t="str">
        <f>控制台!D3499</f>
        <v>common_equipment_exp</v>
      </c>
      <c r="C282" s="4">
        <f>控制台!G3499</f>
        <v>300000</v>
      </c>
      <c r="D282" s="4" t="str">
        <f>控制台!R3499</f>
        <v>purple</v>
      </c>
      <c r="E282" s="4">
        <f>控制台!T3499</f>
        <v>-0.4</v>
      </c>
      <c r="F282" s="4" t="str">
        <f>控制台!U3499</f>
        <v>l_coin</v>
      </c>
      <c r="G282" s="4">
        <f>控制台!Y3499</f>
        <v>1080</v>
      </c>
    </row>
    <row r="283" spans="1:7">
      <c r="A283" s="4" t="str">
        <f>控制台!B3500</f>
        <v>goods_others_034</v>
      </c>
      <c r="B283" s="4" t="str">
        <f>控制台!D3500</f>
        <v>ammunition</v>
      </c>
      <c r="C283" s="4">
        <f>控制台!G3500</f>
        <v>80</v>
      </c>
      <c r="D283" s="4" t="str">
        <f>控制台!R3500</f>
        <v>yellow</v>
      </c>
      <c r="E283" s="4">
        <f>控制台!T3500</f>
        <v>-0.5</v>
      </c>
      <c r="F283" s="4" t="str">
        <f>控制台!U3500</f>
        <v>l_coin</v>
      </c>
      <c r="G283" s="4">
        <f>控制台!Y3500</f>
        <v>360</v>
      </c>
    </row>
    <row r="284" spans="1:7">
      <c r="A284" s="4" t="str">
        <f>控制台!B3501</f>
        <v>goods_others_035</v>
      </c>
      <c r="B284" s="4" t="str">
        <f>控制台!D3501</f>
        <v>ammunition</v>
      </c>
      <c r="C284" s="4">
        <f>控制台!G3501</f>
        <v>120</v>
      </c>
      <c r="D284" s="4" t="str">
        <f>控制台!R3501</f>
        <v>yellow</v>
      </c>
      <c r="E284" s="4">
        <f>控制台!T3501</f>
        <v>-0.5</v>
      </c>
      <c r="F284" s="4" t="str">
        <f>控制台!U3501</f>
        <v>l_coin</v>
      </c>
      <c r="G284" s="4">
        <f>控制台!Y3501</f>
        <v>540</v>
      </c>
    </row>
    <row r="285" spans="1:7">
      <c r="A285" s="4" t="str">
        <f>控制台!B3502</f>
        <v>goods_others_036</v>
      </c>
      <c r="B285" s="4" t="str">
        <f>控制台!D3502</f>
        <v>ammunition</v>
      </c>
      <c r="C285" s="4">
        <f>控制台!G3502</f>
        <v>160</v>
      </c>
      <c r="D285" s="4" t="str">
        <f>控制台!R3502</f>
        <v>purple</v>
      </c>
      <c r="E285" s="4">
        <f>控制台!T3502</f>
        <v>-0.4</v>
      </c>
      <c r="F285" s="4" t="str">
        <f>控制台!U3502</f>
        <v>l_coin</v>
      </c>
      <c r="G285" s="4">
        <f>控制台!Y3502</f>
        <v>860</v>
      </c>
    </row>
    <row r="286" spans="1:7">
      <c r="A286" s="4" t="str">
        <f>控制台!B3503</f>
        <v>goods_others_037</v>
      </c>
      <c r="B286" s="4" t="str">
        <f>控制台!D3503</f>
        <v>elements</v>
      </c>
      <c r="C286" s="4">
        <f>控制台!G3503</f>
        <v>40</v>
      </c>
      <c r="D286" s="4" t="str">
        <f>控制台!R3503</f>
        <v>yellow</v>
      </c>
      <c r="E286" s="4">
        <f>控制台!T3503</f>
        <v>-0.5</v>
      </c>
      <c r="F286" s="4" t="str">
        <f>控制台!U3503</f>
        <v>l_coin</v>
      </c>
      <c r="G286" s="4">
        <f>控制台!Y3503</f>
        <v>600</v>
      </c>
    </row>
    <row r="287" spans="1:7">
      <c r="A287" s="4" t="str">
        <f>控制台!B3504</f>
        <v>goods_others_038</v>
      </c>
      <c r="B287" s="4" t="str">
        <f>控制台!D3504</f>
        <v>elements</v>
      </c>
      <c r="C287" s="4">
        <f>控制台!G3504</f>
        <v>60</v>
      </c>
      <c r="D287" s="4" t="str">
        <f>控制台!R3504</f>
        <v>yellow</v>
      </c>
      <c r="E287" s="4">
        <f>控制台!T3504</f>
        <v>-0.5</v>
      </c>
      <c r="F287" s="4" t="str">
        <f>控制台!U3504</f>
        <v>l_coin</v>
      </c>
      <c r="G287" s="4">
        <f>控制台!Y3504</f>
        <v>900</v>
      </c>
    </row>
    <row r="288" spans="1:7">
      <c r="A288" s="4" t="str">
        <f>控制台!B3505</f>
        <v>goods_others_039</v>
      </c>
      <c r="B288" s="4" t="str">
        <f>控制台!D3505</f>
        <v>elements</v>
      </c>
      <c r="C288" s="4">
        <f>控制台!G3505</f>
        <v>80</v>
      </c>
      <c r="D288" s="4" t="str">
        <f>控制台!R3505</f>
        <v>purple</v>
      </c>
      <c r="E288" s="4">
        <f>控制台!T3505</f>
        <v>-0.4</v>
      </c>
      <c r="F288" s="4" t="str">
        <f>控制台!U3505</f>
        <v>l_coin</v>
      </c>
      <c r="G288" s="4">
        <f>控制台!Y3505</f>
        <v>1440</v>
      </c>
    </row>
    <row r="289" spans="1:7">
      <c r="A289" s="4" t="str">
        <f>控制台!B3509</f>
        <v>goods_others_040</v>
      </c>
      <c r="B289" s="4" t="str">
        <f>控制台!D3509</f>
        <v>chest_select_replacement_silver</v>
      </c>
      <c r="C289" s="4">
        <f>控制台!G3509</f>
        <v>1</v>
      </c>
      <c r="D289" s="4" t="str">
        <f>控制台!R3509</f>
        <v>yellow</v>
      </c>
      <c r="E289" s="4">
        <f>控制台!T3509</f>
        <v>-0.5</v>
      </c>
      <c r="F289" s="4" t="str">
        <f>控制台!U3509</f>
        <v>l_coin</v>
      </c>
      <c r="G289" s="4">
        <f>控制台!Y3509</f>
        <v>250</v>
      </c>
    </row>
    <row r="290" spans="1:7">
      <c r="A290" s="4" t="str">
        <f>控制台!B3510</f>
        <v>goods_others_041</v>
      </c>
      <c r="B290" s="4" t="str">
        <f>控制台!D3510</f>
        <v>chest_select_replacement_silver</v>
      </c>
      <c r="C290" s="4">
        <f>控制台!G3510</f>
        <v>2</v>
      </c>
      <c r="D290" s="4" t="str">
        <f>控制台!R3510</f>
        <v>yellow</v>
      </c>
      <c r="E290" s="4">
        <f>控制台!T3510</f>
        <v>-0.5</v>
      </c>
      <c r="F290" s="4" t="str">
        <f>控制台!U3510</f>
        <v>l_coin</v>
      </c>
      <c r="G290" s="4">
        <f>控制台!Y3510</f>
        <v>500</v>
      </c>
    </row>
    <row r="291" spans="1:7">
      <c r="A291" s="4" t="str">
        <f>控制台!B3511</f>
        <v>goods_others_042</v>
      </c>
      <c r="B291" s="4" t="str">
        <f>控制台!D3511</f>
        <v>chest_select_replacement_silver</v>
      </c>
      <c r="C291" s="4">
        <f>控制台!G3511</f>
        <v>3</v>
      </c>
      <c r="D291" s="4" t="str">
        <f>控制台!R3511</f>
        <v>purple</v>
      </c>
      <c r="E291" s="4">
        <f>控制台!T3511</f>
        <v>-0.4</v>
      </c>
      <c r="F291" s="4" t="str">
        <f>控制台!U3511</f>
        <v>l_coin</v>
      </c>
      <c r="G291" s="4">
        <f>控制台!Y3511</f>
        <v>900</v>
      </c>
    </row>
    <row r="292" spans="1:7">
      <c r="A292" s="4" t="str">
        <f>控制台!B3512</f>
        <v>goods_others_043</v>
      </c>
      <c r="B292" s="4" t="str">
        <f>控制台!D3512</f>
        <v>top_key</v>
      </c>
      <c r="C292" s="4">
        <f>控制台!G3512</f>
        <v>2</v>
      </c>
      <c r="D292" s="4" t="str">
        <f>控制台!R3512</f>
        <v>yellow</v>
      </c>
      <c r="E292" s="4">
        <f>控制台!T3512</f>
        <v>-0.6</v>
      </c>
      <c r="F292" s="4" t="str">
        <f>控制台!U3512</f>
        <v>l_coin</v>
      </c>
      <c r="G292" s="4">
        <f>控制台!Y3512</f>
        <v>720</v>
      </c>
    </row>
    <row r="293" spans="1:7">
      <c r="A293" s="4" t="str">
        <f>控制台!B3513</f>
        <v>goods_others_044</v>
      </c>
      <c r="B293" s="4" t="str">
        <f>控制台!D3513</f>
        <v>top_key</v>
      </c>
      <c r="C293" s="4">
        <f>控制台!G3513</f>
        <v>4</v>
      </c>
      <c r="D293" s="4" t="str">
        <f>控制台!R3513</f>
        <v>yellow</v>
      </c>
      <c r="E293" s="4">
        <f>控制台!T3513</f>
        <v>-0.5</v>
      </c>
      <c r="F293" s="4" t="str">
        <f>控制台!U3513</f>
        <v>l_coin</v>
      </c>
      <c r="G293" s="4">
        <f>控制台!Y3513</f>
        <v>1800</v>
      </c>
    </row>
    <row r="294" spans="1:7">
      <c r="A294" s="4" t="str">
        <f>控制台!B3514</f>
        <v>goods_others_045</v>
      </c>
      <c r="B294" s="4" t="str">
        <f>控制台!D3514</f>
        <v>common_equipment_exp</v>
      </c>
      <c r="C294" s="4">
        <f>控制台!G3514</f>
        <v>80000</v>
      </c>
      <c r="D294" s="4" t="str">
        <f>控制台!R3514</f>
        <v>yellow</v>
      </c>
      <c r="E294" s="4">
        <f>控制台!T3514</f>
        <v>-0.8</v>
      </c>
      <c r="F294" s="4" t="str">
        <f>控制台!U3514</f>
        <v>l_coin</v>
      </c>
      <c r="G294" s="4">
        <f>控制台!Y3514</f>
        <v>95</v>
      </c>
    </row>
    <row r="295" spans="1:7">
      <c r="A295" s="4" t="str">
        <f>控制台!B3515</f>
        <v>goods_others_046</v>
      </c>
      <c r="B295" s="4" t="str">
        <f>控制台!D3515</f>
        <v>common_equipment_exp</v>
      </c>
      <c r="C295" s="4">
        <f>控制台!G3515</f>
        <v>160000</v>
      </c>
      <c r="D295" s="4" t="str">
        <f>控制台!R3515</f>
        <v>yellow</v>
      </c>
      <c r="E295" s="4">
        <f>控制台!T3515</f>
        <v>-0.7</v>
      </c>
      <c r="F295" s="4" t="str">
        <f>控制台!U3515</f>
        <v>l_coin</v>
      </c>
      <c r="G295" s="4">
        <f>控制台!Y3515</f>
        <v>285</v>
      </c>
    </row>
    <row r="296" spans="1:7">
      <c r="A296" s="4" t="str">
        <f>控制台!B3516</f>
        <v>goods_others_047</v>
      </c>
      <c r="B296" s="4" t="str">
        <f>控制台!D3516</f>
        <v>common_equipment_exp</v>
      </c>
      <c r="C296" s="4">
        <f>控制台!G3516</f>
        <v>300000</v>
      </c>
      <c r="D296" s="4" t="str">
        <f>控制台!R3516</f>
        <v>yellow</v>
      </c>
      <c r="E296" s="4">
        <f>控制台!T3516</f>
        <v>-0.6</v>
      </c>
      <c r="F296" s="4" t="str">
        <f>控制台!U3516</f>
        <v>l_coin</v>
      </c>
      <c r="G296" s="4">
        <f>控制台!Y3516</f>
        <v>720</v>
      </c>
    </row>
    <row r="297" spans="1:7">
      <c r="A297" s="4" t="str">
        <f>控制台!B3517</f>
        <v>goods_others_048</v>
      </c>
      <c r="B297" s="4" t="str">
        <f>控制台!D3517</f>
        <v>ammunition</v>
      </c>
      <c r="C297" s="4">
        <f>控制台!G3517</f>
        <v>80</v>
      </c>
      <c r="D297" s="4" t="str">
        <f>控制台!R3517</f>
        <v>yellow</v>
      </c>
      <c r="E297" s="4">
        <f>控制台!T3517</f>
        <v>-0.8</v>
      </c>
      <c r="F297" s="4" t="str">
        <f>控制台!U3517</f>
        <v>l_coin</v>
      </c>
      <c r="G297" s="4">
        <f>控制台!Y3517</f>
        <v>140</v>
      </c>
    </row>
    <row r="298" spans="1:7">
      <c r="A298" s="4" t="str">
        <f>控制台!B3518</f>
        <v>goods_others_049</v>
      </c>
      <c r="B298" s="4" t="str">
        <f>控制台!D3518</f>
        <v>ammunition</v>
      </c>
      <c r="C298" s="4">
        <f>控制台!G3518</f>
        <v>120</v>
      </c>
      <c r="D298" s="4" t="str">
        <f>控制台!R3518</f>
        <v>yellow</v>
      </c>
      <c r="E298" s="4">
        <f>控制台!T3518</f>
        <v>-0.7</v>
      </c>
      <c r="F298" s="4" t="str">
        <f>控制台!U3518</f>
        <v>l_coin</v>
      </c>
      <c r="G298" s="4">
        <f>控制台!Y3518</f>
        <v>320</v>
      </c>
    </row>
    <row r="299" spans="1:7">
      <c r="A299" s="4" t="str">
        <f>控制台!B3519</f>
        <v>goods_others_050</v>
      </c>
      <c r="B299" s="4" t="str">
        <f>控制台!D3519</f>
        <v>ammunition</v>
      </c>
      <c r="C299" s="4">
        <f>控制台!G3519</f>
        <v>160</v>
      </c>
      <c r="D299" s="4" t="str">
        <f>控制台!R3519</f>
        <v>yellow</v>
      </c>
      <c r="E299" s="4">
        <f>控制台!T3519</f>
        <v>-0.6</v>
      </c>
      <c r="F299" s="4" t="str">
        <f>控制台!U3519</f>
        <v>l_coin</v>
      </c>
      <c r="G299" s="4">
        <f>控制台!Y3519</f>
        <v>575</v>
      </c>
    </row>
    <row r="300" spans="1:7">
      <c r="A300" s="4" t="str">
        <f>控制台!B3520</f>
        <v>goods_others_051</v>
      </c>
      <c r="B300" s="4" t="str">
        <f>控制台!D3520</f>
        <v>elements</v>
      </c>
      <c r="C300" s="4">
        <f>控制台!G3520</f>
        <v>40</v>
      </c>
      <c r="D300" s="4" t="str">
        <f>控制台!R3520</f>
        <v>yellow</v>
      </c>
      <c r="E300" s="4">
        <f>控制台!T3520</f>
        <v>-0.8</v>
      </c>
      <c r="F300" s="4" t="str">
        <f>控制台!U3520</f>
        <v>l_coin</v>
      </c>
      <c r="G300" s="4">
        <f>控制台!Y3520</f>
        <v>240</v>
      </c>
    </row>
    <row r="301" spans="1:7">
      <c r="A301" s="4" t="str">
        <f>控制台!B3521</f>
        <v>goods_others_052</v>
      </c>
      <c r="B301" s="4" t="str">
        <f>控制台!D3521</f>
        <v>elements</v>
      </c>
      <c r="C301" s="4">
        <f>控制台!G3521</f>
        <v>60</v>
      </c>
      <c r="D301" s="4" t="str">
        <f>控制台!R3521</f>
        <v>yellow</v>
      </c>
      <c r="E301" s="4">
        <f>控制台!T3521</f>
        <v>-0.7</v>
      </c>
      <c r="F301" s="4" t="str">
        <f>控制台!U3521</f>
        <v>l_coin</v>
      </c>
      <c r="G301" s="4">
        <f>控制台!Y3521</f>
        <v>540</v>
      </c>
    </row>
    <row r="302" spans="1:7">
      <c r="A302" s="4" t="str">
        <f>控制台!B3522</f>
        <v>goods_others_053</v>
      </c>
      <c r="B302" s="4" t="str">
        <f>控制台!D3522</f>
        <v>elements</v>
      </c>
      <c r="C302" s="4">
        <f>控制台!G3522</f>
        <v>80</v>
      </c>
      <c r="D302" s="4" t="str">
        <f>控制台!R3522</f>
        <v>yellow</v>
      </c>
      <c r="E302" s="4">
        <f>控制台!T3522</f>
        <v>-0.6</v>
      </c>
      <c r="F302" s="4" t="str">
        <f>控制台!U3522</f>
        <v>l_coin</v>
      </c>
      <c r="G302" s="4">
        <f>控制台!Y3522</f>
        <v>960</v>
      </c>
    </row>
    <row r="303" spans="1:7">
      <c r="A303" s="4" t="str">
        <f>控制台!B3526</f>
        <v>goods_others_054</v>
      </c>
      <c r="B303" s="4" t="str">
        <f>控制台!D3526</f>
        <v>chest_select_replacement_silver</v>
      </c>
      <c r="C303" s="4">
        <f>控制台!G3526</f>
        <v>1</v>
      </c>
      <c r="D303" s="4" t="str">
        <f>控制台!R3526</f>
        <v>yellow</v>
      </c>
      <c r="E303" s="4">
        <f>控制台!T3526</f>
        <v>-0.8</v>
      </c>
      <c r="F303" s="4" t="str">
        <f>控制台!U3526</f>
        <v>l_coin</v>
      </c>
      <c r="G303" s="4">
        <f>控制台!Y3526</f>
        <v>100</v>
      </c>
    </row>
    <row r="304" spans="1:7">
      <c r="A304" s="4" t="str">
        <f>控制台!B3527</f>
        <v>goods_others_055</v>
      </c>
      <c r="B304" s="4" t="str">
        <f>控制台!D3527</f>
        <v>chest_select_replacement_silver</v>
      </c>
      <c r="C304" s="4">
        <f>控制台!G3527</f>
        <v>2</v>
      </c>
      <c r="D304" s="4" t="str">
        <f>控制台!R3527</f>
        <v>yellow</v>
      </c>
      <c r="E304" s="4">
        <f>控制台!T3527</f>
        <v>-0.7</v>
      </c>
      <c r="F304" s="4" t="str">
        <f>控制台!U3527</f>
        <v>l_coin</v>
      </c>
      <c r="G304" s="4">
        <f>控制台!Y3527</f>
        <v>300</v>
      </c>
    </row>
    <row r="305" spans="1:7">
      <c r="A305" s="4" t="str">
        <f>控制台!B3528</f>
        <v>goods_others_056</v>
      </c>
      <c r="B305" s="4" t="str">
        <f>控制台!D3528</f>
        <v>chest_select_replacement_silver</v>
      </c>
      <c r="C305" s="4">
        <f>控制台!G3528</f>
        <v>3</v>
      </c>
      <c r="D305" s="4" t="str">
        <f>控制台!R3528</f>
        <v>yellow</v>
      </c>
      <c r="E305" s="4">
        <f>控制台!T3528</f>
        <v>-0.6</v>
      </c>
      <c r="F305" s="4" t="str">
        <f>控制台!U3528</f>
        <v>l_coin</v>
      </c>
      <c r="G305" s="4">
        <f>控制台!Y3528</f>
        <v>600</v>
      </c>
    </row>
    <row r="306" spans="1:7">
      <c r="A306" s="4">
        <f>控制台!B3532</f>
        <v>0</v>
      </c>
      <c r="B306" s="4" t="str">
        <f>控制台!D3532</f>
        <v>空军经验</v>
      </c>
      <c r="C306" s="4">
        <f>控制台!G3532</f>
        <v>40000</v>
      </c>
      <c r="D306" s="4" t="str">
        <f>控制台!R3532</f>
        <v>purple</v>
      </c>
      <c r="E306" s="4">
        <f>控制台!T3532</f>
        <v>-0.1</v>
      </c>
      <c r="F306" s="4" t="str">
        <f>控制台!U3532</f>
        <v>gold</v>
      </c>
      <c r="G306" s="4">
        <f>控制台!Y3532</f>
        <v>432000</v>
      </c>
    </row>
    <row r="307" spans="1:7">
      <c r="A307" s="4">
        <f>控制台!B3533</f>
        <v>0</v>
      </c>
      <c r="B307" s="4" t="str">
        <f>控制台!D3533</f>
        <v>空军经验</v>
      </c>
      <c r="C307" s="4">
        <f>控制台!G3533</f>
        <v>80000</v>
      </c>
      <c r="D307" s="4" t="str">
        <f>控制台!R3533</f>
        <v>purple</v>
      </c>
      <c r="E307" s="4">
        <f>控制台!T3533</f>
        <v>-0.1</v>
      </c>
      <c r="F307" s="4" t="str">
        <f>控制台!U3533</f>
        <v>metal</v>
      </c>
      <c r="G307" s="4">
        <f>控制台!Y3533</f>
        <v>864000</v>
      </c>
    </row>
    <row r="308" spans="1:7">
      <c r="A308" s="4">
        <f>控制台!B3534</f>
        <v>0</v>
      </c>
      <c r="B308" s="4" t="str">
        <f>控制台!D3534</f>
        <v>空军经验</v>
      </c>
      <c r="C308" s="4">
        <f>控制台!G3534</f>
        <v>150000</v>
      </c>
      <c r="D308" s="4" t="str">
        <f>控制台!R3534</f>
        <v>purple</v>
      </c>
      <c r="E308" s="4">
        <f>控制台!T3534</f>
        <v>-0.1</v>
      </c>
      <c r="F308" s="4" t="str">
        <f>控制台!U3534</f>
        <v>oil</v>
      </c>
      <c r="G308" s="4">
        <f>控制台!Y3534</f>
        <v>1620000</v>
      </c>
    </row>
    <row r="309" spans="1:7">
      <c r="A309" s="4">
        <f>控制台!B3535</f>
        <v>0</v>
      </c>
      <c r="B309" s="4" t="str">
        <f>控制台!D3535</f>
        <v>空军弹药</v>
      </c>
      <c r="C309" s="4">
        <f>控制台!G3535</f>
        <v>40</v>
      </c>
      <c r="D309" s="4" t="str">
        <f>控制台!R3535</f>
        <v>purple</v>
      </c>
      <c r="E309" s="4">
        <f>控制台!T3535</f>
        <v>-0.1</v>
      </c>
      <c r="F309" s="4" t="str">
        <f>控制台!U3535</f>
        <v>oil</v>
      </c>
      <c r="G309" s="4">
        <f>控制台!Y3535</f>
        <v>648000</v>
      </c>
    </row>
    <row r="310" spans="1:7">
      <c r="A310" s="4">
        <f>控制台!B3536</f>
        <v>0</v>
      </c>
      <c r="B310" s="4" t="str">
        <f>控制台!D3536</f>
        <v>空军弹药</v>
      </c>
      <c r="C310" s="4">
        <f>控制台!G3536</f>
        <v>60</v>
      </c>
      <c r="D310" s="4" t="str">
        <f>控制台!R3536</f>
        <v>purple</v>
      </c>
      <c r="E310" s="4">
        <f>控制台!T3536</f>
        <v>-0.1</v>
      </c>
      <c r="F310" s="4" t="str">
        <f>控制台!U3536</f>
        <v>metal</v>
      </c>
      <c r="G310" s="4">
        <f>控制台!Y3536</f>
        <v>972000</v>
      </c>
    </row>
    <row r="311" spans="1:7">
      <c r="A311" s="4">
        <f>控制台!B3537</f>
        <v>0</v>
      </c>
      <c r="B311" s="4" t="str">
        <f>控制台!D3537</f>
        <v>空军弹药</v>
      </c>
      <c r="C311" s="4">
        <f>控制台!G3537</f>
        <v>80</v>
      </c>
      <c r="D311" s="4" t="str">
        <f>控制台!R3537</f>
        <v>purple</v>
      </c>
      <c r="E311" s="4">
        <f>控制台!T3537</f>
        <v>-0.1</v>
      </c>
      <c r="F311" s="4" t="str">
        <f>控制台!U3537</f>
        <v>gold</v>
      </c>
      <c r="G311" s="4">
        <f>控制台!Y3537</f>
        <v>1296000</v>
      </c>
    </row>
    <row r="312" spans="1:7">
      <c r="A312" s="4">
        <f>控制台!B3538</f>
        <v>0</v>
      </c>
      <c r="B312" s="4" t="str">
        <f>控制台!D3538</f>
        <v>空军零件</v>
      </c>
      <c r="C312" s="4">
        <f>控制台!G3538</f>
        <v>20</v>
      </c>
      <c r="D312" s="4" t="str">
        <f>控制台!R3538</f>
        <v>purple</v>
      </c>
      <c r="E312" s="4">
        <f>控制台!T3538</f>
        <v>-0.1</v>
      </c>
      <c r="F312" s="4" t="str">
        <f>控制台!U3538</f>
        <v>gold</v>
      </c>
      <c r="G312" s="4">
        <f>控制台!Y3538</f>
        <v>1080000</v>
      </c>
    </row>
    <row r="313" spans="1:7">
      <c r="A313" s="4">
        <f>控制台!B3539</f>
        <v>0</v>
      </c>
      <c r="B313" s="4" t="str">
        <f>控制台!D3539</f>
        <v>空军零件</v>
      </c>
      <c r="C313" s="4">
        <f>控制台!G3539</f>
        <v>30</v>
      </c>
      <c r="D313" s="4" t="str">
        <f>控制台!R3539</f>
        <v>purple</v>
      </c>
      <c r="E313" s="4">
        <f>控制台!T3539</f>
        <v>-0.1</v>
      </c>
      <c r="F313" s="4" t="str">
        <f>控制台!U3539</f>
        <v>metal</v>
      </c>
      <c r="G313" s="4">
        <f>控制台!Y3539</f>
        <v>1620000</v>
      </c>
    </row>
    <row r="314" spans="1:7">
      <c r="A314" s="4">
        <f>控制台!B3540</f>
        <v>0</v>
      </c>
      <c r="B314" s="4" t="str">
        <f>控制台!D3540</f>
        <v>空军零件</v>
      </c>
      <c r="C314" s="4">
        <f>控制台!G3540</f>
        <v>40</v>
      </c>
      <c r="D314" s="4" t="str">
        <f>控制台!R3540</f>
        <v>purple</v>
      </c>
      <c r="E314" s="4">
        <f>控制台!T3540</f>
        <v>-0.1</v>
      </c>
      <c r="F314" s="4" t="str">
        <f>控制台!U3540</f>
        <v>oil</v>
      </c>
      <c r="G314" s="4">
        <f>控制台!Y3540</f>
        <v>2160000</v>
      </c>
    </row>
    <row r="315" spans="1:7">
      <c r="A315" s="4">
        <f>控制台!B3541</f>
        <v>0</v>
      </c>
      <c r="B315" s="4" t="str">
        <f>控制台!D3541</f>
        <v>空军经验</v>
      </c>
      <c r="C315" s="4">
        <f>控制台!G3541</f>
        <v>40000</v>
      </c>
      <c r="D315" s="4" t="str">
        <f>控制台!R3541</f>
        <v>purple</v>
      </c>
      <c r="E315" s="4">
        <f>控制台!T3541</f>
        <v>-0.2</v>
      </c>
      <c r="F315" s="4" t="str">
        <f>控制台!U3541</f>
        <v>gold</v>
      </c>
      <c r="G315" s="4">
        <f>控制台!Y3541</f>
        <v>384000</v>
      </c>
    </row>
    <row r="316" spans="1:7">
      <c r="A316" s="4">
        <f>控制台!B3542</f>
        <v>0</v>
      </c>
      <c r="B316" s="4" t="str">
        <f>控制台!D3542</f>
        <v>空军经验</v>
      </c>
      <c r="C316" s="4">
        <f>控制台!G3542</f>
        <v>80000</v>
      </c>
      <c r="D316" s="4" t="str">
        <f>控制台!R3542</f>
        <v>purple</v>
      </c>
      <c r="E316" s="4">
        <f>控制台!T3542</f>
        <v>-0.2</v>
      </c>
      <c r="F316" s="4" t="str">
        <f>控制台!U3542</f>
        <v>metal</v>
      </c>
      <c r="G316" s="4">
        <f>控制台!Y3542</f>
        <v>768000</v>
      </c>
    </row>
    <row r="317" spans="1:7">
      <c r="A317" s="4">
        <f>控制台!B3543</f>
        <v>0</v>
      </c>
      <c r="B317" s="4" t="str">
        <f>控制台!D3543</f>
        <v>空军经验</v>
      </c>
      <c r="C317" s="4">
        <f>控制台!G3543</f>
        <v>150000</v>
      </c>
      <c r="D317" s="4" t="str">
        <f>控制台!R3543</f>
        <v>purple</v>
      </c>
      <c r="E317" s="4">
        <f>控制台!T3543</f>
        <v>-0.2</v>
      </c>
      <c r="F317" s="4" t="str">
        <f>控制台!U3543</f>
        <v>oil</v>
      </c>
      <c r="G317" s="4">
        <f>控制台!Y3543</f>
        <v>1440000</v>
      </c>
    </row>
    <row r="318" spans="1:7">
      <c r="A318" s="4">
        <f>控制台!B3544</f>
        <v>0</v>
      </c>
      <c r="B318" s="4" t="str">
        <f>控制台!D3544</f>
        <v>空军弹药</v>
      </c>
      <c r="C318" s="4">
        <f>控制台!G3544</f>
        <v>40</v>
      </c>
      <c r="D318" s="4" t="str">
        <f>控制台!R3544</f>
        <v>purple</v>
      </c>
      <c r="E318" s="4">
        <f>控制台!T3544</f>
        <v>-0.2</v>
      </c>
      <c r="F318" s="4" t="str">
        <f>控制台!U3544</f>
        <v>oil</v>
      </c>
      <c r="G318" s="4">
        <f>控制台!Y3544</f>
        <v>576000</v>
      </c>
    </row>
    <row r="319" spans="1:7">
      <c r="A319" s="4">
        <f>控制台!B3545</f>
        <v>0</v>
      </c>
      <c r="B319" s="4" t="str">
        <f>控制台!D3545</f>
        <v>空军弹药</v>
      </c>
      <c r="C319" s="4">
        <f>控制台!G3545</f>
        <v>60</v>
      </c>
      <c r="D319" s="4" t="str">
        <f>控制台!R3545</f>
        <v>purple</v>
      </c>
      <c r="E319" s="4">
        <f>控制台!T3545</f>
        <v>-0.2</v>
      </c>
      <c r="F319" s="4" t="str">
        <f>控制台!U3545</f>
        <v>metal</v>
      </c>
      <c r="G319" s="4">
        <f>控制台!Y3545</f>
        <v>864000</v>
      </c>
    </row>
    <row r="320" spans="1:7">
      <c r="A320" s="4">
        <f>控制台!B3546</f>
        <v>0</v>
      </c>
      <c r="B320" s="4" t="str">
        <f>控制台!D3546</f>
        <v>空军弹药</v>
      </c>
      <c r="C320" s="4">
        <f>控制台!G3546</f>
        <v>80</v>
      </c>
      <c r="D320" s="4" t="str">
        <f>控制台!R3546</f>
        <v>purple</v>
      </c>
      <c r="E320" s="4">
        <f>控制台!T3546</f>
        <v>-0.2</v>
      </c>
      <c r="F320" s="4" t="str">
        <f>控制台!U3546</f>
        <v>gold</v>
      </c>
      <c r="G320" s="4">
        <f>控制台!Y3546</f>
        <v>1152000</v>
      </c>
    </row>
    <row r="321" spans="1:7">
      <c r="A321" s="4">
        <f>控制台!B3547</f>
        <v>0</v>
      </c>
      <c r="B321" s="4" t="str">
        <f>控制台!D3547</f>
        <v>空军零件</v>
      </c>
      <c r="C321" s="4">
        <f>控制台!G3547</f>
        <v>20</v>
      </c>
      <c r="D321" s="4" t="str">
        <f>控制台!R3547</f>
        <v>purple</v>
      </c>
      <c r="E321" s="4">
        <f>控制台!T3547</f>
        <v>-0.2</v>
      </c>
      <c r="F321" s="4" t="str">
        <f>控制台!U3547</f>
        <v>gold</v>
      </c>
      <c r="G321" s="4">
        <f>控制台!Y3547</f>
        <v>960000</v>
      </c>
    </row>
    <row r="322" spans="1:7">
      <c r="A322" s="4">
        <f>控制台!B3548</f>
        <v>0</v>
      </c>
      <c r="B322" s="4" t="str">
        <f>控制台!D3548</f>
        <v>空军零件</v>
      </c>
      <c r="C322" s="4">
        <f>控制台!G3548</f>
        <v>30</v>
      </c>
      <c r="D322" s="4" t="str">
        <f>控制台!R3548</f>
        <v>purple</v>
      </c>
      <c r="E322" s="4">
        <f>控制台!T3548</f>
        <v>-0.2</v>
      </c>
      <c r="F322" s="4" t="str">
        <f>控制台!U3548</f>
        <v>metal</v>
      </c>
      <c r="G322" s="4">
        <f>控制台!Y3548</f>
        <v>1440000</v>
      </c>
    </row>
    <row r="323" spans="1:7">
      <c r="A323" s="4">
        <f>控制台!B3549</f>
        <v>0</v>
      </c>
      <c r="B323" s="4" t="str">
        <f>控制台!D3549</f>
        <v>空军零件</v>
      </c>
      <c r="C323" s="4">
        <f>控制台!G3549</f>
        <v>40</v>
      </c>
      <c r="D323" s="4" t="str">
        <f>控制台!R3549</f>
        <v>purple</v>
      </c>
      <c r="E323" s="4">
        <f>控制台!T3549</f>
        <v>-0.2</v>
      </c>
      <c r="F323" s="4" t="str">
        <f>控制台!U3549</f>
        <v>oil</v>
      </c>
      <c r="G323" s="4">
        <f>控制台!Y3549</f>
        <v>1920000</v>
      </c>
    </row>
    <row r="324" spans="1:7">
      <c r="A324" s="4">
        <f>控制台!B3550</f>
        <v>0</v>
      </c>
      <c r="B324" s="4" t="str">
        <f>控制台!D3550</f>
        <v>空军经验</v>
      </c>
      <c r="C324" s="4">
        <f>控制台!G3550</f>
        <v>40000</v>
      </c>
      <c r="D324" s="4" t="str">
        <f>控制台!R3550</f>
        <v>yellow</v>
      </c>
      <c r="E324" s="4">
        <f>控制台!T3550</f>
        <v>-0.5</v>
      </c>
      <c r="F324" s="4" t="str">
        <f>控制台!U3550</f>
        <v>l_coin</v>
      </c>
      <c r="G324" s="4">
        <f>控制台!Y3550</f>
        <v>240</v>
      </c>
    </row>
    <row r="325" spans="1:7">
      <c r="A325" s="4">
        <f>控制台!B3551</f>
        <v>0</v>
      </c>
      <c r="B325" s="4" t="str">
        <f>控制台!D3551</f>
        <v>空军经验</v>
      </c>
      <c r="C325" s="4">
        <f>控制台!G3551</f>
        <v>80000</v>
      </c>
      <c r="D325" s="4" t="str">
        <f>控制台!R3551</f>
        <v>yellow</v>
      </c>
      <c r="E325" s="4">
        <f>控制台!T3551</f>
        <v>-0.5</v>
      </c>
      <c r="F325" s="4" t="str">
        <f>控制台!U3551</f>
        <v>l_coin</v>
      </c>
      <c r="G325" s="4">
        <f>控制台!Y3551</f>
        <v>480</v>
      </c>
    </row>
    <row r="326" spans="1:7">
      <c r="A326" s="4">
        <f>控制台!B3552</f>
        <v>0</v>
      </c>
      <c r="B326" s="4" t="str">
        <f>控制台!D3552</f>
        <v>空军经验</v>
      </c>
      <c r="C326" s="4">
        <f>控制台!G3552</f>
        <v>150000</v>
      </c>
      <c r="D326" s="4" t="str">
        <f>控制台!R3552</f>
        <v>purple</v>
      </c>
      <c r="E326" s="4">
        <f>控制台!T3552</f>
        <v>-0.4</v>
      </c>
      <c r="F326" s="4" t="str">
        <f>控制台!U3552</f>
        <v>l_coin</v>
      </c>
      <c r="G326" s="4">
        <f>控制台!Y3552</f>
        <v>1080</v>
      </c>
    </row>
    <row r="327" spans="1:7">
      <c r="A327" s="4">
        <f>控制台!B3553</f>
        <v>0</v>
      </c>
      <c r="B327" s="4" t="str">
        <f>控制台!D3553</f>
        <v>空军弹药</v>
      </c>
      <c r="C327" s="4">
        <f>控制台!G3553</f>
        <v>40</v>
      </c>
      <c r="D327" s="4" t="str">
        <f>控制台!R3553</f>
        <v>yellow</v>
      </c>
      <c r="E327" s="4">
        <f>控制台!T3553</f>
        <v>-0.5</v>
      </c>
      <c r="F327" s="4" t="str">
        <f>控制台!U3553</f>
        <v>l_coin</v>
      </c>
      <c r="G327" s="4">
        <f>控制台!Y3553</f>
        <v>360</v>
      </c>
    </row>
    <row r="328" spans="1:7">
      <c r="A328" s="4">
        <f>控制台!B3554</f>
        <v>0</v>
      </c>
      <c r="B328" s="4" t="str">
        <f>控制台!D3554</f>
        <v>空军弹药</v>
      </c>
      <c r="C328" s="4">
        <f>控制台!G3554</f>
        <v>60</v>
      </c>
      <c r="D328" s="4" t="str">
        <f>控制台!R3554</f>
        <v>yellow</v>
      </c>
      <c r="E328" s="4">
        <f>控制台!T3554</f>
        <v>-0.5</v>
      </c>
      <c r="F328" s="4" t="str">
        <f>控制台!U3554</f>
        <v>l_coin</v>
      </c>
      <c r="G328" s="4">
        <f>控制台!Y3554</f>
        <v>540</v>
      </c>
    </row>
    <row r="329" spans="1:7">
      <c r="A329" s="4">
        <f>控制台!B3555</f>
        <v>0</v>
      </c>
      <c r="B329" s="4" t="str">
        <f>控制台!D3555</f>
        <v>空军弹药</v>
      </c>
      <c r="C329" s="4">
        <f>控制台!G3555</f>
        <v>80</v>
      </c>
      <c r="D329" s="4" t="str">
        <f>控制台!R3555</f>
        <v>purple</v>
      </c>
      <c r="E329" s="4">
        <f>控制台!T3555</f>
        <v>-0.4</v>
      </c>
      <c r="F329" s="4" t="str">
        <f>控制台!U3555</f>
        <v>l_coin</v>
      </c>
      <c r="G329" s="4">
        <f>控制台!Y3555</f>
        <v>860</v>
      </c>
    </row>
    <row r="330" spans="1:7">
      <c r="A330" s="4">
        <f>控制台!B3556</f>
        <v>0</v>
      </c>
      <c r="B330" s="4" t="str">
        <f>控制台!D3556</f>
        <v>空军零件</v>
      </c>
      <c r="C330" s="4">
        <f>控制台!G3556</f>
        <v>20</v>
      </c>
      <c r="D330" s="4" t="str">
        <f>控制台!R3556</f>
        <v>yellow</v>
      </c>
      <c r="E330" s="4">
        <f>控制台!T3556</f>
        <v>-0.5</v>
      </c>
      <c r="F330" s="4" t="str">
        <f>控制台!U3556</f>
        <v>l_coin</v>
      </c>
      <c r="G330" s="4">
        <f>控制台!Y3556</f>
        <v>600</v>
      </c>
    </row>
    <row r="331" spans="1:7">
      <c r="A331" s="4">
        <f>控制台!B3557</f>
        <v>0</v>
      </c>
      <c r="B331" s="4" t="str">
        <f>控制台!D3557</f>
        <v>空军零件</v>
      </c>
      <c r="C331" s="4">
        <f>控制台!G3557</f>
        <v>30</v>
      </c>
      <c r="D331" s="4" t="str">
        <f>控制台!R3557</f>
        <v>yellow</v>
      </c>
      <c r="E331" s="4">
        <f>控制台!T3557</f>
        <v>-0.5</v>
      </c>
      <c r="F331" s="4" t="str">
        <f>控制台!U3557</f>
        <v>l_coin</v>
      </c>
      <c r="G331" s="4">
        <f>控制台!Y3557</f>
        <v>900</v>
      </c>
    </row>
    <row r="332" spans="1:7">
      <c r="A332" s="4">
        <f>控制台!B3558</f>
        <v>0</v>
      </c>
      <c r="B332" s="4" t="str">
        <f>控制台!D3558</f>
        <v>空军零件</v>
      </c>
      <c r="C332" s="4">
        <f>控制台!G3558</f>
        <v>40</v>
      </c>
      <c r="D332" s="4" t="str">
        <f>控制台!R3558</f>
        <v>purple</v>
      </c>
      <c r="E332" s="4">
        <f>控制台!T3558</f>
        <v>-0.4</v>
      </c>
      <c r="F332" s="4" t="str">
        <f>控制台!U3558</f>
        <v>l_coin</v>
      </c>
      <c r="G332" s="4">
        <f>控制台!Y3558</f>
        <v>1440</v>
      </c>
    </row>
    <row r="333" spans="1:7">
      <c r="A333" s="4">
        <f>控制台!B3559</f>
        <v>0</v>
      </c>
      <c r="B333" s="4" t="str">
        <f>控制台!D3559</f>
        <v>空军经验</v>
      </c>
      <c r="C333" s="4">
        <f>控制台!G3559</f>
        <v>40000</v>
      </c>
      <c r="D333" s="4" t="str">
        <f>控制台!R3559</f>
        <v>yellow</v>
      </c>
      <c r="E333" s="4">
        <f>控制台!T3559</f>
        <v>-0.8</v>
      </c>
      <c r="F333" s="4" t="str">
        <f>控制台!U3559</f>
        <v>l_coin</v>
      </c>
      <c r="G333" s="4">
        <f>控制台!Y3559</f>
        <v>95</v>
      </c>
    </row>
    <row r="334" spans="1:7">
      <c r="A334" s="4">
        <f>控制台!B3560</f>
        <v>0</v>
      </c>
      <c r="B334" s="4" t="str">
        <f>控制台!D3560</f>
        <v>空军经验</v>
      </c>
      <c r="C334" s="4">
        <f>控制台!G3560</f>
        <v>80000</v>
      </c>
      <c r="D334" s="4" t="str">
        <f>控制台!R3560</f>
        <v>yellow</v>
      </c>
      <c r="E334" s="4">
        <f>控制台!T3560</f>
        <v>-0.7</v>
      </c>
      <c r="F334" s="4" t="str">
        <f>控制台!U3560</f>
        <v>l_coin</v>
      </c>
      <c r="G334" s="4">
        <f>控制台!Y3560</f>
        <v>285</v>
      </c>
    </row>
    <row r="335" spans="1:7">
      <c r="A335" s="4">
        <f>控制台!B3561</f>
        <v>0</v>
      </c>
      <c r="B335" s="4" t="str">
        <f>控制台!D3561</f>
        <v>空军经验</v>
      </c>
      <c r="C335" s="4">
        <f>控制台!G3561</f>
        <v>150000</v>
      </c>
      <c r="D335" s="4" t="str">
        <f>控制台!R3561</f>
        <v>yellow</v>
      </c>
      <c r="E335" s="4">
        <f>控制台!T3561</f>
        <v>-0.6</v>
      </c>
      <c r="F335" s="4" t="str">
        <f>控制台!U3561</f>
        <v>l_coin</v>
      </c>
      <c r="G335" s="4">
        <f>控制台!Y3561</f>
        <v>720</v>
      </c>
    </row>
    <row r="336" spans="1:7">
      <c r="A336" s="4">
        <f>控制台!B3562</f>
        <v>0</v>
      </c>
      <c r="B336" s="4" t="str">
        <f>控制台!D3562</f>
        <v>空军弹药</v>
      </c>
      <c r="C336" s="4">
        <f>控制台!G3562</f>
        <v>40</v>
      </c>
      <c r="D336" s="4" t="str">
        <f>控制台!R3562</f>
        <v>yellow</v>
      </c>
      <c r="E336" s="4">
        <f>控制台!T3562</f>
        <v>-0.8</v>
      </c>
      <c r="F336" s="4" t="str">
        <f>控制台!U3562</f>
        <v>l_coin</v>
      </c>
      <c r="G336" s="4">
        <f>控制台!Y3562</f>
        <v>140</v>
      </c>
    </row>
    <row r="337" spans="1:7">
      <c r="A337" s="4">
        <f>控制台!B3563</f>
        <v>0</v>
      </c>
      <c r="B337" s="4" t="str">
        <f>控制台!D3563</f>
        <v>空军弹药</v>
      </c>
      <c r="C337" s="4">
        <f>控制台!G3563</f>
        <v>60</v>
      </c>
      <c r="D337" s="4" t="str">
        <f>控制台!R3563</f>
        <v>yellow</v>
      </c>
      <c r="E337" s="4">
        <f>控制台!T3563</f>
        <v>-0.7</v>
      </c>
      <c r="F337" s="4" t="str">
        <f>控制台!U3563</f>
        <v>l_coin</v>
      </c>
      <c r="G337" s="4">
        <f>控制台!Y3563</f>
        <v>320</v>
      </c>
    </row>
    <row r="338" spans="1:7">
      <c r="A338" s="4">
        <f>控制台!B3564</f>
        <v>0</v>
      </c>
      <c r="B338" s="4" t="str">
        <f>控制台!D3564</f>
        <v>空军弹药</v>
      </c>
      <c r="C338" s="4">
        <f>控制台!G3564</f>
        <v>80</v>
      </c>
      <c r="D338" s="4" t="str">
        <f>控制台!R3564</f>
        <v>yellow</v>
      </c>
      <c r="E338" s="4">
        <f>控制台!T3564</f>
        <v>-0.6</v>
      </c>
      <c r="F338" s="4" t="str">
        <f>控制台!U3564</f>
        <v>l_coin</v>
      </c>
      <c r="G338" s="4">
        <f>控制台!Y3564</f>
        <v>575</v>
      </c>
    </row>
    <row r="339" spans="1:7">
      <c r="A339" s="4">
        <f>控制台!B3565</f>
        <v>0</v>
      </c>
      <c r="B339" s="4" t="str">
        <f>控制台!D3565</f>
        <v>空军零件</v>
      </c>
      <c r="C339" s="4">
        <f>控制台!G3565</f>
        <v>20</v>
      </c>
      <c r="D339" s="4" t="str">
        <f>控制台!R3565</f>
        <v>yellow</v>
      </c>
      <c r="E339" s="4">
        <f>控制台!T3565</f>
        <v>-0.8</v>
      </c>
      <c r="F339" s="4" t="str">
        <f>控制台!U3565</f>
        <v>l_coin</v>
      </c>
      <c r="G339" s="4">
        <f>控制台!Y3565</f>
        <v>240</v>
      </c>
    </row>
    <row r="340" spans="1:7">
      <c r="A340" s="4">
        <f>控制台!B3566</f>
        <v>0</v>
      </c>
      <c r="B340" s="4" t="str">
        <f>控制台!D3566</f>
        <v>空军零件</v>
      </c>
      <c r="C340" s="4">
        <f>控制台!G3566</f>
        <v>30</v>
      </c>
      <c r="D340" s="4" t="str">
        <f>控制台!R3566</f>
        <v>yellow</v>
      </c>
      <c r="E340" s="4">
        <f>控制台!T3566</f>
        <v>-0.7</v>
      </c>
      <c r="F340" s="4" t="str">
        <f>控制台!U3566</f>
        <v>l_coin</v>
      </c>
      <c r="G340" s="4">
        <f>控制台!Y3566</f>
        <v>540</v>
      </c>
    </row>
    <row r="341" spans="1:7">
      <c r="A341" s="4">
        <f>控制台!B3567</f>
        <v>0</v>
      </c>
      <c r="B341" s="4" t="str">
        <f>控制台!D3567</f>
        <v>空军零件</v>
      </c>
      <c r="C341" s="4">
        <f>控制台!G3567</f>
        <v>40</v>
      </c>
      <c r="D341" s="4" t="str">
        <f>控制台!R3567</f>
        <v>yellow</v>
      </c>
      <c r="E341" s="4">
        <f>控制台!T3567</f>
        <v>-0.6</v>
      </c>
      <c r="F341" s="4" t="str">
        <f>控制台!U3567</f>
        <v>l_coin</v>
      </c>
      <c r="G341" s="4">
        <f>控制台!Y3567</f>
        <v>960</v>
      </c>
    </row>
  </sheetData>
  <hyperlinks>
    <hyperlink ref="A1" location="控制台_208_黑市" display="返回控制台_黑市"/>
  </hyperlinks>
  <pageMargins left="0.699305555555556" right="0.699305555555556" top="0.75" bottom="0.75" header="0.3" footer="0.3"/>
  <pageSetup paperSize="9" orientation="portrait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09">
    <tabColor theme="9" tint="0.599993896298105"/>
  </sheetPr>
  <dimension ref="A1:AM77"/>
  <sheetViews>
    <sheetView zoomScale="70" zoomScaleNormal="70" topLeftCell="F1" workbookViewId="0">
      <selection activeCell="AG29" sqref="AG29"/>
    </sheetView>
  </sheetViews>
  <sheetFormatPr defaultColWidth="8.70967741935484" defaultRowHeight="13.1"/>
  <cols>
    <col min="1" max="1" width="9.62903225806452" style="1" customWidth="1"/>
    <col min="2" max="3" width="9.37903225806452" style="1" customWidth="1"/>
    <col min="4" max="9" width="9.62903225806452" style="1"/>
    <col min="10" max="10" width="9.62903225806452" style="1" customWidth="1"/>
    <col min="11" max="11" width="10.8790322580645" style="1" customWidth="1"/>
    <col min="12" max="12" width="10.75" style="1" customWidth="1"/>
    <col min="13" max="24" width="9.62903225806452" style="1"/>
    <col min="25" max="30" width="9.62903225806452" style="1" customWidth="1"/>
    <col min="31" max="16384" width="9.62903225806452" style="1"/>
  </cols>
  <sheetData>
    <row r="1" spans="1:12">
      <c r="A1" s="3" t="s">
        <v>2988</v>
      </c>
      <c r="L1" s="4"/>
    </row>
    <row r="2" spans="12:12">
      <c r="L2" s="4"/>
    </row>
    <row r="3" s="2" customFormat="1" spans="1:1">
      <c r="A3" s="2" t="s">
        <v>2885</v>
      </c>
    </row>
    <row r="4" spans="12:12">
      <c r="L4" s="4"/>
    </row>
    <row r="5" spans="1:39">
      <c r="A5" s="1" t="s">
        <v>382</v>
      </c>
      <c r="B5" s="1" t="s">
        <v>2759</v>
      </c>
      <c r="C5" s="1" t="s">
        <v>1315</v>
      </c>
      <c r="D5" s="1" t="s">
        <v>2989</v>
      </c>
      <c r="E5" s="1" t="s">
        <v>2990</v>
      </c>
      <c r="F5" s="5" t="s">
        <v>2991</v>
      </c>
      <c r="G5" s="1" t="s">
        <v>1390</v>
      </c>
      <c r="H5" s="1" t="s">
        <v>2934</v>
      </c>
      <c r="I5" s="5" t="s">
        <v>863</v>
      </c>
      <c r="J5" s="1" t="s">
        <v>1391</v>
      </c>
      <c r="K5" s="1" t="s">
        <v>2760</v>
      </c>
      <c r="L5" s="5" t="s">
        <v>864</v>
      </c>
      <c r="M5" s="1" t="s">
        <v>1392</v>
      </c>
      <c r="N5" s="1" t="s">
        <v>1193</v>
      </c>
      <c r="O5" s="5" t="s">
        <v>1664</v>
      </c>
      <c r="P5" s="1" t="s">
        <v>2979</v>
      </c>
      <c r="Q5" s="1" t="s">
        <v>2980</v>
      </c>
      <c r="R5" s="5" t="s">
        <v>2981</v>
      </c>
      <c r="S5" s="1" t="s">
        <v>2932</v>
      </c>
      <c r="T5" s="1" t="s">
        <v>2929</v>
      </c>
      <c r="U5" s="5" t="s">
        <v>1649</v>
      </c>
      <c r="V5" s="1" t="s">
        <v>1393</v>
      </c>
      <c r="W5" s="1" t="s">
        <v>2939</v>
      </c>
      <c r="X5" s="5" t="s">
        <v>2940</v>
      </c>
      <c r="Y5" s="1" t="s">
        <v>1394</v>
      </c>
      <c r="Z5" s="1" t="s">
        <v>2941</v>
      </c>
      <c r="AA5" s="5" t="s">
        <v>1652</v>
      </c>
      <c r="AB5" s="1" t="s">
        <v>2992</v>
      </c>
      <c r="AC5" s="1" t="s">
        <v>2993</v>
      </c>
      <c r="AD5" s="5" t="s">
        <v>2994</v>
      </c>
      <c r="AE5" s="1" t="s">
        <v>2962</v>
      </c>
      <c r="AF5" s="1" t="s">
        <v>2965</v>
      </c>
      <c r="AG5" s="5" t="s">
        <v>2966</v>
      </c>
      <c r="AH5" s="1" t="s">
        <v>2967</v>
      </c>
      <c r="AI5" s="1" t="s">
        <v>2970</v>
      </c>
      <c r="AJ5" s="5" t="s">
        <v>1659</v>
      </c>
      <c r="AK5" s="1" t="s">
        <v>2943</v>
      </c>
      <c r="AL5" s="1" t="s">
        <v>2944</v>
      </c>
      <c r="AM5" s="5" t="s">
        <v>1662</v>
      </c>
    </row>
    <row r="6" spans="1:39">
      <c r="A6" s="7">
        <v>0</v>
      </c>
      <c r="B6" s="1">
        <f>A6</f>
        <v>0</v>
      </c>
      <c r="C6" s="13">
        <f ca="1">IF(A6-1&lt;0,控制台!$C$3643,OFFSET(控制台!$C$3643,MATCH(A6-1,控制台!$B$3643:$B$3648,1)-1,0))</f>
        <v>0</v>
      </c>
      <c r="D6" s="1">
        <f ca="1">控制台!$E$3594*$C6</f>
        <v>0</v>
      </c>
      <c r="E6" s="1">
        <f ca="1">D6*$B6</f>
        <v>0</v>
      </c>
      <c r="F6" s="5">
        <f ca="1">E6</f>
        <v>0</v>
      </c>
      <c r="G6" s="1">
        <f ca="1">控制台!$E$3598*$C6</f>
        <v>0</v>
      </c>
      <c r="H6" s="1">
        <f ca="1">G6*$B6</f>
        <v>0</v>
      </c>
      <c r="I6" s="5">
        <f ca="1">H6</f>
        <v>0</v>
      </c>
      <c r="J6" s="1">
        <f ca="1">控制台!$E$3602*$C6</f>
        <v>0</v>
      </c>
      <c r="K6" s="1">
        <f ca="1">J6*$B6</f>
        <v>0</v>
      </c>
      <c r="L6" s="5">
        <f ca="1">K6</f>
        <v>0</v>
      </c>
      <c r="M6" s="1">
        <f ca="1">控制台!$E$3606*$C6</f>
        <v>0</v>
      </c>
      <c r="N6" s="1">
        <f ca="1">M6*$B6</f>
        <v>0</v>
      </c>
      <c r="O6" s="5">
        <f ca="1">N6</f>
        <v>0</v>
      </c>
      <c r="P6" s="1">
        <f ca="1">控制台!$E$3610*$C6</f>
        <v>0</v>
      </c>
      <c r="Q6" s="1">
        <f ca="1">P6*$B6</f>
        <v>0</v>
      </c>
      <c r="R6" s="5">
        <f ca="1">Q6</f>
        <v>0</v>
      </c>
      <c r="S6" s="1">
        <f ca="1">控制台!$E$3614*$C6</f>
        <v>0</v>
      </c>
      <c r="T6" s="1">
        <f ca="1">S6*$B6</f>
        <v>0</v>
      </c>
      <c r="U6" s="5">
        <f ca="1">T6</f>
        <v>0</v>
      </c>
      <c r="V6" s="1">
        <f ca="1">控制台!$E$3618*$C6</f>
        <v>0</v>
      </c>
      <c r="W6" s="1">
        <f ca="1">V6*$B6</f>
        <v>0</v>
      </c>
      <c r="X6" s="5">
        <f ca="1">W6</f>
        <v>0</v>
      </c>
      <c r="Y6" s="1">
        <f ca="1">控制台!$E$3622*$C6</f>
        <v>0</v>
      </c>
      <c r="Z6" s="1">
        <f ca="1">Y6*$B6</f>
        <v>0</v>
      </c>
      <c r="AA6" s="5">
        <f ca="1">Z6</f>
        <v>0</v>
      </c>
      <c r="AB6" s="1">
        <f ca="1">控制台!$E$3626*$C6</f>
        <v>0</v>
      </c>
      <c r="AC6" s="1">
        <f ca="1">AB6*$B6</f>
        <v>0</v>
      </c>
      <c r="AD6" s="5">
        <f ca="1">AC6</f>
        <v>0</v>
      </c>
      <c r="AE6" s="1">
        <f ca="1">控制台!$E$3630*$C6</f>
        <v>0</v>
      </c>
      <c r="AF6" s="1">
        <f ca="1">AE6*$B6</f>
        <v>0</v>
      </c>
      <c r="AG6" s="5">
        <f ca="1">AF6</f>
        <v>0</v>
      </c>
      <c r="AH6" s="1">
        <f ca="1">控制台!$E$3634*$C6</f>
        <v>0</v>
      </c>
      <c r="AI6" s="1">
        <f ca="1">AH6*$B6</f>
        <v>0</v>
      </c>
      <c r="AJ6" s="5">
        <f ca="1">AI6</f>
        <v>0</v>
      </c>
      <c r="AK6" s="1">
        <f ca="1">控制台!$E$3638*$C6</f>
        <v>0</v>
      </c>
      <c r="AL6" s="1">
        <f ca="1">AK6*$B6</f>
        <v>0</v>
      </c>
      <c r="AM6" s="5">
        <f ca="1">AL6</f>
        <v>0</v>
      </c>
    </row>
    <row r="7" spans="1:39">
      <c r="A7" s="7">
        <v>0.1</v>
      </c>
      <c r="B7" s="1">
        <f>A7-A6</f>
        <v>0.1</v>
      </c>
      <c r="C7" s="13">
        <f ca="1">IF(A7-1&lt;0,控制台!$C$3643,OFFSET(控制台!$C$3643,MATCH(A7-1,控制台!$B$3643:$B$3648,1)-1,0))</f>
        <v>0</v>
      </c>
      <c r="D7" s="1">
        <f ca="1">控制台!$E$3594*$C7</f>
        <v>0</v>
      </c>
      <c r="E7" s="1">
        <f ca="1" t="shared" ref="E7:E70" si="0">D7*$B7</f>
        <v>0</v>
      </c>
      <c r="F7" s="5">
        <f ca="1">F6+E7</f>
        <v>0</v>
      </c>
      <c r="G7" s="1">
        <f ca="1">控制台!$E$3598*$C7</f>
        <v>0</v>
      </c>
      <c r="H7" s="1">
        <f ca="1" t="shared" ref="H7:H70" si="1">G7*$B7</f>
        <v>0</v>
      </c>
      <c r="I7" s="5">
        <f ca="1">I6+H7</f>
        <v>0</v>
      </c>
      <c r="J7" s="1">
        <f ca="1">控制台!$E$3602*$C7</f>
        <v>0</v>
      </c>
      <c r="K7" s="1">
        <f ca="1" t="shared" ref="K7:K70" si="2">J7*$B7</f>
        <v>0</v>
      </c>
      <c r="L7" s="5">
        <f ca="1">L6+K7</f>
        <v>0</v>
      </c>
      <c r="M7" s="1">
        <f ca="1">控制台!$E$3606*$C7</f>
        <v>0</v>
      </c>
      <c r="N7" s="1">
        <f ca="1" t="shared" ref="N7:N70" si="3">M7*$B7</f>
        <v>0</v>
      </c>
      <c r="O7" s="5">
        <f ca="1">O6+N7</f>
        <v>0</v>
      </c>
      <c r="P7" s="1">
        <f ca="1">控制台!$E$3610*$C7</f>
        <v>0</v>
      </c>
      <c r="Q7" s="1">
        <f ca="1" t="shared" ref="Q7:Q70" si="4">P7*$B7</f>
        <v>0</v>
      </c>
      <c r="R7" s="5">
        <f ca="1">R6+Q7</f>
        <v>0</v>
      </c>
      <c r="S7" s="1">
        <f ca="1">控制台!$E$3614*$C7</f>
        <v>0</v>
      </c>
      <c r="T7" s="1">
        <f ca="1" t="shared" ref="T7:T70" si="5">S7*$B7</f>
        <v>0</v>
      </c>
      <c r="U7" s="5">
        <f ca="1">U6+T7</f>
        <v>0</v>
      </c>
      <c r="V7" s="1">
        <f ca="1">控制台!$E$3618*$C7</f>
        <v>0</v>
      </c>
      <c r="W7" s="1">
        <f ca="1" t="shared" ref="W7:W70" si="6">V7*$B7</f>
        <v>0</v>
      </c>
      <c r="X7" s="5">
        <f ca="1">X6+W7</f>
        <v>0</v>
      </c>
      <c r="Y7" s="1">
        <f ca="1">控制台!$E$3622*$C7</f>
        <v>0</v>
      </c>
      <c r="Z7" s="1">
        <f ca="1" t="shared" ref="Z7:Z70" si="7">Y7*$B7</f>
        <v>0</v>
      </c>
      <c r="AA7" s="5">
        <f ca="1">AA6+Z7</f>
        <v>0</v>
      </c>
      <c r="AB7" s="1">
        <f ca="1">控制台!$E$3626*$C7</f>
        <v>0</v>
      </c>
      <c r="AC7" s="1">
        <f ca="1" t="shared" ref="AC7:AC70" si="8">AB7*$B7</f>
        <v>0</v>
      </c>
      <c r="AD7" s="5">
        <f ca="1">AD6+AC7</f>
        <v>0</v>
      </c>
      <c r="AE7" s="1">
        <f ca="1">控制台!$E$3630*$C7</f>
        <v>0</v>
      </c>
      <c r="AF7" s="1">
        <f ca="1" t="shared" ref="AF7:AF70" si="9">AE7*$B7</f>
        <v>0</v>
      </c>
      <c r="AG7" s="5">
        <f ca="1">AG6+AF7</f>
        <v>0</v>
      </c>
      <c r="AH7" s="1">
        <f ca="1">控制台!$E$3634*$C7</f>
        <v>0</v>
      </c>
      <c r="AI7" s="1">
        <f ca="1" t="shared" ref="AI7:AI70" si="10">AH7*$B7</f>
        <v>0</v>
      </c>
      <c r="AJ7" s="5">
        <f ca="1">AJ6+AI7</f>
        <v>0</v>
      </c>
      <c r="AK7" s="1">
        <f ca="1">控制台!$E$3638*$C7</f>
        <v>0</v>
      </c>
      <c r="AL7" s="1">
        <f ca="1" t="shared" ref="AL7:AL70" si="11">AK7*$B7</f>
        <v>0</v>
      </c>
      <c r="AM7" s="5">
        <f ca="1">AM6+AL7</f>
        <v>0</v>
      </c>
    </row>
    <row r="8" spans="1:39">
      <c r="A8" s="7">
        <v>0.2</v>
      </c>
      <c r="B8" s="1">
        <f t="shared" ref="B8:B71" si="12">A8-A7</f>
        <v>0.1</v>
      </c>
      <c r="C8" s="13">
        <f ca="1">IF(A8-1&lt;0,控制台!$C$3643,OFFSET(控制台!$C$3643,MATCH(A8-1,控制台!$B$3643:$B$3648,1)-1,0))</f>
        <v>0</v>
      </c>
      <c r="D8" s="1">
        <f ca="1">控制台!$E$3594*$C8</f>
        <v>0</v>
      </c>
      <c r="E8" s="1">
        <f ca="1" t="shared" si="0"/>
        <v>0</v>
      </c>
      <c r="F8" s="5">
        <f ca="1" t="shared" ref="F8:F71" si="13">F7+E8</f>
        <v>0</v>
      </c>
      <c r="G8" s="1">
        <f ca="1">控制台!$E$3598*$C8</f>
        <v>0</v>
      </c>
      <c r="H8" s="1">
        <f ca="1" t="shared" si="1"/>
        <v>0</v>
      </c>
      <c r="I8" s="5">
        <f ca="1" t="shared" ref="I8:I71" si="14">I7+H8</f>
        <v>0</v>
      </c>
      <c r="J8" s="1">
        <f ca="1">控制台!$E$3602*$C8</f>
        <v>0</v>
      </c>
      <c r="K8" s="1">
        <f ca="1" t="shared" si="2"/>
        <v>0</v>
      </c>
      <c r="L8" s="5">
        <f ca="1" t="shared" ref="L8:L71" si="15">L7+K8</f>
        <v>0</v>
      </c>
      <c r="M8" s="1">
        <f ca="1">控制台!$E$3606*$C8</f>
        <v>0</v>
      </c>
      <c r="N8" s="1">
        <f ca="1" t="shared" si="3"/>
        <v>0</v>
      </c>
      <c r="O8" s="5">
        <f ca="1" t="shared" ref="O8:O71" si="16">O7+N8</f>
        <v>0</v>
      </c>
      <c r="P8" s="1">
        <f ca="1">控制台!$E$3610*$C8</f>
        <v>0</v>
      </c>
      <c r="Q8" s="1">
        <f ca="1" t="shared" si="4"/>
        <v>0</v>
      </c>
      <c r="R8" s="5">
        <f ca="1" t="shared" ref="R8:R71" si="17">R7+Q8</f>
        <v>0</v>
      </c>
      <c r="S8" s="1">
        <f ca="1">控制台!$E$3614*$C8</f>
        <v>0</v>
      </c>
      <c r="T8" s="1">
        <f ca="1" t="shared" si="5"/>
        <v>0</v>
      </c>
      <c r="U8" s="5">
        <f ca="1" t="shared" ref="U8:U71" si="18">U7+T8</f>
        <v>0</v>
      </c>
      <c r="V8" s="1">
        <f ca="1">控制台!$E$3618*$C8</f>
        <v>0</v>
      </c>
      <c r="W8" s="1">
        <f ca="1" t="shared" si="6"/>
        <v>0</v>
      </c>
      <c r="X8" s="5">
        <f ca="1" t="shared" ref="X8:X71" si="19">X7+W8</f>
        <v>0</v>
      </c>
      <c r="Y8" s="1">
        <f ca="1">控制台!$E$3622*$C8</f>
        <v>0</v>
      </c>
      <c r="Z8" s="1">
        <f ca="1" t="shared" si="7"/>
        <v>0</v>
      </c>
      <c r="AA8" s="5">
        <f ca="1" t="shared" ref="AA8:AA71" si="20">AA7+Z8</f>
        <v>0</v>
      </c>
      <c r="AB8" s="1">
        <f ca="1">控制台!$E$3626*$C8</f>
        <v>0</v>
      </c>
      <c r="AC8" s="1">
        <f ca="1" t="shared" si="8"/>
        <v>0</v>
      </c>
      <c r="AD8" s="5">
        <f ca="1" t="shared" ref="AD8:AD71" si="21">AD7+AC8</f>
        <v>0</v>
      </c>
      <c r="AE8" s="1">
        <f ca="1">控制台!$E$3630*$C8</f>
        <v>0</v>
      </c>
      <c r="AF8" s="1">
        <f ca="1" t="shared" si="9"/>
        <v>0</v>
      </c>
      <c r="AG8" s="5">
        <f ca="1" t="shared" ref="AG8:AG71" si="22">AG7+AF8</f>
        <v>0</v>
      </c>
      <c r="AH8" s="1">
        <f ca="1">控制台!$E$3634*$C8</f>
        <v>0</v>
      </c>
      <c r="AI8" s="1">
        <f ca="1" t="shared" si="10"/>
        <v>0</v>
      </c>
      <c r="AJ8" s="5">
        <f ca="1" t="shared" ref="AJ8:AJ71" si="23">AJ7+AI8</f>
        <v>0</v>
      </c>
      <c r="AK8" s="1">
        <f ca="1">控制台!$E$3638*$C8</f>
        <v>0</v>
      </c>
      <c r="AL8" s="1">
        <f ca="1" t="shared" si="11"/>
        <v>0</v>
      </c>
      <c r="AM8" s="5">
        <f ca="1" t="shared" ref="AM8:AM71" si="24">AM7+AL8</f>
        <v>0</v>
      </c>
    </row>
    <row r="9" spans="1:39">
      <c r="A9" s="7">
        <v>0.3</v>
      </c>
      <c r="B9" s="1">
        <f t="shared" si="12"/>
        <v>0.1</v>
      </c>
      <c r="C9" s="13">
        <f ca="1">IF(A9-1&lt;0,控制台!$C$3643,OFFSET(控制台!$C$3643,MATCH(A9-1,控制台!$B$3643:$B$3648,1)-1,0))</f>
        <v>0</v>
      </c>
      <c r="D9" s="1">
        <f ca="1">控制台!$E$3594*$C9</f>
        <v>0</v>
      </c>
      <c r="E9" s="1">
        <f ca="1" t="shared" si="0"/>
        <v>0</v>
      </c>
      <c r="F9" s="5">
        <f ca="1" t="shared" si="13"/>
        <v>0</v>
      </c>
      <c r="G9" s="1">
        <f ca="1">控制台!$E$3598*$C9</f>
        <v>0</v>
      </c>
      <c r="H9" s="1">
        <f ca="1" t="shared" si="1"/>
        <v>0</v>
      </c>
      <c r="I9" s="5">
        <f ca="1" t="shared" si="14"/>
        <v>0</v>
      </c>
      <c r="J9" s="1">
        <f ca="1">控制台!$E$3602*$C9</f>
        <v>0</v>
      </c>
      <c r="K9" s="1">
        <f ca="1" t="shared" si="2"/>
        <v>0</v>
      </c>
      <c r="L9" s="5">
        <f ca="1" t="shared" si="15"/>
        <v>0</v>
      </c>
      <c r="M9" s="1">
        <f ca="1">控制台!$E$3606*$C9</f>
        <v>0</v>
      </c>
      <c r="N9" s="1">
        <f ca="1" t="shared" si="3"/>
        <v>0</v>
      </c>
      <c r="O9" s="5">
        <f ca="1" t="shared" si="16"/>
        <v>0</v>
      </c>
      <c r="P9" s="1">
        <f ca="1">控制台!$E$3610*$C9</f>
        <v>0</v>
      </c>
      <c r="Q9" s="1">
        <f ca="1" t="shared" si="4"/>
        <v>0</v>
      </c>
      <c r="R9" s="5">
        <f ca="1" t="shared" si="17"/>
        <v>0</v>
      </c>
      <c r="S9" s="1">
        <f ca="1">控制台!$E$3614*$C9</f>
        <v>0</v>
      </c>
      <c r="T9" s="1">
        <f ca="1" t="shared" si="5"/>
        <v>0</v>
      </c>
      <c r="U9" s="5">
        <f ca="1" t="shared" si="18"/>
        <v>0</v>
      </c>
      <c r="V9" s="1">
        <f ca="1">控制台!$E$3618*$C9</f>
        <v>0</v>
      </c>
      <c r="W9" s="1">
        <f ca="1" t="shared" si="6"/>
        <v>0</v>
      </c>
      <c r="X9" s="5">
        <f ca="1" t="shared" si="19"/>
        <v>0</v>
      </c>
      <c r="Y9" s="1">
        <f ca="1">控制台!$E$3622*$C9</f>
        <v>0</v>
      </c>
      <c r="Z9" s="1">
        <f ca="1" t="shared" si="7"/>
        <v>0</v>
      </c>
      <c r="AA9" s="5">
        <f ca="1" t="shared" si="20"/>
        <v>0</v>
      </c>
      <c r="AB9" s="1">
        <f ca="1">控制台!$E$3626*$C9</f>
        <v>0</v>
      </c>
      <c r="AC9" s="1">
        <f ca="1" t="shared" si="8"/>
        <v>0</v>
      </c>
      <c r="AD9" s="5">
        <f ca="1" t="shared" si="21"/>
        <v>0</v>
      </c>
      <c r="AE9" s="1">
        <f ca="1">控制台!$E$3630*$C9</f>
        <v>0</v>
      </c>
      <c r="AF9" s="1">
        <f ca="1" t="shared" si="9"/>
        <v>0</v>
      </c>
      <c r="AG9" s="5">
        <f ca="1" t="shared" si="22"/>
        <v>0</v>
      </c>
      <c r="AH9" s="1">
        <f ca="1">控制台!$E$3634*$C9</f>
        <v>0</v>
      </c>
      <c r="AI9" s="1">
        <f ca="1" t="shared" si="10"/>
        <v>0</v>
      </c>
      <c r="AJ9" s="5">
        <f ca="1" t="shared" si="23"/>
        <v>0</v>
      </c>
      <c r="AK9" s="1">
        <f ca="1">控制台!$E$3638*$C9</f>
        <v>0</v>
      </c>
      <c r="AL9" s="1">
        <f ca="1" t="shared" si="11"/>
        <v>0</v>
      </c>
      <c r="AM9" s="5">
        <f ca="1" t="shared" si="24"/>
        <v>0</v>
      </c>
    </row>
    <row r="10" spans="1:39">
      <c r="A10" s="7">
        <v>0.4</v>
      </c>
      <c r="B10" s="1">
        <f t="shared" si="12"/>
        <v>0.1</v>
      </c>
      <c r="C10" s="13">
        <f ca="1">IF(A10-1&lt;0,控制台!$C$3643,OFFSET(控制台!$C$3643,MATCH(A10-1,控制台!$B$3643:$B$3648,1)-1,0))</f>
        <v>0</v>
      </c>
      <c r="D10" s="1">
        <f ca="1">控制台!$E$3594*$C10</f>
        <v>0</v>
      </c>
      <c r="E10" s="1">
        <f ca="1" t="shared" si="0"/>
        <v>0</v>
      </c>
      <c r="F10" s="5">
        <f ca="1" t="shared" si="13"/>
        <v>0</v>
      </c>
      <c r="G10" s="1">
        <f ca="1">控制台!$E$3598*$C10</f>
        <v>0</v>
      </c>
      <c r="H10" s="1">
        <f ca="1" t="shared" si="1"/>
        <v>0</v>
      </c>
      <c r="I10" s="5">
        <f ca="1" t="shared" si="14"/>
        <v>0</v>
      </c>
      <c r="J10" s="1">
        <f ca="1">控制台!$E$3602*$C10</f>
        <v>0</v>
      </c>
      <c r="K10" s="1">
        <f ca="1" t="shared" si="2"/>
        <v>0</v>
      </c>
      <c r="L10" s="5">
        <f ca="1" t="shared" si="15"/>
        <v>0</v>
      </c>
      <c r="M10" s="1">
        <f ca="1">控制台!$E$3606*$C10</f>
        <v>0</v>
      </c>
      <c r="N10" s="1">
        <f ca="1" t="shared" si="3"/>
        <v>0</v>
      </c>
      <c r="O10" s="5">
        <f ca="1" t="shared" si="16"/>
        <v>0</v>
      </c>
      <c r="P10" s="1">
        <f ca="1">控制台!$E$3610*$C10</f>
        <v>0</v>
      </c>
      <c r="Q10" s="1">
        <f ca="1" t="shared" si="4"/>
        <v>0</v>
      </c>
      <c r="R10" s="5">
        <f ca="1" t="shared" si="17"/>
        <v>0</v>
      </c>
      <c r="S10" s="1">
        <f ca="1">控制台!$E$3614*$C10</f>
        <v>0</v>
      </c>
      <c r="T10" s="1">
        <f ca="1" t="shared" si="5"/>
        <v>0</v>
      </c>
      <c r="U10" s="5">
        <f ca="1" t="shared" si="18"/>
        <v>0</v>
      </c>
      <c r="V10" s="1">
        <f ca="1">控制台!$E$3618*$C10</f>
        <v>0</v>
      </c>
      <c r="W10" s="1">
        <f ca="1" t="shared" si="6"/>
        <v>0</v>
      </c>
      <c r="X10" s="5">
        <f ca="1" t="shared" si="19"/>
        <v>0</v>
      </c>
      <c r="Y10" s="1">
        <f ca="1">控制台!$E$3622*$C10</f>
        <v>0</v>
      </c>
      <c r="Z10" s="1">
        <f ca="1" t="shared" si="7"/>
        <v>0</v>
      </c>
      <c r="AA10" s="5">
        <f ca="1" t="shared" si="20"/>
        <v>0</v>
      </c>
      <c r="AB10" s="1">
        <f ca="1">控制台!$E$3626*$C10</f>
        <v>0</v>
      </c>
      <c r="AC10" s="1">
        <f ca="1" t="shared" si="8"/>
        <v>0</v>
      </c>
      <c r="AD10" s="5">
        <f ca="1" t="shared" si="21"/>
        <v>0</v>
      </c>
      <c r="AE10" s="1">
        <f ca="1">控制台!$E$3630*$C10</f>
        <v>0</v>
      </c>
      <c r="AF10" s="1">
        <f ca="1" t="shared" si="9"/>
        <v>0</v>
      </c>
      <c r="AG10" s="5">
        <f ca="1" t="shared" si="22"/>
        <v>0</v>
      </c>
      <c r="AH10" s="1">
        <f ca="1">控制台!$E$3634*$C10</f>
        <v>0</v>
      </c>
      <c r="AI10" s="1">
        <f ca="1" t="shared" si="10"/>
        <v>0</v>
      </c>
      <c r="AJ10" s="5">
        <f ca="1" t="shared" si="23"/>
        <v>0</v>
      </c>
      <c r="AK10" s="1">
        <f ca="1">控制台!$E$3638*$C10</f>
        <v>0</v>
      </c>
      <c r="AL10" s="1">
        <f ca="1" t="shared" si="11"/>
        <v>0</v>
      </c>
      <c r="AM10" s="5">
        <f ca="1" t="shared" si="24"/>
        <v>0</v>
      </c>
    </row>
    <row r="11" spans="1:39">
      <c r="A11" s="7">
        <v>0.5</v>
      </c>
      <c r="B11" s="1">
        <f t="shared" si="12"/>
        <v>0.1</v>
      </c>
      <c r="C11" s="13">
        <f ca="1">IF(A11-1&lt;0,控制台!$C$3643,OFFSET(控制台!$C$3643,MATCH(A11-1,控制台!$B$3643:$B$3648,1)-1,0))</f>
        <v>0</v>
      </c>
      <c r="D11" s="1">
        <f ca="1">控制台!$E$3594*$C11</f>
        <v>0</v>
      </c>
      <c r="E11" s="1">
        <f ca="1" t="shared" si="0"/>
        <v>0</v>
      </c>
      <c r="F11" s="5">
        <f ca="1" t="shared" si="13"/>
        <v>0</v>
      </c>
      <c r="G11" s="1">
        <f ca="1">控制台!$E$3598*$C11</f>
        <v>0</v>
      </c>
      <c r="H11" s="1">
        <f ca="1" t="shared" si="1"/>
        <v>0</v>
      </c>
      <c r="I11" s="5">
        <f ca="1" t="shared" si="14"/>
        <v>0</v>
      </c>
      <c r="J11" s="1">
        <f ca="1">控制台!$E$3602*$C11</f>
        <v>0</v>
      </c>
      <c r="K11" s="1">
        <f ca="1" t="shared" si="2"/>
        <v>0</v>
      </c>
      <c r="L11" s="5">
        <f ca="1" t="shared" si="15"/>
        <v>0</v>
      </c>
      <c r="M11" s="1">
        <f ca="1">控制台!$E$3606*$C11</f>
        <v>0</v>
      </c>
      <c r="N11" s="1">
        <f ca="1" t="shared" si="3"/>
        <v>0</v>
      </c>
      <c r="O11" s="5">
        <f ca="1" t="shared" si="16"/>
        <v>0</v>
      </c>
      <c r="P11" s="1">
        <f ca="1">控制台!$E$3610*$C11</f>
        <v>0</v>
      </c>
      <c r="Q11" s="1">
        <f ca="1" t="shared" si="4"/>
        <v>0</v>
      </c>
      <c r="R11" s="5">
        <f ca="1" t="shared" si="17"/>
        <v>0</v>
      </c>
      <c r="S11" s="1">
        <f ca="1">控制台!$E$3614*$C11</f>
        <v>0</v>
      </c>
      <c r="T11" s="1">
        <f ca="1" t="shared" si="5"/>
        <v>0</v>
      </c>
      <c r="U11" s="5">
        <f ca="1" t="shared" si="18"/>
        <v>0</v>
      </c>
      <c r="V11" s="1">
        <f ca="1">控制台!$E$3618*$C11</f>
        <v>0</v>
      </c>
      <c r="W11" s="1">
        <f ca="1" t="shared" si="6"/>
        <v>0</v>
      </c>
      <c r="X11" s="5">
        <f ca="1" t="shared" si="19"/>
        <v>0</v>
      </c>
      <c r="Y11" s="1">
        <f ca="1">控制台!$E$3622*$C11</f>
        <v>0</v>
      </c>
      <c r="Z11" s="1">
        <f ca="1" t="shared" si="7"/>
        <v>0</v>
      </c>
      <c r="AA11" s="5">
        <f ca="1" t="shared" si="20"/>
        <v>0</v>
      </c>
      <c r="AB11" s="1">
        <f ca="1">控制台!$E$3626*$C11</f>
        <v>0</v>
      </c>
      <c r="AC11" s="1">
        <f ca="1" t="shared" si="8"/>
        <v>0</v>
      </c>
      <c r="AD11" s="5">
        <f ca="1" t="shared" si="21"/>
        <v>0</v>
      </c>
      <c r="AE11" s="1">
        <f ca="1">控制台!$E$3630*$C11</f>
        <v>0</v>
      </c>
      <c r="AF11" s="1">
        <f ca="1" t="shared" si="9"/>
        <v>0</v>
      </c>
      <c r="AG11" s="5">
        <f ca="1" t="shared" si="22"/>
        <v>0</v>
      </c>
      <c r="AH11" s="1">
        <f ca="1">控制台!$E$3634*$C11</f>
        <v>0</v>
      </c>
      <c r="AI11" s="1">
        <f ca="1" t="shared" si="10"/>
        <v>0</v>
      </c>
      <c r="AJ11" s="5">
        <f ca="1" t="shared" si="23"/>
        <v>0</v>
      </c>
      <c r="AK11" s="1">
        <f ca="1">控制台!$E$3638*$C11</f>
        <v>0</v>
      </c>
      <c r="AL11" s="1">
        <f ca="1" t="shared" si="11"/>
        <v>0</v>
      </c>
      <c r="AM11" s="5">
        <f ca="1" t="shared" si="24"/>
        <v>0</v>
      </c>
    </row>
    <row r="12" spans="1:39">
      <c r="A12" s="7">
        <v>0.6</v>
      </c>
      <c r="B12" s="1">
        <f t="shared" si="12"/>
        <v>0.1</v>
      </c>
      <c r="C12" s="13">
        <f ca="1">IF(A12-1&lt;0,控制台!$C$3643,OFFSET(控制台!$C$3643,MATCH(A12-1,控制台!$B$3643:$B$3648,1)-1,0))</f>
        <v>0</v>
      </c>
      <c r="D12" s="1">
        <f ca="1">控制台!$E$3594*$C12</f>
        <v>0</v>
      </c>
      <c r="E12" s="1">
        <f ca="1" t="shared" si="0"/>
        <v>0</v>
      </c>
      <c r="F12" s="5">
        <f ca="1" t="shared" si="13"/>
        <v>0</v>
      </c>
      <c r="G12" s="1">
        <f ca="1">控制台!$E$3598*$C12</f>
        <v>0</v>
      </c>
      <c r="H12" s="1">
        <f ca="1" t="shared" si="1"/>
        <v>0</v>
      </c>
      <c r="I12" s="5">
        <f ca="1" t="shared" si="14"/>
        <v>0</v>
      </c>
      <c r="J12" s="1">
        <f ca="1">控制台!$E$3602*$C12</f>
        <v>0</v>
      </c>
      <c r="K12" s="1">
        <f ca="1" t="shared" si="2"/>
        <v>0</v>
      </c>
      <c r="L12" s="5">
        <f ca="1" t="shared" si="15"/>
        <v>0</v>
      </c>
      <c r="M12" s="1">
        <f ca="1">控制台!$E$3606*$C12</f>
        <v>0</v>
      </c>
      <c r="N12" s="1">
        <f ca="1" t="shared" si="3"/>
        <v>0</v>
      </c>
      <c r="O12" s="5">
        <f ca="1" t="shared" si="16"/>
        <v>0</v>
      </c>
      <c r="P12" s="1">
        <f ca="1">控制台!$E$3610*$C12</f>
        <v>0</v>
      </c>
      <c r="Q12" s="1">
        <f ca="1" t="shared" si="4"/>
        <v>0</v>
      </c>
      <c r="R12" s="5">
        <f ca="1" t="shared" si="17"/>
        <v>0</v>
      </c>
      <c r="S12" s="1">
        <f ca="1">控制台!$E$3614*$C12</f>
        <v>0</v>
      </c>
      <c r="T12" s="1">
        <f ca="1" t="shared" si="5"/>
        <v>0</v>
      </c>
      <c r="U12" s="5">
        <f ca="1" t="shared" si="18"/>
        <v>0</v>
      </c>
      <c r="V12" s="1">
        <f ca="1">控制台!$E$3618*$C12</f>
        <v>0</v>
      </c>
      <c r="W12" s="1">
        <f ca="1" t="shared" si="6"/>
        <v>0</v>
      </c>
      <c r="X12" s="5">
        <f ca="1" t="shared" si="19"/>
        <v>0</v>
      </c>
      <c r="Y12" s="1">
        <f ca="1">控制台!$E$3622*$C12</f>
        <v>0</v>
      </c>
      <c r="Z12" s="1">
        <f ca="1" t="shared" si="7"/>
        <v>0</v>
      </c>
      <c r="AA12" s="5">
        <f ca="1" t="shared" si="20"/>
        <v>0</v>
      </c>
      <c r="AB12" s="1">
        <f ca="1">控制台!$E$3626*$C12</f>
        <v>0</v>
      </c>
      <c r="AC12" s="1">
        <f ca="1" t="shared" si="8"/>
        <v>0</v>
      </c>
      <c r="AD12" s="5">
        <f ca="1" t="shared" si="21"/>
        <v>0</v>
      </c>
      <c r="AE12" s="1">
        <f ca="1">控制台!$E$3630*$C12</f>
        <v>0</v>
      </c>
      <c r="AF12" s="1">
        <f ca="1" t="shared" si="9"/>
        <v>0</v>
      </c>
      <c r="AG12" s="5">
        <f ca="1" t="shared" si="22"/>
        <v>0</v>
      </c>
      <c r="AH12" s="1">
        <f ca="1">控制台!$E$3634*$C12</f>
        <v>0</v>
      </c>
      <c r="AI12" s="1">
        <f ca="1" t="shared" si="10"/>
        <v>0</v>
      </c>
      <c r="AJ12" s="5">
        <f ca="1" t="shared" si="23"/>
        <v>0</v>
      </c>
      <c r="AK12" s="1">
        <f ca="1">控制台!$E$3638*$C12</f>
        <v>0</v>
      </c>
      <c r="AL12" s="1">
        <f ca="1" t="shared" si="11"/>
        <v>0</v>
      </c>
      <c r="AM12" s="5">
        <f ca="1" t="shared" si="24"/>
        <v>0</v>
      </c>
    </row>
    <row r="13" spans="1:39">
      <c r="A13" s="7">
        <v>0.7</v>
      </c>
      <c r="B13" s="1">
        <f t="shared" si="12"/>
        <v>0.1</v>
      </c>
      <c r="C13" s="13">
        <f ca="1">IF(A13-1&lt;0,控制台!$C$3643,OFFSET(控制台!$C$3643,MATCH(A13-1,控制台!$B$3643:$B$3648,1)-1,0))</f>
        <v>0</v>
      </c>
      <c r="D13" s="1">
        <f ca="1">控制台!$E$3594*$C13</f>
        <v>0</v>
      </c>
      <c r="E13" s="1">
        <f ca="1" t="shared" si="0"/>
        <v>0</v>
      </c>
      <c r="F13" s="5">
        <f ca="1" t="shared" si="13"/>
        <v>0</v>
      </c>
      <c r="G13" s="1">
        <f ca="1">控制台!$E$3598*$C13</f>
        <v>0</v>
      </c>
      <c r="H13" s="1">
        <f ca="1" t="shared" si="1"/>
        <v>0</v>
      </c>
      <c r="I13" s="5">
        <f ca="1" t="shared" si="14"/>
        <v>0</v>
      </c>
      <c r="J13" s="1">
        <f ca="1">控制台!$E$3602*$C13</f>
        <v>0</v>
      </c>
      <c r="K13" s="1">
        <f ca="1" t="shared" si="2"/>
        <v>0</v>
      </c>
      <c r="L13" s="5">
        <f ca="1" t="shared" si="15"/>
        <v>0</v>
      </c>
      <c r="M13" s="1">
        <f ca="1">控制台!$E$3606*$C13</f>
        <v>0</v>
      </c>
      <c r="N13" s="1">
        <f ca="1" t="shared" si="3"/>
        <v>0</v>
      </c>
      <c r="O13" s="5">
        <f ca="1" t="shared" si="16"/>
        <v>0</v>
      </c>
      <c r="P13" s="1">
        <f ca="1">控制台!$E$3610*$C13</f>
        <v>0</v>
      </c>
      <c r="Q13" s="1">
        <f ca="1" t="shared" si="4"/>
        <v>0</v>
      </c>
      <c r="R13" s="5">
        <f ca="1" t="shared" si="17"/>
        <v>0</v>
      </c>
      <c r="S13" s="1">
        <f ca="1">控制台!$E$3614*$C13</f>
        <v>0</v>
      </c>
      <c r="T13" s="1">
        <f ca="1" t="shared" si="5"/>
        <v>0</v>
      </c>
      <c r="U13" s="5">
        <f ca="1" t="shared" si="18"/>
        <v>0</v>
      </c>
      <c r="V13" s="1">
        <f ca="1">控制台!$E$3618*$C13</f>
        <v>0</v>
      </c>
      <c r="W13" s="1">
        <f ca="1" t="shared" si="6"/>
        <v>0</v>
      </c>
      <c r="X13" s="5">
        <f ca="1" t="shared" si="19"/>
        <v>0</v>
      </c>
      <c r="Y13" s="1">
        <f ca="1">控制台!$E$3622*$C13</f>
        <v>0</v>
      </c>
      <c r="Z13" s="1">
        <f ca="1" t="shared" si="7"/>
        <v>0</v>
      </c>
      <c r="AA13" s="5">
        <f ca="1" t="shared" si="20"/>
        <v>0</v>
      </c>
      <c r="AB13" s="1">
        <f ca="1">控制台!$E$3626*$C13</f>
        <v>0</v>
      </c>
      <c r="AC13" s="1">
        <f ca="1" t="shared" si="8"/>
        <v>0</v>
      </c>
      <c r="AD13" s="5">
        <f ca="1" t="shared" si="21"/>
        <v>0</v>
      </c>
      <c r="AE13" s="1">
        <f ca="1">控制台!$E$3630*$C13</f>
        <v>0</v>
      </c>
      <c r="AF13" s="1">
        <f ca="1" t="shared" si="9"/>
        <v>0</v>
      </c>
      <c r="AG13" s="5">
        <f ca="1" t="shared" si="22"/>
        <v>0</v>
      </c>
      <c r="AH13" s="1">
        <f ca="1">控制台!$E$3634*$C13</f>
        <v>0</v>
      </c>
      <c r="AI13" s="1">
        <f ca="1" t="shared" si="10"/>
        <v>0</v>
      </c>
      <c r="AJ13" s="5">
        <f ca="1" t="shared" si="23"/>
        <v>0</v>
      </c>
      <c r="AK13" s="1">
        <f ca="1">控制台!$E$3638*$C13</f>
        <v>0</v>
      </c>
      <c r="AL13" s="1">
        <f ca="1" t="shared" si="11"/>
        <v>0</v>
      </c>
      <c r="AM13" s="5">
        <f ca="1" t="shared" si="24"/>
        <v>0</v>
      </c>
    </row>
    <row r="14" spans="1:39">
      <c r="A14" s="7">
        <v>0.8</v>
      </c>
      <c r="B14" s="1">
        <f t="shared" si="12"/>
        <v>0.1</v>
      </c>
      <c r="C14" s="13">
        <f ca="1">IF(A14-1&lt;0,控制台!$C$3643,OFFSET(控制台!$C$3643,MATCH(A14-1,控制台!$B$3643:$B$3648,1)-1,0))</f>
        <v>0</v>
      </c>
      <c r="D14" s="1">
        <f ca="1">控制台!$E$3594*$C14</f>
        <v>0</v>
      </c>
      <c r="E14" s="1">
        <f ca="1" t="shared" si="0"/>
        <v>0</v>
      </c>
      <c r="F14" s="5">
        <f ca="1" t="shared" si="13"/>
        <v>0</v>
      </c>
      <c r="G14" s="1">
        <f ca="1">控制台!$E$3598*$C14</f>
        <v>0</v>
      </c>
      <c r="H14" s="1">
        <f ca="1" t="shared" si="1"/>
        <v>0</v>
      </c>
      <c r="I14" s="5">
        <f ca="1" t="shared" si="14"/>
        <v>0</v>
      </c>
      <c r="J14" s="1">
        <f ca="1">控制台!$E$3602*$C14</f>
        <v>0</v>
      </c>
      <c r="K14" s="1">
        <f ca="1" t="shared" si="2"/>
        <v>0</v>
      </c>
      <c r="L14" s="5">
        <f ca="1" t="shared" si="15"/>
        <v>0</v>
      </c>
      <c r="M14" s="1">
        <f ca="1">控制台!$E$3606*$C14</f>
        <v>0</v>
      </c>
      <c r="N14" s="1">
        <f ca="1" t="shared" si="3"/>
        <v>0</v>
      </c>
      <c r="O14" s="5">
        <f ca="1" t="shared" si="16"/>
        <v>0</v>
      </c>
      <c r="P14" s="1">
        <f ca="1">控制台!$E$3610*$C14</f>
        <v>0</v>
      </c>
      <c r="Q14" s="1">
        <f ca="1" t="shared" si="4"/>
        <v>0</v>
      </c>
      <c r="R14" s="5">
        <f ca="1" t="shared" si="17"/>
        <v>0</v>
      </c>
      <c r="S14" s="1">
        <f ca="1">控制台!$E$3614*$C14</f>
        <v>0</v>
      </c>
      <c r="T14" s="1">
        <f ca="1" t="shared" si="5"/>
        <v>0</v>
      </c>
      <c r="U14" s="5">
        <f ca="1" t="shared" si="18"/>
        <v>0</v>
      </c>
      <c r="V14" s="1">
        <f ca="1">控制台!$E$3618*$C14</f>
        <v>0</v>
      </c>
      <c r="W14" s="1">
        <f ca="1" t="shared" si="6"/>
        <v>0</v>
      </c>
      <c r="X14" s="5">
        <f ca="1" t="shared" si="19"/>
        <v>0</v>
      </c>
      <c r="Y14" s="1">
        <f ca="1">控制台!$E$3622*$C14</f>
        <v>0</v>
      </c>
      <c r="Z14" s="1">
        <f ca="1" t="shared" si="7"/>
        <v>0</v>
      </c>
      <c r="AA14" s="5">
        <f ca="1" t="shared" si="20"/>
        <v>0</v>
      </c>
      <c r="AB14" s="1">
        <f ca="1">控制台!$E$3626*$C14</f>
        <v>0</v>
      </c>
      <c r="AC14" s="1">
        <f ca="1" t="shared" si="8"/>
        <v>0</v>
      </c>
      <c r="AD14" s="5">
        <f ca="1" t="shared" si="21"/>
        <v>0</v>
      </c>
      <c r="AE14" s="1">
        <f ca="1">控制台!$E$3630*$C14</f>
        <v>0</v>
      </c>
      <c r="AF14" s="1">
        <f ca="1" t="shared" si="9"/>
        <v>0</v>
      </c>
      <c r="AG14" s="5">
        <f ca="1" t="shared" si="22"/>
        <v>0</v>
      </c>
      <c r="AH14" s="1">
        <f ca="1">控制台!$E$3634*$C14</f>
        <v>0</v>
      </c>
      <c r="AI14" s="1">
        <f ca="1" t="shared" si="10"/>
        <v>0</v>
      </c>
      <c r="AJ14" s="5">
        <f ca="1" t="shared" si="23"/>
        <v>0</v>
      </c>
      <c r="AK14" s="1">
        <f ca="1">控制台!$E$3638*$C14</f>
        <v>0</v>
      </c>
      <c r="AL14" s="1">
        <f ca="1" t="shared" si="11"/>
        <v>0</v>
      </c>
      <c r="AM14" s="5">
        <f ca="1" t="shared" si="24"/>
        <v>0</v>
      </c>
    </row>
    <row r="15" spans="1:39">
      <c r="A15" s="7">
        <v>0.9</v>
      </c>
      <c r="B15" s="1">
        <f t="shared" si="12"/>
        <v>0.1</v>
      </c>
      <c r="C15" s="13">
        <f ca="1">IF(A15-1&lt;0,控制台!$C$3643,OFFSET(控制台!$C$3643,MATCH(A15-1,控制台!$B$3643:$B$3648,1)-1,0))</f>
        <v>0</v>
      </c>
      <c r="D15" s="1">
        <f ca="1">控制台!$E$3594*$C15</f>
        <v>0</v>
      </c>
      <c r="E15" s="1">
        <f ca="1" t="shared" si="0"/>
        <v>0</v>
      </c>
      <c r="F15" s="5">
        <f ca="1" t="shared" si="13"/>
        <v>0</v>
      </c>
      <c r="G15" s="1">
        <f ca="1">控制台!$E$3598*$C15</f>
        <v>0</v>
      </c>
      <c r="H15" s="1">
        <f ca="1" t="shared" si="1"/>
        <v>0</v>
      </c>
      <c r="I15" s="5">
        <f ca="1" t="shared" si="14"/>
        <v>0</v>
      </c>
      <c r="J15" s="1">
        <f ca="1">控制台!$E$3602*$C15</f>
        <v>0</v>
      </c>
      <c r="K15" s="1">
        <f ca="1" t="shared" si="2"/>
        <v>0</v>
      </c>
      <c r="L15" s="5">
        <f ca="1" t="shared" si="15"/>
        <v>0</v>
      </c>
      <c r="M15" s="1">
        <f ca="1">控制台!$E$3606*$C15</f>
        <v>0</v>
      </c>
      <c r="N15" s="1">
        <f ca="1" t="shared" si="3"/>
        <v>0</v>
      </c>
      <c r="O15" s="5">
        <f ca="1" t="shared" si="16"/>
        <v>0</v>
      </c>
      <c r="P15" s="1">
        <f ca="1">控制台!$E$3610*$C15</f>
        <v>0</v>
      </c>
      <c r="Q15" s="1">
        <f ca="1" t="shared" si="4"/>
        <v>0</v>
      </c>
      <c r="R15" s="5">
        <f ca="1" t="shared" si="17"/>
        <v>0</v>
      </c>
      <c r="S15" s="1">
        <f ca="1">控制台!$E$3614*$C15</f>
        <v>0</v>
      </c>
      <c r="T15" s="1">
        <f ca="1" t="shared" si="5"/>
        <v>0</v>
      </c>
      <c r="U15" s="5">
        <f ca="1" t="shared" si="18"/>
        <v>0</v>
      </c>
      <c r="V15" s="1">
        <f ca="1">控制台!$E$3618*$C15</f>
        <v>0</v>
      </c>
      <c r="W15" s="1">
        <f ca="1" t="shared" si="6"/>
        <v>0</v>
      </c>
      <c r="X15" s="5">
        <f ca="1" t="shared" si="19"/>
        <v>0</v>
      </c>
      <c r="Y15" s="1">
        <f ca="1">控制台!$E$3622*$C15</f>
        <v>0</v>
      </c>
      <c r="Z15" s="1">
        <f ca="1" t="shared" si="7"/>
        <v>0</v>
      </c>
      <c r="AA15" s="5">
        <f ca="1" t="shared" si="20"/>
        <v>0</v>
      </c>
      <c r="AB15" s="1">
        <f ca="1">控制台!$E$3626*$C15</f>
        <v>0</v>
      </c>
      <c r="AC15" s="1">
        <f ca="1" t="shared" si="8"/>
        <v>0</v>
      </c>
      <c r="AD15" s="5">
        <f ca="1" t="shared" si="21"/>
        <v>0</v>
      </c>
      <c r="AE15" s="1">
        <f ca="1">控制台!$E$3630*$C15</f>
        <v>0</v>
      </c>
      <c r="AF15" s="1">
        <f ca="1" t="shared" si="9"/>
        <v>0</v>
      </c>
      <c r="AG15" s="5">
        <f ca="1" t="shared" si="22"/>
        <v>0</v>
      </c>
      <c r="AH15" s="1">
        <f ca="1">控制台!$E$3634*$C15</f>
        <v>0</v>
      </c>
      <c r="AI15" s="1">
        <f ca="1" t="shared" si="10"/>
        <v>0</v>
      </c>
      <c r="AJ15" s="5">
        <f ca="1" t="shared" si="23"/>
        <v>0</v>
      </c>
      <c r="AK15" s="1">
        <f ca="1">控制台!$E$3638*$C15</f>
        <v>0</v>
      </c>
      <c r="AL15" s="1">
        <f ca="1" t="shared" si="11"/>
        <v>0</v>
      </c>
      <c r="AM15" s="5">
        <f ca="1" t="shared" si="24"/>
        <v>0</v>
      </c>
    </row>
    <row r="16" spans="1:39">
      <c r="A16" s="7">
        <v>1</v>
      </c>
      <c r="B16" s="1">
        <f t="shared" si="12"/>
        <v>0.1</v>
      </c>
      <c r="C16" s="13">
        <f ca="1">IF(A16-1&lt;0,控制台!$C$3643,OFFSET(控制台!$C$3643,MATCH(A16-1,控制台!$B$3643:$B$3648,1)-1,0))</f>
        <v>0</v>
      </c>
      <c r="D16" s="1">
        <f ca="1">控制台!$E$3594*$C16</f>
        <v>0</v>
      </c>
      <c r="E16" s="1">
        <f ca="1" t="shared" si="0"/>
        <v>0</v>
      </c>
      <c r="F16" s="5">
        <f ca="1" t="shared" si="13"/>
        <v>0</v>
      </c>
      <c r="G16" s="1">
        <f ca="1">控制台!$E$3598*$C16</f>
        <v>0</v>
      </c>
      <c r="H16" s="1">
        <f ca="1" t="shared" si="1"/>
        <v>0</v>
      </c>
      <c r="I16" s="5">
        <f ca="1" t="shared" si="14"/>
        <v>0</v>
      </c>
      <c r="J16" s="1">
        <f ca="1">控制台!$E$3602*$C16</f>
        <v>0</v>
      </c>
      <c r="K16" s="1">
        <f ca="1" t="shared" si="2"/>
        <v>0</v>
      </c>
      <c r="L16" s="5">
        <f ca="1" t="shared" si="15"/>
        <v>0</v>
      </c>
      <c r="M16" s="1">
        <f ca="1">控制台!$E$3606*$C16</f>
        <v>0</v>
      </c>
      <c r="N16" s="1">
        <f ca="1" t="shared" si="3"/>
        <v>0</v>
      </c>
      <c r="O16" s="5">
        <f ca="1" t="shared" si="16"/>
        <v>0</v>
      </c>
      <c r="P16" s="1">
        <f ca="1">控制台!$E$3610*$C16</f>
        <v>0</v>
      </c>
      <c r="Q16" s="1">
        <f ca="1" t="shared" si="4"/>
        <v>0</v>
      </c>
      <c r="R16" s="5">
        <f ca="1" t="shared" si="17"/>
        <v>0</v>
      </c>
      <c r="S16" s="1">
        <f ca="1">控制台!$E$3614*$C16</f>
        <v>0</v>
      </c>
      <c r="T16" s="1">
        <f ca="1" t="shared" si="5"/>
        <v>0</v>
      </c>
      <c r="U16" s="5">
        <f ca="1" t="shared" si="18"/>
        <v>0</v>
      </c>
      <c r="V16" s="1">
        <f ca="1">控制台!$E$3618*$C16</f>
        <v>0</v>
      </c>
      <c r="W16" s="1">
        <f ca="1" t="shared" si="6"/>
        <v>0</v>
      </c>
      <c r="X16" s="5">
        <f ca="1" t="shared" si="19"/>
        <v>0</v>
      </c>
      <c r="Y16" s="1">
        <f ca="1">控制台!$E$3622*$C16</f>
        <v>0</v>
      </c>
      <c r="Z16" s="1">
        <f ca="1" t="shared" si="7"/>
        <v>0</v>
      </c>
      <c r="AA16" s="5">
        <f ca="1" t="shared" si="20"/>
        <v>0</v>
      </c>
      <c r="AB16" s="1">
        <f ca="1">控制台!$E$3626*$C16</f>
        <v>0</v>
      </c>
      <c r="AC16" s="1">
        <f ca="1" t="shared" si="8"/>
        <v>0</v>
      </c>
      <c r="AD16" s="5">
        <f ca="1" t="shared" si="21"/>
        <v>0</v>
      </c>
      <c r="AE16" s="1">
        <f ca="1">控制台!$E$3630*$C16</f>
        <v>0</v>
      </c>
      <c r="AF16" s="1">
        <f ca="1" t="shared" si="9"/>
        <v>0</v>
      </c>
      <c r="AG16" s="5">
        <f ca="1" t="shared" si="22"/>
        <v>0</v>
      </c>
      <c r="AH16" s="1">
        <f ca="1">控制台!$E$3634*$C16</f>
        <v>0</v>
      </c>
      <c r="AI16" s="1">
        <f ca="1" t="shared" si="10"/>
        <v>0</v>
      </c>
      <c r="AJ16" s="5">
        <f ca="1" t="shared" si="23"/>
        <v>0</v>
      </c>
      <c r="AK16" s="1">
        <f ca="1">控制台!$E$3638*$C16</f>
        <v>0</v>
      </c>
      <c r="AL16" s="1">
        <f ca="1" t="shared" si="11"/>
        <v>0</v>
      </c>
      <c r="AM16" s="5">
        <f ca="1" t="shared" si="24"/>
        <v>0</v>
      </c>
    </row>
    <row r="17" spans="1:39">
      <c r="A17" s="9">
        <v>1.5</v>
      </c>
      <c r="B17" s="1">
        <f t="shared" si="12"/>
        <v>0.5</v>
      </c>
      <c r="C17" s="13">
        <f ca="1">IF(A17-1&lt;0,控制台!$C$3643,OFFSET(控制台!$C$3643,MATCH(A17-1,控制台!$B$3643:$B$3648,1)-1,0))</f>
        <v>0</v>
      </c>
      <c r="D17" s="1">
        <f ca="1">控制台!$E$3594*$C17</f>
        <v>0</v>
      </c>
      <c r="E17" s="1">
        <f ca="1" t="shared" si="0"/>
        <v>0</v>
      </c>
      <c r="F17" s="5">
        <f ca="1" t="shared" si="13"/>
        <v>0</v>
      </c>
      <c r="G17" s="1">
        <f ca="1">控制台!$E$3598*$C17</f>
        <v>0</v>
      </c>
      <c r="H17" s="1">
        <f ca="1" t="shared" si="1"/>
        <v>0</v>
      </c>
      <c r="I17" s="5">
        <f ca="1" t="shared" si="14"/>
        <v>0</v>
      </c>
      <c r="J17" s="1">
        <f ca="1">控制台!$E$3602*$C17</f>
        <v>0</v>
      </c>
      <c r="K17" s="1">
        <f ca="1" t="shared" si="2"/>
        <v>0</v>
      </c>
      <c r="L17" s="5">
        <f ca="1" t="shared" si="15"/>
        <v>0</v>
      </c>
      <c r="M17" s="1">
        <f ca="1">控制台!$E$3606*$C17</f>
        <v>0</v>
      </c>
      <c r="N17" s="1">
        <f ca="1" t="shared" si="3"/>
        <v>0</v>
      </c>
      <c r="O17" s="5">
        <f ca="1" t="shared" si="16"/>
        <v>0</v>
      </c>
      <c r="P17" s="1">
        <f ca="1">控制台!$E$3610*$C17</f>
        <v>0</v>
      </c>
      <c r="Q17" s="1">
        <f ca="1" t="shared" si="4"/>
        <v>0</v>
      </c>
      <c r="R17" s="5">
        <f ca="1" t="shared" si="17"/>
        <v>0</v>
      </c>
      <c r="S17" s="1">
        <f ca="1">控制台!$E$3614*$C17</f>
        <v>0</v>
      </c>
      <c r="T17" s="1">
        <f ca="1" t="shared" si="5"/>
        <v>0</v>
      </c>
      <c r="U17" s="5">
        <f ca="1" t="shared" si="18"/>
        <v>0</v>
      </c>
      <c r="V17" s="1">
        <f ca="1">控制台!$E$3618*$C17</f>
        <v>0</v>
      </c>
      <c r="W17" s="1">
        <f ca="1" t="shared" si="6"/>
        <v>0</v>
      </c>
      <c r="X17" s="5">
        <f ca="1" t="shared" si="19"/>
        <v>0</v>
      </c>
      <c r="Y17" s="1">
        <f ca="1">控制台!$E$3622*$C17</f>
        <v>0</v>
      </c>
      <c r="Z17" s="1">
        <f ca="1" t="shared" si="7"/>
        <v>0</v>
      </c>
      <c r="AA17" s="5">
        <f ca="1" t="shared" si="20"/>
        <v>0</v>
      </c>
      <c r="AB17" s="1">
        <f ca="1">控制台!$E$3626*$C17</f>
        <v>0</v>
      </c>
      <c r="AC17" s="1">
        <f ca="1" t="shared" si="8"/>
        <v>0</v>
      </c>
      <c r="AD17" s="5">
        <f ca="1" t="shared" si="21"/>
        <v>0</v>
      </c>
      <c r="AE17" s="1">
        <f ca="1">控制台!$E$3630*$C17</f>
        <v>0</v>
      </c>
      <c r="AF17" s="1">
        <f ca="1" t="shared" si="9"/>
        <v>0</v>
      </c>
      <c r="AG17" s="5">
        <f ca="1" t="shared" si="22"/>
        <v>0</v>
      </c>
      <c r="AH17" s="1">
        <f ca="1">控制台!$E$3634*$C17</f>
        <v>0</v>
      </c>
      <c r="AI17" s="1">
        <f ca="1" t="shared" si="10"/>
        <v>0</v>
      </c>
      <c r="AJ17" s="5">
        <f ca="1" t="shared" si="23"/>
        <v>0</v>
      </c>
      <c r="AK17" s="1">
        <f ca="1">控制台!$E$3638*$C17</f>
        <v>0</v>
      </c>
      <c r="AL17" s="1">
        <f ca="1" t="shared" si="11"/>
        <v>0</v>
      </c>
      <c r="AM17" s="5">
        <f ca="1" t="shared" si="24"/>
        <v>0</v>
      </c>
    </row>
    <row r="18" spans="1:39">
      <c r="A18" s="9">
        <v>2</v>
      </c>
      <c r="B18" s="1">
        <f t="shared" si="12"/>
        <v>0.5</v>
      </c>
      <c r="C18" s="13">
        <f ca="1">IF(A18-1&lt;0,控制台!$C$3643,OFFSET(控制台!$C$3643,MATCH(A18-1,控制台!$B$3643:$B$3648,1)-1,0))</f>
        <v>0</v>
      </c>
      <c r="D18" s="1">
        <f ca="1">控制台!$E$3594*$C18</f>
        <v>0</v>
      </c>
      <c r="E18" s="1">
        <f ca="1" t="shared" si="0"/>
        <v>0</v>
      </c>
      <c r="F18" s="5">
        <f ca="1" t="shared" si="13"/>
        <v>0</v>
      </c>
      <c r="G18" s="1">
        <f ca="1">控制台!$E$3598*$C18</f>
        <v>0</v>
      </c>
      <c r="H18" s="1">
        <f ca="1" t="shared" si="1"/>
        <v>0</v>
      </c>
      <c r="I18" s="5">
        <f ca="1" t="shared" si="14"/>
        <v>0</v>
      </c>
      <c r="J18" s="1">
        <f ca="1">控制台!$E$3602*$C18</f>
        <v>0</v>
      </c>
      <c r="K18" s="1">
        <f ca="1" t="shared" si="2"/>
        <v>0</v>
      </c>
      <c r="L18" s="5">
        <f ca="1" t="shared" si="15"/>
        <v>0</v>
      </c>
      <c r="M18" s="1">
        <f ca="1">控制台!$E$3606*$C18</f>
        <v>0</v>
      </c>
      <c r="N18" s="1">
        <f ca="1" t="shared" si="3"/>
        <v>0</v>
      </c>
      <c r="O18" s="5">
        <f ca="1" t="shared" si="16"/>
        <v>0</v>
      </c>
      <c r="P18" s="1">
        <f ca="1">控制台!$E$3610*$C18</f>
        <v>0</v>
      </c>
      <c r="Q18" s="1">
        <f ca="1" t="shared" si="4"/>
        <v>0</v>
      </c>
      <c r="R18" s="5">
        <f ca="1" t="shared" si="17"/>
        <v>0</v>
      </c>
      <c r="S18" s="1">
        <f ca="1">控制台!$E$3614*$C18</f>
        <v>0</v>
      </c>
      <c r="T18" s="1">
        <f ca="1" t="shared" si="5"/>
        <v>0</v>
      </c>
      <c r="U18" s="5">
        <f ca="1" t="shared" si="18"/>
        <v>0</v>
      </c>
      <c r="V18" s="1">
        <f ca="1">控制台!$E$3618*$C18</f>
        <v>0</v>
      </c>
      <c r="W18" s="1">
        <f ca="1" t="shared" si="6"/>
        <v>0</v>
      </c>
      <c r="X18" s="5">
        <f ca="1" t="shared" si="19"/>
        <v>0</v>
      </c>
      <c r="Y18" s="1">
        <f ca="1">控制台!$E$3622*$C18</f>
        <v>0</v>
      </c>
      <c r="Z18" s="1">
        <f ca="1" t="shared" si="7"/>
        <v>0</v>
      </c>
      <c r="AA18" s="5">
        <f ca="1" t="shared" si="20"/>
        <v>0</v>
      </c>
      <c r="AB18" s="1">
        <f ca="1">控制台!$E$3626*$C18</f>
        <v>0</v>
      </c>
      <c r="AC18" s="1">
        <f ca="1" t="shared" si="8"/>
        <v>0</v>
      </c>
      <c r="AD18" s="5">
        <f ca="1" t="shared" si="21"/>
        <v>0</v>
      </c>
      <c r="AE18" s="1">
        <f ca="1">控制台!$E$3630*$C18</f>
        <v>0</v>
      </c>
      <c r="AF18" s="1">
        <f ca="1" t="shared" si="9"/>
        <v>0</v>
      </c>
      <c r="AG18" s="5">
        <f ca="1" t="shared" si="22"/>
        <v>0</v>
      </c>
      <c r="AH18" s="1">
        <f ca="1">控制台!$E$3634*$C18</f>
        <v>0</v>
      </c>
      <c r="AI18" s="1">
        <f ca="1" t="shared" si="10"/>
        <v>0</v>
      </c>
      <c r="AJ18" s="5">
        <f ca="1" t="shared" si="23"/>
        <v>0</v>
      </c>
      <c r="AK18" s="1">
        <f ca="1">控制台!$E$3638*$C18</f>
        <v>0</v>
      </c>
      <c r="AL18" s="1">
        <f ca="1" t="shared" si="11"/>
        <v>0</v>
      </c>
      <c r="AM18" s="5">
        <f ca="1" t="shared" si="24"/>
        <v>0</v>
      </c>
    </row>
    <row r="19" spans="1:39">
      <c r="A19" s="9">
        <v>2.5</v>
      </c>
      <c r="B19" s="1">
        <f t="shared" si="12"/>
        <v>0.5</v>
      </c>
      <c r="C19" s="13">
        <f ca="1">IF(A19-1&lt;0,控制台!$C$3643,OFFSET(控制台!$C$3643,MATCH(A19-1,控制台!$B$3643:$B$3648,1)-1,0))</f>
        <v>0</v>
      </c>
      <c r="D19" s="1">
        <f ca="1">控制台!$E$3594*$C19</f>
        <v>0</v>
      </c>
      <c r="E19" s="1">
        <f ca="1" t="shared" si="0"/>
        <v>0</v>
      </c>
      <c r="F19" s="5">
        <f ca="1" t="shared" si="13"/>
        <v>0</v>
      </c>
      <c r="G19" s="1">
        <f ca="1">控制台!$E$3598*$C19</f>
        <v>0</v>
      </c>
      <c r="H19" s="1">
        <f ca="1" t="shared" si="1"/>
        <v>0</v>
      </c>
      <c r="I19" s="5">
        <f ca="1" t="shared" si="14"/>
        <v>0</v>
      </c>
      <c r="J19" s="1">
        <f ca="1">控制台!$E$3602*$C19</f>
        <v>0</v>
      </c>
      <c r="K19" s="1">
        <f ca="1" t="shared" si="2"/>
        <v>0</v>
      </c>
      <c r="L19" s="5">
        <f ca="1" t="shared" si="15"/>
        <v>0</v>
      </c>
      <c r="M19" s="1">
        <f ca="1">控制台!$E$3606*$C19</f>
        <v>0</v>
      </c>
      <c r="N19" s="1">
        <f ca="1" t="shared" si="3"/>
        <v>0</v>
      </c>
      <c r="O19" s="5">
        <f ca="1" t="shared" si="16"/>
        <v>0</v>
      </c>
      <c r="P19" s="1">
        <f ca="1">控制台!$E$3610*$C19</f>
        <v>0</v>
      </c>
      <c r="Q19" s="1">
        <f ca="1" t="shared" si="4"/>
        <v>0</v>
      </c>
      <c r="R19" s="5">
        <f ca="1" t="shared" si="17"/>
        <v>0</v>
      </c>
      <c r="S19" s="1">
        <f ca="1">控制台!$E$3614*$C19</f>
        <v>0</v>
      </c>
      <c r="T19" s="1">
        <f ca="1" t="shared" si="5"/>
        <v>0</v>
      </c>
      <c r="U19" s="5">
        <f ca="1" t="shared" si="18"/>
        <v>0</v>
      </c>
      <c r="V19" s="1">
        <f ca="1">控制台!$E$3618*$C19</f>
        <v>0</v>
      </c>
      <c r="W19" s="1">
        <f ca="1" t="shared" si="6"/>
        <v>0</v>
      </c>
      <c r="X19" s="5">
        <f ca="1" t="shared" si="19"/>
        <v>0</v>
      </c>
      <c r="Y19" s="1">
        <f ca="1">控制台!$E$3622*$C19</f>
        <v>0</v>
      </c>
      <c r="Z19" s="1">
        <f ca="1" t="shared" si="7"/>
        <v>0</v>
      </c>
      <c r="AA19" s="5">
        <f ca="1" t="shared" si="20"/>
        <v>0</v>
      </c>
      <c r="AB19" s="1">
        <f ca="1">控制台!$E$3626*$C19</f>
        <v>0</v>
      </c>
      <c r="AC19" s="1">
        <f ca="1" t="shared" si="8"/>
        <v>0</v>
      </c>
      <c r="AD19" s="5">
        <f ca="1" t="shared" si="21"/>
        <v>0</v>
      </c>
      <c r="AE19" s="1">
        <f ca="1">控制台!$E$3630*$C19</f>
        <v>0</v>
      </c>
      <c r="AF19" s="1">
        <f ca="1" t="shared" si="9"/>
        <v>0</v>
      </c>
      <c r="AG19" s="5">
        <f ca="1" t="shared" si="22"/>
        <v>0</v>
      </c>
      <c r="AH19" s="1">
        <f ca="1">控制台!$E$3634*$C19</f>
        <v>0</v>
      </c>
      <c r="AI19" s="1">
        <f ca="1" t="shared" si="10"/>
        <v>0</v>
      </c>
      <c r="AJ19" s="5">
        <f ca="1" t="shared" si="23"/>
        <v>0</v>
      </c>
      <c r="AK19" s="1">
        <f ca="1">控制台!$E$3638*$C19</f>
        <v>0</v>
      </c>
      <c r="AL19" s="1">
        <f ca="1" t="shared" si="11"/>
        <v>0</v>
      </c>
      <c r="AM19" s="5">
        <f ca="1" t="shared" si="24"/>
        <v>0</v>
      </c>
    </row>
    <row r="20" spans="1:39">
      <c r="A20" s="9">
        <v>3</v>
      </c>
      <c r="B20" s="1">
        <f t="shared" si="12"/>
        <v>0.5</v>
      </c>
      <c r="C20" s="13">
        <f ca="1">IF(A20-1&lt;0,控制台!$C$3643,OFFSET(控制台!$C$3643,MATCH(A20-1,控制台!$B$3643:$B$3648,1)-1,0))</f>
        <v>0</v>
      </c>
      <c r="D20" s="1">
        <f ca="1">控制台!$E$3594*$C20</f>
        <v>0</v>
      </c>
      <c r="E20" s="1">
        <f ca="1" t="shared" si="0"/>
        <v>0</v>
      </c>
      <c r="F20" s="5">
        <f ca="1" t="shared" si="13"/>
        <v>0</v>
      </c>
      <c r="G20" s="1">
        <f ca="1">控制台!$E$3598*$C20</f>
        <v>0</v>
      </c>
      <c r="H20" s="1">
        <f ca="1" t="shared" si="1"/>
        <v>0</v>
      </c>
      <c r="I20" s="5">
        <f ca="1" t="shared" si="14"/>
        <v>0</v>
      </c>
      <c r="J20" s="1">
        <f ca="1">控制台!$E$3602*$C20</f>
        <v>0</v>
      </c>
      <c r="K20" s="1">
        <f ca="1" t="shared" si="2"/>
        <v>0</v>
      </c>
      <c r="L20" s="5">
        <f ca="1" t="shared" si="15"/>
        <v>0</v>
      </c>
      <c r="M20" s="1">
        <f ca="1">控制台!$E$3606*$C20</f>
        <v>0</v>
      </c>
      <c r="N20" s="1">
        <f ca="1" t="shared" si="3"/>
        <v>0</v>
      </c>
      <c r="O20" s="5">
        <f ca="1" t="shared" si="16"/>
        <v>0</v>
      </c>
      <c r="P20" s="1">
        <f ca="1">控制台!$E$3610*$C20</f>
        <v>0</v>
      </c>
      <c r="Q20" s="1">
        <f ca="1" t="shared" si="4"/>
        <v>0</v>
      </c>
      <c r="R20" s="5">
        <f ca="1" t="shared" si="17"/>
        <v>0</v>
      </c>
      <c r="S20" s="1">
        <f ca="1">控制台!$E$3614*$C20</f>
        <v>0</v>
      </c>
      <c r="T20" s="1">
        <f ca="1" t="shared" si="5"/>
        <v>0</v>
      </c>
      <c r="U20" s="5">
        <f ca="1" t="shared" si="18"/>
        <v>0</v>
      </c>
      <c r="V20" s="1">
        <f ca="1">控制台!$E$3618*$C20</f>
        <v>0</v>
      </c>
      <c r="W20" s="1">
        <f ca="1" t="shared" si="6"/>
        <v>0</v>
      </c>
      <c r="X20" s="5">
        <f ca="1" t="shared" si="19"/>
        <v>0</v>
      </c>
      <c r="Y20" s="1">
        <f ca="1">控制台!$E$3622*$C20</f>
        <v>0</v>
      </c>
      <c r="Z20" s="1">
        <f ca="1" t="shared" si="7"/>
        <v>0</v>
      </c>
      <c r="AA20" s="5">
        <f ca="1" t="shared" si="20"/>
        <v>0</v>
      </c>
      <c r="AB20" s="1">
        <f ca="1">控制台!$E$3626*$C20</f>
        <v>0</v>
      </c>
      <c r="AC20" s="1">
        <f ca="1" t="shared" si="8"/>
        <v>0</v>
      </c>
      <c r="AD20" s="5">
        <f ca="1" t="shared" si="21"/>
        <v>0</v>
      </c>
      <c r="AE20" s="1">
        <f ca="1">控制台!$E$3630*$C20</f>
        <v>0</v>
      </c>
      <c r="AF20" s="1">
        <f ca="1" t="shared" si="9"/>
        <v>0</v>
      </c>
      <c r="AG20" s="5">
        <f ca="1" t="shared" si="22"/>
        <v>0</v>
      </c>
      <c r="AH20" s="1">
        <f ca="1">控制台!$E$3634*$C20</f>
        <v>0</v>
      </c>
      <c r="AI20" s="1">
        <f ca="1" t="shared" si="10"/>
        <v>0</v>
      </c>
      <c r="AJ20" s="5">
        <f ca="1" t="shared" si="23"/>
        <v>0</v>
      </c>
      <c r="AK20" s="1">
        <f ca="1">控制台!$E$3638*$C20</f>
        <v>0</v>
      </c>
      <c r="AL20" s="1">
        <f ca="1" t="shared" si="11"/>
        <v>0</v>
      </c>
      <c r="AM20" s="5">
        <f ca="1" t="shared" si="24"/>
        <v>0</v>
      </c>
    </row>
    <row r="21" spans="1:39">
      <c r="A21" s="9">
        <v>3.5</v>
      </c>
      <c r="B21" s="1">
        <f t="shared" si="12"/>
        <v>0.5</v>
      </c>
      <c r="C21" s="13">
        <f ca="1">IF(A21-1&lt;0,控制台!$C$3643,OFFSET(控制台!$C$3643,MATCH(A21-1,控制台!$B$3643:$B$3648,1)-1,0))</f>
        <v>0</v>
      </c>
      <c r="D21" s="1">
        <f ca="1">控制台!$E$3594*$C21</f>
        <v>0</v>
      </c>
      <c r="E21" s="1">
        <f ca="1" t="shared" si="0"/>
        <v>0</v>
      </c>
      <c r="F21" s="5">
        <f ca="1" t="shared" si="13"/>
        <v>0</v>
      </c>
      <c r="G21" s="1">
        <f ca="1">控制台!$E$3598*$C21</f>
        <v>0</v>
      </c>
      <c r="H21" s="1">
        <f ca="1" t="shared" si="1"/>
        <v>0</v>
      </c>
      <c r="I21" s="5">
        <f ca="1" t="shared" si="14"/>
        <v>0</v>
      </c>
      <c r="J21" s="1">
        <f ca="1">控制台!$E$3602*$C21</f>
        <v>0</v>
      </c>
      <c r="K21" s="1">
        <f ca="1" t="shared" si="2"/>
        <v>0</v>
      </c>
      <c r="L21" s="5">
        <f ca="1" t="shared" si="15"/>
        <v>0</v>
      </c>
      <c r="M21" s="1">
        <f ca="1">控制台!$E$3606*$C21</f>
        <v>0</v>
      </c>
      <c r="N21" s="1">
        <f ca="1" t="shared" si="3"/>
        <v>0</v>
      </c>
      <c r="O21" s="5">
        <f ca="1" t="shared" si="16"/>
        <v>0</v>
      </c>
      <c r="P21" s="1">
        <f ca="1">控制台!$E$3610*$C21</f>
        <v>0</v>
      </c>
      <c r="Q21" s="1">
        <f ca="1" t="shared" si="4"/>
        <v>0</v>
      </c>
      <c r="R21" s="5">
        <f ca="1" t="shared" si="17"/>
        <v>0</v>
      </c>
      <c r="S21" s="1">
        <f ca="1">控制台!$E$3614*$C21</f>
        <v>0</v>
      </c>
      <c r="T21" s="1">
        <f ca="1" t="shared" si="5"/>
        <v>0</v>
      </c>
      <c r="U21" s="5">
        <f ca="1" t="shared" si="18"/>
        <v>0</v>
      </c>
      <c r="V21" s="1">
        <f ca="1">控制台!$E$3618*$C21</f>
        <v>0</v>
      </c>
      <c r="W21" s="1">
        <f ca="1" t="shared" si="6"/>
        <v>0</v>
      </c>
      <c r="X21" s="5">
        <f ca="1" t="shared" si="19"/>
        <v>0</v>
      </c>
      <c r="Y21" s="1">
        <f ca="1">控制台!$E$3622*$C21</f>
        <v>0</v>
      </c>
      <c r="Z21" s="1">
        <f ca="1" t="shared" si="7"/>
        <v>0</v>
      </c>
      <c r="AA21" s="5">
        <f ca="1" t="shared" si="20"/>
        <v>0</v>
      </c>
      <c r="AB21" s="1">
        <f ca="1">控制台!$E$3626*$C21</f>
        <v>0</v>
      </c>
      <c r="AC21" s="1">
        <f ca="1" t="shared" si="8"/>
        <v>0</v>
      </c>
      <c r="AD21" s="5">
        <f ca="1" t="shared" si="21"/>
        <v>0</v>
      </c>
      <c r="AE21" s="1">
        <f ca="1">控制台!$E$3630*$C21</f>
        <v>0</v>
      </c>
      <c r="AF21" s="1">
        <f ca="1" t="shared" si="9"/>
        <v>0</v>
      </c>
      <c r="AG21" s="5">
        <f ca="1" t="shared" si="22"/>
        <v>0</v>
      </c>
      <c r="AH21" s="1">
        <f ca="1">控制台!$E$3634*$C21</f>
        <v>0</v>
      </c>
      <c r="AI21" s="1">
        <f ca="1" t="shared" si="10"/>
        <v>0</v>
      </c>
      <c r="AJ21" s="5">
        <f ca="1" t="shared" si="23"/>
        <v>0</v>
      </c>
      <c r="AK21" s="1">
        <f ca="1">控制台!$E$3638*$C21</f>
        <v>0</v>
      </c>
      <c r="AL21" s="1">
        <f ca="1" t="shared" si="11"/>
        <v>0</v>
      </c>
      <c r="AM21" s="5">
        <f ca="1" t="shared" si="24"/>
        <v>0</v>
      </c>
    </row>
    <row r="22" spans="1:39">
      <c r="A22" s="9">
        <v>4</v>
      </c>
      <c r="B22" s="1">
        <f t="shared" si="12"/>
        <v>0.5</v>
      </c>
      <c r="C22" s="13">
        <f ca="1">IF(A22-1&lt;0,控制台!$C$3643,OFFSET(控制台!$C$3643,MATCH(A22-1,控制台!$B$3643:$B$3648,1)-1,0))</f>
        <v>0</v>
      </c>
      <c r="D22" s="1">
        <f ca="1">控制台!$E$3594*$C22</f>
        <v>0</v>
      </c>
      <c r="E22" s="1">
        <f ca="1" t="shared" si="0"/>
        <v>0</v>
      </c>
      <c r="F22" s="5">
        <f ca="1" t="shared" si="13"/>
        <v>0</v>
      </c>
      <c r="G22" s="1">
        <f ca="1">控制台!$E$3598*$C22</f>
        <v>0</v>
      </c>
      <c r="H22" s="1">
        <f ca="1" t="shared" si="1"/>
        <v>0</v>
      </c>
      <c r="I22" s="5">
        <f ca="1" t="shared" si="14"/>
        <v>0</v>
      </c>
      <c r="J22" s="1">
        <f ca="1">控制台!$E$3602*$C22</f>
        <v>0</v>
      </c>
      <c r="K22" s="1">
        <f ca="1" t="shared" si="2"/>
        <v>0</v>
      </c>
      <c r="L22" s="5">
        <f ca="1" t="shared" si="15"/>
        <v>0</v>
      </c>
      <c r="M22" s="1">
        <f ca="1">控制台!$E$3606*$C22</f>
        <v>0</v>
      </c>
      <c r="N22" s="1">
        <f ca="1" t="shared" si="3"/>
        <v>0</v>
      </c>
      <c r="O22" s="5">
        <f ca="1" t="shared" si="16"/>
        <v>0</v>
      </c>
      <c r="P22" s="1">
        <f ca="1">控制台!$E$3610*$C22</f>
        <v>0</v>
      </c>
      <c r="Q22" s="1">
        <f ca="1" t="shared" si="4"/>
        <v>0</v>
      </c>
      <c r="R22" s="5">
        <f ca="1" t="shared" si="17"/>
        <v>0</v>
      </c>
      <c r="S22" s="1">
        <f ca="1">控制台!$E$3614*$C22</f>
        <v>0</v>
      </c>
      <c r="T22" s="1">
        <f ca="1" t="shared" si="5"/>
        <v>0</v>
      </c>
      <c r="U22" s="5">
        <f ca="1" t="shared" si="18"/>
        <v>0</v>
      </c>
      <c r="V22" s="1">
        <f ca="1">控制台!$E$3618*$C22</f>
        <v>0</v>
      </c>
      <c r="W22" s="1">
        <f ca="1" t="shared" si="6"/>
        <v>0</v>
      </c>
      <c r="X22" s="5">
        <f ca="1" t="shared" si="19"/>
        <v>0</v>
      </c>
      <c r="Y22" s="1">
        <f ca="1">控制台!$E$3622*$C22</f>
        <v>0</v>
      </c>
      <c r="Z22" s="1">
        <f ca="1" t="shared" si="7"/>
        <v>0</v>
      </c>
      <c r="AA22" s="5">
        <f ca="1" t="shared" si="20"/>
        <v>0</v>
      </c>
      <c r="AB22" s="1">
        <f ca="1">控制台!$E$3626*$C22</f>
        <v>0</v>
      </c>
      <c r="AC22" s="1">
        <f ca="1" t="shared" si="8"/>
        <v>0</v>
      </c>
      <c r="AD22" s="5">
        <f ca="1" t="shared" si="21"/>
        <v>0</v>
      </c>
      <c r="AE22" s="1">
        <f ca="1">控制台!$E$3630*$C22</f>
        <v>0</v>
      </c>
      <c r="AF22" s="1">
        <f ca="1" t="shared" si="9"/>
        <v>0</v>
      </c>
      <c r="AG22" s="5">
        <f ca="1" t="shared" si="22"/>
        <v>0</v>
      </c>
      <c r="AH22" s="1">
        <f ca="1">控制台!$E$3634*$C22</f>
        <v>0</v>
      </c>
      <c r="AI22" s="1">
        <f ca="1" t="shared" si="10"/>
        <v>0</v>
      </c>
      <c r="AJ22" s="5">
        <f ca="1" t="shared" si="23"/>
        <v>0</v>
      </c>
      <c r="AK22" s="1">
        <f ca="1">控制台!$E$3638*$C22</f>
        <v>0</v>
      </c>
      <c r="AL22" s="1">
        <f ca="1" t="shared" si="11"/>
        <v>0</v>
      </c>
      <c r="AM22" s="5">
        <f ca="1" t="shared" si="24"/>
        <v>0</v>
      </c>
    </row>
    <row r="23" spans="1:39">
      <c r="A23" s="9">
        <v>4.5</v>
      </c>
      <c r="B23" s="1">
        <f t="shared" si="12"/>
        <v>0.5</v>
      </c>
      <c r="C23" s="13">
        <f ca="1">IF(A23-1&lt;0,控制台!$C$3643,OFFSET(控制台!$C$3643,MATCH(A23-1,控制台!$B$3643:$B$3648,1)-1,0))</f>
        <v>0</v>
      </c>
      <c r="D23" s="1">
        <f ca="1">控制台!$E$3594*$C23</f>
        <v>0</v>
      </c>
      <c r="E23" s="1">
        <f ca="1" t="shared" si="0"/>
        <v>0</v>
      </c>
      <c r="F23" s="5">
        <f ca="1" t="shared" si="13"/>
        <v>0</v>
      </c>
      <c r="G23" s="1">
        <f ca="1">控制台!$E$3598*$C23</f>
        <v>0</v>
      </c>
      <c r="H23" s="1">
        <f ca="1" t="shared" si="1"/>
        <v>0</v>
      </c>
      <c r="I23" s="5">
        <f ca="1" t="shared" si="14"/>
        <v>0</v>
      </c>
      <c r="J23" s="1">
        <f ca="1">控制台!$E$3602*$C23</f>
        <v>0</v>
      </c>
      <c r="K23" s="1">
        <f ca="1" t="shared" si="2"/>
        <v>0</v>
      </c>
      <c r="L23" s="5">
        <f ca="1" t="shared" si="15"/>
        <v>0</v>
      </c>
      <c r="M23" s="1">
        <f ca="1">控制台!$E$3606*$C23</f>
        <v>0</v>
      </c>
      <c r="N23" s="1">
        <f ca="1" t="shared" si="3"/>
        <v>0</v>
      </c>
      <c r="O23" s="5">
        <f ca="1" t="shared" si="16"/>
        <v>0</v>
      </c>
      <c r="P23" s="1">
        <f ca="1">控制台!$E$3610*$C23</f>
        <v>0</v>
      </c>
      <c r="Q23" s="1">
        <f ca="1" t="shared" si="4"/>
        <v>0</v>
      </c>
      <c r="R23" s="5">
        <f ca="1" t="shared" si="17"/>
        <v>0</v>
      </c>
      <c r="S23" s="1">
        <f ca="1">控制台!$E$3614*$C23</f>
        <v>0</v>
      </c>
      <c r="T23" s="1">
        <f ca="1" t="shared" si="5"/>
        <v>0</v>
      </c>
      <c r="U23" s="5">
        <f ca="1" t="shared" si="18"/>
        <v>0</v>
      </c>
      <c r="V23" s="1">
        <f ca="1">控制台!$E$3618*$C23</f>
        <v>0</v>
      </c>
      <c r="W23" s="1">
        <f ca="1" t="shared" si="6"/>
        <v>0</v>
      </c>
      <c r="X23" s="5">
        <f ca="1" t="shared" si="19"/>
        <v>0</v>
      </c>
      <c r="Y23" s="1">
        <f ca="1">控制台!$E$3622*$C23</f>
        <v>0</v>
      </c>
      <c r="Z23" s="1">
        <f ca="1" t="shared" si="7"/>
        <v>0</v>
      </c>
      <c r="AA23" s="5">
        <f ca="1" t="shared" si="20"/>
        <v>0</v>
      </c>
      <c r="AB23" s="1">
        <f ca="1">控制台!$E$3626*$C23</f>
        <v>0</v>
      </c>
      <c r="AC23" s="1">
        <f ca="1" t="shared" si="8"/>
        <v>0</v>
      </c>
      <c r="AD23" s="5">
        <f ca="1" t="shared" si="21"/>
        <v>0</v>
      </c>
      <c r="AE23" s="1">
        <f ca="1">控制台!$E$3630*$C23</f>
        <v>0</v>
      </c>
      <c r="AF23" s="1">
        <f ca="1" t="shared" si="9"/>
        <v>0</v>
      </c>
      <c r="AG23" s="5">
        <f ca="1" t="shared" si="22"/>
        <v>0</v>
      </c>
      <c r="AH23" s="1">
        <f ca="1">控制台!$E$3634*$C23</f>
        <v>0</v>
      </c>
      <c r="AI23" s="1">
        <f ca="1" t="shared" si="10"/>
        <v>0</v>
      </c>
      <c r="AJ23" s="5">
        <f ca="1" t="shared" si="23"/>
        <v>0</v>
      </c>
      <c r="AK23" s="1">
        <f ca="1">控制台!$E$3638*$C23</f>
        <v>0</v>
      </c>
      <c r="AL23" s="1">
        <f ca="1" t="shared" si="11"/>
        <v>0</v>
      </c>
      <c r="AM23" s="5">
        <f ca="1" t="shared" si="24"/>
        <v>0</v>
      </c>
    </row>
    <row r="24" spans="1:39">
      <c r="A24" s="9">
        <v>5</v>
      </c>
      <c r="B24" s="1">
        <f t="shared" si="12"/>
        <v>0.5</v>
      </c>
      <c r="C24" s="13">
        <f ca="1">IF(A24-1&lt;0,控制台!$C$3643,OFFSET(控制台!$C$3643,MATCH(A24-1,控制台!$B$3643:$B$3648,1)-1,0))</f>
        <v>0</v>
      </c>
      <c r="D24" s="1">
        <f ca="1">控制台!$E$3594*$C24</f>
        <v>0</v>
      </c>
      <c r="E24" s="1">
        <f ca="1" t="shared" si="0"/>
        <v>0</v>
      </c>
      <c r="F24" s="5">
        <f ca="1" t="shared" si="13"/>
        <v>0</v>
      </c>
      <c r="G24" s="1">
        <f ca="1">控制台!$E$3598*$C24</f>
        <v>0</v>
      </c>
      <c r="H24" s="1">
        <f ca="1" t="shared" si="1"/>
        <v>0</v>
      </c>
      <c r="I24" s="5">
        <f ca="1" t="shared" si="14"/>
        <v>0</v>
      </c>
      <c r="J24" s="1">
        <f ca="1">控制台!$E$3602*$C24</f>
        <v>0</v>
      </c>
      <c r="K24" s="1">
        <f ca="1" t="shared" si="2"/>
        <v>0</v>
      </c>
      <c r="L24" s="5">
        <f ca="1" t="shared" si="15"/>
        <v>0</v>
      </c>
      <c r="M24" s="1">
        <f ca="1">控制台!$E$3606*$C24</f>
        <v>0</v>
      </c>
      <c r="N24" s="1">
        <f ca="1" t="shared" si="3"/>
        <v>0</v>
      </c>
      <c r="O24" s="5">
        <f ca="1" t="shared" si="16"/>
        <v>0</v>
      </c>
      <c r="P24" s="1">
        <f ca="1">控制台!$E$3610*$C24</f>
        <v>0</v>
      </c>
      <c r="Q24" s="1">
        <f ca="1" t="shared" si="4"/>
        <v>0</v>
      </c>
      <c r="R24" s="5">
        <f ca="1" t="shared" si="17"/>
        <v>0</v>
      </c>
      <c r="S24" s="1">
        <f ca="1">控制台!$E$3614*$C24</f>
        <v>0</v>
      </c>
      <c r="T24" s="1">
        <f ca="1" t="shared" si="5"/>
        <v>0</v>
      </c>
      <c r="U24" s="5">
        <f ca="1" t="shared" si="18"/>
        <v>0</v>
      </c>
      <c r="V24" s="1">
        <f ca="1">控制台!$E$3618*$C24</f>
        <v>0</v>
      </c>
      <c r="W24" s="1">
        <f ca="1" t="shared" si="6"/>
        <v>0</v>
      </c>
      <c r="X24" s="5">
        <f ca="1" t="shared" si="19"/>
        <v>0</v>
      </c>
      <c r="Y24" s="1">
        <f ca="1">控制台!$E$3622*$C24</f>
        <v>0</v>
      </c>
      <c r="Z24" s="1">
        <f ca="1" t="shared" si="7"/>
        <v>0</v>
      </c>
      <c r="AA24" s="5">
        <f ca="1" t="shared" si="20"/>
        <v>0</v>
      </c>
      <c r="AB24" s="1">
        <f ca="1">控制台!$E$3626*$C24</f>
        <v>0</v>
      </c>
      <c r="AC24" s="1">
        <f ca="1" t="shared" si="8"/>
        <v>0</v>
      </c>
      <c r="AD24" s="5">
        <f ca="1" t="shared" si="21"/>
        <v>0</v>
      </c>
      <c r="AE24" s="1">
        <f ca="1">控制台!$E$3630*$C24</f>
        <v>0</v>
      </c>
      <c r="AF24" s="1">
        <f ca="1" t="shared" si="9"/>
        <v>0</v>
      </c>
      <c r="AG24" s="5">
        <f ca="1" t="shared" si="22"/>
        <v>0</v>
      </c>
      <c r="AH24" s="1">
        <f ca="1">控制台!$E$3634*$C24</f>
        <v>0</v>
      </c>
      <c r="AI24" s="1">
        <f ca="1" t="shared" si="10"/>
        <v>0</v>
      </c>
      <c r="AJ24" s="5">
        <f ca="1" t="shared" si="23"/>
        <v>0</v>
      </c>
      <c r="AK24" s="1">
        <f ca="1">控制台!$E$3638*$C24</f>
        <v>0</v>
      </c>
      <c r="AL24" s="1">
        <f ca="1" t="shared" si="11"/>
        <v>0</v>
      </c>
      <c r="AM24" s="5">
        <f ca="1" t="shared" si="24"/>
        <v>0</v>
      </c>
    </row>
    <row r="25" spans="1:39">
      <c r="A25" s="9">
        <v>5.5</v>
      </c>
      <c r="B25" s="1">
        <f t="shared" si="12"/>
        <v>0.5</v>
      </c>
      <c r="C25" s="13">
        <f ca="1">IF(A25-1&lt;0,控制台!$C$3643,OFFSET(控制台!$C$3643,MATCH(A25-1,控制台!$B$3643:$B$3648,1)-1,0))</f>
        <v>0</v>
      </c>
      <c r="D25" s="1">
        <f ca="1">控制台!$E$3594*$C25</f>
        <v>0</v>
      </c>
      <c r="E25" s="1">
        <f ca="1" t="shared" si="0"/>
        <v>0</v>
      </c>
      <c r="F25" s="5">
        <f ca="1" t="shared" si="13"/>
        <v>0</v>
      </c>
      <c r="G25" s="1">
        <f ca="1">控制台!$E$3598*$C25</f>
        <v>0</v>
      </c>
      <c r="H25" s="1">
        <f ca="1" t="shared" si="1"/>
        <v>0</v>
      </c>
      <c r="I25" s="5">
        <f ca="1" t="shared" si="14"/>
        <v>0</v>
      </c>
      <c r="J25" s="1">
        <f ca="1">控制台!$E$3602*$C25</f>
        <v>0</v>
      </c>
      <c r="K25" s="1">
        <f ca="1" t="shared" si="2"/>
        <v>0</v>
      </c>
      <c r="L25" s="5">
        <f ca="1" t="shared" si="15"/>
        <v>0</v>
      </c>
      <c r="M25" s="1">
        <f ca="1">控制台!$E$3606*$C25</f>
        <v>0</v>
      </c>
      <c r="N25" s="1">
        <f ca="1" t="shared" si="3"/>
        <v>0</v>
      </c>
      <c r="O25" s="5">
        <f ca="1" t="shared" si="16"/>
        <v>0</v>
      </c>
      <c r="P25" s="1">
        <f ca="1">控制台!$E$3610*$C25</f>
        <v>0</v>
      </c>
      <c r="Q25" s="1">
        <f ca="1" t="shared" si="4"/>
        <v>0</v>
      </c>
      <c r="R25" s="5">
        <f ca="1" t="shared" si="17"/>
        <v>0</v>
      </c>
      <c r="S25" s="1">
        <f ca="1">控制台!$E$3614*$C25</f>
        <v>0</v>
      </c>
      <c r="T25" s="1">
        <f ca="1" t="shared" si="5"/>
        <v>0</v>
      </c>
      <c r="U25" s="5">
        <f ca="1" t="shared" si="18"/>
        <v>0</v>
      </c>
      <c r="V25" s="1">
        <f ca="1">控制台!$E$3618*$C25</f>
        <v>0</v>
      </c>
      <c r="W25" s="1">
        <f ca="1" t="shared" si="6"/>
        <v>0</v>
      </c>
      <c r="X25" s="5">
        <f ca="1" t="shared" si="19"/>
        <v>0</v>
      </c>
      <c r="Y25" s="1">
        <f ca="1">控制台!$E$3622*$C25</f>
        <v>0</v>
      </c>
      <c r="Z25" s="1">
        <f ca="1" t="shared" si="7"/>
        <v>0</v>
      </c>
      <c r="AA25" s="5">
        <f ca="1" t="shared" si="20"/>
        <v>0</v>
      </c>
      <c r="AB25" s="1">
        <f ca="1">控制台!$E$3626*$C25</f>
        <v>0</v>
      </c>
      <c r="AC25" s="1">
        <f ca="1" t="shared" si="8"/>
        <v>0</v>
      </c>
      <c r="AD25" s="5">
        <f ca="1" t="shared" si="21"/>
        <v>0</v>
      </c>
      <c r="AE25" s="1">
        <f ca="1">控制台!$E$3630*$C25</f>
        <v>0</v>
      </c>
      <c r="AF25" s="1">
        <f ca="1" t="shared" si="9"/>
        <v>0</v>
      </c>
      <c r="AG25" s="5">
        <f ca="1" t="shared" si="22"/>
        <v>0</v>
      </c>
      <c r="AH25" s="1">
        <f ca="1">控制台!$E$3634*$C25</f>
        <v>0</v>
      </c>
      <c r="AI25" s="1">
        <f ca="1" t="shared" si="10"/>
        <v>0</v>
      </c>
      <c r="AJ25" s="5">
        <f ca="1" t="shared" si="23"/>
        <v>0</v>
      </c>
      <c r="AK25" s="1">
        <f ca="1">控制台!$E$3638*$C25</f>
        <v>0</v>
      </c>
      <c r="AL25" s="1">
        <f ca="1" t="shared" si="11"/>
        <v>0</v>
      </c>
      <c r="AM25" s="5">
        <f ca="1" t="shared" si="24"/>
        <v>0</v>
      </c>
    </row>
    <row r="26" spans="1:39">
      <c r="A26" s="9">
        <v>6</v>
      </c>
      <c r="B26" s="1">
        <f t="shared" si="12"/>
        <v>0.5</v>
      </c>
      <c r="C26" s="13">
        <f ca="1">IF(A26-1&lt;0,控制台!$C$3643,OFFSET(控制台!$C$3643,MATCH(A26-1,控制台!$B$3643:$B$3648,1)-1,0))</f>
        <v>0</v>
      </c>
      <c r="D26" s="1">
        <f ca="1">控制台!$E$3594*$C26</f>
        <v>0</v>
      </c>
      <c r="E26" s="1">
        <f ca="1" t="shared" si="0"/>
        <v>0</v>
      </c>
      <c r="F26" s="5">
        <f ca="1" t="shared" si="13"/>
        <v>0</v>
      </c>
      <c r="G26" s="1">
        <f ca="1">控制台!$E$3598*$C26</f>
        <v>0</v>
      </c>
      <c r="H26" s="1">
        <f ca="1" t="shared" si="1"/>
        <v>0</v>
      </c>
      <c r="I26" s="5">
        <f ca="1" t="shared" si="14"/>
        <v>0</v>
      </c>
      <c r="J26" s="1">
        <f ca="1">控制台!$E$3602*$C26</f>
        <v>0</v>
      </c>
      <c r="K26" s="1">
        <f ca="1" t="shared" si="2"/>
        <v>0</v>
      </c>
      <c r="L26" s="5">
        <f ca="1" t="shared" si="15"/>
        <v>0</v>
      </c>
      <c r="M26" s="1">
        <f ca="1">控制台!$E$3606*$C26</f>
        <v>0</v>
      </c>
      <c r="N26" s="1">
        <f ca="1" t="shared" si="3"/>
        <v>0</v>
      </c>
      <c r="O26" s="5">
        <f ca="1" t="shared" si="16"/>
        <v>0</v>
      </c>
      <c r="P26" s="1">
        <f ca="1">控制台!$E$3610*$C26</f>
        <v>0</v>
      </c>
      <c r="Q26" s="1">
        <f ca="1" t="shared" si="4"/>
        <v>0</v>
      </c>
      <c r="R26" s="5">
        <f ca="1" t="shared" si="17"/>
        <v>0</v>
      </c>
      <c r="S26" s="1">
        <f ca="1">控制台!$E$3614*$C26</f>
        <v>0</v>
      </c>
      <c r="T26" s="1">
        <f ca="1" t="shared" si="5"/>
        <v>0</v>
      </c>
      <c r="U26" s="5">
        <f ca="1" t="shared" si="18"/>
        <v>0</v>
      </c>
      <c r="V26" s="1">
        <f ca="1">控制台!$E$3618*$C26</f>
        <v>0</v>
      </c>
      <c r="W26" s="1">
        <f ca="1" t="shared" si="6"/>
        <v>0</v>
      </c>
      <c r="X26" s="5">
        <f ca="1" t="shared" si="19"/>
        <v>0</v>
      </c>
      <c r="Y26" s="1">
        <f ca="1">控制台!$E$3622*$C26</f>
        <v>0</v>
      </c>
      <c r="Z26" s="1">
        <f ca="1" t="shared" si="7"/>
        <v>0</v>
      </c>
      <c r="AA26" s="5">
        <f ca="1" t="shared" si="20"/>
        <v>0</v>
      </c>
      <c r="AB26" s="1">
        <f ca="1">控制台!$E$3626*$C26</f>
        <v>0</v>
      </c>
      <c r="AC26" s="1">
        <f ca="1" t="shared" si="8"/>
        <v>0</v>
      </c>
      <c r="AD26" s="5">
        <f ca="1" t="shared" si="21"/>
        <v>0</v>
      </c>
      <c r="AE26" s="1">
        <f ca="1">控制台!$E$3630*$C26</f>
        <v>0</v>
      </c>
      <c r="AF26" s="1">
        <f ca="1" t="shared" si="9"/>
        <v>0</v>
      </c>
      <c r="AG26" s="5">
        <f ca="1" t="shared" si="22"/>
        <v>0</v>
      </c>
      <c r="AH26" s="1">
        <f ca="1">控制台!$E$3634*$C26</f>
        <v>0</v>
      </c>
      <c r="AI26" s="1">
        <f ca="1" t="shared" si="10"/>
        <v>0</v>
      </c>
      <c r="AJ26" s="5">
        <f ca="1" t="shared" si="23"/>
        <v>0</v>
      </c>
      <c r="AK26" s="1">
        <f ca="1">控制台!$E$3638*$C26</f>
        <v>0</v>
      </c>
      <c r="AL26" s="1">
        <f ca="1" t="shared" si="11"/>
        <v>0</v>
      </c>
      <c r="AM26" s="5">
        <f ca="1" t="shared" si="24"/>
        <v>0</v>
      </c>
    </row>
    <row r="27" spans="1:39">
      <c r="A27" s="9">
        <v>6.5</v>
      </c>
      <c r="B27" s="1">
        <f t="shared" si="12"/>
        <v>0.5</v>
      </c>
      <c r="C27" s="13">
        <f ca="1">IF(A27-1&lt;0,控制台!$C$3643,OFFSET(控制台!$C$3643,MATCH(A27-1,控制台!$B$3643:$B$3648,1)-1,0))</f>
        <v>0</v>
      </c>
      <c r="D27" s="1">
        <f ca="1">控制台!$E$3594*$C27</f>
        <v>0</v>
      </c>
      <c r="E27" s="1">
        <f ca="1" t="shared" si="0"/>
        <v>0</v>
      </c>
      <c r="F27" s="5">
        <f ca="1" t="shared" si="13"/>
        <v>0</v>
      </c>
      <c r="G27" s="1">
        <f ca="1">控制台!$E$3598*$C27</f>
        <v>0</v>
      </c>
      <c r="H27" s="1">
        <f ca="1" t="shared" si="1"/>
        <v>0</v>
      </c>
      <c r="I27" s="5">
        <f ca="1" t="shared" si="14"/>
        <v>0</v>
      </c>
      <c r="J27" s="1">
        <f ca="1">控制台!$E$3602*$C27</f>
        <v>0</v>
      </c>
      <c r="K27" s="1">
        <f ca="1" t="shared" si="2"/>
        <v>0</v>
      </c>
      <c r="L27" s="5">
        <f ca="1" t="shared" si="15"/>
        <v>0</v>
      </c>
      <c r="M27" s="1">
        <f ca="1">控制台!$E$3606*$C27</f>
        <v>0</v>
      </c>
      <c r="N27" s="1">
        <f ca="1" t="shared" si="3"/>
        <v>0</v>
      </c>
      <c r="O27" s="5">
        <f ca="1" t="shared" si="16"/>
        <v>0</v>
      </c>
      <c r="P27" s="1">
        <f ca="1">控制台!$E$3610*$C27</f>
        <v>0</v>
      </c>
      <c r="Q27" s="1">
        <f ca="1" t="shared" si="4"/>
        <v>0</v>
      </c>
      <c r="R27" s="5">
        <f ca="1" t="shared" si="17"/>
        <v>0</v>
      </c>
      <c r="S27" s="1">
        <f ca="1">控制台!$E$3614*$C27</f>
        <v>0</v>
      </c>
      <c r="T27" s="1">
        <f ca="1" t="shared" si="5"/>
        <v>0</v>
      </c>
      <c r="U27" s="5">
        <f ca="1" t="shared" si="18"/>
        <v>0</v>
      </c>
      <c r="V27" s="1">
        <f ca="1">控制台!$E$3618*$C27</f>
        <v>0</v>
      </c>
      <c r="W27" s="1">
        <f ca="1" t="shared" si="6"/>
        <v>0</v>
      </c>
      <c r="X27" s="5">
        <f ca="1" t="shared" si="19"/>
        <v>0</v>
      </c>
      <c r="Y27" s="1">
        <f ca="1">控制台!$E$3622*$C27</f>
        <v>0</v>
      </c>
      <c r="Z27" s="1">
        <f ca="1" t="shared" si="7"/>
        <v>0</v>
      </c>
      <c r="AA27" s="5">
        <f ca="1" t="shared" si="20"/>
        <v>0</v>
      </c>
      <c r="AB27" s="1">
        <f ca="1">控制台!$E$3626*$C27</f>
        <v>0</v>
      </c>
      <c r="AC27" s="1">
        <f ca="1" t="shared" si="8"/>
        <v>0</v>
      </c>
      <c r="AD27" s="5">
        <f ca="1" t="shared" si="21"/>
        <v>0</v>
      </c>
      <c r="AE27" s="1">
        <f ca="1">控制台!$E$3630*$C27</f>
        <v>0</v>
      </c>
      <c r="AF27" s="1">
        <f ca="1" t="shared" si="9"/>
        <v>0</v>
      </c>
      <c r="AG27" s="5">
        <f ca="1" t="shared" si="22"/>
        <v>0</v>
      </c>
      <c r="AH27" s="1">
        <f ca="1">控制台!$E$3634*$C27</f>
        <v>0</v>
      </c>
      <c r="AI27" s="1">
        <f ca="1" t="shared" si="10"/>
        <v>0</v>
      </c>
      <c r="AJ27" s="5">
        <f ca="1" t="shared" si="23"/>
        <v>0</v>
      </c>
      <c r="AK27" s="1">
        <f ca="1">控制台!$E$3638*$C27</f>
        <v>0</v>
      </c>
      <c r="AL27" s="1">
        <f ca="1" t="shared" si="11"/>
        <v>0</v>
      </c>
      <c r="AM27" s="5">
        <f ca="1" t="shared" si="24"/>
        <v>0</v>
      </c>
    </row>
    <row r="28" spans="1:39">
      <c r="A28" s="9">
        <v>7</v>
      </c>
      <c r="B28" s="1">
        <f t="shared" si="12"/>
        <v>0.5</v>
      </c>
      <c r="C28" s="13">
        <f ca="1">IF(A28-1&lt;0,控制台!$C$3643,OFFSET(控制台!$C$3643,MATCH(A28-1,控制台!$B$3643:$B$3648,1)-1,0))</f>
        <v>0</v>
      </c>
      <c r="D28" s="1">
        <f ca="1">控制台!$E$3594*$C28</f>
        <v>0</v>
      </c>
      <c r="E28" s="1">
        <f ca="1" t="shared" si="0"/>
        <v>0</v>
      </c>
      <c r="F28" s="5">
        <f ca="1" t="shared" si="13"/>
        <v>0</v>
      </c>
      <c r="G28" s="1">
        <f ca="1">控制台!$E$3598*$C28</f>
        <v>0</v>
      </c>
      <c r="H28" s="1">
        <f ca="1" t="shared" si="1"/>
        <v>0</v>
      </c>
      <c r="I28" s="5">
        <f ca="1" t="shared" si="14"/>
        <v>0</v>
      </c>
      <c r="J28" s="1">
        <f ca="1">控制台!$E$3602*$C28</f>
        <v>0</v>
      </c>
      <c r="K28" s="1">
        <f ca="1" t="shared" si="2"/>
        <v>0</v>
      </c>
      <c r="L28" s="5">
        <f ca="1" t="shared" si="15"/>
        <v>0</v>
      </c>
      <c r="M28" s="1">
        <f ca="1">控制台!$E$3606*$C28</f>
        <v>0</v>
      </c>
      <c r="N28" s="1">
        <f ca="1" t="shared" si="3"/>
        <v>0</v>
      </c>
      <c r="O28" s="5">
        <f ca="1" t="shared" si="16"/>
        <v>0</v>
      </c>
      <c r="P28" s="1">
        <f ca="1">控制台!$E$3610*$C28</f>
        <v>0</v>
      </c>
      <c r="Q28" s="1">
        <f ca="1" t="shared" si="4"/>
        <v>0</v>
      </c>
      <c r="R28" s="5">
        <f ca="1" t="shared" si="17"/>
        <v>0</v>
      </c>
      <c r="S28" s="1">
        <f ca="1">控制台!$E$3614*$C28</f>
        <v>0</v>
      </c>
      <c r="T28" s="1">
        <f ca="1" t="shared" si="5"/>
        <v>0</v>
      </c>
      <c r="U28" s="5">
        <f ca="1" t="shared" si="18"/>
        <v>0</v>
      </c>
      <c r="V28" s="1">
        <f ca="1">控制台!$E$3618*$C28</f>
        <v>0</v>
      </c>
      <c r="W28" s="1">
        <f ca="1" t="shared" si="6"/>
        <v>0</v>
      </c>
      <c r="X28" s="5">
        <f ca="1" t="shared" si="19"/>
        <v>0</v>
      </c>
      <c r="Y28" s="1">
        <f ca="1">控制台!$E$3622*$C28</f>
        <v>0</v>
      </c>
      <c r="Z28" s="1">
        <f ca="1" t="shared" si="7"/>
        <v>0</v>
      </c>
      <c r="AA28" s="5">
        <f ca="1" t="shared" si="20"/>
        <v>0</v>
      </c>
      <c r="AB28" s="1">
        <f ca="1">控制台!$E$3626*$C28</f>
        <v>0</v>
      </c>
      <c r="AC28" s="1">
        <f ca="1" t="shared" si="8"/>
        <v>0</v>
      </c>
      <c r="AD28" s="5">
        <f ca="1" t="shared" si="21"/>
        <v>0</v>
      </c>
      <c r="AE28" s="1">
        <f ca="1">控制台!$E$3630*$C28</f>
        <v>0</v>
      </c>
      <c r="AF28" s="1">
        <f ca="1" t="shared" si="9"/>
        <v>0</v>
      </c>
      <c r="AG28" s="5">
        <f ca="1" t="shared" si="22"/>
        <v>0</v>
      </c>
      <c r="AH28" s="1">
        <f ca="1">控制台!$E$3634*$C28</f>
        <v>0</v>
      </c>
      <c r="AI28" s="1">
        <f ca="1" t="shared" si="10"/>
        <v>0</v>
      </c>
      <c r="AJ28" s="5">
        <f ca="1" t="shared" si="23"/>
        <v>0</v>
      </c>
      <c r="AK28" s="1">
        <f ca="1">控制台!$E$3638*$C28</f>
        <v>0</v>
      </c>
      <c r="AL28" s="1">
        <f ca="1" t="shared" si="11"/>
        <v>0</v>
      </c>
      <c r="AM28" s="5">
        <f ca="1" t="shared" si="24"/>
        <v>0</v>
      </c>
    </row>
    <row r="29" spans="1:39">
      <c r="A29" s="10">
        <v>8</v>
      </c>
      <c r="B29" s="1">
        <f t="shared" si="12"/>
        <v>1</v>
      </c>
      <c r="C29" s="13">
        <f ca="1">IF(A29-1&lt;0,控制台!$C$3643,OFFSET(控制台!$C$3643,MATCH(A29-1,控制台!$B$3643:$B$3648,1)-1,0))</f>
        <v>0.2</v>
      </c>
      <c r="D29" s="1">
        <f ca="1">控制台!$E$3594*$C29</f>
        <v>120</v>
      </c>
      <c r="E29" s="1">
        <f ca="1" t="shared" si="0"/>
        <v>120</v>
      </c>
      <c r="F29" s="5">
        <f ca="1" t="shared" si="13"/>
        <v>120</v>
      </c>
      <c r="G29" s="1">
        <f ca="1">控制台!$E$3598*$C29</f>
        <v>2400000</v>
      </c>
      <c r="H29" s="1">
        <f ca="1" t="shared" si="1"/>
        <v>2400000</v>
      </c>
      <c r="I29" s="5">
        <f ca="1" t="shared" si="14"/>
        <v>2400000</v>
      </c>
      <c r="J29" s="1">
        <f ca="1">控制台!$E$3602*$C29</f>
        <v>1152</v>
      </c>
      <c r="K29" s="1">
        <f ca="1" t="shared" si="2"/>
        <v>1152</v>
      </c>
      <c r="L29" s="5">
        <f ca="1" t="shared" si="15"/>
        <v>1152</v>
      </c>
      <c r="M29" s="1">
        <f ca="1">控制台!$E$3606*$C29</f>
        <v>4</v>
      </c>
      <c r="N29" s="1">
        <f ca="1" t="shared" si="3"/>
        <v>4</v>
      </c>
      <c r="O29" s="5">
        <f ca="1" t="shared" si="16"/>
        <v>4</v>
      </c>
      <c r="P29" s="1">
        <f ca="1">控制台!$E$3610*$C29</f>
        <v>400000</v>
      </c>
      <c r="Q29" s="1">
        <f ca="1" t="shared" si="4"/>
        <v>400000</v>
      </c>
      <c r="R29" s="5">
        <f ca="1" t="shared" si="17"/>
        <v>400000</v>
      </c>
      <c r="S29" s="1">
        <f ca="1">控制台!$E$3614*$C29</f>
        <v>266.666666666666</v>
      </c>
      <c r="T29" s="1">
        <f ca="1" t="shared" si="5"/>
        <v>266.666666666666</v>
      </c>
      <c r="U29" s="5">
        <f ca="1" t="shared" si="18"/>
        <v>266.666666666666</v>
      </c>
      <c r="V29" s="1">
        <f ca="1">控制台!$E$3618*$C29</f>
        <v>100</v>
      </c>
      <c r="W29" s="1">
        <f ca="1" t="shared" si="6"/>
        <v>100</v>
      </c>
      <c r="X29" s="5">
        <f ca="1" t="shared" si="19"/>
        <v>100</v>
      </c>
      <c r="Y29" s="1">
        <f ca="1">控制台!$E$3622*$C29</f>
        <v>720</v>
      </c>
      <c r="Z29" s="1">
        <f ca="1" t="shared" si="7"/>
        <v>720</v>
      </c>
      <c r="AA29" s="5">
        <f ca="1" t="shared" si="20"/>
        <v>720</v>
      </c>
      <c r="AB29" s="1">
        <f ca="1">控制台!$E$3626*$C29</f>
        <v>0.0064</v>
      </c>
      <c r="AC29" s="1">
        <f ca="1" t="shared" si="8"/>
        <v>0.0064</v>
      </c>
      <c r="AD29" s="5">
        <f ca="1" t="shared" si="21"/>
        <v>0.0064</v>
      </c>
      <c r="AE29" s="1">
        <f ca="1">控制台!$E$3630*$C29</f>
        <v>200000</v>
      </c>
      <c r="AF29" s="1">
        <f ca="1" t="shared" si="9"/>
        <v>200000</v>
      </c>
      <c r="AG29" s="5">
        <f ca="1" t="shared" si="22"/>
        <v>200000</v>
      </c>
      <c r="AH29" s="1">
        <f ca="1">控制台!$E$3634*$C29</f>
        <v>133.333333333333</v>
      </c>
      <c r="AI29" s="1">
        <f ca="1" t="shared" si="10"/>
        <v>133.333333333333</v>
      </c>
      <c r="AJ29" s="5">
        <f ca="1" t="shared" si="23"/>
        <v>133.333333333333</v>
      </c>
      <c r="AK29" s="1">
        <f ca="1">控制台!$E$3638*$C29</f>
        <v>50</v>
      </c>
      <c r="AL29" s="1">
        <f ca="1" t="shared" si="11"/>
        <v>50</v>
      </c>
      <c r="AM29" s="5">
        <f ca="1" t="shared" si="24"/>
        <v>50</v>
      </c>
    </row>
    <row r="30" spans="1:39">
      <c r="A30" s="10">
        <v>9</v>
      </c>
      <c r="B30" s="1">
        <f t="shared" si="12"/>
        <v>1</v>
      </c>
      <c r="C30" s="13">
        <f ca="1">IF(A30-1&lt;0,控制台!$C$3643,OFFSET(控制台!$C$3643,MATCH(A30-1,控制台!$B$3643:$B$3648,1)-1,0))</f>
        <v>0.2</v>
      </c>
      <c r="D30" s="1">
        <f ca="1">控制台!$E$3594*$C30</f>
        <v>120</v>
      </c>
      <c r="E30" s="1">
        <f ca="1" t="shared" si="0"/>
        <v>120</v>
      </c>
      <c r="F30" s="5">
        <f ca="1" t="shared" si="13"/>
        <v>240</v>
      </c>
      <c r="G30" s="1">
        <f ca="1">控制台!$E$3598*$C30</f>
        <v>2400000</v>
      </c>
      <c r="H30" s="1">
        <f ca="1" t="shared" si="1"/>
        <v>2400000</v>
      </c>
      <c r="I30" s="5">
        <f ca="1" t="shared" si="14"/>
        <v>4800000</v>
      </c>
      <c r="J30" s="1">
        <f ca="1">控制台!$E$3602*$C30</f>
        <v>1152</v>
      </c>
      <c r="K30" s="1">
        <f ca="1" t="shared" si="2"/>
        <v>1152</v>
      </c>
      <c r="L30" s="5">
        <f ca="1" t="shared" si="15"/>
        <v>2304</v>
      </c>
      <c r="M30" s="1">
        <f ca="1">控制台!$E$3606*$C30</f>
        <v>4</v>
      </c>
      <c r="N30" s="1">
        <f ca="1" t="shared" si="3"/>
        <v>4</v>
      </c>
      <c r="O30" s="5">
        <f ca="1" t="shared" si="16"/>
        <v>8</v>
      </c>
      <c r="P30" s="1">
        <f ca="1">控制台!$E$3610*$C30</f>
        <v>400000</v>
      </c>
      <c r="Q30" s="1">
        <f ca="1" t="shared" si="4"/>
        <v>400000</v>
      </c>
      <c r="R30" s="5">
        <f ca="1" t="shared" si="17"/>
        <v>800000</v>
      </c>
      <c r="S30" s="1">
        <f ca="1">控制台!$E$3614*$C30</f>
        <v>266.666666666666</v>
      </c>
      <c r="T30" s="1">
        <f ca="1" t="shared" si="5"/>
        <v>266.666666666666</v>
      </c>
      <c r="U30" s="5">
        <f ca="1" t="shared" si="18"/>
        <v>533.333333333332</v>
      </c>
      <c r="V30" s="1">
        <f ca="1">控制台!$E$3618*$C30</f>
        <v>100</v>
      </c>
      <c r="W30" s="1">
        <f ca="1" t="shared" si="6"/>
        <v>100</v>
      </c>
      <c r="X30" s="5">
        <f ca="1" t="shared" si="19"/>
        <v>200</v>
      </c>
      <c r="Y30" s="1">
        <f ca="1">控制台!$E$3622*$C30</f>
        <v>720</v>
      </c>
      <c r="Z30" s="1">
        <f ca="1" t="shared" si="7"/>
        <v>720</v>
      </c>
      <c r="AA30" s="5">
        <f ca="1" t="shared" si="20"/>
        <v>1440</v>
      </c>
      <c r="AB30" s="1">
        <f ca="1">控制台!$E$3626*$C30</f>
        <v>0.0064</v>
      </c>
      <c r="AC30" s="1">
        <f ca="1" t="shared" si="8"/>
        <v>0.0064</v>
      </c>
      <c r="AD30" s="5">
        <f ca="1" t="shared" si="21"/>
        <v>0.0128</v>
      </c>
      <c r="AE30" s="1">
        <f ca="1">控制台!$E$3630*$C30</f>
        <v>200000</v>
      </c>
      <c r="AF30" s="1">
        <f ca="1" t="shared" si="9"/>
        <v>200000</v>
      </c>
      <c r="AG30" s="5">
        <f ca="1" t="shared" si="22"/>
        <v>400000</v>
      </c>
      <c r="AH30" s="1">
        <f ca="1">控制台!$E$3634*$C30</f>
        <v>133.333333333333</v>
      </c>
      <c r="AI30" s="1">
        <f ca="1" t="shared" si="10"/>
        <v>133.333333333333</v>
      </c>
      <c r="AJ30" s="5">
        <f ca="1" t="shared" si="23"/>
        <v>266.666666666667</v>
      </c>
      <c r="AK30" s="1">
        <f ca="1">控制台!$E$3638*$C30</f>
        <v>50</v>
      </c>
      <c r="AL30" s="1">
        <f ca="1" t="shared" si="11"/>
        <v>50</v>
      </c>
      <c r="AM30" s="5">
        <f ca="1" t="shared" si="24"/>
        <v>100</v>
      </c>
    </row>
    <row r="31" spans="1:39">
      <c r="A31" s="10">
        <v>10</v>
      </c>
      <c r="B31" s="1">
        <f t="shared" si="12"/>
        <v>1</v>
      </c>
      <c r="C31" s="13">
        <f ca="1">IF(A31-1&lt;0,控制台!$C$3643,OFFSET(控制台!$C$3643,MATCH(A31-1,控制台!$B$3643:$B$3648,1)-1,0))</f>
        <v>0.2</v>
      </c>
      <c r="D31" s="1">
        <f ca="1">控制台!$E$3594*$C31</f>
        <v>120</v>
      </c>
      <c r="E31" s="1">
        <f ca="1" t="shared" si="0"/>
        <v>120</v>
      </c>
      <c r="F31" s="5">
        <f ca="1" t="shared" si="13"/>
        <v>360</v>
      </c>
      <c r="G31" s="1">
        <f ca="1">控制台!$E$3598*$C31</f>
        <v>2400000</v>
      </c>
      <c r="H31" s="1">
        <f ca="1" t="shared" si="1"/>
        <v>2400000</v>
      </c>
      <c r="I31" s="5">
        <f ca="1" t="shared" si="14"/>
        <v>7200000</v>
      </c>
      <c r="J31" s="1">
        <f ca="1">控制台!$E$3602*$C31</f>
        <v>1152</v>
      </c>
      <c r="K31" s="1">
        <f ca="1" t="shared" si="2"/>
        <v>1152</v>
      </c>
      <c r="L31" s="5">
        <f ca="1" t="shared" si="15"/>
        <v>3456</v>
      </c>
      <c r="M31" s="1">
        <f ca="1">控制台!$E$3606*$C31</f>
        <v>4</v>
      </c>
      <c r="N31" s="1">
        <f ca="1" t="shared" si="3"/>
        <v>4</v>
      </c>
      <c r="O31" s="5">
        <f ca="1" t="shared" si="16"/>
        <v>12</v>
      </c>
      <c r="P31" s="1">
        <f ca="1">控制台!$E$3610*$C31</f>
        <v>400000</v>
      </c>
      <c r="Q31" s="1">
        <f ca="1" t="shared" si="4"/>
        <v>400000</v>
      </c>
      <c r="R31" s="5">
        <f ca="1" t="shared" si="17"/>
        <v>1200000</v>
      </c>
      <c r="S31" s="1">
        <f ca="1">控制台!$E$3614*$C31</f>
        <v>266.666666666666</v>
      </c>
      <c r="T31" s="1">
        <f ca="1" t="shared" si="5"/>
        <v>266.666666666666</v>
      </c>
      <c r="U31" s="5">
        <f ca="1" t="shared" si="18"/>
        <v>799.999999999998</v>
      </c>
      <c r="V31" s="1">
        <f ca="1">控制台!$E$3618*$C31</f>
        <v>100</v>
      </c>
      <c r="W31" s="1">
        <f ca="1" t="shared" si="6"/>
        <v>100</v>
      </c>
      <c r="X31" s="5">
        <f ca="1" t="shared" si="19"/>
        <v>300</v>
      </c>
      <c r="Y31" s="1">
        <f ca="1">控制台!$E$3622*$C31</f>
        <v>720</v>
      </c>
      <c r="Z31" s="1">
        <f ca="1" t="shared" si="7"/>
        <v>720</v>
      </c>
      <c r="AA31" s="5">
        <f ca="1" t="shared" si="20"/>
        <v>2160</v>
      </c>
      <c r="AB31" s="1">
        <f ca="1">控制台!$E$3626*$C31</f>
        <v>0.0064</v>
      </c>
      <c r="AC31" s="1">
        <f ca="1" t="shared" si="8"/>
        <v>0.0064</v>
      </c>
      <c r="AD31" s="5">
        <f ca="1" t="shared" si="21"/>
        <v>0.0192</v>
      </c>
      <c r="AE31" s="1">
        <f ca="1">控制台!$E$3630*$C31</f>
        <v>200000</v>
      </c>
      <c r="AF31" s="1">
        <f ca="1" t="shared" si="9"/>
        <v>200000</v>
      </c>
      <c r="AG31" s="5">
        <f ca="1" t="shared" si="22"/>
        <v>600000</v>
      </c>
      <c r="AH31" s="1">
        <f ca="1">控制台!$E$3634*$C31</f>
        <v>133.333333333333</v>
      </c>
      <c r="AI31" s="1">
        <f ca="1" t="shared" si="10"/>
        <v>133.333333333333</v>
      </c>
      <c r="AJ31" s="5">
        <f ca="1" t="shared" si="23"/>
        <v>400</v>
      </c>
      <c r="AK31" s="1">
        <f ca="1">控制台!$E$3638*$C31</f>
        <v>50</v>
      </c>
      <c r="AL31" s="1">
        <f ca="1" t="shared" si="11"/>
        <v>50</v>
      </c>
      <c r="AM31" s="5">
        <f ca="1" t="shared" si="24"/>
        <v>150</v>
      </c>
    </row>
    <row r="32" spans="1:39">
      <c r="A32" s="10">
        <v>11</v>
      </c>
      <c r="B32" s="1">
        <f t="shared" si="12"/>
        <v>1</v>
      </c>
      <c r="C32" s="13">
        <f ca="1">IF(A32-1&lt;0,控制台!$C$3643,OFFSET(控制台!$C$3643,MATCH(A32-1,控制台!$B$3643:$B$3648,1)-1,0))</f>
        <v>0.2</v>
      </c>
      <c r="D32" s="1">
        <f ca="1">控制台!$E$3594*$C32</f>
        <v>120</v>
      </c>
      <c r="E32" s="1">
        <f ca="1" t="shared" si="0"/>
        <v>120</v>
      </c>
      <c r="F32" s="5">
        <f ca="1" t="shared" si="13"/>
        <v>480</v>
      </c>
      <c r="G32" s="1">
        <f ca="1">控制台!$E$3598*$C32</f>
        <v>2400000</v>
      </c>
      <c r="H32" s="1">
        <f ca="1" t="shared" si="1"/>
        <v>2400000</v>
      </c>
      <c r="I32" s="5">
        <f ca="1" t="shared" si="14"/>
        <v>9600000</v>
      </c>
      <c r="J32" s="1">
        <f ca="1">控制台!$E$3602*$C32</f>
        <v>1152</v>
      </c>
      <c r="K32" s="1">
        <f ca="1" t="shared" si="2"/>
        <v>1152</v>
      </c>
      <c r="L32" s="5">
        <f ca="1" t="shared" si="15"/>
        <v>4608</v>
      </c>
      <c r="M32" s="1">
        <f ca="1">控制台!$E$3606*$C32</f>
        <v>4</v>
      </c>
      <c r="N32" s="1">
        <f ca="1" t="shared" si="3"/>
        <v>4</v>
      </c>
      <c r="O32" s="5">
        <f ca="1" t="shared" si="16"/>
        <v>16</v>
      </c>
      <c r="P32" s="1">
        <f ca="1">控制台!$E$3610*$C32</f>
        <v>400000</v>
      </c>
      <c r="Q32" s="1">
        <f ca="1" t="shared" si="4"/>
        <v>400000</v>
      </c>
      <c r="R32" s="5">
        <f ca="1" t="shared" si="17"/>
        <v>1600000</v>
      </c>
      <c r="S32" s="1">
        <f ca="1">控制台!$E$3614*$C32</f>
        <v>266.666666666666</v>
      </c>
      <c r="T32" s="1">
        <f ca="1" t="shared" si="5"/>
        <v>266.666666666666</v>
      </c>
      <c r="U32" s="5">
        <f ca="1" t="shared" si="18"/>
        <v>1066.66666666666</v>
      </c>
      <c r="V32" s="1">
        <f ca="1">控制台!$E$3618*$C32</f>
        <v>100</v>
      </c>
      <c r="W32" s="1">
        <f ca="1" t="shared" si="6"/>
        <v>100</v>
      </c>
      <c r="X32" s="5">
        <f ca="1" t="shared" si="19"/>
        <v>400</v>
      </c>
      <c r="Y32" s="1">
        <f ca="1">控制台!$E$3622*$C32</f>
        <v>720</v>
      </c>
      <c r="Z32" s="1">
        <f ca="1" t="shared" si="7"/>
        <v>720</v>
      </c>
      <c r="AA32" s="5">
        <f ca="1" t="shared" si="20"/>
        <v>2880</v>
      </c>
      <c r="AB32" s="1">
        <f ca="1">控制台!$E$3626*$C32</f>
        <v>0.0064</v>
      </c>
      <c r="AC32" s="1">
        <f ca="1" t="shared" si="8"/>
        <v>0.0064</v>
      </c>
      <c r="AD32" s="5">
        <f ca="1" t="shared" si="21"/>
        <v>0.0256</v>
      </c>
      <c r="AE32" s="1">
        <f ca="1">控制台!$E$3630*$C32</f>
        <v>200000</v>
      </c>
      <c r="AF32" s="1">
        <f ca="1" t="shared" si="9"/>
        <v>200000</v>
      </c>
      <c r="AG32" s="5">
        <f ca="1" t="shared" si="22"/>
        <v>800000</v>
      </c>
      <c r="AH32" s="1">
        <f ca="1">控制台!$E$3634*$C32</f>
        <v>133.333333333333</v>
      </c>
      <c r="AI32" s="1">
        <f ca="1" t="shared" si="10"/>
        <v>133.333333333333</v>
      </c>
      <c r="AJ32" s="5">
        <f ca="1" t="shared" si="23"/>
        <v>533.333333333334</v>
      </c>
      <c r="AK32" s="1">
        <f ca="1">控制台!$E$3638*$C32</f>
        <v>50</v>
      </c>
      <c r="AL32" s="1">
        <f ca="1" t="shared" si="11"/>
        <v>50</v>
      </c>
      <c r="AM32" s="5">
        <f ca="1" t="shared" si="24"/>
        <v>200</v>
      </c>
    </row>
    <row r="33" spans="1:39">
      <c r="A33" s="10">
        <v>12</v>
      </c>
      <c r="B33" s="1">
        <f t="shared" si="12"/>
        <v>1</v>
      </c>
      <c r="C33" s="13">
        <f ca="1">IF(A33-1&lt;0,控制台!$C$3643,OFFSET(控制台!$C$3643,MATCH(A33-1,控制台!$B$3643:$B$3648,1)-1,0))</f>
        <v>0.2</v>
      </c>
      <c r="D33" s="1">
        <f ca="1">控制台!$E$3594*$C33</f>
        <v>120</v>
      </c>
      <c r="E33" s="1">
        <f ca="1" t="shared" si="0"/>
        <v>120</v>
      </c>
      <c r="F33" s="5">
        <f ca="1" t="shared" si="13"/>
        <v>600</v>
      </c>
      <c r="G33" s="1">
        <f ca="1">控制台!$E$3598*$C33</f>
        <v>2400000</v>
      </c>
      <c r="H33" s="1">
        <f ca="1" t="shared" si="1"/>
        <v>2400000</v>
      </c>
      <c r="I33" s="5">
        <f ca="1" t="shared" si="14"/>
        <v>12000000</v>
      </c>
      <c r="J33" s="1">
        <f ca="1">控制台!$E$3602*$C33</f>
        <v>1152</v>
      </c>
      <c r="K33" s="1">
        <f ca="1" t="shared" si="2"/>
        <v>1152</v>
      </c>
      <c r="L33" s="5">
        <f ca="1" t="shared" si="15"/>
        <v>5760</v>
      </c>
      <c r="M33" s="1">
        <f ca="1">控制台!$E$3606*$C33</f>
        <v>4</v>
      </c>
      <c r="N33" s="1">
        <f ca="1" t="shared" si="3"/>
        <v>4</v>
      </c>
      <c r="O33" s="5">
        <f ca="1" t="shared" si="16"/>
        <v>20</v>
      </c>
      <c r="P33" s="1">
        <f ca="1">控制台!$E$3610*$C33</f>
        <v>400000</v>
      </c>
      <c r="Q33" s="1">
        <f ca="1" t="shared" si="4"/>
        <v>400000</v>
      </c>
      <c r="R33" s="5">
        <f ca="1" t="shared" si="17"/>
        <v>2000000</v>
      </c>
      <c r="S33" s="1">
        <f ca="1">控制台!$E$3614*$C33</f>
        <v>266.666666666666</v>
      </c>
      <c r="T33" s="1">
        <f ca="1" t="shared" si="5"/>
        <v>266.666666666666</v>
      </c>
      <c r="U33" s="5">
        <f ca="1" t="shared" si="18"/>
        <v>1333.33333333333</v>
      </c>
      <c r="V33" s="1">
        <f ca="1">控制台!$E$3618*$C33</f>
        <v>100</v>
      </c>
      <c r="W33" s="1">
        <f ca="1" t="shared" si="6"/>
        <v>100</v>
      </c>
      <c r="X33" s="5">
        <f ca="1" t="shared" si="19"/>
        <v>500</v>
      </c>
      <c r="Y33" s="1">
        <f ca="1">控制台!$E$3622*$C33</f>
        <v>720</v>
      </c>
      <c r="Z33" s="1">
        <f ca="1" t="shared" si="7"/>
        <v>720</v>
      </c>
      <c r="AA33" s="5">
        <f ca="1" t="shared" si="20"/>
        <v>3600</v>
      </c>
      <c r="AB33" s="1">
        <f ca="1">控制台!$E$3626*$C33</f>
        <v>0.0064</v>
      </c>
      <c r="AC33" s="1">
        <f ca="1" t="shared" si="8"/>
        <v>0.0064</v>
      </c>
      <c r="AD33" s="5">
        <f ca="1" t="shared" si="21"/>
        <v>0.032</v>
      </c>
      <c r="AE33" s="1">
        <f ca="1">控制台!$E$3630*$C33</f>
        <v>200000</v>
      </c>
      <c r="AF33" s="1">
        <f ca="1" t="shared" si="9"/>
        <v>200000</v>
      </c>
      <c r="AG33" s="5">
        <f ca="1" t="shared" si="22"/>
        <v>1000000</v>
      </c>
      <c r="AH33" s="1">
        <f ca="1">控制台!$E$3634*$C33</f>
        <v>133.333333333333</v>
      </c>
      <c r="AI33" s="1">
        <f ca="1" t="shared" si="10"/>
        <v>133.333333333333</v>
      </c>
      <c r="AJ33" s="5">
        <f ca="1" t="shared" si="23"/>
        <v>666.666666666667</v>
      </c>
      <c r="AK33" s="1">
        <f ca="1">控制台!$E$3638*$C33</f>
        <v>50</v>
      </c>
      <c r="AL33" s="1">
        <f ca="1" t="shared" si="11"/>
        <v>50</v>
      </c>
      <c r="AM33" s="5">
        <f ca="1" t="shared" si="24"/>
        <v>250</v>
      </c>
    </row>
    <row r="34" spans="1:39">
      <c r="A34" s="10">
        <v>13</v>
      </c>
      <c r="B34" s="1">
        <f t="shared" si="12"/>
        <v>1</v>
      </c>
      <c r="C34" s="13">
        <f ca="1">IF(A34-1&lt;0,控制台!$C$3643,OFFSET(控制台!$C$3643,MATCH(A34-1,控制台!$B$3643:$B$3648,1)-1,0))</f>
        <v>0.2</v>
      </c>
      <c r="D34" s="1">
        <f ca="1">控制台!$E$3594*$C34</f>
        <v>120</v>
      </c>
      <c r="E34" s="1">
        <f ca="1" t="shared" si="0"/>
        <v>120</v>
      </c>
      <c r="F34" s="5">
        <f ca="1" t="shared" si="13"/>
        <v>720</v>
      </c>
      <c r="G34" s="1">
        <f ca="1">控制台!$E$3598*$C34</f>
        <v>2400000</v>
      </c>
      <c r="H34" s="1">
        <f ca="1" t="shared" si="1"/>
        <v>2400000</v>
      </c>
      <c r="I34" s="5">
        <f ca="1" t="shared" si="14"/>
        <v>14400000</v>
      </c>
      <c r="J34" s="1">
        <f ca="1">控制台!$E$3602*$C34</f>
        <v>1152</v>
      </c>
      <c r="K34" s="1">
        <f ca="1" t="shared" si="2"/>
        <v>1152</v>
      </c>
      <c r="L34" s="5">
        <f ca="1" t="shared" si="15"/>
        <v>6912</v>
      </c>
      <c r="M34" s="1">
        <f ca="1">控制台!$E$3606*$C34</f>
        <v>4</v>
      </c>
      <c r="N34" s="1">
        <f ca="1" t="shared" si="3"/>
        <v>4</v>
      </c>
      <c r="O34" s="5">
        <f ca="1" t="shared" si="16"/>
        <v>24</v>
      </c>
      <c r="P34" s="1">
        <f ca="1">控制台!$E$3610*$C34</f>
        <v>400000</v>
      </c>
      <c r="Q34" s="1">
        <f ca="1" t="shared" si="4"/>
        <v>400000</v>
      </c>
      <c r="R34" s="5">
        <f ca="1" t="shared" si="17"/>
        <v>2400000</v>
      </c>
      <c r="S34" s="1">
        <f ca="1">控制台!$E$3614*$C34</f>
        <v>266.666666666666</v>
      </c>
      <c r="T34" s="1">
        <f ca="1" t="shared" si="5"/>
        <v>266.666666666666</v>
      </c>
      <c r="U34" s="5">
        <f ca="1" t="shared" si="18"/>
        <v>1600</v>
      </c>
      <c r="V34" s="1">
        <f ca="1">控制台!$E$3618*$C34</f>
        <v>100</v>
      </c>
      <c r="W34" s="1">
        <f ca="1" t="shared" si="6"/>
        <v>100</v>
      </c>
      <c r="X34" s="5">
        <f ca="1" t="shared" si="19"/>
        <v>600</v>
      </c>
      <c r="Y34" s="1">
        <f ca="1">控制台!$E$3622*$C34</f>
        <v>720</v>
      </c>
      <c r="Z34" s="1">
        <f ca="1" t="shared" si="7"/>
        <v>720</v>
      </c>
      <c r="AA34" s="5">
        <f ca="1" t="shared" si="20"/>
        <v>4320</v>
      </c>
      <c r="AB34" s="1">
        <f ca="1">控制台!$E$3626*$C34</f>
        <v>0.0064</v>
      </c>
      <c r="AC34" s="1">
        <f ca="1" t="shared" si="8"/>
        <v>0.0064</v>
      </c>
      <c r="AD34" s="5">
        <f ca="1" t="shared" si="21"/>
        <v>0.0384</v>
      </c>
      <c r="AE34" s="1">
        <f ca="1">控制台!$E$3630*$C34</f>
        <v>200000</v>
      </c>
      <c r="AF34" s="1">
        <f ca="1" t="shared" si="9"/>
        <v>200000</v>
      </c>
      <c r="AG34" s="5">
        <f ca="1" t="shared" si="22"/>
        <v>1200000</v>
      </c>
      <c r="AH34" s="1">
        <f ca="1">控制台!$E$3634*$C34</f>
        <v>133.333333333333</v>
      </c>
      <c r="AI34" s="1">
        <f ca="1" t="shared" si="10"/>
        <v>133.333333333333</v>
      </c>
      <c r="AJ34" s="5">
        <f ca="1" t="shared" si="23"/>
        <v>800</v>
      </c>
      <c r="AK34" s="1">
        <f ca="1">控制台!$E$3638*$C34</f>
        <v>50</v>
      </c>
      <c r="AL34" s="1">
        <f ca="1" t="shared" si="11"/>
        <v>50</v>
      </c>
      <c r="AM34" s="5">
        <f ca="1" t="shared" si="24"/>
        <v>300</v>
      </c>
    </row>
    <row r="35" spans="1:39">
      <c r="A35" s="10">
        <v>14</v>
      </c>
      <c r="B35" s="1">
        <f t="shared" si="12"/>
        <v>1</v>
      </c>
      <c r="C35" s="13">
        <f ca="1">IF(A35-1&lt;0,控制台!$C$3643,OFFSET(控制台!$C$3643,MATCH(A35-1,控制台!$B$3643:$B$3648,1)-1,0))</f>
        <v>0.2</v>
      </c>
      <c r="D35" s="1">
        <f ca="1">控制台!$E$3594*$C35</f>
        <v>120</v>
      </c>
      <c r="E35" s="1">
        <f ca="1" t="shared" si="0"/>
        <v>120</v>
      </c>
      <c r="F35" s="5">
        <f ca="1" t="shared" si="13"/>
        <v>840</v>
      </c>
      <c r="G35" s="1">
        <f ca="1">控制台!$E$3598*$C35</f>
        <v>2400000</v>
      </c>
      <c r="H35" s="1">
        <f ca="1" t="shared" si="1"/>
        <v>2400000</v>
      </c>
      <c r="I35" s="5">
        <f ca="1" t="shared" si="14"/>
        <v>16800000</v>
      </c>
      <c r="J35" s="1">
        <f ca="1">控制台!$E$3602*$C35</f>
        <v>1152</v>
      </c>
      <c r="K35" s="1">
        <f ca="1" t="shared" si="2"/>
        <v>1152</v>
      </c>
      <c r="L35" s="5">
        <f ca="1" t="shared" si="15"/>
        <v>8064</v>
      </c>
      <c r="M35" s="1">
        <f ca="1">控制台!$E$3606*$C35</f>
        <v>4</v>
      </c>
      <c r="N35" s="1">
        <f ca="1" t="shared" si="3"/>
        <v>4</v>
      </c>
      <c r="O35" s="5">
        <f ca="1" t="shared" si="16"/>
        <v>28</v>
      </c>
      <c r="P35" s="1">
        <f ca="1">控制台!$E$3610*$C35</f>
        <v>400000</v>
      </c>
      <c r="Q35" s="1">
        <f ca="1" t="shared" si="4"/>
        <v>400000</v>
      </c>
      <c r="R35" s="5">
        <f ca="1" t="shared" si="17"/>
        <v>2800000</v>
      </c>
      <c r="S35" s="1">
        <f ca="1">控制台!$E$3614*$C35</f>
        <v>266.666666666666</v>
      </c>
      <c r="T35" s="1">
        <f ca="1" t="shared" si="5"/>
        <v>266.666666666666</v>
      </c>
      <c r="U35" s="5">
        <f ca="1" t="shared" si="18"/>
        <v>1866.66666666666</v>
      </c>
      <c r="V35" s="1">
        <f ca="1">控制台!$E$3618*$C35</f>
        <v>100</v>
      </c>
      <c r="W35" s="1">
        <f ca="1" t="shared" si="6"/>
        <v>100</v>
      </c>
      <c r="X35" s="5">
        <f ca="1" t="shared" si="19"/>
        <v>700</v>
      </c>
      <c r="Y35" s="1">
        <f ca="1">控制台!$E$3622*$C35</f>
        <v>720</v>
      </c>
      <c r="Z35" s="1">
        <f ca="1" t="shared" si="7"/>
        <v>720</v>
      </c>
      <c r="AA35" s="5">
        <f ca="1" t="shared" si="20"/>
        <v>5040</v>
      </c>
      <c r="AB35" s="1">
        <f ca="1">控制台!$E$3626*$C35</f>
        <v>0.0064</v>
      </c>
      <c r="AC35" s="1">
        <f ca="1" t="shared" si="8"/>
        <v>0.0064</v>
      </c>
      <c r="AD35" s="5">
        <f ca="1" t="shared" si="21"/>
        <v>0.0448</v>
      </c>
      <c r="AE35" s="1">
        <f ca="1">控制台!$E$3630*$C35</f>
        <v>200000</v>
      </c>
      <c r="AF35" s="1">
        <f ca="1" t="shared" si="9"/>
        <v>200000</v>
      </c>
      <c r="AG35" s="5">
        <f ca="1" t="shared" si="22"/>
        <v>1400000</v>
      </c>
      <c r="AH35" s="1">
        <f ca="1">控制台!$E$3634*$C35</f>
        <v>133.333333333333</v>
      </c>
      <c r="AI35" s="1">
        <f ca="1" t="shared" si="10"/>
        <v>133.333333333333</v>
      </c>
      <c r="AJ35" s="5">
        <f ca="1" t="shared" si="23"/>
        <v>933.333333333334</v>
      </c>
      <c r="AK35" s="1">
        <f ca="1">控制台!$E$3638*$C35</f>
        <v>50</v>
      </c>
      <c r="AL35" s="1">
        <f ca="1" t="shared" si="11"/>
        <v>50</v>
      </c>
      <c r="AM35" s="5">
        <f ca="1" t="shared" si="24"/>
        <v>350</v>
      </c>
    </row>
    <row r="36" spans="1:39">
      <c r="A36" s="10">
        <v>15</v>
      </c>
      <c r="B36" s="1">
        <f t="shared" si="12"/>
        <v>1</v>
      </c>
      <c r="C36" s="13">
        <f ca="1">IF(A36-1&lt;0,控制台!$C$3643,OFFSET(控制台!$C$3643,MATCH(A36-1,控制台!$B$3643:$B$3648,1)-1,0))</f>
        <v>0.4</v>
      </c>
      <c r="D36" s="1">
        <f ca="1">控制台!$E$3594*$C36</f>
        <v>240</v>
      </c>
      <c r="E36" s="1">
        <f ca="1" t="shared" si="0"/>
        <v>240</v>
      </c>
      <c r="F36" s="5">
        <f ca="1" t="shared" si="13"/>
        <v>1080</v>
      </c>
      <c r="G36" s="1">
        <f ca="1">控制台!$E$3598*$C36</f>
        <v>4800000</v>
      </c>
      <c r="H36" s="1">
        <f ca="1" t="shared" si="1"/>
        <v>4800000</v>
      </c>
      <c r="I36" s="5">
        <f ca="1" t="shared" si="14"/>
        <v>21600000</v>
      </c>
      <c r="J36" s="1">
        <f ca="1">控制台!$E$3602*$C36</f>
        <v>2304</v>
      </c>
      <c r="K36" s="1">
        <f ca="1" t="shared" si="2"/>
        <v>2304</v>
      </c>
      <c r="L36" s="5">
        <f ca="1" t="shared" si="15"/>
        <v>10368</v>
      </c>
      <c r="M36" s="1">
        <f ca="1">控制台!$E$3606*$C36</f>
        <v>8</v>
      </c>
      <c r="N36" s="1">
        <f ca="1" t="shared" si="3"/>
        <v>8</v>
      </c>
      <c r="O36" s="5">
        <f ca="1" t="shared" si="16"/>
        <v>36</v>
      </c>
      <c r="P36" s="1">
        <f ca="1">控制台!$E$3610*$C36</f>
        <v>800000</v>
      </c>
      <c r="Q36" s="1">
        <f ca="1" t="shared" si="4"/>
        <v>800000</v>
      </c>
      <c r="R36" s="5">
        <f ca="1" t="shared" si="17"/>
        <v>3600000</v>
      </c>
      <c r="S36" s="1">
        <f ca="1">控制台!$E$3614*$C36</f>
        <v>533.333333333332</v>
      </c>
      <c r="T36" s="1">
        <f ca="1" t="shared" si="5"/>
        <v>533.333333333332</v>
      </c>
      <c r="U36" s="5">
        <f ca="1" t="shared" si="18"/>
        <v>2399.99999999999</v>
      </c>
      <c r="V36" s="1">
        <f ca="1">控制台!$E$3618*$C36</f>
        <v>200</v>
      </c>
      <c r="W36" s="1">
        <f ca="1" t="shared" si="6"/>
        <v>200</v>
      </c>
      <c r="X36" s="5">
        <f ca="1" t="shared" si="19"/>
        <v>900</v>
      </c>
      <c r="Y36" s="1">
        <f ca="1">控制台!$E$3622*$C36</f>
        <v>1440</v>
      </c>
      <c r="Z36" s="1">
        <f ca="1" t="shared" si="7"/>
        <v>1440</v>
      </c>
      <c r="AA36" s="5">
        <f ca="1" t="shared" si="20"/>
        <v>6480</v>
      </c>
      <c r="AB36" s="1">
        <f ca="1">控制台!$E$3626*$C36</f>
        <v>0.0128</v>
      </c>
      <c r="AC36" s="1">
        <f ca="1" t="shared" si="8"/>
        <v>0.0128</v>
      </c>
      <c r="AD36" s="5">
        <f ca="1" t="shared" si="21"/>
        <v>0.0576</v>
      </c>
      <c r="AE36" s="1">
        <f ca="1">控制台!$E$3630*$C36</f>
        <v>400000</v>
      </c>
      <c r="AF36" s="1">
        <f ca="1" t="shared" si="9"/>
        <v>400000</v>
      </c>
      <c r="AG36" s="5">
        <f ca="1" t="shared" si="22"/>
        <v>1800000</v>
      </c>
      <c r="AH36" s="1">
        <f ca="1">控制台!$E$3634*$C36</f>
        <v>266.666666666667</v>
      </c>
      <c r="AI36" s="1">
        <f ca="1" t="shared" si="10"/>
        <v>266.666666666667</v>
      </c>
      <c r="AJ36" s="5">
        <f ca="1" t="shared" si="23"/>
        <v>1200</v>
      </c>
      <c r="AK36" s="1">
        <f ca="1">控制台!$E$3638*$C36</f>
        <v>100</v>
      </c>
      <c r="AL36" s="1">
        <f ca="1" t="shared" si="11"/>
        <v>100</v>
      </c>
      <c r="AM36" s="5">
        <f ca="1" t="shared" si="24"/>
        <v>450</v>
      </c>
    </row>
    <row r="37" spans="1:39">
      <c r="A37" s="10">
        <v>16</v>
      </c>
      <c r="B37" s="1">
        <f t="shared" si="12"/>
        <v>1</v>
      </c>
      <c r="C37" s="13">
        <f ca="1">IF(A37-1&lt;0,控制台!$C$3643,OFFSET(控制台!$C$3643,MATCH(A37-1,控制台!$B$3643:$B$3648,1)-1,0))</f>
        <v>0.4</v>
      </c>
      <c r="D37" s="1">
        <f ca="1">控制台!$E$3594*$C37</f>
        <v>240</v>
      </c>
      <c r="E37" s="1">
        <f ca="1" t="shared" si="0"/>
        <v>240</v>
      </c>
      <c r="F37" s="5">
        <f ca="1" t="shared" si="13"/>
        <v>1320</v>
      </c>
      <c r="G37" s="1">
        <f ca="1">控制台!$E$3598*$C37</f>
        <v>4800000</v>
      </c>
      <c r="H37" s="1">
        <f ca="1" t="shared" si="1"/>
        <v>4800000</v>
      </c>
      <c r="I37" s="5">
        <f ca="1" t="shared" si="14"/>
        <v>26400000</v>
      </c>
      <c r="J37" s="1">
        <f ca="1">控制台!$E$3602*$C37</f>
        <v>2304</v>
      </c>
      <c r="K37" s="1">
        <f ca="1" t="shared" si="2"/>
        <v>2304</v>
      </c>
      <c r="L37" s="5">
        <f ca="1" t="shared" si="15"/>
        <v>12672</v>
      </c>
      <c r="M37" s="1">
        <f ca="1">控制台!$E$3606*$C37</f>
        <v>8</v>
      </c>
      <c r="N37" s="1">
        <f ca="1" t="shared" si="3"/>
        <v>8</v>
      </c>
      <c r="O37" s="5">
        <f ca="1" t="shared" si="16"/>
        <v>44</v>
      </c>
      <c r="P37" s="1">
        <f ca="1">控制台!$E$3610*$C37</f>
        <v>800000</v>
      </c>
      <c r="Q37" s="1">
        <f ca="1" t="shared" si="4"/>
        <v>800000</v>
      </c>
      <c r="R37" s="5">
        <f ca="1" t="shared" si="17"/>
        <v>4400000</v>
      </c>
      <c r="S37" s="1">
        <f ca="1">控制台!$E$3614*$C37</f>
        <v>533.333333333332</v>
      </c>
      <c r="T37" s="1">
        <f ca="1" t="shared" si="5"/>
        <v>533.333333333332</v>
      </c>
      <c r="U37" s="5">
        <f ca="1" t="shared" si="18"/>
        <v>2933.33333333333</v>
      </c>
      <c r="V37" s="1">
        <f ca="1">控制台!$E$3618*$C37</f>
        <v>200</v>
      </c>
      <c r="W37" s="1">
        <f ca="1" t="shared" si="6"/>
        <v>200</v>
      </c>
      <c r="X37" s="5">
        <f ca="1" t="shared" si="19"/>
        <v>1100</v>
      </c>
      <c r="Y37" s="1">
        <f ca="1">控制台!$E$3622*$C37</f>
        <v>1440</v>
      </c>
      <c r="Z37" s="1">
        <f ca="1" t="shared" si="7"/>
        <v>1440</v>
      </c>
      <c r="AA37" s="5">
        <f ca="1" t="shared" si="20"/>
        <v>7920</v>
      </c>
      <c r="AB37" s="1">
        <f ca="1">控制台!$E$3626*$C37</f>
        <v>0.0128</v>
      </c>
      <c r="AC37" s="1">
        <f ca="1" t="shared" si="8"/>
        <v>0.0128</v>
      </c>
      <c r="AD37" s="5">
        <f ca="1" t="shared" si="21"/>
        <v>0.0704</v>
      </c>
      <c r="AE37" s="1">
        <f ca="1">控制台!$E$3630*$C37</f>
        <v>400000</v>
      </c>
      <c r="AF37" s="1">
        <f ca="1" t="shared" si="9"/>
        <v>400000</v>
      </c>
      <c r="AG37" s="5">
        <f ca="1" t="shared" si="22"/>
        <v>2200000</v>
      </c>
      <c r="AH37" s="1">
        <f ca="1">控制台!$E$3634*$C37</f>
        <v>266.666666666667</v>
      </c>
      <c r="AI37" s="1">
        <f ca="1" t="shared" si="10"/>
        <v>266.666666666667</v>
      </c>
      <c r="AJ37" s="5">
        <f ca="1" t="shared" si="23"/>
        <v>1466.66666666667</v>
      </c>
      <c r="AK37" s="1">
        <f ca="1">控制台!$E$3638*$C37</f>
        <v>100</v>
      </c>
      <c r="AL37" s="1">
        <f ca="1" t="shared" si="11"/>
        <v>100</v>
      </c>
      <c r="AM37" s="5">
        <f ca="1" t="shared" si="24"/>
        <v>550</v>
      </c>
    </row>
    <row r="38" spans="1:39">
      <c r="A38" s="10">
        <v>17</v>
      </c>
      <c r="B38" s="1">
        <f t="shared" si="12"/>
        <v>1</v>
      </c>
      <c r="C38" s="13">
        <f ca="1">IF(A38-1&lt;0,控制台!$C$3643,OFFSET(控制台!$C$3643,MATCH(A38-1,控制台!$B$3643:$B$3648,1)-1,0))</f>
        <v>0.4</v>
      </c>
      <c r="D38" s="1">
        <f ca="1">控制台!$E$3594*$C38</f>
        <v>240</v>
      </c>
      <c r="E38" s="1">
        <f ca="1" t="shared" si="0"/>
        <v>240</v>
      </c>
      <c r="F38" s="5">
        <f ca="1" t="shared" si="13"/>
        <v>1560</v>
      </c>
      <c r="G38" s="1">
        <f ca="1">控制台!$E$3598*$C38</f>
        <v>4800000</v>
      </c>
      <c r="H38" s="1">
        <f ca="1" t="shared" si="1"/>
        <v>4800000</v>
      </c>
      <c r="I38" s="5">
        <f ca="1" t="shared" si="14"/>
        <v>31200000</v>
      </c>
      <c r="J38" s="1">
        <f ca="1">控制台!$E$3602*$C38</f>
        <v>2304</v>
      </c>
      <c r="K38" s="1">
        <f ca="1" t="shared" si="2"/>
        <v>2304</v>
      </c>
      <c r="L38" s="5">
        <f ca="1" t="shared" si="15"/>
        <v>14976</v>
      </c>
      <c r="M38" s="1">
        <f ca="1">控制台!$E$3606*$C38</f>
        <v>8</v>
      </c>
      <c r="N38" s="1">
        <f ca="1" t="shared" si="3"/>
        <v>8</v>
      </c>
      <c r="O38" s="5">
        <f ca="1" t="shared" si="16"/>
        <v>52</v>
      </c>
      <c r="P38" s="1">
        <f ca="1">控制台!$E$3610*$C38</f>
        <v>800000</v>
      </c>
      <c r="Q38" s="1">
        <f ca="1" t="shared" si="4"/>
        <v>800000</v>
      </c>
      <c r="R38" s="5">
        <f ca="1" t="shared" si="17"/>
        <v>5200000</v>
      </c>
      <c r="S38" s="1">
        <f ca="1">控制台!$E$3614*$C38</f>
        <v>533.333333333332</v>
      </c>
      <c r="T38" s="1">
        <f ca="1" t="shared" si="5"/>
        <v>533.333333333332</v>
      </c>
      <c r="U38" s="5">
        <f ca="1" t="shared" si="18"/>
        <v>3466.66666666666</v>
      </c>
      <c r="V38" s="1">
        <f ca="1">控制台!$E$3618*$C38</f>
        <v>200</v>
      </c>
      <c r="W38" s="1">
        <f ca="1" t="shared" si="6"/>
        <v>200</v>
      </c>
      <c r="X38" s="5">
        <f ca="1" t="shared" si="19"/>
        <v>1300</v>
      </c>
      <c r="Y38" s="1">
        <f ca="1">控制台!$E$3622*$C38</f>
        <v>1440</v>
      </c>
      <c r="Z38" s="1">
        <f ca="1" t="shared" si="7"/>
        <v>1440</v>
      </c>
      <c r="AA38" s="5">
        <f ca="1" t="shared" si="20"/>
        <v>9360</v>
      </c>
      <c r="AB38" s="1">
        <f ca="1">控制台!$E$3626*$C38</f>
        <v>0.0128</v>
      </c>
      <c r="AC38" s="1">
        <f ca="1" t="shared" si="8"/>
        <v>0.0128</v>
      </c>
      <c r="AD38" s="5">
        <f ca="1" t="shared" si="21"/>
        <v>0.0832</v>
      </c>
      <c r="AE38" s="1">
        <f ca="1">控制台!$E$3630*$C38</f>
        <v>400000</v>
      </c>
      <c r="AF38" s="1">
        <f ca="1" t="shared" si="9"/>
        <v>400000</v>
      </c>
      <c r="AG38" s="5">
        <f ca="1" t="shared" si="22"/>
        <v>2600000</v>
      </c>
      <c r="AH38" s="1">
        <f ca="1">控制台!$E$3634*$C38</f>
        <v>266.666666666667</v>
      </c>
      <c r="AI38" s="1">
        <f ca="1" t="shared" si="10"/>
        <v>266.666666666667</v>
      </c>
      <c r="AJ38" s="5">
        <f ca="1" t="shared" si="23"/>
        <v>1733.33333333333</v>
      </c>
      <c r="AK38" s="1">
        <f ca="1">控制台!$E$3638*$C38</f>
        <v>100</v>
      </c>
      <c r="AL38" s="1">
        <f ca="1" t="shared" si="11"/>
        <v>100</v>
      </c>
      <c r="AM38" s="5">
        <f ca="1" t="shared" si="24"/>
        <v>650</v>
      </c>
    </row>
    <row r="39" spans="1:39">
      <c r="A39" s="10">
        <v>18</v>
      </c>
      <c r="B39" s="1">
        <f t="shared" si="12"/>
        <v>1</v>
      </c>
      <c r="C39" s="13">
        <f ca="1">IF(A39-1&lt;0,控制台!$C$3643,OFFSET(控制台!$C$3643,MATCH(A39-1,控制台!$B$3643:$B$3648,1)-1,0))</f>
        <v>0.4</v>
      </c>
      <c r="D39" s="1">
        <f ca="1">控制台!$E$3594*$C39</f>
        <v>240</v>
      </c>
      <c r="E39" s="1">
        <f ca="1" t="shared" si="0"/>
        <v>240</v>
      </c>
      <c r="F39" s="5">
        <f ca="1" t="shared" si="13"/>
        <v>1800</v>
      </c>
      <c r="G39" s="1">
        <f ca="1">控制台!$E$3598*$C39</f>
        <v>4800000</v>
      </c>
      <c r="H39" s="1">
        <f ca="1" t="shared" si="1"/>
        <v>4800000</v>
      </c>
      <c r="I39" s="5">
        <f ca="1" t="shared" si="14"/>
        <v>36000000</v>
      </c>
      <c r="J39" s="1">
        <f ca="1">控制台!$E$3602*$C39</f>
        <v>2304</v>
      </c>
      <c r="K39" s="1">
        <f ca="1" t="shared" si="2"/>
        <v>2304</v>
      </c>
      <c r="L39" s="5">
        <f ca="1" t="shared" si="15"/>
        <v>17280</v>
      </c>
      <c r="M39" s="1">
        <f ca="1">控制台!$E$3606*$C39</f>
        <v>8</v>
      </c>
      <c r="N39" s="1">
        <f ca="1" t="shared" si="3"/>
        <v>8</v>
      </c>
      <c r="O39" s="5">
        <f ca="1" t="shared" si="16"/>
        <v>60</v>
      </c>
      <c r="P39" s="1">
        <f ca="1">控制台!$E$3610*$C39</f>
        <v>800000</v>
      </c>
      <c r="Q39" s="1">
        <f ca="1" t="shared" si="4"/>
        <v>800000</v>
      </c>
      <c r="R39" s="5">
        <f ca="1" t="shared" si="17"/>
        <v>6000000</v>
      </c>
      <c r="S39" s="1">
        <f ca="1">控制台!$E$3614*$C39</f>
        <v>533.333333333332</v>
      </c>
      <c r="T39" s="1">
        <f ca="1" t="shared" si="5"/>
        <v>533.333333333332</v>
      </c>
      <c r="U39" s="5">
        <f ca="1" t="shared" si="18"/>
        <v>3999.99999999999</v>
      </c>
      <c r="V39" s="1">
        <f ca="1">控制台!$E$3618*$C39</f>
        <v>200</v>
      </c>
      <c r="W39" s="1">
        <f ca="1" t="shared" si="6"/>
        <v>200</v>
      </c>
      <c r="X39" s="5">
        <f ca="1" t="shared" si="19"/>
        <v>1500</v>
      </c>
      <c r="Y39" s="1">
        <f ca="1">控制台!$E$3622*$C39</f>
        <v>1440</v>
      </c>
      <c r="Z39" s="1">
        <f ca="1" t="shared" si="7"/>
        <v>1440</v>
      </c>
      <c r="AA39" s="5">
        <f ca="1" t="shared" si="20"/>
        <v>10800</v>
      </c>
      <c r="AB39" s="1">
        <f ca="1">控制台!$E$3626*$C39</f>
        <v>0.0128</v>
      </c>
      <c r="AC39" s="1">
        <f ca="1" t="shared" si="8"/>
        <v>0.0128</v>
      </c>
      <c r="AD39" s="5">
        <f ca="1" t="shared" si="21"/>
        <v>0.096</v>
      </c>
      <c r="AE39" s="1">
        <f ca="1">控制台!$E$3630*$C39</f>
        <v>400000</v>
      </c>
      <c r="AF39" s="1">
        <f ca="1" t="shared" si="9"/>
        <v>400000</v>
      </c>
      <c r="AG39" s="5">
        <f ca="1" t="shared" si="22"/>
        <v>3000000</v>
      </c>
      <c r="AH39" s="1">
        <f ca="1">控制台!$E$3634*$C39</f>
        <v>266.666666666667</v>
      </c>
      <c r="AI39" s="1">
        <f ca="1" t="shared" si="10"/>
        <v>266.666666666667</v>
      </c>
      <c r="AJ39" s="5">
        <f ca="1" t="shared" si="23"/>
        <v>2000</v>
      </c>
      <c r="AK39" s="1">
        <f ca="1">控制台!$E$3638*$C39</f>
        <v>100</v>
      </c>
      <c r="AL39" s="1">
        <f ca="1" t="shared" si="11"/>
        <v>100</v>
      </c>
      <c r="AM39" s="5">
        <f ca="1" t="shared" si="24"/>
        <v>750</v>
      </c>
    </row>
    <row r="40" spans="1:39">
      <c r="A40" s="10">
        <v>19</v>
      </c>
      <c r="B40" s="1">
        <f t="shared" si="12"/>
        <v>1</v>
      </c>
      <c r="C40" s="13">
        <f ca="1">IF(A40-1&lt;0,控制台!$C$3643,OFFSET(控制台!$C$3643,MATCH(A40-1,控制台!$B$3643:$B$3648,1)-1,0))</f>
        <v>0.4</v>
      </c>
      <c r="D40" s="1">
        <f ca="1">控制台!$E$3594*$C40</f>
        <v>240</v>
      </c>
      <c r="E40" s="1">
        <f ca="1" t="shared" si="0"/>
        <v>240</v>
      </c>
      <c r="F40" s="5">
        <f ca="1" t="shared" si="13"/>
        <v>2040</v>
      </c>
      <c r="G40" s="1">
        <f ca="1">控制台!$E$3598*$C40</f>
        <v>4800000</v>
      </c>
      <c r="H40" s="1">
        <f ca="1" t="shared" si="1"/>
        <v>4800000</v>
      </c>
      <c r="I40" s="5">
        <f ca="1" t="shared" si="14"/>
        <v>40800000</v>
      </c>
      <c r="J40" s="1">
        <f ca="1">控制台!$E$3602*$C40</f>
        <v>2304</v>
      </c>
      <c r="K40" s="1">
        <f ca="1" t="shared" si="2"/>
        <v>2304</v>
      </c>
      <c r="L40" s="5">
        <f ca="1" t="shared" si="15"/>
        <v>19584</v>
      </c>
      <c r="M40" s="1">
        <f ca="1">控制台!$E$3606*$C40</f>
        <v>8</v>
      </c>
      <c r="N40" s="1">
        <f ca="1" t="shared" si="3"/>
        <v>8</v>
      </c>
      <c r="O40" s="5">
        <f ca="1" t="shared" si="16"/>
        <v>68</v>
      </c>
      <c r="P40" s="1">
        <f ca="1">控制台!$E$3610*$C40</f>
        <v>800000</v>
      </c>
      <c r="Q40" s="1">
        <f ca="1" t="shared" si="4"/>
        <v>800000</v>
      </c>
      <c r="R40" s="5">
        <f ca="1" t="shared" si="17"/>
        <v>6800000</v>
      </c>
      <c r="S40" s="1">
        <f ca="1">控制台!$E$3614*$C40</f>
        <v>533.333333333332</v>
      </c>
      <c r="T40" s="1">
        <f ca="1" t="shared" si="5"/>
        <v>533.333333333332</v>
      </c>
      <c r="U40" s="5">
        <f ca="1" t="shared" si="18"/>
        <v>4533.33333333332</v>
      </c>
      <c r="V40" s="1">
        <f ca="1">控制台!$E$3618*$C40</f>
        <v>200</v>
      </c>
      <c r="W40" s="1">
        <f ca="1" t="shared" si="6"/>
        <v>200</v>
      </c>
      <c r="X40" s="5">
        <f ca="1" t="shared" si="19"/>
        <v>1700</v>
      </c>
      <c r="Y40" s="1">
        <f ca="1">控制台!$E$3622*$C40</f>
        <v>1440</v>
      </c>
      <c r="Z40" s="1">
        <f ca="1" t="shared" si="7"/>
        <v>1440</v>
      </c>
      <c r="AA40" s="5">
        <f ca="1" t="shared" si="20"/>
        <v>12240</v>
      </c>
      <c r="AB40" s="1">
        <f ca="1">控制台!$E$3626*$C40</f>
        <v>0.0128</v>
      </c>
      <c r="AC40" s="1">
        <f ca="1" t="shared" si="8"/>
        <v>0.0128</v>
      </c>
      <c r="AD40" s="5">
        <f ca="1" t="shared" si="21"/>
        <v>0.1088</v>
      </c>
      <c r="AE40" s="1">
        <f ca="1">控制台!$E$3630*$C40</f>
        <v>400000</v>
      </c>
      <c r="AF40" s="1">
        <f ca="1" t="shared" si="9"/>
        <v>400000</v>
      </c>
      <c r="AG40" s="5">
        <f ca="1" t="shared" si="22"/>
        <v>3400000</v>
      </c>
      <c r="AH40" s="1">
        <f ca="1">控制台!$E$3634*$C40</f>
        <v>266.666666666667</v>
      </c>
      <c r="AI40" s="1">
        <f ca="1" t="shared" si="10"/>
        <v>266.666666666667</v>
      </c>
      <c r="AJ40" s="5">
        <f ca="1" t="shared" si="23"/>
        <v>2266.66666666667</v>
      </c>
      <c r="AK40" s="1">
        <f ca="1">控制台!$E$3638*$C40</f>
        <v>100</v>
      </c>
      <c r="AL40" s="1">
        <f ca="1" t="shared" si="11"/>
        <v>100</v>
      </c>
      <c r="AM40" s="5">
        <f ca="1" t="shared" si="24"/>
        <v>850</v>
      </c>
    </row>
    <row r="41" spans="1:39">
      <c r="A41" s="10">
        <v>20</v>
      </c>
      <c r="B41" s="1">
        <f t="shared" si="12"/>
        <v>1</v>
      </c>
      <c r="C41" s="13">
        <f ca="1">IF(A41-1&lt;0,控制台!$C$3643,OFFSET(控制台!$C$3643,MATCH(A41-1,控制台!$B$3643:$B$3648,1)-1,0))</f>
        <v>0.4</v>
      </c>
      <c r="D41" s="1">
        <f ca="1">控制台!$E$3594*$C41</f>
        <v>240</v>
      </c>
      <c r="E41" s="1">
        <f ca="1" t="shared" si="0"/>
        <v>240</v>
      </c>
      <c r="F41" s="5">
        <f ca="1" t="shared" si="13"/>
        <v>2280</v>
      </c>
      <c r="G41" s="1">
        <f ca="1">控制台!$E$3598*$C41</f>
        <v>4800000</v>
      </c>
      <c r="H41" s="1">
        <f ca="1" t="shared" si="1"/>
        <v>4800000</v>
      </c>
      <c r="I41" s="5">
        <f ca="1" t="shared" si="14"/>
        <v>45600000</v>
      </c>
      <c r="J41" s="1">
        <f ca="1">控制台!$E$3602*$C41</f>
        <v>2304</v>
      </c>
      <c r="K41" s="1">
        <f ca="1" t="shared" si="2"/>
        <v>2304</v>
      </c>
      <c r="L41" s="5">
        <f ca="1" t="shared" si="15"/>
        <v>21888</v>
      </c>
      <c r="M41" s="1">
        <f ca="1">控制台!$E$3606*$C41</f>
        <v>8</v>
      </c>
      <c r="N41" s="1">
        <f ca="1" t="shared" si="3"/>
        <v>8</v>
      </c>
      <c r="O41" s="5">
        <f ca="1" t="shared" si="16"/>
        <v>76</v>
      </c>
      <c r="P41" s="1">
        <f ca="1">控制台!$E$3610*$C41</f>
        <v>800000</v>
      </c>
      <c r="Q41" s="1">
        <f ca="1" t="shared" si="4"/>
        <v>800000</v>
      </c>
      <c r="R41" s="5">
        <f ca="1" t="shared" si="17"/>
        <v>7600000</v>
      </c>
      <c r="S41" s="1">
        <f ca="1">控制台!$E$3614*$C41</f>
        <v>533.333333333332</v>
      </c>
      <c r="T41" s="1">
        <f ca="1" t="shared" si="5"/>
        <v>533.333333333332</v>
      </c>
      <c r="U41" s="5">
        <f ca="1" t="shared" si="18"/>
        <v>5066.66666666665</v>
      </c>
      <c r="V41" s="1">
        <f ca="1">控制台!$E$3618*$C41</f>
        <v>200</v>
      </c>
      <c r="W41" s="1">
        <f ca="1" t="shared" si="6"/>
        <v>200</v>
      </c>
      <c r="X41" s="5">
        <f ca="1" t="shared" si="19"/>
        <v>1900</v>
      </c>
      <c r="Y41" s="1">
        <f ca="1">控制台!$E$3622*$C41</f>
        <v>1440</v>
      </c>
      <c r="Z41" s="1">
        <f ca="1" t="shared" si="7"/>
        <v>1440</v>
      </c>
      <c r="AA41" s="5">
        <f ca="1" t="shared" si="20"/>
        <v>13680</v>
      </c>
      <c r="AB41" s="1">
        <f ca="1">控制台!$E$3626*$C41</f>
        <v>0.0128</v>
      </c>
      <c r="AC41" s="1">
        <f ca="1" t="shared" si="8"/>
        <v>0.0128</v>
      </c>
      <c r="AD41" s="5">
        <f ca="1" t="shared" si="21"/>
        <v>0.1216</v>
      </c>
      <c r="AE41" s="1">
        <f ca="1">控制台!$E$3630*$C41</f>
        <v>400000</v>
      </c>
      <c r="AF41" s="1">
        <f ca="1" t="shared" si="9"/>
        <v>400000</v>
      </c>
      <c r="AG41" s="5">
        <f ca="1" t="shared" si="22"/>
        <v>3800000</v>
      </c>
      <c r="AH41" s="1">
        <f ca="1">控制台!$E$3634*$C41</f>
        <v>266.666666666667</v>
      </c>
      <c r="AI41" s="1">
        <f ca="1" t="shared" si="10"/>
        <v>266.666666666667</v>
      </c>
      <c r="AJ41" s="5">
        <f ca="1" t="shared" si="23"/>
        <v>2533.33333333333</v>
      </c>
      <c r="AK41" s="1">
        <f ca="1">控制台!$E$3638*$C41</f>
        <v>100</v>
      </c>
      <c r="AL41" s="1">
        <f ca="1" t="shared" si="11"/>
        <v>100</v>
      </c>
      <c r="AM41" s="5">
        <f ca="1" t="shared" si="24"/>
        <v>950</v>
      </c>
    </row>
    <row r="42" spans="1:39">
      <c r="A42" s="10">
        <v>21</v>
      </c>
      <c r="B42" s="1">
        <f t="shared" si="12"/>
        <v>1</v>
      </c>
      <c r="C42" s="13">
        <f ca="1">IF(A42-1&lt;0,控制台!$C$3643,OFFSET(控制台!$C$3643,MATCH(A42-1,控制台!$B$3643:$B$3648,1)-1,0))</f>
        <v>0.4</v>
      </c>
      <c r="D42" s="1">
        <f ca="1">控制台!$E$3594*$C42</f>
        <v>240</v>
      </c>
      <c r="E42" s="1">
        <f ca="1" t="shared" si="0"/>
        <v>240</v>
      </c>
      <c r="F42" s="5">
        <f ca="1" t="shared" si="13"/>
        <v>2520</v>
      </c>
      <c r="G42" s="1">
        <f ca="1">控制台!$E$3598*$C42</f>
        <v>4800000</v>
      </c>
      <c r="H42" s="1">
        <f ca="1" t="shared" si="1"/>
        <v>4800000</v>
      </c>
      <c r="I42" s="5">
        <f ca="1" t="shared" si="14"/>
        <v>50400000</v>
      </c>
      <c r="J42" s="1">
        <f ca="1">控制台!$E$3602*$C42</f>
        <v>2304</v>
      </c>
      <c r="K42" s="1">
        <f ca="1" t="shared" si="2"/>
        <v>2304</v>
      </c>
      <c r="L42" s="5">
        <f ca="1" t="shared" si="15"/>
        <v>24192</v>
      </c>
      <c r="M42" s="1">
        <f ca="1">控制台!$E$3606*$C42</f>
        <v>8</v>
      </c>
      <c r="N42" s="1">
        <f ca="1" t="shared" si="3"/>
        <v>8</v>
      </c>
      <c r="O42" s="5">
        <f ca="1" t="shared" si="16"/>
        <v>84</v>
      </c>
      <c r="P42" s="1">
        <f ca="1">控制台!$E$3610*$C42</f>
        <v>800000</v>
      </c>
      <c r="Q42" s="1">
        <f ca="1" t="shared" si="4"/>
        <v>800000</v>
      </c>
      <c r="R42" s="5">
        <f ca="1" t="shared" si="17"/>
        <v>8400000</v>
      </c>
      <c r="S42" s="1">
        <f ca="1">控制台!$E$3614*$C42</f>
        <v>533.333333333332</v>
      </c>
      <c r="T42" s="1">
        <f ca="1" t="shared" si="5"/>
        <v>533.333333333332</v>
      </c>
      <c r="U42" s="5">
        <f ca="1" t="shared" si="18"/>
        <v>5599.99999999999</v>
      </c>
      <c r="V42" s="1">
        <f ca="1">控制台!$E$3618*$C42</f>
        <v>200</v>
      </c>
      <c r="W42" s="1">
        <f ca="1" t="shared" si="6"/>
        <v>200</v>
      </c>
      <c r="X42" s="5">
        <f ca="1" t="shared" si="19"/>
        <v>2100</v>
      </c>
      <c r="Y42" s="1">
        <f ca="1">控制台!$E$3622*$C42</f>
        <v>1440</v>
      </c>
      <c r="Z42" s="1">
        <f ca="1" t="shared" si="7"/>
        <v>1440</v>
      </c>
      <c r="AA42" s="5">
        <f ca="1" t="shared" si="20"/>
        <v>15120</v>
      </c>
      <c r="AB42" s="1">
        <f ca="1">控制台!$E$3626*$C42</f>
        <v>0.0128</v>
      </c>
      <c r="AC42" s="1">
        <f ca="1" t="shared" si="8"/>
        <v>0.0128</v>
      </c>
      <c r="AD42" s="5">
        <f ca="1" t="shared" si="21"/>
        <v>0.1344</v>
      </c>
      <c r="AE42" s="1">
        <f ca="1">控制台!$E$3630*$C42</f>
        <v>400000</v>
      </c>
      <c r="AF42" s="1">
        <f ca="1" t="shared" si="9"/>
        <v>400000</v>
      </c>
      <c r="AG42" s="5">
        <f ca="1" t="shared" si="22"/>
        <v>4200000</v>
      </c>
      <c r="AH42" s="1">
        <f ca="1">控制台!$E$3634*$C42</f>
        <v>266.666666666667</v>
      </c>
      <c r="AI42" s="1">
        <f ca="1" t="shared" si="10"/>
        <v>266.666666666667</v>
      </c>
      <c r="AJ42" s="5">
        <f ca="1" t="shared" si="23"/>
        <v>2800</v>
      </c>
      <c r="AK42" s="1">
        <f ca="1">控制台!$E$3638*$C42</f>
        <v>100</v>
      </c>
      <c r="AL42" s="1">
        <f ca="1" t="shared" si="11"/>
        <v>100</v>
      </c>
      <c r="AM42" s="5">
        <f ca="1" t="shared" si="24"/>
        <v>1050</v>
      </c>
    </row>
    <row r="43" spans="1:39">
      <c r="A43" s="10">
        <v>22</v>
      </c>
      <c r="B43" s="1">
        <f t="shared" si="12"/>
        <v>1</v>
      </c>
      <c r="C43" s="13">
        <f ca="1">IF(A43-1&lt;0,控制台!$C$3643,OFFSET(控制台!$C$3643,MATCH(A43-1,控制台!$B$3643:$B$3648,1)-1,0))</f>
        <v>0.4</v>
      </c>
      <c r="D43" s="1">
        <f ca="1">控制台!$E$3594*$C43</f>
        <v>240</v>
      </c>
      <c r="E43" s="1">
        <f ca="1" t="shared" si="0"/>
        <v>240</v>
      </c>
      <c r="F43" s="5">
        <f ca="1" t="shared" si="13"/>
        <v>2760</v>
      </c>
      <c r="G43" s="1">
        <f ca="1">控制台!$E$3598*$C43</f>
        <v>4800000</v>
      </c>
      <c r="H43" s="1">
        <f ca="1" t="shared" si="1"/>
        <v>4800000</v>
      </c>
      <c r="I43" s="5">
        <f ca="1" t="shared" si="14"/>
        <v>55200000</v>
      </c>
      <c r="J43" s="1">
        <f ca="1">控制台!$E$3602*$C43</f>
        <v>2304</v>
      </c>
      <c r="K43" s="1">
        <f ca="1" t="shared" si="2"/>
        <v>2304</v>
      </c>
      <c r="L43" s="5">
        <f ca="1" t="shared" si="15"/>
        <v>26496</v>
      </c>
      <c r="M43" s="1">
        <f ca="1">控制台!$E$3606*$C43</f>
        <v>8</v>
      </c>
      <c r="N43" s="1">
        <f ca="1" t="shared" si="3"/>
        <v>8</v>
      </c>
      <c r="O43" s="5">
        <f ca="1" t="shared" si="16"/>
        <v>92</v>
      </c>
      <c r="P43" s="1">
        <f ca="1">控制台!$E$3610*$C43</f>
        <v>800000</v>
      </c>
      <c r="Q43" s="1">
        <f ca="1" t="shared" si="4"/>
        <v>800000</v>
      </c>
      <c r="R43" s="5">
        <f ca="1" t="shared" si="17"/>
        <v>9200000</v>
      </c>
      <c r="S43" s="1">
        <f ca="1">控制台!$E$3614*$C43</f>
        <v>533.333333333332</v>
      </c>
      <c r="T43" s="1">
        <f ca="1" t="shared" si="5"/>
        <v>533.333333333332</v>
      </c>
      <c r="U43" s="5">
        <f ca="1" t="shared" si="18"/>
        <v>6133.33333333332</v>
      </c>
      <c r="V43" s="1">
        <f ca="1">控制台!$E$3618*$C43</f>
        <v>200</v>
      </c>
      <c r="W43" s="1">
        <f ca="1" t="shared" si="6"/>
        <v>200</v>
      </c>
      <c r="X43" s="5">
        <f ca="1" t="shared" si="19"/>
        <v>2300</v>
      </c>
      <c r="Y43" s="1">
        <f ca="1">控制台!$E$3622*$C43</f>
        <v>1440</v>
      </c>
      <c r="Z43" s="1">
        <f ca="1" t="shared" si="7"/>
        <v>1440</v>
      </c>
      <c r="AA43" s="5">
        <f ca="1" t="shared" si="20"/>
        <v>16560</v>
      </c>
      <c r="AB43" s="1">
        <f ca="1">控制台!$E$3626*$C43</f>
        <v>0.0128</v>
      </c>
      <c r="AC43" s="1">
        <f ca="1" t="shared" si="8"/>
        <v>0.0128</v>
      </c>
      <c r="AD43" s="5">
        <f ca="1" t="shared" si="21"/>
        <v>0.1472</v>
      </c>
      <c r="AE43" s="1">
        <f ca="1">控制台!$E$3630*$C43</f>
        <v>400000</v>
      </c>
      <c r="AF43" s="1">
        <f ca="1" t="shared" si="9"/>
        <v>400000</v>
      </c>
      <c r="AG43" s="5">
        <f ca="1" t="shared" si="22"/>
        <v>4600000</v>
      </c>
      <c r="AH43" s="1">
        <f ca="1">控制台!$E$3634*$C43</f>
        <v>266.666666666667</v>
      </c>
      <c r="AI43" s="1">
        <f ca="1" t="shared" si="10"/>
        <v>266.666666666667</v>
      </c>
      <c r="AJ43" s="5">
        <f ca="1" t="shared" si="23"/>
        <v>3066.66666666667</v>
      </c>
      <c r="AK43" s="1">
        <f ca="1">控制台!$E$3638*$C43</f>
        <v>100</v>
      </c>
      <c r="AL43" s="1">
        <f ca="1" t="shared" si="11"/>
        <v>100</v>
      </c>
      <c r="AM43" s="5">
        <f ca="1" t="shared" si="24"/>
        <v>1150</v>
      </c>
    </row>
    <row r="44" spans="1:39">
      <c r="A44" s="10">
        <v>23</v>
      </c>
      <c r="B44" s="1">
        <f t="shared" si="12"/>
        <v>1</v>
      </c>
      <c r="C44" s="13">
        <f ca="1">IF(A44-1&lt;0,控制台!$C$3643,OFFSET(控制台!$C$3643,MATCH(A44-1,控制台!$B$3643:$B$3648,1)-1,0))</f>
        <v>0.4</v>
      </c>
      <c r="D44" s="1">
        <f ca="1">控制台!$E$3594*$C44</f>
        <v>240</v>
      </c>
      <c r="E44" s="1">
        <f ca="1" t="shared" si="0"/>
        <v>240</v>
      </c>
      <c r="F44" s="5">
        <f ca="1" t="shared" si="13"/>
        <v>3000</v>
      </c>
      <c r="G44" s="1">
        <f ca="1">控制台!$E$3598*$C44</f>
        <v>4800000</v>
      </c>
      <c r="H44" s="1">
        <f ca="1" t="shared" si="1"/>
        <v>4800000</v>
      </c>
      <c r="I44" s="5">
        <f ca="1" t="shared" si="14"/>
        <v>60000000</v>
      </c>
      <c r="J44" s="1">
        <f ca="1">控制台!$E$3602*$C44</f>
        <v>2304</v>
      </c>
      <c r="K44" s="1">
        <f ca="1" t="shared" si="2"/>
        <v>2304</v>
      </c>
      <c r="L44" s="5">
        <f ca="1" t="shared" si="15"/>
        <v>28800</v>
      </c>
      <c r="M44" s="1">
        <f ca="1">控制台!$E$3606*$C44</f>
        <v>8</v>
      </c>
      <c r="N44" s="1">
        <f ca="1" t="shared" si="3"/>
        <v>8</v>
      </c>
      <c r="O44" s="5">
        <f ca="1" t="shared" si="16"/>
        <v>100</v>
      </c>
      <c r="P44" s="1">
        <f ca="1">控制台!$E$3610*$C44</f>
        <v>800000</v>
      </c>
      <c r="Q44" s="1">
        <f ca="1" t="shared" si="4"/>
        <v>800000</v>
      </c>
      <c r="R44" s="5">
        <f ca="1" t="shared" si="17"/>
        <v>10000000</v>
      </c>
      <c r="S44" s="1">
        <f ca="1">控制台!$E$3614*$C44</f>
        <v>533.333333333332</v>
      </c>
      <c r="T44" s="1">
        <f ca="1" t="shared" si="5"/>
        <v>533.333333333332</v>
      </c>
      <c r="U44" s="5">
        <f ca="1" t="shared" si="18"/>
        <v>6666.66666666665</v>
      </c>
      <c r="V44" s="1">
        <f ca="1">控制台!$E$3618*$C44</f>
        <v>200</v>
      </c>
      <c r="W44" s="1">
        <f ca="1" t="shared" si="6"/>
        <v>200</v>
      </c>
      <c r="X44" s="5">
        <f ca="1" t="shared" si="19"/>
        <v>2500</v>
      </c>
      <c r="Y44" s="1">
        <f ca="1">控制台!$E$3622*$C44</f>
        <v>1440</v>
      </c>
      <c r="Z44" s="1">
        <f ca="1" t="shared" si="7"/>
        <v>1440</v>
      </c>
      <c r="AA44" s="5">
        <f ca="1" t="shared" si="20"/>
        <v>18000</v>
      </c>
      <c r="AB44" s="1">
        <f ca="1">控制台!$E$3626*$C44</f>
        <v>0.0128</v>
      </c>
      <c r="AC44" s="1">
        <f ca="1" t="shared" si="8"/>
        <v>0.0128</v>
      </c>
      <c r="AD44" s="5">
        <f ca="1" t="shared" si="21"/>
        <v>0.16</v>
      </c>
      <c r="AE44" s="1">
        <f ca="1">控制台!$E$3630*$C44</f>
        <v>400000</v>
      </c>
      <c r="AF44" s="1">
        <f ca="1" t="shared" si="9"/>
        <v>400000</v>
      </c>
      <c r="AG44" s="5">
        <f ca="1" t="shared" si="22"/>
        <v>5000000</v>
      </c>
      <c r="AH44" s="1">
        <f ca="1">控制台!$E$3634*$C44</f>
        <v>266.666666666667</v>
      </c>
      <c r="AI44" s="1">
        <f ca="1" t="shared" si="10"/>
        <v>266.666666666667</v>
      </c>
      <c r="AJ44" s="5">
        <f ca="1" t="shared" si="23"/>
        <v>3333.33333333334</v>
      </c>
      <c r="AK44" s="1">
        <f ca="1">控制台!$E$3638*$C44</f>
        <v>100</v>
      </c>
      <c r="AL44" s="1">
        <f ca="1" t="shared" si="11"/>
        <v>100</v>
      </c>
      <c r="AM44" s="5">
        <f ca="1" t="shared" si="24"/>
        <v>1250</v>
      </c>
    </row>
    <row r="45" spans="1:39">
      <c r="A45" s="10">
        <v>24</v>
      </c>
      <c r="B45" s="1">
        <f t="shared" si="12"/>
        <v>1</v>
      </c>
      <c r="C45" s="13">
        <f ca="1">IF(A45-1&lt;0,控制台!$C$3643,OFFSET(控制台!$C$3643,MATCH(A45-1,控制台!$B$3643:$B$3648,1)-1,0))</f>
        <v>0.4</v>
      </c>
      <c r="D45" s="1">
        <f ca="1">控制台!$E$3594*$C45</f>
        <v>240</v>
      </c>
      <c r="E45" s="1">
        <f ca="1" t="shared" si="0"/>
        <v>240</v>
      </c>
      <c r="F45" s="5">
        <f ca="1" t="shared" si="13"/>
        <v>3240</v>
      </c>
      <c r="G45" s="1">
        <f ca="1">控制台!$E$3598*$C45</f>
        <v>4800000</v>
      </c>
      <c r="H45" s="1">
        <f ca="1" t="shared" si="1"/>
        <v>4800000</v>
      </c>
      <c r="I45" s="5">
        <f ca="1" t="shared" si="14"/>
        <v>64800000</v>
      </c>
      <c r="J45" s="1">
        <f ca="1">控制台!$E$3602*$C45</f>
        <v>2304</v>
      </c>
      <c r="K45" s="1">
        <f ca="1" t="shared" si="2"/>
        <v>2304</v>
      </c>
      <c r="L45" s="5">
        <f ca="1" t="shared" si="15"/>
        <v>31104</v>
      </c>
      <c r="M45" s="1">
        <f ca="1">控制台!$E$3606*$C45</f>
        <v>8</v>
      </c>
      <c r="N45" s="1">
        <f ca="1" t="shared" si="3"/>
        <v>8</v>
      </c>
      <c r="O45" s="5">
        <f ca="1" t="shared" si="16"/>
        <v>108</v>
      </c>
      <c r="P45" s="1">
        <f ca="1">控制台!$E$3610*$C45</f>
        <v>800000</v>
      </c>
      <c r="Q45" s="1">
        <f ca="1" t="shared" si="4"/>
        <v>800000</v>
      </c>
      <c r="R45" s="5">
        <f ca="1" t="shared" si="17"/>
        <v>10800000</v>
      </c>
      <c r="S45" s="1">
        <f ca="1">控制台!$E$3614*$C45</f>
        <v>533.333333333332</v>
      </c>
      <c r="T45" s="1">
        <f ca="1" t="shared" si="5"/>
        <v>533.333333333332</v>
      </c>
      <c r="U45" s="5">
        <f ca="1" t="shared" si="18"/>
        <v>7199.99999999998</v>
      </c>
      <c r="V45" s="1">
        <f ca="1">控制台!$E$3618*$C45</f>
        <v>200</v>
      </c>
      <c r="W45" s="1">
        <f ca="1" t="shared" si="6"/>
        <v>200</v>
      </c>
      <c r="X45" s="5">
        <f ca="1" t="shared" si="19"/>
        <v>2700</v>
      </c>
      <c r="Y45" s="1">
        <f ca="1">控制台!$E$3622*$C45</f>
        <v>1440</v>
      </c>
      <c r="Z45" s="1">
        <f ca="1" t="shared" si="7"/>
        <v>1440</v>
      </c>
      <c r="AA45" s="5">
        <f ca="1" t="shared" si="20"/>
        <v>19440</v>
      </c>
      <c r="AB45" s="1">
        <f ca="1">控制台!$E$3626*$C45</f>
        <v>0.0128</v>
      </c>
      <c r="AC45" s="1">
        <f ca="1" t="shared" si="8"/>
        <v>0.0128</v>
      </c>
      <c r="AD45" s="5">
        <f ca="1" t="shared" si="21"/>
        <v>0.1728</v>
      </c>
      <c r="AE45" s="1">
        <f ca="1">控制台!$E$3630*$C45</f>
        <v>400000</v>
      </c>
      <c r="AF45" s="1">
        <f ca="1" t="shared" si="9"/>
        <v>400000</v>
      </c>
      <c r="AG45" s="5">
        <f ca="1" t="shared" si="22"/>
        <v>5400000</v>
      </c>
      <c r="AH45" s="1">
        <f ca="1">控制台!$E$3634*$C45</f>
        <v>266.666666666667</v>
      </c>
      <c r="AI45" s="1">
        <f ca="1" t="shared" si="10"/>
        <v>266.666666666667</v>
      </c>
      <c r="AJ45" s="5">
        <f ca="1" t="shared" si="23"/>
        <v>3600</v>
      </c>
      <c r="AK45" s="1">
        <f ca="1">控制台!$E$3638*$C45</f>
        <v>100</v>
      </c>
      <c r="AL45" s="1">
        <f ca="1" t="shared" si="11"/>
        <v>100</v>
      </c>
      <c r="AM45" s="5">
        <f ca="1" t="shared" si="24"/>
        <v>1350</v>
      </c>
    </row>
    <row r="46" spans="1:39">
      <c r="A46" s="10">
        <v>25</v>
      </c>
      <c r="B46" s="1">
        <f t="shared" si="12"/>
        <v>1</v>
      </c>
      <c r="C46" s="13">
        <f ca="1">IF(A46-1&lt;0,控制台!$C$3643,OFFSET(控制台!$C$3643,MATCH(A46-1,控制台!$B$3643:$B$3648,1)-1,0))</f>
        <v>0.4</v>
      </c>
      <c r="D46" s="1">
        <f ca="1">控制台!$E$3594*$C46</f>
        <v>240</v>
      </c>
      <c r="E46" s="1">
        <f ca="1" t="shared" si="0"/>
        <v>240</v>
      </c>
      <c r="F46" s="5">
        <f ca="1" t="shared" si="13"/>
        <v>3480</v>
      </c>
      <c r="G46" s="1">
        <f ca="1">控制台!$E$3598*$C46</f>
        <v>4800000</v>
      </c>
      <c r="H46" s="1">
        <f ca="1" t="shared" si="1"/>
        <v>4800000</v>
      </c>
      <c r="I46" s="5">
        <f ca="1" t="shared" si="14"/>
        <v>69600000</v>
      </c>
      <c r="J46" s="1">
        <f ca="1">控制台!$E$3602*$C46</f>
        <v>2304</v>
      </c>
      <c r="K46" s="1">
        <f ca="1" t="shared" si="2"/>
        <v>2304</v>
      </c>
      <c r="L46" s="5">
        <f ca="1" t="shared" si="15"/>
        <v>33408</v>
      </c>
      <c r="M46" s="1">
        <f ca="1">控制台!$E$3606*$C46</f>
        <v>8</v>
      </c>
      <c r="N46" s="1">
        <f ca="1" t="shared" si="3"/>
        <v>8</v>
      </c>
      <c r="O46" s="5">
        <f ca="1" t="shared" si="16"/>
        <v>116</v>
      </c>
      <c r="P46" s="1">
        <f ca="1">控制台!$E$3610*$C46</f>
        <v>800000</v>
      </c>
      <c r="Q46" s="1">
        <f ca="1" t="shared" si="4"/>
        <v>800000</v>
      </c>
      <c r="R46" s="5">
        <f ca="1" t="shared" si="17"/>
        <v>11600000</v>
      </c>
      <c r="S46" s="1">
        <f ca="1">控制台!$E$3614*$C46</f>
        <v>533.333333333332</v>
      </c>
      <c r="T46" s="1">
        <f ca="1" t="shared" si="5"/>
        <v>533.333333333332</v>
      </c>
      <c r="U46" s="5">
        <f ca="1" t="shared" si="18"/>
        <v>7733.33333333331</v>
      </c>
      <c r="V46" s="1">
        <f ca="1">控制台!$E$3618*$C46</f>
        <v>200</v>
      </c>
      <c r="W46" s="1">
        <f ca="1" t="shared" si="6"/>
        <v>200</v>
      </c>
      <c r="X46" s="5">
        <f ca="1" t="shared" si="19"/>
        <v>2900</v>
      </c>
      <c r="Y46" s="1">
        <f ca="1">控制台!$E$3622*$C46</f>
        <v>1440</v>
      </c>
      <c r="Z46" s="1">
        <f ca="1" t="shared" si="7"/>
        <v>1440</v>
      </c>
      <c r="AA46" s="5">
        <f ca="1" t="shared" si="20"/>
        <v>20880</v>
      </c>
      <c r="AB46" s="1">
        <f ca="1">控制台!$E$3626*$C46</f>
        <v>0.0128</v>
      </c>
      <c r="AC46" s="1">
        <f ca="1" t="shared" si="8"/>
        <v>0.0128</v>
      </c>
      <c r="AD46" s="5">
        <f ca="1" t="shared" si="21"/>
        <v>0.1856</v>
      </c>
      <c r="AE46" s="1">
        <f ca="1">控制台!$E$3630*$C46</f>
        <v>400000</v>
      </c>
      <c r="AF46" s="1">
        <f ca="1" t="shared" si="9"/>
        <v>400000</v>
      </c>
      <c r="AG46" s="5">
        <f ca="1" t="shared" si="22"/>
        <v>5800000</v>
      </c>
      <c r="AH46" s="1">
        <f ca="1">控制台!$E$3634*$C46</f>
        <v>266.666666666667</v>
      </c>
      <c r="AI46" s="1">
        <f ca="1" t="shared" si="10"/>
        <v>266.666666666667</v>
      </c>
      <c r="AJ46" s="5">
        <f ca="1" t="shared" si="23"/>
        <v>3866.66666666667</v>
      </c>
      <c r="AK46" s="1">
        <f ca="1">控制台!$E$3638*$C46</f>
        <v>100</v>
      </c>
      <c r="AL46" s="1">
        <f ca="1" t="shared" si="11"/>
        <v>100</v>
      </c>
      <c r="AM46" s="5">
        <f ca="1" t="shared" si="24"/>
        <v>1450</v>
      </c>
    </row>
    <row r="47" spans="1:39">
      <c r="A47" s="10">
        <v>26</v>
      </c>
      <c r="B47" s="1">
        <f t="shared" si="12"/>
        <v>1</v>
      </c>
      <c r="C47" s="13">
        <f ca="1">IF(A47-1&lt;0,控制台!$C$3643,OFFSET(控制台!$C$3643,MATCH(A47-1,控制台!$B$3643:$B$3648,1)-1,0))</f>
        <v>0.4</v>
      </c>
      <c r="D47" s="1">
        <f ca="1">控制台!$E$3594*$C47</f>
        <v>240</v>
      </c>
      <c r="E47" s="1">
        <f ca="1" t="shared" si="0"/>
        <v>240</v>
      </c>
      <c r="F47" s="5">
        <f ca="1" t="shared" si="13"/>
        <v>3720</v>
      </c>
      <c r="G47" s="1">
        <f ca="1">控制台!$E$3598*$C47</f>
        <v>4800000</v>
      </c>
      <c r="H47" s="1">
        <f ca="1" t="shared" si="1"/>
        <v>4800000</v>
      </c>
      <c r="I47" s="5">
        <f ca="1" t="shared" si="14"/>
        <v>74400000</v>
      </c>
      <c r="J47" s="1">
        <f ca="1">控制台!$E$3602*$C47</f>
        <v>2304</v>
      </c>
      <c r="K47" s="1">
        <f ca="1" t="shared" si="2"/>
        <v>2304</v>
      </c>
      <c r="L47" s="5">
        <f ca="1" t="shared" si="15"/>
        <v>35712</v>
      </c>
      <c r="M47" s="1">
        <f ca="1">控制台!$E$3606*$C47</f>
        <v>8</v>
      </c>
      <c r="N47" s="1">
        <f ca="1" t="shared" si="3"/>
        <v>8</v>
      </c>
      <c r="O47" s="5">
        <f ca="1" t="shared" si="16"/>
        <v>124</v>
      </c>
      <c r="P47" s="1">
        <f ca="1">控制台!$E$3610*$C47</f>
        <v>800000</v>
      </c>
      <c r="Q47" s="1">
        <f ca="1" t="shared" si="4"/>
        <v>800000</v>
      </c>
      <c r="R47" s="5">
        <f ca="1" t="shared" si="17"/>
        <v>12400000</v>
      </c>
      <c r="S47" s="1">
        <f ca="1">控制台!$E$3614*$C47</f>
        <v>533.333333333332</v>
      </c>
      <c r="T47" s="1">
        <f ca="1" t="shared" si="5"/>
        <v>533.333333333332</v>
      </c>
      <c r="U47" s="5">
        <f ca="1" t="shared" si="18"/>
        <v>8266.66666666665</v>
      </c>
      <c r="V47" s="1">
        <f ca="1">控制台!$E$3618*$C47</f>
        <v>200</v>
      </c>
      <c r="W47" s="1">
        <f ca="1" t="shared" si="6"/>
        <v>200</v>
      </c>
      <c r="X47" s="5">
        <f ca="1" t="shared" si="19"/>
        <v>3100</v>
      </c>
      <c r="Y47" s="1">
        <f ca="1">控制台!$E$3622*$C47</f>
        <v>1440</v>
      </c>
      <c r="Z47" s="1">
        <f ca="1" t="shared" si="7"/>
        <v>1440</v>
      </c>
      <c r="AA47" s="5">
        <f ca="1" t="shared" si="20"/>
        <v>22320</v>
      </c>
      <c r="AB47" s="1">
        <f ca="1">控制台!$E$3626*$C47</f>
        <v>0.0128</v>
      </c>
      <c r="AC47" s="1">
        <f ca="1" t="shared" si="8"/>
        <v>0.0128</v>
      </c>
      <c r="AD47" s="5">
        <f ca="1" t="shared" si="21"/>
        <v>0.1984</v>
      </c>
      <c r="AE47" s="1">
        <f ca="1">控制台!$E$3630*$C47</f>
        <v>400000</v>
      </c>
      <c r="AF47" s="1">
        <f ca="1" t="shared" si="9"/>
        <v>400000</v>
      </c>
      <c r="AG47" s="5">
        <f ca="1" t="shared" si="22"/>
        <v>6200000</v>
      </c>
      <c r="AH47" s="1">
        <f ca="1">控制台!$E$3634*$C47</f>
        <v>266.666666666667</v>
      </c>
      <c r="AI47" s="1">
        <f ca="1" t="shared" si="10"/>
        <v>266.666666666667</v>
      </c>
      <c r="AJ47" s="5">
        <f ca="1" t="shared" si="23"/>
        <v>4133.33333333334</v>
      </c>
      <c r="AK47" s="1">
        <f ca="1">控制台!$E$3638*$C47</f>
        <v>100</v>
      </c>
      <c r="AL47" s="1">
        <f ca="1" t="shared" si="11"/>
        <v>100</v>
      </c>
      <c r="AM47" s="5">
        <f ca="1" t="shared" si="24"/>
        <v>1550</v>
      </c>
    </row>
    <row r="48" spans="1:39">
      <c r="A48" s="10">
        <v>27</v>
      </c>
      <c r="B48" s="1">
        <f t="shared" si="12"/>
        <v>1</v>
      </c>
      <c r="C48" s="13">
        <f ca="1">IF(A48-1&lt;0,控制台!$C$3643,OFFSET(控制台!$C$3643,MATCH(A48-1,控制台!$B$3643:$B$3648,1)-1,0))</f>
        <v>0.4</v>
      </c>
      <c r="D48" s="1">
        <f ca="1">控制台!$E$3594*$C48</f>
        <v>240</v>
      </c>
      <c r="E48" s="1">
        <f ca="1" t="shared" si="0"/>
        <v>240</v>
      </c>
      <c r="F48" s="5">
        <f ca="1" t="shared" si="13"/>
        <v>3960</v>
      </c>
      <c r="G48" s="1">
        <f ca="1">控制台!$E$3598*$C48</f>
        <v>4800000</v>
      </c>
      <c r="H48" s="1">
        <f ca="1" t="shared" si="1"/>
        <v>4800000</v>
      </c>
      <c r="I48" s="5">
        <f ca="1" t="shared" si="14"/>
        <v>79200000</v>
      </c>
      <c r="J48" s="1">
        <f ca="1">控制台!$E$3602*$C48</f>
        <v>2304</v>
      </c>
      <c r="K48" s="1">
        <f ca="1" t="shared" si="2"/>
        <v>2304</v>
      </c>
      <c r="L48" s="5">
        <f ca="1" t="shared" si="15"/>
        <v>38016</v>
      </c>
      <c r="M48" s="1">
        <f ca="1">控制台!$E$3606*$C48</f>
        <v>8</v>
      </c>
      <c r="N48" s="1">
        <f ca="1" t="shared" si="3"/>
        <v>8</v>
      </c>
      <c r="O48" s="5">
        <f ca="1" t="shared" si="16"/>
        <v>132</v>
      </c>
      <c r="P48" s="1">
        <f ca="1">控制台!$E$3610*$C48</f>
        <v>800000</v>
      </c>
      <c r="Q48" s="1">
        <f ca="1" t="shared" si="4"/>
        <v>800000</v>
      </c>
      <c r="R48" s="5">
        <f ca="1" t="shared" si="17"/>
        <v>13200000</v>
      </c>
      <c r="S48" s="1">
        <f ca="1">控制台!$E$3614*$C48</f>
        <v>533.333333333332</v>
      </c>
      <c r="T48" s="1">
        <f ca="1" t="shared" si="5"/>
        <v>533.333333333332</v>
      </c>
      <c r="U48" s="5">
        <f ca="1" t="shared" si="18"/>
        <v>8799.99999999998</v>
      </c>
      <c r="V48" s="1">
        <f ca="1">控制台!$E$3618*$C48</f>
        <v>200</v>
      </c>
      <c r="W48" s="1">
        <f ca="1" t="shared" si="6"/>
        <v>200</v>
      </c>
      <c r="X48" s="5">
        <f ca="1" t="shared" si="19"/>
        <v>3300</v>
      </c>
      <c r="Y48" s="1">
        <f ca="1">控制台!$E$3622*$C48</f>
        <v>1440</v>
      </c>
      <c r="Z48" s="1">
        <f ca="1" t="shared" si="7"/>
        <v>1440</v>
      </c>
      <c r="AA48" s="5">
        <f ca="1" t="shared" si="20"/>
        <v>23760</v>
      </c>
      <c r="AB48" s="1">
        <f ca="1">控制台!$E$3626*$C48</f>
        <v>0.0128</v>
      </c>
      <c r="AC48" s="1">
        <f ca="1" t="shared" si="8"/>
        <v>0.0128</v>
      </c>
      <c r="AD48" s="5">
        <f ca="1" t="shared" si="21"/>
        <v>0.2112</v>
      </c>
      <c r="AE48" s="1">
        <f ca="1">控制台!$E$3630*$C48</f>
        <v>400000</v>
      </c>
      <c r="AF48" s="1">
        <f ca="1" t="shared" si="9"/>
        <v>400000</v>
      </c>
      <c r="AG48" s="5">
        <f ca="1" t="shared" si="22"/>
        <v>6600000</v>
      </c>
      <c r="AH48" s="1">
        <f ca="1">控制台!$E$3634*$C48</f>
        <v>266.666666666667</v>
      </c>
      <c r="AI48" s="1">
        <f ca="1" t="shared" si="10"/>
        <v>266.666666666667</v>
      </c>
      <c r="AJ48" s="5">
        <f ca="1" t="shared" si="23"/>
        <v>4400</v>
      </c>
      <c r="AK48" s="1">
        <f ca="1">控制台!$E$3638*$C48</f>
        <v>100</v>
      </c>
      <c r="AL48" s="1">
        <f ca="1" t="shared" si="11"/>
        <v>100</v>
      </c>
      <c r="AM48" s="5">
        <f ca="1" t="shared" si="24"/>
        <v>1650</v>
      </c>
    </row>
    <row r="49" spans="1:39">
      <c r="A49" s="10">
        <v>28</v>
      </c>
      <c r="B49" s="1">
        <f t="shared" si="12"/>
        <v>1</v>
      </c>
      <c r="C49" s="13">
        <f ca="1">IF(A49-1&lt;0,控制台!$C$3643,OFFSET(控制台!$C$3643,MATCH(A49-1,控制台!$B$3643:$B$3648,1)-1,0))</f>
        <v>0.4</v>
      </c>
      <c r="D49" s="1">
        <f ca="1">控制台!$E$3594*$C49</f>
        <v>240</v>
      </c>
      <c r="E49" s="1">
        <f ca="1" t="shared" si="0"/>
        <v>240</v>
      </c>
      <c r="F49" s="5">
        <f ca="1" t="shared" si="13"/>
        <v>4200</v>
      </c>
      <c r="G49" s="1">
        <f ca="1">控制台!$E$3598*$C49</f>
        <v>4800000</v>
      </c>
      <c r="H49" s="1">
        <f ca="1" t="shared" si="1"/>
        <v>4800000</v>
      </c>
      <c r="I49" s="5">
        <f ca="1" t="shared" si="14"/>
        <v>84000000</v>
      </c>
      <c r="J49" s="1">
        <f ca="1">控制台!$E$3602*$C49</f>
        <v>2304</v>
      </c>
      <c r="K49" s="1">
        <f ca="1" t="shared" si="2"/>
        <v>2304</v>
      </c>
      <c r="L49" s="5">
        <f ca="1" t="shared" si="15"/>
        <v>40320</v>
      </c>
      <c r="M49" s="1">
        <f ca="1">控制台!$E$3606*$C49</f>
        <v>8</v>
      </c>
      <c r="N49" s="1">
        <f ca="1" t="shared" si="3"/>
        <v>8</v>
      </c>
      <c r="O49" s="5">
        <f ca="1" t="shared" si="16"/>
        <v>140</v>
      </c>
      <c r="P49" s="1">
        <f ca="1">控制台!$E$3610*$C49</f>
        <v>800000</v>
      </c>
      <c r="Q49" s="1">
        <f ca="1" t="shared" si="4"/>
        <v>800000</v>
      </c>
      <c r="R49" s="5">
        <f ca="1" t="shared" si="17"/>
        <v>14000000</v>
      </c>
      <c r="S49" s="1">
        <f ca="1">控制台!$E$3614*$C49</f>
        <v>533.333333333332</v>
      </c>
      <c r="T49" s="1">
        <f ca="1" t="shared" si="5"/>
        <v>533.333333333332</v>
      </c>
      <c r="U49" s="5">
        <f ca="1" t="shared" si="18"/>
        <v>9333.33333333331</v>
      </c>
      <c r="V49" s="1">
        <f ca="1">控制台!$E$3618*$C49</f>
        <v>200</v>
      </c>
      <c r="W49" s="1">
        <f ca="1" t="shared" si="6"/>
        <v>200</v>
      </c>
      <c r="X49" s="5">
        <f ca="1" t="shared" si="19"/>
        <v>3500</v>
      </c>
      <c r="Y49" s="1">
        <f ca="1">控制台!$E$3622*$C49</f>
        <v>1440</v>
      </c>
      <c r="Z49" s="1">
        <f ca="1" t="shared" si="7"/>
        <v>1440</v>
      </c>
      <c r="AA49" s="5">
        <f ca="1" t="shared" si="20"/>
        <v>25200</v>
      </c>
      <c r="AB49" s="1">
        <f ca="1">控制台!$E$3626*$C49</f>
        <v>0.0128</v>
      </c>
      <c r="AC49" s="1">
        <f ca="1" t="shared" si="8"/>
        <v>0.0128</v>
      </c>
      <c r="AD49" s="5">
        <f ca="1" t="shared" si="21"/>
        <v>0.224</v>
      </c>
      <c r="AE49" s="1">
        <f ca="1">控制台!$E$3630*$C49</f>
        <v>400000</v>
      </c>
      <c r="AF49" s="1">
        <f ca="1" t="shared" si="9"/>
        <v>400000</v>
      </c>
      <c r="AG49" s="5">
        <f ca="1" t="shared" si="22"/>
        <v>7000000</v>
      </c>
      <c r="AH49" s="1">
        <f ca="1">控制台!$E$3634*$C49</f>
        <v>266.666666666667</v>
      </c>
      <c r="AI49" s="1">
        <f ca="1" t="shared" si="10"/>
        <v>266.666666666667</v>
      </c>
      <c r="AJ49" s="5">
        <f ca="1" t="shared" si="23"/>
        <v>4666.66666666667</v>
      </c>
      <c r="AK49" s="1">
        <f ca="1">控制台!$E$3638*$C49</f>
        <v>100</v>
      </c>
      <c r="AL49" s="1">
        <f ca="1" t="shared" si="11"/>
        <v>100</v>
      </c>
      <c r="AM49" s="5">
        <f ca="1" t="shared" si="24"/>
        <v>1750</v>
      </c>
    </row>
    <row r="50" spans="1:39">
      <c r="A50" s="10">
        <v>29</v>
      </c>
      <c r="B50" s="1">
        <f t="shared" si="12"/>
        <v>1</v>
      </c>
      <c r="C50" s="13">
        <f ca="1">IF(A50-1&lt;0,控制台!$C$3643,OFFSET(控制台!$C$3643,MATCH(A50-1,控制台!$B$3643:$B$3648,1)-1,0))</f>
        <v>0.4</v>
      </c>
      <c r="D50" s="1">
        <f ca="1">控制台!$E$3594*$C50</f>
        <v>240</v>
      </c>
      <c r="E50" s="1">
        <f ca="1" t="shared" si="0"/>
        <v>240</v>
      </c>
      <c r="F50" s="5">
        <f ca="1" t="shared" si="13"/>
        <v>4440</v>
      </c>
      <c r="G50" s="1">
        <f ca="1">控制台!$E$3598*$C50</f>
        <v>4800000</v>
      </c>
      <c r="H50" s="1">
        <f ca="1" t="shared" si="1"/>
        <v>4800000</v>
      </c>
      <c r="I50" s="5">
        <f ca="1" t="shared" si="14"/>
        <v>88800000</v>
      </c>
      <c r="J50" s="1">
        <f ca="1">控制台!$E$3602*$C50</f>
        <v>2304</v>
      </c>
      <c r="K50" s="1">
        <f ca="1" t="shared" si="2"/>
        <v>2304</v>
      </c>
      <c r="L50" s="5">
        <f ca="1" t="shared" si="15"/>
        <v>42624</v>
      </c>
      <c r="M50" s="1">
        <f ca="1">控制台!$E$3606*$C50</f>
        <v>8</v>
      </c>
      <c r="N50" s="1">
        <f ca="1" t="shared" si="3"/>
        <v>8</v>
      </c>
      <c r="O50" s="5">
        <f ca="1" t="shared" si="16"/>
        <v>148</v>
      </c>
      <c r="P50" s="1">
        <f ca="1">控制台!$E$3610*$C50</f>
        <v>800000</v>
      </c>
      <c r="Q50" s="1">
        <f ca="1" t="shared" si="4"/>
        <v>800000</v>
      </c>
      <c r="R50" s="5">
        <f ca="1" t="shared" si="17"/>
        <v>14800000</v>
      </c>
      <c r="S50" s="1">
        <f ca="1">控制台!$E$3614*$C50</f>
        <v>533.333333333332</v>
      </c>
      <c r="T50" s="1">
        <f ca="1" t="shared" si="5"/>
        <v>533.333333333332</v>
      </c>
      <c r="U50" s="5">
        <f ca="1" t="shared" si="18"/>
        <v>9866.66666666664</v>
      </c>
      <c r="V50" s="1">
        <f ca="1">控制台!$E$3618*$C50</f>
        <v>200</v>
      </c>
      <c r="W50" s="1">
        <f ca="1" t="shared" si="6"/>
        <v>200</v>
      </c>
      <c r="X50" s="5">
        <f ca="1" t="shared" si="19"/>
        <v>3700</v>
      </c>
      <c r="Y50" s="1">
        <f ca="1">控制台!$E$3622*$C50</f>
        <v>1440</v>
      </c>
      <c r="Z50" s="1">
        <f ca="1" t="shared" si="7"/>
        <v>1440</v>
      </c>
      <c r="AA50" s="5">
        <f ca="1" t="shared" si="20"/>
        <v>26640</v>
      </c>
      <c r="AB50" s="1">
        <f ca="1">控制台!$E$3626*$C50</f>
        <v>0.0128</v>
      </c>
      <c r="AC50" s="1">
        <f ca="1" t="shared" si="8"/>
        <v>0.0128</v>
      </c>
      <c r="AD50" s="5">
        <f ca="1" t="shared" si="21"/>
        <v>0.2368</v>
      </c>
      <c r="AE50" s="1">
        <f ca="1">控制台!$E$3630*$C50</f>
        <v>400000</v>
      </c>
      <c r="AF50" s="1">
        <f ca="1" t="shared" si="9"/>
        <v>400000</v>
      </c>
      <c r="AG50" s="5">
        <f ca="1" t="shared" si="22"/>
        <v>7400000</v>
      </c>
      <c r="AH50" s="1">
        <f ca="1">控制台!$E$3634*$C50</f>
        <v>266.666666666667</v>
      </c>
      <c r="AI50" s="1">
        <f ca="1" t="shared" si="10"/>
        <v>266.666666666667</v>
      </c>
      <c r="AJ50" s="5">
        <f ca="1" t="shared" si="23"/>
        <v>4933.33333333334</v>
      </c>
      <c r="AK50" s="1">
        <f ca="1">控制台!$E$3638*$C50</f>
        <v>100</v>
      </c>
      <c r="AL50" s="1">
        <f ca="1" t="shared" si="11"/>
        <v>100</v>
      </c>
      <c r="AM50" s="5">
        <f ca="1" t="shared" si="24"/>
        <v>1850</v>
      </c>
    </row>
    <row r="51" spans="1:39">
      <c r="A51" s="10">
        <v>30</v>
      </c>
      <c r="B51" s="1">
        <f t="shared" si="12"/>
        <v>1</v>
      </c>
      <c r="C51" s="13">
        <f ca="1">IF(A51-1&lt;0,控制台!$C$3643,OFFSET(控制台!$C$3643,MATCH(A51-1,控制台!$B$3643:$B$3648,1)-1,0))</f>
        <v>0.4</v>
      </c>
      <c r="D51" s="1">
        <f ca="1">控制台!$E$3594*$C51</f>
        <v>240</v>
      </c>
      <c r="E51" s="1">
        <f ca="1" t="shared" si="0"/>
        <v>240</v>
      </c>
      <c r="F51" s="5">
        <f ca="1" t="shared" si="13"/>
        <v>4680</v>
      </c>
      <c r="G51" s="1">
        <f ca="1">控制台!$E$3598*$C51</f>
        <v>4800000</v>
      </c>
      <c r="H51" s="1">
        <f ca="1" t="shared" si="1"/>
        <v>4800000</v>
      </c>
      <c r="I51" s="5">
        <f ca="1" t="shared" si="14"/>
        <v>93600000</v>
      </c>
      <c r="J51" s="1">
        <f ca="1">控制台!$E$3602*$C51</f>
        <v>2304</v>
      </c>
      <c r="K51" s="1">
        <f ca="1" t="shared" si="2"/>
        <v>2304</v>
      </c>
      <c r="L51" s="5">
        <f ca="1" t="shared" si="15"/>
        <v>44928</v>
      </c>
      <c r="M51" s="1">
        <f ca="1">控制台!$E$3606*$C51</f>
        <v>8</v>
      </c>
      <c r="N51" s="1">
        <f ca="1" t="shared" si="3"/>
        <v>8</v>
      </c>
      <c r="O51" s="5">
        <f ca="1" t="shared" si="16"/>
        <v>156</v>
      </c>
      <c r="P51" s="1">
        <f ca="1">控制台!$E$3610*$C51</f>
        <v>800000</v>
      </c>
      <c r="Q51" s="1">
        <f ca="1" t="shared" si="4"/>
        <v>800000</v>
      </c>
      <c r="R51" s="5">
        <f ca="1" t="shared" si="17"/>
        <v>15600000</v>
      </c>
      <c r="S51" s="1">
        <f ca="1">控制台!$E$3614*$C51</f>
        <v>533.333333333332</v>
      </c>
      <c r="T51" s="1">
        <f ca="1" t="shared" si="5"/>
        <v>533.333333333332</v>
      </c>
      <c r="U51" s="5">
        <f ca="1" t="shared" si="18"/>
        <v>10400</v>
      </c>
      <c r="V51" s="1">
        <f ca="1">控制台!$E$3618*$C51</f>
        <v>200</v>
      </c>
      <c r="W51" s="1">
        <f ca="1" t="shared" si="6"/>
        <v>200</v>
      </c>
      <c r="X51" s="5">
        <f ca="1" t="shared" si="19"/>
        <v>3900</v>
      </c>
      <c r="Y51" s="1">
        <f ca="1">控制台!$E$3622*$C51</f>
        <v>1440</v>
      </c>
      <c r="Z51" s="1">
        <f ca="1" t="shared" si="7"/>
        <v>1440</v>
      </c>
      <c r="AA51" s="5">
        <f ca="1" t="shared" si="20"/>
        <v>28080</v>
      </c>
      <c r="AB51" s="1">
        <f ca="1">控制台!$E$3626*$C51</f>
        <v>0.0128</v>
      </c>
      <c r="AC51" s="1">
        <f ca="1" t="shared" si="8"/>
        <v>0.0128</v>
      </c>
      <c r="AD51" s="5">
        <f ca="1" t="shared" si="21"/>
        <v>0.2496</v>
      </c>
      <c r="AE51" s="1">
        <f ca="1">控制台!$E$3630*$C51</f>
        <v>400000</v>
      </c>
      <c r="AF51" s="1">
        <f ca="1" t="shared" si="9"/>
        <v>400000</v>
      </c>
      <c r="AG51" s="5">
        <f ca="1" t="shared" si="22"/>
        <v>7800000</v>
      </c>
      <c r="AH51" s="1">
        <f ca="1">控制台!$E$3634*$C51</f>
        <v>266.666666666667</v>
      </c>
      <c r="AI51" s="1">
        <f ca="1" t="shared" si="10"/>
        <v>266.666666666667</v>
      </c>
      <c r="AJ51" s="5">
        <f ca="1" t="shared" si="23"/>
        <v>5200</v>
      </c>
      <c r="AK51" s="1">
        <f ca="1">控制台!$E$3638*$C51</f>
        <v>100</v>
      </c>
      <c r="AL51" s="1">
        <f ca="1" t="shared" si="11"/>
        <v>100</v>
      </c>
      <c r="AM51" s="5">
        <f ca="1" t="shared" si="24"/>
        <v>1950</v>
      </c>
    </row>
    <row r="52" spans="1:39">
      <c r="A52" s="11">
        <v>35</v>
      </c>
      <c r="B52" s="1">
        <f t="shared" si="12"/>
        <v>5</v>
      </c>
      <c r="C52" s="13">
        <f ca="1">IF(A52-1&lt;0,控制台!$C$3643,OFFSET(控制台!$C$3643,MATCH(A52-1,控制台!$B$3643:$B$3648,1)-1,0))</f>
        <v>0.6</v>
      </c>
      <c r="D52" s="1">
        <f ca="1">控制台!$E$3594*$C52</f>
        <v>360</v>
      </c>
      <c r="E52" s="1">
        <f ca="1" t="shared" si="0"/>
        <v>1800</v>
      </c>
      <c r="F52" s="5">
        <f ca="1" t="shared" si="13"/>
        <v>6480</v>
      </c>
      <c r="G52" s="1">
        <f ca="1">控制台!$E$3598*$C52</f>
        <v>7200000</v>
      </c>
      <c r="H52" s="1">
        <f ca="1" t="shared" si="1"/>
        <v>36000000</v>
      </c>
      <c r="I52" s="5">
        <f ca="1" t="shared" si="14"/>
        <v>129600000</v>
      </c>
      <c r="J52" s="1">
        <f ca="1">控制台!$E$3602*$C52</f>
        <v>3456</v>
      </c>
      <c r="K52" s="1">
        <f ca="1" t="shared" si="2"/>
        <v>17280</v>
      </c>
      <c r="L52" s="5">
        <f ca="1" t="shared" si="15"/>
        <v>62208</v>
      </c>
      <c r="M52" s="1">
        <f ca="1">控制台!$E$3606*$C52</f>
        <v>12</v>
      </c>
      <c r="N52" s="1">
        <f ca="1" t="shared" si="3"/>
        <v>60</v>
      </c>
      <c r="O52" s="5">
        <f ca="1" t="shared" si="16"/>
        <v>216</v>
      </c>
      <c r="P52" s="1">
        <f ca="1">控制台!$E$3610*$C52</f>
        <v>1200000</v>
      </c>
      <c r="Q52" s="1">
        <f ca="1" t="shared" si="4"/>
        <v>6000000</v>
      </c>
      <c r="R52" s="5">
        <f ca="1" t="shared" si="17"/>
        <v>21600000</v>
      </c>
      <c r="S52" s="1">
        <f ca="1">控制台!$E$3614*$C52</f>
        <v>799.999999999998</v>
      </c>
      <c r="T52" s="1">
        <f ca="1" t="shared" si="5"/>
        <v>3999.99999999999</v>
      </c>
      <c r="U52" s="5">
        <f ca="1" t="shared" si="18"/>
        <v>14400</v>
      </c>
      <c r="V52" s="1">
        <f ca="1">控制台!$E$3618*$C52</f>
        <v>300</v>
      </c>
      <c r="W52" s="1">
        <f ca="1" t="shared" si="6"/>
        <v>1500</v>
      </c>
      <c r="X52" s="5">
        <f ca="1" t="shared" si="19"/>
        <v>5400</v>
      </c>
      <c r="Y52" s="1">
        <f ca="1">控制台!$E$3622*$C52</f>
        <v>2160</v>
      </c>
      <c r="Z52" s="1">
        <f ca="1" t="shared" si="7"/>
        <v>10800</v>
      </c>
      <c r="AA52" s="5">
        <f ca="1" t="shared" si="20"/>
        <v>38880</v>
      </c>
      <c r="AB52" s="1">
        <f ca="1">控制台!$E$3626*$C52</f>
        <v>0.0192</v>
      </c>
      <c r="AC52" s="1">
        <f ca="1" t="shared" si="8"/>
        <v>0.096</v>
      </c>
      <c r="AD52" s="5">
        <f ca="1" t="shared" si="21"/>
        <v>0.3456</v>
      </c>
      <c r="AE52" s="1">
        <f ca="1">控制台!$E$3630*$C52</f>
        <v>600000</v>
      </c>
      <c r="AF52" s="1">
        <f ca="1" t="shared" si="9"/>
        <v>3000000</v>
      </c>
      <c r="AG52" s="5">
        <f ca="1" t="shared" si="22"/>
        <v>10800000</v>
      </c>
      <c r="AH52" s="1">
        <f ca="1">控制台!$E$3634*$C52</f>
        <v>400</v>
      </c>
      <c r="AI52" s="1">
        <f ca="1" t="shared" si="10"/>
        <v>2000</v>
      </c>
      <c r="AJ52" s="5">
        <f ca="1" t="shared" si="23"/>
        <v>7200</v>
      </c>
      <c r="AK52" s="1">
        <f ca="1">控制台!$E$3638*$C52</f>
        <v>150</v>
      </c>
      <c r="AL52" s="1">
        <f ca="1" t="shared" si="11"/>
        <v>750</v>
      </c>
      <c r="AM52" s="5">
        <f ca="1" t="shared" si="24"/>
        <v>2700</v>
      </c>
    </row>
    <row r="53" spans="1:39">
      <c r="A53" s="11">
        <v>40</v>
      </c>
      <c r="B53" s="1">
        <f t="shared" si="12"/>
        <v>5</v>
      </c>
      <c r="C53" s="13">
        <f ca="1">IF(A53-1&lt;0,控制台!$C$3643,OFFSET(控制台!$C$3643,MATCH(A53-1,控制台!$B$3643:$B$3648,1)-1,0))</f>
        <v>0.6</v>
      </c>
      <c r="D53" s="1">
        <f ca="1">控制台!$E$3594*$C53</f>
        <v>360</v>
      </c>
      <c r="E53" s="1">
        <f ca="1" t="shared" si="0"/>
        <v>1800</v>
      </c>
      <c r="F53" s="5">
        <f ca="1" t="shared" si="13"/>
        <v>8280</v>
      </c>
      <c r="G53" s="1">
        <f ca="1">控制台!$E$3598*$C53</f>
        <v>7200000</v>
      </c>
      <c r="H53" s="1">
        <f ca="1" t="shared" si="1"/>
        <v>36000000</v>
      </c>
      <c r="I53" s="5">
        <f ca="1" t="shared" si="14"/>
        <v>165600000</v>
      </c>
      <c r="J53" s="1">
        <f ca="1">控制台!$E$3602*$C53</f>
        <v>3456</v>
      </c>
      <c r="K53" s="1">
        <f ca="1" t="shared" si="2"/>
        <v>17280</v>
      </c>
      <c r="L53" s="5">
        <f ca="1" t="shared" si="15"/>
        <v>79488</v>
      </c>
      <c r="M53" s="1">
        <f ca="1">控制台!$E$3606*$C53</f>
        <v>12</v>
      </c>
      <c r="N53" s="1">
        <f ca="1" t="shared" si="3"/>
        <v>60</v>
      </c>
      <c r="O53" s="5">
        <f ca="1" t="shared" si="16"/>
        <v>276</v>
      </c>
      <c r="P53" s="1">
        <f ca="1">控制台!$E$3610*$C53</f>
        <v>1200000</v>
      </c>
      <c r="Q53" s="1">
        <f ca="1" t="shared" si="4"/>
        <v>6000000</v>
      </c>
      <c r="R53" s="5">
        <f ca="1" t="shared" si="17"/>
        <v>27600000</v>
      </c>
      <c r="S53" s="1">
        <f ca="1">控制台!$E$3614*$C53</f>
        <v>799.999999999998</v>
      </c>
      <c r="T53" s="1">
        <f ca="1" t="shared" si="5"/>
        <v>3999.99999999999</v>
      </c>
      <c r="U53" s="5">
        <f ca="1" t="shared" si="18"/>
        <v>18400</v>
      </c>
      <c r="V53" s="1">
        <f ca="1">控制台!$E$3618*$C53</f>
        <v>300</v>
      </c>
      <c r="W53" s="1">
        <f ca="1" t="shared" si="6"/>
        <v>1500</v>
      </c>
      <c r="X53" s="5">
        <f ca="1" t="shared" si="19"/>
        <v>6900</v>
      </c>
      <c r="Y53" s="1">
        <f ca="1">控制台!$E$3622*$C53</f>
        <v>2160</v>
      </c>
      <c r="Z53" s="1">
        <f ca="1" t="shared" si="7"/>
        <v>10800</v>
      </c>
      <c r="AA53" s="5">
        <f ca="1" t="shared" si="20"/>
        <v>49680</v>
      </c>
      <c r="AB53" s="1">
        <f ca="1">控制台!$E$3626*$C53</f>
        <v>0.0192</v>
      </c>
      <c r="AC53" s="1">
        <f ca="1" t="shared" si="8"/>
        <v>0.096</v>
      </c>
      <c r="AD53" s="5">
        <f ca="1" t="shared" si="21"/>
        <v>0.4416</v>
      </c>
      <c r="AE53" s="1">
        <f ca="1">控制台!$E$3630*$C53</f>
        <v>600000</v>
      </c>
      <c r="AF53" s="1">
        <f ca="1" t="shared" si="9"/>
        <v>3000000</v>
      </c>
      <c r="AG53" s="5">
        <f ca="1" t="shared" si="22"/>
        <v>13800000</v>
      </c>
      <c r="AH53" s="1">
        <f ca="1">控制台!$E$3634*$C53</f>
        <v>400</v>
      </c>
      <c r="AI53" s="1">
        <f ca="1" t="shared" si="10"/>
        <v>2000</v>
      </c>
      <c r="AJ53" s="5">
        <f ca="1" t="shared" si="23"/>
        <v>9200.00000000001</v>
      </c>
      <c r="AK53" s="1">
        <f ca="1">控制台!$E$3638*$C53</f>
        <v>150</v>
      </c>
      <c r="AL53" s="1">
        <f ca="1" t="shared" si="11"/>
        <v>750</v>
      </c>
      <c r="AM53" s="5">
        <f ca="1" t="shared" si="24"/>
        <v>3450</v>
      </c>
    </row>
    <row r="54" spans="1:39">
      <c r="A54" s="11">
        <v>45</v>
      </c>
      <c r="B54" s="1">
        <f t="shared" si="12"/>
        <v>5</v>
      </c>
      <c r="C54" s="13">
        <f ca="1">IF(A54-1&lt;0,控制台!$C$3643,OFFSET(控制台!$C$3643,MATCH(A54-1,控制台!$B$3643:$B$3648,1)-1,0))</f>
        <v>0.6</v>
      </c>
      <c r="D54" s="1">
        <f ca="1">控制台!$E$3594*$C54</f>
        <v>360</v>
      </c>
      <c r="E54" s="1">
        <f ca="1" t="shared" si="0"/>
        <v>1800</v>
      </c>
      <c r="F54" s="5">
        <f ca="1" t="shared" si="13"/>
        <v>10080</v>
      </c>
      <c r="G54" s="1">
        <f ca="1">控制台!$E$3598*$C54</f>
        <v>7200000</v>
      </c>
      <c r="H54" s="1">
        <f ca="1" t="shared" si="1"/>
        <v>36000000</v>
      </c>
      <c r="I54" s="5">
        <f ca="1" t="shared" si="14"/>
        <v>201600000</v>
      </c>
      <c r="J54" s="1">
        <f ca="1">控制台!$E$3602*$C54</f>
        <v>3456</v>
      </c>
      <c r="K54" s="1">
        <f ca="1" t="shared" si="2"/>
        <v>17280</v>
      </c>
      <c r="L54" s="5">
        <f ca="1" t="shared" si="15"/>
        <v>96768</v>
      </c>
      <c r="M54" s="1">
        <f ca="1">控制台!$E$3606*$C54</f>
        <v>12</v>
      </c>
      <c r="N54" s="1">
        <f ca="1" t="shared" si="3"/>
        <v>60</v>
      </c>
      <c r="O54" s="5">
        <f ca="1" t="shared" si="16"/>
        <v>336</v>
      </c>
      <c r="P54" s="1">
        <f ca="1">控制台!$E$3610*$C54</f>
        <v>1200000</v>
      </c>
      <c r="Q54" s="1">
        <f ca="1" t="shared" si="4"/>
        <v>6000000</v>
      </c>
      <c r="R54" s="5">
        <f ca="1" t="shared" si="17"/>
        <v>33600000</v>
      </c>
      <c r="S54" s="1">
        <f ca="1">控制台!$E$3614*$C54</f>
        <v>799.999999999998</v>
      </c>
      <c r="T54" s="1">
        <f ca="1" t="shared" si="5"/>
        <v>3999.99999999999</v>
      </c>
      <c r="U54" s="5">
        <f ca="1" t="shared" si="18"/>
        <v>22399.9999999999</v>
      </c>
      <c r="V54" s="1">
        <f ca="1">控制台!$E$3618*$C54</f>
        <v>300</v>
      </c>
      <c r="W54" s="1">
        <f ca="1" t="shared" si="6"/>
        <v>1500</v>
      </c>
      <c r="X54" s="5">
        <f ca="1" t="shared" si="19"/>
        <v>8400</v>
      </c>
      <c r="Y54" s="1">
        <f ca="1">控制台!$E$3622*$C54</f>
        <v>2160</v>
      </c>
      <c r="Z54" s="1">
        <f ca="1" t="shared" si="7"/>
        <v>10800</v>
      </c>
      <c r="AA54" s="5">
        <f ca="1" t="shared" si="20"/>
        <v>60480</v>
      </c>
      <c r="AB54" s="1">
        <f ca="1">控制台!$E$3626*$C54</f>
        <v>0.0192</v>
      </c>
      <c r="AC54" s="1">
        <f ca="1" t="shared" si="8"/>
        <v>0.096</v>
      </c>
      <c r="AD54" s="5">
        <f ca="1" t="shared" si="21"/>
        <v>0.5376</v>
      </c>
      <c r="AE54" s="1">
        <f ca="1">控制台!$E$3630*$C54</f>
        <v>600000</v>
      </c>
      <c r="AF54" s="1">
        <f ca="1" t="shared" si="9"/>
        <v>3000000</v>
      </c>
      <c r="AG54" s="5">
        <f ca="1" t="shared" si="22"/>
        <v>16800000</v>
      </c>
      <c r="AH54" s="1">
        <f ca="1">控制台!$E$3634*$C54</f>
        <v>400</v>
      </c>
      <c r="AI54" s="1">
        <f ca="1" t="shared" si="10"/>
        <v>2000</v>
      </c>
      <c r="AJ54" s="5">
        <f ca="1" t="shared" si="23"/>
        <v>11200</v>
      </c>
      <c r="AK54" s="1">
        <f ca="1">控制台!$E$3638*$C54</f>
        <v>150</v>
      </c>
      <c r="AL54" s="1">
        <f ca="1" t="shared" si="11"/>
        <v>750</v>
      </c>
      <c r="AM54" s="5">
        <f ca="1" t="shared" si="24"/>
        <v>4200</v>
      </c>
    </row>
    <row r="55" spans="1:39">
      <c r="A55" s="11">
        <v>50</v>
      </c>
      <c r="B55" s="1">
        <f t="shared" si="12"/>
        <v>5</v>
      </c>
      <c r="C55" s="13">
        <f ca="1">IF(A55-1&lt;0,控制台!$C$3643,OFFSET(控制台!$C$3643,MATCH(A55-1,控制台!$B$3643:$B$3648,1)-1,0))</f>
        <v>0.6</v>
      </c>
      <c r="D55" s="1">
        <f ca="1">控制台!$E$3594*$C55</f>
        <v>360</v>
      </c>
      <c r="E55" s="1">
        <f ca="1" t="shared" si="0"/>
        <v>1800</v>
      </c>
      <c r="F55" s="5">
        <f ca="1" t="shared" si="13"/>
        <v>11880</v>
      </c>
      <c r="G55" s="1">
        <f ca="1">控制台!$E$3598*$C55</f>
        <v>7200000</v>
      </c>
      <c r="H55" s="1">
        <f ca="1" t="shared" si="1"/>
        <v>36000000</v>
      </c>
      <c r="I55" s="5">
        <f ca="1" t="shared" si="14"/>
        <v>237600000</v>
      </c>
      <c r="J55" s="1">
        <f ca="1">控制台!$E$3602*$C55</f>
        <v>3456</v>
      </c>
      <c r="K55" s="1">
        <f ca="1" t="shared" si="2"/>
        <v>17280</v>
      </c>
      <c r="L55" s="5">
        <f ca="1" t="shared" si="15"/>
        <v>114048</v>
      </c>
      <c r="M55" s="1">
        <f ca="1">控制台!$E$3606*$C55</f>
        <v>12</v>
      </c>
      <c r="N55" s="1">
        <f ca="1" t="shared" si="3"/>
        <v>60</v>
      </c>
      <c r="O55" s="5">
        <f ca="1" t="shared" si="16"/>
        <v>396</v>
      </c>
      <c r="P55" s="1">
        <f ca="1">控制台!$E$3610*$C55</f>
        <v>1200000</v>
      </c>
      <c r="Q55" s="1">
        <f ca="1" t="shared" si="4"/>
        <v>6000000</v>
      </c>
      <c r="R55" s="5">
        <f ca="1" t="shared" si="17"/>
        <v>39600000</v>
      </c>
      <c r="S55" s="1">
        <f ca="1">控制台!$E$3614*$C55</f>
        <v>799.999999999998</v>
      </c>
      <c r="T55" s="1">
        <f ca="1" t="shared" si="5"/>
        <v>3999.99999999999</v>
      </c>
      <c r="U55" s="5">
        <f ca="1" t="shared" si="18"/>
        <v>26399.9999999999</v>
      </c>
      <c r="V55" s="1">
        <f ca="1">控制台!$E$3618*$C55</f>
        <v>300</v>
      </c>
      <c r="W55" s="1">
        <f ca="1" t="shared" si="6"/>
        <v>1500</v>
      </c>
      <c r="X55" s="5">
        <f ca="1" t="shared" si="19"/>
        <v>9900</v>
      </c>
      <c r="Y55" s="1">
        <f ca="1">控制台!$E$3622*$C55</f>
        <v>2160</v>
      </c>
      <c r="Z55" s="1">
        <f ca="1" t="shared" si="7"/>
        <v>10800</v>
      </c>
      <c r="AA55" s="5">
        <f ca="1" t="shared" si="20"/>
        <v>71280</v>
      </c>
      <c r="AB55" s="1">
        <f ca="1">控制台!$E$3626*$C55</f>
        <v>0.0192</v>
      </c>
      <c r="AC55" s="1">
        <f ca="1" t="shared" si="8"/>
        <v>0.096</v>
      </c>
      <c r="AD55" s="5">
        <f ca="1" t="shared" si="21"/>
        <v>0.6336</v>
      </c>
      <c r="AE55" s="1">
        <f ca="1">控制台!$E$3630*$C55</f>
        <v>600000</v>
      </c>
      <c r="AF55" s="1">
        <f ca="1" t="shared" si="9"/>
        <v>3000000</v>
      </c>
      <c r="AG55" s="5">
        <f ca="1" t="shared" si="22"/>
        <v>19800000</v>
      </c>
      <c r="AH55" s="1">
        <f ca="1">控制台!$E$3634*$C55</f>
        <v>400</v>
      </c>
      <c r="AI55" s="1">
        <f ca="1" t="shared" si="10"/>
        <v>2000</v>
      </c>
      <c r="AJ55" s="5">
        <f ca="1" t="shared" si="23"/>
        <v>13200</v>
      </c>
      <c r="AK55" s="1">
        <f ca="1">控制台!$E$3638*$C55</f>
        <v>150</v>
      </c>
      <c r="AL55" s="1">
        <f ca="1" t="shared" si="11"/>
        <v>750</v>
      </c>
      <c r="AM55" s="5">
        <f ca="1" t="shared" si="24"/>
        <v>4950</v>
      </c>
    </row>
    <row r="56" spans="1:39">
      <c r="A56" s="11">
        <v>55</v>
      </c>
      <c r="B56" s="1">
        <f t="shared" si="12"/>
        <v>5</v>
      </c>
      <c r="C56" s="13">
        <f ca="1">IF(A56-1&lt;0,控制台!$C$3643,OFFSET(控制台!$C$3643,MATCH(A56-1,控制台!$B$3643:$B$3648,1)-1,0))</f>
        <v>0.6</v>
      </c>
      <c r="D56" s="1">
        <f ca="1">控制台!$E$3594*$C56</f>
        <v>360</v>
      </c>
      <c r="E56" s="1">
        <f ca="1" t="shared" si="0"/>
        <v>1800</v>
      </c>
      <c r="F56" s="5">
        <f ca="1" t="shared" si="13"/>
        <v>13680</v>
      </c>
      <c r="G56" s="1">
        <f ca="1">控制台!$E$3598*$C56</f>
        <v>7200000</v>
      </c>
      <c r="H56" s="1">
        <f ca="1" t="shared" si="1"/>
        <v>36000000</v>
      </c>
      <c r="I56" s="5">
        <f ca="1" t="shared" si="14"/>
        <v>273600000</v>
      </c>
      <c r="J56" s="1">
        <f ca="1">控制台!$E$3602*$C56</f>
        <v>3456</v>
      </c>
      <c r="K56" s="1">
        <f ca="1" t="shared" si="2"/>
        <v>17280</v>
      </c>
      <c r="L56" s="5">
        <f ca="1" t="shared" si="15"/>
        <v>131328</v>
      </c>
      <c r="M56" s="1">
        <f ca="1">控制台!$E$3606*$C56</f>
        <v>12</v>
      </c>
      <c r="N56" s="1">
        <f ca="1" t="shared" si="3"/>
        <v>60</v>
      </c>
      <c r="O56" s="5">
        <f ca="1" t="shared" si="16"/>
        <v>456</v>
      </c>
      <c r="P56" s="1">
        <f ca="1">控制台!$E$3610*$C56</f>
        <v>1200000</v>
      </c>
      <c r="Q56" s="1">
        <f ca="1" t="shared" si="4"/>
        <v>6000000</v>
      </c>
      <c r="R56" s="5">
        <f ca="1" t="shared" si="17"/>
        <v>45600000</v>
      </c>
      <c r="S56" s="1">
        <f ca="1">控制台!$E$3614*$C56</f>
        <v>799.999999999998</v>
      </c>
      <c r="T56" s="1">
        <f ca="1" t="shared" si="5"/>
        <v>3999.99999999999</v>
      </c>
      <c r="U56" s="5">
        <f ca="1" t="shared" si="18"/>
        <v>30399.9999999999</v>
      </c>
      <c r="V56" s="1">
        <f ca="1">控制台!$E$3618*$C56</f>
        <v>300</v>
      </c>
      <c r="W56" s="1">
        <f ca="1" t="shared" si="6"/>
        <v>1500</v>
      </c>
      <c r="X56" s="5">
        <f ca="1" t="shared" si="19"/>
        <v>11400</v>
      </c>
      <c r="Y56" s="1">
        <f ca="1">控制台!$E$3622*$C56</f>
        <v>2160</v>
      </c>
      <c r="Z56" s="1">
        <f ca="1" t="shared" si="7"/>
        <v>10800</v>
      </c>
      <c r="AA56" s="5">
        <f ca="1" t="shared" si="20"/>
        <v>82080</v>
      </c>
      <c r="AB56" s="1">
        <f ca="1">控制台!$E$3626*$C56</f>
        <v>0.0192</v>
      </c>
      <c r="AC56" s="1">
        <f ca="1" t="shared" si="8"/>
        <v>0.096</v>
      </c>
      <c r="AD56" s="5">
        <f ca="1" t="shared" si="21"/>
        <v>0.7296</v>
      </c>
      <c r="AE56" s="1">
        <f ca="1">控制台!$E$3630*$C56</f>
        <v>600000</v>
      </c>
      <c r="AF56" s="1">
        <f ca="1" t="shared" si="9"/>
        <v>3000000</v>
      </c>
      <c r="AG56" s="5">
        <f ca="1" t="shared" si="22"/>
        <v>22800000</v>
      </c>
      <c r="AH56" s="1">
        <f ca="1">控制台!$E$3634*$C56</f>
        <v>400</v>
      </c>
      <c r="AI56" s="1">
        <f ca="1" t="shared" si="10"/>
        <v>2000</v>
      </c>
      <c r="AJ56" s="5">
        <f ca="1" t="shared" si="23"/>
        <v>15200</v>
      </c>
      <c r="AK56" s="1">
        <f ca="1">控制台!$E$3638*$C56</f>
        <v>150</v>
      </c>
      <c r="AL56" s="1">
        <f ca="1" t="shared" si="11"/>
        <v>750</v>
      </c>
      <c r="AM56" s="5">
        <f ca="1" t="shared" si="24"/>
        <v>5700</v>
      </c>
    </row>
    <row r="57" spans="1:39">
      <c r="A57" s="11">
        <v>60</v>
      </c>
      <c r="B57" s="1">
        <f t="shared" si="12"/>
        <v>5</v>
      </c>
      <c r="C57" s="13">
        <f ca="1">IF(A57-1&lt;0,控制台!$C$3643,OFFSET(控制台!$C$3643,MATCH(A57-1,控制台!$B$3643:$B$3648,1)-1,0))</f>
        <v>0.6</v>
      </c>
      <c r="D57" s="1">
        <f ca="1">控制台!$E$3594*$C57</f>
        <v>360</v>
      </c>
      <c r="E57" s="1">
        <f ca="1" t="shared" si="0"/>
        <v>1800</v>
      </c>
      <c r="F57" s="5">
        <f ca="1" t="shared" si="13"/>
        <v>15480</v>
      </c>
      <c r="G57" s="1">
        <f ca="1">控制台!$E$3598*$C57</f>
        <v>7200000</v>
      </c>
      <c r="H57" s="1">
        <f ca="1" t="shared" si="1"/>
        <v>36000000</v>
      </c>
      <c r="I57" s="5">
        <f ca="1" t="shared" si="14"/>
        <v>309600000</v>
      </c>
      <c r="J57" s="1">
        <f ca="1">控制台!$E$3602*$C57</f>
        <v>3456</v>
      </c>
      <c r="K57" s="1">
        <f ca="1" t="shared" si="2"/>
        <v>17280</v>
      </c>
      <c r="L57" s="5">
        <f ca="1" t="shared" si="15"/>
        <v>148608</v>
      </c>
      <c r="M57" s="1">
        <f ca="1">控制台!$E$3606*$C57</f>
        <v>12</v>
      </c>
      <c r="N57" s="1">
        <f ca="1" t="shared" si="3"/>
        <v>60</v>
      </c>
      <c r="O57" s="5">
        <f ca="1" t="shared" si="16"/>
        <v>516</v>
      </c>
      <c r="P57" s="1">
        <f ca="1">控制台!$E$3610*$C57</f>
        <v>1200000</v>
      </c>
      <c r="Q57" s="1">
        <f ca="1" t="shared" si="4"/>
        <v>6000000</v>
      </c>
      <c r="R57" s="5">
        <f ca="1" t="shared" si="17"/>
        <v>51600000</v>
      </c>
      <c r="S57" s="1">
        <f ca="1">控制台!$E$3614*$C57</f>
        <v>799.999999999998</v>
      </c>
      <c r="T57" s="1">
        <f ca="1" t="shared" si="5"/>
        <v>3999.99999999999</v>
      </c>
      <c r="U57" s="5">
        <f ca="1" t="shared" si="18"/>
        <v>34399.9999999999</v>
      </c>
      <c r="V57" s="1">
        <f ca="1">控制台!$E$3618*$C57</f>
        <v>300</v>
      </c>
      <c r="W57" s="1">
        <f ca="1" t="shared" si="6"/>
        <v>1500</v>
      </c>
      <c r="X57" s="5">
        <f ca="1" t="shared" si="19"/>
        <v>12900</v>
      </c>
      <c r="Y57" s="1">
        <f ca="1">控制台!$E$3622*$C57</f>
        <v>2160</v>
      </c>
      <c r="Z57" s="1">
        <f ca="1" t="shared" si="7"/>
        <v>10800</v>
      </c>
      <c r="AA57" s="5">
        <f ca="1" t="shared" si="20"/>
        <v>92880</v>
      </c>
      <c r="AB57" s="1">
        <f ca="1">控制台!$E$3626*$C57</f>
        <v>0.0192</v>
      </c>
      <c r="AC57" s="1">
        <f ca="1" t="shared" si="8"/>
        <v>0.096</v>
      </c>
      <c r="AD57" s="5">
        <f ca="1" t="shared" si="21"/>
        <v>0.8256</v>
      </c>
      <c r="AE57" s="1">
        <f ca="1">控制台!$E$3630*$C57</f>
        <v>600000</v>
      </c>
      <c r="AF57" s="1">
        <f ca="1" t="shared" si="9"/>
        <v>3000000</v>
      </c>
      <c r="AG57" s="5">
        <f ca="1" t="shared" si="22"/>
        <v>25800000</v>
      </c>
      <c r="AH57" s="1">
        <f ca="1">控制台!$E$3634*$C57</f>
        <v>400</v>
      </c>
      <c r="AI57" s="1">
        <f ca="1" t="shared" si="10"/>
        <v>2000</v>
      </c>
      <c r="AJ57" s="5">
        <f ca="1" t="shared" si="23"/>
        <v>17200</v>
      </c>
      <c r="AK57" s="1">
        <f ca="1">控制台!$E$3638*$C57</f>
        <v>150</v>
      </c>
      <c r="AL57" s="1">
        <f ca="1" t="shared" si="11"/>
        <v>750</v>
      </c>
      <c r="AM57" s="5">
        <f ca="1" t="shared" si="24"/>
        <v>6450</v>
      </c>
    </row>
    <row r="58" spans="1:39">
      <c r="A58" s="11">
        <v>65</v>
      </c>
      <c r="B58" s="1">
        <f t="shared" si="12"/>
        <v>5</v>
      </c>
      <c r="C58" s="13">
        <f ca="1">IF(A58-1&lt;0,控制台!$C$3643,OFFSET(控制台!$C$3643,MATCH(A58-1,控制台!$B$3643:$B$3648,1)-1,0))</f>
        <v>0.8</v>
      </c>
      <c r="D58" s="1">
        <f ca="1">控制台!$E$3594*$C58</f>
        <v>480</v>
      </c>
      <c r="E58" s="1">
        <f ca="1" t="shared" si="0"/>
        <v>2400</v>
      </c>
      <c r="F58" s="5">
        <f ca="1" t="shared" si="13"/>
        <v>17880</v>
      </c>
      <c r="G58" s="1">
        <f ca="1">控制台!$E$3598*$C58</f>
        <v>9600000</v>
      </c>
      <c r="H58" s="1">
        <f ca="1" t="shared" si="1"/>
        <v>48000000</v>
      </c>
      <c r="I58" s="5">
        <f ca="1" t="shared" si="14"/>
        <v>357600000</v>
      </c>
      <c r="J58" s="1">
        <f ca="1">控制台!$E$3602*$C58</f>
        <v>4608</v>
      </c>
      <c r="K58" s="1">
        <f ca="1" t="shared" si="2"/>
        <v>23040</v>
      </c>
      <c r="L58" s="5">
        <f ca="1" t="shared" si="15"/>
        <v>171648</v>
      </c>
      <c r="M58" s="1">
        <f ca="1">控制台!$E$3606*$C58</f>
        <v>16</v>
      </c>
      <c r="N58" s="1">
        <f ca="1" t="shared" si="3"/>
        <v>80</v>
      </c>
      <c r="O58" s="5">
        <f ca="1" t="shared" si="16"/>
        <v>596</v>
      </c>
      <c r="P58" s="1">
        <f ca="1">控制台!$E$3610*$C58</f>
        <v>1600000</v>
      </c>
      <c r="Q58" s="1">
        <f ca="1" t="shared" si="4"/>
        <v>8000000</v>
      </c>
      <c r="R58" s="5">
        <f ca="1" t="shared" si="17"/>
        <v>59600000</v>
      </c>
      <c r="S58" s="1">
        <f ca="1">控制台!$E$3614*$C58</f>
        <v>1066.66666666666</v>
      </c>
      <c r="T58" s="1">
        <f ca="1" t="shared" si="5"/>
        <v>5333.33333333332</v>
      </c>
      <c r="U58" s="5">
        <f ca="1" t="shared" si="18"/>
        <v>39733.3333333332</v>
      </c>
      <c r="V58" s="1">
        <f ca="1">控制台!$E$3618*$C58</f>
        <v>400</v>
      </c>
      <c r="W58" s="1">
        <f ca="1" t="shared" si="6"/>
        <v>2000</v>
      </c>
      <c r="X58" s="5">
        <f ca="1" t="shared" si="19"/>
        <v>14900</v>
      </c>
      <c r="Y58" s="1">
        <f ca="1">控制台!$E$3622*$C58</f>
        <v>2880</v>
      </c>
      <c r="Z58" s="1">
        <f ca="1" t="shared" si="7"/>
        <v>14400</v>
      </c>
      <c r="AA58" s="5">
        <f ca="1" t="shared" si="20"/>
        <v>107280</v>
      </c>
      <c r="AB58" s="1">
        <f ca="1">控制台!$E$3626*$C58</f>
        <v>0.0256</v>
      </c>
      <c r="AC58" s="1">
        <f ca="1" t="shared" si="8"/>
        <v>0.128</v>
      </c>
      <c r="AD58" s="5">
        <f ca="1" t="shared" si="21"/>
        <v>0.9536</v>
      </c>
      <c r="AE58" s="1">
        <f ca="1">控制台!$E$3630*$C58</f>
        <v>800000</v>
      </c>
      <c r="AF58" s="1">
        <f ca="1" t="shared" si="9"/>
        <v>4000000</v>
      </c>
      <c r="AG58" s="5">
        <f ca="1" t="shared" si="22"/>
        <v>29800000</v>
      </c>
      <c r="AH58" s="1">
        <f ca="1">控制台!$E$3634*$C58</f>
        <v>533.333333333334</v>
      </c>
      <c r="AI58" s="1">
        <f ca="1" t="shared" si="10"/>
        <v>2666.66666666667</v>
      </c>
      <c r="AJ58" s="5">
        <f ca="1" t="shared" si="23"/>
        <v>19866.6666666667</v>
      </c>
      <c r="AK58" s="1">
        <f ca="1">控制台!$E$3638*$C58</f>
        <v>200</v>
      </c>
      <c r="AL58" s="1">
        <f ca="1" t="shared" si="11"/>
        <v>1000</v>
      </c>
      <c r="AM58" s="5">
        <f ca="1" t="shared" si="24"/>
        <v>7450</v>
      </c>
    </row>
    <row r="59" spans="1:39">
      <c r="A59" s="11">
        <v>70</v>
      </c>
      <c r="B59" s="1">
        <f t="shared" si="12"/>
        <v>5</v>
      </c>
      <c r="C59" s="13">
        <f ca="1">IF(A59-1&lt;0,控制台!$C$3643,OFFSET(控制台!$C$3643,MATCH(A59-1,控制台!$B$3643:$B$3648,1)-1,0))</f>
        <v>0.8</v>
      </c>
      <c r="D59" s="1">
        <f ca="1">控制台!$E$3594*$C59</f>
        <v>480</v>
      </c>
      <c r="E59" s="1">
        <f ca="1" t="shared" si="0"/>
        <v>2400</v>
      </c>
      <c r="F59" s="5">
        <f ca="1" t="shared" si="13"/>
        <v>20280</v>
      </c>
      <c r="G59" s="1">
        <f ca="1">控制台!$E$3598*$C59</f>
        <v>9600000</v>
      </c>
      <c r="H59" s="1">
        <f ca="1" t="shared" si="1"/>
        <v>48000000</v>
      </c>
      <c r="I59" s="5">
        <f ca="1" t="shared" si="14"/>
        <v>405600000</v>
      </c>
      <c r="J59" s="1">
        <f ca="1">控制台!$E$3602*$C59</f>
        <v>4608</v>
      </c>
      <c r="K59" s="1">
        <f ca="1" t="shared" si="2"/>
        <v>23040</v>
      </c>
      <c r="L59" s="5">
        <f ca="1" t="shared" si="15"/>
        <v>194688</v>
      </c>
      <c r="M59" s="1">
        <f ca="1">控制台!$E$3606*$C59</f>
        <v>16</v>
      </c>
      <c r="N59" s="1">
        <f ca="1" t="shared" si="3"/>
        <v>80</v>
      </c>
      <c r="O59" s="5">
        <f ca="1" t="shared" si="16"/>
        <v>676</v>
      </c>
      <c r="P59" s="1">
        <f ca="1">控制台!$E$3610*$C59</f>
        <v>1600000</v>
      </c>
      <c r="Q59" s="1">
        <f ca="1" t="shared" si="4"/>
        <v>8000000</v>
      </c>
      <c r="R59" s="5">
        <f ca="1" t="shared" si="17"/>
        <v>67600000</v>
      </c>
      <c r="S59" s="1">
        <f ca="1">控制台!$E$3614*$C59</f>
        <v>1066.66666666666</v>
      </c>
      <c r="T59" s="1">
        <f ca="1" t="shared" si="5"/>
        <v>5333.33333333332</v>
      </c>
      <c r="U59" s="5">
        <f ca="1" t="shared" si="18"/>
        <v>45066.6666666666</v>
      </c>
      <c r="V59" s="1">
        <f ca="1">控制台!$E$3618*$C59</f>
        <v>400</v>
      </c>
      <c r="W59" s="1">
        <f ca="1" t="shared" si="6"/>
        <v>2000</v>
      </c>
      <c r="X59" s="5">
        <f ca="1" t="shared" si="19"/>
        <v>16900</v>
      </c>
      <c r="Y59" s="1">
        <f ca="1">控制台!$E$3622*$C59</f>
        <v>2880</v>
      </c>
      <c r="Z59" s="1">
        <f ca="1" t="shared" si="7"/>
        <v>14400</v>
      </c>
      <c r="AA59" s="5">
        <f ca="1" t="shared" si="20"/>
        <v>121680</v>
      </c>
      <c r="AB59" s="1">
        <f ca="1">控制台!$E$3626*$C59</f>
        <v>0.0256</v>
      </c>
      <c r="AC59" s="1">
        <f ca="1" t="shared" si="8"/>
        <v>0.128</v>
      </c>
      <c r="AD59" s="5">
        <f ca="1" t="shared" si="21"/>
        <v>1.0816</v>
      </c>
      <c r="AE59" s="1">
        <f ca="1">控制台!$E$3630*$C59</f>
        <v>800000</v>
      </c>
      <c r="AF59" s="1">
        <f ca="1" t="shared" si="9"/>
        <v>4000000</v>
      </c>
      <c r="AG59" s="5">
        <f ca="1" t="shared" si="22"/>
        <v>33800000</v>
      </c>
      <c r="AH59" s="1">
        <f ca="1">控制台!$E$3634*$C59</f>
        <v>533.333333333334</v>
      </c>
      <c r="AI59" s="1">
        <f ca="1" t="shared" si="10"/>
        <v>2666.66666666667</v>
      </c>
      <c r="AJ59" s="5">
        <f ca="1" t="shared" si="23"/>
        <v>22533.3333333333</v>
      </c>
      <c r="AK59" s="1">
        <f ca="1">控制台!$E$3638*$C59</f>
        <v>200</v>
      </c>
      <c r="AL59" s="1">
        <f ca="1" t="shared" si="11"/>
        <v>1000</v>
      </c>
      <c r="AM59" s="5">
        <f ca="1" t="shared" si="24"/>
        <v>8450</v>
      </c>
    </row>
    <row r="60" spans="1:39">
      <c r="A60" s="11">
        <v>75</v>
      </c>
      <c r="B60" s="1">
        <f t="shared" si="12"/>
        <v>5</v>
      </c>
      <c r="C60" s="13">
        <f ca="1">IF(A60-1&lt;0,控制台!$C$3643,OFFSET(控制台!$C$3643,MATCH(A60-1,控制台!$B$3643:$B$3648,1)-1,0))</f>
        <v>0.8</v>
      </c>
      <c r="D60" s="1">
        <f ca="1">控制台!$E$3594*$C60</f>
        <v>480</v>
      </c>
      <c r="E60" s="1">
        <f ca="1" t="shared" si="0"/>
        <v>2400</v>
      </c>
      <c r="F60" s="5">
        <f ca="1" t="shared" si="13"/>
        <v>22680</v>
      </c>
      <c r="G60" s="1">
        <f ca="1">控制台!$E$3598*$C60</f>
        <v>9600000</v>
      </c>
      <c r="H60" s="1">
        <f ca="1" t="shared" si="1"/>
        <v>48000000</v>
      </c>
      <c r="I60" s="5">
        <f ca="1" t="shared" si="14"/>
        <v>453600000</v>
      </c>
      <c r="J60" s="1">
        <f ca="1">控制台!$E$3602*$C60</f>
        <v>4608</v>
      </c>
      <c r="K60" s="1">
        <f ca="1" t="shared" si="2"/>
        <v>23040</v>
      </c>
      <c r="L60" s="5">
        <f ca="1" t="shared" si="15"/>
        <v>217728</v>
      </c>
      <c r="M60" s="1">
        <f ca="1">控制台!$E$3606*$C60</f>
        <v>16</v>
      </c>
      <c r="N60" s="1">
        <f ca="1" t="shared" si="3"/>
        <v>80</v>
      </c>
      <c r="O60" s="5">
        <f ca="1" t="shared" si="16"/>
        <v>756</v>
      </c>
      <c r="P60" s="1">
        <f ca="1">控制台!$E$3610*$C60</f>
        <v>1600000</v>
      </c>
      <c r="Q60" s="1">
        <f ca="1" t="shared" si="4"/>
        <v>8000000</v>
      </c>
      <c r="R60" s="5">
        <f ca="1" t="shared" si="17"/>
        <v>75600000</v>
      </c>
      <c r="S60" s="1">
        <f ca="1">控制台!$E$3614*$C60</f>
        <v>1066.66666666666</v>
      </c>
      <c r="T60" s="1">
        <f ca="1" t="shared" si="5"/>
        <v>5333.33333333332</v>
      </c>
      <c r="U60" s="5">
        <f ca="1" t="shared" si="18"/>
        <v>50399.9999999999</v>
      </c>
      <c r="V60" s="1">
        <f ca="1">控制台!$E$3618*$C60</f>
        <v>400</v>
      </c>
      <c r="W60" s="1">
        <f ca="1" t="shared" si="6"/>
        <v>2000</v>
      </c>
      <c r="X60" s="5">
        <f ca="1" t="shared" si="19"/>
        <v>18900</v>
      </c>
      <c r="Y60" s="1">
        <f ca="1">控制台!$E$3622*$C60</f>
        <v>2880</v>
      </c>
      <c r="Z60" s="1">
        <f ca="1" t="shared" si="7"/>
        <v>14400</v>
      </c>
      <c r="AA60" s="5">
        <f ca="1" t="shared" si="20"/>
        <v>136080</v>
      </c>
      <c r="AB60" s="1">
        <f ca="1">控制台!$E$3626*$C60</f>
        <v>0.0256</v>
      </c>
      <c r="AC60" s="1">
        <f ca="1" t="shared" si="8"/>
        <v>0.128</v>
      </c>
      <c r="AD60" s="5">
        <f ca="1" t="shared" si="21"/>
        <v>1.2096</v>
      </c>
      <c r="AE60" s="1">
        <f ca="1">控制台!$E$3630*$C60</f>
        <v>800000</v>
      </c>
      <c r="AF60" s="1">
        <f ca="1" t="shared" si="9"/>
        <v>4000000</v>
      </c>
      <c r="AG60" s="5">
        <f ca="1" t="shared" si="22"/>
        <v>37800000</v>
      </c>
      <c r="AH60" s="1">
        <f ca="1">控制台!$E$3634*$C60</f>
        <v>533.333333333334</v>
      </c>
      <c r="AI60" s="1">
        <f ca="1" t="shared" si="10"/>
        <v>2666.66666666667</v>
      </c>
      <c r="AJ60" s="5">
        <f ca="1" t="shared" si="23"/>
        <v>25200</v>
      </c>
      <c r="AK60" s="1">
        <f ca="1">控制台!$E$3638*$C60</f>
        <v>200</v>
      </c>
      <c r="AL60" s="1">
        <f ca="1" t="shared" si="11"/>
        <v>1000</v>
      </c>
      <c r="AM60" s="5">
        <f ca="1" t="shared" si="24"/>
        <v>9450</v>
      </c>
    </row>
    <row r="61" spans="1:39">
      <c r="A61" s="11">
        <v>80</v>
      </c>
      <c r="B61" s="1">
        <f t="shared" si="12"/>
        <v>5</v>
      </c>
      <c r="C61" s="13">
        <f ca="1">IF(A61-1&lt;0,控制台!$C$3643,OFFSET(控制台!$C$3643,MATCH(A61-1,控制台!$B$3643:$B$3648,1)-1,0))</f>
        <v>0.8</v>
      </c>
      <c r="D61" s="1">
        <f ca="1">控制台!$E$3594*$C61</f>
        <v>480</v>
      </c>
      <c r="E61" s="1">
        <f ca="1" t="shared" si="0"/>
        <v>2400</v>
      </c>
      <c r="F61" s="5">
        <f ca="1" t="shared" si="13"/>
        <v>25080</v>
      </c>
      <c r="G61" s="1">
        <f ca="1">控制台!$E$3598*$C61</f>
        <v>9600000</v>
      </c>
      <c r="H61" s="1">
        <f ca="1" t="shared" si="1"/>
        <v>48000000</v>
      </c>
      <c r="I61" s="5">
        <f ca="1" t="shared" si="14"/>
        <v>501600000</v>
      </c>
      <c r="J61" s="1">
        <f ca="1">控制台!$E$3602*$C61</f>
        <v>4608</v>
      </c>
      <c r="K61" s="1">
        <f ca="1" t="shared" si="2"/>
        <v>23040</v>
      </c>
      <c r="L61" s="5">
        <f ca="1" t="shared" si="15"/>
        <v>240768</v>
      </c>
      <c r="M61" s="1">
        <f ca="1">控制台!$E$3606*$C61</f>
        <v>16</v>
      </c>
      <c r="N61" s="1">
        <f ca="1" t="shared" si="3"/>
        <v>80</v>
      </c>
      <c r="O61" s="5">
        <f ca="1" t="shared" si="16"/>
        <v>836</v>
      </c>
      <c r="P61" s="1">
        <f ca="1">控制台!$E$3610*$C61</f>
        <v>1600000</v>
      </c>
      <c r="Q61" s="1">
        <f ca="1" t="shared" si="4"/>
        <v>8000000</v>
      </c>
      <c r="R61" s="5">
        <f ca="1" t="shared" si="17"/>
        <v>83600000</v>
      </c>
      <c r="S61" s="1">
        <f ca="1">控制台!$E$3614*$C61</f>
        <v>1066.66666666666</v>
      </c>
      <c r="T61" s="1">
        <f ca="1" t="shared" si="5"/>
        <v>5333.33333333332</v>
      </c>
      <c r="U61" s="5">
        <f ca="1" t="shared" si="18"/>
        <v>55733.3333333332</v>
      </c>
      <c r="V61" s="1">
        <f ca="1">控制台!$E$3618*$C61</f>
        <v>400</v>
      </c>
      <c r="W61" s="1">
        <f ca="1" t="shared" si="6"/>
        <v>2000</v>
      </c>
      <c r="X61" s="5">
        <f ca="1" t="shared" si="19"/>
        <v>20900</v>
      </c>
      <c r="Y61" s="1">
        <f ca="1">控制台!$E$3622*$C61</f>
        <v>2880</v>
      </c>
      <c r="Z61" s="1">
        <f ca="1" t="shared" si="7"/>
        <v>14400</v>
      </c>
      <c r="AA61" s="5">
        <f ca="1" t="shared" si="20"/>
        <v>150480</v>
      </c>
      <c r="AB61" s="1">
        <f ca="1">控制台!$E$3626*$C61</f>
        <v>0.0256</v>
      </c>
      <c r="AC61" s="1">
        <f ca="1" t="shared" si="8"/>
        <v>0.128</v>
      </c>
      <c r="AD61" s="5">
        <f ca="1" t="shared" si="21"/>
        <v>1.3376</v>
      </c>
      <c r="AE61" s="1">
        <f ca="1">控制台!$E$3630*$C61</f>
        <v>800000</v>
      </c>
      <c r="AF61" s="1">
        <f ca="1" t="shared" si="9"/>
        <v>4000000</v>
      </c>
      <c r="AG61" s="5">
        <f ca="1" t="shared" si="22"/>
        <v>41800000</v>
      </c>
      <c r="AH61" s="1">
        <f ca="1">控制台!$E$3634*$C61</f>
        <v>533.333333333334</v>
      </c>
      <c r="AI61" s="1">
        <f ca="1" t="shared" si="10"/>
        <v>2666.66666666667</v>
      </c>
      <c r="AJ61" s="5">
        <f ca="1" t="shared" si="23"/>
        <v>27866.6666666667</v>
      </c>
      <c r="AK61" s="1">
        <f ca="1">控制台!$E$3638*$C61</f>
        <v>200</v>
      </c>
      <c r="AL61" s="1">
        <f ca="1" t="shared" si="11"/>
        <v>1000</v>
      </c>
      <c r="AM61" s="5">
        <f ca="1" t="shared" si="24"/>
        <v>10450</v>
      </c>
    </row>
    <row r="62" spans="1:39">
      <c r="A62" s="11">
        <v>85</v>
      </c>
      <c r="B62" s="1">
        <f t="shared" si="12"/>
        <v>5</v>
      </c>
      <c r="C62" s="13">
        <f ca="1">IF(A62-1&lt;0,控制台!$C$3643,OFFSET(控制台!$C$3643,MATCH(A62-1,控制台!$B$3643:$B$3648,1)-1,0))</f>
        <v>0.8</v>
      </c>
      <c r="D62" s="1">
        <f ca="1">控制台!$E$3594*$C62</f>
        <v>480</v>
      </c>
      <c r="E62" s="1">
        <f ca="1" t="shared" si="0"/>
        <v>2400</v>
      </c>
      <c r="F62" s="5">
        <f ca="1" t="shared" si="13"/>
        <v>27480</v>
      </c>
      <c r="G62" s="1">
        <f ca="1">控制台!$E$3598*$C62</f>
        <v>9600000</v>
      </c>
      <c r="H62" s="1">
        <f ca="1" t="shared" si="1"/>
        <v>48000000</v>
      </c>
      <c r="I62" s="5">
        <f ca="1" t="shared" si="14"/>
        <v>549600000</v>
      </c>
      <c r="J62" s="1">
        <f ca="1">控制台!$E$3602*$C62</f>
        <v>4608</v>
      </c>
      <c r="K62" s="1">
        <f ca="1" t="shared" si="2"/>
        <v>23040</v>
      </c>
      <c r="L62" s="5">
        <f ca="1" t="shared" si="15"/>
        <v>263808</v>
      </c>
      <c r="M62" s="1">
        <f ca="1">控制台!$E$3606*$C62</f>
        <v>16</v>
      </c>
      <c r="N62" s="1">
        <f ca="1" t="shared" si="3"/>
        <v>80</v>
      </c>
      <c r="O62" s="5">
        <f ca="1" t="shared" si="16"/>
        <v>916</v>
      </c>
      <c r="P62" s="1">
        <f ca="1">控制台!$E$3610*$C62</f>
        <v>1600000</v>
      </c>
      <c r="Q62" s="1">
        <f ca="1" t="shared" si="4"/>
        <v>8000000</v>
      </c>
      <c r="R62" s="5">
        <f ca="1" t="shared" si="17"/>
        <v>91600000</v>
      </c>
      <c r="S62" s="1">
        <f ca="1">控制台!$E$3614*$C62</f>
        <v>1066.66666666666</v>
      </c>
      <c r="T62" s="1">
        <f ca="1" t="shared" si="5"/>
        <v>5333.33333333332</v>
      </c>
      <c r="U62" s="5">
        <f ca="1" t="shared" si="18"/>
        <v>61066.6666666665</v>
      </c>
      <c r="V62" s="1">
        <f ca="1">控制台!$E$3618*$C62</f>
        <v>400</v>
      </c>
      <c r="W62" s="1">
        <f ca="1" t="shared" si="6"/>
        <v>2000</v>
      </c>
      <c r="X62" s="5">
        <f ca="1" t="shared" si="19"/>
        <v>22900</v>
      </c>
      <c r="Y62" s="1">
        <f ca="1">控制台!$E$3622*$C62</f>
        <v>2880</v>
      </c>
      <c r="Z62" s="1">
        <f ca="1" t="shared" si="7"/>
        <v>14400</v>
      </c>
      <c r="AA62" s="5">
        <f ca="1" t="shared" si="20"/>
        <v>164880</v>
      </c>
      <c r="AB62" s="1">
        <f ca="1">控制台!$E$3626*$C62</f>
        <v>0.0256</v>
      </c>
      <c r="AC62" s="1">
        <f ca="1" t="shared" si="8"/>
        <v>0.128</v>
      </c>
      <c r="AD62" s="5">
        <f ca="1" t="shared" si="21"/>
        <v>1.4656</v>
      </c>
      <c r="AE62" s="1">
        <f ca="1">控制台!$E$3630*$C62</f>
        <v>800000</v>
      </c>
      <c r="AF62" s="1">
        <f ca="1" t="shared" si="9"/>
        <v>4000000</v>
      </c>
      <c r="AG62" s="5">
        <f ca="1" t="shared" si="22"/>
        <v>45800000</v>
      </c>
      <c r="AH62" s="1">
        <f ca="1">控制台!$E$3634*$C62</f>
        <v>533.333333333334</v>
      </c>
      <c r="AI62" s="1">
        <f ca="1" t="shared" si="10"/>
        <v>2666.66666666667</v>
      </c>
      <c r="AJ62" s="5">
        <f ca="1" t="shared" si="23"/>
        <v>30533.3333333333</v>
      </c>
      <c r="AK62" s="1">
        <f ca="1">控制台!$E$3638*$C62</f>
        <v>200</v>
      </c>
      <c r="AL62" s="1">
        <f ca="1" t="shared" si="11"/>
        <v>1000</v>
      </c>
      <c r="AM62" s="5">
        <f ca="1" t="shared" si="24"/>
        <v>11450</v>
      </c>
    </row>
    <row r="63" spans="1:39">
      <c r="A63" s="11">
        <v>90</v>
      </c>
      <c r="B63" s="1">
        <f t="shared" si="12"/>
        <v>5</v>
      </c>
      <c r="C63" s="13">
        <f ca="1">IF(A63-1&lt;0,控制台!$C$3643,OFFSET(控制台!$C$3643,MATCH(A63-1,控制台!$B$3643:$B$3648,1)-1,0))</f>
        <v>0.8</v>
      </c>
      <c r="D63" s="1">
        <f ca="1">控制台!$E$3594*$C63</f>
        <v>480</v>
      </c>
      <c r="E63" s="1">
        <f ca="1" t="shared" si="0"/>
        <v>2400</v>
      </c>
      <c r="F63" s="5">
        <f ca="1" t="shared" si="13"/>
        <v>29880</v>
      </c>
      <c r="G63" s="1">
        <f ca="1">控制台!$E$3598*$C63</f>
        <v>9600000</v>
      </c>
      <c r="H63" s="1">
        <f ca="1" t="shared" si="1"/>
        <v>48000000</v>
      </c>
      <c r="I63" s="5">
        <f ca="1" t="shared" si="14"/>
        <v>597600000</v>
      </c>
      <c r="J63" s="1">
        <f ca="1">控制台!$E$3602*$C63</f>
        <v>4608</v>
      </c>
      <c r="K63" s="1">
        <f ca="1" t="shared" si="2"/>
        <v>23040</v>
      </c>
      <c r="L63" s="5">
        <f ca="1" t="shared" si="15"/>
        <v>286848</v>
      </c>
      <c r="M63" s="1">
        <f ca="1">控制台!$E$3606*$C63</f>
        <v>16</v>
      </c>
      <c r="N63" s="1">
        <f ca="1" t="shared" si="3"/>
        <v>80</v>
      </c>
      <c r="O63" s="5">
        <f ca="1" t="shared" si="16"/>
        <v>996</v>
      </c>
      <c r="P63" s="1">
        <f ca="1">控制台!$E$3610*$C63</f>
        <v>1600000</v>
      </c>
      <c r="Q63" s="1">
        <f ca="1" t="shared" si="4"/>
        <v>8000000</v>
      </c>
      <c r="R63" s="5">
        <f ca="1" t="shared" si="17"/>
        <v>99600000</v>
      </c>
      <c r="S63" s="1">
        <f ca="1">控制台!$E$3614*$C63</f>
        <v>1066.66666666666</v>
      </c>
      <c r="T63" s="1">
        <f ca="1" t="shared" si="5"/>
        <v>5333.33333333332</v>
      </c>
      <c r="U63" s="5">
        <f ca="1" t="shared" si="18"/>
        <v>66399.9999999998</v>
      </c>
      <c r="V63" s="1">
        <f ca="1">控制台!$E$3618*$C63</f>
        <v>400</v>
      </c>
      <c r="W63" s="1">
        <f ca="1" t="shared" si="6"/>
        <v>2000</v>
      </c>
      <c r="X63" s="5">
        <f ca="1" t="shared" si="19"/>
        <v>24900</v>
      </c>
      <c r="Y63" s="1">
        <f ca="1">控制台!$E$3622*$C63</f>
        <v>2880</v>
      </c>
      <c r="Z63" s="1">
        <f ca="1" t="shared" si="7"/>
        <v>14400</v>
      </c>
      <c r="AA63" s="5">
        <f ca="1" t="shared" si="20"/>
        <v>179280</v>
      </c>
      <c r="AB63" s="1">
        <f ca="1">控制台!$E$3626*$C63</f>
        <v>0.0256</v>
      </c>
      <c r="AC63" s="1">
        <f ca="1" t="shared" si="8"/>
        <v>0.128</v>
      </c>
      <c r="AD63" s="5">
        <f ca="1" t="shared" si="21"/>
        <v>1.5936</v>
      </c>
      <c r="AE63" s="1">
        <f ca="1">控制台!$E$3630*$C63</f>
        <v>800000</v>
      </c>
      <c r="AF63" s="1">
        <f ca="1" t="shared" si="9"/>
        <v>4000000</v>
      </c>
      <c r="AG63" s="5">
        <f ca="1" t="shared" si="22"/>
        <v>49800000</v>
      </c>
      <c r="AH63" s="1">
        <f ca="1">控制台!$E$3634*$C63</f>
        <v>533.333333333334</v>
      </c>
      <c r="AI63" s="1">
        <f ca="1" t="shared" si="10"/>
        <v>2666.66666666667</v>
      </c>
      <c r="AJ63" s="5">
        <f ca="1" t="shared" si="23"/>
        <v>33200</v>
      </c>
      <c r="AK63" s="1">
        <f ca="1">控制台!$E$3638*$C63</f>
        <v>200</v>
      </c>
      <c r="AL63" s="1">
        <f ca="1" t="shared" si="11"/>
        <v>1000</v>
      </c>
      <c r="AM63" s="5">
        <f ca="1" t="shared" si="24"/>
        <v>12450</v>
      </c>
    </row>
    <row r="64" spans="1:39">
      <c r="A64" s="11">
        <v>95</v>
      </c>
      <c r="B64" s="1">
        <f t="shared" si="12"/>
        <v>5</v>
      </c>
      <c r="C64" s="13">
        <f ca="1">IF(A64-1&lt;0,控制台!$C$3643,OFFSET(控制台!$C$3643,MATCH(A64-1,控制台!$B$3643:$B$3648,1)-1,0))</f>
        <v>0.8</v>
      </c>
      <c r="D64" s="1">
        <f ca="1">控制台!$E$3594*$C64</f>
        <v>480</v>
      </c>
      <c r="E64" s="1">
        <f ca="1" t="shared" si="0"/>
        <v>2400</v>
      </c>
      <c r="F64" s="5">
        <f ca="1" t="shared" si="13"/>
        <v>32280</v>
      </c>
      <c r="G64" s="1">
        <f ca="1">控制台!$E$3598*$C64</f>
        <v>9600000</v>
      </c>
      <c r="H64" s="1">
        <f ca="1" t="shared" si="1"/>
        <v>48000000</v>
      </c>
      <c r="I64" s="5">
        <f ca="1" t="shared" si="14"/>
        <v>645600000</v>
      </c>
      <c r="J64" s="1">
        <f ca="1">控制台!$E$3602*$C64</f>
        <v>4608</v>
      </c>
      <c r="K64" s="1">
        <f ca="1" t="shared" si="2"/>
        <v>23040</v>
      </c>
      <c r="L64" s="5">
        <f ca="1" t="shared" si="15"/>
        <v>309888</v>
      </c>
      <c r="M64" s="1">
        <f ca="1">控制台!$E$3606*$C64</f>
        <v>16</v>
      </c>
      <c r="N64" s="1">
        <f ca="1" t="shared" si="3"/>
        <v>80</v>
      </c>
      <c r="O64" s="5">
        <f ca="1" t="shared" si="16"/>
        <v>1076</v>
      </c>
      <c r="P64" s="1">
        <f ca="1">控制台!$E$3610*$C64</f>
        <v>1600000</v>
      </c>
      <c r="Q64" s="1">
        <f ca="1" t="shared" si="4"/>
        <v>8000000</v>
      </c>
      <c r="R64" s="5">
        <f ca="1" t="shared" si="17"/>
        <v>107600000</v>
      </c>
      <c r="S64" s="1">
        <f ca="1">控制台!$E$3614*$C64</f>
        <v>1066.66666666666</v>
      </c>
      <c r="T64" s="1">
        <f ca="1" t="shared" si="5"/>
        <v>5333.33333333332</v>
      </c>
      <c r="U64" s="5">
        <f ca="1" t="shared" si="18"/>
        <v>71733.3333333332</v>
      </c>
      <c r="V64" s="1">
        <f ca="1">控制台!$E$3618*$C64</f>
        <v>400</v>
      </c>
      <c r="W64" s="1">
        <f ca="1" t="shared" si="6"/>
        <v>2000</v>
      </c>
      <c r="X64" s="5">
        <f ca="1" t="shared" si="19"/>
        <v>26900</v>
      </c>
      <c r="Y64" s="1">
        <f ca="1">控制台!$E$3622*$C64</f>
        <v>2880</v>
      </c>
      <c r="Z64" s="1">
        <f ca="1" t="shared" si="7"/>
        <v>14400</v>
      </c>
      <c r="AA64" s="5">
        <f ca="1" t="shared" si="20"/>
        <v>193680</v>
      </c>
      <c r="AB64" s="1">
        <f ca="1">控制台!$E$3626*$C64</f>
        <v>0.0256</v>
      </c>
      <c r="AC64" s="1">
        <f ca="1" t="shared" si="8"/>
        <v>0.128</v>
      </c>
      <c r="AD64" s="5">
        <f ca="1" t="shared" si="21"/>
        <v>1.7216</v>
      </c>
      <c r="AE64" s="1">
        <f ca="1">控制台!$E$3630*$C64</f>
        <v>800000</v>
      </c>
      <c r="AF64" s="1">
        <f ca="1" t="shared" si="9"/>
        <v>4000000</v>
      </c>
      <c r="AG64" s="5">
        <f ca="1" t="shared" si="22"/>
        <v>53800000</v>
      </c>
      <c r="AH64" s="1">
        <f ca="1">控制台!$E$3634*$C64</f>
        <v>533.333333333334</v>
      </c>
      <c r="AI64" s="1">
        <f ca="1" t="shared" si="10"/>
        <v>2666.66666666667</v>
      </c>
      <c r="AJ64" s="5">
        <f ca="1" t="shared" si="23"/>
        <v>35866.6666666667</v>
      </c>
      <c r="AK64" s="1">
        <f ca="1">控制台!$E$3638*$C64</f>
        <v>200</v>
      </c>
      <c r="AL64" s="1">
        <f ca="1" t="shared" si="11"/>
        <v>1000</v>
      </c>
      <c r="AM64" s="5">
        <f ca="1" t="shared" si="24"/>
        <v>13450</v>
      </c>
    </row>
    <row r="65" spans="1:39">
      <c r="A65" s="11">
        <v>100</v>
      </c>
      <c r="B65" s="1">
        <f t="shared" si="12"/>
        <v>5</v>
      </c>
      <c r="C65" s="13">
        <f ca="1">IF(A65-1&lt;0,控制台!$C$3643,OFFSET(控制台!$C$3643,MATCH(A65-1,控制台!$B$3643:$B$3648,1)-1,0))</f>
        <v>0.8</v>
      </c>
      <c r="D65" s="1">
        <f ca="1">控制台!$E$3594*$C65</f>
        <v>480</v>
      </c>
      <c r="E65" s="1">
        <f ca="1" t="shared" si="0"/>
        <v>2400</v>
      </c>
      <c r="F65" s="5">
        <f ca="1" t="shared" si="13"/>
        <v>34680</v>
      </c>
      <c r="G65" s="1">
        <f ca="1">控制台!$E$3598*$C65</f>
        <v>9600000</v>
      </c>
      <c r="H65" s="1">
        <f ca="1" t="shared" si="1"/>
        <v>48000000</v>
      </c>
      <c r="I65" s="5">
        <f ca="1" t="shared" si="14"/>
        <v>693600000</v>
      </c>
      <c r="J65" s="1">
        <f ca="1">控制台!$E$3602*$C65</f>
        <v>4608</v>
      </c>
      <c r="K65" s="1">
        <f ca="1" t="shared" si="2"/>
        <v>23040</v>
      </c>
      <c r="L65" s="5">
        <f ca="1" t="shared" si="15"/>
        <v>332928</v>
      </c>
      <c r="M65" s="1">
        <f ca="1">控制台!$E$3606*$C65</f>
        <v>16</v>
      </c>
      <c r="N65" s="1">
        <f ca="1" t="shared" si="3"/>
        <v>80</v>
      </c>
      <c r="O65" s="5">
        <f ca="1" t="shared" si="16"/>
        <v>1156</v>
      </c>
      <c r="P65" s="1">
        <f ca="1">控制台!$E$3610*$C65</f>
        <v>1600000</v>
      </c>
      <c r="Q65" s="1">
        <f ca="1" t="shared" si="4"/>
        <v>8000000</v>
      </c>
      <c r="R65" s="5">
        <f ca="1" t="shared" si="17"/>
        <v>115600000</v>
      </c>
      <c r="S65" s="1">
        <f ca="1">控制台!$E$3614*$C65</f>
        <v>1066.66666666666</v>
      </c>
      <c r="T65" s="1">
        <f ca="1" t="shared" si="5"/>
        <v>5333.33333333332</v>
      </c>
      <c r="U65" s="5">
        <f ca="1" t="shared" si="18"/>
        <v>77066.6666666665</v>
      </c>
      <c r="V65" s="1">
        <f ca="1">控制台!$E$3618*$C65</f>
        <v>400</v>
      </c>
      <c r="W65" s="1">
        <f ca="1" t="shared" si="6"/>
        <v>2000</v>
      </c>
      <c r="X65" s="5">
        <f ca="1" t="shared" si="19"/>
        <v>28900</v>
      </c>
      <c r="Y65" s="1">
        <f ca="1">控制台!$E$3622*$C65</f>
        <v>2880</v>
      </c>
      <c r="Z65" s="1">
        <f ca="1" t="shared" si="7"/>
        <v>14400</v>
      </c>
      <c r="AA65" s="5">
        <f ca="1" t="shared" si="20"/>
        <v>208080</v>
      </c>
      <c r="AB65" s="1">
        <f ca="1">控制台!$E$3626*$C65</f>
        <v>0.0256</v>
      </c>
      <c r="AC65" s="1">
        <f ca="1" t="shared" si="8"/>
        <v>0.128</v>
      </c>
      <c r="AD65" s="5">
        <f ca="1" t="shared" si="21"/>
        <v>1.8496</v>
      </c>
      <c r="AE65" s="1">
        <f ca="1">控制台!$E$3630*$C65</f>
        <v>800000</v>
      </c>
      <c r="AF65" s="1">
        <f ca="1" t="shared" si="9"/>
        <v>4000000</v>
      </c>
      <c r="AG65" s="5">
        <f ca="1" t="shared" si="22"/>
        <v>57800000</v>
      </c>
      <c r="AH65" s="1">
        <f ca="1">控制台!$E$3634*$C65</f>
        <v>533.333333333334</v>
      </c>
      <c r="AI65" s="1">
        <f ca="1" t="shared" si="10"/>
        <v>2666.66666666667</v>
      </c>
      <c r="AJ65" s="5">
        <f ca="1" t="shared" si="23"/>
        <v>38533.3333333334</v>
      </c>
      <c r="AK65" s="1">
        <f ca="1">控制台!$E$3638*$C65</f>
        <v>200</v>
      </c>
      <c r="AL65" s="1">
        <f ca="1" t="shared" si="11"/>
        <v>1000</v>
      </c>
      <c r="AM65" s="5">
        <f ca="1" t="shared" si="24"/>
        <v>14450</v>
      </c>
    </row>
    <row r="66" spans="1:39">
      <c r="A66" s="11">
        <v>105</v>
      </c>
      <c r="B66" s="1">
        <f t="shared" si="12"/>
        <v>5</v>
      </c>
      <c r="C66" s="13">
        <f ca="1">IF(A66-1&lt;0,控制台!$C$3643,OFFSET(控制台!$C$3643,MATCH(A66-1,控制台!$B$3643:$B$3648,1)-1,0))</f>
        <v>0.8</v>
      </c>
      <c r="D66" s="1">
        <f ca="1">控制台!$E$3594*$C66</f>
        <v>480</v>
      </c>
      <c r="E66" s="1">
        <f ca="1" t="shared" si="0"/>
        <v>2400</v>
      </c>
      <c r="F66" s="5">
        <f ca="1" t="shared" si="13"/>
        <v>37080</v>
      </c>
      <c r="G66" s="1">
        <f ca="1">控制台!$E$3598*$C66</f>
        <v>9600000</v>
      </c>
      <c r="H66" s="1">
        <f ca="1" t="shared" si="1"/>
        <v>48000000</v>
      </c>
      <c r="I66" s="5">
        <f ca="1" t="shared" si="14"/>
        <v>741600000</v>
      </c>
      <c r="J66" s="1">
        <f ca="1">控制台!$E$3602*$C66</f>
        <v>4608</v>
      </c>
      <c r="K66" s="1">
        <f ca="1" t="shared" si="2"/>
        <v>23040</v>
      </c>
      <c r="L66" s="5">
        <f ca="1" t="shared" si="15"/>
        <v>355968</v>
      </c>
      <c r="M66" s="1">
        <f ca="1">控制台!$E$3606*$C66</f>
        <v>16</v>
      </c>
      <c r="N66" s="1">
        <f ca="1" t="shared" si="3"/>
        <v>80</v>
      </c>
      <c r="O66" s="5">
        <f ca="1" t="shared" si="16"/>
        <v>1236</v>
      </c>
      <c r="P66" s="1">
        <f ca="1">控制台!$E$3610*$C66</f>
        <v>1600000</v>
      </c>
      <c r="Q66" s="1">
        <f ca="1" t="shared" si="4"/>
        <v>8000000</v>
      </c>
      <c r="R66" s="5">
        <f ca="1" t="shared" si="17"/>
        <v>123600000</v>
      </c>
      <c r="S66" s="1">
        <f ca="1">控制台!$E$3614*$C66</f>
        <v>1066.66666666666</v>
      </c>
      <c r="T66" s="1">
        <f ca="1" t="shared" si="5"/>
        <v>5333.33333333332</v>
      </c>
      <c r="U66" s="5">
        <f ca="1" t="shared" si="18"/>
        <v>82399.9999999998</v>
      </c>
      <c r="V66" s="1">
        <f ca="1">控制台!$E$3618*$C66</f>
        <v>400</v>
      </c>
      <c r="W66" s="1">
        <f ca="1" t="shared" si="6"/>
        <v>2000</v>
      </c>
      <c r="X66" s="5">
        <f ca="1" t="shared" si="19"/>
        <v>30900</v>
      </c>
      <c r="Y66" s="1">
        <f ca="1">控制台!$E$3622*$C66</f>
        <v>2880</v>
      </c>
      <c r="Z66" s="1">
        <f ca="1" t="shared" si="7"/>
        <v>14400</v>
      </c>
      <c r="AA66" s="5">
        <f ca="1" t="shared" si="20"/>
        <v>222480</v>
      </c>
      <c r="AB66" s="1">
        <f ca="1">控制台!$E$3626*$C66</f>
        <v>0.0256</v>
      </c>
      <c r="AC66" s="1">
        <f ca="1" t="shared" si="8"/>
        <v>0.128</v>
      </c>
      <c r="AD66" s="5">
        <f ca="1" t="shared" si="21"/>
        <v>1.9776</v>
      </c>
      <c r="AE66" s="1">
        <f ca="1">控制台!$E$3630*$C66</f>
        <v>800000</v>
      </c>
      <c r="AF66" s="1">
        <f ca="1" t="shared" si="9"/>
        <v>4000000</v>
      </c>
      <c r="AG66" s="5">
        <f ca="1" t="shared" si="22"/>
        <v>61800000</v>
      </c>
      <c r="AH66" s="1">
        <f ca="1">控制台!$E$3634*$C66</f>
        <v>533.333333333334</v>
      </c>
      <c r="AI66" s="1">
        <f ca="1" t="shared" si="10"/>
        <v>2666.66666666667</v>
      </c>
      <c r="AJ66" s="5">
        <f ca="1" t="shared" si="23"/>
        <v>41200</v>
      </c>
      <c r="AK66" s="1">
        <f ca="1">控制台!$E$3638*$C66</f>
        <v>200</v>
      </c>
      <c r="AL66" s="1">
        <f ca="1" t="shared" si="11"/>
        <v>1000</v>
      </c>
      <c r="AM66" s="5">
        <f ca="1" t="shared" si="24"/>
        <v>15450</v>
      </c>
    </row>
    <row r="67" spans="1:39">
      <c r="A67" s="11">
        <v>110</v>
      </c>
      <c r="B67" s="1">
        <f t="shared" si="12"/>
        <v>5</v>
      </c>
      <c r="C67" s="13">
        <f ca="1">IF(A67-1&lt;0,控制台!$C$3643,OFFSET(控制台!$C$3643,MATCH(A67-1,控制台!$B$3643:$B$3648,1)-1,0))</f>
        <v>0.8</v>
      </c>
      <c r="D67" s="1">
        <f ca="1">控制台!$E$3594*$C67</f>
        <v>480</v>
      </c>
      <c r="E67" s="1">
        <f ca="1" t="shared" si="0"/>
        <v>2400</v>
      </c>
      <c r="F67" s="5">
        <f ca="1" t="shared" si="13"/>
        <v>39480</v>
      </c>
      <c r="G67" s="1">
        <f ca="1">控制台!$E$3598*$C67</f>
        <v>9600000</v>
      </c>
      <c r="H67" s="1">
        <f ca="1" t="shared" si="1"/>
        <v>48000000</v>
      </c>
      <c r="I67" s="5">
        <f ca="1" t="shared" si="14"/>
        <v>789600000</v>
      </c>
      <c r="J67" s="1">
        <f ca="1">控制台!$E$3602*$C67</f>
        <v>4608</v>
      </c>
      <c r="K67" s="1">
        <f ca="1" t="shared" si="2"/>
        <v>23040</v>
      </c>
      <c r="L67" s="5">
        <f ca="1" t="shared" si="15"/>
        <v>379008</v>
      </c>
      <c r="M67" s="1">
        <f ca="1">控制台!$E$3606*$C67</f>
        <v>16</v>
      </c>
      <c r="N67" s="1">
        <f ca="1" t="shared" si="3"/>
        <v>80</v>
      </c>
      <c r="O67" s="5">
        <f ca="1" t="shared" si="16"/>
        <v>1316</v>
      </c>
      <c r="P67" s="1">
        <f ca="1">控制台!$E$3610*$C67</f>
        <v>1600000</v>
      </c>
      <c r="Q67" s="1">
        <f ca="1" t="shared" si="4"/>
        <v>8000000</v>
      </c>
      <c r="R67" s="5">
        <f ca="1" t="shared" si="17"/>
        <v>131600000</v>
      </c>
      <c r="S67" s="1">
        <f ca="1">控制台!$E$3614*$C67</f>
        <v>1066.66666666666</v>
      </c>
      <c r="T67" s="1">
        <f ca="1" t="shared" si="5"/>
        <v>5333.33333333332</v>
      </c>
      <c r="U67" s="5">
        <f ca="1" t="shared" si="18"/>
        <v>87733.3333333331</v>
      </c>
      <c r="V67" s="1">
        <f ca="1">控制台!$E$3618*$C67</f>
        <v>400</v>
      </c>
      <c r="W67" s="1">
        <f ca="1" t="shared" si="6"/>
        <v>2000</v>
      </c>
      <c r="X67" s="5">
        <f ca="1" t="shared" si="19"/>
        <v>32900</v>
      </c>
      <c r="Y67" s="1">
        <f ca="1">控制台!$E$3622*$C67</f>
        <v>2880</v>
      </c>
      <c r="Z67" s="1">
        <f ca="1" t="shared" si="7"/>
        <v>14400</v>
      </c>
      <c r="AA67" s="5">
        <f ca="1" t="shared" si="20"/>
        <v>236880</v>
      </c>
      <c r="AB67" s="1">
        <f ca="1">控制台!$E$3626*$C67</f>
        <v>0.0256</v>
      </c>
      <c r="AC67" s="1">
        <f ca="1" t="shared" si="8"/>
        <v>0.128</v>
      </c>
      <c r="AD67" s="5">
        <f ca="1" t="shared" si="21"/>
        <v>2.1056</v>
      </c>
      <c r="AE67" s="1">
        <f ca="1">控制台!$E$3630*$C67</f>
        <v>800000</v>
      </c>
      <c r="AF67" s="1">
        <f ca="1" t="shared" si="9"/>
        <v>4000000</v>
      </c>
      <c r="AG67" s="5">
        <f ca="1" t="shared" si="22"/>
        <v>65800000</v>
      </c>
      <c r="AH67" s="1">
        <f ca="1">控制台!$E$3634*$C67</f>
        <v>533.333333333334</v>
      </c>
      <c r="AI67" s="1">
        <f ca="1" t="shared" si="10"/>
        <v>2666.66666666667</v>
      </c>
      <c r="AJ67" s="5">
        <f ca="1" t="shared" si="23"/>
        <v>43866.6666666667</v>
      </c>
      <c r="AK67" s="1">
        <f ca="1">控制台!$E$3638*$C67</f>
        <v>200</v>
      </c>
      <c r="AL67" s="1">
        <f ca="1" t="shared" si="11"/>
        <v>1000</v>
      </c>
      <c r="AM67" s="5">
        <f ca="1" t="shared" si="24"/>
        <v>16450</v>
      </c>
    </row>
    <row r="68" spans="1:39">
      <c r="A68" s="11">
        <v>115</v>
      </c>
      <c r="B68" s="1">
        <f t="shared" si="12"/>
        <v>5</v>
      </c>
      <c r="C68" s="13">
        <f ca="1">IF(A68-1&lt;0,控制台!$C$3643,OFFSET(控制台!$C$3643,MATCH(A68-1,控制台!$B$3643:$B$3648,1)-1,0))</f>
        <v>0.8</v>
      </c>
      <c r="D68" s="1">
        <f ca="1">控制台!$E$3594*$C68</f>
        <v>480</v>
      </c>
      <c r="E68" s="1">
        <f ca="1" t="shared" si="0"/>
        <v>2400</v>
      </c>
      <c r="F68" s="5">
        <f ca="1" t="shared" si="13"/>
        <v>41880</v>
      </c>
      <c r="G68" s="1">
        <f ca="1">控制台!$E$3598*$C68</f>
        <v>9600000</v>
      </c>
      <c r="H68" s="1">
        <f ca="1" t="shared" si="1"/>
        <v>48000000</v>
      </c>
      <c r="I68" s="5">
        <f ca="1" t="shared" si="14"/>
        <v>837600000</v>
      </c>
      <c r="J68" s="1">
        <f ca="1">控制台!$E$3602*$C68</f>
        <v>4608</v>
      </c>
      <c r="K68" s="1">
        <f ca="1" t="shared" si="2"/>
        <v>23040</v>
      </c>
      <c r="L68" s="5">
        <f ca="1" t="shared" si="15"/>
        <v>402048</v>
      </c>
      <c r="M68" s="1">
        <f ca="1">控制台!$E$3606*$C68</f>
        <v>16</v>
      </c>
      <c r="N68" s="1">
        <f ca="1" t="shared" si="3"/>
        <v>80</v>
      </c>
      <c r="O68" s="5">
        <f ca="1" t="shared" si="16"/>
        <v>1396</v>
      </c>
      <c r="P68" s="1">
        <f ca="1">控制台!$E$3610*$C68</f>
        <v>1600000</v>
      </c>
      <c r="Q68" s="1">
        <f ca="1" t="shared" si="4"/>
        <v>8000000</v>
      </c>
      <c r="R68" s="5">
        <f ca="1" t="shared" si="17"/>
        <v>139600000</v>
      </c>
      <c r="S68" s="1">
        <f ca="1">控制台!$E$3614*$C68</f>
        <v>1066.66666666666</v>
      </c>
      <c r="T68" s="1">
        <f ca="1" t="shared" si="5"/>
        <v>5333.33333333332</v>
      </c>
      <c r="U68" s="5">
        <f ca="1" t="shared" si="18"/>
        <v>93066.6666666664</v>
      </c>
      <c r="V68" s="1">
        <f ca="1">控制台!$E$3618*$C68</f>
        <v>400</v>
      </c>
      <c r="W68" s="1">
        <f ca="1" t="shared" si="6"/>
        <v>2000</v>
      </c>
      <c r="X68" s="5">
        <f ca="1" t="shared" si="19"/>
        <v>34900</v>
      </c>
      <c r="Y68" s="1">
        <f ca="1">控制台!$E$3622*$C68</f>
        <v>2880</v>
      </c>
      <c r="Z68" s="1">
        <f ca="1" t="shared" si="7"/>
        <v>14400</v>
      </c>
      <c r="AA68" s="5">
        <f ca="1" t="shared" si="20"/>
        <v>251280</v>
      </c>
      <c r="AB68" s="1">
        <f ca="1">控制台!$E$3626*$C68</f>
        <v>0.0256</v>
      </c>
      <c r="AC68" s="1">
        <f ca="1" t="shared" si="8"/>
        <v>0.128</v>
      </c>
      <c r="AD68" s="5">
        <f ca="1" t="shared" si="21"/>
        <v>2.2336</v>
      </c>
      <c r="AE68" s="1">
        <f ca="1">控制台!$E$3630*$C68</f>
        <v>800000</v>
      </c>
      <c r="AF68" s="1">
        <f ca="1" t="shared" si="9"/>
        <v>4000000</v>
      </c>
      <c r="AG68" s="5">
        <f ca="1" t="shared" si="22"/>
        <v>69800000</v>
      </c>
      <c r="AH68" s="1">
        <f ca="1">控制台!$E$3634*$C68</f>
        <v>533.333333333334</v>
      </c>
      <c r="AI68" s="1">
        <f ca="1" t="shared" si="10"/>
        <v>2666.66666666667</v>
      </c>
      <c r="AJ68" s="5">
        <f ca="1" t="shared" si="23"/>
        <v>46533.3333333334</v>
      </c>
      <c r="AK68" s="1">
        <f ca="1">控制台!$E$3638*$C68</f>
        <v>200</v>
      </c>
      <c r="AL68" s="1">
        <f ca="1" t="shared" si="11"/>
        <v>1000</v>
      </c>
      <c r="AM68" s="5">
        <f ca="1" t="shared" si="24"/>
        <v>17450</v>
      </c>
    </row>
    <row r="69" spans="1:39">
      <c r="A69" s="11">
        <v>120</v>
      </c>
      <c r="B69" s="1">
        <f t="shared" si="12"/>
        <v>5</v>
      </c>
      <c r="C69" s="13">
        <f ca="1">IF(A69-1&lt;0,控制台!$C$3643,OFFSET(控制台!$C$3643,MATCH(A69-1,控制台!$B$3643:$B$3648,1)-1,0))</f>
        <v>0.8</v>
      </c>
      <c r="D69" s="1">
        <f ca="1">控制台!$E$3594*$C69</f>
        <v>480</v>
      </c>
      <c r="E69" s="1">
        <f ca="1" t="shared" si="0"/>
        <v>2400</v>
      </c>
      <c r="F69" s="5">
        <f ca="1" t="shared" si="13"/>
        <v>44280</v>
      </c>
      <c r="G69" s="1">
        <f ca="1">控制台!$E$3598*$C69</f>
        <v>9600000</v>
      </c>
      <c r="H69" s="1">
        <f ca="1" t="shared" si="1"/>
        <v>48000000</v>
      </c>
      <c r="I69" s="5">
        <f ca="1" t="shared" si="14"/>
        <v>885600000</v>
      </c>
      <c r="J69" s="1">
        <f ca="1">控制台!$E$3602*$C69</f>
        <v>4608</v>
      </c>
      <c r="K69" s="1">
        <f ca="1" t="shared" si="2"/>
        <v>23040</v>
      </c>
      <c r="L69" s="5">
        <f ca="1" t="shared" si="15"/>
        <v>425088</v>
      </c>
      <c r="M69" s="1">
        <f ca="1">控制台!$E$3606*$C69</f>
        <v>16</v>
      </c>
      <c r="N69" s="1">
        <f ca="1" t="shared" si="3"/>
        <v>80</v>
      </c>
      <c r="O69" s="5">
        <f ca="1" t="shared" si="16"/>
        <v>1476</v>
      </c>
      <c r="P69" s="1">
        <f ca="1">控制台!$E$3610*$C69</f>
        <v>1600000</v>
      </c>
      <c r="Q69" s="1">
        <f ca="1" t="shared" si="4"/>
        <v>8000000</v>
      </c>
      <c r="R69" s="5">
        <f ca="1" t="shared" si="17"/>
        <v>147600000</v>
      </c>
      <c r="S69" s="1">
        <f ca="1">控制台!$E$3614*$C69</f>
        <v>1066.66666666666</v>
      </c>
      <c r="T69" s="1">
        <f ca="1" t="shared" si="5"/>
        <v>5333.33333333332</v>
      </c>
      <c r="U69" s="5">
        <f ca="1" t="shared" si="18"/>
        <v>98399.9999999997</v>
      </c>
      <c r="V69" s="1">
        <f ca="1">控制台!$E$3618*$C69</f>
        <v>400</v>
      </c>
      <c r="W69" s="1">
        <f ca="1" t="shared" si="6"/>
        <v>2000</v>
      </c>
      <c r="X69" s="5">
        <f ca="1" t="shared" si="19"/>
        <v>36900</v>
      </c>
      <c r="Y69" s="1">
        <f ca="1">控制台!$E$3622*$C69</f>
        <v>2880</v>
      </c>
      <c r="Z69" s="1">
        <f ca="1" t="shared" si="7"/>
        <v>14400</v>
      </c>
      <c r="AA69" s="5">
        <f ca="1" t="shared" si="20"/>
        <v>265680</v>
      </c>
      <c r="AB69" s="1">
        <f ca="1">控制台!$E$3626*$C69</f>
        <v>0.0256</v>
      </c>
      <c r="AC69" s="1">
        <f ca="1" t="shared" si="8"/>
        <v>0.128</v>
      </c>
      <c r="AD69" s="5">
        <f ca="1" t="shared" si="21"/>
        <v>2.3616</v>
      </c>
      <c r="AE69" s="1">
        <f ca="1">控制台!$E$3630*$C69</f>
        <v>800000</v>
      </c>
      <c r="AF69" s="1">
        <f ca="1" t="shared" si="9"/>
        <v>4000000</v>
      </c>
      <c r="AG69" s="5">
        <f ca="1" t="shared" si="22"/>
        <v>73800000</v>
      </c>
      <c r="AH69" s="1">
        <f ca="1">控制台!$E$3634*$C69</f>
        <v>533.333333333334</v>
      </c>
      <c r="AI69" s="1">
        <f ca="1" t="shared" si="10"/>
        <v>2666.66666666667</v>
      </c>
      <c r="AJ69" s="5">
        <f ca="1" t="shared" si="23"/>
        <v>49200</v>
      </c>
      <c r="AK69" s="1">
        <f ca="1">控制台!$E$3638*$C69</f>
        <v>200</v>
      </c>
      <c r="AL69" s="1">
        <f ca="1" t="shared" si="11"/>
        <v>1000</v>
      </c>
      <c r="AM69" s="5">
        <f ca="1" t="shared" si="24"/>
        <v>18450</v>
      </c>
    </row>
    <row r="70" spans="1:39">
      <c r="A70" s="12">
        <v>150</v>
      </c>
      <c r="B70" s="1">
        <f t="shared" si="12"/>
        <v>30</v>
      </c>
      <c r="C70" s="13">
        <f ca="1">IF(A70-1&lt;0,控制台!$C$3643,OFFSET(控制台!$C$3643,MATCH(A70-1,控制台!$B$3643:$B$3648,1)-1,0))</f>
        <v>1</v>
      </c>
      <c r="D70" s="1">
        <f ca="1">控制台!$E$3594*$C70</f>
        <v>600</v>
      </c>
      <c r="E70" s="1">
        <f ca="1" t="shared" si="0"/>
        <v>18000</v>
      </c>
      <c r="F70" s="5">
        <f ca="1" t="shared" si="13"/>
        <v>62280</v>
      </c>
      <c r="G70" s="1">
        <f ca="1">控制台!$E$3598*$C70</f>
        <v>12000000</v>
      </c>
      <c r="H70" s="1">
        <f ca="1" t="shared" si="1"/>
        <v>360000000</v>
      </c>
      <c r="I70" s="5">
        <f ca="1" t="shared" si="14"/>
        <v>1245600000</v>
      </c>
      <c r="J70" s="1">
        <f ca="1">控制台!$E$3602*$C70</f>
        <v>5760</v>
      </c>
      <c r="K70" s="1">
        <f ca="1" t="shared" si="2"/>
        <v>172800</v>
      </c>
      <c r="L70" s="5">
        <f ca="1" t="shared" si="15"/>
        <v>597888</v>
      </c>
      <c r="M70" s="1">
        <f ca="1">控制台!$E$3606*$C70</f>
        <v>20</v>
      </c>
      <c r="N70" s="1">
        <f ca="1" t="shared" si="3"/>
        <v>600</v>
      </c>
      <c r="O70" s="5">
        <f ca="1" t="shared" si="16"/>
        <v>2076</v>
      </c>
      <c r="P70" s="1">
        <f ca="1">控制台!$E$3610*$C70</f>
        <v>2000000</v>
      </c>
      <c r="Q70" s="1">
        <f ca="1" t="shared" si="4"/>
        <v>60000000</v>
      </c>
      <c r="R70" s="5">
        <f ca="1" t="shared" si="17"/>
        <v>207600000</v>
      </c>
      <c r="S70" s="1">
        <f ca="1">控制台!$E$3614*$C70</f>
        <v>1333.33333333333</v>
      </c>
      <c r="T70" s="1">
        <f ca="1" t="shared" si="5"/>
        <v>39999.9999999999</v>
      </c>
      <c r="U70" s="5">
        <f ca="1" t="shared" si="18"/>
        <v>138400</v>
      </c>
      <c r="V70" s="1">
        <f ca="1">控制台!$E$3618*$C70</f>
        <v>500</v>
      </c>
      <c r="W70" s="1">
        <f ca="1" t="shared" si="6"/>
        <v>15000</v>
      </c>
      <c r="X70" s="5">
        <f ca="1" t="shared" si="19"/>
        <v>51900</v>
      </c>
      <c r="Y70" s="1">
        <f ca="1">控制台!$E$3622*$C70</f>
        <v>3600</v>
      </c>
      <c r="Z70" s="1">
        <f ca="1" t="shared" si="7"/>
        <v>108000</v>
      </c>
      <c r="AA70" s="5">
        <f ca="1" t="shared" si="20"/>
        <v>373680</v>
      </c>
      <c r="AB70" s="1">
        <f ca="1">控制台!$E$3626*$C70</f>
        <v>0.032</v>
      </c>
      <c r="AC70" s="1">
        <f ca="1" t="shared" si="8"/>
        <v>0.96</v>
      </c>
      <c r="AD70" s="5">
        <f ca="1" t="shared" si="21"/>
        <v>3.3216</v>
      </c>
      <c r="AE70" s="1">
        <f ca="1">控制台!$E$3630*$C70</f>
        <v>1000000</v>
      </c>
      <c r="AF70" s="1">
        <f ca="1" t="shared" si="9"/>
        <v>30000000</v>
      </c>
      <c r="AG70" s="5">
        <f ca="1" t="shared" si="22"/>
        <v>103800000</v>
      </c>
      <c r="AH70" s="1">
        <f ca="1">控制台!$E$3634*$C70</f>
        <v>666.666666666667</v>
      </c>
      <c r="AI70" s="1">
        <f ca="1" t="shared" si="10"/>
        <v>20000</v>
      </c>
      <c r="AJ70" s="5">
        <f ca="1" t="shared" si="23"/>
        <v>69200.0000000001</v>
      </c>
      <c r="AK70" s="1">
        <f ca="1">控制台!$E$3638*$C70</f>
        <v>250</v>
      </c>
      <c r="AL70" s="1">
        <f ca="1" t="shared" si="11"/>
        <v>7500</v>
      </c>
      <c r="AM70" s="5">
        <f ca="1" t="shared" si="24"/>
        <v>25950</v>
      </c>
    </row>
    <row r="71" spans="1:39">
      <c r="A71" s="12">
        <v>180</v>
      </c>
      <c r="B71" s="1">
        <f t="shared" si="12"/>
        <v>30</v>
      </c>
      <c r="C71" s="13">
        <f ca="1">IF(A71-1&lt;0,控制台!$C$3643,OFFSET(控制台!$C$3643,MATCH(A71-1,控制台!$B$3643:$B$3648,1)-1,0))</f>
        <v>1</v>
      </c>
      <c r="D71" s="1">
        <f ca="1">控制台!$E$3594*$C71</f>
        <v>600</v>
      </c>
      <c r="E71" s="1">
        <f ca="1" t="shared" ref="E71:E77" si="25">D71*$B71</f>
        <v>18000</v>
      </c>
      <c r="F71" s="5">
        <f ca="1" t="shared" si="13"/>
        <v>80280</v>
      </c>
      <c r="G71" s="1">
        <f ca="1">控制台!$E$3598*$C71</f>
        <v>12000000</v>
      </c>
      <c r="H71" s="1">
        <f ca="1" t="shared" ref="H71:H77" si="26">G71*$B71</f>
        <v>360000000</v>
      </c>
      <c r="I71" s="5">
        <f ca="1" t="shared" si="14"/>
        <v>1605600000</v>
      </c>
      <c r="J71" s="1">
        <f ca="1">控制台!$E$3602*$C71</f>
        <v>5760</v>
      </c>
      <c r="K71" s="1">
        <f ca="1" t="shared" ref="K71:K77" si="27">J71*$B71</f>
        <v>172800</v>
      </c>
      <c r="L71" s="5">
        <f ca="1" t="shared" si="15"/>
        <v>770688</v>
      </c>
      <c r="M71" s="1">
        <f ca="1">控制台!$E$3606*$C71</f>
        <v>20</v>
      </c>
      <c r="N71" s="1">
        <f ca="1" t="shared" ref="N71:N77" si="28">M71*$B71</f>
        <v>600</v>
      </c>
      <c r="O71" s="5">
        <f ca="1" t="shared" si="16"/>
        <v>2676</v>
      </c>
      <c r="P71" s="1">
        <f ca="1">控制台!$E$3610*$C71</f>
        <v>2000000</v>
      </c>
      <c r="Q71" s="1">
        <f ca="1" t="shared" ref="Q71:Q77" si="29">P71*$B71</f>
        <v>60000000</v>
      </c>
      <c r="R71" s="5">
        <f ca="1" t="shared" si="17"/>
        <v>267600000</v>
      </c>
      <c r="S71" s="1">
        <f ca="1">控制台!$E$3614*$C71</f>
        <v>1333.33333333333</v>
      </c>
      <c r="T71" s="1">
        <f ca="1" t="shared" ref="T71:T77" si="30">S71*$B71</f>
        <v>39999.9999999999</v>
      </c>
      <c r="U71" s="5">
        <f ca="1" t="shared" si="18"/>
        <v>178400</v>
      </c>
      <c r="V71" s="1">
        <f ca="1">控制台!$E$3618*$C71</f>
        <v>500</v>
      </c>
      <c r="W71" s="1">
        <f ca="1" t="shared" ref="W71:W77" si="31">V71*$B71</f>
        <v>15000</v>
      </c>
      <c r="X71" s="5">
        <f ca="1" t="shared" si="19"/>
        <v>66900</v>
      </c>
      <c r="Y71" s="1">
        <f ca="1">控制台!$E$3622*$C71</f>
        <v>3600</v>
      </c>
      <c r="Z71" s="1">
        <f ca="1" t="shared" ref="Z71:Z77" si="32">Y71*$B71</f>
        <v>108000</v>
      </c>
      <c r="AA71" s="5">
        <f ca="1" t="shared" si="20"/>
        <v>481680</v>
      </c>
      <c r="AB71" s="1">
        <f ca="1">控制台!$E$3626*$C71</f>
        <v>0.032</v>
      </c>
      <c r="AC71" s="1">
        <f ca="1" t="shared" ref="AC71:AC77" si="33">AB71*$B71</f>
        <v>0.96</v>
      </c>
      <c r="AD71" s="5">
        <f ca="1" t="shared" si="21"/>
        <v>4.2816</v>
      </c>
      <c r="AE71" s="1">
        <f ca="1">控制台!$E$3630*$C71</f>
        <v>1000000</v>
      </c>
      <c r="AF71" s="1">
        <f ca="1" t="shared" ref="AF71:AF77" si="34">AE71*$B71</f>
        <v>30000000</v>
      </c>
      <c r="AG71" s="5">
        <f ca="1" t="shared" si="22"/>
        <v>133800000</v>
      </c>
      <c r="AH71" s="1">
        <f ca="1">控制台!$E$3634*$C71</f>
        <v>666.666666666667</v>
      </c>
      <c r="AI71" s="1">
        <f ca="1" t="shared" ref="AI71:AI77" si="35">AH71*$B71</f>
        <v>20000</v>
      </c>
      <c r="AJ71" s="5">
        <f ca="1" t="shared" si="23"/>
        <v>89200.0000000001</v>
      </c>
      <c r="AK71" s="1">
        <f ca="1">控制台!$E$3638*$C71</f>
        <v>250</v>
      </c>
      <c r="AL71" s="1">
        <f ca="1" t="shared" ref="AL71:AL77" si="36">AK71*$B71</f>
        <v>7500</v>
      </c>
      <c r="AM71" s="5">
        <f ca="1" t="shared" si="24"/>
        <v>33450</v>
      </c>
    </row>
    <row r="72" spans="1:39">
      <c r="A72" s="12">
        <v>210</v>
      </c>
      <c r="B72" s="1">
        <f t="shared" ref="B72:B77" si="37">A72-A71</f>
        <v>30</v>
      </c>
      <c r="C72" s="13">
        <f ca="1">IF(A72-1&lt;0,控制台!$C$3643,OFFSET(控制台!$C$3643,MATCH(A72-1,控制台!$B$3643:$B$3648,1)-1,0))</f>
        <v>1</v>
      </c>
      <c r="D72" s="1">
        <f ca="1">控制台!$E$3594*$C72</f>
        <v>600</v>
      </c>
      <c r="E72" s="1">
        <f ca="1" t="shared" si="25"/>
        <v>18000</v>
      </c>
      <c r="F72" s="5">
        <f ca="1" t="shared" ref="F72:F77" si="38">F71+E72</f>
        <v>98280</v>
      </c>
      <c r="G72" s="1">
        <f ca="1">控制台!$E$3598*$C72</f>
        <v>12000000</v>
      </c>
      <c r="H72" s="1">
        <f ca="1" t="shared" si="26"/>
        <v>360000000</v>
      </c>
      <c r="I72" s="5">
        <f ca="1" t="shared" ref="I72:I77" si="39">I71+H72</f>
        <v>1965600000</v>
      </c>
      <c r="J72" s="1">
        <f ca="1">控制台!$E$3602*$C72</f>
        <v>5760</v>
      </c>
      <c r="K72" s="1">
        <f ca="1" t="shared" si="27"/>
        <v>172800</v>
      </c>
      <c r="L72" s="5">
        <f ca="1" t="shared" ref="L72:L77" si="40">L71+K72</f>
        <v>943488</v>
      </c>
      <c r="M72" s="1">
        <f ca="1">控制台!$E$3606*$C72</f>
        <v>20</v>
      </c>
      <c r="N72" s="1">
        <f ca="1" t="shared" si="28"/>
        <v>600</v>
      </c>
      <c r="O72" s="5">
        <f ca="1" t="shared" ref="O72:O77" si="41">O71+N72</f>
        <v>3276</v>
      </c>
      <c r="P72" s="1">
        <f ca="1">控制台!$E$3610*$C72</f>
        <v>2000000</v>
      </c>
      <c r="Q72" s="1">
        <f ca="1" t="shared" si="29"/>
        <v>60000000</v>
      </c>
      <c r="R72" s="5">
        <f ca="1" t="shared" ref="R72:R77" si="42">R71+Q72</f>
        <v>327600000</v>
      </c>
      <c r="S72" s="1">
        <f ca="1">控制台!$E$3614*$C72</f>
        <v>1333.33333333333</v>
      </c>
      <c r="T72" s="1">
        <f ca="1" t="shared" si="30"/>
        <v>39999.9999999999</v>
      </c>
      <c r="U72" s="5">
        <f ca="1" t="shared" ref="U72:U77" si="43">U71+T72</f>
        <v>218399.999999999</v>
      </c>
      <c r="V72" s="1">
        <f ca="1">控制台!$E$3618*$C72</f>
        <v>500</v>
      </c>
      <c r="W72" s="1">
        <f ca="1" t="shared" si="31"/>
        <v>15000</v>
      </c>
      <c r="X72" s="5">
        <f ca="1" t="shared" ref="X72:X77" si="44">X71+W72</f>
        <v>81900</v>
      </c>
      <c r="Y72" s="1">
        <f ca="1">控制台!$E$3622*$C72</f>
        <v>3600</v>
      </c>
      <c r="Z72" s="1">
        <f ca="1" t="shared" si="32"/>
        <v>108000</v>
      </c>
      <c r="AA72" s="5">
        <f ca="1" t="shared" ref="AA72:AA77" si="45">AA71+Z72</f>
        <v>589680</v>
      </c>
      <c r="AB72" s="1">
        <f ca="1">控制台!$E$3626*$C72</f>
        <v>0.032</v>
      </c>
      <c r="AC72" s="1">
        <f ca="1" t="shared" si="33"/>
        <v>0.96</v>
      </c>
      <c r="AD72" s="5">
        <f ca="1" t="shared" ref="AD72:AD77" si="46">AD71+AC72</f>
        <v>5.2416</v>
      </c>
      <c r="AE72" s="1">
        <f ca="1">控制台!$E$3630*$C72</f>
        <v>1000000</v>
      </c>
      <c r="AF72" s="1">
        <f ca="1" t="shared" si="34"/>
        <v>30000000</v>
      </c>
      <c r="AG72" s="5">
        <f ca="1" t="shared" ref="AG72:AG77" si="47">AG71+AF72</f>
        <v>163800000</v>
      </c>
      <c r="AH72" s="1">
        <f ca="1">控制台!$E$3634*$C72</f>
        <v>666.666666666667</v>
      </c>
      <c r="AI72" s="1">
        <f ca="1" t="shared" si="35"/>
        <v>20000</v>
      </c>
      <c r="AJ72" s="5">
        <f ca="1" t="shared" ref="AJ72:AJ77" si="48">AJ71+AI72</f>
        <v>109200</v>
      </c>
      <c r="AK72" s="1">
        <f ca="1">控制台!$E$3638*$C72</f>
        <v>250</v>
      </c>
      <c r="AL72" s="1">
        <f ca="1" t="shared" si="36"/>
        <v>7500</v>
      </c>
      <c r="AM72" s="5">
        <f ca="1" t="shared" ref="AM72:AM77" si="49">AM71+AL72</f>
        <v>40950</v>
      </c>
    </row>
    <row r="73" spans="1:39">
      <c r="A73" s="12">
        <v>240</v>
      </c>
      <c r="B73" s="1">
        <f t="shared" si="37"/>
        <v>30</v>
      </c>
      <c r="C73" s="13">
        <f ca="1">IF(A73-1&lt;0,控制台!$C$3643,OFFSET(控制台!$C$3643,MATCH(A73-1,控制台!$B$3643:$B$3648,1)-1,0))</f>
        <v>1</v>
      </c>
      <c r="D73" s="1">
        <f ca="1">控制台!$E$3594*$C73</f>
        <v>600</v>
      </c>
      <c r="E73" s="1">
        <f ca="1" t="shared" si="25"/>
        <v>18000</v>
      </c>
      <c r="F73" s="5">
        <f ca="1" t="shared" si="38"/>
        <v>116280</v>
      </c>
      <c r="G73" s="1">
        <f ca="1">控制台!$E$3598*$C73</f>
        <v>12000000</v>
      </c>
      <c r="H73" s="1">
        <f ca="1" t="shared" si="26"/>
        <v>360000000</v>
      </c>
      <c r="I73" s="5">
        <f ca="1" t="shared" si="39"/>
        <v>2325600000</v>
      </c>
      <c r="J73" s="1">
        <f ca="1">控制台!$E$3602*$C73</f>
        <v>5760</v>
      </c>
      <c r="K73" s="1">
        <f ca="1" t="shared" si="27"/>
        <v>172800</v>
      </c>
      <c r="L73" s="5">
        <f ca="1" t="shared" si="40"/>
        <v>1116288</v>
      </c>
      <c r="M73" s="1">
        <f ca="1">控制台!$E$3606*$C73</f>
        <v>20</v>
      </c>
      <c r="N73" s="1">
        <f ca="1" t="shared" si="28"/>
        <v>600</v>
      </c>
      <c r="O73" s="5">
        <f ca="1" t="shared" si="41"/>
        <v>3876</v>
      </c>
      <c r="P73" s="1">
        <f ca="1">控制台!$E$3610*$C73</f>
        <v>2000000</v>
      </c>
      <c r="Q73" s="1">
        <f ca="1" t="shared" si="29"/>
        <v>60000000</v>
      </c>
      <c r="R73" s="5">
        <f ca="1" t="shared" si="42"/>
        <v>387600000</v>
      </c>
      <c r="S73" s="1">
        <f ca="1">控制台!$E$3614*$C73</f>
        <v>1333.33333333333</v>
      </c>
      <c r="T73" s="1">
        <f ca="1" t="shared" si="30"/>
        <v>39999.9999999999</v>
      </c>
      <c r="U73" s="5">
        <f ca="1" t="shared" si="43"/>
        <v>258399.999999999</v>
      </c>
      <c r="V73" s="1">
        <f ca="1">控制台!$E$3618*$C73</f>
        <v>500</v>
      </c>
      <c r="W73" s="1">
        <f ca="1" t="shared" si="31"/>
        <v>15000</v>
      </c>
      <c r="X73" s="5">
        <f ca="1" t="shared" si="44"/>
        <v>96900</v>
      </c>
      <c r="Y73" s="1">
        <f ca="1">控制台!$E$3622*$C73</f>
        <v>3600</v>
      </c>
      <c r="Z73" s="1">
        <f ca="1" t="shared" si="32"/>
        <v>108000</v>
      </c>
      <c r="AA73" s="5">
        <f ca="1" t="shared" si="45"/>
        <v>697680</v>
      </c>
      <c r="AB73" s="1">
        <f ca="1">控制台!$E$3626*$C73</f>
        <v>0.032</v>
      </c>
      <c r="AC73" s="1">
        <f ca="1" t="shared" si="33"/>
        <v>0.96</v>
      </c>
      <c r="AD73" s="5">
        <f ca="1" t="shared" si="46"/>
        <v>6.2016</v>
      </c>
      <c r="AE73" s="1">
        <f ca="1">控制台!$E$3630*$C73</f>
        <v>1000000</v>
      </c>
      <c r="AF73" s="1">
        <f ca="1" t="shared" si="34"/>
        <v>30000000</v>
      </c>
      <c r="AG73" s="5">
        <f ca="1" t="shared" si="47"/>
        <v>193800000</v>
      </c>
      <c r="AH73" s="1">
        <f ca="1">控制台!$E$3634*$C73</f>
        <v>666.666666666667</v>
      </c>
      <c r="AI73" s="1">
        <f ca="1" t="shared" si="35"/>
        <v>20000</v>
      </c>
      <c r="AJ73" s="5">
        <f ca="1" t="shared" si="48"/>
        <v>129200</v>
      </c>
      <c r="AK73" s="1">
        <f ca="1">控制台!$E$3638*$C73</f>
        <v>250</v>
      </c>
      <c r="AL73" s="1">
        <f ca="1" t="shared" si="36"/>
        <v>7500</v>
      </c>
      <c r="AM73" s="5">
        <f ca="1" t="shared" si="49"/>
        <v>48450</v>
      </c>
    </row>
    <row r="74" spans="1:39">
      <c r="A74" s="12">
        <v>270</v>
      </c>
      <c r="B74" s="1">
        <f t="shared" si="37"/>
        <v>30</v>
      </c>
      <c r="C74" s="13">
        <f ca="1">IF(A74-1&lt;0,控制台!$C$3643,OFFSET(控制台!$C$3643,MATCH(A74-1,控制台!$B$3643:$B$3648,1)-1,0))</f>
        <v>1</v>
      </c>
      <c r="D74" s="1">
        <f ca="1">控制台!$E$3594*$C74</f>
        <v>600</v>
      </c>
      <c r="E74" s="1">
        <f ca="1" t="shared" si="25"/>
        <v>18000</v>
      </c>
      <c r="F74" s="5">
        <f ca="1" t="shared" si="38"/>
        <v>134280</v>
      </c>
      <c r="G74" s="1">
        <f ca="1">控制台!$E$3598*$C74</f>
        <v>12000000</v>
      </c>
      <c r="H74" s="1">
        <f ca="1" t="shared" si="26"/>
        <v>360000000</v>
      </c>
      <c r="I74" s="5">
        <f ca="1" t="shared" si="39"/>
        <v>2685600000</v>
      </c>
      <c r="J74" s="1">
        <f ca="1">控制台!$E$3602*$C74</f>
        <v>5760</v>
      </c>
      <c r="K74" s="1">
        <f ca="1" t="shared" si="27"/>
        <v>172800</v>
      </c>
      <c r="L74" s="5">
        <f ca="1" t="shared" si="40"/>
        <v>1289088</v>
      </c>
      <c r="M74" s="1">
        <f ca="1">控制台!$E$3606*$C74</f>
        <v>20</v>
      </c>
      <c r="N74" s="1">
        <f ca="1" t="shared" si="28"/>
        <v>600</v>
      </c>
      <c r="O74" s="5">
        <f ca="1" t="shared" si="41"/>
        <v>4476</v>
      </c>
      <c r="P74" s="1">
        <f ca="1">控制台!$E$3610*$C74</f>
        <v>2000000</v>
      </c>
      <c r="Q74" s="1">
        <f ca="1" t="shared" si="29"/>
        <v>60000000</v>
      </c>
      <c r="R74" s="5">
        <f ca="1" t="shared" si="42"/>
        <v>447600000</v>
      </c>
      <c r="S74" s="1">
        <f ca="1">控制台!$E$3614*$C74</f>
        <v>1333.33333333333</v>
      </c>
      <c r="T74" s="1">
        <f ca="1" t="shared" si="30"/>
        <v>39999.9999999999</v>
      </c>
      <c r="U74" s="5">
        <f ca="1" t="shared" si="43"/>
        <v>298399.999999999</v>
      </c>
      <c r="V74" s="1">
        <f ca="1">控制台!$E$3618*$C74</f>
        <v>500</v>
      </c>
      <c r="W74" s="1">
        <f ca="1" t="shared" si="31"/>
        <v>15000</v>
      </c>
      <c r="X74" s="5">
        <f ca="1" t="shared" si="44"/>
        <v>111900</v>
      </c>
      <c r="Y74" s="1">
        <f ca="1">控制台!$E$3622*$C74</f>
        <v>3600</v>
      </c>
      <c r="Z74" s="1">
        <f ca="1" t="shared" si="32"/>
        <v>108000</v>
      </c>
      <c r="AA74" s="5">
        <f ca="1" t="shared" si="45"/>
        <v>805680</v>
      </c>
      <c r="AB74" s="1">
        <f ca="1">控制台!$E$3626*$C74</f>
        <v>0.032</v>
      </c>
      <c r="AC74" s="1">
        <f ca="1" t="shared" si="33"/>
        <v>0.96</v>
      </c>
      <c r="AD74" s="5">
        <f ca="1" t="shared" si="46"/>
        <v>7.1616</v>
      </c>
      <c r="AE74" s="1">
        <f ca="1">控制台!$E$3630*$C74</f>
        <v>1000000</v>
      </c>
      <c r="AF74" s="1">
        <f ca="1" t="shared" si="34"/>
        <v>30000000</v>
      </c>
      <c r="AG74" s="5">
        <f ca="1" t="shared" si="47"/>
        <v>223800000</v>
      </c>
      <c r="AH74" s="1">
        <f ca="1">控制台!$E$3634*$C74</f>
        <v>666.666666666667</v>
      </c>
      <c r="AI74" s="1">
        <f ca="1" t="shared" si="35"/>
        <v>20000</v>
      </c>
      <c r="AJ74" s="5">
        <f ca="1" t="shared" si="48"/>
        <v>149200</v>
      </c>
      <c r="AK74" s="1">
        <f ca="1">控制台!$E$3638*$C74</f>
        <v>250</v>
      </c>
      <c r="AL74" s="1">
        <f ca="1" t="shared" si="36"/>
        <v>7500</v>
      </c>
      <c r="AM74" s="5">
        <f ca="1" t="shared" si="49"/>
        <v>55950</v>
      </c>
    </row>
    <row r="75" spans="1:39">
      <c r="A75" s="12">
        <v>300</v>
      </c>
      <c r="B75" s="1">
        <f t="shared" si="37"/>
        <v>30</v>
      </c>
      <c r="C75" s="13">
        <f ca="1">IF(A75-1&lt;0,控制台!$C$3643,OFFSET(控制台!$C$3643,MATCH(A75-1,控制台!$B$3643:$B$3648,1)-1,0))</f>
        <v>1</v>
      </c>
      <c r="D75" s="1">
        <f ca="1">控制台!$E$3594*$C75</f>
        <v>600</v>
      </c>
      <c r="E75" s="1">
        <f ca="1" t="shared" si="25"/>
        <v>18000</v>
      </c>
      <c r="F75" s="5">
        <f ca="1" t="shared" si="38"/>
        <v>152280</v>
      </c>
      <c r="G75" s="1">
        <f ca="1">控制台!$E$3598*$C75</f>
        <v>12000000</v>
      </c>
      <c r="H75" s="1">
        <f ca="1" t="shared" si="26"/>
        <v>360000000</v>
      </c>
      <c r="I75" s="5">
        <f ca="1" t="shared" si="39"/>
        <v>3045600000</v>
      </c>
      <c r="J75" s="1">
        <f ca="1">控制台!$E$3602*$C75</f>
        <v>5760</v>
      </c>
      <c r="K75" s="1">
        <f ca="1" t="shared" si="27"/>
        <v>172800</v>
      </c>
      <c r="L75" s="5">
        <f ca="1" t="shared" si="40"/>
        <v>1461888</v>
      </c>
      <c r="M75" s="1">
        <f ca="1">控制台!$E$3606*$C75</f>
        <v>20</v>
      </c>
      <c r="N75" s="1">
        <f ca="1" t="shared" si="28"/>
        <v>600</v>
      </c>
      <c r="O75" s="5">
        <f ca="1" t="shared" si="41"/>
        <v>5076</v>
      </c>
      <c r="P75" s="1">
        <f ca="1">控制台!$E$3610*$C75</f>
        <v>2000000</v>
      </c>
      <c r="Q75" s="1">
        <f ca="1" t="shared" si="29"/>
        <v>60000000</v>
      </c>
      <c r="R75" s="5">
        <f ca="1" t="shared" si="42"/>
        <v>507600000</v>
      </c>
      <c r="S75" s="1">
        <f ca="1">控制台!$E$3614*$C75</f>
        <v>1333.33333333333</v>
      </c>
      <c r="T75" s="1">
        <f ca="1" t="shared" si="30"/>
        <v>39999.9999999999</v>
      </c>
      <c r="U75" s="5">
        <f ca="1" t="shared" si="43"/>
        <v>338399.999999999</v>
      </c>
      <c r="V75" s="1">
        <f ca="1">控制台!$E$3618*$C75</f>
        <v>500</v>
      </c>
      <c r="W75" s="1">
        <f ca="1" t="shared" si="31"/>
        <v>15000</v>
      </c>
      <c r="X75" s="5">
        <f ca="1" t="shared" si="44"/>
        <v>126900</v>
      </c>
      <c r="Y75" s="1">
        <f ca="1">控制台!$E$3622*$C75</f>
        <v>3600</v>
      </c>
      <c r="Z75" s="1">
        <f ca="1" t="shared" si="32"/>
        <v>108000</v>
      </c>
      <c r="AA75" s="5">
        <f ca="1" t="shared" si="45"/>
        <v>913680</v>
      </c>
      <c r="AB75" s="1">
        <f ca="1">控制台!$E$3626*$C75</f>
        <v>0.032</v>
      </c>
      <c r="AC75" s="1">
        <f ca="1" t="shared" si="33"/>
        <v>0.96</v>
      </c>
      <c r="AD75" s="5">
        <f ca="1" t="shared" si="46"/>
        <v>8.1216</v>
      </c>
      <c r="AE75" s="1">
        <f ca="1">控制台!$E$3630*$C75</f>
        <v>1000000</v>
      </c>
      <c r="AF75" s="1">
        <f ca="1" t="shared" si="34"/>
        <v>30000000</v>
      </c>
      <c r="AG75" s="5">
        <f ca="1" t="shared" si="47"/>
        <v>253800000</v>
      </c>
      <c r="AH75" s="1">
        <f ca="1">控制台!$E$3634*$C75</f>
        <v>666.666666666667</v>
      </c>
      <c r="AI75" s="1">
        <f ca="1" t="shared" si="35"/>
        <v>20000</v>
      </c>
      <c r="AJ75" s="5">
        <f ca="1" t="shared" si="48"/>
        <v>169200</v>
      </c>
      <c r="AK75" s="1">
        <f ca="1">控制台!$E$3638*$C75</f>
        <v>250</v>
      </c>
      <c r="AL75" s="1">
        <f ca="1" t="shared" si="36"/>
        <v>7500</v>
      </c>
      <c r="AM75" s="5">
        <f ca="1" t="shared" si="49"/>
        <v>63450</v>
      </c>
    </row>
    <row r="76" spans="1:39">
      <c r="A76" s="12">
        <v>330</v>
      </c>
      <c r="B76" s="1">
        <f t="shared" si="37"/>
        <v>30</v>
      </c>
      <c r="C76" s="13">
        <f ca="1">IF(A76-1&lt;0,控制台!$C$3643,OFFSET(控制台!$C$3643,MATCH(A76-1,控制台!$B$3643:$B$3648,1)-1,0))</f>
        <v>1</v>
      </c>
      <c r="D76" s="1">
        <f ca="1">控制台!$E$3594*$C76</f>
        <v>600</v>
      </c>
      <c r="E76" s="1">
        <f ca="1" t="shared" si="25"/>
        <v>18000</v>
      </c>
      <c r="F76" s="5">
        <f ca="1" t="shared" si="38"/>
        <v>170280</v>
      </c>
      <c r="G76" s="1">
        <f ca="1">控制台!$E$3598*$C76</f>
        <v>12000000</v>
      </c>
      <c r="H76" s="1">
        <f ca="1" t="shared" si="26"/>
        <v>360000000</v>
      </c>
      <c r="I76" s="5">
        <f ca="1" t="shared" si="39"/>
        <v>3405600000</v>
      </c>
      <c r="J76" s="1">
        <f ca="1">控制台!$E$3602*$C76</f>
        <v>5760</v>
      </c>
      <c r="K76" s="1">
        <f ca="1" t="shared" si="27"/>
        <v>172800</v>
      </c>
      <c r="L76" s="5">
        <f ca="1" t="shared" si="40"/>
        <v>1634688</v>
      </c>
      <c r="M76" s="1">
        <f ca="1">控制台!$E$3606*$C76</f>
        <v>20</v>
      </c>
      <c r="N76" s="1">
        <f ca="1" t="shared" si="28"/>
        <v>600</v>
      </c>
      <c r="O76" s="5">
        <f ca="1" t="shared" si="41"/>
        <v>5676</v>
      </c>
      <c r="P76" s="1">
        <f ca="1">控制台!$E$3610*$C76</f>
        <v>2000000</v>
      </c>
      <c r="Q76" s="1">
        <f ca="1" t="shared" si="29"/>
        <v>60000000</v>
      </c>
      <c r="R76" s="5">
        <f ca="1" t="shared" si="42"/>
        <v>567600000</v>
      </c>
      <c r="S76" s="1">
        <f ca="1">控制台!$E$3614*$C76</f>
        <v>1333.33333333333</v>
      </c>
      <c r="T76" s="1">
        <f ca="1" t="shared" si="30"/>
        <v>39999.9999999999</v>
      </c>
      <c r="U76" s="5">
        <f ca="1" t="shared" si="43"/>
        <v>378399.999999999</v>
      </c>
      <c r="V76" s="1">
        <f ca="1">控制台!$E$3618*$C76</f>
        <v>500</v>
      </c>
      <c r="W76" s="1">
        <f ca="1" t="shared" si="31"/>
        <v>15000</v>
      </c>
      <c r="X76" s="5">
        <f ca="1" t="shared" si="44"/>
        <v>141900</v>
      </c>
      <c r="Y76" s="1">
        <f ca="1">控制台!$E$3622*$C76</f>
        <v>3600</v>
      </c>
      <c r="Z76" s="1">
        <f ca="1" t="shared" si="32"/>
        <v>108000</v>
      </c>
      <c r="AA76" s="5">
        <f ca="1" t="shared" si="45"/>
        <v>1021680</v>
      </c>
      <c r="AB76" s="1">
        <f ca="1">控制台!$E$3626*$C76</f>
        <v>0.032</v>
      </c>
      <c r="AC76" s="1">
        <f ca="1" t="shared" si="33"/>
        <v>0.96</v>
      </c>
      <c r="AD76" s="5">
        <f ca="1" t="shared" si="46"/>
        <v>9.0816</v>
      </c>
      <c r="AE76" s="1">
        <f ca="1">控制台!$E$3630*$C76</f>
        <v>1000000</v>
      </c>
      <c r="AF76" s="1">
        <f ca="1" t="shared" si="34"/>
        <v>30000000</v>
      </c>
      <c r="AG76" s="5">
        <f ca="1" t="shared" si="47"/>
        <v>283800000</v>
      </c>
      <c r="AH76" s="1">
        <f ca="1">控制台!$E$3634*$C76</f>
        <v>666.666666666667</v>
      </c>
      <c r="AI76" s="1">
        <f ca="1" t="shared" si="35"/>
        <v>20000</v>
      </c>
      <c r="AJ76" s="5">
        <f ca="1" t="shared" si="48"/>
        <v>189200</v>
      </c>
      <c r="AK76" s="1">
        <f ca="1">控制台!$E$3638*$C76</f>
        <v>250</v>
      </c>
      <c r="AL76" s="1">
        <f ca="1" t="shared" si="36"/>
        <v>7500</v>
      </c>
      <c r="AM76" s="5">
        <f ca="1" t="shared" si="49"/>
        <v>70950</v>
      </c>
    </row>
    <row r="77" spans="1:39">
      <c r="A77" s="12">
        <v>360</v>
      </c>
      <c r="B77" s="1">
        <f t="shared" si="37"/>
        <v>30</v>
      </c>
      <c r="C77" s="13">
        <f ca="1">IF(A77-1&lt;0,控制台!$C$3643,OFFSET(控制台!$C$3643,MATCH(A77-1,控制台!$B$3643:$B$3648,1)-1,0))</f>
        <v>1</v>
      </c>
      <c r="D77" s="1">
        <f ca="1">控制台!$E$3594*$C77</f>
        <v>600</v>
      </c>
      <c r="E77" s="1">
        <f ca="1" t="shared" si="25"/>
        <v>18000</v>
      </c>
      <c r="F77" s="5">
        <f ca="1" t="shared" si="38"/>
        <v>188280</v>
      </c>
      <c r="G77" s="1">
        <f ca="1">控制台!$E$3598*$C77</f>
        <v>12000000</v>
      </c>
      <c r="H77" s="1">
        <f ca="1" t="shared" si="26"/>
        <v>360000000</v>
      </c>
      <c r="I77" s="5">
        <f ca="1" t="shared" si="39"/>
        <v>3765600000</v>
      </c>
      <c r="J77" s="1">
        <f ca="1">控制台!$E$3602*$C77</f>
        <v>5760</v>
      </c>
      <c r="K77" s="1">
        <f ca="1" t="shared" si="27"/>
        <v>172800</v>
      </c>
      <c r="L77" s="5">
        <f ca="1" t="shared" si="40"/>
        <v>1807488</v>
      </c>
      <c r="M77" s="1">
        <f ca="1">控制台!$E$3606*$C77</f>
        <v>20</v>
      </c>
      <c r="N77" s="1">
        <f ca="1" t="shared" si="28"/>
        <v>600</v>
      </c>
      <c r="O77" s="5">
        <f ca="1" t="shared" si="41"/>
        <v>6276</v>
      </c>
      <c r="P77" s="1">
        <f ca="1">控制台!$E$3610*$C77</f>
        <v>2000000</v>
      </c>
      <c r="Q77" s="1">
        <f ca="1" t="shared" si="29"/>
        <v>60000000</v>
      </c>
      <c r="R77" s="5">
        <f ca="1" t="shared" si="42"/>
        <v>627600000</v>
      </c>
      <c r="S77" s="1">
        <f ca="1">控制台!$E$3614*$C77</f>
        <v>1333.33333333333</v>
      </c>
      <c r="T77" s="1">
        <f ca="1" t="shared" si="30"/>
        <v>39999.9999999999</v>
      </c>
      <c r="U77" s="5">
        <f ca="1" t="shared" si="43"/>
        <v>418399.999999999</v>
      </c>
      <c r="V77" s="1">
        <f ca="1">控制台!$E$3618*$C77</f>
        <v>500</v>
      </c>
      <c r="W77" s="1">
        <f ca="1" t="shared" si="31"/>
        <v>15000</v>
      </c>
      <c r="X77" s="5">
        <f ca="1" t="shared" si="44"/>
        <v>156900</v>
      </c>
      <c r="Y77" s="1">
        <f ca="1">控制台!$E$3622*$C77</f>
        <v>3600</v>
      </c>
      <c r="Z77" s="1">
        <f ca="1" t="shared" si="32"/>
        <v>108000</v>
      </c>
      <c r="AA77" s="5">
        <f ca="1" t="shared" si="45"/>
        <v>1129680</v>
      </c>
      <c r="AB77" s="1">
        <f ca="1">控制台!$E$3626*$C77</f>
        <v>0.032</v>
      </c>
      <c r="AC77" s="1">
        <f ca="1" t="shared" si="33"/>
        <v>0.96</v>
      </c>
      <c r="AD77" s="5">
        <f ca="1" t="shared" si="46"/>
        <v>10.0416</v>
      </c>
      <c r="AE77" s="1">
        <f ca="1">控制台!$E$3630*$C77</f>
        <v>1000000</v>
      </c>
      <c r="AF77" s="1">
        <f ca="1" t="shared" si="34"/>
        <v>30000000</v>
      </c>
      <c r="AG77" s="5">
        <f ca="1" t="shared" si="47"/>
        <v>313800000</v>
      </c>
      <c r="AH77" s="1">
        <f ca="1">控制台!$E$3634*$C77</f>
        <v>666.666666666667</v>
      </c>
      <c r="AI77" s="1">
        <f ca="1" t="shared" si="35"/>
        <v>20000</v>
      </c>
      <c r="AJ77" s="5">
        <f ca="1" t="shared" si="48"/>
        <v>209200</v>
      </c>
      <c r="AK77" s="1">
        <f ca="1">控制台!$E$3638*$C77</f>
        <v>250</v>
      </c>
      <c r="AL77" s="1">
        <f ca="1" t="shared" si="36"/>
        <v>7500</v>
      </c>
      <c r="AM77" s="5">
        <f ca="1" t="shared" si="49"/>
        <v>78450</v>
      </c>
    </row>
  </sheetData>
  <hyperlinks>
    <hyperlink ref="A1" location="控制台_210_活动" display="返回控制台_活动"/>
  </hyperlinks>
  <pageMargins left="0.699305555555556" right="0.699305555555556" top="0.75" bottom="0.75" header="0.3" footer="0.3"/>
  <pageSetup paperSize="9" orientation="portrait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10">
    <tabColor theme="9" tint="0.599993896298105"/>
  </sheetPr>
  <dimension ref="A1:X77"/>
  <sheetViews>
    <sheetView zoomScale="70" zoomScaleNormal="70" workbookViewId="0">
      <selection activeCell="O124" sqref="O124"/>
    </sheetView>
  </sheetViews>
  <sheetFormatPr defaultColWidth="8.70967741935484" defaultRowHeight="13.1"/>
  <cols>
    <col min="1" max="1" width="9.62903225806452" style="1" customWidth="1"/>
    <col min="2" max="3" width="9.37903225806452" style="1" customWidth="1"/>
    <col min="4" max="5" width="9.62903225806452" style="1"/>
    <col min="6" max="6" width="12" style="1" customWidth="1"/>
    <col min="7" max="9" width="9.62903225806452" style="1"/>
    <col min="10" max="10" width="9.62903225806452" style="1" customWidth="1"/>
    <col min="11" max="11" width="10.8790322580645" style="1" customWidth="1"/>
    <col min="12" max="12" width="10.75" style="1" customWidth="1"/>
    <col min="13" max="21" width="9.62903225806452" style="1"/>
    <col min="22" max="22" width="9.62903225806452" style="1" customWidth="1"/>
    <col min="23" max="23" width="10.8790322580645" style="1" customWidth="1"/>
    <col min="24" max="24" width="10.75" style="1" customWidth="1"/>
    <col min="25" max="16384" width="9.62903225806452" style="1"/>
  </cols>
  <sheetData>
    <row r="1" spans="1:24">
      <c r="A1" s="3" t="s">
        <v>2995</v>
      </c>
      <c r="L1" s="4"/>
      <c r="X1" s="4"/>
    </row>
    <row r="2" spans="12:24">
      <c r="L2" s="4"/>
      <c r="X2" s="4"/>
    </row>
    <row r="3" s="2" customFormat="1" spans="1:1">
      <c r="A3" s="2" t="s">
        <v>2885</v>
      </c>
    </row>
    <row r="4" spans="12:24">
      <c r="L4" s="4"/>
      <c r="X4" s="4"/>
    </row>
    <row r="5" spans="1:24">
      <c r="A5" s="1" t="s">
        <v>382</v>
      </c>
      <c r="B5" s="1" t="s">
        <v>2759</v>
      </c>
      <c r="C5" s="1" t="s">
        <v>471</v>
      </c>
      <c r="D5" s="1" t="s">
        <v>1390</v>
      </c>
      <c r="E5" s="1" t="s">
        <v>2934</v>
      </c>
      <c r="F5" s="5" t="s">
        <v>863</v>
      </c>
      <c r="G5" s="1" t="s">
        <v>1392</v>
      </c>
      <c r="H5" s="1" t="s">
        <v>1193</v>
      </c>
      <c r="I5" s="5" t="s">
        <v>1664</v>
      </c>
      <c r="J5" s="1" t="s">
        <v>2979</v>
      </c>
      <c r="K5" s="1" t="s">
        <v>2980</v>
      </c>
      <c r="L5" s="5" t="s">
        <v>2981</v>
      </c>
      <c r="M5" s="1" t="s">
        <v>1393</v>
      </c>
      <c r="N5" s="1" t="s">
        <v>2939</v>
      </c>
      <c r="O5" s="5" t="s">
        <v>2940</v>
      </c>
      <c r="P5" s="1" t="s">
        <v>1394</v>
      </c>
      <c r="Q5" s="1" t="s">
        <v>2941</v>
      </c>
      <c r="R5" s="5" t="s">
        <v>1652</v>
      </c>
      <c r="S5" s="1" t="s">
        <v>1395</v>
      </c>
      <c r="T5" s="1" t="s">
        <v>2996</v>
      </c>
      <c r="U5" s="5" t="s">
        <v>2997</v>
      </c>
      <c r="V5" s="1" t="s">
        <v>2962</v>
      </c>
      <c r="W5" s="1" t="s">
        <v>2965</v>
      </c>
      <c r="X5" s="5" t="s">
        <v>2966</v>
      </c>
    </row>
    <row r="6" spans="1:24">
      <c r="A6" s="7">
        <v>0</v>
      </c>
      <c r="B6" s="1">
        <f>A6</f>
        <v>0</v>
      </c>
      <c r="C6" s="1">
        <f>IF(控制台!C2031="",C5,控制台!C2031)</f>
        <v>0</v>
      </c>
      <c r="D6" s="1">
        <f ca="1">OFFSET(控制台!$L$3691,MATCH($C6,控制台!$B$3691:$B$3706,0)-1,0)</f>
        <v>30000</v>
      </c>
      <c r="E6" s="1">
        <f ca="1">D6*$B6</f>
        <v>0</v>
      </c>
      <c r="F6" s="5">
        <f ca="1">E6</f>
        <v>0</v>
      </c>
      <c r="G6" s="1">
        <f ca="1">OFFSET(控制台!$M$3691,MATCH($C6,控制台!$B$3691:$B$3706,0)-1,0)</f>
        <v>0</v>
      </c>
      <c r="H6" s="1">
        <f ca="1">G6*$B6</f>
        <v>0</v>
      </c>
      <c r="I6" s="5">
        <f ca="1">H6</f>
        <v>0</v>
      </c>
      <c r="J6" s="1">
        <f ca="1">OFFSET(控制台!$N$3691,MATCH($C6,控制台!$B$3691:$B$3706,0)-1,0)</f>
        <v>10000</v>
      </c>
      <c r="K6" s="1">
        <f ca="1">J6*$B6</f>
        <v>0</v>
      </c>
      <c r="L6" s="5">
        <f ca="1">K6</f>
        <v>0</v>
      </c>
      <c r="M6" s="1">
        <f ca="1">OFFSET(控制台!$P$3691,MATCH($C6,控制台!$B$3691:$B$3706,0)-1,0)</f>
        <v>0</v>
      </c>
      <c r="N6" s="1">
        <f ca="1">M6*$B6</f>
        <v>0</v>
      </c>
      <c r="O6" s="5">
        <f ca="1">N6</f>
        <v>0</v>
      </c>
      <c r="P6" s="1">
        <f ca="1">OFFSET(控制台!$Q$3691,MATCH($C6,控制台!$B$3691:$B$3706,0)-1,0)</f>
        <v>0</v>
      </c>
      <c r="Q6" s="1">
        <f ca="1">P6*$B6</f>
        <v>0</v>
      </c>
      <c r="R6" s="5">
        <f ca="1">Q6</f>
        <v>0</v>
      </c>
      <c r="S6" s="1">
        <f ca="1">OFFSET(控制台!$R$3691,MATCH($C6,控制台!$B$3691:$B$3706,0)-1,0)</f>
        <v>0</v>
      </c>
      <c r="T6" s="1">
        <f ca="1">S6*$B6</f>
        <v>0</v>
      </c>
      <c r="U6" s="5">
        <f ca="1">T6</f>
        <v>0</v>
      </c>
      <c r="V6" s="1">
        <f ca="1">OFFSET(控制台!$O$3691,MATCH($C6,控制台!$B$3691:$B$3706,0)-1,0)</f>
        <v>5000</v>
      </c>
      <c r="W6" s="1">
        <f ca="1">V6*$B6</f>
        <v>0</v>
      </c>
      <c r="X6" s="5">
        <f ca="1">W6</f>
        <v>0</v>
      </c>
    </row>
    <row r="7" spans="1:24">
      <c r="A7" s="7">
        <v>0.1</v>
      </c>
      <c r="B7" s="1">
        <f>A7-A6</f>
        <v>0.1</v>
      </c>
      <c r="C7" s="1">
        <f>IF(控制台!C2032="",C6,控制台!C2032)</f>
        <v>0</v>
      </c>
      <c r="D7" s="1">
        <f ca="1">OFFSET(控制台!$L$3691,MATCH($C7,控制台!$B$3691:$B$3706,0)-1,0)</f>
        <v>30000</v>
      </c>
      <c r="E7" s="1">
        <f ca="1" t="shared" ref="E7:E70" si="0">D7*$B7</f>
        <v>3000</v>
      </c>
      <c r="F7" s="5">
        <f ca="1">F6+E7</f>
        <v>3000</v>
      </c>
      <c r="G7" s="1">
        <f ca="1">OFFSET(控制台!$M$3691,MATCH($C7,控制台!$B$3691:$B$3706,0)-1,0)</f>
        <v>0</v>
      </c>
      <c r="H7" s="1">
        <f ca="1" t="shared" ref="H7:H70" si="1">G7*$B7</f>
        <v>0</v>
      </c>
      <c r="I7" s="5">
        <f ca="1">I6+H7</f>
        <v>0</v>
      </c>
      <c r="J7" s="1">
        <f ca="1">OFFSET(控制台!$N$3691,MATCH($C7,控制台!$B$3691:$B$3706,0)-1,0)</f>
        <v>10000</v>
      </c>
      <c r="K7" s="1">
        <f ca="1" t="shared" ref="K7:K70" si="2">J7*$B7</f>
        <v>1000</v>
      </c>
      <c r="L7" s="5">
        <f ca="1">L6+K7</f>
        <v>1000</v>
      </c>
      <c r="M7" s="1">
        <f ca="1">OFFSET(控制台!$P$3691,MATCH($C7,控制台!$B$3691:$B$3706,0)-1,0)</f>
        <v>0</v>
      </c>
      <c r="N7" s="1">
        <f ca="1" t="shared" ref="N7:N70" si="3">M7*$B7</f>
        <v>0</v>
      </c>
      <c r="O7" s="5">
        <f ca="1">O6+N7</f>
        <v>0</v>
      </c>
      <c r="P7" s="1">
        <f ca="1">OFFSET(控制台!$Q$3691,MATCH($C7,控制台!$B$3691:$B$3706,0)-1,0)</f>
        <v>0</v>
      </c>
      <c r="Q7" s="1">
        <f ca="1" t="shared" ref="Q7:Q70" si="4">P7*$B7</f>
        <v>0</v>
      </c>
      <c r="R7" s="5">
        <f ca="1">R6+Q7</f>
        <v>0</v>
      </c>
      <c r="S7" s="1">
        <f ca="1">OFFSET(控制台!$R$3691,MATCH($C7,控制台!$B$3691:$B$3706,0)-1,0)</f>
        <v>0</v>
      </c>
      <c r="T7" s="1">
        <f ca="1" t="shared" ref="T7:T70" si="5">S7*$B7</f>
        <v>0</v>
      </c>
      <c r="U7" s="5">
        <f ca="1">U6+T7</f>
        <v>0</v>
      </c>
      <c r="V7" s="1">
        <f ca="1">OFFSET(控制台!$O$3691,MATCH($C7,控制台!$B$3691:$B$3706,0)-1,0)</f>
        <v>5000</v>
      </c>
      <c r="W7" s="1">
        <f ca="1" t="shared" ref="W7:W70" si="6">V7*$B7</f>
        <v>500</v>
      </c>
      <c r="X7" s="5">
        <f ca="1">X6+W7</f>
        <v>500</v>
      </c>
    </row>
    <row r="8" spans="1:24">
      <c r="A8" s="7">
        <v>0.2</v>
      </c>
      <c r="B8" s="1">
        <f t="shared" ref="B8:B71" si="7">A8-A7</f>
        <v>0.1</v>
      </c>
      <c r="C8" s="1">
        <f>IF(控制台!C2033="",C7,控制台!C2033)</f>
        <v>0</v>
      </c>
      <c r="D8" s="1">
        <f ca="1">OFFSET(控制台!$L$3691,MATCH($C8,控制台!$B$3691:$B$3706,0)-1,0)</f>
        <v>30000</v>
      </c>
      <c r="E8" s="1">
        <f ca="1" t="shared" si="0"/>
        <v>3000</v>
      </c>
      <c r="F8" s="5">
        <f ca="1" t="shared" ref="F8:F71" si="8">F7+E8</f>
        <v>6000</v>
      </c>
      <c r="G8" s="1">
        <f ca="1">OFFSET(控制台!$M$3691,MATCH($C8,控制台!$B$3691:$B$3706,0)-1,0)</f>
        <v>0</v>
      </c>
      <c r="H8" s="1">
        <f ca="1" t="shared" si="1"/>
        <v>0</v>
      </c>
      <c r="I8" s="5">
        <f ca="1" t="shared" ref="I8:I71" si="9">I7+H8</f>
        <v>0</v>
      </c>
      <c r="J8" s="1">
        <f ca="1">OFFSET(控制台!$N$3691,MATCH($C8,控制台!$B$3691:$B$3706,0)-1,0)</f>
        <v>10000</v>
      </c>
      <c r="K8" s="1">
        <f ca="1" t="shared" si="2"/>
        <v>1000</v>
      </c>
      <c r="L8" s="5">
        <f ca="1" t="shared" ref="L8:L71" si="10">L7+K8</f>
        <v>2000</v>
      </c>
      <c r="M8" s="1">
        <f ca="1">OFFSET(控制台!$P$3691,MATCH($C8,控制台!$B$3691:$B$3706,0)-1,0)</f>
        <v>0</v>
      </c>
      <c r="N8" s="1">
        <f ca="1" t="shared" si="3"/>
        <v>0</v>
      </c>
      <c r="O8" s="5">
        <f ca="1" t="shared" ref="O8:O71" si="11">O7+N8</f>
        <v>0</v>
      </c>
      <c r="P8" s="1">
        <f ca="1">OFFSET(控制台!$Q$3691,MATCH($C8,控制台!$B$3691:$B$3706,0)-1,0)</f>
        <v>0</v>
      </c>
      <c r="Q8" s="1">
        <f ca="1" t="shared" si="4"/>
        <v>0</v>
      </c>
      <c r="R8" s="5">
        <f ca="1" t="shared" ref="R8:R71" si="12">R7+Q8</f>
        <v>0</v>
      </c>
      <c r="S8" s="1">
        <f ca="1">OFFSET(控制台!$R$3691,MATCH($C8,控制台!$B$3691:$B$3706,0)-1,0)</f>
        <v>0</v>
      </c>
      <c r="T8" s="1">
        <f ca="1" t="shared" si="5"/>
        <v>0</v>
      </c>
      <c r="U8" s="5">
        <f ca="1" t="shared" ref="U8:U71" si="13">U7+T8</f>
        <v>0</v>
      </c>
      <c r="V8" s="1">
        <f ca="1">OFFSET(控制台!$O$3691,MATCH($C8,控制台!$B$3691:$B$3706,0)-1,0)</f>
        <v>5000</v>
      </c>
      <c r="W8" s="1">
        <f ca="1" t="shared" si="6"/>
        <v>500</v>
      </c>
      <c r="X8" s="5">
        <f ca="1" t="shared" ref="X8:X71" si="14">X7+W8</f>
        <v>1000</v>
      </c>
    </row>
    <row r="9" spans="1:24">
      <c r="A9" s="7">
        <v>0.3</v>
      </c>
      <c r="B9" s="1">
        <f t="shared" si="7"/>
        <v>0.1</v>
      </c>
      <c r="C9" s="1">
        <f>IF(控制台!C2034="",C8,控制台!C2034)</f>
        <v>0</v>
      </c>
      <c r="D9" s="1">
        <f ca="1">OFFSET(控制台!$L$3691,MATCH($C9,控制台!$B$3691:$B$3706,0)-1,0)</f>
        <v>30000</v>
      </c>
      <c r="E9" s="1">
        <f ca="1" t="shared" si="0"/>
        <v>3000</v>
      </c>
      <c r="F9" s="5">
        <f ca="1" t="shared" si="8"/>
        <v>9000</v>
      </c>
      <c r="G9" s="1">
        <f ca="1">OFFSET(控制台!$M$3691,MATCH($C9,控制台!$B$3691:$B$3706,0)-1,0)</f>
        <v>0</v>
      </c>
      <c r="H9" s="1">
        <f ca="1" t="shared" si="1"/>
        <v>0</v>
      </c>
      <c r="I9" s="5">
        <f ca="1" t="shared" si="9"/>
        <v>0</v>
      </c>
      <c r="J9" s="1">
        <f ca="1">OFFSET(控制台!$N$3691,MATCH($C9,控制台!$B$3691:$B$3706,0)-1,0)</f>
        <v>10000</v>
      </c>
      <c r="K9" s="1">
        <f ca="1" t="shared" si="2"/>
        <v>1000</v>
      </c>
      <c r="L9" s="5">
        <f ca="1" t="shared" si="10"/>
        <v>3000</v>
      </c>
      <c r="M9" s="1">
        <f ca="1">OFFSET(控制台!$P$3691,MATCH($C9,控制台!$B$3691:$B$3706,0)-1,0)</f>
        <v>0</v>
      </c>
      <c r="N9" s="1">
        <f ca="1" t="shared" si="3"/>
        <v>0</v>
      </c>
      <c r="O9" s="5">
        <f ca="1" t="shared" si="11"/>
        <v>0</v>
      </c>
      <c r="P9" s="1">
        <f ca="1">OFFSET(控制台!$Q$3691,MATCH($C9,控制台!$B$3691:$B$3706,0)-1,0)</f>
        <v>0</v>
      </c>
      <c r="Q9" s="1">
        <f ca="1" t="shared" si="4"/>
        <v>0</v>
      </c>
      <c r="R9" s="5">
        <f ca="1" t="shared" si="12"/>
        <v>0</v>
      </c>
      <c r="S9" s="1">
        <f ca="1">OFFSET(控制台!$R$3691,MATCH($C9,控制台!$B$3691:$B$3706,0)-1,0)</f>
        <v>0</v>
      </c>
      <c r="T9" s="1">
        <f ca="1" t="shared" si="5"/>
        <v>0</v>
      </c>
      <c r="U9" s="5">
        <f ca="1" t="shared" si="13"/>
        <v>0</v>
      </c>
      <c r="V9" s="1">
        <f ca="1">OFFSET(控制台!$O$3691,MATCH($C9,控制台!$B$3691:$B$3706,0)-1,0)</f>
        <v>5000</v>
      </c>
      <c r="W9" s="1">
        <f ca="1" t="shared" si="6"/>
        <v>500</v>
      </c>
      <c r="X9" s="5">
        <f ca="1" t="shared" si="14"/>
        <v>1500</v>
      </c>
    </row>
    <row r="10" spans="1:24">
      <c r="A10" s="7">
        <v>0.4</v>
      </c>
      <c r="B10" s="1">
        <f t="shared" si="7"/>
        <v>0.1</v>
      </c>
      <c r="C10" s="1">
        <f>IF(控制台!C2035="",C9,控制台!C2035)</f>
        <v>0</v>
      </c>
      <c r="D10" s="1">
        <f ca="1">OFFSET(控制台!$L$3691,MATCH($C10,控制台!$B$3691:$B$3706,0)-1,0)</f>
        <v>30000</v>
      </c>
      <c r="E10" s="1">
        <f ca="1" t="shared" si="0"/>
        <v>3000</v>
      </c>
      <c r="F10" s="5">
        <f ca="1" t="shared" si="8"/>
        <v>12000</v>
      </c>
      <c r="G10" s="1">
        <f ca="1">OFFSET(控制台!$M$3691,MATCH($C10,控制台!$B$3691:$B$3706,0)-1,0)</f>
        <v>0</v>
      </c>
      <c r="H10" s="1">
        <f ca="1" t="shared" si="1"/>
        <v>0</v>
      </c>
      <c r="I10" s="5">
        <f ca="1" t="shared" si="9"/>
        <v>0</v>
      </c>
      <c r="J10" s="1">
        <f ca="1">OFFSET(控制台!$N$3691,MATCH($C10,控制台!$B$3691:$B$3706,0)-1,0)</f>
        <v>10000</v>
      </c>
      <c r="K10" s="1">
        <f ca="1" t="shared" si="2"/>
        <v>1000</v>
      </c>
      <c r="L10" s="5">
        <f ca="1" t="shared" si="10"/>
        <v>4000</v>
      </c>
      <c r="M10" s="1">
        <f ca="1">OFFSET(控制台!$P$3691,MATCH($C10,控制台!$B$3691:$B$3706,0)-1,0)</f>
        <v>0</v>
      </c>
      <c r="N10" s="1">
        <f ca="1" t="shared" si="3"/>
        <v>0</v>
      </c>
      <c r="O10" s="5">
        <f ca="1" t="shared" si="11"/>
        <v>0</v>
      </c>
      <c r="P10" s="1">
        <f ca="1">OFFSET(控制台!$Q$3691,MATCH($C10,控制台!$B$3691:$B$3706,0)-1,0)</f>
        <v>0</v>
      </c>
      <c r="Q10" s="1">
        <f ca="1" t="shared" si="4"/>
        <v>0</v>
      </c>
      <c r="R10" s="5">
        <f ca="1" t="shared" si="12"/>
        <v>0</v>
      </c>
      <c r="S10" s="1">
        <f ca="1">OFFSET(控制台!$R$3691,MATCH($C10,控制台!$B$3691:$B$3706,0)-1,0)</f>
        <v>0</v>
      </c>
      <c r="T10" s="1">
        <f ca="1" t="shared" si="5"/>
        <v>0</v>
      </c>
      <c r="U10" s="5">
        <f ca="1" t="shared" si="13"/>
        <v>0</v>
      </c>
      <c r="V10" s="1">
        <f ca="1">OFFSET(控制台!$O$3691,MATCH($C10,控制台!$B$3691:$B$3706,0)-1,0)</f>
        <v>5000</v>
      </c>
      <c r="W10" s="1">
        <f ca="1" t="shared" si="6"/>
        <v>500</v>
      </c>
      <c r="X10" s="5">
        <f ca="1" t="shared" si="14"/>
        <v>2000</v>
      </c>
    </row>
    <row r="11" spans="1:24">
      <c r="A11" s="7">
        <v>0.5</v>
      </c>
      <c r="B11" s="1">
        <f t="shared" si="7"/>
        <v>0.1</v>
      </c>
      <c r="C11" s="1">
        <f>IF(控制台!C2036="",C10,控制台!C2036)</f>
        <v>0</v>
      </c>
      <c r="D11" s="1">
        <f ca="1">OFFSET(控制台!$L$3691,MATCH($C11,控制台!$B$3691:$B$3706,0)-1,0)</f>
        <v>30000</v>
      </c>
      <c r="E11" s="1">
        <f ca="1" t="shared" si="0"/>
        <v>3000</v>
      </c>
      <c r="F11" s="5">
        <f ca="1" t="shared" si="8"/>
        <v>15000</v>
      </c>
      <c r="G11" s="1">
        <f ca="1">OFFSET(控制台!$M$3691,MATCH($C11,控制台!$B$3691:$B$3706,0)-1,0)</f>
        <v>0</v>
      </c>
      <c r="H11" s="1">
        <f ca="1" t="shared" si="1"/>
        <v>0</v>
      </c>
      <c r="I11" s="5">
        <f ca="1" t="shared" si="9"/>
        <v>0</v>
      </c>
      <c r="J11" s="1">
        <f ca="1">OFFSET(控制台!$N$3691,MATCH($C11,控制台!$B$3691:$B$3706,0)-1,0)</f>
        <v>10000</v>
      </c>
      <c r="K11" s="1">
        <f ca="1" t="shared" si="2"/>
        <v>1000</v>
      </c>
      <c r="L11" s="5">
        <f ca="1" t="shared" si="10"/>
        <v>5000</v>
      </c>
      <c r="M11" s="1">
        <f ca="1">OFFSET(控制台!$P$3691,MATCH($C11,控制台!$B$3691:$B$3706,0)-1,0)</f>
        <v>0</v>
      </c>
      <c r="N11" s="1">
        <f ca="1" t="shared" si="3"/>
        <v>0</v>
      </c>
      <c r="O11" s="5">
        <f ca="1" t="shared" si="11"/>
        <v>0</v>
      </c>
      <c r="P11" s="1">
        <f ca="1">OFFSET(控制台!$Q$3691,MATCH($C11,控制台!$B$3691:$B$3706,0)-1,0)</f>
        <v>0</v>
      </c>
      <c r="Q11" s="1">
        <f ca="1" t="shared" si="4"/>
        <v>0</v>
      </c>
      <c r="R11" s="5">
        <f ca="1" t="shared" si="12"/>
        <v>0</v>
      </c>
      <c r="S11" s="1">
        <f ca="1">OFFSET(控制台!$R$3691,MATCH($C11,控制台!$B$3691:$B$3706,0)-1,0)</f>
        <v>0</v>
      </c>
      <c r="T11" s="1">
        <f ca="1" t="shared" si="5"/>
        <v>0</v>
      </c>
      <c r="U11" s="5">
        <f ca="1" t="shared" si="13"/>
        <v>0</v>
      </c>
      <c r="V11" s="1">
        <f ca="1">OFFSET(控制台!$O$3691,MATCH($C11,控制台!$B$3691:$B$3706,0)-1,0)</f>
        <v>5000</v>
      </c>
      <c r="W11" s="1">
        <f ca="1" t="shared" si="6"/>
        <v>500</v>
      </c>
      <c r="X11" s="5">
        <f ca="1" t="shared" si="14"/>
        <v>2500</v>
      </c>
    </row>
    <row r="12" spans="1:24">
      <c r="A12" s="7">
        <v>0.6</v>
      </c>
      <c r="B12" s="1">
        <f t="shared" si="7"/>
        <v>0.1</v>
      </c>
      <c r="C12" s="1">
        <f>IF(控制台!C2037="",C11,控制台!C2037)</f>
        <v>0</v>
      </c>
      <c r="D12" s="1">
        <f ca="1">OFFSET(控制台!$L$3691,MATCH($C12,控制台!$B$3691:$B$3706,0)-1,0)</f>
        <v>30000</v>
      </c>
      <c r="E12" s="1">
        <f ca="1" t="shared" si="0"/>
        <v>3000</v>
      </c>
      <c r="F12" s="5">
        <f ca="1" t="shared" si="8"/>
        <v>18000</v>
      </c>
      <c r="G12" s="1">
        <f ca="1">OFFSET(控制台!$M$3691,MATCH($C12,控制台!$B$3691:$B$3706,0)-1,0)</f>
        <v>0</v>
      </c>
      <c r="H12" s="1">
        <f ca="1" t="shared" si="1"/>
        <v>0</v>
      </c>
      <c r="I12" s="5">
        <f ca="1" t="shared" si="9"/>
        <v>0</v>
      </c>
      <c r="J12" s="1">
        <f ca="1">OFFSET(控制台!$N$3691,MATCH($C12,控制台!$B$3691:$B$3706,0)-1,0)</f>
        <v>10000</v>
      </c>
      <c r="K12" s="1">
        <f ca="1" t="shared" si="2"/>
        <v>1000</v>
      </c>
      <c r="L12" s="5">
        <f ca="1" t="shared" si="10"/>
        <v>6000</v>
      </c>
      <c r="M12" s="1">
        <f ca="1">OFFSET(控制台!$P$3691,MATCH($C12,控制台!$B$3691:$B$3706,0)-1,0)</f>
        <v>0</v>
      </c>
      <c r="N12" s="1">
        <f ca="1" t="shared" si="3"/>
        <v>0</v>
      </c>
      <c r="O12" s="5">
        <f ca="1" t="shared" si="11"/>
        <v>0</v>
      </c>
      <c r="P12" s="1">
        <f ca="1">OFFSET(控制台!$Q$3691,MATCH($C12,控制台!$B$3691:$B$3706,0)-1,0)</f>
        <v>0</v>
      </c>
      <c r="Q12" s="1">
        <f ca="1" t="shared" si="4"/>
        <v>0</v>
      </c>
      <c r="R12" s="5">
        <f ca="1" t="shared" si="12"/>
        <v>0</v>
      </c>
      <c r="S12" s="1">
        <f ca="1">OFFSET(控制台!$R$3691,MATCH($C12,控制台!$B$3691:$B$3706,0)-1,0)</f>
        <v>0</v>
      </c>
      <c r="T12" s="1">
        <f ca="1" t="shared" si="5"/>
        <v>0</v>
      </c>
      <c r="U12" s="5">
        <f ca="1" t="shared" si="13"/>
        <v>0</v>
      </c>
      <c r="V12" s="1">
        <f ca="1">OFFSET(控制台!$O$3691,MATCH($C12,控制台!$B$3691:$B$3706,0)-1,0)</f>
        <v>5000</v>
      </c>
      <c r="W12" s="1">
        <f ca="1" t="shared" si="6"/>
        <v>500</v>
      </c>
      <c r="X12" s="5">
        <f ca="1" t="shared" si="14"/>
        <v>3000</v>
      </c>
    </row>
    <row r="13" spans="1:24">
      <c r="A13" s="7">
        <v>0.7</v>
      </c>
      <c r="B13" s="1">
        <f t="shared" si="7"/>
        <v>0.1</v>
      </c>
      <c r="C13" s="1">
        <f>IF(控制台!C2038="",C12,控制台!C2038)</f>
        <v>0</v>
      </c>
      <c r="D13" s="1">
        <f ca="1">OFFSET(控制台!$L$3691,MATCH($C13,控制台!$B$3691:$B$3706,0)-1,0)</f>
        <v>30000</v>
      </c>
      <c r="E13" s="1">
        <f ca="1" t="shared" si="0"/>
        <v>3000</v>
      </c>
      <c r="F13" s="5">
        <f ca="1" t="shared" si="8"/>
        <v>21000</v>
      </c>
      <c r="G13" s="1">
        <f ca="1">OFFSET(控制台!$M$3691,MATCH($C13,控制台!$B$3691:$B$3706,0)-1,0)</f>
        <v>0</v>
      </c>
      <c r="H13" s="1">
        <f ca="1" t="shared" si="1"/>
        <v>0</v>
      </c>
      <c r="I13" s="5">
        <f ca="1" t="shared" si="9"/>
        <v>0</v>
      </c>
      <c r="J13" s="1">
        <f ca="1">OFFSET(控制台!$N$3691,MATCH($C13,控制台!$B$3691:$B$3706,0)-1,0)</f>
        <v>10000</v>
      </c>
      <c r="K13" s="1">
        <f ca="1" t="shared" si="2"/>
        <v>1000</v>
      </c>
      <c r="L13" s="5">
        <f ca="1" t="shared" si="10"/>
        <v>7000</v>
      </c>
      <c r="M13" s="1">
        <f ca="1">OFFSET(控制台!$P$3691,MATCH($C13,控制台!$B$3691:$B$3706,0)-1,0)</f>
        <v>0</v>
      </c>
      <c r="N13" s="1">
        <f ca="1" t="shared" si="3"/>
        <v>0</v>
      </c>
      <c r="O13" s="5">
        <f ca="1" t="shared" si="11"/>
        <v>0</v>
      </c>
      <c r="P13" s="1">
        <f ca="1">OFFSET(控制台!$Q$3691,MATCH($C13,控制台!$B$3691:$B$3706,0)-1,0)</f>
        <v>0</v>
      </c>
      <c r="Q13" s="1">
        <f ca="1" t="shared" si="4"/>
        <v>0</v>
      </c>
      <c r="R13" s="5">
        <f ca="1" t="shared" si="12"/>
        <v>0</v>
      </c>
      <c r="S13" s="1">
        <f ca="1">OFFSET(控制台!$R$3691,MATCH($C13,控制台!$B$3691:$B$3706,0)-1,0)</f>
        <v>0</v>
      </c>
      <c r="T13" s="1">
        <f ca="1" t="shared" si="5"/>
        <v>0</v>
      </c>
      <c r="U13" s="5">
        <f ca="1" t="shared" si="13"/>
        <v>0</v>
      </c>
      <c r="V13" s="1">
        <f ca="1">OFFSET(控制台!$O$3691,MATCH($C13,控制台!$B$3691:$B$3706,0)-1,0)</f>
        <v>5000</v>
      </c>
      <c r="W13" s="1">
        <f ca="1" t="shared" si="6"/>
        <v>500</v>
      </c>
      <c r="X13" s="5">
        <f ca="1" t="shared" si="14"/>
        <v>3500</v>
      </c>
    </row>
    <row r="14" spans="1:24">
      <c r="A14" s="7">
        <v>0.8</v>
      </c>
      <c r="B14" s="1">
        <f t="shared" si="7"/>
        <v>0.1</v>
      </c>
      <c r="C14" s="1">
        <f>IF(控制台!C2039="",C13,控制台!C2039)</f>
        <v>0</v>
      </c>
      <c r="D14" s="1">
        <f ca="1">OFFSET(控制台!$L$3691,MATCH($C14,控制台!$B$3691:$B$3706,0)-1,0)</f>
        <v>30000</v>
      </c>
      <c r="E14" s="1">
        <f ca="1" t="shared" si="0"/>
        <v>3000</v>
      </c>
      <c r="F14" s="5">
        <f ca="1" t="shared" si="8"/>
        <v>24000</v>
      </c>
      <c r="G14" s="1">
        <f ca="1">OFFSET(控制台!$M$3691,MATCH($C14,控制台!$B$3691:$B$3706,0)-1,0)</f>
        <v>0</v>
      </c>
      <c r="H14" s="1">
        <f ca="1" t="shared" si="1"/>
        <v>0</v>
      </c>
      <c r="I14" s="5">
        <f ca="1" t="shared" si="9"/>
        <v>0</v>
      </c>
      <c r="J14" s="1">
        <f ca="1">OFFSET(控制台!$N$3691,MATCH($C14,控制台!$B$3691:$B$3706,0)-1,0)</f>
        <v>10000</v>
      </c>
      <c r="K14" s="1">
        <f ca="1" t="shared" si="2"/>
        <v>1000</v>
      </c>
      <c r="L14" s="5">
        <f ca="1" t="shared" si="10"/>
        <v>8000</v>
      </c>
      <c r="M14" s="1">
        <f ca="1">OFFSET(控制台!$P$3691,MATCH($C14,控制台!$B$3691:$B$3706,0)-1,0)</f>
        <v>0</v>
      </c>
      <c r="N14" s="1">
        <f ca="1" t="shared" si="3"/>
        <v>0</v>
      </c>
      <c r="O14" s="5">
        <f ca="1" t="shared" si="11"/>
        <v>0</v>
      </c>
      <c r="P14" s="1">
        <f ca="1">OFFSET(控制台!$Q$3691,MATCH($C14,控制台!$B$3691:$B$3706,0)-1,0)</f>
        <v>0</v>
      </c>
      <c r="Q14" s="1">
        <f ca="1" t="shared" si="4"/>
        <v>0</v>
      </c>
      <c r="R14" s="5">
        <f ca="1" t="shared" si="12"/>
        <v>0</v>
      </c>
      <c r="S14" s="1">
        <f ca="1">OFFSET(控制台!$R$3691,MATCH($C14,控制台!$B$3691:$B$3706,0)-1,0)</f>
        <v>0</v>
      </c>
      <c r="T14" s="1">
        <f ca="1" t="shared" si="5"/>
        <v>0</v>
      </c>
      <c r="U14" s="5">
        <f ca="1" t="shared" si="13"/>
        <v>0</v>
      </c>
      <c r="V14" s="1">
        <f ca="1">OFFSET(控制台!$O$3691,MATCH($C14,控制台!$B$3691:$B$3706,0)-1,0)</f>
        <v>5000</v>
      </c>
      <c r="W14" s="1">
        <f ca="1" t="shared" si="6"/>
        <v>500</v>
      </c>
      <c r="X14" s="5">
        <f ca="1" t="shared" si="14"/>
        <v>4000</v>
      </c>
    </row>
    <row r="15" spans="1:24">
      <c r="A15" s="7">
        <v>0.9</v>
      </c>
      <c r="B15" s="1">
        <f t="shared" si="7"/>
        <v>0.1</v>
      </c>
      <c r="C15" s="1">
        <f>IF(控制台!C2040="",C14,控制台!C2040)</f>
        <v>0</v>
      </c>
      <c r="D15" s="1">
        <f ca="1">OFFSET(控制台!$L$3691,MATCH($C15,控制台!$B$3691:$B$3706,0)-1,0)</f>
        <v>30000</v>
      </c>
      <c r="E15" s="1">
        <f ca="1" t="shared" si="0"/>
        <v>3000</v>
      </c>
      <c r="F15" s="5">
        <f ca="1" t="shared" si="8"/>
        <v>27000</v>
      </c>
      <c r="G15" s="1">
        <f ca="1">OFFSET(控制台!$M$3691,MATCH($C15,控制台!$B$3691:$B$3706,0)-1,0)</f>
        <v>0</v>
      </c>
      <c r="H15" s="1">
        <f ca="1" t="shared" si="1"/>
        <v>0</v>
      </c>
      <c r="I15" s="5">
        <f ca="1" t="shared" si="9"/>
        <v>0</v>
      </c>
      <c r="J15" s="1">
        <f ca="1">OFFSET(控制台!$N$3691,MATCH($C15,控制台!$B$3691:$B$3706,0)-1,0)</f>
        <v>10000</v>
      </c>
      <c r="K15" s="1">
        <f ca="1" t="shared" si="2"/>
        <v>1000</v>
      </c>
      <c r="L15" s="5">
        <f ca="1" t="shared" si="10"/>
        <v>9000</v>
      </c>
      <c r="M15" s="1">
        <f ca="1">OFFSET(控制台!$P$3691,MATCH($C15,控制台!$B$3691:$B$3706,0)-1,0)</f>
        <v>0</v>
      </c>
      <c r="N15" s="1">
        <f ca="1" t="shared" si="3"/>
        <v>0</v>
      </c>
      <c r="O15" s="5">
        <f ca="1" t="shared" si="11"/>
        <v>0</v>
      </c>
      <c r="P15" s="1">
        <f ca="1">OFFSET(控制台!$Q$3691,MATCH($C15,控制台!$B$3691:$B$3706,0)-1,0)</f>
        <v>0</v>
      </c>
      <c r="Q15" s="1">
        <f ca="1" t="shared" si="4"/>
        <v>0</v>
      </c>
      <c r="R15" s="5">
        <f ca="1" t="shared" si="12"/>
        <v>0</v>
      </c>
      <c r="S15" s="1">
        <f ca="1">OFFSET(控制台!$R$3691,MATCH($C15,控制台!$B$3691:$B$3706,0)-1,0)</f>
        <v>0</v>
      </c>
      <c r="T15" s="1">
        <f ca="1" t="shared" si="5"/>
        <v>0</v>
      </c>
      <c r="U15" s="5">
        <f ca="1" t="shared" si="13"/>
        <v>0</v>
      </c>
      <c r="V15" s="1">
        <f ca="1">OFFSET(控制台!$O$3691,MATCH($C15,控制台!$B$3691:$B$3706,0)-1,0)</f>
        <v>5000</v>
      </c>
      <c r="W15" s="1">
        <f ca="1" t="shared" si="6"/>
        <v>500</v>
      </c>
      <c r="X15" s="5">
        <f ca="1" t="shared" si="14"/>
        <v>4500</v>
      </c>
    </row>
    <row r="16" spans="1:24">
      <c r="A16" s="7">
        <v>1</v>
      </c>
      <c r="B16" s="1">
        <f t="shared" si="7"/>
        <v>0.1</v>
      </c>
      <c r="C16" s="1">
        <f>IF(控制台!C2041="",C15,控制台!C2041)</f>
        <v>0</v>
      </c>
      <c r="D16" s="1">
        <f ca="1">OFFSET(控制台!$L$3691,MATCH($C16,控制台!$B$3691:$B$3706,0)-1,0)</f>
        <v>30000</v>
      </c>
      <c r="E16" s="1">
        <f ca="1" t="shared" si="0"/>
        <v>3000</v>
      </c>
      <c r="F16" s="5">
        <f ca="1" t="shared" si="8"/>
        <v>30000</v>
      </c>
      <c r="G16" s="1">
        <f ca="1">OFFSET(控制台!$M$3691,MATCH($C16,控制台!$B$3691:$B$3706,0)-1,0)</f>
        <v>0</v>
      </c>
      <c r="H16" s="1">
        <f ca="1" t="shared" si="1"/>
        <v>0</v>
      </c>
      <c r="I16" s="5">
        <f ca="1" t="shared" si="9"/>
        <v>0</v>
      </c>
      <c r="J16" s="1">
        <f ca="1">OFFSET(控制台!$N$3691,MATCH($C16,控制台!$B$3691:$B$3706,0)-1,0)</f>
        <v>10000</v>
      </c>
      <c r="K16" s="1">
        <f ca="1" t="shared" si="2"/>
        <v>1000</v>
      </c>
      <c r="L16" s="5">
        <f ca="1" t="shared" si="10"/>
        <v>10000</v>
      </c>
      <c r="M16" s="1">
        <f ca="1">OFFSET(控制台!$P$3691,MATCH($C16,控制台!$B$3691:$B$3706,0)-1,0)</f>
        <v>0</v>
      </c>
      <c r="N16" s="1">
        <f ca="1" t="shared" si="3"/>
        <v>0</v>
      </c>
      <c r="O16" s="5">
        <f ca="1" t="shared" si="11"/>
        <v>0</v>
      </c>
      <c r="P16" s="1">
        <f ca="1">OFFSET(控制台!$Q$3691,MATCH($C16,控制台!$B$3691:$B$3706,0)-1,0)</f>
        <v>0</v>
      </c>
      <c r="Q16" s="1">
        <f ca="1" t="shared" si="4"/>
        <v>0</v>
      </c>
      <c r="R16" s="5">
        <f ca="1" t="shared" si="12"/>
        <v>0</v>
      </c>
      <c r="S16" s="1">
        <f ca="1">OFFSET(控制台!$R$3691,MATCH($C16,控制台!$B$3691:$B$3706,0)-1,0)</f>
        <v>0</v>
      </c>
      <c r="T16" s="1">
        <f ca="1" t="shared" si="5"/>
        <v>0</v>
      </c>
      <c r="U16" s="5">
        <f ca="1" t="shared" si="13"/>
        <v>0</v>
      </c>
      <c r="V16" s="1">
        <f ca="1">OFFSET(控制台!$O$3691,MATCH($C16,控制台!$B$3691:$B$3706,0)-1,0)</f>
        <v>5000</v>
      </c>
      <c r="W16" s="1">
        <f ca="1" t="shared" si="6"/>
        <v>500</v>
      </c>
      <c r="X16" s="5">
        <f ca="1" t="shared" si="14"/>
        <v>5000</v>
      </c>
    </row>
    <row r="17" spans="1:24">
      <c r="A17" s="9">
        <v>1.5</v>
      </c>
      <c r="B17" s="1">
        <f t="shared" si="7"/>
        <v>0.5</v>
      </c>
      <c r="C17" s="1">
        <f>IF(控制台!C2042="",C16,控制台!C2042)</f>
        <v>0</v>
      </c>
      <c r="D17" s="1">
        <f ca="1">OFFSET(控制台!$L$3691,MATCH($C17,控制台!$B$3691:$B$3706,0)-1,0)</f>
        <v>30000</v>
      </c>
      <c r="E17" s="1">
        <f ca="1" t="shared" si="0"/>
        <v>15000</v>
      </c>
      <c r="F17" s="5">
        <f ca="1" t="shared" si="8"/>
        <v>45000</v>
      </c>
      <c r="G17" s="1">
        <f ca="1">OFFSET(控制台!$M$3691,MATCH($C17,控制台!$B$3691:$B$3706,0)-1,0)</f>
        <v>0</v>
      </c>
      <c r="H17" s="1">
        <f ca="1" t="shared" si="1"/>
        <v>0</v>
      </c>
      <c r="I17" s="5">
        <f ca="1" t="shared" si="9"/>
        <v>0</v>
      </c>
      <c r="J17" s="1">
        <f ca="1">OFFSET(控制台!$N$3691,MATCH($C17,控制台!$B$3691:$B$3706,0)-1,0)</f>
        <v>10000</v>
      </c>
      <c r="K17" s="1">
        <f ca="1" t="shared" si="2"/>
        <v>5000</v>
      </c>
      <c r="L17" s="5">
        <f ca="1" t="shared" si="10"/>
        <v>15000</v>
      </c>
      <c r="M17" s="1">
        <f ca="1">OFFSET(控制台!$P$3691,MATCH($C17,控制台!$B$3691:$B$3706,0)-1,0)</f>
        <v>0</v>
      </c>
      <c r="N17" s="1">
        <f ca="1" t="shared" si="3"/>
        <v>0</v>
      </c>
      <c r="O17" s="5">
        <f ca="1" t="shared" si="11"/>
        <v>0</v>
      </c>
      <c r="P17" s="1">
        <f ca="1">OFFSET(控制台!$Q$3691,MATCH($C17,控制台!$B$3691:$B$3706,0)-1,0)</f>
        <v>0</v>
      </c>
      <c r="Q17" s="1">
        <f ca="1" t="shared" si="4"/>
        <v>0</v>
      </c>
      <c r="R17" s="5">
        <f ca="1" t="shared" si="12"/>
        <v>0</v>
      </c>
      <c r="S17" s="1">
        <f ca="1">OFFSET(控制台!$R$3691,MATCH($C17,控制台!$B$3691:$B$3706,0)-1,0)</f>
        <v>0</v>
      </c>
      <c r="T17" s="1">
        <f ca="1" t="shared" si="5"/>
        <v>0</v>
      </c>
      <c r="U17" s="5">
        <f ca="1" t="shared" si="13"/>
        <v>0</v>
      </c>
      <c r="V17" s="1">
        <f ca="1">OFFSET(控制台!$O$3691,MATCH($C17,控制台!$B$3691:$B$3706,0)-1,0)</f>
        <v>5000</v>
      </c>
      <c r="W17" s="1">
        <f ca="1" t="shared" si="6"/>
        <v>2500</v>
      </c>
      <c r="X17" s="5">
        <f ca="1" t="shared" si="14"/>
        <v>7500</v>
      </c>
    </row>
    <row r="18" spans="1:24">
      <c r="A18" s="9">
        <v>2</v>
      </c>
      <c r="B18" s="1">
        <f t="shared" si="7"/>
        <v>0.5</v>
      </c>
      <c r="C18" s="1">
        <f>IF(控制台!C2043="",C17,控制台!C2043)</f>
        <v>1</v>
      </c>
      <c r="D18" s="1">
        <f ca="1">OFFSET(控制台!$L$3691,MATCH($C18,控制台!$B$3691:$B$3706,0)-1,0)</f>
        <v>60000</v>
      </c>
      <c r="E18" s="1">
        <f ca="1" t="shared" si="0"/>
        <v>30000</v>
      </c>
      <c r="F18" s="5">
        <f ca="1" t="shared" si="8"/>
        <v>75000</v>
      </c>
      <c r="G18" s="1">
        <f ca="1">OFFSET(控制台!$M$3691,MATCH($C18,控制台!$B$3691:$B$3706,0)-1,0)</f>
        <v>0</v>
      </c>
      <c r="H18" s="1">
        <f ca="1" t="shared" si="1"/>
        <v>0</v>
      </c>
      <c r="I18" s="5">
        <f ca="1" t="shared" si="9"/>
        <v>0</v>
      </c>
      <c r="J18" s="1">
        <f ca="1">OFFSET(控制台!$N$3691,MATCH($C18,控制台!$B$3691:$B$3706,0)-1,0)</f>
        <v>20000</v>
      </c>
      <c r="K18" s="1">
        <f ca="1" t="shared" si="2"/>
        <v>10000</v>
      </c>
      <c r="L18" s="5">
        <f ca="1" t="shared" si="10"/>
        <v>25000</v>
      </c>
      <c r="M18" s="1">
        <f ca="1">OFFSET(控制台!$P$3691,MATCH($C18,控制台!$B$3691:$B$3706,0)-1,0)</f>
        <v>0</v>
      </c>
      <c r="N18" s="1">
        <f ca="1" t="shared" si="3"/>
        <v>0</v>
      </c>
      <c r="O18" s="5">
        <f ca="1" t="shared" si="11"/>
        <v>0</v>
      </c>
      <c r="P18" s="1">
        <f ca="1">OFFSET(控制台!$Q$3691,MATCH($C18,控制台!$B$3691:$B$3706,0)-1,0)</f>
        <v>0</v>
      </c>
      <c r="Q18" s="1">
        <f ca="1" t="shared" si="4"/>
        <v>0</v>
      </c>
      <c r="R18" s="5">
        <f ca="1" t="shared" si="12"/>
        <v>0</v>
      </c>
      <c r="S18" s="1">
        <f ca="1">OFFSET(控制台!$R$3691,MATCH($C18,控制台!$B$3691:$B$3706,0)-1,0)</f>
        <v>0</v>
      </c>
      <c r="T18" s="1">
        <f ca="1" t="shared" si="5"/>
        <v>0</v>
      </c>
      <c r="U18" s="5">
        <f ca="1" t="shared" si="13"/>
        <v>0</v>
      </c>
      <c r="V18" s="1">
        <f ca="1">OFFSET(控制台!$O$3691,MATCH($C18,控制台!$B$3691:$B$3706,0)-1,0)</f>
        <v>10000</v>
      </c>
      <c r="W18" s="1">
        <f ca="1" t="shared" si="6"/>
        <v>5000</v>
      </c>
      <c r="X18" s="5">
        <f ca="1" t="shared" si="14"/>
        <v>12500</v>
      </c>
    </row>
    <row r="19" spans="1:24">
      <c r="A19" s="9">
        <v>2.5</v>
      </c>
      <c r="B19" s="1">
        <f t="shared" si="7"/>
        <v>0.5</v>
      </c>
      <c r="C19" s="1">
        <f>IF(控制台!C2044="",C18,控制台!C2044)</f>
        <v>1</v>
      </c>
      <c r="D19" s="1">
        <f ca="1">OFFSET(控制台!$L$3691,MATCH($C19,控制台!$B$3691:$B$3706,0)-1,0)</f>
        <v>60000</v>
      </c>
      <c r="E19" s="1">
        <f ca="1" t="shared" si="0"/>
        <v>30000</v>
      </c>
      <c r="F19" s="5">
        <f ca="1" t="shared" si="8"/>
        <v>105000</v>
      </c>
      <c r="G19" s="1">
        <f ca="1">OFFSET(控制台!$M$3691,MATCH($C19,控制台!$B$3691:$B$3706,0)-1,0)</f>
        <v>0</v>
      </c>
      <c r="H19" s="1">
        <f ca="1" t="shared" si="1"/>
        <v>0</v>
      </c>
      <c r="I19" s="5">
        <f ca="1" t="shared" si="9"/>
        <v>0</v>
      </c>
      <c r="J19" s="1">
        <f ca="1">OFFSET(控制台!$N$3691,MATCH($C19,控制台!$B$3691:$B$3706,0)-1,0)</f>
        <v>20000</v>
      </c>
      <c r="K19" s="1">
        <f ca="1" t="shared" si="2"/>
        <v>10000</v>
      </c>
      <c r="L19" s="5">
        <f ca="1" t="shared" si="10"/>
        <v>35000</v>
      </c>
      <c r="M19" s="1">
        <f ca="1">OFFSET(控制台!$P$3691,MATCH($C19,控制台!$B$3691:$B$3706,0)-1,0)</f>
        <v>0</v>
      </c>
      <c r="N19" s="1">
        <f ca="1" t="shared" si="3"/>
        <v>0</v>
      </c>
      <c r="O19" s="5">
        <f ca="1" t="shared" si="11"/>
        <v>0</v>
      </c>
      <c r="P19" s="1">
        <f ca="1">OFFSET(控制台!$Q$3691,MATCH($C19,控制台!$B$3691:$B$3706,0)-1,0)</f>
        <v>0</v>
      </c>
      <c r="Q19" s="1">
        <f ca="1" t="shared" si="4"/>
        <v>0</v>
      </c>
      <c r="R19" s="5">
        <f ca="1" t="shared" si="12"/>
        <v>0</v>
      </c>
      <c r="S19" s="1">
        <f ca="1">OFFSET(控制台!$R$3691,MATCH($C19,控制台!$B$3691:$B$3706,0)-1,0)</f>
        <v>0</v>
      </c>
      <c r="T19" s="1">
        <f ca="1" t="shared" si="5"/>
        <v>0</v>
      </c>
      <c r="U19" s="5">
        <f ca="1" t="shared" si="13"/>
        <v>0</v>
      </c>
      <c r="V19" s="1">
        <f ca="1">OFFSET(控制台!$O$3691,MATCH($C19,控制台!$B$3691:$B$3706,0)-1,0)</f>
        <v>10000</v>
      </c>
      <c r="W19" s="1">
        <f ca="1" t="shared" si="6"/>
        <v>5000</v>
      </c>
      <c r="X19" s="5">
        <f ca="1" t="shared" si="14"/>
        <v>17500</v>
      </c>
    </row>
    <row r="20" spans="1:24">
      <c r="A20" s="9">
        <v>3</v>
      </c>
      <c r="B20" s="1">
        <f t="shared" si="7"/>
        <v>0.5</v>
      </c>
      <c r="C20" s="1">
        <f>IF(控制台!C2045="",C19,控制台!C2045)</f>
        <v>1</v>
      </c>
      <c r="D20" s="1">
        <f ca="1">OFFSET(控制台!$L$3691,MATCH($C20,控制台!$B$3691:$B$3706,0)-1,0)</f>
        <v>60000</v>
      </c>
      <c r="E20" s="1">
        <f ca="1" t="shared" si="0"/>
        <v>30000</v>
      </c>
      <c r="F20" s="5">
        <f ca="1" t="shared" si="8"/>
        <v>135000</v>
      </c>
      <c r="G20" s="1">
        <f ca="1">OFFSET(控制台!$M$3691,MATCH($C20,控制台!$B$3691:$B$3706,0)-1,0)</f>
        <v>0</v>
      </c>
      <c r="H20" s="1">
        <f ca="1" t="shared" si="1"/>
        <v>0</v>
      </c>
      <c r="I20" s="5">
        <f ca="1" t="shared" si="9"/>
        <v>0</v>
      </c>
      <c r="J20" s="1">
        <f ca="1">OFFSET(控制台!$N$3691,MATCH($C20,控制台!$B$3691:$B$3706,0)-1,0)</f>
        <v>20000</v>
      </c>
      <c r="K20" s="1">
        <f ca="1" t="shared" si="2"/>
        <v>10000</v>
      </c>
      <c r="L20" s="5">
        <f ca="1" t="shared" si="10"/>
        <v>45000</v>
      </c>
      <c r="M20" s="1">
        <f ca="1">OFFSET(控制台!$P$3691,MATCH($C20,控制台!$B$3691:$B$3706,0)-1,0)</f>
        <v>0</v>
      </c>
      <c r="N20" s="1">
        <f ca="1" t="shared" si="3"/>
        <v>0</v>
      </c>
      <c r="O20" s="5">
        <f ca="1" t="shared" si="11"/>
        <v>0</v>
      </c>
      <c r="P20" s="1">
        <f ca="1">OFFSET(控制台!$Q$3691,MATCH($C20,控制台!$B$3691:$B$3706,0)-1,0)</f>
        <v>0</v>
      </c>
      <c r="Q20" s="1">
        <f ca="1" t="shared" si="4"/>
        <v>0</v>
      </c>
      <c r="R20" s="5">
        <f ca="1" t="shared" si="12"/>
        <v>0</v>
      </c>
      <c r="S20" s="1">
        <f ca="1">OFFSET(控制台!$R$3691,MATCH($C20,控制台!$B$3691:$B$3706,0)-1,0)</f>
        <v>0</v>
      </c>
      <c r="T20" s="1">
        <f ca="1" t="shared" si="5"/>
        <v>0</v>
      </c>
      <c r="U20" s="5">
        <f ca="1" t="shared" si="13"/>
        <v>0</v>
      </c>
      <c r="V20" s="1">
        <f ca="1">OFFSET(控制台!$O$3691,MATCH($C20,控制台!$B$3691:$B$3706,0)-1,0)</f>
        <v>10000</v>
      </c>
      <c r="W20" s="1">
        <f ca="1" t="shared" si="6"/>
        <v>5000</v>
      </c>
      <c r="X20" s="5">
        <f ca="1" t="shared" si="14"/>
        <v>22500</v>
      </c>
    </row>
    <row r="21" spans="1:24">
      <c r="A21" s="9">
        <v>3.5</v>
      </c>
      <c r="B21" s="1">
        <f t="shared" si="7"/>
        <v>0.5</v>
      </c>
      <c r="C21" s="1">
        <f>IF(控制台!C2046="",C20,控制台!C2046)</f>
        <v>1</v>
      </c>
      <c r="D21" s="1">
        <f ca="1">OFFSET(控制台!$L$3691,MATCH($C21,控制台!$B$3691:$B$3706,0)-1,0)</f>
        <v>60000</v>
      </c>
      <c r="E21" s="1">
        <f ca="1" t="shared" si="0"/>
        <v>30000</v>
      </c>
      <c r="F21" s="5">
        <f ca="1" t="shared" si="8"/>
        <v>165000</v>
      </c>
      <c r="G21" s="1">
        <f ca="1">OFFSET(控制台!$M$3691,MATCH($C21,控制台!$B$3691:$B$3706,0)-1,0)</f>
        <v>0</v>
      </c>
      <c r="H21" s="1">
        <f ca="1" t="shared" si="1"/>
        <v>0</v>
      </c>
      <c r="I21" s="5">
        <f ca="1" t="shared" si="9"/>
        <v>0</v>
      </c>
      <c r="J21" s="1">
        <f ca="1">OFFSET(控制台!$N$3691,MATCH($C21,控制台!$B$3691:$B$3706,0)-1,0)</f>
        <v>20000</v>
      </c>
      <c r="K21" s="1">
        <f ca="1" t="shared" si="2"/>
        <v>10000</v>
      </c>
      <c r="L21" s="5">
        <f ca="1" t="shared" si="10"/>
        <v>55000</v>
      </c>
      <c r="M21" s="1">
        <f ca="1">OFFSET(控制台!$P$3691,MATCH($C21,控制台!$B$3691:$B$3706,0)-1,0)</f>
        <v>0</v>
      </c>
      <c r="N21" s="1">
        <f ca="1" t="shared" si="3"/>
        <v>0</v>
      </c>
      <c r="O21" s="5">
        <f ca="1" t="shared" si="11"/>
        <v>0</v>
      </c>
      <c r="P21" s="1">
        <f ca="1">OFFSET(控制台!$Q$3691,MATCH($C21,控制台!$B$3691:$B$3706,0)-1,0)</f>
        <v>0</v>
      </c>
      <c r="Q21" s="1">
        <f ca="1" t="shared" si="4"/>
        <v>0</v>
      </c>
      <c r="R21" s="5">
        <f ca="1" t="shared" si="12"/>
        <v>0</v>
      </c>
      <c r="S21" s="1">
        <f ca="1">OFFSET(控制台!$R$3691,MATCH($C21,控制台!$B$3691:$B$3706,0)-1,0)</f>
        <v>0</v>
      </c>
      <c r="T21" s="1">
        <f ca="1" t="shared" si="5"/>
        <v>0</v>
      </c>
      <c r="U21" s="5">
        <f ca="1" t="shared" si="13"/>
        <v>0</v>
      </c>
      <c r="V21" s="1">
        <f ca="1">OFFSET(控制台!$O$3691,MATCH($C21,控制台!$B$3691:$B$3706,0)-1,0)</f>
        <v>10000</v>
      </c>
      <c r="W21" s="1">
        <f ca="1" t="shared" si="6"/>
        <v>5000</v>
      </c>
      <c r="X21" s="5">
        <f ca="1" t="shared" si="14"/>
        <v>27500</v>
      </c>
    </row>
    <row r="22" spans="1:24">
      <c r="A22" s="9">
        <v>4</v>
      </c>
      <c r="B22" s="1">
        <f t="shared" si="7"/>
        <v>0.5</v>
      </c>
      <c r="C22" s="1">
        <f>IF(控制台!C2047="",C21,控制台!C2047)</f>
        <v>2</v>
      </c>
      <c r="D22" s="1">
        <f ca="1">OFFSET(控制台!$L$3691,MATCH($C22,控制台!$B$3691:$B$3706,0)-1,0)</f>
        <v>90000</v>
      </c>
      <c r="E22" s="1">
        <f ca="1" t="shared" si="0"/>
        <v>45000</v>
      </c>
      <c r="F22" s="5">
        <f ca="1" t="shared" si="8"/>
        <v>210000</v>
      </c>
      <c r="G22" s="1">
        <f ca="1">OFFSET(控制台!$M$3691,MATCH($C22,控制台!$B$3691:$B$3706,0)-1,0)</f>
        <v>0</v>
      </c>
      <c r="H22" s="1">
        <f ca="1" t="shared" si="1"/>
        <v>0</v>
      </c>
      <c r="I22" s="5">
        <f ca="1" t="shared" si="9"/>
        <v>0</v>
      </c>
      <c r="J22" s="1">
        <f ca="1">OFFSET(控制台!$N$3691,MATCH($C22,控制台!$B$3691:$B$3706,0)-1,0)</f>
        <v>30000</v>
      </c>
      <c r="K22" s="1">
        <f ca="1" t="shared" si="2"/>
        <v>15000</v>
      </c>
      <c r="L22" s="5">
        <f ca="1" t="shared" si="10"/>
        <v>70000</v>
      </c>
      <c r="M22" s="1">
        <f ca="1">OFFSET(控制台!$P$3691,MATCH($C22,控制台!$B$3691:$B$3706,0)-1,0)</f>
        <v>0</v>
      </c>
      <c r="N22" s="1">
        <f ca="1" t="shared" si="3"/>
        <v>0</v>
      </c>
      <c r="O22" s="5">
        <f ca="1" t="shared" si="11"/>
        <v>0</v>
      </c>
      <c r="P22" s="1">
        <f ca="1">OFFSET(控制台!$Q$3691,MATCH($C22,控制台!$B$3691:$B$3706,0)-1,0)</f>
        <v>0</v>
      </c>
      <c r="Q22" s="1">
        <f ca="1" t="shared" si="4"/>
        <v>0</v>
      </c>
      <c r="R22" s="5">
        <f ca="1" t="shared" si="12"/>
        <v>0</v>
      </c>
      <c r="S22" s="1">
        <f ca="1">OFFSET(控制台!$R$3691,MATCH($C22,控制台!$B$3691:$B$3706,0)-1,0)</f>
        <v>0</v>
      </c>
      <c r="T22" s="1">
        <f ca="1" t="shared" si="5"/>
        <v>0</v>
      </c>
      <c r="U22" s="5">
        <f ca="1" t="shared" si="13"/>
        <v>0</v>
      </c>
      <c r="V22" s="1">
        <f ca="1">OFFSET(控制台!$O$3691,MATCH($C22,控制台!$B$3691:$B$3706,0)-1,0)</f>
        <v>15000</v>
      </c>
      <c r="W22" s="1">
        <f ca="1" t="shared" si="6"/>
        <v>7500</v>
      </c>
      <c r="X22" s="5">
        <f ca="1" t="shared" si="14"/>
        <v>35000</v>
      </c>
    </row>
    <row r="23" spans="1:24">
      <c r="A23" s="9">
        <v>4.5</v>
      </c>
      <c r="B23" s="1">
        <f t="shared" si="7"/>
        <v>0.5</v>
      </c>
      <c r="C23" s="1">
        <f>IF(控制台!C2048="",C22,控制台!C2048)</f>
        <v>2</v>
      </c>
      <c r="D23" s="1">
        <f ca="1">OFFSET(控制台!$L$3691,MATCH($C23,控制台!$B$3691:$B$3706,0)-1,0)</f>
        <v>90000</v>
      </c>
      <c r="E23" s="1">
        <f ca="1" t="shared" si="0"/>
        <v>45000</v>
      </c>
      <c r="F23" s="5">
        <f ca="1" t="shared" si="8"/>
        <v>255000</v>
      </c>
      <c r="G23" s="1">
        <f ca="1">OFFSET(控制台!$M$3691,MATCH($C23,控制台!$B$3691:$B$3706,0)-1,0)</f>
        <v>0</v>
      </c>
      <c r="H23" s="1">
        <f ca="1" t="shared" si="1"/>
        <v>0</v>
      </c>
      <c r="I23" s="5">
        <f ca="1" t="shared" si="9"/>
        <v>0</v>
      </c>
      <c r="J23" s="1">
        <f ca="1">OFFSET(控制台!$N$3691,MATCH($C23,控制台!$B$3691:$B$3706,0)-1,0)</f>
        <v>30000</v>
      </c>
      <c r="K23" s="1">
        <f ca="1" t="shared" si="2"/>
        <v>15000</v>
      </c>
      <c r="L23" s="5">
        <f ca="1" t="shared" si="10"/>
        <v>85000</v>
      </c>
      <c r="M23" s="1">
        <f ca="1">OFFSET(控制台!$P$3691,MATCH($C23,控制台!$B$3691:$B$3706,0)-1,0)</f>
        <v>0</v>
      </c>
      <c r="N23" s="1">
        <f ca="1" t="shared" si="3"/>
        <v>0</v>
      </c>
      <c r="O23" s="5">
        <f ca="1" t="shared" si="11"/>
        <v>0</v>
      </c>
      <c r="P23" s="1">
        <f ca="1">OFFSET(控制台!$Q$3691,MATCH($C23,控制台!$B$3691:$B$3706,0)-1,0)</f>
        <v>0</v>
      </c>
      <c r="Q23" s="1">
        <f ca="1" t="shared" si="4"/>
        <v>0</v>
      </c>
      <c r="R23" s="5">
        <f ca="1" t="shared" si="12"/>
        <v>0</v>
      </c>
      <c r="S23" s="1">
        <f ca="1">OFFSET(控制台!$R$3691,MATCH($C23,控制台!$B$3691:$B$3706,0)-1,0)</f>
        <v>0</v>
      </c>
      <c r="T23" s="1">
        <f ca="1" t="shared" si="5"/>
        <v>0</v>
      </c>
      <c r="U23" s="5">
        <f ca="1" t="shared" si="13"/>
        <v>0</v>
      </c>
      <c r="V23" s="1">
        <f ca="1">OFFSET(控制台!$O$3691,MATCH($C23,控制台!$B$3691:$B$3706,0)-1,0)</f>
        <v>15000</v>
      </c>
      <c r="W23" s="1">
        <f ca="1" t="shared" si="6"/>
        <v>7500</v>
      </c>
      <c r="X23" s="5">
        <f ca="1" t="shared" si="14"/>
        <v>42500</v>
      </c>
    </row>
    <row r="24" spans="1:24">
      <c r="A24" s="9">
        <v>5</v>
      </c>
      <c r="B24" s="1">
        <f t="shared" si="7"/>
        <v>0.5</v>
      </c>
      <c r="C24" s="1">
        <f>IF(控制台!C2049="",C23,控制台!C2049)</f>
        <v>2</v>
      </c>
      <c r="D24" s="1">
        <f ca="1">OFFSET(控制台!$L$3691,MATCH($C24,控制台!$B$3691:$B$3706,0)-1,0)</f>
        <v>90000</v>
      </c>
      <c r="E24" s="1">
        <f ca="1" t="shared" si="0"/>
        <v>45000</v>
      </c>
      <c r="F24" s="5">
        <f ca="1" t="shared" si="8"/>
        <v>300000</v>
      </c>
      <c r="G24" s="1">
        <f ca="1">OFFSET(控制台!$M$3691,MATCH($C24,控制台!$B$3691:$B$3706,0)-1,0)</f>
        <v>0</v>
      </c>
      <c r="H24" s="1">
        <f ca="1" t="shared" si="1"/>
        <v>0</v>
      </c>
      <c r="I24" s="5">
        <f ca="1" t="shared" si="9"/>
        <v>0</v>
      </c>
      <c r="J24" s="1">
        <f ca="1">OFFSET(控制台!$N$3691,MATCH($C24,控制台!$B$3691:$B$3706,0)-1,0)</f>
        <v>30000</v>
      </c>
      <c r="K24" s="1">
        <f ca="1" t="shared" si="2"/>
        <v>15000</v>
      </c>
      <c r="L24" s="5">
        <f ca="1" t="shared" si="10"/>
        <v>100000</v>
      </c>
      <c r="M24" s="1">
        <f ca="1">OFFSET(控制台!$P$3691,MATCH($C24,控制台!$B$3691:$B$3706,0)-1,0)</f>
        <v>0</v>
      </c>
      <c r="N24" s="1">
        <f ca="1" t="shared" si="3"/>
        <v>0</v>
      </c>
      <c r="O24" s="5">
        <f ca="1" t="shared" si="11"/>
        <v>0</v>
      </c>
      <c r="P24" s="1">
        <f ca="1">OFFSET(控制台!$Q$3691,MATCH($C24,控制台!$B$3691:$B$3706,0)-1,0)</f>
        <v>0</v>
      </c>
      <c r="Q24" s="1">
        <f ca="1" t="shared" si="4"/>
        <v>0</v>
      </c>
      <c r="R24" s="5">
        <f ca="1" t="shared" si="12"/>
        <v>0</v>
      </c>
      <c r="S24" s="1">
        <f ca="1">OFFSET(控制台!$R$3691,MATCH($C24,控制台!$B$3691:$B$3706,0)-1,0)</f>
        <v>0</v>
      </c>
      <c r="T24" s="1">
        <f ca="1" t="shared" si="5"/>
        <v>0</v>
      </c>
      <c r="U24" s="5">
        <f ca="1" t="shared" si="13"/>
        <v>0</v>
      </c>
      <c r="V24" s="1">
        <f ca="1">OFFSET(控制台!$O$3691,MATCH($C24,控制台!$B$3691:$B$3706,0)-1,0)</f>
        <v>15000</v>
      </c>
      <c r="W24" s="1">
        <f ca="1" t="shared" si="6"/>
        <v>7500</v>
      </c>
      <c r="X24" s="5">
        <f ca="1" t="shared" si="14"/>
        <v>50000</v>
      </c>
    </row>
    <row r="25" spans="1:24">
      <c r="A25" s="9">
        <v>5.5</v>
      </c>
      <c r="B25" s="1">
        <f t="shared" si="7"/>
        <v>0.5</v>
      </c>
      <c r="C25" s="1">
        <f>IF(控制台!C2050="",C24,控制台!C2050)</f>
        <v>2</v>
      </c>
      <c r="D25" s="1">
        <f ca="1">OFFSET(控制台!$L$3691,MATCH($C25,控制台!$B$3691:$B$3706,0)-1,0)</f>
        <v>90000</v>
      </c>
      <c r="E25" s="1">
        <f ca="1" t="shared" si="0"/>
        <v>45000</v>
      </c>
      <c r="F25" s="5">
        <f ca="1" t="shared" si="8"/>
        <v>345000</v>
      </c>
      <c r="G25" s="1">
        <f ca="1">OFFSET(控制台!$M$3691,MATCH($C25,控制台!$B$3691:$B$3706,0)-1,0)</f>
        <v>0</v>
      </c>
      <c r="H25" s="1">
        <f ca="1" t="shared" si="1"/>
        <v>0</v>
      </c>
      <c r="I25" s="5">
        <f ca="1" t="shared" si="9"/>
        <v>0</v>
      </c>
      <c r="J25" s="1">
        <f ca="1">OFFSET(控制台!$N$3691,MATCH($C25,控制台!$B$3691:$B$3706,0)-1,0)</f>
        <v>30000</v>
      </c>
      <c r="K25" s="1">
        <f ca="1" t="shared" si="2"/>
        <v>15000</v>
      </c>
      <c r="L25" s="5">
        <f ca="1" t="shared" si="10"/>
        <v>115000</v>
      </c>
      <c r="M25" s="1">
        <f ca="1">OFFSET(控制台!$P$3691,MATCH($C25,控制台!$B$3691:$B$3706,0)-1,0)</f>
        <v>0</v>
      </c>
      <c r="N25" s="1">
        <f ca="1" t="shared" si="3"/>
        <v>0</v>
      </c>
      <c r="O25" s="5">
        <f ca="1" t="shared" si="11"/>
        <v>0</v>
      </c>
      <c r="P25" s="1">
        <f ca="1">OFFSET(控制台!$Q$3691,MATCH($C25,控制台!$B$3691:$B$3706,0)-1,0)</f>
        <v>0</v>
      </c>
      <c r="Q25" s="1">
        <f ca="1" t="shared" si="4"/>
        <v>0</v>
      </c>
      <c r="R25" s="5">
        <f ca="1" t="shared" si="12"/>
        <v>0</v>
      </c>
      <c r="S25" s="1">
        <f ca="1">OFFSET(控制台!$R$3691,MATCH($C25,控制台!$B$3691:$B$3706,0)-1,0)</f>
        <v>0</v>
      </c>
      <c r="T25" s="1">
        <f ca="1" t="shared" si="5"/>
        <v>0</v>
      </c>
      <c r="U25" s="5">
        <f ca="1" t="shared" si="13"/>
        <v>0</v>
      </c>
      <c r="V25" s="1">
        <f ca="1">OFFSET(控制台!$O$3691,MATCH($C25,控制台!$B$3691:$B$3706,0)-1,0)</f>
        <v>15000</v>
      </c>
      <c r="W25" s="1">
        <f ca="1" t="shared" si="6"/>
        <v>7500</v>
      </c>
      <c r="X25" s="5">
        <f ca="1" t="shared" si="14"/>
        <v>57500</v>
      </c>
    </row>
    <row r="26" spans="1:24">
      <c r="A26" s="9">
        <v>6</v>
      </c>
      <c r="B26" s="1">
        <f t="shared" si="7"/>
        <v>0.5</v>
      </c>
      <c r="C26" s="1">
        <f>IF(控制台!C2051="",C25,控制台!C2051)</f>
        <v>3</v>
      </c>
      <c r="D26" s="1">
        <f ca="1">OFFSET(控制台!$L$3691,MATCH($C26,控制台!$B$3691:$B$3706,0)-1,0)</f>
        <v>120000</v>
      </c>
      <c r="E26" s="1">
        <f ca="1" t="shared" si="0"/>
        <v>60000</v>
      </c>
      <c r="F26" s="5">
        <f ca="1" t="shared" si="8"/>
        <v>405000</v>
      </c>
      <c r="G26" s="1">
        <f ca="1">OFFSET(控制台!$M$3691,MATCH($C26,控制台!$B$3691:$B$3706,0)-1,0)</f>
        <v>0</v>
      </c>
      <c r="H26" s="1">
        <f ca="1" t="shared" si="1"/>
        <v>0</v>
      </c>
      <c r="I26" s="5">
        <f ca="1" t="shared" si="9"/>
        <v>0</v>
      </c>
      <c r="J26" s="1">
        <f ca="1">OFFSET(控制台!$N$3691,MATCH($C26,控制台!$B$3691:$B$3706,0)-1,0)</f>
        <v>40000</v>
      </c>
      <c r="K26" s="1">
        <f ca="1" t="shared" si="2"/>
        <v>20000</v>
      </c>
      <c r="L26" s="5">
        <f ca="1" t="shared" si="10"/>
        <v>135000</v>
      </c>
      <c r="M26" s="1">
        <f ca="1">OFFSET(控制台!$P$3691,MATCH($C26,控制台!$B$3691:$B$3706,0)-1,0)</f>
        <v>0</v>
      </c>
      <c r="N26" s="1">
        <f ca="1" t="shared" si="3"/>
        <v>0</v>
      </c>
      <c r="O26" s="5">
        <f ca="1" t="shared" si="11"/>
        <v>0</v>
      </c>
      <c r="P26" s="1">
        <f ca="1">OFFSET(控制台!$Q$3691,MATCH($C26,控制台!$B$3691:$B$3706,0)-1,0)</f>
        <v>0</v>
      </c>
      <c r="Q26" s="1">
        <f ca="1" t="shared" si="4"/>
        <v>0</v>
      </c>
      <c r="R26" s="5">
        <f ca="1" t="shared" si="12"/>
        <v>0</v>
      </c>
      <c r="S26" s="1">
        <f ca="1">OFFSET(控制台!$R$3691,MATCH($C26,控制台!$B$3691:$B$3706,0)-1,0)</f>
        <v>0</v>
      </c>
      <c r="T26" s="1">
        <f ca="1" t="shared" si="5"/>
        <v>0</v>
      </c>
      <c r="U26" s="5">
        <f ca="1" t="shared" si="13"/>
        <v>0</v>
      </c>
      <c r="V26" s="1">
        <f ca="1">OFFSET(控制台!$O$3691,MATCH($C26,控制台!$B$3691:$B$3706,0)-1,0)</f>
        <v>20000</v>
      </c>
      <c r="W26" s="1">
        <f ca="1" t="shared" si="6"/>
        <v>10000</v>
      </c>
      <c r="X26" s="5">
        <f ca="1" t="shared" si="14"/>
        <v>67500</v>
      </c>
    </row>
    <row r="27" spans="1:24">
      <c r="A27" s="9">
        <v>6.5</v>
      </c>
      <c r="B27" s="1">
        <f t="shared" si="7"/>
        <v>0.5</v>
      </c>
      <c r="C27" s="1">
        <f>IF(控制台!C2052="",C26,控制台!C2052)</f>
        <v>3</v>
      </c>
      <c r="D27" s="1">
        <f ca="1">OFFSET(控制台!$L$3691,MATCH($C27,控制台!$B$3691:$B$3706,0)-1,0)</f>
        <v>120000</v>
      </c>
      <c r="E27" s="1">
        <f ca="1" t="shared" si="0"/>
        <v>60000</v>
      </c>
      <c r="F27" s="5">
        <f ca="1" t="shared" si="8"/>
        <v>465000</v>
      </c>
      <c r="G27" s="1">
        <f ca="1">OFFSET(控制台!$M$3691,MATCH($C27,控制台!$B$3691:$B$3706,0)-1,0)</f>
        <v>0</v>
      </c>
      <c r="H27" s="1">
        <f ca="1" t="shared" si="1"/>
        <v>0</v>
      </c>
      <c r="I27" s="5">
        <f ca="1" t="shared" si="9"/>
        <v>0</v>
      </c>
      <c r="J27" s="1">
        <f ca="1">OFFSET(控制台!$N$3691,MATCH($C27,控制台!$B$3691:$B$3706,0)-1,0)</f>
        <v>40000</v>
      </c>
      <c r="K27" s="1">
        <f ca="1" t="shared" si="2"/>
        <v>20000</v>
      </c>
      <c r="L27" s="5">
        <f ca="1" t="shared" si="10"/>
        <v>155000</v>
      </c>
      <c r="M27" s="1">
        <f ca="1">OFFSET(控制台!$P$3691,MATCH($C27,控制台!$B$3691:$B$3706,0)-1,0)</f>
        <v>0</v>
      </c>
      <c r="N27" s="1">
        <f ca="1" t="shared" si="3"/>
        <v>0</v>
      </c>
      <c r="O27" s="5">
        <f ca="1" t="shared" si="11"/>
        <v>0</v>
      </c>
      <c r="P27" s="1">
        <f ca="1">OFFSET(控制台!$Q$3691,MATCH($C27,控制台!$B$3691:$B$3706,0)-1,0)</f>
        <v>0</v>
      </c>
      <c r="Q27" s="1">
        <f ca="1" t="shared" si="4"/>
        <v>0</v>
      </c>
      <c r="R27" s="5">
        <f ca="1" t="shared" si="12"/>
        <v>0</v>
      </c>
      <c r="S27" s="1">
        <f ca="1">OFFSET(控制台!$R$3691,MATCH($C27,控制台!$B$3691:$B$3706,0)-1,0)</f>
        <v>0</v>
      </c>
      <c r="T27" s="1">
        <f ca="1" t="shared" si="5"/>
        <v>0</v>
      </c>
      <c r="U27" s="5">
        <f ca="1" t="shared" si="13"/>
        <v>0</v>
      </c>
      <c r="V27" s="1">
        <f ca="1">OFFSET(控制台!$O$3691,MATCH($C27,控制台!$B$3691:$B$3706,0)-1,0)</f>
        <v>20000</v>
      </c>
      <c r="W27" s="1">
        <f ca="1" t="shared" si="6"/>
        <v>10000</v>
      </c>
      <c r="X27" s="5">
        <f ca="1" t="shared" si="14"/>
        <v>77500</v>
      </c>
    </row>
    <row r="28" spans="1:24">
      <c r="A28" s="9">
        <v>7</v>
      </c>
      <c r="B28" s="1">
        <f t="shared" si="7"/>
        <v>0.5</v>
      </c>
      <c r="C28" s="1">
        <f>IF(控制台!C2053="",C27,控制台!C2053)</f>
        <v>3</v>
      </c>
      <c r="D28" s="1">
        <f ca="1">OFFSET(控制台!$L$3691,MATCH($C28,控制台!$B$3691:$B$3706,0)-1,0)</f>
        <v>120000</v>
      </c>
      <c r="E28" s="1">
        <f ca="1" t="shared" si="0"/>
        <v>60000</v>
      </c>
      <c r="F28" s="5">
        <f ca="1" t="shared" si="8"/>
        <v>525000</v>
      </c>
      <c r="G28" s="1">
        <f ca="1">OFFSET(控制台!$M$3691,MATCH($C28,控制台!$B$3691:$B$3706,0)-1,0)</f>
        <v>0</v>
      </c>
      <c r="H28" s="1">
        <f ca="1" t="shared" si="1"/>
        <v>0</v>
      </c>
      <c r="I28" s="5">
        <f ca="1" t="shared" si="9"/>
        <v>0</v>
      </c>
      <c r="J28" s="1">
        <f ca="1">OFFSET(控制台!$N$3691,MATCH($C28,控制台!$B$3691:$B$3706,0)-1,0)</f>
        <v>40000</v>
      </c>
      <c r="K28" s="1">
        <f ca="1" t="shared" si="2"/>
        <v>20000</v>
      </c>
      <c r="L28" s="5">
        <f ca="1" t="shared" si="10"/>
        <v>175000</v>
      </c>
      <c r="M28" s="1">
        <f ca="1">OFFSET(控制台!$P$3691,MATCH($C28,控制台!$B$3691:$B$3706,0)-1,0)</f>
        <v>0</v>
      </c>
      <c r="N28" s="1">
        <f ca="1" t="shared" si="3"/>
        <v>0</v>
      </c>
      <c r="O28" s="5">
        <f ca="1" t="shared" si="11"/>
        <v>0</v>
      </c>
      <c r="P28" s="1">
        <f ca="1">OFFSET(控制台!$Q$3691,MATCH($C28,控制台!$B$3691:$B$3706,0)-1,0)</f>
        <v>0</v>
      </c>
      <c r="Q28" s="1">
        <f ca="1" t="shared" si="4"/>
        <v>0</v>
      </c>
      <c r="R28" s="5">
        <f ca="1" t="shared" si="12"/>
        <v>0</v>
      </c>
      <c r="S28" s="1">
        <f ca="1">OFFSET(控制台!$R$3691,MATCH($C28,控制台!$B$3691:$B$3706,0)-1,0)</f>
        <v>0</v>
      </c>
      <c r="T28" s="1">
        <f ca="1" t="shared" si="5"/>
        <v>0</v>
      </c>
      <c r="U28" s="5">
        <f ca="1" t="shared" si="13"/>
        <v>0</v>
      </c>
      <c r="V28" s="1">
        <f ca="1">OFFSET(控制台!$O$3691,MATCH($C28,控制台!$B$3691:$B$3706,0)-1,0)</f>
        <v>20000</v>
      </c>
      <c r="W28" s="1">
        <f ca="1" t="shared" si="6"/>
        <v>10000</v>
      </c>
      <c r="X28" s="5">
        <f ca="1" t="shared" si="14"/>
        <v>87500</v>
      </c>
    </row>
    <row r="29" spans="1:24">
      <c r="A29" s="10">
        <v>8</v>
      </c>
      <c r="B29" s="1">
        <f t="shared" si="7"/>
        <v>1</v>
      </c>
      <c r="C29" s="1">
        <f>IF(控制台!C2054="",C28,控制台!C2054)</f>
        <v>3</v>
      </c>
      <c r="D29" s="1">
        <f ca="1">OFFSET(控制台!$L$3691,MATCH($C29,控制台!$B$3691:$B$3706,0)-1,0)</f>
        <v>120000</v>
      </c>
      <c r="E29" s="1">
        <f ca="1" t="shared" si="0"/>
        <v>120000</v>
      </c>
      <c r="F29" s="5">
        <f ca="1" t="shared" si="8"/>
        <v>645000</v>
      </c>
      <c r="G29" s="1">
        <f ca="1">OFFSET(控制台!$M$3691,MATCH($C29,控制台!$B$3691:$B$3706,0)-1,0)</f>
        <v>0</v>
      </c>
      <c r="H29" s="1">
        <f ca="1" t="shared" si="1"/>
        <v>0</v>
      </c>
      <c r="I29" s="5">
        <f ca="1" t="shared" si="9"/>
        <v>0</v>
      </c>
      <c r="J29" s="1">
        <f ca="1">OFFSET(控制台!$N$3691,MATCH($C29,控制台!$B$3691:$B$3706,0)-1,0)</f>
        <v>40000</v>
      </c>
      <c r="K29" s="1">
        <f ca="1" t="shared" si="2"/>
        <v>40000</v>
      </c>
      <c r="L29" s="5">
        <f ca="1" t="shared" si="10"/>
        <v>215000</v>
      </c>
      <c r="M29" s="1">
        <f ca="1">OFFSET(控制台!$P$3691,MATCH($C29,控制台!$B$3691:$B$3706,0)-1,0)</f>
        <v>0</v>
      </c>
      <c r="N29" s="1">
        <f ca="1" t="shared" si="3"/>
        <v>0</v>
      </c>
      <c r="O29" s="5">
        <f ca="1" t="shared" si="11"/>
        <v>0</v>
      </c>
      <c r="P29" s="1">
        <f ca="1">OFFSET(控制台!$Q$3691,MATCH($C29,控制台!$B$3691:$B$3706,0)-1,0)</f>
        <v>0</v>
      </c>
      <c r="Q29" s="1">
        <f ca="1" t="shared" si="4"/>
        <v>0</v>
      </c>
      <c r="R29" s="5">
        <f ca="1" t="shared" si="12"/>
        <v>0</v>
      </c>
      <c r="S29" s="1">
        <f ca="1">OFFSET(控制台!$R$3691,MATCH($C29,控制台!$B$3691:$B$3706,0)-1,0)</f>
        <v>0</v>
      </c>
      <c r="T29" s="1">
        <f ca="1" t="shared" si="5"/>
        <v>0</v>
      </c>
      <c r="U29" s="5">
        <f ca="1" t="shared" si="13"/>
        <v>0</v>
      </c>
      <c r="V29" s="1">
        <f ca="1">OFFSET(控制台!$O$3691,MATCH($C29,控制台!$B$3691:$B$3706,0)-1,0)</f>
        <v>20000</v>
      </c>
      <c r="W29" s="1">
        <f ca="1" t="shared" si="6"/>
        <v>20000</v>
      </c>
      <c r="X29" s="5">
        <f ca="1" t="shared" si="14"/>
        <v>107500</v>
      </c>
    </row>
    <row r="30" spans="1:24">
      <c r="A30" s="10">
        <v>9</v>
      </c>
      <c r="B30" s="1">
        <f t="shared" si="7"/>
        <v>1</v>
      </c>
      <c r="C30" s="1">
        <f>IF(控制台!C2055="",C29,控制台!C2055)</f>
        <v>4</v>
      </c>
      <c r="D30" s="1">
        <f ca="1">OFFSET(控制台!$L$3691,MATCH($C30,控制台!$B$3691:$B$3706,0)-1,0)</f>
        <v>150000</v>
      </c>
      <c r="E30" s="1">
        <f ca="1" t="shared" si="0"/>
        <v>150000</v>
      </c>
      <c r="F30" s="5">
        <f ca="1" t="shared" si="8"/>
        <v>795000</v>
      </c>
      <c r="G30" s="1">
        <f ca="1">OFFSET(控制台!$M$3691,MATCH($C30,控制台!$B$3691:$B$3706,0)-1,0)</f>
        <v>0.8</v>
      </c>
      <c r="H30" s="1">
        <f ca="1" t="shared" si="1"/>
        <v>0.8</v>
      </c>
      <c r="I30" s="5">
        <f ca="1" t="shared" si="9"/>
        <v>0.8</v>
      </c>
      <c r="J30" s="1">
        <f ca="1">OFFSET(控制台!$N$3691,MATCH($C30,控制台!$B$3691:$B$3706,0)-1,0)</f>
        <v>50000</v>
      </c>
      <c r="K30" s="1">
        <f ca="1" t="shared" si="2"/>
        <v>50000</v>
      </c>
      <c r="L30" s="5">
        <f ca="1" t="shared" si="10"/>
        <v>265000</v>
      </c>
      <c r="M30" s="1">
        <f ca="1">OFFSET(控制台!$P$3691,MATCH($C30,控制台!$B$3691:$B$3706,0)-1,0)</f>
        <v>18.3</v>
      </c>
      <c r="N30" s="1">
        <f ca="1" t="shared" si="3"/>
        <v>18.3</v>
      </c>
      <c r="O30" s="5">
        <f ca="1" t="shared" si="11"/>
        <v>18.3</v>
      </c>
      <c r="P30" s="1">
        <f ca="1">OFFSET(控制台!$Q$3691,MATCH($C30,控制台!$B$3691:$B$3706,0)-1,0)</f>
        <v>0</v>
      </c>
      <c r="Q30" s="1">
        <f ca="1" t="shared" si="4"/>
        <v>0</v>
      </c>
      <c r="R30" s="5">
        <f ca="1" t="shared" si="12"/>
        <v>0</v>
      </c>
      <c r="S30" s="1">
        <f ca="1">OFFSET(控制台!$R$3691,MATCH($C30,控制台!$B$3691:$B$3706,0)-1,0)</f>
        <v>0</v>
      </c>
      <c r="T30" s="1">
        <f ca="1" t="shared" si="5"/>
        <v>0</v>
      </c>
      <c r="U30" s="5">
        <f ca="1" t="shared" si="13"/>
        <v>0</v>
      </c>
      <c r="V30" s="1">
        <f ca="1">OFFSET(控制台!$O$3691,MATCH($C30,控制台!$B$3691:$B$3706,0)-1,0)</f>
        <v>25000</v>
      </c>
      <c r="W30" s="1">
        <f ca="1" t="shared" si="6"/>
        <v>25000</v>
      </c>
      <c r="X30" s="5">
        <f ca="1" t="shared" si="14"/>
        <v>132500</v>
      </c>
    </row>
    <row r="31" spans="1:24">
      <c r="A31" s="10">
        <v>10</v>
      </c>
      <c r="B31" s="1">
        <f t="shared" si="7"/>
        <v>1</v>
      </c>
      <c r="C31" s="1">
        <f>IF(控制台!C2056="",C30,控制台!C2056)</f>
        <v>4</v>
      </c>
      <c r="D31" s="1">
        <f ca="1">OFFSET(控制台!$L$3691,MATCH($C31,控制台!$B$3691:$B$3706,0)-1,0)</f>
        <v>150000</v>
      </c>
      <c r="E31" s="1">
        <f ca="1" t="shared" si="0"/>
        <v>150000</v>
      </c>
      <c r="F31" s="5">
        <f ca="1" t="shared" si="8"/>
        <v>945000</v>
      </c>
      <c r="G31" s="1">
        <f ca="1">OFFSET(控制台!$M$3691,MATCH($C31,控制台!$B$3691:$B$3706,0)-1,0)</f>
        <v>0.8</v>
      </c>
      <c r="H31" s="1">
        <f ca="1" t="shared" si="1"/>
        <v>0.8</v>
      </c>
      <c r="I31" s="5">
        <f ca="1" t="shared" si="9"/>
        <v>1.6</v>
      </c>
      <c r="J31" s="1">
        <f ca="1">OFFSET(控制台!$N$3691,MATCH($C31,控制台!$B$3691:$B$3706,0)-1,0)</f>
        <v>50000</v>
      </c>
      <c r="K31" s="1">
        <f ca="1" t="shared" si="2"/>
        <v>50000</v>
      </c>
      <c r="L31" s="5">
        <f ca="1" t="shared" si="10"/>
        <v>315000</v>
      </c>
      <c r="M31" s="1">
        <f ca="1">OFFSET(控制台!$P$3691,MATCH($C31,控制台!$B$3691:$B$3706,0)-1,0)</f>
        <v>18.3</v>
      </c>
      <c r="N31" s="1">
        <f ca="1" t="shared" si="3"/>
        <v>18.3</v>
      </c>
      <c r="O31" s="5">
        <f ca="1" t="shared" si="11"/>
        <v>36.6</v>
      </c>
      <c r="P31" s="1">
        <f ca="1">OFFSET(控制台!$Q$3691,MATCH($C31,控制台!$B$3691:$B$3706,0)-1,0)</f>
        <v>0</v>
      </c>
      <c r="Q31" s="1">
        <f ca="1" t="shared" si="4"/>
        <v>0</v>
      </c>
      <c r="R31" s="5">
        <f ca="1" t="shared" si="12"/>
        <v>0</v>
      </c>
      <c r="S31" s="1">
        <f ca="1">OFFSET(控制台!$R$3691,MATCH($C31,控制台!$B$3691:$B$3706,0)-1,0)</f>
        <v>0</v>
      </c>
      <c r="T31" s="1">
        <f ca="1" t="shared" si="5"/>
        <v>0</v>
      </c>
      <c r="U31" s="5">
        <f ca="1" t="shared" si="13"/>
        <v>0</v>
      </c>
      <c r="V31" s="1">
        <f ca="1">OFFSET(控制台!$O$3691,MATCH($C31,控制台!$B$3691:$B$3706,0)-1,0)</f>
        <v>25000</v>
      </c>
      <c r="W31" s="1">
        <f ca="1" t="shared" si="6"/>
        <v>25000</v>
      </c>
      <c r="X31" s="5">
        <f ca="1" t="shared" si="14"/>
        <v>157500</v>
      </c>
    </row>
    <row r="32" spans="1:24">
      <c r="A32" s="10">
        <v>11</v>
      </c>
      <c r="B32" s="1">
        <f t="shared" si="7"/>
        <v>1</v>
      </c>
      <c r="C32" s="1">
        <f>IF(控制台!C2057="",C31,控制台!C2057)</f>
        <v>4</v>
      </c>
      <c r="D32" s="1">
        <f ca="1">OFFSET(控制台!$L$3691,MATCH($C32,控制台!$B$3691:$B$3706,0)-1,0)</f>
        <v>150000</v>
      </c>
      <c r="E32" s="1">
        <f ca="1" t="shared" si="0"/>
        <v>150000</v>
      </c>
      <c r="F32" s="5">
        <f ca="1" t="shared" si="8"/>
        <v>1095000</v>
      </c>
      <c r="G32" s="1">
        <f ca="1">OFFSET(控制台!$M$3691,MATCH($C32,控制台!$B$3691:$B$3706,0)-1,0)</f>
        <v>0.8</v>
      </c>
      <c r="H32" s="1">
        <f ca="1" t="shared" si="1"/>
        <v>0.8</v>
      </c>
      <c r="I32" s="5">
        <f ca="1" t="shared" si="9"/>
        <v>2.4</v>
      </c>
      <c r="J32" s="1">
        <f ca="1">OFFSET(控制台!$N$3691,MATCH($C32,控制台!$B$3691:$B$3706,0)-1,0)</f>
        <v>50000</v>
      </c>
      <c r="K32" s="1">
        <f ca="1" t="shared" si="2"/>
        <v>50000</v>
      </c>
      <c r="L32" s="5">
        <f ca="1" t="shared" si="10"/>
        <v>365000</v>
      </c>
      <c r="M32" s="1">
        <f ca="1">OFFSET(控制台!$P$3691,MATCH($C32,控制台!$B$3691:$B$3706,0)-1,0)</f>
        <v>18.3</v>
      </c>
      <c r="N32" s="1">
        <f ca="1" t="shared" si="3"/>
        <v>18.3</v>
      </c>
      <c r="O32" s="5">
        <f ca="1" t="shared" si="11"/>
        <v>54.9</v>
      </c>
      <c r="P32" s="1">
        <f ca="1">OFFSET(控制台!$Q$3691,MATCH($C32,控制台!$B$3691:$B$3706,0)-1,0)</f>
        <v>0</v>
      </c>
      <c r="Q32" s="1">
        <f ca="1" t="shared" si="4"/>
        <v>0</v>
      </c>
      <c r="R32" s="5">
        <f ca="1" t="shared" si="12"/>
        <v>0</v>
      </c>
      <c r="S32" s="1">
        <f ca="1">OFFSET(控制台!$R$3691,MATCH($C32,控制台!$B$3691:$B$3706,0)-1,0)</f>
        <v>0</v>
      </c>
      <c r="T32" s="1">
        <f ca="1" t="shared" si="5"/>
        <v>0</v>
      </c>
      <c r="U32" s="5">
        <f ca="1" t="shared" si="13"/>
        <v>0</v>
      </c>
      <c r="V32" s="1">
        <f ca="1">OFFSET(控制台!$O$3691,MATCH($C32,控制台!$B$3691:$B$3706,0)-1,0)</f>
        <v>25000</v>
      </c>
      <c r="W32" s="1">
        <f ca="1" t="shared" si="6"/>
        <v>25000</v>
      </c>
      <c r="X32" s="5">
        <f ca="1" t="shared" si="14"/>
        <v>182500</v>
      </c>
    </row>
    <row r="33" spans="1:24">
      <c r="A33" s="10">
        <v>12</v>
      </c>
      <c r="B33" s="1">
        <f t="shared" si="7"/>
        <v>1</v>
      </c>
      <c r="C33" s="1">
        <f>IF(控制台!C2058="",C32,控制台!C2058)</f>
        <v>4</v>
      </c>
      <c r="D33" s="1">
        <f ca="1">OFFSET(控制台!$L$3691,MATCH($C33,控制台!$B$3691:$B$3706,0)-1,0)</f>
        <v>150000</v>
      </c>
      <c r="E33" s="1">
        <f ca="1" t="shared" si="0"/>
        <v>150000</v>
      </c>
      <c r="F33" s="5">
        <f ca="1" t="shared" si="8"/>
        <v>1245000</v>
      </c>
      <c r="G33" s="1">
        <f ca="1">OFFSET(控制台!$M$3691,MATCH($C33,控制台!$B$3691:$B$3706,0)-1,0)</f>
        <v>0.8</v>
      </c>
      <c r="H33" s="1">
        <f ca="1" t="shared" si="1"/>
        <v>0.8</v>
      </c>
      <c r="I33" s="5">
        <f ca="1" t="shared" si="9"/>
        <v>3.2</v>
      </c>
      <c r="J33" s="1">
        <f ca="1">OFFSET(控制台!$N$3691,MATCH($C33,控制台!$B$3691:$B$3706,0)-1,0)</f>
        <v>50000</v>
      </c>
      <c r="K33" s="1">
        <f ca="1" t="shared" si="2"/>
        <v>50000</v>
      </c>
      <c r="L33" s="5">
        <f ca="1" t="shared" si="10"/>
        <v>415000</v>
      </c>
      <c r="M33" s="1">
        <f ca="1">OFFSET(控制台!$P$3691,MATCH($C33,控制台!$B$3691:$B$3706,0)-1,0)</f>
        <v>18.3</v>
      </c>
      <c r="N33" s="1">
        <f ca="1" t="shared" si="3"/>
        <v>18.3</v>
      </c>
      <c r="O33" s="5">
        <f ca="1" t="shared" si="11"/>
        <v>73.2</v>
      </c>
      <c r="P33" s="1">
        <f ca="1">OFFSET(控制台!$Q$3691,MATCH($C33,控制台!$B$3691:$B$3706,0)-1,0)</f>
        <v>0</v>
      </c>
      <c r="Q33" s="1">
        <f ca="1" t="shared" si="4"/>
        <v>0</v>
      </c>
      <c r="R33" s="5">
        <f ca="1" t="shared" si="12"/>
        <v>0</v>
      </c>
      <c r="S33" s="1">
        <f ca="1">OFFSET(控制台!$R$3691,MATCH($C33,控制台!$B$3691:$B$3706,0)-1,0)</f>
        <v>0</v>
      </c>
      <c r="T33" s="1">
        <f ca="1" t="shared" si="5"/>
        <v>0</v>
      </c>
      <c r="U33" s="5">
        <f ca="1" t="shared" si="13"/>
        <v>0</v>
      </c>
      <c r="V33" s="1">
        <f ca="1">OFFSET(控制台!$O$3691,MATCH($C33,控制台!$B$3691:$B$3706,0)-1,0)</f>
        <v>25000</v>
      </c>
      <c r="W33" s="1">
        <f ca="1" t="shared" si="6"/>
        <v>25000</v>
      </c>
      <c r="X33" s="5">
        <f ca="1" t="shared" si="14"/>
        <v>207500</v>
      </c>
    </row>
    <row r="34" spans="1:24">
      <c r="A34" s="10">
        <v>13</v>
      </c>
      <c r="B34" s="1">
        <f t="shared" si="7"/>
        <v>1</v>
      </c>
      <c r="C34" s="1">
        <f>IF(控制台!C2059="",C33,控制台!C2059)</f>
        <v>4</v>
      </c>
      <c r="D34" s="1">
        <f ca="1">OFFSET(控制台!$L$3691,MATCH($C34,控制台!$B$3691:$B$3706,0)-1,0)</f>
        <v>150000</v>
      </c>
      <c r="E34" s="1">
        <f ca="1" t="shared" si="0"/>
        <v>150000</v>
      </c>
      <c r="F34" s="5">
        <f ca="1" t="shared" si="8"/>
        <v>1395000</v>
      </c>
      <c r="G34" s="1">
        <f ca="1">OFFSET(控制台!$M$3691,MATCH($C34,控制台!$B$3691:$B$3706,0)-1,0)</f>
        <v>0.8</v>
      </c>
      <c r="H34" s="1">
        <f ca="1" t="shared" si="1"/>
        <v>0.8</v>
      </c>
      <c r="I34" s="5">
        <f ca="1" t="shared" si="9"/>
        <v>4</v>
      </c>
      <c r="J34" s="1">
        <f ca="1">OFFSET(控制台!$N$3691,MATCH($C34,控制台!$B$3691:$B$3706,0)-1,0)</f>
        <v>50000</v>
      </c>
      <c r="K34" s="1">
        <f ca="1" t="shared" si="2"/>
        <v>50000</v>
      </c>
      <c r="L34" s="5">
        <f ca="1" t="shared" si="10"/>
        <v>465000</v>
      </c>
      <c r="M34" s="1">
        <f ca="1">OFFSET(控制台!$P$3691,MATCH($C34,控制台!$B$3691:$B$3706,0)-1,0)</f>
        <v>18.3</v>
      </c>
      <c r="N34" s="1">
        <f ca="1" t="shared" si="3"/>
        <v>18.3</v>
      </c>
      <c r="O34" s="5">
        <f ca="1" t="shared" si="11"/>
        <v>91.5</v>
      </c>
      <c r="P34" s="1">
        <f ca="1">OFFSET(控制台!$Q$3691,MATCH($C34,控制台!$B$3691:$B$3706,0)-1,0)</f>
        <v>0</v>
      </c>
      <c r="Q34" s="1">
        <f ca="1" t="shared" si="4"/>
        <v>0</v>
      </c>
      <c r="R34" s="5">
        <f ca="1" t="shared" si="12"/>
        <v>0</v>
      </c>
      <c r="S34" s="1">
        <f ca="1">OFFSET(控制台!$R$3691,MATCH($C34,控制台!$B$3691:$B$3706,0)-1,0)</f>
        <v>0</v>
      </c>
      <c r="T34" s="1">
        <f ca="1" t="shared" si="5"/>
        <v>0</v>
      </c>
      <c r="U34" s="5">
        <f ca="1" t="shared" si="13"/>
        <v>0</v>
      </c>
      <c r="V34" s="1">
        <f ca="1">OFFSET(控制台!$O$3691,MATCH($C34,控制台!$B$3691:$B$3706,0)-1,0)</f>
        <v>25000</v>
      </c>
      <c r="W34" s="1">
        <f ca="1" t="shared" si="6"/>
        <v>25000</v>
      </c>
      <c r="X34" s="5">
        <f ca="1" t="shared" si="14"/>
        <v>232500</v>
      </c>
    </row>
    <row r="35" spans="1:24">
      <c r="A35" s="10">
        <v>14</v>
      </c>
      <c r="B35" s="1">
        <f t="shared" si="7"/>
        <v>1</v>
      </c>
      <c r="C35" s="1">
        <f>IF(控制台!C2060="",C34,控制台!C2060)</f>
        <v>5</v>
      </c>
      <c r="D35" s="1">
        <f ca="1">OFFSET(控制台!$L$3691,MATCH($C35,控制台!$B$3691:$B$3706,0)-1,0)</f>
        <v>180000</v>
      </c>
      <c r="E35" s="1">
        <f ca="1" t="shared" si="0"/>
        <v>180000</v>
      </c>
      <c r="F35" s="5">
        <f ca="1" t="shared" si="8"/>
        <v>1575000</v>
      </c>
      <c r="G35" s="1">
        <f ca="1">OFFSET(控制台!$M$3691,MATCH($C35,控制台!$B$3691:$B$3706,0)-1,0)</f>
        <v>0.8</v>
      </c>
      <c r="H35" s="1">
        <f ca="1" t="shared" si="1"/>
        <v>0.8</v>
      </c>
      <c r="I35" s="5">
        <f ca="1" t="shared" si="9"/>
        <v>4.8</v>
      </c>
      <c r="J35" s="1">
        <f ca="1">OFFSET(控制台!$N$3691,MATCH($C35,控制台!$B$3691:$B$3706,0)-1,0)</f>
        <v>60000</v>
      </c>
      <c r="K35" s="1">
        <f ca="1" t="shared" si="2"/>
        <v>60000</v>
      </c>
      <c r="L35" s="5">
        <f ca="1" t="shared" si="10"/>
        <v>525000</v>
      </c>
      <c r="M35" s="1">
        <f ca="1">OFFSET(控制台!$P$3691,MATCH($C35,控制台!$B$3691:$B$3706,0)-1,0)</f>
        <v>18.3</v>
      </c>
      <c r="N35" s="1">
        <f ca="1" t="shared" si="3"/>
        <v>18.3</v>
      </c>
      <c r="O35" s="5">
        <f ca="1" t="shared" si="11"/>
        <v>109.8</v>
      </c>
      <c r="P35" s="1">
        <f ca="1">OFFSET(控制台!$Q$3691,MATCH($C35,控制台!$B$3691:$B$3706,0)-1,0)</f>
        <v>0</v>
      </c>
      <c r="Q35" s="1">
        <f ca="1" t="shared" si="4"/>
        <v>0</v>
      </c>
      <c r="R35" s="5">
        <f ca="1" t="shared" si="12"/>
        <v>0</v>
      </c>
      <c r="S35" s="1">
        <f ca="1">OFFSET(控制台!$R$3691,MATCH($C35,控制台!$B$3691:$B$3706,0)-1,0)</f>
        <v>0</v>
      </c>
      <c r="T35" s="1">
        <f ca="1" t="shared" si="5"/>
        <v>0</v>
      </c>
      <c r="U35" s="5">
        <f ca="1" t="shared" si="13"/>
        <v>0</v>
      </c>
      <c r="V35" s="1">
        <f ca="1">OFFSET(控制台!$O$3691,MATCH($C35,控制台!$B$3691:$B$3706,0)-1,0)</f>
        <v>30000</v>
      </c>
      <c r="W35" s="1">
        <f ca="1" t="shared" si="6"/>
        <v>30000</v>
      </c>
      <c r="X35" s="5">
        <f ca="1" t="shared" si="14"/>
        <v>262500</v>
      </c>
    </row>
    <row r="36" spans="1:24">
      <c r="A36" s="10">
        <v>15</v>
      </c>
      <c r="B36" s="1">
        <f t="shared" si="7"/>
        <v>1</v>
      </c>
      <c r="C36" s="1">
        <f>IF(控制台!C2061="",C35,控制台!C2061)</f>
        <v>5</v>
      </c>
      <c r="D36" s="1">
        <f ca="1">OFFSET(控制台!$L$3691,MATCH($C36,控制台!$B$3691:$B$3706,0)-1,0)</f>
        <v>180000</v>
      </c>
      <c r="E36" s="1">
        <f ca="1" t="shared" si="0"/>
        <v>180000</v>
      </c>
      <c r="F36" s="5">
        <f ca="1" t="shared" si="8"/>
        <v>1755000</v>
      </c>
      <c r="G36" s="1">
        <f ca="1">OFFSET(控制台!$M$3691,MATCH($C36,控制台!$B$3691:$B$3706,0)-1,0)</f>
        <v>0.8</v>
      </c>
      <c r="H36" s="1">
        <f ca="1" t="shared" si="1"/>
        <v>0.8</v>
      </c>
      <c r="I36" s="5">
        <f ca="1" t="shared" si="9"/>
        <v>5.6</v>
      </c>
      <c r="J36" s="1">
        <f ca="1">OFFSET(控制台!$N$3691,MATCH($C36,控制台!$B$3691:$B$3706,0)-1,0)</f>
        <v>60000</v>
      </c>
      <c r="K36" s="1">
        <f ca="1" t="shared" si="2"/>
        <v>60000</v>
      </c>
      <c r="L36" s="5">
        <f ca="1" t="shared" si="10"/>
        <v>585000</v>
      </c>
      <c r="M36" s="1">
        <f ca="1">OFFSET(控制台!$P$3691,MATCH($C36,控制台!$B$3691:$B$3706,0)-1,0)</f>
        <v>18.3</v>
      </c>
      <c r="N36" s="1">
        <f ca="1" t="shared" si="3"/>
        <v>18.3</v>
      </c>
      <c r="O36" s="5">
        <f ca="1" t="shared" si="11"/>
        <v>128.1</v>
      </c>
      <c r="P36" s="1">
        <f ca="1">OFFSET(控制台!$Q$3691,MATCH($C36,控制台!$B$3691:$B$3706,0)-1,0)</f>
        <v>0</v>
      </c>
      <c r="Q36" s="1">
        <f ca="1" t="shared" si="4"/>
        <v>0</v>
      </c>
      <c r="R36" s="5">
        <f ca="1" t="shared" si="12"/>
        <v>0</v>
      </c>
      <c r="S36" s="1">
        <f ca="1">OFFSET(控制台!$R$3691,MATCH($C36,控制台!$B$3691:$B$3706,0)-1,0)</f>
        <v>0</v>
      </c>
      <c r="T36" s="1">
        <f ca="1" t="shared" si="5"/>
        <v>0</v>
      </c>
      <c r="U36" s="5">
        <f ca="1" t="shared" si="13"/>
        <v>0</v>
      </c>
      <c r="V36" s="1">
        <f ca="1">OFFSET(控制台!$O$3691,MATCH($C36,控制台!$B$3691:$B$3706,0)-1,0)</f>
        <v>30000</v>
      </c>
      <c r="W36" s="1">
        <f ca="1" t="shared" si="6"/>
        <v>30000</v>
      </c>
      <c r="X36" s="5">
        <f ca="1" t="shared" si="14"/>
        <v>292500</v>
      </c>
    </row>
    <row r="37" spans="1:24">
      <c r="A37" s="10">
        <v>16</v>
      </c>
      <c r="B37" s="1">
        <f t="shared" si="7"/>
        <v>1</v>
      </c>
      <c r="C37" s="1">
        <f>IF(控制台!C2062="",C36,控制台!C2062)</f>
        <v>5</v>
      </c>
      <c r="D37" s="1">
        <f ca="1">OFFSET(控制台!$L$3691,MATCH($C37,控制台!$B$3691:$B$3706,0)-1,0)</f>
        <v>180000</v>
      </c>
      <c r="E37" s="1">
        <f ca="1" t="shared" si="0"/>
        <v>180000</v>
      </c>
      <c r="F37" s="5">
        <f ca="1" t="shared" si="8"/>
        <v>1935000</v>
      </c>
      <c r="G37" s="1">
        <f ca="1">OFFSET(控制台!$M$3691,MATCH($C37,控制台!$B$3691:$B$3706,0)-1,0)</f>
        <v>0.8</v>
      </c>
      <c r="H37" s="1">
        <f ca="1" t="shared" si="1"/>
        <v>0.8</v>
      </c>
      <c r="I37" s="5">
        <f ca="1" t="shared" si="9"/>
        <v>6.4</v>
      </c>
      <c r="J37" s="1">
        <f ca="1">OFFSET(控制台!$N$3691,MATCH($C37,控制台!$B$3691:$B$3706,0)-1,0)</f>
        <v>60000</v>
      </c>
      <c r="K37" s="1">
        <f ca="1" t="shared" si="2"/>
        <v>60000</v>
      </c>
      <c r="L37" s="5">
        <f ca="1" t="shared" si="10"/>
        <v>645000</v>
      </c>
      <c r="M37" s="1">
        <f ca="1">OFFSET(控制台!$P$3691,MATCH($C37,控制台!$B$3691:$B$3706,0)-1,0)</f>
        <v>18.3</v>
      </c>
      <c r="N37" s="1">
        <f ca="1" t="shared" si="3"/>
        <v>18.3</v>
      </c>
      <c r="O37" s="5">
        <f ca="1" t="shared" si="11"/>
        <v>146.4</v>
      </c>
      <c r="P37" s="1">
        <f ca="1">OFFSET(控制台!$Q$3691,MATCH($C37,控制台!$B$3691:$B$3706,0)-1,0)</f>
        <v>0</v>
      </c>
      <c r="Q37" s="1">
        <f ca="1" t="shared" si="4"/>
        <v>0</v>
      </c>
      <c r="R37" s="5">
        <f ca="1" t="shared" si="12"/>
        <v>0</v>
      </c>
      <c r="S37" s="1">
        <f ca="1">OFFSET(控制台!$R$3691,MATCH($C37,控制台!$B$3691:$B$3706,0)-1,0)</f>
        <v>0</v>
      </c>
      <c r="T37" s="1">
        <f ca="1" t="shared" si="5"/>
        <v>0</v>
      </c>
      <c r="U37" s="5">
        <f ca="1" t="shared" si="13"/>
        <v>0</v>
      </c>
      <c r="V37" s="1">
        <f ca="1">OFFSET(控制台!$O$3691,MATCH($C37,控制台!$B$3691:$B$3706,0)-1,0)</f>
        <v>30000</v>
      </c>
      <c r="W37" s="1">
        <f ca="1" t="shared" si="6"/>
        <v>30000</v>
      </c>
      <c r="X37" s="5">
        <f ca="1" t="shared" si="14"/>
        <v>322500</v>
      </c>
    </row>
    <row r="38" spans="1:24">
      <c r="A38" s="10">
        <v>17</v>
      </c>
      <c r="B38" s="1">
        <f t="shared" si="7"/>
        <v>1</v>
      </c>
      <c r="C38" s="1">
        <f>IF(控制台!C2063="",C37,控制台!C2063)</f>
        <v>5</v>
      </c>
      <c r="D38" s="1">
        <f ca="1">OFFSET(控制台!$L$3691,MATCH($C38,控制台!$B$3691:$B$3706,0)-1,0)</f>
        <v>180000</v>
      </c>
      <c r="E38" s="1">
        <f ca="1" t="shared" si="0"/>
        <v>180000</v>
      </c>
      <c r="F38" s="5">
        <f ca="1" t="shared" si="8"/>
        <v>2115000</v>
      </c>
      <c r="G38" s="1">
        <f ca="1">OFFSET(控制台!$M$3691,MATCH($C38,控制台!$B$3691:$B$3706,0)-1,0)</f>
        <v>0.8</v>
      </c>
      <c r="H38" s="1">
        <f ca="1" t="shared" si="1"/>
        <v>0.8</v>
      </c>
      <c r="I38" s="5">
        <f ca="1" t="shared" si="9"/>
        <v>7.2</v>
      </c>
      <c r="J38" s="1">
        <f ca="1">OFFSET(控制台!$N$3691,MATCH($C38,控制台!$B$3691:$B$3706,0)-1,0)</f>
        <v>60000</v>
      </c>
      <c r="K38" s="1">
        <f ca="1" t="shared" si="2"/>
        <v>60000</v>
      </c>
      <c r="L38" s="5">
        <f ca="1" t="shared" si="10"/>
        <v>705000</v>
      </c>
      <c r="M38" s="1">
        <f ca="1">OFFSET(控制台!$P$3691,MATCH($C38,控制台!$B$3691:$B$3706,0)-1,0)</f>
        <v>18.3</v>
      </c>
      <c r="N38" s="1">
        <f ca="1" t="shared" si="3"/>
        <v>18.3</v>
      </c>
      <c r="O38" s="5">
        <f ca="1" t="shared" si="11"/>
        <v>164.7</v>
      </c>
      <c r="P38" s="1">
        <f ca="1">OFFSET(控制台!$Q$3691,MATCH($C38,控制台!$B$3691:$B$3706,0)-1,0)</f>
        <v>0</v>
      </c>
      <c r="Q38" s="1">
        <f ca="1" t="shared" si="4"/>
        <v>0</v>
      </c>
      <c r="R38" s="5">
        <f ca="1" t="shared" si="12"/>
        <v>0</v>
      </c>
      <c r="S38" s="1">
        <f ca="1">OFFSET(控制台!$R$3691,MATCH($C38,控制台!$B$3691:$B$3706,0)-1,0)</f>
        <v>0</v>
      </c>
      <c r="T38" s="1">
        <f ca="1" t="shared" si="5"/>
        <v>0</v>
      </c>
      <c r="U38" s="5">
        <f ca="1" t="shared" si="13"/>
        <v>0</v>
      </c>
      <c r="V38" s="1">
        <f ca="1">OFFSET(控制台!$O$3691,MATCH($C38,控制台!$B$3691:$B$3706,0)-1,0)</f>
        <v>30000</v>
      </c>
      <c r="W38" s="1">
        <f ca="1" t="shared" si="6"/>
        <v>30000</v>
      </c>
      <c r="X38" s="5">
        <f ca="1" t="shared" si="14"/>
        <v>352500</v>
      </c>
    </row>
    <row r="39" spans="1:24">
      <c r="A39" s="10">
        <v>18</v>
      </c>
      <c r="B39" s="1">
        <f t="shared" si="7"/>
        <v>1</v>
      </c>
      <c r="C39" s="1">
        <f>IF(控制台!C2064="",C38,控制台!C2064)</f>
        <v>5</v>
      </c>
      <c r="D39" s="1">
        <f ca="1">OFFSET(控制台!$L$3691,MATCH($C39,控制台!$B$3691:$B$3706,0)-1,0)</f>
        <v>180000</v>
      </c>
      <c r="E39" s="1">
        <f ca="1" t="shared" si="0"/>
        <v>180000</v>
      </c>
      <c r="F39" s="5">
        <f ca="1" t="shared" si="8"/>
        <v>2295000</v>
      </c>
      <c r="G39" s="1">
        <f ca="1">OFFSET(控制台!$M$3691,MATCH($C39,控制台!$B$3691:$B$3706,0)-1,0)</f>
        <v>0.8</v>
      </c>
      <c r="H39" s="1">
        <f ca="1" t="shared" si="1"/>
        <v>0.8</v>
      </c>
      <c r="I39" s="5">
        <f ca="1" t="shared" si="9"/>
        <v>8</v>
      </c>
      <c r="J39" s="1">
        <f ca="1">OFFSET(控制台!$N$3691,MATCH($C39,控制台!$B$3691:$B$3706,0)-1,0)</f>
        <v>60000</v>
      </c>
      <c r="K39" s="1">
        <f ca="1" t="shared" si="2"/>
        <v>60000</v>
      </c>
      <c r="L39" s="5">
        <f ca="1" t="shared" si="10"/>
        <v>765000</v>
      </c>
      <c r="M39" s="1">
        <f ca="1">OFFSET(控制台!$P$3691,MATCH($C39,控制台!$B$3691:$B$3706,0)-1,0)</f>
        <v>18.3</v>
      </c>
      <c r="N39" s="1">
        <f ca="1" t="shared" si="3"/>
        <v>18.3</v>
      </c>
      <c r="O39" s="5">
        <f ca="1" t="shared" si="11"/>
        <v>183</v>
      </c>
      <c r="P39" s="1">
        <f ca="1">OFFSET(控制台!$Q$3691,MATCH($C39,控制台!$B$3691:$B$3706,0)-1,0)</f>
        <v>0</v>
      </c>
      <c r="Q39" s="1">
        <f ca="1" t="shared" si="4"/>
        <v>0</v>
      </c>
      <c r="R39" s="5">
        <f ca="1" t="shared" si="12"/>
        <v>0</v>
      </c>
      <c r="S39" s="1">
        <f ca="1">OFFSET(控制台!$R$3691,MATCH($C39,控制台!$B$3691:$B$3706,0)-1,0)</f>
        <v>0</v>
      </c>
      <c r="T39" s="1">
        <f ca="1" t="shared" si="5"/>
        <v>0</v>
      </c>
      <c r="U39" s="5">
        <f ca="1" t="shared" si="13"/>
        <v>0</v>
      </c>
      <c r="V39" s="1">
        <f ca="1">OFFSET(控制台!$O$3691,MATCH($C39,控制台!$B$3691:$B$3706,0)-1,0)</f>
        <v>30000</v>
      </c>
      <c r="W39" s="1">
        <f ca="1" t="shared" si="6"/>
        <v>30000</v>
      </c>
      <c r="X39" s="5">
        <f ca="1" t="shared" si="14"/>
        <v>382500</v>
      </c>
    </row>
    <row r="40" spans="1:24">
      <c r="A40" s="10">
        <v>19</v>
      </c>
      <c r="B40" s="1">
        <f t="shared" si="7"/>
        <v>1</v>
      </c>
      <c r="C40" s="1">
        <f>IF(控制台!C2065="",C39,控制台!C2065)</f>
        <v>5</v>
      </c>
      <c r="D40" s="1">
        <f ca="1">OFFSET(控制台!$L$3691,MATCH($C40,控制台!$B$3691:$B$3706,0)-1,0)</f>
        <v>180000</v>
      </c>
      <c r="E40" s="1">
        <f ca="1" t="shared" si="0"/>
        <v>180000</v>
      </c>
      <c r="F40" s="5">
        <f ca="1" t="shared" si="8"/>
        <v>2475000</v>
      </c>
      <c r="G40" s="1">
        <f ca="1">OFFSET(控制台!$M$3691,MATCH($C40,控制台!$B$3691:$B$3706,0)-1,0)</f>
        <v>0.8</v>
      </c>
      <c r="H40" s="1">
        <f ca="1" t="shared" si="1"/>
        <v>0.8</v>
      </c>
      <c r="I40" s="5">
        <f ca="1" t="shared" si="9"/>
        <v>8.8</v>
      </c>
      <c r="J40" s="1">
        <f ca="1">OFFSET(控制台!$N$3691,MATCH($C40,控制台!$B$3691:$B$3706,0)-1,0)</f>
        <v>60000</v>
      </c>
      <c r="K40" s="1">
        <f ca="1" t="shared" si="2"/>
        <v>60000</v>
      </c>
      <c r="L40" s="5">
        <f ca="1" t="shared" si="10"/>
        <v>825000</v>
      </c>
      <c r="M40" s="1">
        <f ca="1">OFFSET(控制台!$P$3691,MATCH($C40,控制台!$B$3691:$B$3706,0)-1,0)</f>
        <v>18.3</v>
      </c>
      <c r="N40" s="1">
        <f ca="1" t="shared" si="3"/>
        <v>18.3</v>
      </c>
      <c r="O40" s="5">
        <f ca="1" t="shared" si="11"/>
        <v>201.3</v>
      </c>
      <c r="P40" s="1">
        <f ca="1">OFFSET(控制台!$Q$3691,MATCH($C40,控制台!$B$3691:$B$3706,0)-1,0)</f>
        <v>0</v>
      </c>
      <c r="Q40" s="1">
        <f ca="1" t="shared" si="4"/>
        <v>0</v>
      </c>
      <c r="R40" s="5">
        <f ca="1" t="shared" si="12"/>
        <v>0</v>
      </c>
      <c r="S40" s="1">
        <f ca="1">OFFSET(控制台!$R$3691,MATCH($C40,控制台!$B$3691:$B$3706,0)-1,0)</f>
        <v>0</v>
      </c>
      <c r="T40" s="1">
        <f ca="1" t="shared" si="5"/>
        <v>0</v>
      </c>
      <c r="U40" s="5">
        <f ca="1" t="shared" si="13"/>
        <v>0</v>
      </c>
      <c r="V40" s="1">
        <f ca="1">OFFSET(控制台!$O$3691,MATCH($C40,控制台!$B$3691:$B$3706,0)-1,0)</f>
        <v>30000</v>
      </c>
      <c r="W40" s="1">
        <f ca="1" t="shared" si="6"/>
        <v>30000</v>
      </c>
      <c r="X40" s="5">
        <f ca="1" t="shared" si="14"/>
        <v>412500</v>
      </c>
    </row>
    <row r="41" spans="1:24">
      <c r="A41" s="10">
        <v>20</v>
      </c>
      <c r="B41" s="1">
        <f t="shared" si="7"/>
        <v>1</v>
      </c>
      <c r="C41" s="1">
        <f>IF(控制台!C2066="",C40,控制台!C2066)</f>
        <v>6</v>
      </c>
      <c r="D41" s="1">
        <f ca="1">OFFSET(控制台!$L$3691,MATCH($C41,控制台!$B$3691:$B$3706,0)-1,0)</f>
        <v>210000</v>
      </c>
      <c r="E41" s="1">
        <f ca="1" t="shared" si="0"/>
        <v>210000</v>
      </c>
      <c r="F41" s="5">
        <f ca="1" t="shared" si="8"/>
        <v>2685000</v>
      </c>
      <c r="G41" s="1">
        <f ca="1">OFFSET(控制台!$M$3691,MATCH($C41,控制台!$B$3691:$B$3706,0)-1,0)</f>
        <v>0.8</v>
      </c>
      <c r="H41" s="1">
        <f ca="1" t="shared" si="1"/>
        <v>0.8</v>
      </c>
      <c r="I41" s="5">
        <f ca="1" t="shared" si="9"/>
        <v>9.6</v>
      </c>
      <c r="J41" s="1">
        <f ca="1">OFFSET(控制台!$N$3691,MATCH($C41,控制台!$B$3691:$B$3706,0)-1,0)</f>
        <v>70000</v>
      </c>
      <c r="K41" s="1">
        <f ca="1" t="shared" si="2"/>
        <v>70000</v>
      </c>
      <c r="L41" s="5">
        <f ca="1" t="shared" si="10"/>
        <v>895000</v>
      </c>
      <c r="M41" s="1">
        <f ca="1">OFFSET(控制台!$P$3691,MATCH($C41,控制台!$B$3691:$B$3706,0)-1,0)</f>
        <v>18.3</v>
      </c>
      <c r="N41" s="1">
        <f ca="1" t="shared" si="3"/>
        <v>18.3</v>
      </c>
      <c r="O41" s="5">
        <f ca="1" t="shared" si="11"/>
        <v>219.6</v>
      </c>
      <c r="P41" s="1">
        <f ca="1">OFFSET(控制台!$Q$3691,MATCH($C41,控制台!$B$3691:$B$3706,0)-1,0)</f>
        <v>0</v>
      </c>
      <c r="Q41" s="1">
        <f ca="1" t="shared" si="4"/>
        <v>0</v>
      </c>
      <c r="R41" s="5">
        <f ca="1" t="shared" si="12"/>
        <v>0</v>
      </c>
      <c r="S41" s="1">
        <f ca="1">OFFSET(控制台!$R$3691,MATCH($C41,控制台!$B$3691:$B$3706,0)-1,0)</f>
        <v>0</v>
      </c>
      <c r="T41" s="1">
        <f ca="1" t="shared" si="5"/>
        <v>0</v>
      </c>
      <c r="U41" s="5">
        <f ca="1" t="shared" si="13"/>
        <v>0</v>
      </c>
      <c r="V41" s="1">
        <f ca="1">OFFSET(控制台!$O$3691,MATCH($C41,控制台!$B$3691:$B$3706,0)-1,0)</f>
        <v>35000</v>
      </c>
      <c r="W41" s="1">
        <f ca="1" t="shared" si="6"/>
        <v>35000</v>
      </c>
      <c r="X41" s="5">
        <f ca="1" t="shared" si="14"/>
        <v>447500</v>
      </c>
    </row>
    <row r="42" spans="1:24">
      <c r="A42" s="10">
        <v>21</v>
      </c>
      <c r="B42" s="1">
        <f t="shared" si="7"/>
        <v>1</v>
      </c>
      <c r="C42" s="1">
        <f>IF(控制台!C2067="",C41,控制台!C2067)</f>
        <v>6</v>
      </c>
      <c r="D42" s="1">
        <f ca="1">OFFSET(控制台!$L$3691,MATCH($C42,控制台!$B$3691:$B$3706,0)-1,0)</f>
        <v>210000</v>
      </c>
      <c r="E42" s="1">
        <f ca="1" t="shared" si="0"/>
        <v>210000</v>
      </c>
      <c r="F42" s="5">
        <f ca="1" t="shared" si="8"/>
        <v>2895000</v>
      </c>
      <c r="G42" s="1">
        <f ca="1">OFFSET(控制台!$M$3691,MATCH($C42,控制台!$B$3691:$B$3706,0)-1,0)</f>
        <v>0.8</v>
      </c>
      <c r="H42" s="1">
        <f ca="1" t="shared" si="1"/>
        <v>0.8</v>
      </c>
      <c r="I42" s="5">
        <f ca="1" t="shared" si="9"/>
        <v>10.4</v>
      </c>
      <c r="J42" s="1">
        <f ca="1">OFFSET(控制台!$N$3691,MATCH($C42,控制台!$B$3691:$B$3706,0)-1,0)</f>
        <v>70000</v>
      </c>
      <c r="K42" s="1">
        <f ca="1" t="shared" si="2"/>
        <v>70000</v>
      </c>
      <c r="L42" s="5">
        <f ca="1" t="shared" si="10"/>
        <v>965000</v>
      </c>
      <c r="M42" s="1">
        <f ca="1">OFFSET(控制台!$P$3691,MATCH($C42,控制台!$B$3691:$B$3706,0)-1,0)</f>
        <v>18.3</v>
      </c>
      <c r="N42" s="1">
        <f ca="1" t="shared" si="3"/>
        <v>18.3</v>
      </c>
      <c r="O42" s="5">
        <f ca="1" t="shared" si="11"/>
        <v>237.9</v>
      </c>
      <c r="P42" s="1">
        <f ca="1">OFFSET(控制台!$Q$3691,MATCH($C42,控制台!$B$3691:$B$3706,0)-1,0)</f>
        <v>0</v>
      </c>
      <c r="Q42" s="1">
        <f ca="1" t="shared" si="4"/>
        <v>0</v>
      </c>
      <c r="R42" s="5">
        <f ca="1" t="shared" si="12"/>
        <v>0</v>
      </c>
      <c r="S42" s="1">
        <f ca="1">OFFSET(控制台!$R$3691,MATCH($C42,控制台!$B$3691:$B$3706,0)-1,0)</f>
        <v>0</v>
      </c>
      <c r="T42" s="1">
        <f ca="1" t="shared" si="5"/>
        <v>0</v>
      </c>
      <c r="U42" s="5">
        <f ca="1" t="shared" si="13"/>
        <v>0</v>
      </c>
      <c r="V42" s="1">
        <f ca="1">OFFSET(控制台!$O$3691,MATCH($C42,控制台!$B$3691:$B$3706,0)-1,0)</f>
        <v>35000</v>
      </c>
      <c r="W42" s="1">
        <f ca="1" t="shared" si="6"/>
        <v>35000</v>
      </c>
      <c r="X42" s="5">
        <f ca="1" t="shared" si="14"/>
        <v>482500</v>
      </c>
    </row>
    <row r="43" spans="1:24">
      <c r="A43" s="10">
        <v>22</v>
      </c>
      <c r="B43" s="1">
        <f t="shared" si="7"/>
        <v>1</v>
      </c>
      <c r="C43" s="1">
        <f>IF(控制台!C2068="",C42,控制台!C2068)</f>
        <v>6</v>
      </c>
      <c r="D43" s="1">
        <f ca="1">OFFSET(控制台!$L$3691,MATCH($C43,控制台!$B$3691:$B$3706,0)-1,0)</f>
        <v>210000</v>
      </c>
      <c r="E43" s="1">
        <f ca="1" t="shared" si="0"/>
        <v>210000</v>
      </c>
      <c r="F43" s="5">
        <f ca="1" t="shared" si="8"/>
        <v>3105000</v>
      </c>
      <c r="G43" s="1">
        <f ca="1">OFFSET(控制台!$M$3691,MATCH($C43,控制台!$B$3691:$B$3706,0)-1,0)</f>
        <v>0.8</v>
      </c>
      <c r="H43" s="1">
        <f ca="1" t="shared" si="1"/>
        <v>0.8</v>
      </c>
      <c r="I43" s="5">
        <f ca="1" t="shared" si="9"/>
        <v>11.2</v>
      </c>
      <c r="J43" s="1">
        <f ca="1">OFFSET(控制台!$N$3691,MATCH($C43,控制台!$B$3691:$B$3706,0)-1,0)</f>
        <v>70000</v>
      </c>
      <c r="K43" s="1">
        <f ca="1" t="shared" si="2"/>
        <v>70000</v>
      </c>
      <c r="L43" s="5">
        <f ca="1" t="shared" si="10"/>
        <v>1035000</v>
      </c>
      <c r="M43" s="1">
        <f ca="1">OFFSET(控制台!$P$3691,MATCH($C43,控制台!$B$3691:$B$3706,0)-1,0)</f>
        <v>18.3</v>
      </c>
      <c r="N43" s="1">
        <f ca="1" t="shared" si="3"/>
        <v>18.3</v>
      </c>
      <c r="O43" s="5">
        <f ca="1" t="shared" si="11"/>
        <v>256.2</v>
      </c>
      <c r="P43" s="1">
        <f ca="1">OFFSET(控制台!$Q$3691,MATCH($C43,控制台!$B$3691:$B$3706,0)-1,0)</f>
        <v>0</v>
      </c>
      <c r="Q43" s="1">
        <f ca="1" t="shared" si="4"/>
        <v>0</v>
      </c>
      <c r="R43" s="5">
        <f ca="1" t="shared" si="12"/>
        <v>0</v>
      </c>
      <c r="S43" s="1">
        <f ca="1">OFFSET(控制台!$R$3691,MATCH($C43,控制台!$B$3691:$B$3706,0)-1,0)</f>
        <v>0</v>
      </c>
      <c r="T43" s="1">
        <f ca="1" t="shared" si="5"/>
        <v>0</v>
      </c>
      <c r="U43" s="5">
        <f ca="1" t="shared" si="13"/>
        <v>0</v>
      </c>
      <c r="V43" s="1">
        <f ca="1">OFFSET(控制台!$O$3691,MATCH($C43,控制台!$B$3691:$B$3706,0)-1,0)</f>
        <v>35000</v>
      </c>
      <c r="W43" s="1">
        <f ca="1" t="shared" si="6"/>
        <v>35000</v>
      </c>
      <c r="X43" s="5">
        <f ca="1" t="shared" si="14"/>
        <v>517500</v>
      </c>
    </row>
    <row r="44" spans="1:24">
      <c r="A44" s="10">
        <v>23</v>
      </c>
      <c r="B44" s="1">
        <f t="shared" si="7"/>
        <v>1</v>
      </c>
      <c r="C44" s="1">
        <f>IF(控制台!C2069="",C43,控制台!C2069)</f>
        <v>6</v>
      </c>
      <c r="D44" s="1">
        <f ca="1">OFFSET(控制台!$L$3691,MATCH($C44,控制台!$B$3691:$B$3706,0)-1,0)</f>
        <v>210000</v>
      </c>
      <c r="E44" s="1">
        <f ca="1" t="shared" si="0"/>
        <v>210000</v>
      </c>
      <c r="F44" s="5">
        <f ca="1" t="shared" si="8"/>
        <v>3315000</v>
      </c>
      <c r="G44" s="1">
        <f ca="1">OFFSET(控制台!$M$3691,MATCH($C44,控制台!$B$3691:$B$3706,0)-1,0)</f>
        <v>0.8</v>
      </c>
      <c r="H44" s="1">
        <f ca="1" t="shared" si="1"/>
        <v>0.8</v>
      </c>
      <c r="I44" s="5">
        <f ca="1" t="shared" si="9"/>
        <v>12</v>
      </c>
      <c r="J44" s="1">
        <f ca="1">OFFSET(控制台!$N$3691,MATCH($C44,控制台!$B$3691:$B$3706,0)-1,0)</f>
        <v>70000</v>
      </c>
      <c r="K44" s="1">
        <f ca="1" t="shared" si="2"/>
        <v>70000</v>
      </c>
      <c r="L44" s="5">
        <f ca="1" t="shared" si="10"/>
        <v>1105000</v>
      </c>
      <c r="M44" s="1">
        <f ca="1">OFFSET(控制台!$P$3691,MATCH($C44,控制台!$B$3691:$B$3706,0)-1,0)</f>
        <v>18.3</v>
      </c>
      <c r="N44" s="1">
        <f ca="1" t="shared" si="3"/>
        <v>18.3</v>
      </c>
      <c r="O44" s="5">
        <f ca="1" t="shared" si="11"/>
        <v>274.5</v>
      </c>
      <c r="P44" s="1">
        <f ca="1">OFFSET(控制台!$Q$3691,MATCH($C44,控制台!$B$3691:$B$3706,0)-1,0)</f>
        <v>0</v>
      </c>
      <c r="Q44" s="1">
        <f ca="1" t="shared" si="4"/>
        <v>0</v>
      </c>
      <c r="R44" s="5">
        <f ca="1" t="shared" si="12"/>
        <v>0</v>
      </c>
      <c r="S44" s="1">
        <f ca="1">OFFSET(控制台!$R$3691,MATCH($C44,控制台!$B$3691:$B$3706,0)-1,0)</f>
        <v>0</v>
      </c>
      <c r="T44" s="1">
        <f ca="1" t="shared" si="5"/>
        <v>0</v>
      </c>
      <c r="U44" s="5">
        <f ca="1" t="shared" si="13"/>
        <v>0</v>
      </c>
      <c r="V44" s="1">
        <f ca="1">OFFSET(控制台!$O$3691,MATCH($C44,控制台!$B$3691:$B$3706,0)-1,0)</f>
        <v>35000</v>
      </c>
      <c r="W44" s="1">
        <f ca="1" t="shared" si="6"/>
        <v>35000</v>
      </c>
      <c r="X44" s="5">
        <f ca="1" t="shared" si="14"/>
        <v>552500</v>
      </c>
    </row>
    <row r="45" spans="1:24">
      <c r="A45" s="10">
        <v>24</v>
      </c>
      <c r="B45" s="1">
        <f t="shared" si="7"/>
        <v>1</v>
      </c>
      <c r="C45" s="1">
        <f>IF(控制台!C2070="",C44,控制台!C2070)</f>
        <v>6</v>
      </c>
      <c r="D45" s="1">
        <f ca="1">OFFSET(控制台!$L$3691,MATCH($C45,控制台!$B$3691:$B$3706,0)-1,0)</f>
        <v>210000</v>
      </c>
      <c r="E45" s="1">
        <f ca="1" t="shared" si="0"/>
        <v>210000</v>
      </c>
      <c r="F45" s="5">
        <f ca="1" t="shared" si="8"/>
        <v>3525000</v>
      </c>
      <c r="G45" s="1">
        <f ca="1">OFFSET(控制台!$M$3691,MATCH($C45,控制台!$B$3691:$B$3706,0)-1,0)</f>
        <v>0.8</v>
      </c>
      <c r="H45" s="1">
        <f ca="1" t="shared" si="1"/>
        <v>0.8</v>
      </c>
      <c r="I45" s="5">
        <f ca="1" t="shared" si="9"/>
        <v>12.8</v>
      </c>
      <c r="J45" s="1">
        <f ca="1">OFFSET(控制台!$N$3691,MATCH($C45,控制台!$B$3691:$B$3706,0)-1,0)</f>
        <v>70000</v>
      </c>
      <c r="K45" s="1">
        <f ca="1" t="shared" si="2"/>
        <v>70000</v>
      </c>
      <c r="L45" s="5">
        <f ca="1" t="shared" si="10"/>
        <v>1175000</v>
      </c>
      <c r="M45" s="1">
        <f ca="1">OFFSET(控制台!$P$3691,MATCH($C45,控制台!$B$3691:$B$3706,0)-1,0)</f>
        <v>18.3</v>
      </c>
      <c r="N45" s="1">
        <f ca="1" t="shared" si="3"/>
        <v>18.3</v>
      </c>
      <c r="O45" s="5">
        <f ca="1" t="shared" si="11"/>
        <v>292.8</v>
      </c>
      <c r="P45" s="1">
        <f ca="1">OFFSET(控制台!$Q$3691,MATCH($C45,控制台!$B$3691:$B$3706,0)-1,0)</f>
        <v>0</v>
      </c>
      <c r="Q45" s="1">
        <f ca="1" t="shared" si="4"/>
        <v>0</v>
      </c>
      <c r="R45" s="5">
        <f ca="1" t="shared" si="12"/>
        <v>0</v>
      </c>
      <c r="S45" s="1">
        <f ca="1">OFFSET(控制台!$R$3691,MATCH($C45,控制台!$B$3691:$B$3706,0)-1,0)</f>
        <v>0</v>
      </c>
      <c r="T45" s="1">
        <f ca="1" t="shared" si="5"/>
        <v>0</v>
      </c>
      <c r="U45" s="5">
        <f ca="1" t="shared" si="13"/>
        <v>0</v>
      </c>
      <c r="V45" s="1">
        <f ca="1">OFFSET(控制台!$O$3691,MATCH($C45,控制台!$B$3691:$B$3706,0)-1,0)</f>
        <v>35000</v>
      </c>
      <c r="W45" s="1">
        <f ca="1" t="shared" si="6"/>
        <v>35000</v>
      </c>
      <c r="X45" s="5">
        <f ca="1" t="shared" si="14"/>
        <v>587500</v>
      </c>
    </row>
    <row r="46" spans="1:24">
      <c r="A46" s="10">
        <v>25</v>
      </c>
      <c r="B46" s="1">
        <f t="shared" si="7"/>
        <v>1</v>
      </c>
      <c r="C46" s="1">
        <f>IF(控制台!C2071="",C45,控制台!C2071)</f>
        <v>6</v>
      </c>
      <c r="D46" s="1">
        <f ca="1">OFFSET(控制台!$L$3691,MATCH($C46,控制台!$B$3691:$B$3706,0)-1,0)</f>
        <v>210000</v>
      </c>
      <c r="E46" s="1">
        <f ca="1" t="shared" si="0"/>
        <v>210000</v>
      </c>
      <c r="F46" s="5">
        <f ca="1" t="shared" si="8"/>
        <v>3735000</v>
      </c>
      <c r="G46" s="1">
        <f ca="1">OFFSET(控制台!$M$3691,MATCH($C46,控制台!$B$3691:$B$3706,0)-1,0)</f>
        <v>0.8</v>
      </c>
      <c r="H46" s="1">
        <f ca="1" t="shared" si="1"/>
        <v>0.8</v>
      </c>
      <c r="I46" s="5">
        <f ca="1" t="shared" si="9"/>
        <v>13.6</v>
      </c>
      <c r="J46" s="1">
        <f ca="1">OFFSET(控制台!$N$3691,MATCH($C46,控制台!$B$3691:$B$3706,0)-1,0)</f>
        <v>70000</v>
      </c>
      <c r="K46" s="1">
        <f ca="1" t="shared" si="2"/>
        <v>70000</v>
      </c>
      <c r="L46" s="5">
        <f ca="1" t="shared" si="10"/>
        <v>1245000</v>
      </c>
      <c r="M46" s="1">
        <f ca="1">OFFSET(控制台!$P$3691,MATCH($C46,控制台!$B$3691:$B$3706,0)-1,0)</f>
        <v>18.3</v>
      </c>
      <c r="N46" s="1">
        <f ca="1" t="shared" si="3"/>
        <v>18.3</v>
      </c>
      <c r="O46" s="5">
        <f ca="1" t="shared" si="11"/>
        <v>311.1</v>
      </c>
      <c r="P46" s="1">
        <f ca="1">OFFSET(控制台!$Q$3691,MATCH($C46,控制台!$B$3691:$B$3706,0)-1,0)</f>
        <v>0</v>
      </c>
      <c r="Q46" s="1">
        <f ca="1" t="shared" si="4"/>
        <v>0</v>
      </c>
      <c r="R46" s="5">
        <f ca="1" t="shared" si="12"/>
        <v>0</v>
      </c>
      <c r="S46" s="1">
        <f ca="1">OFFSET(控制台!$R$3691,MATCH($C46,控制台!$B$3691:$B$3706,0)-1,0)</f>
        <v>0</v>
      </c>
      <c r="T46" s="1">
        <f ca="1" t="shared" si="5"/>
        <v>0</v>
      </c>
      <c r="U46" s="5">
        <f ca="1" t="shared" si="13"/>
        <v>0</v>
      </c>
      <c r="V46" s="1">
        <f ca="1">OFFSET(控制台!$O$3691,MATCH($C46,控制台!$B$3691:$B$3706,0)-1,0)</f>
        <v>35000</v>
      </c>
      <c r="W46" s="1">
        <f ca="1" t="shared" si="6"/>
        <v>35000</v>
      </c>
      <c r="X46" s="5">
        <f ca="1" t="shared" si="14"/>
        <v>622500</v>
      </c>
    </row>
    <row r="47" spans="1:24">
      <c r="A47" s="10">
        <v>26</v>
      </c>
      <c r="B47" s="1">
        <f t="shared" si="7"/>
        <v>1</v>
      </c>
      <c r="C47" s="1">
        <f>IF(控制台!C2072="",C46,控制台!C2072)</f>
        <v>6</v>
      </c>
      <c r="D47" s="1">
        <f ca="1">OFFSET(控制台!$L$3691,MATCH($C47,控制台!$B$3691:$B$3706,0)-1,0)</f>
        <v>210000</v>
      </c>
      <c r="E47" s="1">
        <f ca="1" t="shared" si="0"/>
        <v>210000</v>
      </c>
      <c r="F47" s="5">
        <f ca="1" t="shared" si="8"/>
        <v>3945000</v>
      </c>
      <c r="G47" s="1">
        <f ca="1">OFFSET(控制台!$M$3691,MATCH($C47,控制台!$B$3691:$B$3706,0)-1,0)</f>
        <v>0.8</v>
      </c>
      <c r="H47" s="1">
        <f ca="1" t="shared" si="1"/>
        <v>0.8</v>
      </c>
      <c r="I47" s="5">
        <f ca="1" t="shared" si="9"/>
        <v>14.4</v>
      </c>
      <c r="J47" s="1">
        <f ca="1">OFFSET(控制台!$N$3691,MATCH($C47,控制台!$B$3691:$B$3706,0)-1,0)</f>
        <v>70000</v>
      </c>
      <c r="K47" s="1">
        <f ca="1" t="shared" si="2"/>
        <v>70000</v>
      </c>
      <c r="L47" s="5">
        <f ca="1" t="shared" si="10"/>
        <v>1315000</v>
      </c>
      <c r="M47" s="1">
        <f ca="1">OFFSET(控制台!$P$3691,MATCH($C47,控制台!$B$3691:$B$3706,0)-1,0)</f>
        <v>18.3</v>
      </c>
      <c r="N47" s="1">
        <f ca="1" t="shared" si="3"/>
        <v>18.3</v>
      </c>
      <c r="O47" s="5">
        <f ca="1" t="shared" si="11"/>
        <v>329.4</v>
      </c>
      <c r="P47" s="1">
        <f ca="1">OFFSET(控制台!$Q$3691,MATCH($C47,控制台!$B$3691:$B$3706,0)-1,0)</f>
        <v>0</v>
      </c>
      <c r="Q47" s="1">
        <f ca="1" t="shared" si="4"/>
        <v>0</v>
      </c>
      <c r="R47" s="5">
        <f ca="1" t="shared" si="12"/>
        <v>0</v>
      </c>
      <c r="S47" s="1">
        <f ca="1">OFFSET(控制台!$R$3691,MATCH($C47,控制台!$B$3691:$B$3706,0)-1,0)</f>
        <v>0</v>
      </c>
      <c r="T47" s="1">
        <f ca="1" t="shared" si="5"/>
        <v>0</v>
      </c>
      <c r="U47" s="5">
        <f ca="1" t="shared" si="13"/>
        <v>0</v>
      </c>
      <c r="V47" s="1">
        <f ca="1">OFFSET(控制台!$O$3691,MATCH($C47,控制台!$B$3691:$B$3706,0)-1,0)</f>
        <v>35000</v>
      </c>
      <c r="W47" s="1">
        <f ca="1" t="shared" si="6"/>
        <v>35000</v>
      </c>
      <c r="X47" s="5">
        <f ca="1" t="shared" si="14"/>
        <v>657500</v>
      </c>
    </row>
    <row r="48" spans="1:24">
      <c r="A48" s="10">
        <v>27</v>
      </c>
      <c r="B48" s="1">
        <f t="shared" si="7"/>
        <v>1</v>
      </c>
      <c r="C48" s="1">
        <f>IF(控制台!C2073="",C47,控制台!C2073)</f>
        <v>6</v>
      </c>
      <c r="D48" s="1">
        <f ca="1">OFFSET(控制台!$L$3691,MATCH($C48,控制台!$B$3691:$B$3706,0)-1,0)</f>
        <v>210000</v>
      </c>
      <c r="E48" s="1">
        <f ca="1" t="shared" si="0"/>
        <v>210000</v>
      </c>
      <c r="F48" s="5">
        <f ca="1" t="shared" si="8"/>
        <v>4155000</v>
      </c>
      <c r="G48" s="1">
        <f ca="1">OFFSET(控制台!$M$3691,MATCH($C48,控制台!$B$3691:$B$3706,0)-1,0)</f>
        <v>0.8</v>
      </c>
      <c r="H48" s="1">
        <f ca="1" t="shared" si="1"/>
        <v>0.8</v>
      </c>
      <c r="I48" s="5">
        <f ca="1" t="shared" si="9"/>
        <v>15.2</v>
      </c>
      <c r="J48" s="1">
        <f ca="1">OFFSET(控制台!$N$3691,MATCH($C48,控制台!$B$3691:$B$3706,0)-1,0)</f>
        <v>70000</v>
      </c>
      <c r="K48" s="1">
        <f ca="1" t="shared" si="2"/>
        <v>70000</v>
      </c>
      <c r="L48" s="5">
        <f ca="1" t="shared" si="10"/>
        <v>1385000</v>
      </c>
      <c r="M48" s="1">
        <f ca="1">OFFSET(控制台!$P$3691,MATCH($C48,控制台!$B$3691:$B$3706,0)-1,0)</f>
        <v>18.3</v>
      </c>
      <c r="N48" s="1">
        <f ca="1" t="shared" si="3"/>
        <v>18.3</v>
      </c>
      <c r="O48" s="5">
        <f ca="1" t="shared" si="11"/>
        <v>347.7</v>
      </c>
      <c r="P48" s="1">
        <f ca="1">OFFSET(控制台!$Q$3691,MATCH($C48,控制台!$B$3691:$B$3706,0)-1,0)</f>
        <v>0</v>
      </c>
      <c r="Q48" s="1">
        <f ca="1" t="shared" si="4"/>
        <v>0</v>
      </c>
      <c r="R48" s="5">
        <f ca="1" t="shared" si="12"/>
        <v>0</v>
      </c>
      <c r="S48" s="1">
        <f ca="1">OFFSET(控制台!$R$3691,MATCH($C48,控制台!$B$3691:$B$3706,0)-1,0)</f>
        <v>0</v>
      </c>
      <c r="T48" s="1">
        <f ca="1" t="shared" si="5"/>
        <v>0</v>
      </c>
      <c r="U48" s="5">
        <f ca="1" t="shared" si="13"/>
        <v>0</v>
      </c>
      <c r="V48" s="1">
        <f ca="1">OFFSET(控制台!$O$3691,MATCH($C48,控制台!$B$3691:$B$3706,0)-1,0)</f>
        <v>35000</v>
      </c>
      <c r="W48" s="1">
        <f ca="1" t="shared" si="6"/>
        <v>35000</v>
      </c>
      <c r="X48" s="5">
        <f ca="1" t="shared" si="14"/>
        <v>692500</v>
      </c>
    </row>
    <row r="49" spans="1:24">
      <c r="A49" s="10">
        <v>28</v>
      </c>
      <c r="B49" s="1">
        <f t="shared" si="7"/>
        <v>1</v>
      </c>
      <c r="C49" s="1">
        <f>IF(控制台!C2074="",C48,控制台!C2074)</f>
        <v>6</v>
      </c>
      <c r="D49" s="1">
        <f ca="1">OFFSET(控制台!$L$3691,MATCH($C49,控制台!$B$3691:$B$3706,0)-1,0)</f>
        <v>210000</v>
      </c>
      <c r="E49" s="1">
        <f ca="1" t="shared" si="0"/>
        <v>210000</v>
      </c>
      <c r="F49" s="5">
        <f ca="1" t="shared" si="8"/>
        <v>4365000</v>
      </c>
      <c r="G49" s="1">
        <f ca="1">OFFSET(控制台!$M$3691,MATCH($C49,控制台!$B$3691:$B$3706,0)-1,0)</f>
        <v>0.8</v>
      </c>
      <c r="H49" s="1">
        <f ca="1" t="shared" si="1"/>
        <v>0.8</v>
      </c>
      <c r="I49" s="5">
        <f ca="1" t="shared" si="9"/>
        <v>16</v>
      </c>
      <c r="J49" s="1">
        <f ca="1">OFFSET(控制台!$N$3691,MATCH($C49,控制台!$B$3691:$B$3706,0)-1,0)</f>
        <v>70000</v>
      </c>
      <c r="K49" s="1">
        <f ca="1" t="shared" si="2"/>
        <v>70000</v>
      </c>
      <c r="L49" s="5">
        <f ca="1" t="shared" si="10"/>
        <v>1455000</v>
      </c>
      <c r="M49" s="1">
        <f ca="1">OFFSET(控制台!$P$3691,MATCH($C49,控制台!$B$3691:$B$3706,0)-1,0)</f>
        <v>18.3</v>
      </c>
      <c r="N49" s="1">
        <f ca="1" t="shared" si="3"/>
        <v>18.3</v>
      </c>
      <c r="O49" s="5">
        <f ca="1" t="shared" si="11"/>
        <v>366</v>
      </c>
      <c r="P49" s="1">
        <f ca="1">OFFSET(控制台!$Q$3691,MATCH($C49,控制台!$B$3691:$B$3706,0)-1,0)</f>
        <v>0</v>
      </c>
      <c r="Q49" s="1">
        <f ca="1" t="shared" si="4"/>
        <v>0</v>
      </c>
      <c r="R49" s="5">
        <f ca="1" t="shared" si="12"/>
        <v>0</v>
      </c>
      <c r="S49" s="1">
        <f ca="1">OFFSET(控制台!$R$3691,MATCH($C49,控制台!$B$3691:$B$3706,0)-1,0)</f>
        <v>0</v>
      </c>
      <c r="T49" s="1">
        <f ca="1" t="shared" si="5"/>
        <v>0</v>
      </c>
      <c r="U49" s="5">
        <f ca="1" t="shared" si="13"/>
        <v>0</v>
      </c>
      <c r="V49" s="1">
        <f ca="1">OFFSET(控制台!$O$3691,MATCH($C49,控制台!$B$3691:$B$3706,0)-1,0)</f>
        <v>35000</v>
      </c>
      <c r="W49" s="1">
        <f ca="1" t="shared" si="6"/>
        <v>35000</v>
      </c>
      <c r="X49" s="5">
        <f ca="1" t="shared" si="14"/>
        <v>727500</v>
      </c>
    </row>
    <row r="50" spans="1:24">
      <c r="A50" s="10">
        <v>29</v>
      </c>
      <c r="B50" s="1">
        <f t="shared" si="7"/>
        <v>1</v>
      </c>
      <c r="C50" s="1">
        <f>IF(控制台!C2075="",C49,控制台!C2075)</f>
        <v>6</v>
      </c>
      <c r="D50" s="1">
        <f ca="1">OFFSET(控制台!$L$3691,MATCH($C50,控制台!$B$3691:$B$3706,0)-1,0)</f>
        <v>210000</v>
      </c>
      <c r="E50" s="1">
        <f ca="1" t="shared" si="0"/>
        <v>210000</v>
      </c>
      <c r="F50" s="5">
        <f ca="1" t="shared" si="8"/>
        <v>4575000</v>
      </c>
      <c r="G50" s="1">
        <f ca="1">OFFSET(控制台!$M$3691,MATCH($C50,控制台!$B$3691:$B$3706,0)-1,0)</f>
        <v>0.8</v>
      </c>
      <c r="H50" s="1">
        <f ca="1" t="shared" si="1"/>
        <v>0.8</v>
      </c>
      <c r="I50" s="5">
        <f ca="1" t="shared" si="9"/>
        <v>16.8</v>
      </c>
      <c r="J50" s="1">
        <f ca="1">OFFSET(控制台!$N$3691,MATCH($C50,控制台!$B$3691:$B$3706,0)-1,0)</f>
        <v>70000</v>
      </c>
      <c r="K50" s="1">
        <f ca="1" t="shared" si="2"/>
        <v>70000</v>
      </c>
      <c r="L50" s="5">
        <f ca="1" t="shared" si="10"/>
        <v>1525000</v>
      </c>
      <c r="M50" s="1">
        <f ca="1">OFFSET(控制台!$P$3691,MATCH($C50,控制台!$B$3691:$B$3706,0)-1,0)</f>
        <v>18.3</v>
      </c>
      <c r="N50" s="1">
        <f ca="1" t="shared" si="3"/>
        <v>18.3</v>
      </c>
      <c r="O50" s="5">
        <f ca="1" t="shared" si="11"/>
        <v>384.3</v>
      </c>
      <c r="P50" s="1">
        <f ca="1">OFFSET(控制台!$Q$3691,MATCH($C50,控制台!$B$3691:$B$3706,0)-1,0)</f>
        <v>0</v>
      </c>
      <c r="Q50" s="1">
        <f ca="1" t="shared" si="4"/>
        <v>0</v>
      </c>
      <c r="R50" s="5">
        <f ca="1" t="shared" si="12"/>
        <v>0</v>
      </c>
      <c r="S50" s="1">
        <f ca="1">OFFSET(控制台!$R$3691,MATCH($C50,控制台!$B$3691:$B$3706,0)-1,0)</f>
        <v>0</v>
      </c>
      <c r="T50" s="1">
        <f ca="1" t="shared" si="5"/>
        <v>0</v>
      </c>
      <c r="U50" s="5">
        <f ca="1" t="shared" si="13"/>
        <v>0</v>
      </c>
      <c r="V50" s="1">
        <f ca="1">OFFSET(控制台!$O$3691,MATCH($C50,控制台!$B$3691:$B$3706,0)-1,0)</f>
        <v>35000</v>
      </c>
      <c r="W50" s="1">
        <f ca="1" t="shared" si="6"/>
        <v>35000</v>
      </c>
      <c r="X50" s="5">
        <f ca="1" t="shared" si="14"/>
        <v>762500</v>
      </c>
    </row>
    <row r="51" spans="1:24">
      <c r="A51" s="10">
        <v>30</v>
      </c>
      <c r="B51" s="1">
        <f t="shared" si="7"/>
        <v>1</v>
      </c>
      <c r="C51" s="1">
        <f>IF(控制台!C2076="",C50,控制台!C2076)</f>
        <v>7</v>
      </c>
      <c r="D51" s="1">
        <f ca="1">OFFSET(控制台!$L$3691,MATCH($C51,控制台!$B$3691:$B$3706,0)-1,0)</f>
        <v>240000</v>
      </c>
      <c r="E51" s="1">
        <f ca="1" t="shared" si="0"/>
        <v>240000</v>
      </c>
      <c r="F51" s="5">
        <f ca="1" t="shared" si="8"/>
        <v>4815000</v>
      </c>
      <c r="G51" s="1">
        <f ca="1">OFFSET(控制台!$M$3691,MATCH($C51,控制台!$B$3691:$B$3706,0)-1,0)</f>
        <v>1.6</v>
      </c>
      <c r="H51" s="1">
        <f ca="1" t="shared" si="1"/>
        <v>1.6</v>
      </c>
      <c r="I51" s="5">
        <f ca="1" t="shared" si="9"/>
        <v>18.4</v>
      </c>
      <c r="J51" s="1">
        <f ca="1">OFFSET(控制台!$N$3691,MATCH($C51,控制台!$B$3691:$B$3706,0)-1,0)</f>
        <v>80000</v>
      </c>
      <c r="K51" s="1">
        <f ca="1" t="shared" si="2"/>
        <v>80000</v>
      </c>
      <c r="L51" s="5">
        <f ca="1" t="shared" si="10"/>
        <v>1605000</v>
      </c>
      <c r="M51" s="1">
        <f ca="1">OFFSET(控制台!$P$3691,MATCH($C51,控制台!$B$3691:$B$3706,0)-1,0)</f>
        <v>36.6</v>
      </c>
      <c r="N51" s="1">
        <f ca="1" t="shared" si="3"/>
        <v>36.6</v>
      </c>
      <c r="O51" s="5">
        <f ca="1" t="shared" si="11"/>
        <v>420.9</v>
      </c>
      <c r="P51" s="1">
        <f ca="1">OFFSET(控制台!$Q$3691,MATCH($C51,控制台!$B$3691:$B$3706,0)-1,0)</f>
        <v>0</v>
      </c>
      <c r="Q51" s="1">
        <f ca="1" t="shared" si="4"/>
        <v>0</v>
      </c>
      <c r="R51" s="5">
        <f ca="1" t="shared" si="12"/>
        <v>0</v>
      </c>
      <c r="S51" s="1">
        <f ca="1">OFFSET(控制台!$R$3691,MATCH($C51,控制台!$B$3691:$B$3706,0)-1,0)</f>
        <v>0</v>
      </c>
      <c r="T51" s="1">
        <f ca="1" t="shared" si="5"/>
        <v>0</v>
      </c>
      <c r="U51" s="5">
        <f ca="1" t="shared" si="13"/>
        <v>0</v>
      </c>
      <c r="V51" s="1">
        <f ca="1">OFFSET(控制台!$O$3691,MATCH($C51,控制台!$B$3691:$B$3706,0)-1,0)</f>
        <v>40000</v>
      </c>
      <c r="W51" s="1">
        <f ca="1" t="shared" si="6"/>
        <v>40000</v>
      </c>
      <c r="X51" s="5">
        <f ca="1" t="shared" si="14"/>
        <v>802500</v>
      </c>
    </row>
    <row r="52" spans="1:24">
      <c r="A52" s="11">
        <v>35</v>
      </c>
      <c r="B52" s="1">
        <f t="shared" si="7"/>
        <v>5</v>
      </c>
      <c r="C52" s="1">
        <f>IF(控制台!C2077="",C51,控制台!C2077)</f>
        <v>7</v>
      </c>
      <c r="D52" s="1">
        <f ca="1">OFFSET(控制台!$L$3691,MATCH($C52,控制台!$B$3691:$B$3706,0)-1,0)</f>
        <v>240000</v>
      </c>
      <c r="E52" s="1">
        <f ca="1" t="shared" si="0"/>
        <v>1200000</v>
      </c>
      <c r="F52" s="5">
        <f ca="1" t="shared" si="8"/>
        <v>6015000</v>
      </c>
      <c r="G52" s="1">
        <f ca="1">OFFSET(控制台!$M$3691,MATCH($C52,控制台!$B$3691:$B$3706,0)-1,0)</f>
        <v>1.6</v>
      </c>
      <c r="H52" s="1">
        <f ca="1" t="shared" si="1"/>
        <v>8</v>
      </c>
      <c r="I52" s="5">
        <f ca="1" t="shared" si="9"/>
        <v>26.4</v>
      </c>
      <c r="J52" s="1">
        <f ca="1">OFFSET(控制台!$N$3691,MATCH($C52,控制台!$B$3691:$B$3706,0)-1,0)</f>
        <v>80000</v>
      </c>
      <c r="K52" s="1">
        <f ca="1" t="shared" si="2"/>
        <v>400000</v>
      </c>
      <c r="L52" s="5">
        <f ca="1" t="shared" si="10"/>
        <v>2005000</v>
      </c>
      <c r="M52" s="1">
        <f ca="1">OFFSET(控制台!$P$3691,MATCH($C52,控制台!$B$3691:$B$3706,0)-1,0)</f>
        <v>36.6</v>
      </c>
      <c r="N52" s="1">
        <f ca="1" t="shared" si="3"/>
        <v>183</v>
      </c>
      <c r="O52" s="5">
        <f ca="1" t="shared" si="11"/>
        <v>603.9</v>
      </c>
      <c r="P52" s="1">
        <f ca="1">OFFSET(控制台!$Q$3691,MATCH($C52,控制台!$B$3691:$B$3706,0)-1,0)</f>
        <v>0</v>
      </c>
      <c r="Q52" s="1">
        <f ca="1" t="shared" si="4"/>
        <v>0</v>
      </c>
      <c r="R52" s="5">
        <f ca="1" t="shared" si="12"/>
        <v>0</v>
      </c>
      <c r="S52" s="1">
        <f ca="1">OFFSET(控制台!$R$3691,MATCH($C52,控制台!$B$3691:$B$3706,0)-1,0)</f>
        <v>0</v>
      </c>
      <c r="T52" s="1">
        <f ca="1" t="shared" si="5"/>
        <v>0</v>
      </c>
      <c r="U52" s="5">
        <f ca="1" t="shared" si="13"/>
        <v>0</v>
      </c>
      <c r="V52" s="1">
        <f ca="1">OFFSET(控制台!$O$3691,MATCH($C52,控制台!$B$3691:$B$3706,0)-1,0)</f>
        <v>40000</v>
      </c>
      <c r="W52" s="1">
        <f ca="1" t="shared" si="6"/>
        <v>200000</v>
      </c>
      <c r="X52" s="5">
        <f ca="1" t="shared" si="14"/>
        <v>1002500</v>
      </c>
    </row>
    <row r="53" spans="1:24">
      <c r="A53" s="11">
        <v>40</v>
      </c>
      <c r="B53" s="1">
        <f t="shared" si="7"/>
        <v>5</v>
      </c>
      <c r="C53" s="1">
        <f>IF(控制台!C2078="",C52,控制台!C2078)</f>
        <v>7</v>
      </c>
      <c r="D53" s="1">
        <f ca="1">OFFSET(控制台!$L$3691,MATCH($C53,控制台!$B$3691:$B$3706,0)-1,0)</f>
        <v>240000</v>
      </c>
      <c r="E53" s="1">
        <f ca="1" t="shared" si="0"/>
        <v>1200000</v>
      </c>
      <c r="F53" s="5">
        <f ca="1" t="shared" si="8"/>
        <v>7215000</v>
      </c>
      <c r="G53" s="1">
        <f ca="1">OFFSET(控制台!$M$3691,MATCH($C53,控制台!$B$3691:$B$3706,0)-1,0)</f>
        <v>1.6</v>
      </c>
      <c r="H53" s="1">
        <f ca="1" t="shared" si="1"/>
        <v>8</v>
      </c>
      <c r="I53" s="5">
        <f ca="1" t="shared" si="9"/>
        <v>34.4</v>
      </c>
      <c r="J53" s="1">
        <f ca="1">OFFSET(控制台!$N$3691,MATCH($C53,控制台!$B$3691:$B$3706,0)-1,0)</f>
        <v>80000</v>
      </c>
      <c r="K53" s="1">
        <f ca="1" t="shared" si="2"/>
        <v>400000</v>
      </c>
      <c r="L53" s="5">
        <f ca="1" t="shared" si="10"/>
        <v>2405000</v>
      </c>
      <c r="M53" s="1">
        <f ca="1">OFFSET(控制台!$P$3691,MATCH($C53,控制台!$B$3691:$B$3706,0)-1,0)</f>
        <v>36.6</v>
      </c>
      <c r="N53" s="1">
        <f ca="1" t="shared" si="3"/>
        <v>183</v>
      </c>
      <c r="O53" s="5">
        <f ca="1" t="shared" si="11"/>
        <v>786.9</v>
      </c>
      <c r="P53" s="1">
        <f ca="1">OFFSET(控制台!$Q$3691,MATCH($C53,控制台!$B$3691:$B$3706,0)-1,0)</f>
        <v>0</v>
      </c>
      <c r="Q53" s="1">
        <f ca="1" t="shared" si="4"/>
        <v>0</v>
      </c>
      <c r="R53" s="5">
        <f ca="1" t="shared" si="12"/>
        <v>0</v>
      </c>
      <c r="S53" s="1">
        <f ca="1">OFFSET(控制台!$R$3691,MATCH($C53,控制台!$B$3691:$B$3706,0)-1,0)</f>
        <v>0</v>
      </c>
      <c r="T53" s="1">
        <f ca="1" t="shared" si="5"/>
        <v>0</v>
      </c>
      <c r="U53" s="5">
        <f ca="1" t="shared" si="13"/>
        <v>0</v>
      </c>
      <c r="V53" s="1">
        <f ca="1">OFFSET(控制台!$O$3691,MATCH($C53,控制台!$B$3691:$B$3706,0)-1,0)</f>
        <v>40000</v>
      </c>
      <c r="W53" s="1">
        <f ca="1" t="shared" si="6"/>
        <v>200000</v>
      </c>
      <c r="X53" s="5">
        <f ca="1" t="shared" si="14"/>
        <v>1202500</v>
      </c>
    </row>
    <row r="54" spans="1:24">
      <c r="A54" s="11">
        <v>45</v>
      </c>
      <c r="B54" s="1">
        <f t="shared" si="7"/>
        <v>5</v>
      </c>
      <c r="C54" s="1">
        <f>IF(控制台!C2079="",C53,控制台!C2079)</f>
        <v>7</v>
      </c>
      <c r="D54" s="1">
        <f ca="1">OFFSET(控制台!$L$3691,MATCH($C54,控制台!$B$3691:$B$3706,0)-1,0)</f>
        <v>240000</v>
      </c>
      <c r="E54" s="1">
        <f ca="1" t="shared" si="0"/>
        <v>1200000</v>
      </c>
      <c r="F54" s="5">
        <f ca="1" t="shared" si="8"/>
        <v>8415000</v>
      </c>
      <c r="G54" s="1">
        <f ca="1">OFFSET(控制台!$M$3691,MATCH($C54,控制台!$B$3691:$B$3706,0)-1,0)</f>
        <v>1.6</v>
      </c>
      <c r="H54" s="1">
        <f ca="1" t="shared" si="1"/>
        <v>8</v>
      </c>
      <c r="I54" s="5">
        <f ca="1" t="shared" si="9"/>
        <v>42.4</v>
      </c>
      <c r="J54" s="1">
        <f ca="1">OFFSET(控制台!$N$3691,MATCH($C54,控制台!$B$3691:$B$3706,0)-1,0)</f>
        <v>80000</v>
      </c>
      <c r="K54" s="1">
        <f ca="1" t="shared" si="2"/>
        <v>400000</v>
      </c>
      <c r="L54" s="5">
        <f ca="1" t="shared" si="10"/>
        <v>2805000</v>
      </c>
      <c r="M54" s="1">
        <f ca="1">OFFSET(控制台!$P$3691,MATCH($C54,控制台!$B$3691:$B$3706,0)-1,0)</f>
        <v>36.6</v>
      </c>
      <c r="N54" s="1">
        <f ca="1" t="shared" si="3"/>
        <v>183</v>
      </c>
      <c r="O54" s="5">
        <f ca="1" t="shared" si="11"/>
        <v>969.9</v>
      </c>
      <c r="P54" s="1">
        <f ca="1">OFFSET(控制台!$Q$3691,MATCH($C54,控制台!$B$3691:$B$3706,0)-1,0)</f>
        <v>0</v>
      </c>
      <c r="Q54" s="1">
        <f ca="1" t="shared" si="4"/>
        <v>0</v>
      </c>
      <c r="R54" s="5">
        <f ca="1" t="shared" si="12"/>
        <v>0</v>
      </c>
      <c r="S54" s="1">
        <f ca="1">OFFSET(控制台!$R$3691,MATCH($C54,控制台!$B$3691:$B$3706,0)-1,0)</f>
        <v>0</v>
      </c>
      <c r="T54" s="1">
        <f ca="1" t="shared" si="5"/>
        <v>0</v>
      </c>
      <c r="U54" s="5">
        <f ca="1" t="shared" si="13"/>
        <v>0</v>
      </c>
      <c r="V54" s="1">
        <f ca="1">OFFSET(控制台!$O$3691,MATCH($C54,控制台!$B$3691:$B$3706,0)-1,0)</f>
        <v>40000</v>
      </c>
      <c r="W54" s="1">
        <f ca="1" t="shared" si="6"/>
        <v>200000</v>
      </c>
      <c r="X54" s="5">
        <f ca="1" t="shared" si="14"/>
        <v>1402500</v>
      </c>
    </row>
    <row r="55" spans="1:24">
      <c r="A55" s="11">
        <v>50</v>
      </c>
      <c r="B55" s="1">
        <f t="shared" si="7"/>
        <v>5</v>
      </c>
      <c r="C55" s="1">
        <f>IF(控制台!C2080="",C54,控制台!C2080)</f>
        <v>7</v>
      </c>
      <c r="D55" s="1">
        <f ca="1">OFFSET(控制台!$L$3691,MATCH($C55,控制台!$B$3691:$B$3706,0)-1,0)</f>
        <v>240000</v>
      </c>
      <c r="E55" s="1">
        <f ca="1" t="shared" si="0"/>
        <v>1200000</v>
      </c>
      <c r="F55" s="5">
        <f ca="1" t="shared" si="8"/>
        <v>9615000</v>
      </c>
      <c r="G55" s="1">
        <f ca="1">OFFSET(控制台!$M$3691,MATCH($C55,控制台!$B$3691:$B$3706,0)-1,0)</f>
        <v>1.6</v>
      </c>
      <c r="H55" s="1">
        <f ca="1" t="shared" si="1"/>
        <v>8</v>
      </c>
      <c r="I55" s="5">
        <f ca="1" t="shared" si="9"/>
        <v>50.4</v>
      </c>
      <c r="J55" s="1">
        <f ca="1">OFFSET(控制台!$N$3691,MATCH($C55,控制台!$B$3691:$B$3706,0)-1,0)</f>
        <v>80000</v>
      </c>
      <c r="K55" s="1">
        <f ca="1" t="shared" si="2"/>
        <v>400000</v>
      </c>
      <c r="L55" s="5">
        <f ca="1" t="shared" si="10"/>
        <v>3205000</v>
      </c>
      <c r="M55" s="1">
        <f ca="1">OFFSET(控制台!$P$3691,MATCH($C55,控制台!$B$3691:$B$3706,0)-1,0)</f>
        <v>36.6</v>
      </c>
      <c r="N55" s="1">
        <f ca="1" t="shared" si="3"/>
        <v>183</v>
      </c>
      <c r="O55" s="5">
        <f ca="1" t="shared" si="11"/>
        <v>1152.9</v>
      </c>
      <c r="P55" s="1">
        <f ca="1">OFFSET(控制台!$Q$3691,MATCH($C55,控制台!$B$3691:$B$3706,0)-1,0)</f>
        <v>0</v>
      </c>
      <c r="Q55" s="1">
        <f ca="1" t="shared" si="4"/>
        <v>0</v>
      </c>
      <c r="R55" s="5">
        <f ca="1" t="shared" si="12"/>
        <v>0</v>
      </c>
      <c r="S55" s="1">
        <f ca="1">OFFSET(控制台!$R$3691,MATCH($C55,控制台!$B$3691:$B$3706,0)-1,0)</f>
        <v>0</v>
      </c>
      <c r="T55" s="1">
        <f ca="1" t="shared" si="5"/>
        <v>0</v>
      </c>
      <c r="U55" s="5">
        <f ca="1" t="shared" si="13"/>
        <v>0</v>
      </c>
      <c r="V55" s="1">
        <f ca="1">OFFSET(控制台!$O$3691,MATCH($C55,控制台!$B$3691:$B$3706,0)-1,0)</f>
        <v>40000</v>
      </c>
      <c r="W55" s="1">
        <f ca="1" t="shared" si="6"/>
        <v>200000</v>
      </c>
      <c r="X55" s="5">
        <f ca="1" t="shared" si="14"/>
        <v>1602500</v>
      </c>
    </row>
    <row r="56" spans="1:24">
      <c r="A56" s="11">
        <v>55</v>
      </c>
      <c r="B56" s="1">
        <f t="shared" si="7"/>
        <v>5</v>
      </c>
      <c r="C56" s="1">
        <f>IF(控制台!C2081="",C55,控制台!C2081)</f>
        <v>7</v>
      </c>
      <c r="D56" s="1">
        <f ca="1">OFFSET(控制台!$L$3691,MATCH($C56,控制台!$B$3691:$B$3706,0)-1,0)</f>
        <v>240000</v>
      </c>
      <c r="E56" s="1">
        <f ca="1" t="shared" si="0"/>
        <v>1200000</v>
      </c>
      <c r="F56" s="5">
        <f ca="1" t="shared" si="8"/>
        <v>10815000</v>
      </c>
      <c r="G56" s="1">
        <f ca="1">OFFSET(控制台!$M$3691,MATCH($C56,控制台!$B$3691:$B$3706,0)-1,0)</f>
        <v>1.6</v>
      </c>
      <c r="H56" s="1">
        <f ca="1" t="shared" si="1"/>
        <v>8</v>
      </c>
      <c r="I56" s="5">
        <f ca="1" t="shared" si="9"/>
        <v>58.4</v>
      </c>
      <c r="J56" s="1">
        <f ca="1">OFFSET(控制台!$N$3691,MATCH($C56,控制台!$B$3691:$B$3706,0)-1,0)</f>
        <v>80000</v>
      </c>
      <c r="K56" s="1">
        <f ca="1" t="shared" si="2"/>
        <v>400000</v>
      </c>
      <c r="L56" s="5">
        <f ca="1" t="shared" si="10"/>
        <v>3605000</v>
      </c>
      <c r="M56" s="1">
        <f ca="1">OFFSET(控制台!$P$3691,MATCH($C56,控制台!$B$3691:$B$3706,0)-1,0)</f>
        <v>36.6</v>
      </c>
      <c r="N56" s="1">
        <f ca="1" t="shared" si="3"/>
        <v>183</v>
      </c>
      <c r="O56" s="5">
        <f ca="1" t="shared" si="11"/>
        <v>1335.9</v>
      </c>
      <c r="P56" s="1">
        <f ca="1">OFFSET(控制台!$Q$3691,MATCH($C56,控制台!$B$3691:$B$3706,0)-1,0)</f>
        <v>0</v>
      </c>
      <c r="Q56" s="1">
        <f ca="1" t="shared" si="4"/>
        <v>0</v>
      </c>
      <c r="R56" s="5">
        <f ca="1" t="shared" si="12"/>
        <v>0</v>
      </c>
      <c r="S56" s="1">
        <f ca="1">OFFSET(控制台!$R$3691,MATCH($C56,控制台!$B$3691:$B$3706,0)-1,0)</f>
        <v>0</v>
      </c>
      <c r="T56" s="1">
        <f ca="1" t="shared" si="5"/>
        <v>0</v>
      </c>
      <c r="U56" s="5">
        <f ca="1" t="shared" si="13"/>
        <v>0</v>
      </c>
      <c r="V56" s="1">
        <f ca="1">OFFSET(控制台!$O$3691,MATCH($C56,控制台!$B$3691:$B$3706,0)-1,0)</f>
        <v>40000</v>
      </c>
      <c r="W56" s="1">
        <f ca="1" t="shared" si="6"/>
        <v>200000</v>
      </c>
      <c r="X56" s="5">
        <f ca="1" t="shared" si="14"/>
        <v>1802500</v>
      </c>
    </row>
    <row r="57" spans="1:24">
      <c r="A57" s="11">
        <v>60</v>
      </c>
      <c r="B57" s="1">
        <f t="shared" si="7"/>
        <v>5</v>
      </c>
      <c r="C57" s="1">
        <f>IF(控制台!C2082="",C56,控制台!C2082)</f>
        <v>8</v>
      </c>
      <c r="D57" s="1">
        <f ca="1">OFFSET(控制台!$L$3691,MATCH($C57,控制台!$B$3691:$B$3706,0)-1,0)</f>
        <v>270000</v>
      </c>
      <c r="E57" s="1">
        <f ca="1" t="shared" si="0"/>
        <v>1350000</v>
      </c>
      <c r="F57" s="5">
        <f ca="1" t="shared" si="8"/>
        <v>12165000</v>
      </c>
      <c r="G57" s="1">
        <f ca="1">OFFSET(控制台!$M$3691,MATCH($C57,控制台!$B$3691:$B$3706,0)-1,0)</f>
        <v>1.6</v>
      </c>
      <c r="H57" s="1">
        <f ca="1" t="shared" si="1"/>
        <v>8</v>
      </c>
      <c r="I57" s="5">
        <f ca="1" t="shared" si="9"/>
        <v>66.4</v>
      </c>
      <c r="J57" s="1">
        <f ca="1">OFFSET(控制台!$N$3691,MATCH($C57,控制台!$B$3691:$B$3706,0)-1,0)</f>
        <v>90000</v>
      </c>
      <c r="K57" s="1">
        <f ca="1" t="shared" si="2"/>
        <v>450000</v>
      </c>
      <c r="L57" s="5">
        <f ca="1" t="shared" si="10"/>
        <v>4055000</v>
      </c>
      <c r="M57" s="1">
        <f ca="1">OFFSET(控制台!$P$3691,MATCH($C57,控制台!$B$3691:$B$3706,0)-1,0)</f>
        <v>36.6</v>
      </c>
      <c r="N57" s="1">
        <f ca="1" t="shared" si="3"/>
        <v>183</v>
      </c>
      <c r="O57" s="5">
        <f ca="1" t="shared" si="11"/>
        <v>1518.9</v>
      </c>
      <c r="P57" s="1">
        <f ca="1">OFFSET(控制台!$Q$3691,MATCH($C57,控制台!$B$3691:$B$3706,0)-1,0)</f>
        <v>600</v>
      </c>
      <c r="Q57" s="1">
        <f ca="1" t="shared" si="4"/>
        <v>3000</v>
      </c>
      <c r="R57" s="5">
        <f ca="1" t="shared" si="12"/>
        <v>3000</v>
      </c>
      <c r="S57" s="1">
        <f ca="1">OFFSET(控制台!$R$3691,MATCH($C57,控制台!$B$3691:$B$3706,0)-1,0)</f>
        <v>0</v>
      </c>
      <c r="T57" s="1">
        <f ca="1" t="shared" si="5"/>
        <v>0</v>
      </c>
      <c r="U57" s="5">
        <f ca="1" t="shared" si="13"/>
        <v>0</v>
      </c>
      <c r="V57" s="1">
        <f ca="1">OFFSET(控制台!$O$3691,MATCH($C57,控制台!$B$3691:$B$3706,0)-1,0)</f>
        <v>45000</v>
      </c>
      <c r="W57" s="1">
        <f ca="1" t="shared" si="6"/>
        <v>225000</v>
      </c>
      <c r="X57" s="5">
        <f ca="1" t="shared" si="14"/>
        <v>2027500</v>
      </c>
    </row>
    <row r="58" spans="1:24">
      <c r="A58" s="11">
        <v>65</v>
      </c>
      <c r="B58" s="1">
        <f t="shared" si="7"/>
        <v>5</v>
      </c>
      <c r="C58" s="1">
        <f>IF(控制台!C2083="",C57,控制台!C2083)</f>
        <v>8</v>
      </c>
      <c r="D58" s="1">
        <f ca="1">OFFSET(控制台!$L$3691,MATCH($C58,控制台!$B$3691:$B$3706,0)-1,0)</f>
        <v>270000</v>
      </c>
      <c r="E58" s="1">
        <f ca="1" t="shared" si="0"/>
        <v>1350000</v>
      </c>
      <c r="F58" s="5">
        <f ca="1" t="shared" si="8"/>
        <v>13515000</v>
      </c>
      <c r="G58" s="1">
        <f ca="1">OFFSET(控制台!$M$3691,MATCH($C58,控制台!$B$3691:$B$3706,0)-1,0)</f>
        <v>1.6</v>
      </c>
      <c r="H58" s="1">
        <f ca="1" t="shared" si="1"/>
        <v>8</v>
      </c>
      <c r="I58" s="5">
        <f ca="1" t="shared" si="9"/>
        <v>74.4</v>
      </c>
      <c r="J58" s="1">
        <f ca="1">OFFSET(控制台!$N$3691,MATCH($C58,控制台!$B$3691:$B$3706,0)-1,0)</f>
        <v>90000</v>
      </c>
      <c r="K58" s="1">
        <f ca="1" t="shared" si="2"/>
        <v>450000</v>
      </c>
      <c r="L58" s="5">
        <f ca="1" t="shared" si="10"/>
        <v>4505000</v>
      </c>
      <c r="M58" s="1">
        <f ca="1">OFFSET(控制台!$P$3691,MATCH($C58,控制台!$B$3691:$B$3706,0)-1,0)</f>
        <v>36.6</v>
      </c>
      <c r="N58" s="1">
        <f ca="1" t="shared" si="3"/>
        <v>183</v>
      </c>
      <c r="O58" s="5">
        <f ca="1" t="shared" si="11"/>
        <v>1701.9</v>
      </c>
      <c r="P58" s="1">
        <f ca="1">OFFSET(控制台!$Q$3691,MATCH($C58,控制台!$B$3691:$B$3706,0)-1,0)</f>
        <v>600</v>
      </c>
      <c r="Q58" s="1">
        <f ca="1" t="shared" si="4"/>
        <v>3000</v>
      </c>
      <c r="R58" s="5">
        <f ca="1" t="shared" si="12"/>
        <v>6000</v>
      </c>
      <c r="S58" s="1">
        <f ca="1">OFFSET(控制台!$R$3691,MATCH($C58,控制台!$B$3691:$B$3706,0)-1,0)</f>
        <v>0</v>
      </c>
      <c r="T58" s="1">
        <f ca="1" t="shared" si="5"/>
        <v>0</v>
      </c>
      <c r="U58" s="5">
        <f ca="1" t="shared" si="13"/>
        <v>0</v>
      </c>
      <c r="V58" s="1">
        <f ca="1">OFFSET(控制台!$O$3691,MATCH($C58,控制台!$B$3691:$B$3706,0)-1,0)</f>
        <v>45000</v>
      </c>
      <c r="W58" s="1">
        <f ca="1" t="shared" si="6"/>
        <v>225000</v>
      </c>
      <c r="X58" s="5">
        <f ca="1" t="shared" si="14"/>
        <v>2252500</v>
      </c>
    </row>
    <row r="59" spans="1:24">
      <c r="A59" s="11">
        <v>70</v>
      </c>
      <c r="B59" s="1">
        <f t="shared" si="7"/>
        <v>5</v>
      </c>
      <c r="C59" s="1">
        <f>IF(控制台!C2084="",C58,控制台!C2084)</f>
        <v>8</v>
      </c>
      <c r="D59" s="1">
        <f ca="1">OFFSET(控制台!$L$3691,MATCH($C59,控制台!$B$3691:$B$3706,0)-1,0)</f>
        <v>270000</v>
      </c>
      <c r="E59" s="1">
        <f ca="1" t="shared" si="0"/>
        <v>1350000</v>
      </c>
      <c r="F59" s="5">
        <f ca="1" t="shared" si="8"/>
        <v>14865000</v>
      </c>
      <c r="G59" s="1">
        <f ca="1">OFFSET(控制台!$M$3691,MATCH($C59,控制台!$B$3691:$B$3706,0)-1,0)</f>
        <v>1.6</v>
      </c>
      <c r="H59" s="1">
        <f ca="1" t="shared" si="1"/>
        <v>8</v>
      </c>
      <c r="I59" s="5">
        <f ca="1" t="shared" si="9"/>
        <v>82.4</v>
      </c>
      <c r="J59" s="1">
        <f ca="1">OFFSET(控制台!$N$3691,MATCH($C59,控制台!$B$3691:$B$3706,0)-1,0)</f>
        <v>90000</v>
      </c>
      <c r="K59" s="1">
        <f ca="1" t="shared" si="2"/>
        <v>450000</v>
      </c>
      <c r="L59" s="5">
        <f ca="1" t="shared" si="10"/>
        <v>4955000</v>
      </c>
      <c r="M59" s="1">
        <f ca="1">OFFSET(控制台!$P$3691,MATCH($C59,控制台!$B$3691:$B$3706,0)-1,0)</f>
        <v>36.6</v>
      </c>
      <c r="N59" s="1">
        <f ca="1" t="shared" si="3"/>
        <v>183</v>
      </c>
      <c r="O59" s="5">
        <f ca="1" t="shared" si="11"/>
        <v>1884.9</v>
      </c>
      <c r="P59" s="1">
        <f ca="1">OFFSET(控制台!$Q$3691,MATCH($C59,控制台!$B$3691:$B$3706,0)-1,0)</f>
        <v>600</v>
      </c>
      <c r="Q59" s="1">
        <f ca="1" t="shared" si="4"/>
        <v>3000</v>
      </c>
      <c r="R59" s="5">
        <f ca="1" t="shared" si="12"/>
        <v>9000</v>
      </c>
      <c r="S59" s="1">
        <f ca="1">OFFSET(控制台!$R$3691,MATCH($C59,控制台!$B$3691:$B$3706,0)-1,0)</f>
        <v>0</v>
      </c>
      <c r="T59" s="1">
        <f ca="1" t="shared" si="5"/>
        <v>0</v>
      </c>
      <c r="U59" s="5">
        <f ca="1" t="shared" si="13"/>
        <v>0</v>
      </c>
      <c r="V59" s="1">
        <f ca="1">OFFSET(控制台!$O$3691,MATCH($C59,控制台!$B$3691:$B$3706,0)-1,0)</f>
        <v>45000</v>
      </c>
      <c r="W59" s="1">
        <f ca="1" t="shared" si="6"/>
        <v>225000</v>
      </c>
      <c r="X59" s="5">
        <f ca="1" t="shared" si="14"/>
        <v>2477500</v>
      </c>
    </row>
    <row r="60" spans="1:24">
      <c r="A60" s="11">
        <v>75</v>
      </c>
      <c r="B60" s="1">
        <f t="shared" si="7"/>
        <v>5</v>
      </c>
      <c r="C60" s="1">
        <f>IF(控制台!C2085="",C59,控制台!C2085)</f>
        <v>8</v>
      </c>
      <c r="D60" s="1">
        <f ca="1">OFFSET(控制台!$L$3691,MATCH($C60,控制台!$B$3691:$B$3706,0)-1,0)</f>
        <v>270000</v>
      </c>
      <c r="E60" s="1">
        <f ca="1" t="shared" si="0"/>
        <v>1350000</v>
      </c>
      <c r="F60" s="5">
        <f ca="1" t="shared" si="8"/>
        <v>16215000</v>
      </c>
      <c r="G60" s="1">
        <f ca="1">OFFSET(控制台!$M$3691,MATCH($C60,控制台!$B$3691:$B$3706,0)-1,0)</f>
        <v>1.6</v>
      </c>
      <c r="H60" s="1">
        <f ca="1" t="shared" si="1"/>
        <v>8</v>
      </c>
      <c r="I60" s="5">
        <f ca="1" t="shared" si="9"/>
        <v>90.4</v>
      </c>
      <c r="J60" s="1">
        <f ca="1">OFFSET(控制台!$N$3691,MATCH($C60,控制台!$B$3691:$B$3706,0)-1,0)</f>
        <v>90000</v>
      </c>
      <c r="K60" s="1">
        <f ca="1" t="shared" si="2"/>
        <v>450000</v>
      </c>
      <c r="L60" s="5">
        <f ca="1" t="shared" si="10"/>
        <v>5405000</v>
      </c>
      <c r="M60" s="1">
        <f ca="1">OFFSET(控制台!$P$3691,MATCH($C60,控制台!$B$3691:$B$3706,0)-1,0)</f>
        <v>36.6</v>
      </c>
      <c r="N60" s="1">
        <f ca="1" t="shared" si="3"/>
        <v>183</v>
      </c>
      <c r="O60" s="5">
        <f ca="1" t="shared" si="11"/>
        <v>2067.9</v>
      </c>
      <c r="P60" s="1">
        <f ca="1">OFFSET(控制台!$Q$3691,MATCH($C60,控制台!$B$3691:$B$3706,0)-1,0)</f>
        <v>600</v>
      </c>
      <c r="Q60" s="1">
        <f ca="1" t="shared" si="4"/>
        <v>3000</v>
      </c>
      <c r="R60" s="5">
        <f ca="1" t="shared" si="12"/>
        <v>12000</v>
      </c>
      <c r="S60" s="1">
        <f ca="1">OFFSET(控制台!$R$3691,MATCH($C60,控制台!$B$3691:$B$3706,0)-1,0)</f>
        <v>0</v>
      </c>
      <c r="T60" s="1">
        <f ca="1" t="shared" si="5"/>
        <v>0</v>
      </c>
      <c r="U60" s="5">
        <f ca="1" t="shared" si="13"/>
        <v>0</v>
      </c>
      <c r="V60" s="1">
        <f ca="1">OFFSET(控制台!$O$3691,MATCH($C60,控制台!$B$3691:$B$3706,0)-1,0)</f>
        <v>45000</v>
      </c>
      <c r="W60" s="1">
        <f ca="1" t="shared" si="6"/>
        <v>225000</v>
      </c>
      <c r="X60" s="5">
        <f ca="1" t="shared" si="14"/>
        <v>2702500</v>
      </c>
    </row>
    <row r="61" spans="1:24">
      <c r="A61" s="11">
        <v>80</v>
      </c>
      <c r="B61" s="1">
        <f t="shared" si="7"/>
        <v>5</v>
      </c>
      <c r="C61" s="1">
        <f>IF(控制台!C2086="",C60,控制台!C2086)</f>
        <v>8</v>
      </c>
      <c r="D61" s="1">
        <f ca="1">OFFSET(控制台!$L$3691,MATCH($C61,控制台!$B$3691:$B$3706,0)-1,0)</f>
        <v>270000</v>
      </c>
      <c r="E61" s="1">
        <f ca="1" t="shared" si="0"/>
        <v>1350000</v>
      </c>
      <c r="F61" s="5">
        <f ca="1" t="shared" si="8"/>
        <v>17565000</v>
      </c>
      <c r="G61" s="1">
        <f ca="1">OFFSET(控制台!$M$3691,MATCH($C61,控制台!$B$3691:$B$3706,0)-1,0)</f>
        <v>1.6</v>
      </c>
      <c r="H61" s="1">
        <f ca="1" t="shared" si="1"/>
        <v>8</v>
      </c>
      <c r="I61" s="5">
        <f ca="1" t="shared" si="9"/>
        <v>98.4</v>
      </c>
      <c r="J61" s="1">
        <f ca="1">OFFSET(控制台!$N$3691,MATCH($C61,控制台!$B$3691:$B$3706,0)-1,0)</f>
        <v>90000</v>
      </c>
      <c r="K61" s="1">
        <f ca="1" t="shared" si="2"/>
        <v>450000</v>
      </c>
      <c r="L61" s="5">
        <f ca="1" t="shared" si="10"/>
        <v>5855000</v>
      </c>
      <c r="M61" s="1">
        <f ca="1">OFFSET(控制台!$P$3691,MATCH($C61,控制台!$B$3691:$B$3706,0)-1,0)</f>
        <v>36.6</v>
      </c>
      <c r="N61" s="1">
        <f ca="1" t="shared" si="3"/>
        <v>183</v>
      </c>
      <c r="O61" s="5">
        <f ca="1" t="shared" si="11"/>
        <v>2250.9</v>
      </c>
      <c r="P61" s="1">
        <f ca="1">OFFSET(控制台!$Q$3691,MATCH($C61,控制台!$B$3691:$B$3706,0)-1,0)</f>
        <v>600</v>
      </c>
      <c r="Q61" s="1">
        <f ca="1" t="shared" si="4"/>
        <v>3000</v>
      </c>
      <c r="R61" s="5">
        <f ca="1" t="shared" si="12"/>
        <v>15000</v>
      </c>
      <c r="S61" s="1">
        <f ca="1">OFFSET(控制台!$R$3691,MATCH($C61,控制台!$B$3691:$B$3706,0)-1,0)</f>
        <v>0</v>
      </c>
      <c r="T61" s="1">
        <f ca="1" t="shared" si="5"/>
        <v>0</v>
      </c>
      <c r="U61" s="5">
        <f ca="1" t="shared" si="13"/>
        <v>0</v>
      </c>
      <c r="V61" s="1">
        <f ca="1">OFFSET(控制台!$O$3691,MATCH($C61,控制台!$B$3691:$B$3706,0)-1,0)</f>
        <v>45000</v>
      </c>
      <c r="W61" s="1">
        <f ca="1" t="shared" si="6"/>
        <v>225000</v>
      </c>
      <c r="X61" s="5">
        <f ca="1" t="shared" si="14"/>
        <v>2927500</v>
      </c>
    </row>
    <row r="62" spans="1:24">
      <c r="A62" s="11">
        <v>85</v>
      </c>
      <c r="B62" s="1">
        <f t="shared" si="7"/>
        <v>5</v>
      </c>
      <c r="C62" s="1">
        <f>IF(控制台!C2087="",C61,控制台!C2087)</f>
        <v>8</v>
      </c>
      <c r="D62" s="1">
        <f ca="1">OFFSET(控制台!$L$3691,MATCH($C62,控制台!$B$3691:$B$3706,0)-1,0)</f>
        <v>270000</v>
      </c>
      <c r="E62" s="1">
        <f ca="1" t="shared" si="0"/>
        <v>1350000</v>
      </c>
      <c r="F62" s="5">
        <f ca="1" t="shared" si="8"/>
        <v>18915000</v>
      </c>
      <c r="G62" s="1">
        <f ca="1">OFFSET(控制台!$M$3691,MATCH($C62,控制台!$B$3691:$B$3706,0)-1,0)</f>
        <v>1.6</v>
      </c>
      <c r="H62" s="1">
        <f ca="1" t="shared" si="1"/>
        <v>8</v>
      </c>
      <c r="I62" s="5">
        <f ca="1" t="shared" si="9"/>
        <v>106.4</v>
      </c>
      <c r="J62" s="1">
        <f ca="1">OFFSET(控制台!$N$3691,MATCH($C62,控制台!$B$3691:$B$3706,0)-1,0)</f>
        <v>90000</v>
      </c>
      <c r="K62" s="1">
        <f ca="1" t="shared" si="2"/>
        <v>450000</v>
      </c>
      <c r="L62" s="5">
        <f ca="1" t="shared" si="10"/>
        <v>6305000</v>
      </c>
      <c r="M62" s="1">
        <f ca="1">OFFSET(控制台!$P$3691,MATCH($C62,控制台!$B$3691:$B$3706,0)-1,0)</f>
        <v>36.6</v>
      </c>
      <c r="N62" s="1">
        <f ca="1" t="shared" si="3"/>
        <v>183</v>
      </c>
      <c r="O62" s="5">
        <f ca="1" t="shared" si="11"/>
        <v>2433.9</v>
      </c>
      <c r="P62" s="1">
        <f ca="1">OFFSET(控制台!$Q$3691,MATCH($C62,控制台!$B$3691:$B$3706,0)-1,0)</f>
        <v>600</v>
      </c>
      <c r="Q62" s="1">
        <f ca="1" t="shared" si="4"/>
        <v>3000</v>
      </c>
      <c r="R62" s="5">
        <f ca="1" t="shared" si="12"/>
        <v>18000</v>
      </c>
      <c r="S62" s="1">
        <f ca="1">OFFSET(控制台!$R$3691,MATCH($C62,控制台!$B$3691:$B$3706,0)-1,0)</f>
        <v>0</v>
      </c>
      <c r="T62" s="1">
        <f ca="1" t="shared" si="5"/>
        <v>0</v>
      </c>
      <c r="U62" s="5">
        <f ca="1" t="shared" si="13"/>
        <v>0</v>
      </c>
      <c r="V62" s="1">
        <f ca="1">OFFSET(控制台!$O$3691,MATCH($C62,控制台!$B$3691:$B$3706,0)-1,0)</f>
        <v>45000</v>
      </c>
      <c r="W62" s="1">
        <f ca="1" t="shared" si="6"/>
        <v>225000</v>
      </c>
      <c r="X62" s="5">
        <f ca="1" t="shared" si="14"/>
        <v>3152500</v>
      </c>
    </row>
    <row r="63" spans="1:24">
      <c r="A63" s="11">
        <v>90</v>
      </c>
      <c r="B63" s="1">
        <f t="shared" si="7"/>
        <v>5</v>
      </c>
      <c r="C63" s="1">
        <f>IF(控制台!C2088="",C62,控制台!C2088)</f>
        <v>9</v>
      </c>
      <c r="D63" s="1">
        <f ca="1">OFFSET(控制台!$L$3691,MATCH($C63,控制台!$B$3691:$B$3706,0)-1,0)</f>
        <v>300000</v>
      </c>
      <c r="E63" s="1">
        <f ca="1" t="shared" si="0"/>
        <v>1500000</v>
      </c>
      <c r="F63" s="5">
        <f ca="1" t="shared" si="8"/>
        <v>20415000</v>
      </c>
      <c r="G63" s="1">
        <f ca="1">OFFSET(控制台!$M$3691,MATCH($C63,控制台!$B$3691:$B$3706,0)-1,0)</f>
        <v>2.4</v>
      </c>
      <c r="H63" s="1">
        <f ca="1" t="shared" si="1"/>
        <v>12</v>
      </c>
      <c r="I63" s="5">
        <f ca="1" t="shared" si="9"/>
        <v>118.4</v>
      </c>
      <c r="J63" s="1">
        <f ca="1">OFFSET(控制台!$N$3691,MATCH($C63,控制台!$B$3691:$B$3706,0)-1,0)</f>
        <v>100000</v>
      </c>
      <c r="K63" s="1">
        <f ca="1" t="shared" si="2"/>
        <v>500000</v>
      </c>
      <c r="L63" s="5">
        <f ca="1" t="shared" si="10"/>
        <v>6805000</v>
      </c>
      <c r="M63" s="1">
        <f ca="1">OFFSET(控制台!$P$3691,MATCH($C63,控制台!$B$3691:$B$3706,0)-1,0)</f>
        <v>54.9</v>
      </c>
      <c r="N63" s="1">
        <f ca="1" t="shared" si="3"/>
        <v>274.5</v>
      </c>
      <c r="O63" s="5">
        <f ca="1" t="shared" si="11"/>
        <v>2708.4</v>
      </c>
      <c r="P63" s="1">
        <f ca="1">OFFSET(控制台!$Q$3691,MATCH($C63,控制台!$B$3691:$B$3706,0)-1,0)</f>
        <v>600</v>
      </c>
      <c r="Q63" s="1">
        <f ca="1" t="shared" si="4"/>
        <v>3000</v>
      </c>
      <c r="R63" s="5">
        <f ca="1" t="shared" si="12"/>
        <v>21000</v>
      </c>
      <c r="S63" s="1">
        <f ca="1">OFFSET(控制台!$R$3691,MATCH($C63,控制台!$B$3691:$B$3706,0)-1,0)</f>
        <v>0</v>
      </c>
      <c r="T63" s="1">
        <f ca="1" t="shared" si="5"/>
        <v>0</v>
      </c>
      <c r="U63" s="5">
        <f ca="1" t="shared" si="13"/>
        <v>0</v>
      </c>
      <c r="V63" s="1">
        <f ca="1">OFFSET(控制台!$O$3691,MATCH($C63,控制台!$B$3691:$B$3706,0)-1,0)</f>
        <v>50000</v>
      </c>
      <c r="W63" s="1">
        <f ca="1" t="shared" si="6"/>
        <v>250000</v>
      </c>
      <c r="X63" s="5">
        <f ca="1" t="shared" si="14"/>
        <v>3402500</v>
      </c>
    </row>
    <row r="64" spans="1:24">
      <c r="A64" s="11">
        <v>95</v>
      </c>
      <c r="B64" s="1">
        <f t="shared" si="7"/>
        <v>5</v>
      </c>
      <c r="C64" s="1">
        <f>IF(控制台!C2089="",C63,控制台!C2089)</f>
        <v>9</v>
      </c>
      <c r="D64" s="1">
        <f ca="1">OFFSET(控制台!$L$3691,MATCH($C64,控制台!$B$3691:$B$3706,0)-1,0)</f>
        <v>300000</v>
      </c>
      <c r="E64" s="1">
        <f ca="1" t="shared" si="0"/>
        <v>1500000</v>
      </c>
      <c r="F64" s="5">
        <f ca="1" t="shared" si="8"/>
        <v>21915000</v>
      </c>
      <c r="G64" s="1">
        <f ca="1">OFFSET(控制台!$M$3691,MATCH($C64,控制台!$B$3691:$B$3706,0)-1,0)</f>
        <v>2.4</v>
      </c>
      <c r="H64" s="1">
        <f ca="1" t="shared" si="1"/>
        <v>12</v>
      </c>
      <c r="I64" s="5">
        <f ca="1" t="shared" si="9"/>
        <v>130.4</v>
      </c>
      <c r="J64" s="1">
        <f ca="1">OFFSET(控制台!$N$3691,MATCH($C64,控制台!$B$3691:$B$3706,0)-1,0)</f>
        <v>100000</v>
      </c>
      <c r="K64" s="1">
        <f ca="1" t="shared" si="2"/>
        <v>500000</v>
      </c>
      <c r="L64" s="5">
        <f ca="1" t="shared" si="10"/>
        <v>7305000</v>
      </c>
      <c r="M64" s="1">
        <f ca="1">OFFSET(控制台!$P$3691,MATCH($C64,控制台!$B$3691:$B$3706,0)-1,0)</f>
        <v>54.9</v>
      </c>
      <c r="N64" s="1">
        <f ca="1" t="shared" si="3"/>
        <v>274.5</v>
      </c>
      <c r="O64" s="5">
        <f ca="1" t="shared" si="11"/>
        <v>2982.9</v>
      </c>
      <c r="P64" s="1">
        <f ca="1">OFFSET(控制台!$Q$3691,MATCH($C64,控制台!$B$3691:$B$3706,0)-1,0)</f>
        <v>600</v>
      </c>
      <c r="Q64" s="1">
        <f ca="1" t="shared" si="4"/>
        <v>3000</v>
      </c>
      <c r="R64" s="5">
        <f ca="1" t="shared" si="12"/>
        <v>24000</v>
      </c>
      <c r="S64" s="1">
        <f ca="1">OFFSET(控制台!$R$3691,MATCH($C64,控制台!$B$3691:$B$3706,0)-1,0)</f>
        <v>0</v>
      </c>
      <c r="T64" s="1">
        <f ca="1" t="shared" si="5"/>
        <v>0</v>
      </c>
      <c r="U64" s="5">
        <f ca="1" t="shared" si="13"/>
        <v>0</v>
      </c>
      <c r="V64" s="1">
        <f ca="1">OFFSET(控制台!$O$3691,MATCH($C64,控制台!$B$3691:$B$3706,0)-1,0)</f>
        <v>50000</v>
      </c>
      <c r="W64" s="1">
        <f ca="1" t="shared" si="6"/>
        <v>250000</v>
      </c>
      <c r="X64" s="5">
        <f ca="1" t="shared" si="14"/>
        <v>3652500</v>
      </c>
    </row>
    <row r="65" spans="1:24">
      <c r="A65" s="11">
        <v>100</v>
      </c>
      <c r="B65" s="1">
        <f t="shared" si="7"/>
        <v>5</v>
      </c>
      <c r="C65" s="1">
        <f>IF(控制台!C2090="",C64,控制台!C2090)</f>
        <v>9</v>
      </c>
      <c r="D65" s="1">
        <f ca="1">OFFSET(控制台!$L$3691,MATCH($C65,控制台!$B$3691:$B$3706,0)-1,0)</f>
        <v>300000</v>
      </c>
      <c r="E65" s="1">
        <f ca="1" t="shared" si="0"/>
        <v>1500000</v>
      </c>
      <c r="F65" s="5">
        <f ca="1" t="shared" si="8"/>
        <v>23415000</v>
      </c>
      <c r="G65" s="1">
        <f ca="1">OFFSET(控制台!$M$3691,MATCH($C65,控制台!$B$3691:$B$3706,0)-1,0)</f>
        <v>2.4</v>
      </c>
      <c r="H65" s="1">
        <f ca="1" t="shared" si="1"/>
        <v>12</v>
      </c>
      <c r="I65" s="5">
        <f ca="1" t="shared" si="9"/>
        <v>142.4</v>
      </c>
      <c r="J65" s="1">
        <f ca="1">OFFSET(控制台!$N$3691,MATCH($C65,控制台!$B$3691:$B$3706,0)-1,0)</f>
        <v>100000</v>
      </c>
      <c r="K65" s="1">
        <f ca="1" t="shared" si="2"/>
        <v>500000</v>
      </c>
      <c r="L65" s="5">
        <f ca="1" t="shared" si="10"/>
        <v>7805000</v>
      </c>
      <c r="M65" s="1">
        <f ca="1">OFFSET(控制台!$P$3691,MATCH($C65,控制台!$B$3691:$B$3706,0)-1,0)</f>
        <v>54.9</v>
      </c>
      <c r="N65" s="1">
        <f ca="1" t="shared" si="3"/>
        <v>274.5</v>
      </c>
      <c r="O65" s="5">
        <f ca="1" t="shared" si="11"/>
        <v>3257.4</v>
      </c>
      <c r="P65" s="1">
        <f ca="1">OFFSET(控制台!$Q$3691,MATCH($C65,控制台!$B$3691:$B$3706,0)-1,0)</f>
        <v>600</v>
      </c>
      <c r="Q65" s="1">
        <f ca="1" t="shared" si="4"/>
        <v>3000</v>
      </c>
      <c r="R65" s="5">
        <f ca="1" t="shared" si="12"/>
        <v>27000</v>
      </c>
      <c r="S65" s="1">
        <f ca="1">OFFSET(控制台!$R$3691,MATCH($C65,控制台!$B$3691:$B$3706,0)-1,0)</f>
        <v>0</v>
      </c>
      <c r="T65" s="1">
        <f ca="1" t="shared" si="5"/>
        <v>0</v>
      </c>
      <c r="U65" s="5">
        <f ca="1" t="shared" si="13"/>
        <v>0</v>
      </c>
      <c r="V65" s="1">
        <f ca="1">OFFSET(控制台!$O$3691,MATCH($C65,控制台!$B$3691:$B$3706,0)-1,0)</f>
        <v>50000</v>
      </c>
      <c r="W65" s="1">
        <f ca="1" t="shared" si="6"/>
        <v>250000</v>
      </c>
      <c r="X65" s="5">
        <f ca="1" t="shared" si="14"/>
        <v>3902500</v>
      </c>
    </row>
    <row r="66" spans="1:24">
      <c r="A66" s="11">
        <v>105</v>
      </c>
      <c r="B66" s="1">
        <f t="shared" si="7"/>
        <v>5</v>
      </c>
      <c r="C66" s="1">
        <f>IF(控制台!C2091="",C65,控制台!C2091)</f>
        <v>9</v>
      </c>
      <c r="D66" s="1">
        <f ca="1">OFFSET(控制台!$L$3691,MATCH($C66,控制台!$B$3691:$B$3706,0)-1,0)</f>
        <v>300000</v>
      </c>
      <c r="E66" s="1">
        <f ca="1" t="shared" si="0"/>
        <v>1500000</v>
      </c>
      <c r="F66" s="5">
        <f ca="1" t="shared" si="8"/>
        <v>24915000</v>
      </c>
      <c r="G66" s="1">
        <f ca="1">OFFSET(控制台!$M$3691,MATCH($C66,控制台!$B$3691:$B$3706,0)-1,0)</f>
        <v>2.4</v>
      </c>
      <c r="H66" s="1">
        <f ca="1" t="shared" si="1"/>
        <v>12</v>
      </c>
      <c r="I66" s="5">
        <f ca="1" t="shared" si="9"/>
        <v>154.4</v>
      </c>
      <c r="J66" s="1">
        <f ca="1">OFFSET(控制台!$N$3691,MATCH($C66,控制台!$B$3691:$B$3706,0)-1,0)</f>
        <v>100000</v>
      </c>
      <c r="K66" s="1">
        <f ca="1" t="shared" si="2"/>
        <v>500000</v>
      </c>
      <c r="L66" s="5">
        <f ca="1" t="shared" si="10"/>
        <v>8305000</v>
      </c>
      <c r="M66" s="1">
        <f ca="1">OFFSET(控制台!$P$3691,MATCH($C66,控制台!$B$3691:$B$3706,0)-1,0)</f>
        <v>54.9</v>
      </c>
      <c r="N66" s="1">
        <f ca="1" t="shared" si="3"/>
        <v>274.5</v>
      </c>
      <c r="O66" s="5">
        <f ca="1" t="shared" si="11"/>
        <v>3531.9</v>
      </c>
      <c r="P66" s="1">
        <f ca="1">OFFSET(控制台!$Q$3691,MATCH($C66,控制台!$B$3691:$B$3706,0)-1,0)</f>
        <v>600</v>
      </c>
      <c r="Q66" s="1">
        <f ca="1" t="shared" si="4"/>
        <v>3000</v>
      </c>
      <c r="R66" s="5">
        <f ca="1" t="shared" si="12"/>
        <v>30000</v>
      </c>
      <c r="S66" s="1">
        <f ca="1">OFFSET(控制台!$R$3691,MATCH($C66,控制台!$B$3691:$B$3706,0)-1,0)</f>
        <v>0</v>
      </c>
      <c r="T66" s="1">
        <f ca="1" t="shared" si="5"/>
        <v>0</v>
      </c>
      <c r="U66" s="5">
        <f ca="1" t="shared" si="13"/>
        <v>0</v>
      </c>
      <c r="V66" s="1">
        <f ca="1">OFFSET(控制台!$O$3691,MATCH($C66,控制台!$B$3691:$B$3706,0)-1,0)</f>
        <v>50000</v>
      </c>
      <c r="W66" s="1">
        <f ca="1" t="shared" si="6"/>
        <v>250000</v>
      </c>
      <c r="X66" s="5">
        <f ca="1" t="shared" si="14"/>
        <v>4152500</v>
      </c>
    </row>
    <row r="67" spans="1:24">
      <c r="A67" s="11">
        <v>110</v>
      </c>
      <c r="B67" s="1">
        <f t="shared" si="7"/>
        <v>5</v>
      </c>
      <c r="C67" s="1">
        <f>IF(控制台!C2092="",C66,控制台!C2092)</f>
        <v>9</v>
      </c>
      <c r="D67" s="1">
        <f ca="1">OFFSET(控制台!$L$3691,MATCH($C67,控制台!$B$3691:$B$3706,0)-1,0)</f>
        <v>300000</v>
      </c>
      <c r="E67" s="1">
        <f ca="1" t="shared" si="0"/>
        <v>1500000</v>
      </c>
      <c r="F67" s="5">
        <f ca="1" t="shared" si="8"/>
        <v>26415000</v>
      </c>
      <c r="G67" s="1">
        <f ca="1">OFFSET(控制台!$M$3691,MATCH($C67,控制台!$B$3691:$B$3706,0)-1,0)</f>
        <v>2.4</v>
      </c>
      <c r="H67" s="1">
        <f ca="1" t="shared" si="1"/>
        <v>12</v>
      </c>
      <c r="I67" s="5">
        <f ca="1" t="shared" si="9"/>
        <v>166.4</v>
      </c>
      <c r="J67" s="1">
        <f ca="1">OFFSET(控制台!$N$3691,MATCH($C67,控制台!$B$3691:$B$3706,0)-1,0)</f>
        <v>100000</v>
      </c>
      <c r="K67" s="1">
        <f ca="1" t="shared" si="2"/>
        <v>500000</v>
      </c>
      <c r="L67" s="5">
        <f ca="1" t="shared" si="10"/>
        <v>8805000</v>
      </c>
      <c r="M67" s="1">
        <f ca="1">OFFSET(控制台!$P$3691,MATCH($C67,控制台!$B$3691:$B$3706,0)-1,0)</f>
        <v>54.9</v>
      </c>
      <c r="N67" s="1">
        <f ca="1" t="shared" si="3"/>
        <v>274.5</v>
      </c>
      <c r="O67" s="5">
        <f ca="1" t="shared" si="11"/>
        <v>3806.4</v>
      </c>
      <c r="P67" s="1">
        <f ca="1">OFFSET(控制台!$Q$3691,MATCH($C67,控制台!$B$3691:$B$3706,0)-1,0)</f>
        <v>600</v>
      </c>
      <c r="Q67" s="1">
        <f ca="1" t="shared" si="4"/>
        <v>3000</v>
      </c>
      <c r="R67" s="5">
        <f ca="1" t="shared" si="12"/>
        <v>33000</v>
      </c>
      <c r="S67" s="1">
        <f ca="1">OFFSET(控制台!$R$3691,MATCH($C67,控制台!$B$3691:$B$3706,0)-1,0)</f>
        <v>0</v>
      </c>
      <c r="T67" s="1">
        <f ca="1" t="shared" si="5"/>
        <v>0</v>
      </c>
      <c r="U67" s="5">
        <f ca="1" t="shared" si="13"/>
        <v>0</v>
      </c>
      <c r="V67" s="1">
        <f ca="1">OFFSET(控制台!$O$3691,MATCH($C67,控制台!$B$3691:$B$3706,0)-1,0)</f>
        <v>50000</v>
      </c>
      <c r="W67" s="1">
        <f ca="1" t="shared" si="6"/>
        <v>250000</v>
      </c>
      <c r="X67" s="5">
        <f ca="1" t="shared" si="14"/>
        <v>4402500</v>
      </c>
    </row>
    <row r="68" spans="1:24">
      <c r="A68" s="11">
        <v>115</v>
      </c>
      <c r="B68" s="1">
        <f t="shared" si="7"/>
        <v>5</v>
      </c>
      <c r="C68" s="1">
        <f>IF(控制台!C2093="",C67,控制台!C2093)</f>
        <v>9</v>
      </c>
      <c r="D68" s="1">
        <f ca="1">OFFSET(控制台!$L$3691,MATCH($C68,控制台!$B$3691:$B$3706,0)-1,0)</f>
        <v>300000</v>
      </c>
      <c r="E68" s="1">
        <f ca="1" t="shared" si="0"/>
        <v>1500000</v>
      </c>
      <c r="F68" s="5">
        <f ca="1" t="shared" si="8"/>
        <v>27915000</v>
      </c>
      <c r="G68" s="1">
        <f ca="1">OFFSET(控制台!$M$3691,MATCH($C68,控制台!$B$3691:$B$3706,0)-1,0)</f>
        <v>2.4</v>
      </c>
      <c r="H68" s="1">
        <f ca="1" t="shared" si="1"/>
        <v>12</v>
      </c>
      <c r="I68" s="5">
        <f ca="1" t="shared" si="9"/>
        <v>178.4</v>
      </c>
      <c r="J68" s="1">
        <f ca="1">OFFSET(控制台!$N$3691,MATCH($C68,控制台!$B$3691:$B$3706,0)-1,0)</f>
        <v>100000</v>
      </c>
      <c r="K68" s="1">
        <f ca="1" t="shared" si="2"/>
        <v>500000</v>
      </c>
      <c r="L68" s="5">
        <f ca="1" t="shared" si="10"/>
        <v>9305000</v>
      </c>
      <c r="M68" s="1">
        <f ca="1">OFFSET(控制台!$P$3691,MATCH($C68,控制台!$B$3691:$B$3706,0)-1,0)</f>
        <v>54.9</v>
      </c>
      <c r="N68" s="1">
        <f ca="1" t="shared" si="3"/>
        <v>274.5</v>
      </c>
      <c r="O68" s="5">
        <f ca="1" t="shared" si="11"/>
        <v>4080.9</v>
      </c>
      <c r="P68" s="1">
        <f ca="1">OFFSET(控制台!$Q$3691,MATCH($C68,控制台!$B$3691:$B$3706,0)-1,0)</f>
        <v>600</v>
      </c>
      <c r="Q68" s="1">
        <f ca="1" t="shared" si="4"/>
        <v>3000</v>
      </c>
      <c r="R68" s="5">
        <f ca="1" t="shared" si="12"/>
        <v>36000</v>
      </c>
      <c r="S68" s="1">
        <f ca="1">OFFSET(控制台!$R$3691,MATCH($C68,控制台!$B$3691:$B$3706,0)-1,0)</f>
        <v>0</v>
      </c>
      <c r="T68" s="1">
        <f ca="1" t="shared" si="5"/>
        <v>0</v>
      </c>
      <c r="U68" s="5">
        <f ca="1" t="shared" si="13"/>
        <v>0</v>
      </c>
      <c r="V68" s="1">
        <f ca="1">OFFSET(控制台!$O$3691,MATCH($C68,控制台!$B$3691:$B$3706,0)-1,0)</f>
        <v>50000</v>
      </c>
      <c r="W68" s="1">
        <f ca="1" t="shared" si="6"/>
        <v>250000</v>
      </c>
      <c r="X68" s="5">
        <f ca="1" t="shared" si="14"/>
        <v>4652500</v>
      </c>
    </row>
    <row r="69" spans="1:24">
      <c r="A69" s="11">
        <v>120</v>
      </c>
      <c r="B69" s="1">
        <f t="shared" si="7"/>
        <v>5</v>
      </c>
      <c r="C69" s="1">
        <f>IF(控制台!C2094="",C68,控制台!C2094)</f>
        <v>9</v>
      </c>
      <c r="D69" s="1">
        <f ca="1">OFFSET(控制台!$L$3691,MATCH($C69,控制台!$B$3691:$B$3706,0)-1,0)</f>
        <v>300000</v>
      </c>
      <c r="E69" s="1">
        <f ca="1" t="shared" si="0"/>
        <v>1500000</v>
      </c>
      <c r="F69" s="5">
        <f ca="1" t="shared" si="8"/>
        <v>29415000</v>
      </c>
      <c r="G69" s="1">
        <f ca="1">OFFSET(控制台!$M$3691,MATCH($C69,控制台!$B$3691:$B$3706,0)-1,0)</f>
        <v>2.4</v>
      </c>
      <c r="H69" s="1">
        <f ca="1" t="shared" si="1"/>
        <v>12</v>
      </c>
      <c r="I69" s="5">
        <f ca="1" t="shared" si="9"/>
        <v>190.4</v>
      </c>
      <c r="J69" s="1">
        <f ca="1">OFFSET(控制台!$N$3691,MATCH($C69,控制台!$B$3691:$B$3706,0)-1,0)</f>
        <v>100000</v>
      </c>
      <c r="K69" s="1">
        <f ca="1" t="shared" si="2"/>
        <v>500000</v>
      </c>
      <c r="L69" s="5">
        <f ca="1" t="shared" si="10"/>
        <v>9805000</v>
      </c>
      <c r="M69" s="1">
        <f ca="1">OFFSET(控制台!$P$3691,MATCH($C69,控制台!$B$3691:$B$3706,0)-1,0)</f>
        <v>54.9</v>
      </c>
      <c r="N69" s="1">
        <f ca="1" t="shared" si="3"/>
        <v>274.5</v>
      </c>
      <c r="O69" s="5">
        <f ca="1" t="shared" si="11"/>
        <v>4355.4</v>
      </c>
      <c r="P69" s="1">
        <f ca="1">OFFSET(控制台!$Q$3691,MATCH($C69,控制台!$B$3691:$B$3706,0)-1,0)</f>
        <v>600</v>
      </c>
      <c r="Q69" s="1">
        <f ca="1" t="shared" si="4"/>
        <v>3000</v>
      </c>
      <c r="R69" s="5">
        <f ca="1" t="shared" si="12"/>
        <v>39000</v>
      </c>
      <c r="S69" s="1">
        <f ca="1">OFFSET(控制台!$R$3691,MATCH($C69,控制台!$B$3691:$B$3706,0)-1,0)</f>
        <v>0</v>
      </c>
      <c r="T69" s="1">
        <f ca="1" t="shared" si="5"/>
        <v>0</v>
      </c>
      <c r="U69" s="5">
        <f ca="1" t="shared" si="13"/>
        <v>0</v>
      </c>
      <c r="V69" s="1">
        <f ca="1">OFFSET(控制台!$O$3691,MATCH($C69,控制台!$B$3691:$B$3706,0)-1,0)</f>
        <v>50000</v>
      </c>
      <c r="W69" s="1">
        <f ca="1" t="shared" si="6"/>
        <v>250000</v>
      </c>
      <c r="X69" s="5">
        <f ca="1" t="shared" si="14"/>
        <v>4902500</v>
      </c>
    </row>
    <row r="70" spans="1:24">
      <c r="A70" s="12">
        <v>150</v>
      </c>
      <c r="B70" s="1">
        <f t="shared" si="7"/>
        <v>30</v>
      </c>
      <c r="C70" s="1">
        <f>IF(控制台!C2095="",C69,控制台!C2095)</f>
        <v>10</v>
      </c>
      <c r="D70" s="1">
        <f ca="1">OFFSET(控制台!$L$3691,MATCH($C70,控制台!$B$3691:$B$3706,0)-1,0)</f>
        <v>330000</v>
      </c>
      <c r="E70" s="1">
        <f ca="1" t="shared" si="0"/>
        <v>9900000</v>
      </c>
      <c r="F70" s="5">
        <f ca="1" t="shared" si="8"/>
        <v>39315000</v>
      </c>
      <c r="G70" s="1">
        <f ca="1">OFFSET(控制台!$M$3691,MATCH($C70,控制台!$B$3691:$B$3706,0)-1,0)</f>
        <v>2.4</v>
      </c>
      <c r="H70" s="1">
        <f ca="1" t="shared" si="1"/>
        <v>72</v>
      </c>
      <c r="I70" s="5">
        <f ca="1" t="shared" si="9"/>
        <v>262.4</v>
      </c>
      <c r="J70" s="1">
        <f ca="1">OFFSET(控制台!$N$3691,MATCH($C70,控制台!$B$3691:$B$3706,0)-1,0)</f>
        <v>110000</v>
      </c>
      <c r="K70" s="1">
        <f ca="1" t="shared" si="2"/>
        <v>3300000</v>
      </c>
      <c r="L70" s="5">
        <f ca="1" t="shared" si="10"/>
        <v>13105000</v>
      </c>
      <c r="M70" s="1">
        <f ca="1">OFFSET(控制台!$P$3691,MATCH($C70,控制台!$B$3691:$B$3706,0)-1,0)</f>
        <v>54.9</v>
      </c>
      <c r="N70" s="1">
        <f ca="1" t="shared" si="3"/>
        <v>1647</v>
      </c>
      <c r="O70" s="5">
        <f ca="1" t="shared" si="11"/>
        <v>6002.4</v>
      </c>
      <c r="P70" s="1">
        <f ca="1">OFFSET(控制台!$Q$3691,MATCH($C70,控制台!$B$3691:$B$3706,0)-1,0)</f>
        <v>600</v>
      </c>
      <c r="Q70" s="1">
        <f ca="1" t="shared" si="4"/>
        <v>18000</v>
      </c>
      <c r="R70" s="5">
        <f ca="1" t="shared" si="12"/>
        <v>57000</v>
      </c>
      <c r="S70" s="1">
        <f ca="1">OFFSET(控制台!$R$3691,MATCH($C70,控制台!$B$3691:$B$3706,0)-1,0)</f>
        <v>1</v>
      </c>
      <c r="T70" s="1">
        <f ca="1" t="shared" si="5"/>
        <v>30</v>
      </c>
      <c r="U70" s="5">
        <f ca="1" t="shared" si="13"/>
        <v>30</v>
      </c>
      <c r="V70" s="1">
        <f ca="1">OFFSET(控制台!$O$3691,MATCH($C70,控制台!$B$3691:$B$3706,0)-1,0)</f>
        <v>55000</v>
      </c>
      <c r="W70" s="1">
        <f ca="1" t="shared" si="6"/>
        <v>1650000</v>
      </c>
      <c r="X70" s="5">
        <f ca="1" t="shared" si="14"/>
        <v>6552500</v>
      </c>
    </row>
    <row r="71" spans="1:24">
      <c r="A71" s="12">
        <v>180</v>
      </c>
      <c r="B71" s="1">
        <f t="shared" si="7"/>
        <v>30</v>
      </c>
      <c r="C71" s="1">
        <f>IF(控制台!C2096="",C70,控制台!C2096)</f>
        <v>10</v>
      </c>
      <c r="D71" s="1">
        <f ca="1">OFFSET(控制台!$L$3691,MATCH($C71,控制台!$B$3691:$B$3706,0)-1,0)</f>
        <v>330000</v>
      </c>
      <c r="E71" s="1">
        <f ca="1" t="shared" ref="E71:E77" si="15">D71*$B71</f>
        <v>9900000</v>
      </c>
      <c r="F71" s="5">
        <f ca="1" t="shared" si="8"/>
        <v>49215000</v>
      </c>
      <c r="G71" s="1">
        <f ca="1">OFFSET(控制台!$M$3691,MATCH($C71,控制台!$B$3691:$B$3706,0)-1,0)</f>
        <v>2.4</v>
      </c>
      <c r="H71" s="1">
        <f ca="1" t="shared" ref="H71:H77" si="16">G71*$B71</f>
        <v>72</v>
      </c>
      <c r="I71" s="5">
        <f ca="1" t="shared" si="9"/>
        <v>334.4</v>
      </c>
      <c r="J71" s="1">
        <f ca="1">OFFSET(控制台!$N$3691,MATCH($C71,控制台!$B$3691:$B$3706,0)-1,0)</f>
        <v>110000</v>
      </c>
      <c r="K71" s="1">
        <f ca="1" t="shared" ref="K71:K77" si="17">J71*$B71</f>
        <v>3300000</v>
      </c>
      <c r="L71" s="5">
        <f ca="1" t="shared" si="10"/>
        <v>16405000</v>
      </c>
      <c r="M71" s="1">
        <f ca="1">OFFSET(控制台!$P$3691,MATCH($C71,控制台!$B$3691:$B$3706,0)-1,0)</f>
        <v>54.9</v>
      </c>
      <c r="N71" s="1">
        <f ca="1" t="shared" ref="N71:N77" si="18">M71*$B71</f>
        <v>1647</v>
      </c>
      <c r="O71" s="5">
        <f ca="1" t="shared" si="11"/>
        <v>7649.4</v>
      </c>
      <c r="P71" s="1">
        <f ca="1">OFFSET(控制台!$Q$3691,MATCH($C71,控制台!$B$3691:$B$3706,0)-1,0)</f>
        <v>600</v>
      </c>
      <c r="Q71" s="1">
        <f ca="1" t="shared" ref="Q71:Q77" si="19">P71*$B71</f>
        <v>18000</v>
      </c>
      <c r="R71" s="5">
        <f ca="1" t="shared" si="12"/>
        <v>75000</v>
      </c>
      <c r="S71" s="1">
        <f ca="1">OFFSET(控制台!$R$3691,MATCH($C71,控制台!$B$3691:$B$3706,0)-1,0)</f>
        <v>1</v>
      </c>
      <c r="T71" s="1">
        <f ca="1" t="shared" ref="T71:T77" si="20">S71*$B71</f>
        <v>30</v>
      </c>
      <c r="U71" s="5">
        <f ca="1" t="shared" si="13"/>
        <v>60</v>
      </c>
      <c r="V71" s="1">
        <f ca="1">OFFSET(控制台!$O$3691,MATCH($C71,控制台!$B$3691:$B$3706,0)-1,0)</f>
        <v>55000</v>
      </c>
      <c r="W71" s="1">
        <f ca="1" t="shared" ref="W71:W77" si="21">V71*$B71</f>
        <v>1650000</v>
      </c>
      <c r="X71" s="5">
        <f ca="1" t="shared" si="14"/>
        <v>8202500</v>
      </c>
    </row>
    <row r="72" spans="1:24">
      <c r="A72" s="12">
        <v>210</v>
      </c>
      <c r="B72" s="1">
        <f t="shared" ref="B72:B77" si="22">A72-A71</f>
        <v>30</v>
      </c>
      <c r="C72" s="1">
        <f>IF(控制台!C2097="",C71,控制台!C2097)</f>
        <v>10</v>
      </c>
      <c r="D72" s="1">
        <f ca="1">OFFSET(控制台!$L$3691,MATCH($C72,控制台!$B$3691:$B$3706,0)-1,0)</f>
        <v>330000</v>
      </c>
      <c r="E72" s="1">
        <f ca="1" t="shared" si="15"/>
        <v>9900000</v>
      </c>
      <c r="F72" s="5">
        <f ca="1" t="shared" ref="F72:F77" si="23">F71+E72</f>
        <v>59115000</v>
      </c>
      <c r="G72" s="1">
        <f ca="1">OFFSET(控制台!$M$3691,MATCH($C72,控制台!$B$3691:$B$3706,0)-1,0)</f>
        <v>2.4</v>
      </c>
      <c r="H72" s="1">
        <f ca="1" t="shared" si="16"/>
        <v>72</v>
      </c>
      <c r="I72" s="5">
        <f ca="1" t="shared" ref="I72:I77" si="24">I71+H72</f>
        <v>406.4</v>
      </c>
      <c r="J72" s="1">
        <f ca="1">OFFSET(控制台!$N$3691,MATCH($C72,控制台!$B$3691:$B$3706,0)-1,0)</f>
        <v>110000</v>
      </c>
      <c r="K72" s="1">
        <f ca="1" t="shared" si="17"/>
        <v>3300000</v>
      </c>
      <c r="L72" s="5">
        <f ca="1" t="shared" ref="L72:L77" si="25">L71+K72</f>
        <v>19705000</v>
      </c>
      <c r="M72" s="1">
        <f ca="1">OFFSET(控制台!$P$3691,MATCH($C72,控制台!$B$3691:$B$3706,0)-1,0)</f>
        <v>54.9</v>
      </c>
      <c r="N72" s="1">
        <f ca="1" t="shared" si="18"/>
        <v>1647</v>
      </c>
      <c r="O72" s="5">
        <f ca="1" t="shared" ref="O72:O77" si="26">O71+N72</f>
        <v>9296.4</v>
      </c>
      <c r="P72" s="1">
        <f ca="1">OFFSET(控制台!$Q$3691,MATCH($C72,控制台!$B$3691:$B$3706,0)-1,0)</f>
        <v>600</v>
      </c>
      <c r="Q72" s="1">
        <f ca="1" t="shared" si="19"/>
        <v>18000</v>
      </c>
      <c r="R72" s="5">
        <f ca="1" t="shared" ref="R72:R77" si="27">R71+Q72</f>
        <v>93000</v>
      </c>
      <c r="S72" s="1">
        <f ca="1">OFFSET(控制台!$R$3691,MATCH($C72,控制台!$B$3691:$B$3706,0)-1,0)</f>
        <v>1</v>
      </c>
      <c r="T72" s="1">
        <f ca="1" t="shared" si="20"/>
        <v>30</v>
      </c>
      <c r="U72" s="5">
        <f ca="1" t="shared" ref="U72:U77" si="28">U71+T72</f>
        <v>90</v>
      </c>
      <c r="V72" s="1">
        <f ca="1">OFFSET(控制台!$O$3691,MATCH($C72,控制台!$B$3691:$B$3706,0)-1,0)</f>
        <v>55000</v>
      </c>
      <c r="W72" s="1">
        <f ca="1" t="shared" si="21"/>
        <v>1650000</v>
      </c>
      <c r="X72" s="5">
        <f ca="1" t="shared" ref="X72:X77" si="29">X71+W72</f>
        <v>9852500</v>
      </c>
    </row>
    <row r="73" spans="1:24">
      <c r="A73" s="12">
        <v>240</v>
      </c>
      <c r="B73" s="1">
        <f t="shared" si="22"/>
        <v>30</v>
      </c>
      <c r="C73" s="1">
        <f>IF(控制台!C2098="",C72,控制台!C2098)</f>
        <v>11</v>
      </c>
      <c r="D73" s="1">
        <f ca="1">OFFSET(控制台!$L$3691,MATCH($C73,控制台!$B$3691:$B$3706,0)-1,0)</f>
        <v>360000</v>
      </c>
      <c r="E73" s="1">
        <f ca="1" t="shared" si="15"/>
        <v>10800000</v>
      </c>
      <c r="F73" s="5">
        <f ca="1" t="shared" si="23"/>
        <v>69915000</v>
      </c>
      <c r="G73" s="1">
        <f ca="1">OFFSET(控制台!$M$3691,MATCH($C73,控制台!$B$3691:$B$3706,0)-1,0)</f>
        <v>2.4</v>
      </c>
      <c r="H73" s="1">
        <f ca="1" t="shared" si="16"/>
        <v>72</v>
      </c>
      <c r="I73" s="5">
        <f ca="1" t="shared" si="24"/>
        <v>478.4</v>
      </c>
      <c r="J73" s="1">
        <f ca="1">OFFSET(控制台!$N$3691,MATCH($C73,控制台!$B$3691:$B$3706,0)-1,0)</f>
        <v>120000</v>
      </c>
      <c r="K73" s="1">
        <f ca="1" t="shared" si="17"/>
        <v>3600000</v>
      </c>
      <c r="L73" s="5">
        <f ca="1" t="shared" si="25"/>
        <v>23305000</v>
      </c>
      <c r="M73" s="1">
        <f ca="1">OFFSET(控制台!$P$3691,MATCH($C73,控制台!$B$3691:$B$3706,0)-1,0)</f>
        <v>54.9</v>
      </c>
      <c r="N73" s="1">
        <f ca="1" t="shared" si="18"/>
        <v>1647</v>
      </c>
      <c r="O73" s="5">
        <f ca="1" t="shared" si="26"/>
        <v>10943.4</v>
      </c>
      <c r="P73" s="1">
        <f ca="1">OFFSET(控制台!$Q$3691,MATCH($C73,控制台!$B$3691:$B$3706,0)-1,0)</f>
        <v>1200</v>
      </c>
      <c r="Q73" s="1">
        <f ca="1" t="shared" si="19"/>
        <v>36000</v>
      </c>
      <c r="R73" s="5">
        <f ca="1" t="shared" si="27"/>
        <v>129000</v>
      </c>
      <c r="S73" s="1">
        <f ca="1">OFFSET(控制台!$R$3691,MATCH($C73,控制台!$B$3691:$B$3706,0)-1,0)</f>
        <v>1</v>
      </c>
      <c r="T73" s="1">
        <f ca="1" t="shared" si="20"/>
        <v>30</v>
      </c>
      <c r="U73" s="5">
        <f ca="1" t="shared" si="28"/>
        <v>120</v>
      </c>
      <c r="V73" s="1">
        <f ca="1">OFFSET(控制台!$O$3691,MATCH($C73,控制台!$B$3691:$B$3706,0)-1,0)</f>
        <v>60000</v>
      </c>
      <c r="W73" s="1">
        <f ca="1" t="shared" si="21"/>
        <v>1800000</v>
      </c>
      <c r="X73" s="5">
        <f ca="1" t="shared" si="29"/>
        <v>11652500</v>
      </c>
    </row>
    <row r="74" spans="1:24">
      <c r="A74" s="12">
        <v>270</v>
      </c>
      <c r="B74" s="1">
        <f t="shared" si="22"/>
        <v>30</v>
      </c>
      <c r="C74" s="1">
        <f>IF(控制台!C2099="",C73,控制台!C2099)</f>
        <v>11</v>
      </c>
      <c r="D74" s="1">
        <f ca="1">OFFSET(控制台!$L$3691,MATCH($C74,控制台!$B$3691:$B$3706,0)-1,0)</f>
        <v>360000</v>
      </c>
      <c r="E74" s="1">
        <f ca="1" t="shared" si="15"/>
        <v>10800000</v>
      </c>
      <c r="F74" s="5">
        <f ca="1" t="shared" si="23"/>
        <v>80715000</v>
      </c>
      <c r="G74" s="1">
        <f ca="1">OFFSET(控制台!$M$3691,MATCH($C74,控制台!$B$3691:$B$3706,0)-1,0)</f>
        <v>2.4</v>
      </c>
      <c r="H74" s="1">
        <f ca="1" t="shared" si="16"/>
        <v>72</v>
      </c>
      <c r="I74" s="5">
        <f ca="1" t="shared" si="24"/>
        <v>550.4</v>
      </c>
      <c r="J74" s="1">
        <f ca="1">OFFSET(控制台!$N$3691,MATCH($C74,控制台!$B$3691:$B$3706,0)-1,0)</f>
        <v>120000</v>
      </c>
      <c r="K74" s="1">
        <f ca="1" t="shared" si="17"/>
        <v>3600000</v>
      </c>
      <c r="L74" s="5">
        <f ca="1" t="shared" si="25"/>
        <v>26905000</v>
      </c>
      <c r="M74" s="1">
        <f ca="1">OFFSET(控制台!$P$3691,MATCH($C74,控制台!$B$3691:$B$3706,0)-1,0)</f>
        <v>54.9</v>
      </c>
      <c r="N74" s="1">
        <f ca="1" t="shared" si="18"/>
        <v>1647</v>
      </c>
      <c r="O74" s="5">
        <f ca="1" t="shared" si="26"/>
        <v>12590.4</v>
      </c>
      <c r="P74" s="1">
        <f ca="1">OFFSET(控制台!$Q$3691,MATCH($C74,控制台!$B$3691:$B$3706,0)-1,0)</f>
        <v>1200</v>
      </c>
      <c r="Q74" s="1">
        <f ca="1" t="shared" si="19"/>
        <v>36000</v>
      </c>
      <c r="R74" s="5">
        <f ca="1" t="shared" si="27"/>
        <v>165000</v>
      </c>
      <c r="S74" s="1">
        <f ca="1">OFFSET(控制台!$R$3691,MATCH($C74,控制台!$B$3691:$B$3706,0)-1,0)</f>
        <v>1</v>
      </c>
      <c r="T74" s="1">
        <f ca="1" t="shared" si="20"/>
        <v>30</v>
      </c>
      <c r="U74" s="5">
        <f ca="1" t="shared" si="28"/>
        <v>150</v>
      </c>
      <c r="V74" s="1">
        <f ca="1">OFFSET(控制台!$O$3691,MATCH($C74,控制台!$B$3691:$B$3706,0)-1,0)</f>
        <v>60000</v>
      </c>
      <c r="W74" s="1">
        <f ca="1" t="shared" si="21"/>
        <v>1800000</v>
      </c>
      <c r="X74" s="5">
        <f ca="1" t="shared" si="29"/>
        <v>13452500</v>
      </c>
    </row>
    <row r="75" spans="1:24">
      <c r="A75" s="12">
        <v>300</v>
      </c>
      <c r="B75" s="1">
        <f t="shared" si="22"/>
        <v>30</v>
      </c>
      <c r="C75" s="1">
        <f>IF(控制台!C2100="",C74,控制台!C2100)</f>
        <v>11</v>
      </c>
      <c r="D75" s="1">
        <f ca="1">OFFSET(控制台!$L$3691,MATCH($C75,控制台!$B$3691:$B$3706,0)-1,0)</f>
        <v>360000</v>
      </c>
      <c r="E75" s="1">
        <f ca="1" t="shared" si="15"/>
        <v>10800000</v>
      </c>
      <c r="F75" s="5">
        <f ca="1" t="shared" si="23"/>
        <v>91515000</v>
      </c>
      <c r="G75" s="1">
        <f ca="1">OFFSET(控制台!$M$3691,MATCH($C75,控制台!$B$3691:$B$3706,0)-1,0)</f>
        <v>2.4</v>
      </c>
      <c r="H75" s="1">
        <f ca="1" t="shared" si="16"/>
        <v>72</v>
      </c>
      <c r="I75" s="5">
        <f ca="1" t="shared" si="24"/>
        <v>622.4</v>
      </c>
      <c r="J75" s="1">
        <f ca="1">OFFSET(控制台!$N$3691,MATCH($C75,控制台!$B$3691:$B$3706,0)-1,0)</f>
        <v>120000</v>
      </c>
      <c r="K75" s="1">
        <f ca="1" t="shared" si="17"/>
        <v>3600000</v>
      </c>
      <c r="L75" s="5">
        <f ca="1" t="shared" si="25"/>
        <v>30505000</v>
      </c>
      <c r="M75" s="1">
        <f ca="1">OFFSET(控制台!$P$3691,MATCH($C75,控制台!$B$3691:$B$3706,0)-1,0)</f>
        <v>54.9</v>
      </c>
      <c r="N75" s="1">
        <f ca="1" t="shared" si="18"/>
        <v>1647</v>
      </c>
      <c r="O75" s="5">
        <f ca="1" t="shared" si="26"/>
        <v>14237.4</v>
      </c>
      <c r="P75" s="1">
        <f ca="1">OFFSET(控制台!$Q$3691,MATCH($C75,控制台!$B$3691:$B$3706,0)-1,0)</f>
        <v>1200</v>
      </c>
      <c r="Q75" s="1">
        <f ca="1" t="shared" si="19"/>
        <v>36000</v>
      </c>
      <c r="R75" s="5">
        <f ca="1" t="shared" si="27"/>
        <v>201000</v>
      </c>
      <c r="S75" s="1">
        <f ca="1">OFFSET(控制台!$R$3691,MATCH($C75,控制台!$B$3691:$B$3706,0)-1,0)</f>
        <v>1</v>
      </c>
      <c r="T75" s="1">
        <f ca="1" t="shared" si="20"/>
        <v>30</v>
      </c>
      <c r="U75" s="5">
        <f ca="1" t="shared" si="28"/>
        <v>180</v>
      </c>
      <c r="V75" s="1">
        <f ca="1">OFFSET(控制台!$O$3691,MATCH($C75,控制台!$B$3691:$B$3706,0)-1,0)</f>
        <v>60000</v>
      </c>
      <c r="W75" s="1">
        <f ca="1" t="shared" si="21"/>
        <v>1800000</v>
      </c>
      <c r="X75" s="5">
        <f ca="1" t="shared" si="29"/>
        <v>15252500</v>
      </c>
    </row>
    <row r="76" spans="1:24">
      <c r="A76" s="12">
        <v>330</v>
      </c>
      <c r="B76" s="1">
        <f t="shared" si="22"/>
        <v>30</v>
      </c>
      <c r="C76" s="1">
        <f>IF(控制台!C2101="",C75,控制台!C2101)</f>
        <v>11</v>
      </c>
      <c r="D76" s="1">
        <f ca="1">OFFSET(控制台!$L$3691,MATCH($C76,控制台!$B$3691:$B$3706,0)-1,0)</f>
        <v>360000</v>
      </c>
      <c r="E76" s="1">
        <f ca="1" t="shared" si="15"/>
        <v>10800000</v>
      </c>
      <c r="F76" s="5">
        <f ca="1" t="shared" si="23"/>
        <v>102315000</v>
      </c>
      <c r="G76" s="1">
        <f ca="1">OFFSET(控制台!$M$3691,MATCH($C76,控制台!$B$3691:$B$3706,0)-1,0)</f>
        <v>2.4</v>
      </c>
      <c r="H76" s="1">
        <f ca="1" t="shared" si="16"/>
        <v>72</v>
      </c>
      <c r="I76" s="5">
        <f ca="1" t="shared" si="24"/>
        <v>694.4</v>
      </c>
      <c r="J76" s="1">
        <f ca="1">OFFSET(控制台!$N$3691,MATCH($C76,控制台!$B$3691:$B$3706,0)-1,0)</f>
        <v>120000</v>
      </c>
      <c r="K76" s="1">
        <f ca="1" t="shared" si="17"/>
        <v>3600000</v>
      </c>
      <c r="L76" s="5">
        <f ca="1" t="shared" si="25"/>
        <v>34105000</v>
      </c>
      <c r="M76" s="1">
        <f ca="1">OFFSET(控制台!$P$3691,MATCH($C76,控制台!$B$3691:$B$3706,0)-1,0)</f>
        <v>54.9</v>
      </c>
      <c r="N76" s="1">
        <f ca="1" t="shared" si="18"/>
        <v>1647</v>
      </c>
      <c r="O76" s="5">
        <f ca="1" t="shared" si="26"/>
        <v>15884.4</v>
      </c>
      <c r="P76" s="1">
        <f ca="1">OFFSET(控制台!$Q$3691,MATCH($C76,控制台!$B$3691:$B$3706,0)-1,0)</f>
        <v>1200</v>
      </c>
      <c r="Q76" s="1">
        <f ca="1" t="shared" si="19"/>
        <v>36000</v>
      </c>
      <c r="R76" s="5">
        <f ca="1" t="shared" si="27"/>
        <v>237000</v>
      </c>
      <c r="S76" s="1">
        <f ca="1">OFFSET(控制台!$R$3691,MATCH($C76,控制台!$B$3691:$B$3706,0)-1,0)</f>
        <v>1</v>
      </c>
      <c r="T76" s="1">
        <f ca="1" t="shared" si="20"/>
        <v>30</v>
      </c>
      <c r="U76" s="5">
        <f ca="1" t="shared" si="28"/>
        <v>210</v>
      </c>
      <c r="V76" s="1">
        <f ca="1">OFFSET(控制台!$O$3691,MATCH($C76,控制台!$B$3691:$B$3706,0)-1,0)</f>
        <v>60000</v>
      </c>
      <c r="W76" s="1">
        <f ca="1" t="shared" si="21"/>
        <v>1800000</v>
      </c>
      <c r="X76" s="5">
        <f ca="1" t="shared" si="29"/>
        <v>17052500</v>
      </c>
    </row>
    <row r="77" spans="1:24">
      <c r="A77" s="12">
        <v>360</v>
      </c>
      <c r="B77" s="1">
        <f t="shared" si="22"/>
        <v>30</v>
      </c>
      <c r="C77" s="1">
        <f>IF(控制台!C2102="",C76,控制台!C2102)</f>
        <v>12</v>
      </c>
      <c r="D77" s="1">
        <f ca="1">OFFSET(控制台!$L$3691,MATCH($C77,控制台!$B$3691:$B$3706,0)-1,0)</f>
        <v>390000</v>
      </c>
      <c r="E77" s="1">
        <f ca="1" t="shared" si="15"/>
        <v>11700000</v>
      </c>
      <c r="F77" s="5">
        <f ca="1" t="shared" si="23"/>
        <v>114015000</v>
      </c>
      <c r="G77" s="1">
        <f ca="1">OFFSET(控制台!$M$3691,MATCH($C77,控制台!$B$3691:$B$3706,0)-1,0)</f>
        <v>2.4</v>
      </c>
      <c r="H77" s="1">
        <f ca="1" t="shared" si="16"/>
        <v>72</v>
      </c>
      <c r="I77" s="5">
        <f ca="1" t="shared" si="24"/>
        <v>766.4</v>
      </c>
      <c r="J77" s="1">
        <f ca="1">OFFSET(控制台!$N$3691,MATCH($C77,控制台!$B$3691:$B$3706,0)-1,0)</f>
        <v>130000</v>
      </c>
      <c r="K77" s="1">
        <f ca="1" t="shared" si="17"/>
        <v>3900000</v>
      </c>
      <c r="L77" s="5">
        <f ca="1" t="shared" si="25"/>
        <v>38005000</v>
      </c>
      <c r="M77" s="1">
        <f ca="1">OFFSET(控制台!$P$3691,MATCH($C77,控制台!$B$3691:$B$3706,0)-1,0)</f>
        <v>54.9</v>
      </c>
      <c r="N77" s="1">
        <f ca="1" t="shared" si="18"/>
        <v>1647</v>
      </c>
      <c r="O77" s="5">
        <f ca="1" t="shared" si="26"/>
        <v>17531.4</v>
      </c>
      <c r="P77" s="1">
        <f ca="1">OFFSET(控制台!$Q$3691,MATCH($C77,控制台!$B$3691:$B$3706,0)-1,0)</f>
        <v>1200</v>
      </c>
      <c r="Q77" s="1">
        <f ca="1" t="shared" si="19"/>
        <v>36000</v>
      </c>
      <c r="R77" s="5">
        <f ca="1" t="shared" si="27"/>
        <v>273000</v>
      </c>
      <c r="S77" s="1">
        <f ca="1">OFFSET(控制台!$R$3691,MATCH($C77,控制台!$B$3691:$B$3706,0)-1,0)</f>
        <v>2</v>
      </c>
      <c r="T77" s="1">
        <f ca="1" t="shared" si="20"/>
        <v>60</v>
      </c>
      <c r="U77" s="5">
        <f ca="1" t="shared" si="28"/>
        <v>270</v>
      </c>
      <c r="V77" s="1">
        <f ca="1">OFFSET(控制台!$O$3691,MATCH($C77,控制台!$B$3691:$B$3706,0)-1,0)</f>
        <v>65000</v>
      </c>
      <c r="W77" s="1">
        <f ca="1" t="shared" si="21"/>
        <v>1950000</v>
      </c>
      <c r="X77" s="5">
        <f ca="1" t="shared" si="29"/>
        <v>19002500</v>
      </c>
    </row>
  </sheetData>
  <hyperlinks>
    <hyperlink ref="A1" location="控制台_211_VIP宝箱" display="返回控制台_VIP宝箱"/>
  </hyperlinks>
  <pageMargins left="0.699305555555556" right="0.699305555555556" top="0.75" bottom="0.75" header="0.3" footer="0.3"/>
  <pageSetup paperSize="9" orientation="portrait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11">
    <tabColor theme="9" tint="0.599993896298105"/>
  </sheetPr>
  <dimension ref="A1:U77"/>
  <sheetViews>
    <sheetView zoomScale="70" zoomScaleNormal="70" topLeftCell="A40" workbookViewId="0">
      <selection activeCell="H55" sqref="H55"/>
    </sheetView>
  </sheetViews>
  <sheetFormatPr defaultColWidth="8.70967741935484" defaultRowHeight="13.1"/>
  <cols>
    <col min="1" max="1" width="9.62903225806452" style="1" customWidth="1"/>
    <col min="2" max="3" width="9.37903225806452" style="1" customWidth="1"/>
    <col min="4" max="5" width="9.62903225806452" style="1"/>
    <col min="6" max="6" width="12" style="1" customWidth="1"/>
    <col min="7" max="9" width="9.62903225806452" style="1"/>
    <col min="10" max="10" width="9.62903225806452" style="1" customWidth="1"/>
    <col min="11" max="11" width="10.8790322580645" style="1" customWidth="1"/>
    <col min="12" max="12" width="10.75" style="1" customWidth="1"/>
    <col min="13" max="15" width="9.62903225806452" style="1"/>
    <col min="16" max="16" width="9.62903225806452" style="1" customWidth="1"/>
    <col min="17" max="17" width="10.8790322580645" style="1" customWidth="1"/>
    <col min="18" max="18" width="10.75" style="1" customWidth="1"/>
    <col min="19" max="16384" width="9.62903225806452" style="1"/>
  </cols>
  <sheetData>
    <row r="1" spans="1:18">
      <c r="A1" s="3" t="s">
        <v>2998</v>
      </c>
      <c r="L1" s="4"/>
      <c r="R1" s="4"/>
    </row>
    <row r="2" spans="12:18">
      <c r="L2" s="4"/>
      <c r="R2" s="4"/>
    </row>
    <row r="3" s="2" customFormat="1" spans="1:1">
      <c r="A3" s="2" t="s">
        <v>2885</v>
      </c>
    </row>
    <row r="4" spans="12:18">
      <c r="L4" s="4"/>
      <c r="R4" s="4"/>
    </row>
    <row r="5" spans="1:21">
      <c r="A5" s="1" t="s">
        <v>382</v>
      </c>
      <c r="B5" s="1" t="s">
        <v>2759</v>
      </c>
      <c r="C5" s="1" t="s">
        <v>471</v>
      </c>
      <c r="D5" s="1" t="s">
        <v>1391</v>
      </c>
      <c r="E5" s="1" t="s">
        <v>2760</v>
      </c>
      <c r="F5" s="5" t="s">
        <v>864</v>
      </c>
      <c r="G5" s="1" t="s">
        <v>1392</v>
      </c>
      <c r="H5" s="1" t="s">
        <v>1193</v>
      </c>
      <c r="I5" s="5" t="s">
        <v>1664</v>
      </c>
      <c r="J5" s="1" t="s">
        <v>2932</v>
      </c>
      <c r="K5" s="1" t="s">
        <v>2929</v>
      </c>
      <c r="L5" s="5" t="s">
        <v>1649</v>
      </c>
      <c r="M5" s="1" t="s">
        <v>1393</v>
      </c>
      <c r="N5" s="1" t="s">
        <v>2939</v>
      </c>
      <c r="O5" s="5" t="s">
        <v>2940</v>
      </c>
      <c r="P5" s="1" t="s">
        <v>2967</v>
      </c>
      <c r="Q5" s="1" t="s">
        <v>2970</v>
      </c>
      <c r="R5" s="5" t="s">
        <v>1659</v>
      </c>
      <c r="S5" s="1" t="s">
        <v>2943</v>
      </c>
      <c r="T5" s="1" t="s">
        <v>2944</v>
      </c>
      <c r="U5" s="5" t="s">
        <v>1662</v>
      </c>
    </row>
    <row r="6" spans="1:21">
      <c r="A6" s="7">
        <v>0</v>
      </c>
      <c r="B6" s="1">
        <f>A6</f>
        <v>0</v>
      </c>
      <c r="C6" s="1">
        <f>IF(控制台!C2031="",C5,控制台!C2031)</f>
        <v>0</v>
      </c>
      <c r="D6" s="1">
        <f ca="1">OFFSET(控制台!$D$3903,MATCH($C6,控制台!$B$3903:$B$3918,0)-1,0)</f>
        <v>0</v>
      </c>
      <c r="E6" s="1">
        <f ca="1">D6*$B6</f>
        <v>0</v>
      </c>
      <c r="F6" s="5">
        <f ca="1">E6</f>
        <v>0</v>
      </c>
      <c r="G6" s="1">
        <f ca="1">OFFSET(控制台!$E$3903,MATCH($C6,控制台!$B$3903:$B$3918,0)-1,0)</f>
        <v>0</v>
      </c>
      <c r="H6" s="1">
        <f ca="1">G6*$B6</f>
        <v>0</v>
      </c>
      <c r="I6" s="5">
        <f ca="1">H6</f>
        <v>0</v>
      </c>
      <c r="J6" s="1">
        <f ca="1">OFFSET(控制台!$G$3903,MATCH($C6,控制台!$B$3903:$B$3918,0)-1,0)</f>
        <v>0</v>
      </c>
      <c r="K6" s="1">
        <f ca="1">J6*$B6</f>
        <v>0</v>
      </c>
      <c r="L6" s="5">
        <f ca="1">K6</f>
        <v>0</v>
      </c>
      <c r="M6" s="1">
        <f ca="1">OFFSET(控制台!$H$3903,MATCH($C6,控制台!$B$3903:$B$3918,0)-1,0)</f>
        <v>0</v>
      </c>
      <c r="N6" s="1">
        <f ca="1">M6*$B6</f>
        <v>0</v>
      </c>
      <c r="O6" s="5">
        <f ca="1">N6</f>
        <v>0</v>
      </c>
      <c r="P6" s="1">
        <f ca="1">OFFSET(控制台!$M$3903,MATCH($C6,控制台!$B$3903:$B$3918,0)-1,0)</f>
        <v>0</v>
      </c>
      <c r="Q6" s="1">
        <f ca="1">P6*$B6</f>
        <v>0</v>
      </c>
      <c r="R6" s="5">
        <f ca="1">Q6</f>
        <v>0</v>
      </c>
      <c r="S6" s="1">
        <f ca="1">OFFSET(控制台!$N$3903,MATCH($C6,控制台!$B$3903:$B$3918,0)-1,0)</f>
        <v>0</v>
      </c>
      <c r="T6" s="1">
        <f ca="1">S6*$B6</f>
        <v>0</v>
      </c>
      <c r="U6" s="5">
        <f ca="1">T6</f>
        <v>0</v>
      </c>
    </row>
    <row r="7" spans="1:21">
      <c r="A7" s="7">
        <v>0.1</v>
      </c>
      <c r="B7" s="1">
        <f>A7-A6</f>
        <v>0.1</v>
      </c>
      <c r="C7" s="1">
        <f>IF(控制台!C2032="",C6,控制台!C2032)</f>
        <v>0</v>
      </c>
      <c r="D7" s="1">
        <f ca="1">OFFSET(控制台!$D$3903,MATCH($C7,控制台!$B$3903:$B$3918,0)-1,0)</f>
        <v>0</v>
      </c>
      <c r="E7" s="1">
        <f ca="1" t="shared" ref="E7:E70" si="0">D7*$B7</f>
        <v>0</v>
      </c>
      <c r="F7" s="5">
        <f ca="1">F6+E7</f>
        <v>0</v>
      </c>
      <c r="G7" s="1">
        <f ca="1">OFFSET(控制台!$E$3903,MATCH($C7,控制台!$B$3903:$B$3918,0)-1,0)</f>
        <v>0</v>
      </c>
      <c r="H7" s="1">
        <f ca="1" t="shared" ref="H7:H70" si="1">G7*$B7</f>
        <v>0</v>
      </c>
      <c r="I7" s="5">
        <f ca="1">I6+H7</f>
        <v>0</v>
      </c>
      <c r="J7" s="1">
        <f ca="1">OFFSET(控制台!$G$3903,MATCH($C7,控制台!$B$3903:$B$3918,0)-1,0)</f>
        <v>0</v>
      </c>
      <c r="K7" s="1">
        <f ca="1" t="shared" ref="K7:K70" si="2">J7*$B7</f>
        <v>0</v>
      </c>
      <c r="L7" s="5">
        <f ca="1">L6+K7</f>
        <v>0</v>
      </c>
      <c r="M7" s="1">
        <f ca="1">OFFSET(控制台!$H$3903,MATCH($C7,控制台!$B$3903:$B$3918,0)-1,0)</f>
        <v>0</v>
      </c>
      <c r="N7" s="1">
        <f ca="1" t="shared" ref="N7:N70" si="3">M7*$B7</f>
        <v>0</v>
      </c>
      <c r="O7" s="5">
        <f ca="1">O6+N7</f>
        <v>0</v>
      </c>
      <c r="P7" s="1">
        <f ca="1">OFFSET(控制台!$M$3903,MATCH($C7,控制台!$B$3903:$B$3918,0)-1,0)</f>
        <v>0</v>
      </c>
      <c r="Q7" s="1">
        <f ca="1" t="shared" ref="Q7:Q70" si="4">P7*$B7</f>
        <v>0</v>
      </c>
      <c r="R7" s="5">
        <f ca="1">R6+Q7</f>
        <v>0</v>
      </c>
      <c r="S7" s="1">
        <f ca="1">OFFSET(控制台!$N$3903,MATCH($C7,控制台!$B$3903:$B$3918,0)-1,0)</f>
        <v>0</v>
      </c>
      <c r="T7" s="1">
        <f ca="1" t="shared" ref="T7:T70" si="5">S7*$B7</f>
        <v>0</v>
      </c>
      <c r="U7" s="5">
        <f ca="1">U6+T7</f>
        <v>0</v>
      </c>
    </row>
    <row r="8" spans="1:21">
      <c r="A8" s="7">
        <v>0.2</v>
      </c>
      <c r="B8" s="1">
        <f t="shared" ref="B8:B71" si="6">A8-A7</f>
        <v>0.1</v>
      </c>
      <c r="C8" s="1">
        <f>IF(控制台!C2033="",C7,控制台!C2033)</f>
        <v>0</v>
      </c>
      <c r="D8" s="1">
        <f ca="1">OFFSET(控制台!$D$3903,MATCH($C8,控制台!$B$3903:$B$3918,0)-1,0)</f>
        <v>0</v>
      </c>
      <c r="E8" s="1">
        <f ca="1" t="shared" si="0"/>
        <v>0</v>
      </c>
      <c r="F8" s="5">
        <f ca="1" t="shared" ref="F8:F71" si="7">F7+E8</f>
        <v>0</v>
      </c>
      <c r="G8" s="1">
        <f ca="1">OFFSET(控制台!$E$3903,MATCH($C8,控制台!$B$3903:$B$3918,0)-1,0)</f>
        <v>0</v>
      </c>
      <c r="H8" s="1">
        <f ca="1" t="shared" si="1"/>
        <v>0</v>
      </c>
      <c r="I8" s="5">
        <f ca="1" t="shared" ref="I8:I71" si="8">I7+H8</f>
        <v>0</v>
      </c>
      <c r="J8" s="1">
        <f ca="1">OFFSET(控制台!$G$3903,MATCH($C8,控制台!$B$3903:$B$3918,0)-1,0)</f>
        <v>0</v>
      </c>
      <c r="K8" s="1">
        <f ca="1" t="shared" si="2"/>
        <v>0</v>
      </c>
      <c r="L8" s="5">
        <f ca="1" t="shared" ref="L8:L71" si="9">L7+K8</f>
        <v>0</v>
      </c>
      <c r="M8" s="1">
        <f ca="1">OFFSET(控制台!$H$3903,MATCH($C8,控制台!$B$3903:$B$3918,0)-1,0)</f>
        <v>0</v>
      </c>
      <c r="N8" s="1">
        <f ca="1" t="shared" si="3"/>
        <v>0</v>
      </c>
      <c r="O8" s="5">
        <f ca="1" t="shared" ref="O8:O71" si="10">O7+N8</f>
        <v>0</v>
      </c>
      <c r="P8" s="1">
        <f ca="1">OFFSET(控制台!$M$3903,MATCH($C8,控制台!$B$3903:$B$3918,0)-1,0)</f>
        <v>0</v>
      </c>
      <c r="Q8" s="1">
        <f ca="1" t="shared" si="4"/>
        <v>0</v>
      </c>
      <c r="R8" s="5">
        <f ca="1" t="shared" ref="R8:R71" si="11">R7+Q8</f>
        <v>0</v>
      </c>
      <c r="S8" s="1">
        <f ca="1">OFFSET(控制台!$N$3903,MATCH($C8,控制台!$B$3903:$B$3918,0)-1,0)</f>
        <v>0</v>
      </c>
      <c r="T8" s="1">
        <f ca="1" t="shared" si="5"/>
        <v>0</v>
      </c>
      <c r="U8" s="5">
        <f ca="1" t="shared" ref="U8:U71" si="12">U7+T8</f>
        <v>0</v>
      </c>
    </row>
    <row r="9" spans="1:21">
      <c r="A9" s="7">
        <v>0.3</v>
      </c>
      <c r="B9" s="1">
        <f t="shared" si="6"/>
        <v>0.1</v>
      </c>
      <c r="C9" s="1">
        <f>IF(控制台!C2034="",C8,控制台!C2034)</f>
        <v>0</v>
      </c>
      <c r="D9" s="1">
        <f ca="1">OFFSET(控制台!$D$3903,MATCH($C9,控制台!$B$3903:$B$3918,0)-1,0)</f>
        <v>0</v>
      </c>
      <c r="E9" s="1">
        <f ca="1" t="shared" si="0"/>
        <v>0</v>
      </c>
      <c r="F9" s="5">
        <f ca="1" t="shared" si="7"/>
        <v>0</v>
      </c>
      <c r="G9" s="1">
        <f ca="1">OFFSET(控制台!$E$3903,MATCH($C9,控制台!$B$3903:$B$3918,0)-1,0)</f>
        <v>0</v>
      </c>
      <c r="H9" s="1">
        <f ca="1" t="shared" si="1"/>
        <v>0</v>
      </c>
      <c r="I9" s="5">
        <f ca="1" t="shared" si="8"/>
        <v>0</v>
      </c>
      <c r="J9" s="1">
        <f ca="1">OFFSET(控制台!$G$3903,MATCH($C9,控制台!$B$3903:$B$3918,0)-1,0)</f>
        <v>0</v>
      </c>
      <c r="K9" s="1">
        <f ca="1" t="shared" si="2"/>
        <v>0</v>
      </c>
      <c r="L9" s="5">
        <f ca="1" t="shared" si="9"/>
        <v>0</v>
      </c>
      <c r="M9" s="1">
        <f ca="1">OFFSET(控制台!$H$3903,MATCH($C9,控制台!$B$3903:$B$3918,0)-1,0)</f>
        <v>0</v>
      </c>
      <c r="N9" s="1">
        <f ca="1" t="shared" si="3"/>
        <v>0</v>
      </c>
      <c r="O9" s="5">
        <f ca="1" t="shared" si="10"/>
        <v>0</v>
      </c>
      <c r="P9" s="1">
        <f ca="1">OFFSET(控制台!$M$3903,MATCH($C9,控制台!$B$3903:$B$3918,0)-1,0)</f>
        <v>0</v>
      </c>
      <c r="Q9" s="1">
        <f ca="1" t="shared" si="4"/>
        <v>0</v>
      </c>
      <c r="R9" s="5">
        <f ca="1" t="shared" si="11"/>
        <v>0</v>
      </c>
      <c r="S9" s="1">
        <f ca="1">OFFSET(控制台!$N$3903,MATCH($C9,控制台!$B$3903:$B$3918,0)-1,0)</f>
        <v>0</v>
      </c>
      <c r="T9" s="1">
        <f ca="1" t="shared" si="5"/>
        <v>0</v>
      </c>
      <c r="U9" s="5">
        <f ca="1" t="shared" si="12"/>
        <v>0</v>
      </c>
    </row>
    <row r="10" spans="1:21">
      <c r="A10" s="7">
        <v>0.4</v>
      </c>
      <c r="B10" s="1">
        <f t="shared" si="6"/>
        <v>0.1</v>
      </c>
      <c r="C10" s="1">
        <f>IF(控制台!C2035="",C9,控制台!C2035)</f>
        <v>0</v>
      </c>
      <c r="D10" s="1">
        <f ca="1">OFFSET(控制台!$D$3903,MATCH($C10,控制台!$B$3903:$B$3918,0)-1,0)</f>
        <v>0</v>
      </c>
      <c r="E10" s="1">
        <f ca="1" t="shared" si="0"/>
        <v>0</v>
      </c>
      <c r="F10" s="5">
        <f ca="1" t="shared" si="7"/>
        <v>0</v>
      </c>
      <c r="G10" s="1">
        <f ca="1">OFFSET(控制台!$E$3903,MATCH($C10,控制台!$B$3903:$B$3918,0)-1,0)</f>
        <v>0</v>
      </c>
      <c r="H10" s="1">
        <f ca="1" t="shared" si="1"/>
        <v>0</v>
      </c>
      <c r="I10" s="5">
        <f ca="1" t="shared" si="8"/>
        <v>0</v>
      </c>
      <c r="J10" s="1">
        <f ca="1">OFFSET(控制台!$G$3903,MATCH($C10,控制台!$B$3903:$B$3918,0)-1,0)</f>
        <v>0</v>
      </c>
      <c r="K10" s="1">
        <f ca="1" t="shared" si="2"/>
        <v>0</v>
      </c>
      <c r="L10" s="5">
        <f ca="1" t="shared" si="9"/>
        <v>0</v>
      </c>
      <c r="M10" s="1">
        <f ca="1">OFFSET(控制台!$H$3903,MATCH($C10,控制台!$B$3903:$B$3918,0)-1,0)</f>
        <v>0</v>
      </c>
      <c r="N10" s="1">
        <f ca="1" t="shared" si="3"/>
        <v>0</v>
      </c>
      <c r="O10" s="5">
        <f ca="1" t="shared" si="10"/>
        <v>0</v>
      </c>
      <c r="P10" s="1">
        <f ca="1">OFFSET(控制台!$M$3903,MATCH($C10,控制台!$B$3903:$B$3918,0)-1,0)</f>
        <v>0</v>
      </c>
      <c r="Q10" s="1">
        <f ca="1" t="shared" si="4"/>
        <v>0</v>
      </c>
      <c r="R10" s="5">
        <f ca="1" t="shared" si="11"/>
        <v>0</v>
      </c>
      <c r="S10" s="1">
        <f ca="1">OFFSET(控制台!$N$3903,MATCH($C10,控制台!$B$3903:$B$3918,0)-1,0)</f>
        <v>0</v>
      </c>
      <c r="T10" s="1">
        <f ca="1" t="shared" si="5"/>
        <v>0</v>
      </c>
      <c r="U10" s="5">
        <f ca="1" t="shared" si="12"/>
        <v>0</v>
      </c>
    </row>
    <row r="11" spans="1:21">
      <c r="A11" s="7">
        <v>0.5</v>
      </c>
      <c r="B11" s="1">
        <f t="shared" si="6"/>
        <v>0.1</v>
      </c>
      <c r="C11" s="1">
        <f>IF(控制台!C2036="",C10,控制台!C2036)</f>
        <v>0</v>
      </c>
      <c r="D11" s="1">
        <f ca="1">OFFSET(控制台!$D$3903,MATCH($C11,控制台!$B$3903:$B$3918,0)-1,0)</f>
        <v>0</v>
      </c>
      <c r="E11" s="1">
        <f ca="1" t="shared" si="0"/>
        <v>0</v>
      </c>
      <c r="F11" s="5">
        <f ca="1" t="shared" si="7"/>
        <v>0</v>
      </c>
      <c r="G11" s="1">
        <f ca="1">OFFSET(控制台!$E$3903,MATCH($C11,控制台!$B$3903:$B$3918,0)-1,0)</f>
        <v>0</v>
      </c>
      <c r="H11" s="1">
        <f ca="1" t="shared" si="1"/>
        <v>0</v>
      </c>
      <c r="I11" s="5">
        <f ca="1" t="shared" si="8"/>
        <v>0</v>
      </c>
      <c r="J11" s="1">
        <f ca="1">OFFSET(控制台!$G$3903,MATCH($C11,控制台!$B$3903:$B$3918,0)-1,0)</f>
        <v>0</v>
      </c>
      <c r="K11" s="1">
        <f ca="1" t="shared" si="2"/>
        <v>0</v>
      </c>
      <c r="L11" s="5">
        <f ca="1" t="shared" si="9"/>
        <v>0</v>
      </c>
      <c r="M11" s="1">
        <f ca="1">OFFSET(控制台!$H$3903,MATCH($C11,控制台!$B$3903:$B$3918,0)-1,0)</f>
        <v>0</v>
      </c>
      <c r="N11" s="1">
        <f ca="1" t="shared" si="3"/>
        <v>0</v>
      </c>
      <c r="O11" s="5">
        <f ca="1" t="shared" si="10"/>
        <v>0</v>
      </c>
      <c r="P11" s="1">
        <f ca="1">OFFSET(控制台!$M$3903,MATCH($C11,控制台!$B$3903:$B$3918,0)-1,0)</f>
        <v>0</v>
      </c>
      <c r="Q11" s="1">
        <f ca="1" t="shared" si="4"/>
        <v>0</v>
      </c>
      <c r="R11" s="5">
        <f ca="1" t="shared" si="11"/>
        <v>0</v>
      </c>
      <c r="S11" s="1">
        <f ca="1">OFFSET(控制台!$N$3903,MATCH($C11,控制台!$B$3903:$B$3918,0)-1,0)</f>
        <v>0</v>
      </c>
      <c r="T11" s="1">
        <f ca="1" t="shared" si="5"/>
        <v>0</v>
      </c>
      <c r="U11" s="5">
        <f ca="1" t="shared" si="12"/>
        <v>0</v>
      </c>
    </row>
    <row r="12" spans="1:21">
      <c r="A12" s="7">
        <v>0.6</v>
      </c>
      <c r="B12" s="1">
        <f t="shared" si="6"/>
        <v>0.1</v>
      </c>
      <c r="C12" s="1">
        <f>IF(控制台!C2037="",C11,控制台!C2037)</f>
        <v>0</v>
      </c>
      <c r="D12" s="1">
        <f ca="1">OFFSET(控制台!$D$3903,MATCH($C12,控制台!$B$3903:$B$3918,0)-1,0)</f>
        <v>0</v>
      </c>
      <c r="E12" s="1">
        <f ca="1" t="shared" si="0"/>
        <v>0</v>
      </c>
      <c r="F12" s="5">
        <f ca="1" t="shared" si="7"/>
        <v>0</v>
      </c>
      <c r="G12" s="1">
        <f ca="1">OFFSET(控制台!$E$3903,MATCH($C12,控制台!$B$3903:$B$3918,0)-1,0)</f>
        <v>0</v>
      </c>
      <c r="H12" s="1">
        <f ca="1" t="shared" si="1"/>
        <v>0</v>
      </c>
      <c r="I12" s="5">
        <f ca="1" t="shared" si="8"/>
        <v>0</v>
      </c>
      <c r="J12" s="1">
        <f ca="1">OFFSET(控制台!$G$3903,MATCH($C12,控制台!$B$3903:$B$3918,0)-1,0)</f>
        <v>0</v>
      </c>
      <c r="K12" s="1">
        <f ca="1" t="shared" si="2"/>
        <v>0</v>
      </c>
      <c r="L12" s="5">
        <f ca="1" t="shared" si="9"/>
        <v>0</v>
      </c>
      <c r="M12" s="1">
        <f ca="1">OFFSET(控制台!$H$3903,MATCH($C12,控制台!$B$3903:$B$3918,0)-1,0)</f>
        <v>0</v>
      </c>
      <c r="N12" s="1">
        <f ca="1" t="shared" si="3"/>
        <v>0</v>
      </c>
      <c r="O12" s="5">
        <f ca="1" t="shared" si="10"/>
        <v>0</v>
      </c>
      <c r="P12" s="1">
        <f ca="1">OFFSET(控制台!$M$3903,MATCH($C12,控制台!$B$3903:$B$3918,0)-1,0)</f>
        <v>0</v>
      </c>
      <c r="Q12" s="1">
        <f ca="1" t="shared" si="4"/>
        <v>0</v>
      </c>
      <c r="R12" s="5">
        <f ca="1" t="shared" si="11"/>
        <v>0</v>
      </c>
      <c r="S12" s="1">
        <f ca="1">OFFSET(控制台!$N$3903,MATCH($C12,控制台!$B$3903:$B$3918,0)-1,0)</f>
        <v>0</v>
      </c>
      <c r="T12" s="1">
        <f ca="1" t="shared" si="5"/>
        <v>0</v>
      </c>
      <c r="U12" s="5">
        <f ca="1" t="shared" si="12"/>
        <v>0</v>
      </c>
    </row>
    <row r="13" spans="1:21">
      <c r="A13" s="7">
        <v>0.7</v>
      </c>
      <c r="B13" s="1">
        <f t="shared" si="6"/>
        <v>0.1</v>
      </c>
      <c r="C13" s="1">
        <f>IF(控制台!C2038="",C12,控制台!C2038)</f>
        <v>0</v>
      </c>
      <c r="D13" s="1">
        <f ca="1">OFFSET(控制台!$D$3903,MATCH($C13,控制台!$B$3903:$B$3918,0)-1,0)</f>
        <v>0</v>
      </c>
      <c r="E13" s="1">
        <f ca="1" t="shared" si="0"/>
        <v>0</v>
      </c>
      <c r="F13" s="5">
        <f ca="1" t="shared" si="7"/>
        <v>0</v>
      </c>
      <c r="G13" s="1">
        <f ca="1">OFFSET(控制台!$E$3903,MATCH($C13,控制台!$B$3903:$B$3918,0)-1,0)</f>
        <v>0</v>
      </c>
      <c r="H13" s="1">
        <f ca="1" t="shared" si="1"/>
        <v>0</v>
      </c>
      <c r="I13" s="5">
        <f ca="1" t="shared" si="8"/>
        <v>0</v>
      </c>
      <c r="J13" s="1">
        <f ca="1">OFFSET(控制台!$G$3903,MATCH($C13,控制台!$B$3903:$B$3918,0)-1,0)</f>
        <v>0</v>
      </c>
      <c r="K13" s="1">
        <f ca="1" t="shared" si="2"/>
        <v>0</v>
      </c>
      <c r="L13" s="5">
        <f ca="1" t="shared" si="9"/>
        <v>0</v>
      </c>
      <c r="M13" s="1">
        <f ca="1">OFFSET(控制台!$H$3903,MATCH($C13,控制台!$B$3903:$B$3918,0)-1,0)</f>
        <v>0</v>
      </c>
      <c r="N13" s="1">
        <f ca="1" t="shared" si="3"/>
        <v>0</v>
      </c>
      <c r="O13" s="5">
        <f ca="1" t="shared" si="10"/>
        <v>0</v>
      </c>
      <c r="P13" s="1">
        <f ca="1">OFFSET(控制台!$M$3903,MATCH($C13,控制台!$B$3903:$B$3918,0)-1,0)</f>
        <v>0</v>
      </c>
      <c r="Q13" s="1">
        <f ca="1" t="shared" si="4"/>
        <v>0</v>
      </c>
      <c r="R13" s="5">
        <f ca="1" t="shared" si="11"/>
        <v>0</v>
      </c>
      <c r="S13" s="1">
        <f ca="1">OFFSET(控制台!$N$3903,MATCH($C13,控制台!$B$3903:$B$3918,0)-1,0)</f>
        <v>0</v>
      </c>
      <c r="T13" s="1">
        <f ca="1" t="shared" si="5"/>
        <v>0</v>
      </c>
      <c r="U13" s="5">
        <f ca="1" t="shared" si="12"/>
        <v>0</v>
      </c>
    </row>
    <row r="14" spans="1:21">
      <c r="A14" s="7">
        <v>0.8</v>
      </c>
      <c r="B14" s="1">
        <f t="shared" si="6"/>
        <v>0.1</v>
      </c>
      <c r="C14" s="1">
        <f>IF(控制台!C2039="",C13,控制台!C2039)</f>
        <v>0</v>
      </c>
      <c r="D14" s="1">
        <f ca="1">OFFSET(控制台!$D$3903,MATCH($C14,控制台!$B$3903:$B$3918,0)-1,0)</f>
        <v>0</v>
      </c>
      <c r="E14" s="1">
        <f ca="1" t="shared" si="0"/>
        <v>0</v>
      </c>
      <c r="F14" s="5">
        <f ca="1" t="shared" si="7"/>
        <v>0</v>
      </c>
      <c r="G14" s="1">
        <f ca="1">OFFSET(控制台!$E$3903,MATCH($C14,控制台!$B$3903:$B$3918,0)-1,0)</f>
        <v>0</v>
      </c>
      <c r="H14" s="1">
        <f ca="1" t="shared" si="1"/>
        <v>0</v>
      </c>
      <c r="I14" s="5">
        <f ca="1" t="shared" si="8"/>
        <v>0</v>
      </c>
      <c r="J14" s="1">
        <f ca="1">OFFSET(控制台!$G$3903,MATCH($C14,控制台!$B$3903:$B$3918,0)-1,0)</f>
        <v>0</v>
      </c>
      <c r="K14" s="1">
        <f ca="1" t="shared" si="2"/>
        <v>0</v>
      </c>
      <c r="L14" s="5">
        <f ca="1" t="shared" si="9"/>
        <v>0</v>
      </c>
      <c r="M14" s="1">
        <f ca="1">OFFSET(控制台!$H$3903,MATCH($C14,控制台!$B$3903:$B$3918,0)-1,0)</f>
        <v>0</v>
      </c>
      <c r="N14" s="1">
        <f ca="1" t="shared" si="3"/>
        <v>0</v>
      </c>
      <c r="O14" s="5">
        <f ca="1" t="shared" si="10"/>
        <v>0</v>
      </c>
      <c r="P14" s="1">
        <f ca="1">OFFSET(控制台!$M$3903,MATCH($C14,控制台!$B$3903:$B$3918,0)-1,0)</f>
        <v>0</v>
      </c>
      <c r="Q14" s="1">
        <f ca="1" t="shared" si="4"/>
        <v>0</v>
      </c>
      <c r="R14" s="5">
        <f ca="1" t="shared" si="11"/>
        <v>0</v>
      </c>
      <c r="S14" s="1">
        <f ca="1">OFFSET(控制台!$N$3903,MATCH($C14,控制台!$B$3903:$B$3918,0)-1,0)</f>
        <v>0</v>
      </c>
      <c r="T14" s="1">
        <f ca="1" t="shared" si="5"/>
        <v>0</v>
      </c>
      <c r="U14" s="5">
        <f ca="1" t="shared" si="12"/>
        <v>0</v>
      </c>
    </row>
    <row r="15" spans="1:21">
      <c r="A15" s="7">
        <v>0.9</v>
      </c>
      <c r="B15" s="1">
        <f t="shared" si="6"/>
        <v>0.1</v>
      </c>
      <c r="C15" s="1">
        <f>IF(控制台!C2040="",C14,控制台!C2040)</f>
        <v>0</v>
      </c>
      <c r="D15" s="1">
        <f ca="1">OFFSET(控制台!$D$3903,MATCH($C15,控制台!$B$3903:$B$3918,0)-1,0)</f>
        <v>0</v>
      </c>
      <c r="E15" s="1">
        <f ca="1" t="shared" si="0"/>
        <v>0</v>
      </c>
      <c r="F15" s="5">
        <f ca="1" t="shared" si="7"/>
        <v>0</v>
      </c>
      <c r="G15" s="1">
        <f ca="1">OFFSET(控制台!$E$3903,MATCH($C15,控制台!$B$3903:$B$3918,0)-1,0)</f>
        <v>0</v>
      </c>
      <c r="H15" s="1">
        <f ca="1" t="shared" si="1"/>
        <v>0</v>
      </c>
      <c r="I15" s="5">
        <f ca="1" t="shared" si="8"/>
        <v>0</v>
      </c>
      <c r="J15" s="1">
        <f ca="1">OFFSET(控制台!$G$3903,MATCH($C15,控制台!$B$3903:$B$3918,0)-1,0)</f>
        <v>0</v>
      </c>
      <c r="K15" s="1">
        <f ca="1" t="shared" si="2"/>
        <v>0</v>
      </c>
      <c r="L15" s="5">
        <f ca="1" t="shared" si="9"/>
        <v>0</v>
      </c>
      <c r="M15" s="1">
        <f ca="1">OFFSET(控制台!$H$3903,MATCH($C15,控制台!$B$3903:$B$3918,0)-1,0)</f>
        <v>0</v>
      </c>
      <c r="N15" s="1">
        <f ca="1" t="shared" si="3"/>
        <v>0</v>
      </c>
      <c r="O15" s="5">
        <f ca="1" t="shared" si="10"/>
        <v>0</v>
      </c>
      <c r="P15" s="1">
        <f ca="1">OFFSET(控制台!$M$3903,MATCH($C15,控制台!$B$3903:$B$3918,0)-1,0)</f>
        <v>0</v>
      </c>
      <c r="Q15" s="1">
        <f ca="1" t="shared" si="4"/>
        <v>0</v>
      </c>
      <c r="R15" s="5">
        <f ca="1" t="shared" si="11"/>
        <v>0</v>
      </c>
      <c r="S15" s="1">
        <f ca="1">OFFSET(控制台!$N$3903,MATCH($C15,控制台!$B$3903:$B$3918,0)-1,0)</f>
        <v>0</v>
      </c>
      <c r="T15" s="1">
        <f ca="1" t="shared" si="5"/>
        <v>0</v>
      </c>
      <c r="U15" s="5">
        <f ca="1" t="shared" si="12"/>
        <v>0</v>
      </c>
    </row>
    <row r="16" spans="1:21">
      <c r="A16" s="7">
        <v>1</v>
      </c>
      <c r="B16" s="1">
        <f t="shared" si="6"/>
        <v>0.1</v>
      </c>
      <c r="C16" s="1">
        <f>IF(控制台!C2041="",C15,控制台!C2041)</f>
        <v>0</v>
      </c>
      <c r="D16" s="1">
        <f ca="1">OFFSET(控制台!$D$3903,MATCH($C16,控制台!$B$3903:$B$3918,0)-1,0)</f>
        <v>0</v>
      </c>
      <c r="E16" s="1">
        <f ca="1" t="shared" si="0"/>
        <v>0</v>
      </c>
      <c r="F16" s="5">
        <f ca="1" t="shared" si="7"/>
        <v>0</v>
      </c>
      <c r="G16" s="1">
        <f ca="1">OFFSET(控制台!$E$3903,MATCH($C16,控制台!$B$3903:$B$3918,0)-1,0)</f>
        <v>0</v>
      </c>
      <c r="H16" s="1">
        <f ca="1" t="shared" si="1"/>
        <v>0</v>
      </c>
      <c r="I16" s="5">
        <f ca="1" t="shared" si="8"/>
        <v>0</v>
      </c>
      <c r="J16" s="1">
        <f ca="1">OFFSET(控制台!$G$3903,MATCH($C16,控制台!$B$3903:$B$3918,0)-1,0)</f>
        <v>0</v>
      </c>
      <c r="K16" s="1">
        <f ca="1" t="shared" si="2"/>
        <v>0</v>
      </c>
      <c r="L16" s="5">
        <f ca="1" t="shared" si="9"/>
        <v>0</v>
      </c>
      <c r="M16" s="1">
        <f ca="1">OFFSET(控制台!$H$3903,MATCH($C16,控制台!$B$3903:$B$3918,0)-1,0)</f>
        <v>0</v>
      </c>
      <c r="N16" s="1">
        <f ca="1" t="shared" si="3"/>
        <v>0</v>
      </c>
      <c r="O16" s="5">
        <f ca="1" t="shared" si="10"/>
        <v>0</v>
      </c>
      <c r="P16" s="1">
        <f ca="1">OFFSET(控制台!$M$3903,MATCH($C16,控制台!$B$3903:$B$3918,0)-1,0)</f>
        <v>0</v>
      </c>
      <c r="Q16" s="1">
        <f ca="1" t="shared" si="4"/>
        <v>0</v>
      </c>
      <c r="R16" s="5">
        <f ca="1" t="shared" si="11"/>
        <v>0</v>
      </c>
      <c r="S16" s="1">
        <f ca="1">OFFSET(控制台!$N$3903,MATCH($C16,控制台!$B$3903:$B$3918,0)-1,0)</f>
        <v>0</v>
      </c>
      <c r="T16" s="1">
        <f ca="1" t="shared" si="5"/>
        <v>0</v>
      </c>
      <c r="U16" s="5">
        <f ca="1" t="shared" si="12"/>
        <v>0</v>
      </c>
    </row>
    <row r="17" spans="1:21">
      <c r="A17" s="9">
        <v>1.5</v>
      </c>
      <c r="B17" s="1">
        <f t="shared" si="6"/>
        <v>0.5</v>
      </c>
      <c r="C17" s="1">
        <f>IF(控制台!C2042="",C16,控制台!C2042)</f>
        <v>0</v>
      </c>
      <c r="D17" s="1">
        <f ca="1">OFFSET(控制台!$D$3903,MATCH($C17,控制台!$B$3903:$B$3918,0)-1,0)</f>
        <v>0</v>
      </c>
      <c r="E17" s="1">
        <f ca="1" t="shared" si="0"/>
        <v>0</v>
      </c>
      <c r="F17" s="5">
        <f ca="1" t="shared" si="7"/>
        <v>0</v>
      </c>
      <c r="G17" s="1">
        <f ca="1">OFFSET(控制台!$E$3903,MATCH($C17,控制台!$B$3903:$B$3918,0)-1,0)</f>
        <v>0</v>
      </c>
      <c r="H17" s="1">
        <f ca="1" t="shared" si="1"/>
        <v>0</v>
      </c>
      <c r="I17" s="5">
        <f ca="1" t="shared" si="8"/>
        <v>0</v>
      </c>
      <c r="J17" s="1">
        <f ca="1">OFFSET(控制台!$G$3903,MATCH($C17,控制台!$B$3903:$B$3918,0)-1,0)</f>
        <v>0</v>
      </c>
      <c r="K17" s="1">
        <f ca="1" t="shared" si="2"/>
        <v>0</v>
      </c>
      <c r="L17" s="5">
        <f ca="1" t="shared" si="9"/>
        <v>0</v>
      </c>
      <c r="M17" s="1">
        <f ca="1">OFFSET(控制台!$H$3903,MATCH($C17,控制台!$B$3903:$B$3918,0)-1,0)</f>
        <v>0</v>
      </c>
      <c r="N17" s="1">
        <f ca="1" t="shared" si="3"/>
        <v>0</v>
      </c>
      <c r="O17" s="5">
        <f ca="1" t="shared" si="10"/>
        <v>0</v>
      </c>
      <c r="P17" s="1">
        <f ca="1">OFFSET(控制台!$M$3903,MATCH($C17,控制台!$B$3903:$B$3918,0)-1,0)</f>
        <v>0</v>
      </c>
      <c r="Q17" s="1">
        <f ca="1" t="shared" si="4"/>
        <v>0</v>
      </c>
      <c r="R17" s="5">
        <f ca="1" t="shared" si="11"/>
        <v>0</v>
      </c>
      <c r="S17" s="1">
        <f ca="1">OFFSET(控制台!$N$3903,MATCH($C17,控制台!$B$3903:$B$3918,0)-1,0)</f>
        <v>0</v>
      </c>
      <c r="T17" s="1">
        <f ca="1" t="shared" si="5"/>
        <v>0</v>
      </c>
      <c r="U17" s="5">
        <f ca="1" t="shared" si="12"/>
        <v>0</v>
      </c>
    </row>
    <row r="18" spans="1:21">
      <c r="A18" s="9">
        <v>2</v>
      </c>
      <c r="B18" s="1">
        <f t="shared" si="6"/>
        <v>0.5</v>
      </c>
      <c r="C18" s="1">
        <f>IF(控制台!C2043="",C17,控制台!C2043)</f>
        <v>1</v>
      </c>
      <c r="D18" s="1">
        <f ca="1">OFFSET(控制台!$D$3903,MATCH($C18,控制台!$B$3903:$B$3918,0)-1,0)</f>
        <v>0</v>
      </c>
      <c r="E18" s="1">
        <f ca="1" t="shared" si="0"/>
        <v>0</v>
      </c>
      <c r="F18" s="5">
        <f ca="1" t="shared" si="7"/>
        <v>0</v>
      </c>
      <c r="G18" s="1">
        <f ca="1">OFFSET(控制台!$E$3903,MATCH($C18,控制台!$B$3903:$B$3918,0)-1,0)</f>
        <v>0</v>
      </c>
      <c r="H18" s="1">
        <f ca="1" t="shared" si="1"/>
        <v>0</v>
      </c>
      <c r="I18" s="5">
        <f ca="1" t="shared" si="8"/>
        <v>0</v>
      </c>
      <c r="J18" s="1">
        <f ca="1">OFFSET(控制台!$G$3903,MATCH($C18,控制台!$B$3903:$B$3918,0)-1,0)</f>
        <v>0</v>
      </c>
      <c r="K18" s="1">
        <f ca="1" t="shared" si="2"/>
        <v>0</v>
      </c>
      <c r="L18" s="5">
        <f ca="1" t="shared" si="9"/>
        <v>0</v>
      </c>
      <c r="M18" s="1">
        <f ca="1">OFFSET(控制台!$H$3903,MATCH($C18,控制台!$B$3903:$B$3918,0)-1,0)</f>
        <v>0</v>
      </c>
      <c r="N18" s="1">
        <f ca="1" t="shared" si="3"/>
        <v>0</v>
      </c>
      <c r="O18" s="5">
        <f ca="1" t="shared" si="10"/>
        <v>0</v>
      </c>
      <c r="P18" s="1">
        <f ca="1">OFFSET(控制台!$M$3903,MATCH($C18,控制台!$B$3903:$B$3918,0)-1,0)</f>
        <v>0</v>
      </c>
      <c r="Q18" s="1">
        <f ca="1" t="shared" si="4"/>
        <v>0</v>
      </c>
      <c r="R18" s="5">
        <f ca="1" t="shared" si="11"/>
        <v>0</v>
      </c>
      <c r="S18" s="1">
        <f ca="1">OFFSET(控制台!$N$3903,MATCH($C18,控制台!$B$3903:$B$3918,0)-1,0)</f>
        <v>0</v>
      </c>
      <c r="T18" s="1">
        <f ca="1" t="shared" si="5"/>
        <v>0</v>
      </c>
      <c r="U18" s="5">
        <f ca="1" t="shared" si="12"/>
        <v>0</v>
      </c>
    </row>
    <row r="19" spans="1:21">
      <c r="A19" s="9">
        <v>2.5</v>
      </c>
      <c r="B19" s="1">
        <f t="shared" si="6"/>
        <v>0.5</v>
      </c>
      <c r="C19" s="1">
        <f>IF(控制台!C2044="",C18,控制台!C2044)</f>
        <v>1</v>
      </c>
      <c r="D19" s="1">
        <f ca="1">OFFSET(控制台!$D$3903,MATCH($C19,控制台!$B$3903:$B$3918,0)-1,0)</f>
        <v>0</v>
      </c>
      <c r="E19" s="1">
        <f ca="1" t="shared" si="0"/>
        <v>0</v>
      </c>
      <c r="F19" s="5">
        <f ca="1" t="shared" si="7"/>
        <v>0</v>
      </c>
      <c r="G19" s="1">
        <f ca="1">OFFSET(控制台!$E$3903,MATCH($C19,控制台!$B$3903:$B$3918,0)-1,0)</f>
        <v>0</v>
      </c>
      <c r="H19" s="1">
        <f ca="1" t="shared" si="1"/>
        <v>0</v>
      </c>
      <c r="I19" s="5">
        <f ca="1" t="shared" si="8"/>
        <v>0</v>
      </c>
      <c r="J19" s="1">
        <f ca="1">OFFSET(控制台!$G$3903,MATCH($C19,控制台!$B$3903:$B$3918,0)-1,0)</f>
        <v>0</v>
      </c>
      <c r="K19" s="1">
        <f ca="1" t="shared" si="2"/>
        <v>0</v>
      </c>
      <c r="L19" s="5">
        <f ca="1" t="shared" si="9"/>
        <v>0</v>
      </c>
      <c r="M19" s="1">
        <f ca="1">OFFSET(控制台!$H$3903,MATCH($C19,控制台!$B$3903:$B$3918,0)-1,0)</f>
        <v>0</v>
      </c>
      <c r="N19" s="1">
        <f ca="1" t="shared" si="3"/>
        <v>0</v>
      </c>
      <c r="O19" s="5">
        <f ca="1" t="shared" si="10"/>
        <v>0</v>
      </c>
      <c r="P19" s="1">
        <f ca="1">OFFSET(控制台!$M$3903,MATCH($C19,控制台!$B$3903:$B$3918,0)-1,0)</f>
        <v>0</v>
      </c>
      <c r="Q19" s="1">
        <f ca="1" t="shared" si="4"/>
        <v>0</v>
      </c>
      <c r="R19" s="5">
        <f ca="1" t="shared" si="11"/>
        <v>0</v>
      </c>
      <c r="S19" s="1">
        <f ca="1">OFFSET(控制台!$N$3903,MATCH($C19,控制台!$B$3903:$B$3918,0)-1,0)</f>
        <v>0</v>
      </c>
      <c r="T19" s="1">
        <f ca="1" t="shared" si="5"/>
        <v>0</v>
      </c>
      <c r="U19" s="5">
        <f ca="1" t="shared" si="12"/>
        <v>0</v>
      </c>
    </row>
    <row r="20" spans="1:21">
      <c r="A20" s="9">
        <v>3</v>
      </c>
      <c r="B20" s="1">
        <f t="shared" si="6"/>
        <v>0.5</v>
      </c>
      <c r="C20" s="1">
        <f>IF(控制台!C2045="",C19,控制台!C2045)</f>
        <v>1</v>
      </c>
      <c r="D20" s="1">
        <f ca="1">OFFSET(控制台!$D$3903,MATCH($C20,控制台!$B$3903:$B$3918,0)-1,0)</f>
        <v>0</v>
      </c>
      <c r="E20" s="1">
        <f ca="1" t="shared" si="0"/>
        <v>0</v>
      </c>
      <c r="F20" s="5">
        <f ca="1" t="shared" si="7"/>
        <v>0</v>
      </c>
      <c r="G20" s="1">
        <f ca="1">OFFSET(控制台!$E$3903,MATCH($C20,控制台!$B$3903:$B$3918,0)-1,0)</f>
        <v>0</v>
      </c>
      <c r="H20" s="1">
        <f ca="1" t="shared" si="1"/>
        <v>0</v>
      </c>
      <c r="I20" s="5">
        <f ca="1" t="shared" si="8"/>
        <v>0</v>
      </c>
      <c r="J20" s="1">
        <f ca="1">OFFSET(控制台!$G$3903,MATCH($C20,控制台!$B$3903:$B$3918,0)-1,0)</f>
        <v>0</v>
      </c>
      <c r="K20" s="1">
        <f ca="1" t="shared" si="2"/>
        <v>0</v>
      </c>
      <c r="L20" s="5">
        <f ca="1" t="shared" si="9"/>
        <v>0</v>
      </c>
      <c r="M20" s="1">
        <f ca="1">OFFSET(控制台!$H$3903,MATCH($C20,控制台!$B$3903:$B$3918,0)-1,0)</f>
        <v>0</v>
      </c>
      <c r="N20" s="1">
        <f ca="1" t="shared" si="3"/>
        <v>0</v>
      </c>
      <c r="O20" s="5">
        <f ca="1" t="shared" si="10"/>
        <v>0</v>
      </c>
      <c r="P20" s="1">
        <f ca="1">OFFSET(控制台!$M$3903,MATCH($C20,控制台!$B$3903:$B$3918,0)-1,0)</f>
        <v>0</v>
      </c>
      <c r="Q20" s="1">
        <f ca="1" t="shared" si="4"/>
        <v>0</v>
      </c>
      <c r="R20" s="5">
        <f ca="1" t="shared" si="11"/>
        <v>0</v>
      </c>
      <c r="S20" s="1">
        <f ca="1">OFFSET(控制台!$N$3903,MATCH($C20,控制台!$B$3903:$B$3918,0)-1,0)</f>
        <v>0</v>
      </c>
      <c r="T20" s="1">
        <f ca="1" t="shared" si="5"/>
        <v>0</v>
      </c>
      <c r="U20" s="5">
        <f ca="1" t="shared" si="12"/>
        <v>0</v>
      </c>
    </row>
    <row r="21" spans="1:21">
      <c r="A21" s="9">
        <v>3.5</v>
      </c>
      <c r="B21" s="1">
        <f t="shared" si="6"/>
        <v>0.5</v>
      </c>
      <c r="C21" s="1">
        <f>IF(控制台!C2046="",C20,控制台!C2046)</f>
        <v>1</v>
      </c>
      <c r="D21" s="1">
        <f ca="1">OFFSET(控制台!$D$3903,MATCH($C21,控制台!$B$3903:$B$3918,0)-1,0)</f>
        <v>0</v>
      </c>
      <c r="E21" s="1">
        <f ca="1" t="shared" si="0"/>
        <v>0</v>
      </c>
      <c r="F21" s="5">
        <f ca="1" t="shared" si="7"/>
        <v>0</v>
      </c>
      <c r="G21" s="1">
        <f ca="1">OFFSET(控制台!$E$3903,MATCH($C21,控制台!$B$3903:$B$3918,0)-1,0)</f>
        <v>0</v>
      </c>
      <c r="H21" s="1">
        <f ca="1" t="shared" si="1"/>
        <v>0</v>
      </c>
      <c r="I21" s="5">
        <f ca="1" t="shared" si="8"/>
        <v>0</v>
      </c>
      <c r="J21" s="1">
        <f ca="1">OFFSET(控制台!$G$3903,MATCH($C21,控制台!$B$3903:$B$3918,0)-1,0)</f>
        <v>0</v>
      </c>
      <c r="K21" s="1">
        <f ca="1" t="shared" si="2"/>
        <v>0</v>
      </c>
      <c r="L21" s="5">
        <f ca="1" t="shared" si="9"/>
        <v>0</v>
      </c>
      <c r="M21" s="1">
        <f ca="1">OFFSET(控制台!$H$3903,MATCH($C21,控制台!$B$3903:$B$3918,0)-1,0)</f>
        <v>0</v>
      </c>
      <c r="N21" s="1">
        <f ca="1" t="shared" si="3"/>
        <v>0</v>
      </c>
      <c r="O21" s="5">
        <f ca="1" t="shared" si="10"/>
        <v>0</v>
      </c>
      <c r="P21" s="1">
        <f ca="1">OFFSET(控制台!$M$3903,MATCH($C21,控制台!$B$3903:$B$3918,0)-1,0)</f>
        <v>0</v>
      </c>
      <c r="Q21" s="1">
        <f ca="1" t="shared" si="4"/>
        <v>0</v>
      </c>
      <c r="R21" s="5">
        <f ca="1" t="shared" si="11"/>
        <v>0</v>
      </c>
      <c r="S21" s="1">
        <f ca="1">OFFSET(控制台!$N$3903,MATCH($C21,控制台!$B$3903:$B$3918,0)-1,0)</f>
        <v>0</v>
      </c>
      <c r="T21" s="1">
        <f ca="1" t="shared" si="5"/>
        <v>0</v>
      </c>
      <c r="U21" s="5">
        <f ca="1" t="shared" si="12"/>
        <v>0</v>
      </c>
    </row>
    <row r="22" spans="1:21">
      <c r="A22" s="9">
        <v>4</v>
      </c>
      <c r="B22" s="1">
        <f t="shared" si="6"/>
        <v>0.5</v>
      </c>
      <c r="C22" s="1">
        <f>IF(控制台!C2047="",C21,控制台!C2047)</f>
        <v>2</v>
      </c>
      <c r="D22" s="1">
        <f ca="1">OFFSET(控制台!$D$3903,MATCH($C22,控制台!$B$3903:$B$3918,0)-1,0)</f>
        <v>0</v>
      </c>
      <c r="E22" s="1">
        <f ca="1" t="shared" si="0"/>
        <v>0</v>
      </c>
      <c r="F22" s="5">
        <f ca="1" t="shared" si="7"/>
        <v>0</v>
      </c>
      <c r="G22" s="1">
        <f ca="1">OFFSET(控制台!$E$3903,MATCH($C22,控制台!$B$3903:$B$3918,0)-1,0)</f>
        <v>0</v>
      </c>
      <c r="H22" s="1">
        <f ca="1" t="shared" si="1"/>
        <v>0</v>
      </c>
      <c r="I22" s="5">
        <f ca="1" t="shared" si="8"/>
        <v>0</v>
      </c>
      <c r="J22" s="1">
        <f ca="1">OFFSET(控制台!$G$3903,MATCH($C22,控制台!$B$3903:$B$3918,0)-1,0)</f>
        <v>0</v>
      </c>
      <c r="K22" s="1">
        <f ca="1" t="shared" si="2"/>
        <v>0</v>
      </c>
      <c r="L22" s="5">
        <f ca="1" t="shared" si="9"/>
        <v>0</v>
      </c>
      <c r="M22" s="1">
        <f ca="1">OFFSET(控制台!$H$3903,MATCH($C22,控制台!$B$3903:$B$3918,0)-1,0)</f>
        <v>0</v>
      </c>
      <c r="N22" s="1">
        <f ca="1" t="shared" si="3"/>
        <v>0</v>
      </c>
      <c r="O22" s="5">
        <f ca="1" t="shared" si="10"/>
        <v>0</v>
      </c>
      <c r="P22" s="1">
        <f ca="1">OFFSET(控制台!$M$3903,MATCH($C22,控制台!$B$3903:$B$3918,0)-1,0)</f>
        <v>0</v>
      </c>
      <c r="Q22" s="1">
        <f ca="1" t="shared" si="4"/>
        <v>0</v>
      </c>
      <c r="R22" s="5">
        <f ca="1" t="shared" si="11"/>
        <v>0</v>
      </c>
      <c r="S22" s="1">
        <f ca="1">OFFSET(控制台!$N$3903,MATCH($C22,控制台!$B$3903:$B$3918,0)-1,0)</f>
        <v>0</v>
      </c>
      <c r="T22" s="1">
        <f ca="1" t="shared" si="5"/>
        <v>0</v>
      </c>
      <c r="U22" s="5">
        <f ca="1" t="shared" si="12"/>
        <v>0</v>
      </c>
    </row>
    <row r="23" spans="1:21">
      <c r="A23" s="9">
        <v>4.5</v>
      </c>
      <c r="B23" s="1">
        <f t="shared" si="6"/>
        <v>0.5</v>
      </c>
      <c r="C23" s="1">
        <f>IF(控制台!C2048="",C22,控制台!C2048)</f>
        <v>2</v>
      </c>
      <c r="D23" s="1">
        <f ca="1">OFFSET(控制台!$D$3903,MATCH($C23,控制台!$B$3903:$B$3918,0)-1,0)</f>
        <v>0</v>
      </c>
      <c r="E23" s="1">
        <f ca="1" t="shared" si="0"/>
        <v>0</v>
      </c>
      <c r="F23" s="5">
        <f ca="1" t="shared" si="7"/>
        <v>0</v>
      </c>
      <c r="G23" s="1">
        <f ca="1">OFFSET(控制台!$E$3903,MATCH($C23,控制台!$B$3903:$B$3918,0)-1,0)</f>
        <v>0</v>
      </c>
      <c r="H23" s="1">
        <f ca="1" t="shared" si="1"/>
        <v>0</v>
      </c>
      <c r="I23" s="5">
        <f ca="1" t="shared" si="8"/>
        <v>0</v>
      </c>
      <c r="J23" s="1">
        <f ca="1">OFFSET(控制台!$G$3903,MATCH($C23,控制台!$B$3903:$B$3918,0)-1,0)</f>
        <v>0</v>
      </c>
      <c r="K23" s="1">
        <f ca="1" t="shared" si="2"/>
        <v>0</v>
      </c>
      <c r="L23" s="5">
        <f ca="1" t="shared" si="9"/>
        <v>0</v>
      </c>
      <c r="M23" s="1">
        <f ca="1">OFFSET(控制台!$H$3903,MATCH($C23,控制台!$B$3903:$B$3918,0)-1,0)</f>
        <v>0</v>
      </c>
      <c r="N23" s="1">
        <f ca="1" t="shared" si="3"/>
        <v>0</v>
      </c>
      <c r="O23" s="5">
        <f ca="1" t="shared" si="10"/>
        <v>0</v>
      </c>
      <c r="P23" s="1">
        <f ca="1">OFFSET(控制台!$M$3903,MATCH($C23,控制台!$B$3903:$B$3918,0)-1,0)</f>
        <v>0</v>
      </c>
      <c r="Q23" s="1">
        <f ca="1" t="shared" si="4"/>
        <v>0</v>
      </c>
      <c r="R23" s="5">
        <f ca="1" t="shared" si="11"/>
        <v>0</v>
      </c>
      <c r="S23" s="1">
        <f ca="1">OFFSET(控制台!$N$3903,MATCH($C23,控制台!$B$3903:$B$3918,0)-1,0)</f>
        <v>0</v>
      </c>
      <c r="T23" s="1">
        <f ca="1" t="shared" si="5"/>
        <v>0</v>
      </c>
      <c r="U23" s="5">
        <f ca="1" t="shared" si="12"/>
        <v>0</v>
      </c>
    </row>
    <row r="24" spans="1:21">
      <c r="A24" s="9">
        <v>5</v>
      </c>
      <c r="B24" s="1">
        <f t="shared" si="6"/>
        <v>0.5</v>
      </c>
      <c r="C24" s="1">
        <f>IF(控制台!C2049="",C23,控制台!C2049)</f>
        <v>2</v>
      </c>
      <c r="D24" s="1">
        <f ca="1">OFFSET(控制台!$D$3903,MATCH($C24,控制台!$B$3903:$B$3918,0)-1,0)</f>
        <v>0</v>
      </c>
      <c r="E24" s="1">
        <f ca="1" t="shared" si="0"/>
        <v>0</v>
      </c>
      <c r="F24" s="5">
        <f ca="1" t="shared" si="7"/>
        <v>0</v>
      </c>
      <c r="G24" s="1">
        <f ca="1">OFFSET(控制台!$E$3903,MATCH($C24,控制台!$B$3903:$B$3918,0)-1,0)</f>
        <v>0</v>
      </c>
      <c r="H24" s="1">
        <f ca="1" t="shared" si="1"/>
        <v>0</v>
      </c>
      <c r="I24" s="5">
        <f ca="1" t="shared" si="8"/>
        <v>0</v>
      </c>
      <c r="J24" s="1">
        <f ca="1">OFFSET(控制台!$G$3903,MATCH($C24,控制台!$B$3903:$B$3918,0)-1,0)</f>
        <v>0</v>
      </c>
      <c r="K24" s="1">
        <f ca="1" t="shared" si="2"/>
        <v>0</v>
      </c>
      <c r="L24" s="5">
        <f ca="1" t="shared" si="9"/>
        <v>0</v>
      </c>
      <c r="M24" s="1">
        <f ca="1">OFFSET(控制台!$H$3903,MATCH($C24,控制台!$B$3903:$B$3918,0)-1,0)</f>
        <v>0</v>
      </c>
      <c r="N24" s="1">
        <f ca="1" t="shared" si="3"/>
        <v>0</v>
      </c>
      <c r="O24" s="5">
        <f ca="1" t="shared" si="10"/>
        <v>0</v>
      </c>
      <c r="P24" s="1">
        <f ca="1">OFFSET(控制台!$M$3903,MATCH($C24,控制台!$B$3903:$B$3918,0)-1,0)</f>
        <v>0</v>
      </c>
      <c r="Q24" s="1">
        <f ca="1" t="shared" si="4"/>
        <v>0</v>
      </c>
      <c r="R24" s="5">
        <f ca="1" t="shared" si="11"/>
        <v>0</v>
      </c>
      <c r="S24" s="1">
        <f ca="1">OFFSET(控制台!$N$3903,MATCH($C24,控制台!$B$3903:$B$3918,0)-1,0)</f>
        <v>0</v>
      </c>
      <c r="T24" s="1">
        <f ca="1" t="shared" si="5"/>
        <v>0</v>
      </c>
      <c r="U24" s="5">
        <f ca="1" t="shared" si="12"/>
        <v>0</v>
      </c>
    </row>
    <row r="25" spans="1:21">
      <c r="A25" s="9">
        <v>5.5</v>
      </c>
      <c r="B25" s="1">
        <f t="shared" si="6"/>
        <v>0.5</v>
      </c>
      <c r="C25" s="1">
        <f>IF(控制台!C2050="",C24,控制台!C2050)</f>
        <v>2</v>
      </c>
      <c r="D25" s="1">
        <f ca="1">OFFSET(控制台!$D$3903,MATCH($C25,控制台!$B$3903:$B$3918,0)-1,0)</f>
        <v>0</v>
      </c>
      <c r="E25" s="1">
        <f ca="1" t="shared" si="0"/>
        <v>0</v>
      </c>
      <c r="F25" s="5">
        <f ca="1" t="shared" si="7"/>
        <v>0</v>
      </c>
      <c r="G25" s="1">
        <f ca="1">OFFSET(控制台!$E$3903,MATCH($C25,控制台!$B$3903:$B$3918,0)-1,0)</f>
        <v>0</v>
      </c>
      <c r="H25" s="1">
        <f ca="1" t="shared" si="1"/>
        <v>0</v>
      </c>
      <c r="I25" s="5">
        <f ca="1" t="shared" si="8"/>
        <v>0</v>
      </c>
      <c r="J25" s="1">
        <f ca="1">OFFSET(控制台!$G$3903,MATCH($C25,控制台!$B$3903:$B$3918,0)-1,0)</f>
        <v>0</v>
      </c>
      <c r="K25" s="1">
        <f ca="1" t="shared" si="2"/>
        <v>0</v>
      </c>
      <c r="L25" s="5">
        <f ca="1" t="shared" si="9"/>
        <v>0</v>
      </c>
      <c r="M25" s="1">
        <f ca="1">OFFSET(控制台!$H$3903,MATCH($C25,控制台!$B$3903:$B$3918,0)-1,0)</f>
        <v>0</v>
      </c>
      <c r="N25" s="1">
        <f ca="1" t="shared" si="3"/>
        <v>0</v>
      </c>
      <c r="O25" s="5">
        <f ca="1" t="shared" si="10"/>
        <v>0</v>
      </c>
      <c r="P25" s="1">
        <f ca="1">OFFSET(控制台!$M$3903,MATCH($C25,控制台!$B$3903:$B$3918,0)-1,0)</f>
        <v>0</v>
      </c>
      <c r="Q25" s="1">
        <f ca="1" t="shared" si="4"/>
        <v>0</v>
      </c>
      <c r="R25" s="5">
        <f ca="1" t="shared" si="11"/>
        <v>0</v>
      </c>
      <c r="S25" s="1">
        <f ca="1">OFFSET(控制台!$N$3903,MATCH($C25,控制台!$B$3903:$B$3918,0)-1,0)</f>
        <v>0</v>
      </c>
      <c r="T25" s="1">
        <f ca="1" t="shared" si="5"/>
        <v>0</v>
      </c>
      <c r="U25" s="5">
        <f ca="1" t="shared" si="12"/>
        <v>0</v>
      </c>
    </row>
    <row r="26" spans="1:21">
      <c r="A26" s="9">
        <v>6</v>
      </c>
      <c r="B26" s="1">
        <f t="shared" si="6"/>
        <v>0.5</v>
      </c>
      <c r="C26" s="1">
        <f>IF(控制台!C2051="",C25,控制台!C2051)</f>
        <v>3</v>
      </c>
      <c r="D26" s="1">
        <f ca="1">OFFSET(控制台!$D$3903,MATCH($C26,控制台!$B$3903:$B$3918,0)-1,0)</f>
        <v>64.2857142857143</v>
      </c>
      <c r="E26" s="1">
        <f ca="1" t="shared" si="0"/>
        <v>32.1428571428572</v>
      </c>
      <c r="F26" s="5">
        <f ca="1" t="shared" si="7"/>
        <v>32.1428571428572</v>
      </c>
      <c r="G26" s="1">
        <f ca="1">OFFSET(控制台!$E$3903,MATCH($C26,控制台!$B$3903:$B$3918,0)-1,0)</f>
        <v>0</v>
      </c>
      <c r="H26" s="1">
        <f ca="1" t="shared" si="1"/>
        <v>0</v>
      </c>
      <c r="I26" s="5">
        <f ca="1" t="shared" si="8"/>
        <v>0</v>
      </c>
      <c r="J26" s="1">
        <f ca="1">OFFSET(控制台!$G$3903,MATCH($C26,控制台!$B$3903:$B$3918,0)-1,0)</f>
        <v>0</v>
      </c>
      <c r="K26" s="1">
        <f ca="1" t="shared" si="2"/>
        <v>0</v>
      </c>
      <c r="L26" s="5">
        <f ca="1" t="shared" si="9"/>
        <v>0</v>
      </c>
      <c r="M26" s="1">
        <f ca="1">OFFSET(控制台!$H$3903,MATCH($C26,控制台!$B$3903:$B$3918,0)-1,0)</f>
        <v>0</v>
      </c>
      <c r="N26" s="1">
        <f ca="1" t="shared" si="3"/>
        <v>0</v>
      </c>
      <c r="O26" s="5">
        <f ca="1" t="shared" si="10"/>
        <v>0</v>
      </c>
      <c r="P26" s="1">
        <f ca="1">OFFSET(控制台!$M$3903,MATCH($C26,控制台!$B$3903:$B$3918,0)-1,0)</f>
        <v>0</v>
      </c>
      <c r="Q26" s="1">
        <f ca="1" t="shared" si="4"/>
        <v>0</v>
      </c>
      <c r="R26" s="5">
        <f ca="1" t="shared" si="11"/>
        <v>0</v>
      </c>
      <c r="S26" s="1">
        <f ca="1">OFFSET(控制台!$N$3903,MATCH($C26,控制台!$B$3903:$B$3918,0)-1,0)</f>
        <v>0</v>
      </c>
      <c r="T26" s="1">
        <f ca="1" t="shared" si="5"/>
        <v>0</v>
      </c>
      <c r="U26" s="5">
        <f ca="1" t="shared" si="12"/>
        <v>0</v>
      </c>
    </row>
    <row r="27" spans="1:21">
      <c r="A27" s="9">
        <v>6.5</v>
      </c>
      <c r="B27" s="1">
        <f t="shared" si="6"/>
        <v>0.5</v>
      </c>
      <c r="C27" s="1">
        <f>IF(控制台!C2052="",C26,控制台!C2052)</f>
        <v>3</v>
      </c>
      <c r="D27" s="1">
        <f ca="1">OFFSET(控制台!$D$3903,MATCH($C27,控制台!$B$3903:$B$3918,0)-1,0)</f>
        <v>64.2857142857143</v>
      </c>
      <c r="E27" s="1">
        <f ca="1" t="shared" si="0"/>
        <v>32.1428571428572</v>
      </c>
      <c r="F27" s="5">
        <f ca="1" t="shared" si="7"/>
        <v>64.2857142857143</v>
      </c>
      <c r="G27" s="1">
        <f ca="1">OFFSET(控制台!$E$3903,MATCH($C27,控制台!$B$3903:$B$3918,0)-1,0)</f>
        <v>0</v>
      </c>
      <c r="H27" s="1">
        <f ca="1" t="shared" si="1"/>
        <v>0</v>
      </c>
      <c r="I27" s="5">
        <f ca="1" t="shared" si="8"/>
        <v>0</v>
      </c>
      <c r="J27" s="1">
        <f ca="1">OFFSET(控制台!$G$3903,MATCH($C27,控制台!$B$3903:$B$3918,0)-1,0)</f>
        <v>0</v>
      </c>
      <c r="K27" s="1">
        <f ca="1" t="shared" si="2"/>
        <v>0</v>
      </c>
      <c r="L27" s="5">
        <f ca="1" t="shared" si="9"/>
        <v>0</v>
      </c>
      <c r="M27" s="1">
        <f ca="1">OFFSET(控制台!$H$3903,MATCH($C27,控制台!$B$3903:$B$3918,0)-1,0)</f>
        <v>0</v>
      </c>
      <c r="N27" s="1">
        <f ca="1" t="shared" si="3"/>
        <v>0</v>
      </c>
      <c r="O27" s="5">
        <f ca="1" t="shared" si="10"/>
        <v>0</v>
      </c>
      <c r="P27" s="1">
        <f ca="1">OFFSET(控制台!$M$3903,MATCH($C27,控制台!$B$3903:$B$3918,0)-1,0)</f>
        <v>0</v>
      </c>
      <c r="Q27" s="1">
        <f ca="1" t="shared" si="4"/>
        <v>0</v>
      </c>
      <c r="R27" s="5">
        <f ca="1" t="shared" si="11"/>
        <v>0</v>
      </c>
      <c r="S27" s="1">
        <f ca="1">OFFSET(控制台!$N$3903,MATCH($C27,控制台!$B$3903:$B$3918,0)-1,0)</f>
        <v>0</v>
      </c>
      <c r="T27" s="1">
        <f ca="1" t="shared" si="5"/>
        <v>0</v>
      </c>
      <c r="U27" s="5">
        <f ca="1" t="shared" si="12"/>
        <v>0</v>
      </c>
    </row>
    <row r="28" spans="1:21">
      <c r="A28" s="9">
        <v>7</v>
      </c>
      <c r="B28" s="1">
        <f t="shared" si="6"/>
        <v>0.5</v>
      </c>
      <c r="C28" s="1">
        <f>IF(控制台!C2053="",C27,控制台!C2053)</f>
        <v>3</v>
      </c>
      <c r="D28" s="1">
        <f ca="1">OFFSET(控制台!$D$3903,MATCH($C28,控制台!$B$3903:$B$3918,0)-1,0)</f>
        <v>64.2857142857143</v>
      </c>
      <c r="E28" s="1">
        <f ca="1" t="shared" si="0"/>
        <v>32.1428571428572</v>
      </c>
      <c r="F28" s="5">
        <f ca="1" t="shared" si="7"/>
        <v>96.4285714285715</v>
      </c>
      <c r="G28" s="1">
        <f ca="1">OFFSET(控制台!$E$3903,MATCH($C28,控制台!$B$3903:$B$3918,0)-1,0)</f>
        <v>0</v>
      </c>
      <c r="H28" s="1">
        <f ca="1" t="shared" si="1"/>
        <v>0</v>
      </c>
      <c r="I28" s="5">
        <f ca="1" t="shared" si="8"/>
        <v>0</v>
      </c>
      <c r="J28" s="1">
        <f ca="1">OFFSET(控制台!$G$3903,MATCH($C28,控制台!$B$3903:$B$3918,0)-1,0)</f>
        <v>0</v>
      </c>
      <c r="K28" s="1">
        <f ca="1" t="shared" si="2"/>
        <v>0</v>
      </c>
      <c r="L28" s="5">
        <f ca="1" t="shared" si="9"/>
        <v>0</v>
      </c>
      <c r="M28" s="1">
        <f ca="1">OFFSET(控制台!$H$3903,MATCH($C28,控制台!$B$3903:$B$3918,0)-1,0)</f>
        <v>0</v>
      </c>
      <c r="N28" s="1">
        <f ca="1" t="shared" si="3"/>
        <v>0</v>
      </c>
      <c r="O28" s="5">
        <f ca="1" t="shared" si="10"/>
        <v>0</v>
      </c>
      <c r="P28" s="1">
        <f ca="1">OFFSET(控制台!$M$3903,MATCH($C28,控制台!$B$3903:$B$3918,0)-1,0)</f>
        <v>0</v>
      </c>
      <c r="Q28" s="1">
        <f ca="1" t="shared" si="4"/>
        <v>0</v>
      </c>
      <c r="R28" s="5">
        <f ca="1" t="shared" si="11"/>
        <v>0</v>
      </c>
      <c r="S28" s="1">
        <f ca="1">OFFSET(控制台!$N$3903,MATCH($C28,控制台!$B$3903:$B$3918,0)-1,0)</f>
        <v>0</v>
      </c>
      <c r="T28" s="1">
        <f ca="1" t="shared" si="5"/>
        <v>0</v>
      </c>
      <c r="U28" s="5">
        <f ca="1" t="shared" si="12"/>
        <v>0</v>
      </c>
    </row>
    <row r="29" spans="1:21">
      <c r="A29" s="10">
        <v>8</v>
      </c>
      <c r="B29" s="1">
        <f t="shared" si="6"/>
        <v>1</v>
      </c>
      <c r="C29" s="1">
        <f>IF(控制台!C2054="",C28,控制台!C2054)</f>
        <v>3</v>
      </c>
      <c r="D29" s="1">
        <f ca="1">OFFSET(控制台!$D$3903,MATCH($C29,控制台!$B$3903:$B$3918,0)-1,0)</f>
        <v>64.2857142857143</v>
      </c>
      <c r="E29" s="1">
        <f ca="1" t="shared" si="0"/>
        <v>64.2857142857143</v>
      </c>
      <c r="F29" s="5">
        <f ca="1" t="shared" si="7"/>
        <v>160.714285714286</v>
      </c>
      <c r="G29" s="1">
        <f ca="1">OFFSET(控制台!$E$3903,MATCH($C29,控制台!$B$3903:$B$3918,0)-1,0)</f>
        <v>0</v>
      </c>
      <c r="H29" s="1">
        <f ca="1" t="shared" si="1"/>
        <v>0</v>
      </c>
      <c r="I29" s="5">
        <f ca="1" t="shared" si="8"/>
        <v>0</v>
      </c>
      <c r="J29" s="1">
        <f ca="1">OFFSET(控制台!$G$3903,MATCH($C29,控制台!$B$3903:$B$3918,0)-1,0)</f>
        <v>0</v>
      </c>
      <c r="K29" s="1">
        <f ca="1" t="shared" si="2"/>
        <v>0</v>
      </c>
      <c r="L29" s="5">
        <f ca="1" t="shared" si="9"/>
        <v>0</v>
      </c>
      <c r="M29" s="1">
        <f ca="1">OFFSET(控制台!$H$3903,MATCH($C29,控制台!$B$3903:$B$3918,0)-1,0)</f>
        <v>0</v>
      </c>
      <c r="N29" s="1">
        <f ca="1" t="shared" si="3"/>
        <v>0</v>
      </c>
      <c r="O29" s="5">
        <f ca="1" t="shared" si="10"/>
        <v>0</v>
      </c>
      <c r="P29" s="1">
        <f ca="1">OFFSET(控制台!$M$3903,MATCH($C29,控制台!$B$3903:$B$3918,0)-1,0)</f>
        <v>0</v>
      </c>
      <c r="Q29" s="1">
        <f ca="1" t="shared" si="4"/>
        <v>0</v>
      </c>
      <c r="R29" s="5">
        <f ca="1" t="shared" si="11"/>
        <v>0</v>
      </c>
      <c r="S29" s="1">
        <f ca="1">OFFSET(控制台!$N$3903,MATCH($C29,控制台!$B$3903:$B$3918,0)-1,0)</f>
        <v>0</v>
      </c>
      <c r="T29" s="1">
        <f ca="1" t="shared" si="5"/>
        <v>0</v>
      </c>
      <c r="U29" s="5">
        <f ca="1" t="shared" si="12"/>
        <v>0</v>
      </c>
    </row>
    <row r="30" spans="1:21">
      <c r="A30" s="10">
        <v>9</v>
      </c>
      <c r="B30" s="1">
        <f t="shared" si="6"/>
        <v>1</v>
      </c>
      <c r="C30" s="1">
        <f>IF(控制台!C2055="",C29,控制台!C2055)</f>
        <v>4</v>
      </c>
      <c r="D30" s="1">
        <f ca="1">OFFSET(控制台!$D$3903,MATCH($C30,控制台!$B$3903:$B$3918,0)-1,0)</f>
        <v>64.2857142857143</v>
      </c>
      <c r="E30" s="1">
        <f ca="1" t="shared" si="0"/>
        <v>64.2857142857143</v>
      </c>
      <c r="F30" s="5">
        <f ca="1" t="shared" si="7"/>
        <v>225</v>
      </c>
      <c r="G30" s="1">
        <f ca="1">OFFSET(控制台!$E$3903,MATCH($C30,控制台!$B$3903:$B$3918,0)-1,0)</f>
        <v>1.14285714285714</v>
      </c>
      <c r="H30" s="1">
        <f ca="1" t="shared" si="1"/>
        <v>1.14285714285714</v>
      </c>
      <c r="I30" s="5">
        <f ca="1" t="shared" si="8"/>
        <v>1.14285714285714</v>
      </c>
      <c r="J30" s="1">
        <f ca="1">OFFSET(控制台!$G$3903,MATCH($C30,控制台!$B$3903:$B$3918,0)-1,0)</f>
        <v>0</v>
      </c>
      <c r="K30" s="1">
        <f ca="1" t="shared" si="2"/>
        <v>0</v>
      </c>
      <c r="L30" s="5">
        <f ca="1" t="shared" si="9"/>
        <v>0</v>
      </c>
      <c r="M30" s="1">
        <f ca="1">OFFSET(控制台!$H$3903,MATCH($C30,控制台!$B$3903:$B$3918,0)-1,0)</f>
        <v>0</v>
      </c>
      <c r="N30" s="1">
        <f ca="1" t="shared" si="3"/>
        <v>0</v>
      </c>
      <c r="O30" s="5">
        <f ca="1" t="shared" si="10"/>
        <v>0</v>
      </c>
      <c r="P30" s="1">
        <f ca="1">OFFSET(控制台!$M$3903,MATCH($C30,控制台!$B$3903:$B$3918,0)-1,0)</f>
        <v>0</v>
      </c>
      <c r="Q30" s="1">
        <f ca="1" t="shared" si="4"/>
        <v>0</v>
      </c>
      <c r="R30" s="5">
        <f ca="1" t="shared" si="11"/>
        <v>0</v>
      </c>
      <c r="S30" s="1">
        <f ca="1">OFFSET(控制台!$N$3903,MATCH($C30,控制台!$B$3903:$B$3918,0)-1,0)</f>
        <v>0</v>
      </c>
      <c r="T30" s="1">
        <f ca="1" t="shared" si="5"/>
        <v>0</v>
      </c>
      <c r="U30" s="5">
        <f ca="1" t="shared" si="12"/>
        <v>0</v>
      </c>
    </row>
    <row r="31" spans="1:21">
      <c r="A31" s="10">
        <v>10</v>
      </c>
      <c r="B31" s="1">
        <f t="shared" si="6"/>
        <v>1</v>
      </c>
      <c r="C31" s="1">
        <f>IF(控制台!C2056="",C30,控制台!C2056)</f>
        <v>4</v>
      </c>
      <c r="D31" s="1">
        <f ca="1">OFFSET(控制台!$D$3903,MATCH($C31,控制台!$B$3903:$B$3918,0)-1,0)</f>
        <v>64.2857142857143</v>
      </c>
      <c r="E31" s="1">
        <f ca="1" t="shared" si="0"/>
        <v>64.2857142857143</v>
      </c>
      <c r="F31" s="5">
        <f ca="1" t="shared" si="7"/>
        <v>289.285714285714</v>
      </c>
      <c r="G31" s="1">
        <f ca="1">OFFSET(控制台!$E$3903,MATCH($C31,控制台!$B$3903:$B$3918,0)-1,0)</f>
        <v>1.14285714285714</v>
      </c>
      <c r="H31" s="1">
        <f ca="1" t="shared" si="1"/>
        <v>1.14285714285714</v>
      </c>
      <c r="I31" s="5">
        <f ca="1" t="shared" si="8"/>
        <v>2.28571428571428</v>
      </c>
      <c r="J31" s="1">
        <f ca="1">OFFSET(控制台!$G$3903,MATCH($C31,控制台!$B$3903:$B$3918,0)-1,0)</f>
        <v>0</v>
      </c>
      <c r="K31" s="1">
        <f ca="1" t="shared" si="2"/>
        <v>0</v>
      </c>
      <c r="L31" s="5">
        <f ca="1" t="shared" si="9"/>
        <v>0</v>
      </c>
      <c r="M31" s="1">
        <f ca="1">OFFSET(控制台!$H$3903,MATCH($C31,控制台!$B$3903:$B$3918,0)-1,0)</f>
        <v>0</v>
      </c>
      <c r="N31" s="1">
        <f ca="1" t="shared" si="3"/>
        <v>0</v>
      </c>
      <c r="O31" s="5">
        <f ca="1" t="shared" si="10"/>
        <v>0</v>
      </c>
      <c r="P31" s="1">
        <f ca="1">OFFSET(控制台!$M$3903,MATCH($C31,控制台!$B$3903:$B$3918,0)-1,0)</f>
        <v>0</v>
      </c>
      <c r="Q31" s="1">
        <f ca="1" t="shared" si="4"/>
        <v>0</v>
      </c>
      <c r="R31" s="5">
        <f ca="1" t="shared" si="11"/>
        <v>0</v>
      </c>
      <c r="S31" s="1">
        <f ca="1">OFFSET(控制台!$N$3903,MATCH($C31,控制台!$B$3903:$B$3918,0)-1,0)</f>
        <v>0</v>
      </c>
      <c r="T31" s="1">
        <f ca="1" t="shared" si="5"/>
        <v>0</v>
      </c>
      <c r="U31" s="5">
        <f ca="1" t="shared" si="12"/>
        <v>0</v>
      </c>
    </row>
    <row r="32" spans="1:21">
      <c r="A32" s="10">
        <v>11</v>
      </c>
      <c r="B32" s="1">
        <f t="shared" si="6"/>
        <v>1</v>
      </c>
      <c r="C32" s="1">
        <f>IF(控制台!C2057="",C31,控制台!C2057)</f>
        <v>4</v>
      </c>
      <c r="D32" s="1">
        <f ca="1">OFFSET(控制台!$D$3903,MATCH($C32,控制台!$B$3903:$B$3918,0)-1,0)</f>
        <v>64.2857142857143</v>
      </c>
      <c r="E32" s="1">
        <f ca="1" t="shared" si="0"/>
        <v>64.2857142857143</v>
      </c>
      <c r="F32" s="5">
        <f ca="1" t="shared" si="7"/>
        <v>353.571428571429</v>
      </c>
      <c r="G32" s="1">
        <f ca="1">OFFSET(控制台!$E$3903,MATCH($C32,控制台!$B$3903:$B$3918,0)-1,0)</f>
        <v>1.14285714285714</v>
      </c>
      <c r="H32" s="1">
        <f ca="1" t="shared" si="1"/>
        <v>1.14285714285714</v>
      </c>
      <c r="I32" s="5">
        <f ca="1" t="shared" si="8"/>
        <v>3.42857142857142</v>
      </c>
      <c r="J32" s="1">
        <f ca="1">OFFSET(控制台!$G$3903,MATCH($C32,控制台!$B$3903:$B$3918,0)-1,0)</f>
        <v>0</v>
      </c>
      <c r="K32" s="1">
        <f ca="1" t="shared" si="2"/>
        <v>0</v>
      </c>
      <c r="L32" s="5">
        <f ca="1" t="shared" si="9"/>
        <v>0</v>
      </c>
      <c r="M32" s="1">
        <f ca="1">OFFSET(控制台!$H$3903,MATCH($C32,控制台!$B$3903:$B$3918,0)-1,0)</f>
        <v>0</v>
      </c>
      <c r="N32" s="1">
        <f ca="1" t="shared" si="3"/>
        <v>0</v>
      </c>
      <c r="O32" s="5">
        <f ca="1" t="shared" si="10"/>
        <v>0</v>
      </c>
      <c r="P32" s="1">
        <f ca="1">OFFSET(控制台!$M$3903,MATCH($C32,控制台!$B$3903:$B$3918,0)-1,0)</f>
        <v>0</v>
      </c>
      <c r="Q32" s="1">
        <f ca="1" t="shared" si="4"/>
        <v>0</v>
      </c>
      <c r="R32" s="5">
        <f ca="1" t="shared" si="11"/>
        <v>0</v>
      </c>
      <c r="S32" s="1">
        <f ca="1">OFFSET(控制台!$N$3903,MATCH($C32,控制台!$B$3903:$B$3918,0)-1,0)</f>
        <v>0</v>
      </c>
      <c r="T32" s="1">
        <f ca="1" t="shared" si="5"/>
        <v>0</v>
      </c>
      <c r="U32" s="5">
        <f ca="1" t="shared" si="12"/>
        <v>0</v>
      </c>
    </row>
    <row r="33" spans="1:21">
      <c r="A33" s="10">
        <v>12</v>
      </c>
      <c r="B33" s="1">
        <f t="shared" si="6"/>
        <v>1</v>
      </c>
      <c r="C33" s="1">
        <f>IF(控制台!C2058="",C32,控制台!C2058)</f>
        <v>4</v>
      </c>
      <c r="D33" s="1">
        <f ca="1">OFFSET(控制台!$D$3903,MATCH($C33,控制台!$B$3903:$B$3918,0)-1,0)</f>
        <v>64.2857142857143</v>
      </c>
      <c r="E33" s="1">
        <f ca="1" t="shared" si="0"/>
        <v>64.2857142857143</v>
      </c>
      <c r="F33" s="5">
        <f ca="1" t="shared" si="7"/>
        <v>417.857142857143</v>
      </c>
      <c r="G33" s="1">
        <f ca="1">OFFSET(控制台!$E$3903,MATCH($C33,控制台!$B$3903:$B$3918,0)-1,0)</f>
        <v>1.14285714285714</v>
      </c>
      <c r="H33" s="1">
        <f ca="1" t="shared" si="1"/>
        <v>1.14285714285714</v>
      </c>
      <c r="I33" s="5">
        <f ca="1" t="shared" si="8"/>
        <v>4.57142857142856</v>
      </c>
      <c r="J33" s="1">
        <f ca="1">OFFSET(控制台!$G$3903,MATCH($C33,控制台!$B$3903:$B$3918,0)-1,0)</f>
        <v>0</v>
      </c>
      <c r="K33" s="1">
        <f ca="1" t="shared" si="2"/>
        <v>0</v>
      </c>
      <c r="L33" s="5">
        <f ca="1" t="shared" si="9"/>
        <v>0</v>
      </c>
      <c r="M33" s="1">
        <f ca="1">OFFSET(控制台!$H$3903,MATCH($C33,控制台!$B$3903:$B$3918,0)-1,0)</f>
        <v>0</v>
      </c>
      <c r="N33" s="1">
        <f ca="1" t="shared" si="3"/>
        <v>0</v>
      </c>
      <c r="O33" s="5">
        <f ca="1" t="shared" si="10"/>
        <v>0</v>
      </c>
      <c r="P33" s="1">
        <f ca="1">OFFSET(控制台!$M$3903,MATCH($C33,控制台!$B$3903:$B$3918,0)-1,0)</f>
        <v>0</v>
      </c>
      <c r="Q33" s="1">
        <f ca="1" t="shared" si="4"/>
        <v>0</v>
      </c>
      <c r="R33" s="5">
        <f ca="1" t="shared" si="11"/>
        <v>0</v>
      </c>
      <c r="S33" s="1">
        <f ca="1">OFFSET(控制台!$N$3903,MATCH($C33,控制台!$B$3903:$B$3918,0)-1,0)</f>
        <v>0</v>
      </c>
      <c r="T33" s="1">
        <f ca="1" t="shared" si="5"/>
        <v>0</v>
      </c>
      <c r="U33" s="5">
        <f ca="1" t="shared" si="12"/>
        <v>0</v>
      </c>
    </row>
    <row r="34" spans="1:21">
      <c r="A34" s="10">
        <v>13</v>
      </c>
      <c r="B34" s="1">
        <f t="shared" si="6"/>
        <v>1</v>
      </c>
      <c r="C34" s="1">
        <f>IF(控制台!C2059="",C33,控制台!C2059)</f>
        <v>4</v>
      </c>
      <c r="D34" s="1">
        <f ca="1">OFFSET(控制台!$D$3903,MATCH($C34,控制台!$B$3903:$B$3918,0)-1,0)</f>
        <v>64.2857142857143</v>
      </c>
      <c r="E34" s="1">
        <f ca="1" t="shared" si="0"/>
        <v>64.2857142857143</v>
      </c>
      <c r="F34" s="5">
        <f ca="1" t="shared" si="7"/>
        <v>482.142857142857</v>
      </c>
      <c r="G34" s="1">
        <f ca="1">OFFSET(控制台!$E$3903,MATCH($C34,控制台!$B$3903:$B$3918,0)-1,0)</f>
        <v>1.14285714285714</v>
      </c>
      <c r="H34" s="1">
        <f ca="1" t="shared" si="1"/>
        <v>1.14285714285714</v>
      </c>
      <c r="I34" s="5">
        <f ca="1" t="shared" si="8"/>
        <v>5.7142857142857</v>
      </c>
      <c r="J34" s="1">
        <f ca="1">OFFSET(控制台!$G$3903,MATCH($C34,控制台!$B$3903:$B$3918,0)-1,0)</f>
        <v>0</v>
      </c>
      <c r="K34" s="1">
        <f ca="1" t="shared" si="2"/>
        <v>0</v>
      </c>
      <c r="L34" s="5">
        <f ca="1" t="shared" si="9"/>
        <v>0</v>
      </c>
      <c r="M34" s="1">
        <f ca="1">OFFSET(控制台!$H$3903,MATCH($C34,控制台!$B$3903:$B$3918,0)-1,0)</f>
        <v>0</v>
      </c>
      <c r="N34" s="1">
        <f ca="1" t="shared" si="3"/>
        <v>0</v>
      </c>
      <c r="O34" s="5">
        <f ca="1" t="shared" si="10"/>
        <v>0</v>
      </c>
      <c r="P34" s="1">
        <f ca="1">OFFSET(控制台!$M$3903,MATCH($C34,控制台!$B$3903:$B$3918,0)-1,0)</f>
        <v>0</v>
      </c>
      <c r="Q34" s="1">
        <f ca="1" t="shared" si="4"/>
        <v>0</v>
      </c>
      <c r="R34" s="5">
        <f ca="1" t="shared" si="11"/>
        <v>0</v>
      </c>
      <c r="S34" s="1">
        <f ca="1">OFFSET(控制台!$N$3903,MATCH($C34,控制台!$B$3903:$B$3918,0)-1,0)</f>
        <v>0</v>
      </c>
      <c r="T34" s="1">
        <f ca="1" t="shared" si="5"/>
        <v>0</v>
      </c>
      <c r="U34" s="5">
        <f ca="1" t="shared" si="12"/>
        <v>0</v>
      </c>
    </row>
    <row r="35" spans="1:21">
      <c r="A35" s="10">
        <v>14</v>
      </c>
      <c r="B35" s="1">
        <f t="shared" si="6"/>
        <v>1</v>
      </c>
      <c r="C35" s="1">
        <f>IF(控制台!C2060="",C34,控制台!C2060)</f>
        <v>5</v>
      </c>
      <c r="D35" s="1">
        <f ca="1">OFFSET(控制台!$D$3903,MATCH($C35,控制台!$B$3903:$B$3918,0)-1,0)</f>
        <v>64.2857142857143</v>
      </c>
      <c r="E35" s="1">
        <f ca="1" t="shared" si="0"/>
        <v>64.2857142857143</v>
      </c>
      <c r="F35" s="5">
        <f ca="1" t="shared" si="7"/>
        <v>546.428571428572</v>
      </c>
      <c r="G35" s="1">
        <f ca="1">OFFSET(控制台!$E$3903,MATCH($C35,控制台!$B$3903:$B$3918,0)-1,0)</f>
        <v>1.14285714285714</v>
      </c>
      <c r="H35" s="1">
        <f ca="1" t="shared" si="1"/>
        <v>1.14285714285714</v>
      </c>
      <c r="I35" s="5">
        <f ca="1" t="shared" si="8"/>
        <v>6.85714285714284</v>
      </c>
      <c r="J35" s="1">
        <f ca="1">OFFSET(控制台!$G$3903,MATCH($C35,控制台!$B$3903:$B$3918,0)-1,0)</f>
        <v>142.857142857143</v>
      </c>
      <c r="K35" s="1">
        <f ca="1" t="shared" si="2"/>
        <v>142.857142857143</v>
      </c>
      <c r="L35" s="5">
        <f ca="1" t="shared" si="9"/>
        <v>142.857142857143</v>
      </c>
      <c r="M35" s="1">
        <f ca="1">OFFSET(控制台!$H$3903,MATCH($C35,控制台!$B$3903:$B$3918,0)-1,0)</f>
        <v>0</v>
      </c>
      <c r="N35" s="1">
        <f ca="1" t="shared" si="3"/>
        <v>0</v>
      </c>
      <c r="O35" s="5">
        <f ca="1" t="shared" si="10"/>
        <v>0</v>
      </c>
      <c r="P35" s="1">
        <f ca="1">OFFSET(控制台!$M$3903,MATCH($C35,控制台!$B$3903:$B$3918,0)-1,0)</f>
        <v>0</v>
      </c>
      <c r="Q35" s="1">
        <f ca="1" t="shared" si="4"/>
        <v>0</v>
      </c>
      <c r="R35" s="5">
        <f ca="1" t="shared" si="11"/>
        <v>0</v>
      </c>
      <c r="S35" s="1">
        <f ca="1">OFFSET(控制台!$N$3903,MATCH($C35,控制台!$B$3903:$B$3918,0)-1,0)</f>
        <v>0</v>
      </c>
      <c r="T35" s="1">
        <f ca="1" t="shared" si="5"/>
        <v>0</v>
      </c>
      <c r="U35" s="5">
        <f ca="1" t="shared" si="12"/>
        <v>0</v>
      </c>
    </row>
    <row r="36" spans="1:21">
      <c r="A36" s="10">
        <v>15</v>
      </c>
      <c r="B36" s="1">
        <f t="shared" si="6"/>
        <v>1</v>
      </c>
      <c r="C36" s="1">
        <f>IF(控制台!C2061="",C35,控制台!C2061)</f>
        <v>5</v>
      </c>
      <c r="D36" s="1">
        <f ca="1">OFFSET(控制台!$D$3903,MATCH($C36,控制台!$B$3903:$B$3918,0)-1,0)</f>
        <v>64.2857142857143</v>
      </c>
      <c r="E36" s="1">
        <f ca="1" t="shared" si="0"/>
        <v>64.2857142857143</v>
      </c>
      <c r="F36" s="5">
        <f ca="1" t="shared" si="7"/>
        <v>610.714285714286</v>
      </c>
      <c r="G36" s="1">
        <f ca="1">OFFSET(控制台!$E$3903,MATCH($C36,控制台!$B$3903:$B$3918,0)-1,0)</f>
        <v>1.14285714285714</v>
      </c>
      <c r="H36" s="1">
        <f ca="1" t="shared" si="1"/>
        <v>1.14285714285714</v>
      </c>
      <c r="I36" s="5">
        <f ca="1" t="shared" si="8"/>
        <v>7.99999999999998</v>
      </c>
      <c r="J36" s="1">
        <f ca="1">OFFSET(控制台!$G$3903,MATCH($C36,控制台!$B$3903:$B$3918,0)-1,0)</f>
        <v>142.857142857143</v>
      </c>
      <c r="K36" s="1">
        <f ca="1" t="shared" si="2"/>
        <v>142.857142857143</v>
      </c>
      <c r="L36" s="5">
        <f ca="1" t="shared" si="9"/>
        <v>285.714285714286</v>
      </c>
      <c r="M36" s="1">
        <f ca="1">OFFSET(控制台!$H$3903,MATCH($C36,控制台!$B$3903:$B$3918,0)-1,0)</f>
        <v>0</v>
      </c>
      <c r="N36" s="1">
        <f ca="1" t="shared" si="3"/>
        <v>0</v>
      </c>
      <c r="O36" s="5">
        <f ca="1" t="shared" si="10"/>
        <v>0</v>
      </c>
      <c r="P36" s="1">
        <f ca="1">OFFSET(控制台!$M$3903,MATCH($C36,控制台!$B$3903:$B$3918,0)-1,0)</f>
        <v>0</v>
      </c>
      <c r="Q36" s="1">
        <f ca="1" t="shared" si="4"/>
        <v>0</v>
      </c>
      <c r="R36" s="5">
        <f ca="1" t="shared" si="11"/>
        <v>0</v>
      </c>
      <c r="S36" s="1">
        <f ca="1">OFFSET(控制台!$N$3903,MATCH($C36,控制台!$B$3903:$B$3918,0)-1,0)</f>
        <v>0</v>
      </c>
      <c r="T36" s="1">
        <f ca="1" t="shared" si="5"/>
        <v>0</v>
      </c>
      <c r="U36" s="5">
        <f ca="1" t="shared" si="12"/>
        <v>0</v>
      </c>
    </row>
    <row r="37" spans="1:21">
      <c r="A37" s="10">
        <v>16</v>
      </c>
      <c r="B37" s="1">
        <f t="shared" si="6"/>
        <v>1</v>
      </c>
      <c r="C37" s="1">
        <f>IF(控制台!C2062="",C36,控制台!C2062)</f>
        <v>5</v>
      </c>
      <c r="D37" s="1">
        <f ca="1">OFFSET(控制台!$D$3903,MATCH($C37,控制台!$B$3903:$B$3918,0)-1,0)</f>
        <v>64.2857142857143</v>
      </c>
      <c r="E37" s="1">
        <f ca="1" t="shared" si="0"/>
        <v>64.2857142857143</v>
      </c>
      <c r="F37" s="5">
        <f ca="1" t="shared" si="7"/>
        <v>675</v>
      </c>
      <c r="G37" s="1">
        <f ca="1">OFFSET(控制台!$E$3903,MATCH($C37,控制台!$B$3903:$B$3918,0)-1,0)</f>
        <v>1.14285714285714</v>
      </c>
      <c r="H37" s="1">
        <f ca="1" t="shared" si="1"/>
        <v>1.14285714285714</v>
      </c>
      <c r="I37" s="5">
        <f ca="1" t="shared" si="8"/>
        <v>9.14285714285712</v>
      </c>
      <c r="J37" s="1">
        <f ca="1">OFFSET(控制台!$G$3903,MATCH($C37,控制台!$B$3903:$B$3918,0)-1,0)</f>
        <v>142.857142857143</v>
      </c>
      <c r="K37" s="1">
        <f ca="1" t="shared" si="2"/>
        <v>142.857142857143</v>
      </c>
      <c r="L37" s="5">
        <f ca="1" t="shared" si="9"/>
        <v>428.571428571429</v>
      </c>
      <c r="M37" s="1">
        <f ca="1">OFFSET(控制台!$H$3903,MATCH($C37,控制台!$B$3903:$B$3918,0)-1,0)</f>
        <v>0</v>
      </c>
      <c r="N37" s="1">
        <f ca="1" t="shared" si="3"/>
        <v>0</v>
      </c>
      <c r="O37" s="5">
        <f ca="1" t="shared" si="10"/>
        <v>0</v>
      </c>
      <c r="P37" s="1">
        <f ca="1">OFFSET(控制台!$M$3903,MATCH($C37,控制台!$B$3903:$B$3918,0)-1,0)</f>
        <v>0</v>
      </c>
      <c r="Q37" s="1">
        <f ca="1" t="shared" si="4"/>
        <v>0</v>
      </c>
      <c r="R37" s="5">
        <f ca="1" t="shared" si="11"/>
        <v>0</v>
      </c>
      <c r="S37" s="1">
        <f ca="1">OFFSET(控制台!$N$3903,MATCH($C37,控制台!$B$3903:$B$3918,0)-1,0)</f>
        <v>0</v>
      </c>
      <c r="T37" s="1">
        <f ca="1" t="shared" si="5"/>
        <v>0</v>
      </c>
      <c r="U37" s="5">
        <f ca="1" t="shared" si="12"/>
        <v>0</v>
      </c>
    </row>
    <row r="38" spans="1:21">
      <c r="A38" s="10">
        <v>17</v>
      </c>
      <c r="B38" s="1">
        <f t="shared" si="6"/>
        <v>1</v>
      </c>
      <c r="C38" s="1">
        <f>IF(控制台!C2063="",C37,控制台!C2063)</f>
        <v>5</v>
      </c>
      <c r="D38" s="1">
        <f ca="1">OFFSET(控制台!$D$3903,MATCH($C38,控制台!$B$3903:$B$3918,0)-1,0)</f>
        <v>64.2857142857143</v>
      </c>
      <c r="E38" s="1">
        <f ca="1" t="shared" si="0"/>
        <v>64.2857142857143</v>
      </c>
      <c r="F38" s="5">
        <f ca="1" t="shared" si="7"/>
        <v>739.285714285715</v>
      </c>
      <c r="G38" s="1">
        <f ca="1">OFFSET(控制台!$E$3903,MATCH($C38,控制台!$B$3903:$B$3918,0)-1,0)</f>
        <v>1.14285714285714</v>
      </c>
      <c r="H38" s="1">
        <f ca="1" t="shared" si="1"/>
        <v>1.14285714285714</v>
      </c>
      <c r="I38" s="5">
        <f ca="1" t="shared" si="8"/>
        <v>10.2857142857143</v>
      </c>
      <c r="J38" s="1">
        <f ca="1">OFFSET(控制台!$G$3903,MATCH($C38,控制台!$B$3903:$B$3918,0)-1,0)</f>
        <v>142.857142857143</v>
      </c>
      <c r="K38" s="1">
        <f ca="1" t="shared" si="2"/>
        <v>142.857142857143</v>
      </c>
      <c r="L38" s="5">
        <f ca="1" t="shared" si="9"/>
        <v>571.428571428572</v>
      </c>
      <c r="M38" s="1">
        <f ca="1">OFFSET(控制台!$H$3903,MATCH($C38,控制台!$B$3903:$B$3918,0)-1,0)</f>
        <v>0</v>
      </c>
      <c r="N38" s="1">
        <f ca="1" t="shared" si="3"/>
        <v>0</v>
      </c>
      <c r="O38" s="5">
        <f ca="1" t="shared" si="10"/>
        <v>0</v>
      </c>
      <c r="P38" s="1">
        <f ca="1">OFFSET(控制台!$M$3903,MATCH($C38,控制台!$B$3903:$B$3918,0)-1,0)</f>
        <v>0</v>
      </c>
      <c r="Q38" s="1">
        <f ca="1" t="shared" si="4"/>
        <v>0</v>
      </c>
      <c r="R38" s="5">
        <f ca="1" t="shared" si="11"/>
        <v>0</v>
      </c>
      <c r="S38" s="1">
        <f ca="1">OFFSET(控制台!$N$3903,MATCH($C38,控制台!$B$3903:$B$3918,0)-1,0)</f>
        <v>0</v>
      </c>
      <c r="T38" s="1">
        <f ca="1" t="shared" si="5"/>
        <v>0</v>
      </c>
      <c r="U38" s="5">
        <f ca="1" t="shared" si="12"/>
        <v>0</v>
      </c>
    </row>
    <row r="39" spans="1:21">
      <c r="A39" s="10">
        <v>18</v>
      </c>
      <c r="B39" s="1">
        <f t="shared" si="6"/>
        <v>1</v>
      </c>
      <c r="C39" s="1">
        <f>IF(控制台!C2064="",C38,控制台!C2064)</f>
        <v>5</v>
      </c>
      <c r="D39" s="1">
        <f ca="1">OFFSET(控制台!$D$3903,MATCH($C39,控制台!$B$3903:$B$3918,0)-1,0)</f>
        <v>64.2857142857143</v>
      </c>
      <c r="E39" s="1">
        <f ca="1" t="shared" si="0"/>
        <v>64.2857142857143</v>
      </c>
      <c r="F39" s="5">
        <f ca="1" t="shared" si="7"/>
        <v>803.571428571429</v>
      </c>
      <c r="G39" s="1">
        <f ca="1">OFFSET(控制台!$E$3903,MATCH($C39,控制台!$B$3903:$B$3918,0)-1,0)</f>
        <v>1.14285714285714</v>
      </c>
      <c r="H39" s="1">
        <f ca="1" t="shared" si="1"/>
        <v>1.14285714285714</v>
      </c>
      <c r="I39" s="5">
        <f ca="1" t="shared" si="8"/>
        <v>11.4285714285714</v>
      </c>
      <c r="J39" s="1">
        <f ca="1">OFFSET(控制台!$G$3903,MATCH($C39,控制台!$B$3903:$B$3918,0)-1,0)</f>
        <v>142.857142857143</v>
      </c>
      <c r="K39" s="1">
        <f ca="1" t="shared" si="2"/>
        <v>142.857142857143</v>
      </c>
      <c r="L39" s="5">
        <f ca="1" t="shared" si="9"/>
        <v>714.285714285715</v>
      </c>
      <c r="M39" s="1">
        <f ca="1">OFFSET(控制台!$H$3903,MATCH($C39,控制台!$B$3903:$B$3918,0)-1,0)</f>
        <v>0</v>
      </c>
      <c r="N39" s="1">
        <f ca="1" t="shared" si="3"/>
        <v>0</v>
      </c>
      <c r="O39" s="5">
        <f ca="1" t="shared" si="10"/>
        <v>0</v>
      </c>
      <c r="P39" s="1">
        <f ca="1">OFFSET(控制台!$M$3903,MATCH($C39,控制台!$B$3903:$B$3918,0)-1,0)</f>
        <v>0</v>
      </c>
      <c r="Q39" s="1">
        <f ca="1" t="shared" si="4"/>
        <v>0</v>
      </c>
      <c r="R39" s="5">
        <f ca="1" t="shared" si="11"/>
        <v>0</v>
      </c>
      <c r="S39" s="1">
        <f ca="1">OFFSET(控制台!$N$3903,MATCH($C39,控制台!$B$3903:$B$3918,0)-1,0)</f>
        <v>0</v>
      </c>
      <c r="T39" s="1">
        <f ca="1" t="shared" si="5"/>
        <v>0</v>
      </c>
      <c r="U39" s="5">
        <f ca="1" t="shared" si="12"/>
        <v>0</v>
      </c>
    </row>
    <row r="40" spans="1:21">
      <c r="A40" s="10">
        <v>19</v>
      </c>
      <c r="B40" s="1">
        <f t="shared" si="6"/>
        <v>1</v>
      </c>
      <c r="C40" s="1">
        <f>IF(控制台!C2065="",C39,控制台!C2065)</f>
        <v>5</v>
      </c>
      <c r="D40" s="1">
        <f ca="1">OFFSET(控制台!$D$3903,MATCH($C40,控制台!$B$3903:$B$3918,0)-1,0)</f>
        <v>64.2857142857143</v>
      </c>
      <c r="E40" s="1">
        <f ca="1" t="shared" si="0"/>
        <v>64.2857142857143</v>
      </c>
      <c r="F40" s="5">
        <f ca="1" t="shared" si="7"/>
        <v>867.857142857143</v>
      </c>
      <c r="G40" s="1">
        <f ca="1">OFFSET(控制台!$E$3903,MATCH($C40,控制台!$B$3903:$B$3918,0)-1,0)</f>
        <v>1.14285714285714</v>
      </c>
      <c r="H40" s="1">
        <f ca="1" t="shared" si="1"/>
        <v>1.14285714285714</v>
      </c>
      <c r="I40" s="5">
        <f ca="1" t="shared" si="8"/>
        <v>12.5714285714285</v>
      </c>
      <c r="J40" s="1">
        <f ca="1">OFFSET(控制台!$G$3903,MATCH($C40,控制台!$B$3903:$B$3918,0)-1,0)</f>
        <v>142.857142857143</v>
      </c>
      <c r="K40" s="1">
        <f ca="1" t="shared" si="2"/>
        <v>142.857142857143</v>
      </c>
      <c r="L40" s="5">
        <f ca="1" t="shared" si="9"/>
        <v>857.142857142858</v>
      </c>
      <c r="M40" s="1">
        <f ca="1">OFFSET(控制台!$H$3903,MATCH($C40,控制台!$B$3903:$B$3918,0)-1,0)</f>
        <v>0</v>
      </c>
      <c r="N40" s="1">
        <f ca="1" t="shared" si="3"/>
        <v>0</v>
      </c>
      <c r="O40" s="5">
        <f ca="1" t="shared" si="10"/>
        <v>0</v>
      </c>
      <c r="P40" s="1">
        <f ca="1">OFFSET(控制台!$M$3903,MATCH($C40,控制台!$B$3903:$B$3918,0)-1,0)</f>
        <v>0</v>
      </c>
      <c r="Q40" s="1">
        <f ca="1" t="shared" si="4"/>
        <v>0</v>
      </c>
      <c r="R40" s="5">
        <f ca="1" t="shared" si="11"/>
        <v>0</v>
      </c>
      <c r="S40" s="1">
        <f ca="1">OFFSET(控制台!$N$3903,MATCH($C40,控制台!$B$3903:$B$3918,0)-1,0)</f>
        <v>0</v>
      </c>
      <c r="T40" s="1">
        <f ca="1" t="shared" si="5"/>
        <v>0</v>
      </c>
      <c r="U40" s="5">
        <f ca="1" t="shared" si="12"/>
        <v>0</v>
      </c>
    </row>
    <row r="41" spans="1:21">
      <c r="A41" s="10">
        <v>20</v>
      </c>
      <c r="B41" s="1">
        <f t="shared" si="6"/>
        <v>1</v>
      </c>
      <c r="C41" s="1">
        <f>IF(控制台!C2066="",C40,控制台!C2066)</f>
        <v>6</v>
      </c>
      <c r="D41" s="1">
        <f ca="1">OFFSET(控制台!$D$3903,MATCH($C41,控制台!$B$3903:$B$3918,0)-1,0)</f>
        <v>64.2857142857143</v>
      </c>
      <c r="E41" s="1">
        <f ca="1" t="shared" si="0"/>
        <v>64.2857142857143</v>
      </c>
      <c r="F41" s="5">
        <f ca="1" t="shared" si="7"/>
        <v>932.142857142858</v>
      </c>
      <c r="G41" s="1">
        <f ca="1">OFFSET(控制台!$E$3903,MATCH($C41,控制台!$B$3903:$B$3918,0)-1,0)</f>
        <v>1.14285714285714</v>
      </c>
      <c r="H41" s="1">
        <f ca="1" t="shared" si="1"/>
        <v>1.14285714285714</v>
      </c>
      <c r="I41" s="5">
        <f ca="1" t="shared" si="8"/>
        <v>13.7142857142857</v>
      </c>
      <c r="J41" s="1">
        <f ca="1">OFFSET(控制台!$G$3903,MATCH($C41,控制台!$B$3903:$B$3918,0)-1,0)</f>
        <v>142.857142857143</v>
      </c>
      <c r="K41" s="1">
        <f ca="1" t="shared" si="2"/>
        <v>142.857142857143</v>
      </c>
      <c r="L41" s="5">
        <f ca="1" t="shared" si="9"/>
        <v>1000</v>
      </c>
      <c r="M41" s="1">
        <f ca="1">OFFSET(控制台!$H$3903,MATCH($C41,控制台!$B$3903:$B$3918,0)-1,0)</f>
        <v>107.142857142857</v>
      </c>
      <c r="N41" s="1">
        <f ca="1" t="shared" si="3"/>
        <v>107.142857142857</v>
      </c>
      <c r="O41" s="5">
        <f ca="1" t="shared" si="10"/>
        <v>107.142857142857</v>
      </c>
      <c r="P41" s="1">
        <f ca="1">OFFSET(控制台!$M$3903,MATCH($C41,控制台!$B$3903:$B$3918,0)-1,0)</f>
        <v>0</v>
      </c>
      <c r="Q41" s="1">
        <f ca="1" t="shared" si="4"/>
        <v>0</v>
      </c>
      <c r="R41" s="5">
        <f ca="1" t="shared" si="11"/>
        <v>0</v>
      </c>
      <c r="S41" s="1">
        <f ca="1">OFFSET(控制台!$N$3903,MATCH($C41,控制台!$B$3903:$B$3918,0)-1,0)</f>
        <v>0</v>
      </c>
      <c r="T41" s="1">
        <f ca="1" t="shared" si="5"/>
        <v>0</v>
      </c>
      <c r="U41" s="5">
        <f ca="1" t="shared" si="12"/>
        <v>0</v>
      </c>
    </row>
    <row r="42" spans="1:21">
      <c r="A42" s="10">
        <v>21</v>
      </c>
      <c r="B42" s="1">
        <f t="shared" si="6"/>
        <v>1</v>
      </c>
      <c r="C42" s="1">
        <f>IF(控制台!C2067="",C41,控制台!C2067)</f>
        <v>6</v>
      </c>
      <c r="D42" s="1">
        <f ca="1">OFFSET(控制台!$D$3903,MATCH($C42,控制台!$B$3903:$B$3918,0)-1,0)</f>
        <v>64.2857142857143</v>
      </c>
      <c r="E42" s="1">
        <f ca="1" t="shared" si="0"/>
        <v>64.2857142857143</v>
      </c>
      <c r="F42" s="5">
        <f ca="1" t="shared" si="7"/>
        <v>996.428571428572</v>
      </c>
      <c r="G42" s="1">
        <f ca="1">OFFSET(控制台!$E$3903,MATCH($C42,控制台!$B$3903:$B$3918,0)-1,0)</f>
        <v>1.14285714285714</v>
      </c>
      <c r="H42" s="1">
        <f ca="1" t="shared" si="1"/>
        <v>1.14285714285714</v>
      </c>
      <c r="I42" s="5">
        <f ca="1" t="shared" si="8"/>
        <v>14.8571428571428</v>
      </c>
      <c r="J42" s="1">
        <f ca="1">OFFSET(控制台!$G$3903,MATCH($C42,控制台!$B$3903:$B$3918,0)-1,0)</f>
        <v>142.857142857143</v>
      </c>
      <c r="K42" s="1">
        <f ca="1" t="shared" si="2"/>
        <v>142.857142857143</v>
      </c>
      <c r="L42" s="5">
        <f ca="1" t="shared" si="9"/>
        <v>1142.85714285714</v>
      </c>
      <c r="M42" s="1">
        <f ca="1">OFFSET(控制台!$H$3903,MATCH($C42,控制台!$B$3903:$B$3918,0)-1,0)</f>
        <v>107.142857142857</v>
      </c>
      <c r="N42" s="1">
        <f ca="1" t="shared" si="3"/>
        <v>107.142857142857</v>
      </c>
      <c r="O42" s="5">
        <f ca="1" t="shared" si="10"/>
        <v>214.285714285714</v>
      </c>
      <c r="P42" s="1">
        <f ca="1">OFFSET(控制台!$M$3903,MATCH($C42,控制台!$B$3903:$B$3918,0)-1,0)</f>
        <v>0</v>
      </c>
      <c r="Q42" s="1">
        <f ca="1" t="shared" si="4"/>
        <v>0</v>
      </c>
      <c r="R42" s="5">
        <f ca="1" t="shared" si="11"/>
        <v>0</v>
      </c>
      <c r="S42" s="1">
        <f ca="1">OFFSET(控制台!$N$3903,MATCH($C42,控制台!$B$3903:$B$3918,0)-1,0)</f>
        <v>0</v>
      </c>
      <c r="T42" s="1">
        <f ca="1" t="shared" si="5"/>
        <v>0</v>
      </c>
      <c r="U42" s="5">
        <f ca="1" t="shared" si="12"/>
        <v>0</v>
      </c>
    </row>
    <row r="43" spans="1:21">
      <c r="A43" s="10">
        <v>22</v>
      </c>
      <c r="B43" s="1">
        <f t="shared" si="6"/>
        <v>1</v>
      </c>
      <c r="C43" s="1">
        <f>IF(控制台!C2068="",C42,控制台!C2068)</f>
        <v>6</v>
      </c>
      <c r="D43" s="1">
        <f ca="1">OFFSET(控制台!$D$3903,MATCH($C43,控制台!$B$3903:$B$3918,0)-1,0)</f>
        <v>64.2857142857143</v>
      </c>
      <c r="E43" s="1">
        <f ca="1" t="shared" si="0"/>
        <v>64.2857142857143</v>
      </c>
      <c r="F43" s="5">
        <f ca="1" t="shared" si="7"/>
        <v>1060.71428571429</v>
      </c>
      <c r="G43" s="1">
        <f ca="1">OFFSET(控制台!$E$3903,MATCH($C43,控制台!$B$3903:$B$3918,0)-1,0)</f>
        <v>1.14285714285714</v>
      </c>
      <c r="H43" s="1">
        <f ca="1" t="shared" si="1"/>
        <v>1.14285714285714</v>
      </c>
      <c r="I43" s="5">
        <f ca="1" t="shared" si="8"/>
        <v>16</v>
      </c>
      <c r="J43" s="1">
        <f ca="1">OFFSET(控制台!$G$3903,MATCH($C43,控制台!$B$3903:$B$3918,0)-1,0)</f>
        <v>142.857142857143</v>
      </c>
      <c r="K43" s="1">
        <f ca="1" t="shared" si="2"/>
        <v>142.857142857143</v>
      </c>
      <c r="L43" s="5">
        <f ca="1" t="shared" si="9"/>
        <v>1285.71428571429</v>
      </c>
      <c r="M43" s="1">
        <f ca="1">OFFSET(控制台!$H$3903,MATCH($C43,控制台!$B$3903:$B$3918,0)-1,0)</f>
        <v>107.142857142857</v>
      </c>
      <c r="N43" s="1">
        <f ca="1" t="shared" si="3"/>
        <v>107.142857142857</v>
      </c>
      <c r="O43" s="5">
        <f ca="1" t="shared" si="10"/>
        <v>321.428571428571</v>
      </c>
      <c r="P43" s="1">
        <f ca="1">OFFSET(控制台!$M$3903,MATCH($C43,控制台!$B$3903:$B$3918,0)-1,0)</f>
        <v>0</v>
      </c>
      <c r="Q43" s="1">
        <f ca="1" t="shared" si="4"/>
        <v>0</v>
      </c>
      <c r="R43" s="5">
        <f ca="1" t="shared" si="11"/>
        <v>0</v>
      </c>
      <c r="S43" s="1">
        <f ca="1">OFFSET(控制台!$N$3903,MATCH($C43,控制台!$B$3903:$B$3918,0)-1,0)</f>
        <v>0</v>
      </c>
      <c r="T43" s="1">
        <f ca="1" t="shared" si="5"/>
        <v>0</v>
      </c>
      <c r="U43" s="5">
        <f ca="1" t="shared" si="12"/>
        <v>0</v>
      </c>
    </row>
    <row r="44" spans="1:21">
      <c r="A44" s="10">
        <v>23</v>
      </c>
      <c r="B44" s="1">
        <f t="shared" si="6"/>
        <v>1</v>
      </c>
      <c r="C44" s="1">
        <f>IF(控制台!C2069="",C43,控制台!C2069)</f>
        <v>6</v>
      </c>
      <c r="D44" s="1">
        <f ca="1">OFFSET(控制台!$D$3903,MATCH($C44,控制台!$B$3903:$B$3918,0)-1,0)</f>
        <v>64.2857142857143</v>
      </c>
      <c r="E44" s="1">
        <f ca="1" t="shared" si="0"/>
        <v>64.2857142857143</v>
      </c>
      <c r="F44" s="5">
        <f ca="1" t="shared" si="7"/>
        <v>1125</v>
      </c>
      <c r="G44" s="1">
        <f ca="1">OFFSET(控制台!$E$3903,MATCH($C44,控制台!$B$3903:$B$3918,0)-1,0)</f>
        <v>1.14285714285714</v>
      </c>
      <c r="H44" s="1">
        <f ca="1" t="shared" si="1"/>
        <v>1.14285714285714</v>
      </c>
      <c r="I44" s="5">
        <f ca="1" t="shared" si="8"/>
        <v>17.1428571428571</v>
      </c>
      <c r="J44" s="1">
        <f ca="1">OFFSET(控制台!$G$3903,MATCH($C44,控制台!$B$3903:$B$3918,0)-1,0)</f>
        <v>142.857142857143</v>
      </c>
      <c r="K44" s="1">
        <f ca="1" t="shared" si="2"/>
        <v>142.857142857143</v>
      </c>
      <c r="L44" s="5">
        <f ca="1" t="shared" si="9"/>
        <v>1428.57142857143</v>
      </c>
      <c r="M44" s="1">
        <f ca="1">OFFSET(控制台!$H$3903,MATCH($C44,控制台!$B$3903:$B$3918,0)-1,0)</f>
        <v>107.142857142857</v>
      </c>
      <c r="N44" s="1">
        <f ca="1" t="shared" si="3"/>
        <v>107.142857142857</v>
      </c>
      <c r="O44" s="5">
        <f ca="1" t="shared" si="10"/>
        <v>428.571428571428</v>
      </c>
      <c r="P44" s="1">
        <f ca="1">OFFSET(控制台!$M$3903,MATCH($C44,控制台!$B$3903:$B$3918,0)-1,0)</f>
        <v>0</v>
      </c>
      <c r="Q44" s="1">
        <f ca="1" t="shared" si="4"/>
        <v>0</v>
      </c>
      <c r="R44" s="5">
        <f ca="1" t="shared" si="11"/>
        <v>0</v>
      </c>
      <c r="S44" s="1">
        <f ca="1">OFFSET(控制台!$N$3903,MATCH($C44,控制台!$B$3903:$B$3918,0)-1,0)</f>
        <v>0</v>
      </c>
      <c r="T44" s="1">
        <f ca="1" t="shared" si="5"/>
        <v>0</v>
      </c>
      <c r="U44" s="5">
        <f ca="1" t="shared" si="12"/>
        <v>0</v>
      </c>
    </row>
    <row r="45" spans="1:21">
      <c r="A45" s="10">
        <v>24</v>
      </c>
      <c r="B45" s="1">
        <f t="shared" si="6"/>
        <v>1</v>
      </c>
      <c r="C45" s="1">
        <f>IF(控制台!C2070="",C44,控制台!C2070)</f>
        <v>6</v>
      </c>
      <c r="D45" s="1">
        <f ca="1">OFFSET(控制台!$D$3903,MATCH($C45,控制台!$B$3903:$B$3918,0)-1,0)</f>
        <v>64.2857142857143</v>
      </c>
      <c r="E45" s="1">
        <f ca="1" t="shared" si="0"/>
        <v>64.2857142857143</v>
      </c>
      <c r="F45" s="5">
        <f ca="1" t="shared" si="7"/>
        <v>1189.28571428571</v>
      </c>
      <c r="G45" s="1">
        <f ca="1">OFFSET(控制台!$E$3903,MATCH($C45,控制台!$B$3903:$B$3918,0)-1,0)</f>
        <v>1.14285714285714</v>
      </c>
      <c r="H45" s="1">
        <f ca="1" t="shared" si="1"/>
        <v>1.14285714285714</v>
      </c>
      <c r="I45" s="5">
        <f ca="1" t="shared" si="8"/>
        <v>18.2857142857142</v>
      </c>
      <c r="J45" s="1">
        <f ca="1">OFFSET(控制台!$G$3903,MATCH($C45,控制台!$B$3903:$B$3918,0)-1,0)</f>
        <v>142.857142857143</v>
      </c>
      <c r="K45" s="1">
        <f ca="1" t="shared" si="2"/>
        <v>142.857142857143</v>
      </c>
      <c r="L45" s="5">
        <f ca="1" t="shared" si="9"/>
        <v>1571.42857142857</v>
      </c>
      <c r="M45" s="1">
        <f ca="1">OFFSET(控制台!$H$3903,MATCH($C45,控制台!$B$3903:$B$3918,0)-1,0)</f>
        <v>107.142857142857</v>
      </c>
      <c r="N45" s="1">
        <f ca="1" t="shared" si="3"/>
        <v>107.142857142857</v>
      </c>
      <c r="O45" s="5">
        <f ca="1" t="shared" si="10"/>
        <v>535.714285714285</v>
      </c>
      <c r="P45" s="1">
        <f ca="1">OFFSET(控制台!$M$3903,MATCH($C45,控制台!$B$3903:$B$3918,0)-1,0)</f>
        <v>0</v>
      </c>
      <c r="Q45" s="1">
        <f ca="1" t="shared" si="4"/>
        <v>0</v>
      </c>
      <c r="R45" s="5">
        <f ca="1" t="shared" si="11"/>
        <v>0</v>
      </c>
      <c r="S45" s="1">
        <f ca="1">OFFSET(控制台!$N$3903,MATCH($C45,控制台!$B$3903:$B$3918,0)-1,0)</f>
        <v>0</v>
      </c>
      <c r="T45" s="1">
        <f ca="1" t="shared" si="5"/>
        <v>0</v>
      </c>
      <c r="U45" s="5">
        <f ca="1" t="shared" si="12"/>
        <v>0</v>
      </c>
    </row>
    <row r="46" spans="1:21">
      <c r="A46" s="10">
        <v>25</v>
      </c>
      <c r="B46" s="1">
        <f t="shared" si="6"/>
        <v>1</v>
      </c>
      <c r="C46" s="1">
        <f>IF(控制台!C2071="",C45,控制台!C2071)</f>
        <v>6</v>
      </c>
      <c r="D46" s="1">
        <f ca="1">OFFSET(控制台!$D$3903,MATCH($C46,控制台!$B$3903:$B$3918,0)-1,0)</f>
        <v>64.2857142857143</v>
      </c>
      <c r="E46" s="1">
        <f ca="1" t="shared" si="0"/>
        <v>64.2857142857143</v>
      </c>
      <c r="F46" s="5">
        <f ca="1" t="shared" si="7"/>
        <v>1253.57142857143</v>
      </c>
      <c r="G46" s="1">
        <f ca="1">OFFSET(控制台!$E$3903,MATCH($C46,控制台!$B$3903:$B$3918,0)-1,0)</f>
        <v>1.14285714285714</v>
      </c>
      <c r="H46" s="1">
        <f ca="1" t="shared" si="1"/>
        <v>1.14285714285714</v>
      </c>
      <c r="I46" s="5">
        <f ca="1" t="shared" si="8"/>
        <v>19.4285714285714</v>
      </c>
      <c r="J46" s="1">
        <f ca="1">OFFSET(控制台!$G$3903,MATCH($C46,控制台!$B$3903:$B$3918,0)-1,0)</f>
        <v>142.857142857143</v>
      </c>
      <c r="K46" s="1">
        <f ca="1" t="shared" si="2"/>
        <v>142.857142857143</v>
      </c>
      <c r="L46" s="5">
        <f ca="1" t="shared" si="9"/>
        <v>1714.28571428572</v>
      </c>
      <c r="M46" s="1">
        <f ca="1">OFFSET(控制台!$H$3903,MATCH($C46,控制台!$B$3903:$B$3918,0)-1,0)</f>
        <v>107.142857142857</v>
      </c>
      <c r="N46" s="1">
        <f ca="1" t="shared" si="3"/>
        <v>107.142857142857</v>
      </c>
      <c r="O46" s="5">
        <f ca="1" t="shared" si="10"/>
        <v>642.857142857142</v>
      </c>
      <c r="P46" s="1">
        <f ca="1">OFFSET(控制台!$M$3903,MATCH($C46,控制台!$B$3903:$B$3918,0)-1,0)</f>
        <v>0</v>
      </c>
      <c r="Q46" s="1">
        <f ca="1" t="shared" si="4"/>
        <v>0</v>
      </c>
      <c r="R46" s="5">
        <f ca="1" t="shared" si="11"/>
        <v>0</v>
      </c>
      <c r="S46" s="1">
        <f ca="1">OFFSET(控制台!$N$3903,MATCH($C46,控制台!$B$3903:$B$3918,0)-1,0)</f>
        <v>0</v>
      </c>
      <c r="T46" s="1">
        <f ca="1" t="shared" si="5"/>
        <v>0</v>
      </c>
      <c r="U46" s="5">
        <f ca="1" t="shared" si="12"/>
        <v>0</v>
      </c>
    </row>
    <row r="47" spans="1:21">
      <c r="A47" s="10">
        <v>26</v>
      </c>
      <c r="B47" s="1">
        <f t="shared" si="6"/>
        <v>1</v>
      </c>
      <c r="C47" s="1">
        <f>IF(控制台!C2072="",C46,控制台!C2072)</f>
        <v>6</v>
      </c>
      <c r="D47" s="1">
        <f ca="1">OFFSET(控制台!$D$3903,MATCH($C47,控制台!$B$3903:$B$3918,0)-1,0)</f>
        <v>64.2857142857143</v>
      </c>
      <c r="E47" s="1">
        <f ca="1" t="shared" si="0"/>
        <v>64.2857142857143</v>
      </c>
      <c r="F47" s="5">
        <f ca="1" t="shared" si="7"/>
        <v>1317.85714285714</v>
      </c>
      <c r="G47" s="1">
        <f ca="1">OFFSET(控制台!$E$3903,MATCH($C47,控制台!$B$3903:$B$3918,0)-1,0)</f>
        <v>1.14285714285714</v>
      </c>
      <c r="H47" s="1">
        <f ca="1" t="shared" si="1"/>
        <v>1.14285714285714</v>
      </c>
      <c r="I47" s="5">
        <f ca="1" t="shared" si="8"/>
        <v>20.5714285714285</v>
      </c>
      <c r="J47" s="1">
        <f ca="1">OFFSET(控制台!$G$3903,MATCH($C47,控制台!$B$3903:$B$3918,0)-1,0)</f>
        <v>142.857142857143</v>
      </c>
      <c r="K47" s="1">
        <f ca="1" t="shared" si="2"/>
        <v>142.857142857143</v>
      </c>
      <c r="L47" s="5">
        <f ca="1" t="shared" si="9"/>
        <v>1857.14285714286</v>
      </c>
      <c r="M47" s="1">
        <f ca="1">OFFSET(控制台!$H$3903,MATCH($C47,控制台!$B$3903:$B$3918,0)-1,0)</f>
        <v>107.142857142857</v>
      </c>
      <c r="N47" s="1">
        <f ca="1" t="shared" si="3"/>
        <v>107.142857142857</v>
      </c>
      <c r="O47" s="5">
        <f ca="1" t="shared" si="10"/>
        <v>749.999999999999</v>
      </c>
      <c r="P47" s="1">
        <f ca="1">OFFSET(控制台!$M$3903,MATCH($C47,控制台!$B$3903:$B$3918,0)-1,0)</f>
        <v>0</v>
      </c>
      <c r="Q47" s="1">
        <f ca="1" t="shared" si="4"/>
        <v>0</v>
      </c>
      <c r="R47" s="5">
        <f ca="1" t="shared" si="11"/>
        <v>0</v>
      </c>
      <c r="S47" s="1">
        <f ca="1">OFFSET(控制台!$N$3903,MATCH($C47,控制台!$B$3903:$B$3918,0)-1,0)</f>
        <v>0</v>
      </c>
      <c r="T47" s="1">
        <f ca="1" t="shared" si="5"/>
        <v>0</v>
      </c>
      <c r="U47" s="5">
        <f ca="1" t="shared" si="12"/>
        <v>0</v>
      </c>
    </row>
    <row r="48" spans="1:21">
      <c r="A48" s="10">
        <v>27</v>
      </c>
      <c r="B48" s="1">
        <f t="shared" si="6"/>
        <v>1</v>
      </c>
      <c r="C48" s="1">
        <f>IF(控制台!C2073="",C47,控制台!C2073)</f>
        <v>6</v>
      </c>
      <c r="D48" s="1">
        <f ca="1">OFFSET(控制台!$D$3903,MATCH($C48,控制台!$B$3903:$B$3918,0)-1,0)</f>
        <v>64.2857142857143</v>
      </c>
      <c r="E48" s="1">
        <f ca="1" t="shared" si="0"/>
        <v>64.2857142857143</v>
      </c>
      <c r="F48" s="5">
        <f ca="1" t="shared" si="7"/>
        <v>1382.14285714286</v>
      </c>
      <c r="G48" s="1">
        <f ca="1">OFFSET(控制台!$E$3903,MATCH($C48,控制台!$B$3903:$B$3918,0)-1,0)</f>
        <v>1.14285714285714</v>
      </c>
      <c r="H48" s="1">
        <f ca="1" t="shared" si="1"/>
        <v>1.14285714285714</v>
      </c>
      <c r="I48" s="5">
        <f ca="1" t="shared" si="8"/>
        <v>21.7142857142857</v>
      </c>
      <c r="J48" s="1">
        <f ca="1">OFFSET(控制台!$G$3903,MATCH($C48,控制台!$B$3903:$B$3918,0)-1,0)</f>
        <v>142.857142857143</v>
      </c>
      <c r="K48" s="1">
        <f ca="1" t="shared" si="2"/>
        <v>142.857142857143</v>
      </c>
      <c r="L48" s="5">
        <f ca="1" t="shared" si="9"/>
        <v>2000</v>
      </c>
      <c r="M48" s="1">
        <f ca="1">OFFSET(控制台!$H$3903,MATCH($C48,控制台!$B$3903:$B$3918,0)-1,0)</f>
        <v>107.142857142857</v>
      </c>
      <c r="N48" s="1">
        <f ca="1" t="shared" si="3"/>
        <v>107.142857142857</v>
      </c>
      <c r="O48" s="5">
        <f ca="1" t="shared" si="10"/>
        <v>857.142857142856</v>
      </c>
      <c r="P48" s="1">
        <f ca="1">OFFSET(控制台!$M$3903,MATCH($C48,控制台!$B$3903:$B$3918,0)-1,0)</f>
        <v>0</v>
      </c>
      <c r="Q48" s="1">
        <f ca="1" t="shared" si="4"/>
        <v>0</v>
      </c>
      <c r="R48" s="5">
        <f ca="1" t="shared" si="11"/>
        <v>0</v>
      </c>
      <c r="S48" s="1">
        <f ca="1">OFFSET(控制台!$N$3903,MATCH($C48,控制台!$B$3903:$B$3918,0)-1,0)</f>
        <v>0</v>
      </c>
      <c r="T48" s="1">
        <f ca="1" t="shared" si="5"/>
        <v>0</v>
      </c>
      <c r="U48" s="5">
        <f ca="1" t="shared" si="12"/>
        <v>0</v>
      </c>
    </row>
    <row r="49" spans="1:21">
      <c r="A49" s="10">
        <v>28</v>
      </c>
      <c r="B49" s="1">
        <f t="shared" si="6"/>
        <v>1</v>
      </c>
      <c r="C49" s="1">
        <f>IF(控制台!C2074="",C48,控制台!C2074)</f>
        <v>6</v>
      </c>
      <c r="D49" s="1">
        <f ca="1">OFFSET(控制台!$D$3903,MATCH($C49,控制台!$B$3903:$B$3918,0)-1,0)</f>
        <v>64.2857142857143</v>
      </c>
      <c r="E49" s="1">
        <f ca="1" t="shared" si="0"/>
        <v>64.2857142857143</v>
      </c>
      <c r="F49" s="5">
        <f ca="1" t="shared" si="7"/>
        <v>1446.42857142857</v>
      </c>
      <c r="G49" s="1">
        <f ca="1">OFFSET(控制台!$E$3903,MATCH($C49,控制台!$B$3903:$B$3918,0)-1,0)</f>
        <v>1.14285714285714</v>
      </c>
      <c r="H49" s="1">
        <f ca="1" t="shared" si="1"/>
        <v>1.14285714285714</v>
      </c>
      <c r="I49" s="5">
        <f ca="1" t="shared" si="8"/>
        <v>22.8571428571428</v>
      </c>
      <c r="J49" s="1">
        <f ca="1">OFFSET(控制台!$G$3903,MATCH($C49,控制台!$B$3903:$B$3918,0)-1,0)</f>
        <v>142.857142857143</v>
      </c>
      <c r="K49" s="1">
        <f ca="1" t="shared" si="2"/>
        <v>142.857142857143</v>
      </c>
      <c r="L49" s="5">
        <f ca="1" t="shared" si="9"/>
        <v>2142.85714285715</v>
      </c>
      <c r="M49" s="1">
        <f ca="1">OFFSET(控制台!$H$3903,MATCH($C49,控制台!$B$3903:$B$3918,0)-1,0)</f>
        <v>107.142857142857</v>
      </c>
      <c r="N49" s="1">
        <f ca="1" t="shared" si="3"/>
        <v>107.142857142857</v>
      </c>
      <c r="O49" s="5">
        <f ca="1" t="shared" si="10"/>
        <v>964.285714285713</v>
      </c>
      <c r="P49" s="1">
        <f ca="1">OFFSET(控制台!$M$3903,MATCH($C49,控制台!$B$3903:$B$3918,0)-1,0)</f>
        <v>0</v>
      </c>
      <c r="Q49" s="1">
        <f ca="1" t="shared" si="4"/>
        <v>0</v>
      </c>
      <c r="R49" s="5">
        <f ca="1" t="shared" si="11"/>
        <v>0</v>
      </c>
      <c r="S49" s="1">
        <f ca="1">OFFSET(控制台!$N$3903,MATCH($C49,控制台!$B$3903:$B$3918,0)-1,0)</f>
        <v>0</v>
      </c>
      <c r="T49" s="1">
        <f ca="1" t="shared" si="5"/>
        <v>0</v>
      </c>
      <c r="U49" s="5">
        <f ca="1" t="shared" si="12"/>
        <v>0</v>
      </c>
    </row>
    <row r="50" spans="1:21">
      <c r="A50" s="10">
        <v>29</v>
      </c>
      <c r="B50" s="1">
        <f t="shared" si="6"/>
        <v>1</v>
      </c>
      <c r="C50" s="1">
        <f>IF(控制台!C2075="",C49,控制台!C2075)</f>
        <v>6</v>
      </c>
      <c r="D50" s="1">
        <f ca="1">OFFSET(控制台!$D$3903,MATCH($C50,控制台!$B$3903:$B$3918,0)-1,0)</f>
        <v>64.2857142857143</v>
      </c>
      <c r="E50" s="1">
        <f ca="1" t="shared" si="0"/>
        <v>64.2857142857143</v>
      </c>
      <c r="F50" s="5">
        <f ca="1" t="shared" si="7"/>
        <v>1510.71428571429</v>
      </c>
      <c r="G50" s="1">
        <f ca="1">OFFSET(控制台!$E$3903,MATCH($C50,控制台!$B$3903:$B$3918,0)-1,0)</f>
        <v>1.14285714285714</v>
      </c>
      <c r="H50" s="1">
        <f ca="1" t="shared" si="1"/>
        <v>1.14285714285714</v>
      </c>
      <c r="I50" s="5">
        <f ca="1" t="shared" si="8"/>
        <v>23.9999999999999</v>
      </c>
      <c r="J50" s="1">
        <f ca="1">OFFSET(控制台!$G$3903,MATCH($C50,控制台!$B$3903:$B$3918,0)-1,0)</f>
        <v>142.857142857143</v>
      </c>
      <c r="K50" s="1">
        <f ca="1" t="shared" si="2"/>
        <v>142.857142857143</v>
      </c>
      <c r="L50" s="5">
        <f ca="1" t="shared" si="9"/>
        <v>2285.71428571429</v>
      </c>
      <c r="M50" s="1">
        <f ca="1">OFFSET(控制台!$H$3903,MATCH($C50,控制台!$B$3903:$B$3918,0)-1,0)</f>
        <v>107.142857142857</v>
      </c>
      <c r="N50" s="1">
        <f ca="1" t="shared" si="3"/>
        <v>107.142857142857</v>
      </c>
      <c r="O50" s="5">
        <f ca="1" t="shared" si="10"/>
        <v>1071.42857142857</v>
      </c>
      <c r="P50" s="1">
        <f ca="1">OFFSET(控制台!$M$3903,MATCH($C50,控制台!$B$3903:$B$3918,0)-1,0)</f>
        <v>0</v>
      </c>
      <c r="Q50" s="1">
        <f ca="1" t="shared" si="4"/>
        <v>0</v>
      </c>
      <c r="R50" s="5">
        <f ca="1" t="shared" si="11"/>
        <v>0</v>
      </c>
      <c r="S50" s="1">
        <f ca="1">OFFSET(控制台!$N$3903,MATCH($C50,控制台!$B$3903:$B$3918,0)-1,0)</f>
        <v>0</v>
      </c>
      <c r="T50" s="1">
        <f ca="1" t="shared" si="5"/>
        <v>0</v>
      </c>
      <c r="U50" s="5">
        <f ca="1" t="shared" si="12"/>
        <v>0</v>
      </c>
    </row>
    <row r="51" spans="1:21">
      <c r="A51" s="10">
        <v>30</v>
      </c>
      <c r="B51" s="1">
        <f t="shared" si="6"/>
        <v>1</v>
      </c>
      <c r="C51" s="1">
        <f>IF(控制台!C2076="",C50,控制台!C2076)</f>
        <v>7</v>
      </c>
      <c r="D51" s="1">
        <f ca="1">OFFSET(控制台!$D$3903,MATCH($C51,控制台!$B$3903:$B$3918,0)-1,0)</f>
        <v>64.2857142857143</v>
      </c>
      <c r="E51" s="1">
        <f ca="1" t="shared" si="0"/>
        <v>64.2857142857143</v>
      </c>
      <c r="F51" s="5">
        <f ca="1" t="shared" si="7"/>
        <v>1575</v>
      </c>
      <c r="G51" s="1">
        <f ca="1">OFFSET(控制台!$E$3903,MATCH($C51,控制台!$B$3903:$B$3918,0)-1,0)</f>
        <v>1.14285714285714</v>
      </c>
      <c r="H51" s="1">
        <f ca="1" t="shared" si="1"/>
        <v>1.14285714285714</v>
      </c>
      <c r="I51" s="5">
        <f ca="1" t="shared" si="8"/>
        <v>25.1428571428571</v>
      </c>
      <c r="J51" s="1">
        <f ca="1">OFFSET(控制台!$G$3903,MATCH($C51,控制台!$B$3903:$B$3918,0)-1,0)</f>
        <v>142.857142857143</v>
      </c>
      <c r="K51" s="1">
        <f ca="1" t="shared" si="2"/>
        <v>142.857142857143</v>
      </c>
      <c r="L51" s="5">
        <f ca="1" t="shared" si="9"/>
        <v>2428.57142857143</v>
      </c>
      <c r="M51" s="1">
        <f ca="1">OFFSET(控制台!$H$3903,MATCH($C51,控制台!$B$3903:$B$3918,0)-1,0)</f>
        <v>107.142857142857</v>
      </c>
      <c r="N51" s="1">
        <f ca="1" t="shared" si="3"/>
        <v>107.142857142857</v>
      </c>
      <c r="O51" s="5">
        <f ca="1" t="shared" si="10"/>
        <v>1178.57142857143</v>
      </c>
      <c r="P51" s="1">
        <f ca="1">OFFSET(控制台!$M$3903,MATCH($C51,控制台!$B$3903:$B$3918,0)-1,0)</f>
        <v>71.4285714285714</v>
      </c>
      <c r="Q51" s="1">
        <f ca="1" t="shared" si="4"/>
        <v>71.4285714285714</v>
      </c>
      <c r="R51" s="5">
        <f ca="1" t="shared" si="11"/>
        <v>71.4285714285714</v>
      </c>
      <c r="S51" s="1">
        <f ca="1">OFFSET(控制台!$N$3903,MATCH($C51,控制台!$B$3903:$B$3918,0)-1,0)</f>
        <v>0</v>
      </c>
      <c r="T51" s="1">
        <f ca="1" t="shared" si="5"/>
        <v>0</v>
      </c>
      <c r="U51" s="5">
        <f ca="1" t="shared" si="12"/>
        <v>0</v>
      </c>
    </row>
    <row r="52" spans="1:21">
      <c r="A52" s="11">
        <v>35</v>
      </c>
      <c r="B52" s="1">
        <f t="shared" si="6"/>
        <v>5</v>
      </c>
      <c r="C52" s="1">
        <f>IF(控制台!C2077="",C51,控制台!C2077)</f>
        <v>7</v>
      </c>
      <c r="D52" s="1">
        <f ca="1">OFFSET(控制台!$D$3903,MATCH($C52,控制台!$B$3903:$B$3918,0)-1,0)</f>
        <v>64.2857142857143</v>
      </c>
      <c r="E52" s="1">
        <f ca="1" t="shared" si="0"/>
        <v>321.428571428572</v>
      </c>
      <c r="F52" s="5">
        <f ca="1" t="shared" si="7"/>
        <v>1896.42857142857</v>
      </c>
      <c r="G52" s="1">
        <f ca="1">OFFSET(控制台!$E$3903,MATCH($C52,控制台!$B$3903:$B$3918,0)-1,0)</f>
        <v>1.14285714285714</v>
      </c>
      <c r="H52" s="1">
        <f ca="1" t="shared" si="1"/>
        <v>5.7142857142857</v>
      </c>
      <c r="I52" s="5">
        <f ca="1" t="shared" si="8"/>
        <v>30.8571428571428</v>
      </c>
      <c r="J52" s="1">
        <f ca="1">OFFSET(控制台!$G$3903,MATCH($C52,控制台!$B$3903:$B$3918,0)-1,0)</f>
        <v>142.857142857143</v>
      </c>
      <c r="K52" s="1">
        <f ca="1" t="shared" si="2"/>
        <v>714.285714285715</v>
      </c>
      <c r="L52" s="5">
        <f ca="1" t="shared" si="9"/>
        <v>3142.85714285715</v>
      </c>
      <c r="M52" s="1">
        <f ca="1">OFFSET(控制台!$H$3903,MATCH($C52,控制台!$B$3903:$B$3918,0)-1,0)</f>
        <v>107.142857142857</v>
      </c>
      <c r="N52" s="1">
        <f ca="1" t="shared" si="3"/>
        <v>535.714285714285</v>
      </c>
      <c r="O52" s="5">
        <f ca="1" t="shared" si="10"/>
        <v>1714.28571428571</v>
      </c>
      <c r="P52" s="1">
        <f ca="1">OFFSET(控制台!$M$3903,MATCH($C52,控制台!$B$3903:$B$3918,0)-1,0)</f>
        <v>71.4285714285714</v>
      </c>
      <c r="Q52" s="1">
        <f ca="1" t="shared" si="4"/>
        <v>357.142857142857</v>
      </c>
      <c r="R52" s="5">
        <f ca="1" t="shared" si="11"/>
        <v>428.571428571428</v>
      </c>
      <c r="S52" s="1">
        <f ca="1">OFFSET(控制台!$N$3903,MATCH($C52,控制台!$B$3903:$B$3918,0)-1,0)</f>
        <v>0</v>
      </c>
      <c r="T52" s="1">
        <f ca="1" t="shared" si="5"/>
        <v>0</v>
      </c>
      <c r="U52" s="5">
        <f ca="1" t="shared" si="12"/>
        <v>0</v>
      </c>
    </row>
    <row r="53" spans="1:21">
      <c r="A53" s="11">
        <v>40</v>
      </c>
      <c r="B53" s="1">
        <f t="shared" si="6"/>
        <v>5</v>
      </c>
      <c r="C53" s="1">
        <f>IF(控制台!C2078="",C52,控制台!C2078)</f>
        <v>7</v>
      </c>
      <c r="D53" s="1">
        <f ca="1">OFFSET(控制台!$D$3903,MATCH($C53,控制台!$B$3903:$B$3918,0)-1,0)</f>
        <v>64.2857142857143</v>
      </c>
      <c r="E53" s="1">
        <f ca="1" t="shared" si="0"/>
        <v>321.428571428572</v>
      </c>
      <c r="F53" s="5">
        <f ca="1" t="shared" si="7"/>
        <v>2217.85714285714</v>
      </c>
      <c r="G53" s="1">
        <f ca="1">OFFSET(控制台!$E$3903,MATCH($C53,控制台!$B$3903:$B$3918,0)-1,0)</f>
        <v>1.14285714285714</v>
      </c>
      <c r="H53" s="1">
        <f ca="1" t="shared" si="1"/>
        <v>5.7142857142857</v>
      </c>
      <c r="I53" s="5">
        <f ca="1" t="shared" si="8"/>
        <v>36.5714285714285</v>
      </c>
      <c r="J53" s="1">
        <f ca="1">OFFSET(控制台!$G$3903,MATCH($C53,控制台!$B$3903:$B$3918,0)-1,0)</f>
        <v>142.857142857143</v>
      </c>
      <c r="K53" s="1">
        <f ca="1" t="shared" si="2"/>
        <v>714.285714285715</v>
      </c>
      <c r="L53" s="5">
        <f ca="1" t="shared" si="9"/>
        <v>3857.14285714286</v>
      </c>
      <c r="M53" s="1">
        <f ca="1">OFFSET(控制台!$H$3903,MATCH($C53,控制台!$B$3903:$B$3918,0)-1,0)</f>
        <v>107.142857142857</v>
      </c>
      <c r="N53" s="1">
        <f ca="1" t="shared" si="3"/>
        <v>535.714285714285</v>
      </c>
      <c r="O53" s="5">
        <f ca="1" t="shared" si="10"/>
        <v>2250</v>
      </c>
      <c r="P53" s="1">
        <f ca="1">OFFSET(控制台!$M$3903,MATCH($C53,控制台!$B$3903:$B$3918,0)-1,0)</f>
        <v>71.4285714285714</v>
      </c>
      <c r="Q53" s="1">
        <f ca="1" t="shared" si="4"/>
        <v>357.142857142857</v>
      </c>
      <c r="R53" s="5">
        <f ca="1" t="shared" si="11"/>
        <v>785.714285714285</v>
      </c>
      <c r="S53" s="1">
        <f ca="1">OFFSET(控制台!$N$3903,MATCH($C53,控制台!$B$3903:$B$3918,0)-1,0)</f>
        <v>0</v>
      </c>
      <c r="T53" s="1">
        <f ca="1" t="shared" si="5"/>
        <v>0</v>
      </c>
      <c r="U53" s="5">
        <f ca="1" t="shared" si="12"/>
        <v>0</v>
      </c>
    </row>
    <row r="54" spans="1:21">
      <c r="A54" s="11">
        <v>45</v>
      </c>
      <c r="B54" s="1">
        <f t="shared" si="6"/>
        <v>5</v>
      </c>
      <c r="C54" s="1">
        <f>IF(控制台!C2079="",C53,控制台!C2079)</f>
        <v>7</v>
      </c>
      <c r="D54" s="1">
        <f ca="1">OFFSET(控制台!$D$3903,MATCH($C54,控制台!$B$3903:$B$3918,0)-1,0)</f>
        <v>64.2857142857143</v>
      </c>
      <c r="E54" s="1">
        <f ca="1" t="shared" si="0"/>
        <v>321.428571428572</v>
      </c>
      <c r="F54" s="5">
        <f ca="1" t="shared" si="7"/>
        <v>2539.28571428571</v>
      </c>
      <c r="G54" s="1">
        <f ca="1">OFFSET(控制台!$E$3903,MATCH($C54,控制台!$B$3903:$B$3918,0)-1,0)</f>
        <v>1.14285714285714</v>
      </c>
      <c r="H54" s="1">
        <f ca="1" t="shared" si="1"/>
        <v>5.7142857142857</v>
      </c>
      <c r="I54" s="5">
        <f ca="1" t="shared" si="8"/>
        <v>42.2857142857142</v>
      </c>
      <c r="J54" s="1">
        <f ca="1">OFFSET(控制台!$G$3903,MATCH($C54,控制台!$B$3903:$B$3918,0)-1,0)</f>
        <v>142.857142857143</v>
      </c>
      <c r="K54" s="1">
        <f ca="1" t="shared" si="2"/>
        <v>714.285714285715</v>
      </c>
      <c r="L54" s="5">
        <f ca="1" t="shared" si="9"/>
        <v>4571.42857142858</v>
      </c>
      <c r="M54" s="1">
        <f ca="1">OFFSET(控制台!$H$3903,MATCH($C54,控制台!$B$3903:$B$3918,0)-1,0)</f>
        <v>107.142857142857</v>
      </c>
      <c r="N54" s="1">
        <f ca="1" t="shared" si="3"/>
        <v>535.714285714285</v>
      </c>
      <c r="O54" s="5">
        <f ca="1" t="shared" si="10"/>
        <v>2785.71428571428</v>
      </c>
      <c r="P54" s="1">
        <f ca="1">OFFSET(控制台!$M$3903,MATCH($C54,控制台!$B$3903:$B$3918,0)-1,0)</f>
        <v>71.4285714285714</v>
      </c>
      <c r="Q54" s="1">
        <f ca="1" t="shared" si="4"/>
        <v>357.142857142857</v>
      </c>
      <c r="R54" s="5">
        <f ca="1" t="shared" si="11"/>
        <v>1142.85714285714</v>
      </c>
      <c r="S54" s="1">
        <f ca="1">OFFSET(控制台!$N$3903,MATCH($C54,控制台!$B$3903:$B$3918,0)-1,0)</f>
        <v>0</v>
      </c>
      <c r="T54" s="1">
        <f ca="1" t="shared" si="5"/>
        <v>0</v>
      </c>
      <c r="U54" s="5">
        <f ca="1" t="shared" si="12"/>
        <v>0</v>
      </c>
    </row>
    <row r="55" spans="1:21">
      <c r="A55" s="11">
        <v>50</v>
      </c>
      <c r="B55" s="1">
        <f t="shared" si="6"/>
        <v>5</v>
      </c>
      <c r="C55" s="1">
        <f>IF(控制台!C2080="",C54,控制台!C2080)</f>
        <v>7</v>
      </c>
      <c r="D55" s="1">
        <f ca="1">OFFSET(控制台!$D$3903,MATCH($C55,控制台!$B$3903:$B$3918,0)-1,0)</f>
        <v>64.2857142857143</v>
      </c>
      <c r="E55" s="1">
        <f ca="1" t="shared" si="0"/>
        <v>321.428571428572</v>
      </c>
      <c r="F55" s="5">
        <f ca="1" t="shared" si="7"/>
        <v>2860.71428571429</v>
      </c>
      <c r="G55" s="1">
        <f ca="1">OFFSET(控制台!$E$3903,MATCH($C55,控制台!$B$3903:$B$3918,0)-1,0)</f>
        <v>1.14285714285714</v>
      </c>
      <c r="H55" s="1">
        <f ca="1" t="shared" si="1"/>
        <v>5.7142857142857</v>
      </c>
      <c r="I55" s="5">
        <f ca="1" t="shared" si="8"/>
        <v>47.9999999999999</v>
      </c>
      <c r="J55" s="1">
        <f ca="1">OFFSET(控制台!$G$3903,MATCH($C55,控制台!$B$3903:$B$3918,0)-1,0)</f>
        <v>142.857142857143</v>
      </c>
      <c r="K55" s="1">
        <f ca="1" t="shared" si="2"/>
        <v>714.285714285715</v>
      </c>
      <c r="L55" s="5">
        <f ca="1" t="shared" si="9"/>
        <v>5285.71428571429</v>
      </c>
      <c r="M55" s="1">
        <f ca="1">OFFSET(控制台!$H$3903,MATCH($C55,控制台!$B$3903:$B$3918,0)-1,0)</f>
        <v>107.142857142857</v>
      </c>
      <c r="N55" s="1">
        <f ca="1" t="shared" si="3"/>
        <v>535.714285714285</v>
      </c>
      <c r="O55" s="5">
        <f ca="1" t="shared" si="10"/>
        <v>3321.42857142857</v>
      </c>
      <c r="P55" s="1">
        <f ca="1">OFFSET(控制台!$M$3903,MATCH($C55,控制台!$B$3903:$B$3918,0)-1,0)</f>
        <v>71.4285714285714</v>
      </c>
      <c r="Q55" s="1">
        <f ca="1" t="shared" si="4"/>
        <v>357.142857142857</v>
      </c>
      <c r="R55" s="5">
        <f ca="1" t="shared" si="11"/>
        <v>1500</v>
      </c>
      <c r="S55" s="1">
        <f ca="1">OFFSET(控制台!$N$3903,MATCH($C55,控制台!$B$3903:$B$3918,0)-1,0)</f>
        <v>0</v>
      </c>
      <c r="T55" s="1">
        <f ca="1" t="shared" si="5"/>
        <v>0</v>
      </c>
      <c r="U55" s="5">
        <f ca="1" t="shared" si="12"/>
        <v>0</v>
      </c>
    </row>
    <row r="56" spans="1:21">
      <c r="A56" s="11">
        <v>55</v>
      </c>
      <c r="B56" s="1">
        <f t="shared" si="6"/>
        <v>5</v>
      </c>
      <c r="C56" s="1">
        <f>IF(控制台!C2081="",C55,控制台!C2081)</f>
        <v>7</v>
      </c>
      <c r="D56" s="1">
        <f ca="1">OFFSET(控制台!$D$3903,MATCH($C56,控制台!$B$3903:$B$3918,0)-1,0)</f>
        <v>64.2857142857143</v>
      </c>
      <c r="E56" s="1">
        <f ca="1" t="shared" si="0"/>
        <v>321.428571428572</v>
      </c>
      <c r="F56" s="5">
        <f ca="1" t="shared" si="7"/>
        <v>3182.14285714286</v>
      </c>
      <c r="G56" s="1">
        <f ca="1">OFFSET(控制台!$E$3903,MATCH($C56,控制台!$B$3903:$B$3918,0)-1,0)</f>
        <v>1.14285714285714</v>
      </c>
      <c r="H56" s="1">
        <f ca="1" t="shared" si="1"/>
        <v>5.7142857142857</v>
      </c>
      <c r="I56" s="5">
        <f ca="1" t="shared" si="8"/>
        <v>53.7142857142856</v>
      </c>
      <c r="J56" s="1">
        <f ca="1">OFFSET(控制台!$G$3903,MATCH($C56,控制台!$B$3903:$B$3918,0)-1,0)</f>
        <v>142.857142857143</v>
      </c>
      <c r="K56" s="1">
        <f ca="1" t="shared" si="2"/>
        <v>714.285714285715</v>
      </c>
      <c r="L56" s="5">
        <f ca="1" t="shared" si="9"/>
        <v>6000.00000000001</v>
      </c>
      <c r="M56" s="1">
        <f ca="1">OFFSET(控制台!$H$3903,MATCH($C56,控制台!$B$3903:$B$3918,0)-1,0)</f>
        <v>107.142857142857</v>
      </c>
      <c r="N56" s="1">
        <f ca="1" t="shared" si="3"/>
        <v>535.714285714285</v>
      </c>
      <c r="O56" s="5">
        <f ca="1" t="shared" si="10"/>
        <v>3857.14285714285</v>
      </c>
      <c r="P56" s="1">
        <f ca="1">OFFSET(控制台!$M$3903,MATCH($C56,控制台!$B$3903:$B$3918,0)-1,0)</f>
        <v>71.4285714285714</v>
      </c>
      <c r="Q56" s="1">
        <f ca="1" t="shared" si="4"/>
        <v>357.142857142857</v>
      </c>
      <c r="R56" s="5">
        <f ca="1" t="shared" si="11"/>
        <v>1857.14285714286</v>
      </c>
      <c r="S56" s="1">
        <f ca="1">OFFSET(控制台!$N$3903,MATCH($C56,控制台!$B$3903:$B$3918,0)-1,0)</f>
        <v>0</v>
      </c>
      <c r="T56" s="1">
        <f ca="1" t="shared" si="5"/>
        <v>0</v>
      </c>
      <c r="U56" s="5">
        <f ca="1" t="shared" si="12"/>
        <v>0</v>
      </c>
    </row>
    <row r="57" spans="1:21">
      <c r="A57" s="11">
        <v>60</v>
      </c>
      <c r="B57" s="1">
        <f t="shared" si="6"/>
        <v>5</v>
      </c>
      <c r="C57" s="1">
        <f>IF(控制台!C2082="",C56,控制台!C2082)</f>
        <v>8</v>
      </c>
      <c r="D57" s="1">
        <f ca="1">OFFSET(控制台!$D$3903,MATCH($C57,控制台!$B$3903:$B$3918,0)-1,0)</f>
        <v>64.2857142857143</v>
      </c>
      <c r="E57" s="1">
        <f ca="1" t="shared" si="0"/>
        <v>321.428571428572</v>
      </c>
      <c r="F57" s="5">
        <f ca="1" t="shared" si="7"/>
        <v>3503.57142857143</v>
      </c>
      <c r="G57" s="1">
        <f ca="1">OFFSET(控制台!$E$3903,MATCH($C57,控制台!$B$3903:$B$3918,0)-1,0)</f>
        <v>2.28571428571429</v>
      </c>
      <c r="H57" s="1">
        <f ca="1" t="shared" si="1"/>
        <v>11.4285714285715</v>
      </c>
      <c r="I57" s="5">
        <f ca="1" t="shared" si="8"/>
        <v>65.142857142857</v>
      </c>
      <c r="J57" s="1">
        <f ca="1">OFFSET(控制台!$G$3903,MATCH($C57,控制台!$B$3903:$B$3918,0)-1,0)</f>
        <v>142.857142857143</v>
      </c>
      <c r="K57" s="1">
        <f ca="1" t="shared" si="2"/>
        <v>714.285714285715</v>
      </c>
      <c r="L57" s="5">
        <f ca="1" t="shared" si="9"/>
        <v>6714.28571428572</v>
      </c>
      <c r="M57" s="1">
        <f ca="1">OFFSET(控制台!$H$3903,MATCH($C57,控制台!$B$3903:$B$3918,0)-1,0)</f>
        <v>133.285714285714</v>
      </c>
      <c r="N57" s="1">
        <f ca="1" t="shared" si="3"/>
        <v>666.42857142857</v>
      </c>
      <c r="O57" s="5">
        <f ca="1" t="shared" si="10"/>
        <v>4523.57142857142</v>
      </c>
      <c r="P57" s="1">
        <f ca="1">OFFSET(控制台!$M$3903,MATCH($C57,控制台!$B$3903:$B$3918,0)-1,0)</f>
        <v>71.4285714285714</v>
      </c>
      <c r="Q57" s="1">
        <f ca="1" t="shared" si="4"/>
        <v>357.142857142857</v>
      </c>
      <c r="R57" s="5">
        <f ca="1" t="shared" si="11"/>
        <v>2214.28571428571</v>
      </c>
      <c r="S57" s="1">
        <f ca="1">OFFSET(控制台!$N$3903,MATCH($C57,控制台!$B$3903:$B$3918,0)-1,0)</f>
        <v>64.2857142857143</v>
      </c>
      <c r="T57" s="1">
        <f ca="1" t="shared" si="5"/>
        <v>321.428571428572</v>
      </c>
      <c r="U57" s="5">
        <f ca="1" t="shared" si="12"/>
        <v>321.428571428572</v>
      </c>
    </row>
    <row r="58" spans="1:21">
      <c r="A58" s="11">
        <v>65</v>
      </c>
      <c r="B58" s="1">
        <f t="shared" si="6"/>
        <v>5</v>
      </c>
      <c r="C58" s="1">
        <f>IF(控制台!C2083="",C57,控制台!C2083)</f>
        <v>8</v>
      </c>
      <c r="D58" s="1">
        <f ca="1">OFFSET(控制台!$D$3903,MATCH($C58,控制台!$B$3903:$B$3918,0)-1,0)</f>
        <v>64.2857142857143</v>
      </c>
      <c r="E58" s="1">
        <f ca="1" t="shared" si="0"/>
        <v>321.428571428572</v>
      </c>
      <c r="F58" s="5">
        <f ca="1" t="shared" si="7"/>
        <v>3825</v>
      </c>
      <c r="G58" s="1">
        <f ca="1">OFFSET(控制台!$E$3903,MATCH($C58,控制台!$B$3903:$B$3918,0)-1,0)</f>
        <v>2.28571428571429</v>
      </c>
      <c r="H58" s="1">
        <f ca="1" t="shared" si="1"/>
        <v>11.4285714285715</v>
      </c>
      <c r="I58" s="5">
        <f ca="1" t="shared" si="8"/>
        <v>76.5714285714285</v>
      </c>
      <c r="J58" s="1">
        <f ca="1">OFFSET(控制台!$G$3903,MATCH($C58,控制台!$B$3903:$B$3918,0)-1,0)</f>
        <v>142.857142857143</v>
      </c>
      <c r="K58" s="1">
        <f ca="1" t="shared" si="2"/>
        <v>714.285714285715</v>
      </c>
      <c r="L58" s="5">
        <f ca="1" t="shared" si="9"/>
        <v>7428.57142857144</v>
      </c>
      <c r="M58" s="1">
        <f ca="1">OFFSET(控制台!$H$3903,MATCH($C58,控制台!$B$3903:$B$3918,0)-1,0)</f>
        <v>133.285714285714</v>
      </c>
      <c r="N58" s="1">
        <f ca="1" t="shared" si="3"/>
        <v>666.42857142857</v>
      </c>
      <c r="O58" s="5">
        <f ca="1" t="shared" si="10"/>
        <v>5189.99999999999</v>
      </c>
      <c r="P58" s="1">
        <f ca="1">OFFSET(控制台!$M$3903,MATCH($C58,控制台!$B$3903:$B$3918,0)-1,0)</f>
        <v>71.4285714285714</v>
      </c>
      <c r="Q58" s="1">
        <f ca="1" t="shared" si="4"/>
        <v>357.142857142857</v>
      </c>
      <c r="R58" s="5">
        <f ca="1" t="shared" si="11"/>
        <v>2571.42857142857</v>
      </c>
      <c r="S58" s="1">
        <f ca="1">OFFSET(控制台!$N$3903,MATCH($C58,控制台!$B$3903:$B$3918,0)-1,0)</f>
        <v>64.2857142857143</v>
      </c>
      <c r="T58" s="1">
        <f ca="1" t="shared" si="5"/>
        <v>321.428571428572</v>
      </c>
      <c r="U58" s="5">
        <f ca="1" t="shared" si="12"/>
        <v>642.857142857143</v>
      </c>
    </row>
    <row r="59" spans="1:21">
      <c r="A59" s="11">
        <v>70</v>
      </c>
      <c r="B59" s="1">
        <f t="shared" si="6"/>
        <v>5</v>
      </c>
      <c r="C59" s="1">
        <f>IF(控制台!C2084="",C58,控制台!C2084)</f>
        <v>8</v>
      </c>
      <c r="D59" s="1">
        <f ca="1">OFFSET(控制台!$D$3903,MATCH($C59,控制台!$B$3903:$B$3918,0)-1,0)</f>
        <v>64.2857142857143</v>
      </c>
      <c r="E59" s="1">
        <f ca="1" t="shared" si="0"/>
        <v>321.428571428572</v>
      </c>
      <c r="F59" s="5">
        <f ca="1" t="shared" si="7"/>
        <v>4146.42857142857</v>
      </c>
      <c r="G59" s="1">
        <f ca="1">OFFSET(控制台!$E$3903,MATCH($C59,控制台!$B$3903:$B$3918,0)-1,0)</f>
        <v>2.28571428571429</v>
      </c>
      <c r="H59" s="1">
        <f ca="1" t="shared" si="1"/>
        <v>11.4285714285715</v>
      </c>
      <c r="I59" s="5">
        <f ca="1" t="shared" si="8"/>
        <v>87.9999999999999</v>
      </c>
      <c r="J59" s="1">
        <f ca="1">OFFSET(控制台!$G$3903,MATCH($C59,控制台!$B$3903:$B$3918,0)-1,0)</f>
        <v>142.857142857143</v>
      </c>
      <c r="K59" s="1">
        <f ca="1" t="shared" si="2"/>
        <v>714.285714285715</v>
      </c>
      <c r="L59" s="5">
        <f ca="1" t="shared" si="9"/>
        <v>8142.85714285715</v>
      </c>
      <c r="M59" s="1">
        <f ca="1">OFFSET(控制台!$H$3903,MATCH($C59,控制台!$B$3903:$B$3918,0)-1,0)</f>
        <v>133.285714285714</v>
      </c>
      <c r="N59" s="1">
        <f ca="1" t="shared" si="3"/>
        <v>666.42857142857</v>
      </c>
      <c r="O59" s="5">
        <f ca="1" t="shared" si="10"/>
        <v>5856.42857142856</v>
      </c>
      <c r="P59" s="1">
        <f ca="1">OFFSET(控制台!$M$3903,MATCH($C59,控制台!$B$3903:$B$3918,0)-1,0)</f>
        <v>71.4285714285714</v>
      </c>
      <c r="Q59" s="1">
        <f ca="1" t="shared" si="4"/>
        <v>357.142857142857</v>
      </c>
      <c r="R59" s="5">
        <f ca="1" t="shared" si="11"/>
        <v>2928.57142857143</v>
      </c>
      <c r="S59" s="1">
        <f ca="1">OFFSET(控制台!$N$3903,MATCH($C59,控制台!$B$3903:$B$3918,0)-1,0)</f>
        <v>64.2857142857143</v>
      </c>
      <c r="T59" s="1">
        <f ca="1" t="shared" si="5"/>
        <v>321.428571428572</v>
      </c>
      <c r="U59" s="5">
        <f ca="1" t="shared" si="12"/>
        <v>964.285714285715</v>
      </c>
    </row>
    <row r="60" spans="1:21">
      <c r="A60" s="11">
        <v>75</v>
      </c>
      <c r="B60" s="1">
        <f t="shared" si="6"/>
        <v>5</v>
      </c>
      <c r="C60" s="1">
        <f>IF(控制台!C2085="",C59,控制台!C2085)</f>
        <v>8</v>
      </c>
      <c r="D60" s="1">
        <f ca="1">OFFSET(控制台!$D$3903,MATCH($C60,控制台!$B$3903:$B$3918,0)-1,0)</f>
        <v>64.2857142857143</v>
      </c>
      <c r="E60" s="1">
        <f ca="1" t="shared" si="0"/>
        <v>321.428571428572</v>
      </c>
      <c r="F60" s="5">
        <f ca="1" t="shared" si="7"/>
        <v>4467.85714285714</v>
      </c>
      <c r="G60" s="1">
        <f ca="1">OFFSET(控制台!$E$3903,MATCH($C60,控制台!$B$3903:$B$3918,0)-1,0)</f>
        <v>2.28571428571429</v>
      </c>
      <c r="H60" s="1">
        <f ca="1" t="shared" si="1"/>
        <v>11.4285714285715</v>
      </c>
      <c r="I60" s="5">
        <f ca="1" t="shared" si="8"/>
        <v>99.4285714285714</v>
      </c>
      <c r="J60" s="1">
        <f ca="1">OFFSET(控制台!$G$3903,MATCH($C60,控制台!$B$3903:$B$3918,0)-1,0)</f>
        <v>142.857142857143</v>
      </c>
      <c r="K60" s="1">
        <f ca="1" t="shared" si="2"/>
        <v>714.285714285715</v>
      </c>
      <c r="L60" s="5">
        <f ca="1" t="shared" si="9"/>
        <v>8857.14285714287</v>
      </c>
      <c r="M60" s="1">
        <f ca="1">OFFSET(控制台!$H$3903,MATCH($C60,控制台!$B$3903:$B$3918,0)-1,0)</f>
        <v>133.285714285714</v>
      </c>
      <c r="N60" s="1">
        <f ca="1" t="shared" si="3"/>
        <v>666.42857142857</v>
      </c>
      <c r="O60" s="5">
        <f ca="1" t="shared" si="10"/>
        <v>6522.85714285713</v>
      </c>
      <c r="P60" s="1">
        <f ca="1">OFFSET(控制台!$M$3903,MATCH($C60,控制台!$B$3903:$B$3918,0)-1,0)</f>
        <v>71.4285714285714</v>
      </c>
      <c r="Q60" s="1">
        <f ca="1" t="shared" si="4"/>
        <v>357.142857142857</v>
      </c>
      <c r="R60" s="5">
        <f ca="1" t="shared" si="11"/>
        <v>3285.71428571428</v>
      </c>
      <c r="S60" s="1">
        <f ca="1">OFFSET(控制台!$N$3903,MATCH($C60,控制台!$B$3903:$B$3918,0)-1,0)</f>
        <v>64.2857142857143</v>
      </c>
      <c r="T60" s="1">
        <f ca="1" t="shared" si="5"/>
        <v>321.428571428572</v>
      </c>
      <c r="U60" s="5">
        <f ca="1" t="shared" si="12"/>
        <v>1285.71428571429</v>
      </c>
    </row>
    <row r="61" spans="1:21">
      <c r="A61" s="11">
        <v>80</v>
      </c>
      <c r="B61" s="1">
        <f t="shared" si="6"/>
        <v>5</v>
      </c>
      <c r="C61" s="1">
        <f>IF(控制台!C2086="",C60,控制台!C2086)</f>
        <v>8</v>
      </c>
      <c r="D61" s="1">
        <f ca="1">OFFSET(控制台!$D$3903,MATCH($C61,控制台!$B$3903:$B$3918,0)-1,0)</f>
        <v>64.2857142857143</v>
      </c>
      <c r="E61" s="1">
        <f ca="1" t="shared" si="0"/>
        <v>321.428571428572</v>
      </c>
      <c r="F61" s="5">
        <f ca="1" t="shared" si="7"/>
        <v>4789.28571428572</v>
      </c>
      <c r="G61" s="1">
        <f ca="1">OFFSET(控制台!$E$3903,MATCH($C61,控制台!$B$3903:$B$3918,0)-1,0)</f>
        <v>2.28571428571429</v>
      </c>
      <c r="H61" s="1">
        <f ca="1" t="shared" si="1"/>
        <v>11.4285714285715</v>
      </c>
      <c r="I61" s="5">
        <f ca="1" t="shared" si="8"/>
        <v>110.857142857143</v>
      </c>
      <c r="J61" s="1">
        <f ca="1">OFFSET(控制台!$G$3903,MATCH($C61,控制台!$B$3903:$B$3918,0)-1,0)</f>
        <v>142.857142857143</v>
      </c>
      <c r="K61" s="1">
        <f ca="1" t="shared" si="2"/>
        <v>714.285714285715</v>
      </c>
      <c r="L61" s="5">
        <f ca="1" t="shared" si="9"/>
        <v>9571.42857142858</v>
      </c>
      <c r="M61" s="1">
        <f ca="1">OFFSET(控制台!$H$3903,MATCH($C61,控制台!$B$3903:$B$3918,0)-1,0)</f>
        <v>133.285714285714</v>
      </c>
      <c r="N61" s="1">
        <f ca="1" t="shared" si="3"/>
        <v>666.42857142857</v>
      </c>
      <c r="O61" s="5">
        <f ca="1" t="shared" si="10"/>
        <v>7189.2857142857</v>
      </c>
      <c r="P61" s="1">
        <f ca="1">OFFSET(控制台!$M$3903,MATCH($C61,控制台!$B$3903:$B$3918,0)-1,0)</f>
        <v>71.4285714285714</v>
      </c>
      <c r="Q61" s="1">
        <f ca="1" t="shared" si="4"/>
        <v>357.142857142857</v>
      </c>
      <c r="R61" s="5">
        <f ca="1" t="shared" si="11"/>
        <v>3642.85714285714</v>
      </c>
      <c r="S61" s="1">
        <f ca="1">OFFSET(控制台!$N$3903,MATCH($C61,控制台!$B$3903:$B$3918,0)-1,0)</f>
        <v>64.2857142857143</v>
      </c>
      <c r="T61" s="1">
        <f ca="1" t="shared" si="5"/>
        <v>321.428571428572</v>
      </c>
      <c r="U61" s="5">
        <f ca="1" t="shared" si="12"/>
        <v>1607.14285714286</v>
      </c>
    </row>
    <row r="62" spans="1:21">
      <c r="A62" s="11">
        <v>85</v>
      </c>
      <c r="B62" s="1">
        <f t="shared" si="6"/>
        <v>5</v>
      </c>
      <c r="C62" s="1">
        <f>IF(控制台!C2087="",C61,控制台!C2087)</f>
        <v>8</v>
      </c>
      <c r="D62" s="1">
        <f ca="1">OFFSET(控制台!$D$3903,MATCH($C62,控制台!$B$3903:$B$3918,0)-1,0)</f>
        <v>64.2857142857143</v>
      </c>
      <c r="E62" s="1">
        <f ca="1" t="shared" si="0"/>
        <v>321.428571428572</v>
      </c>
      <c r="F62" s="5">
        <f ca="1" t="shared" si="7"/>
        <v>5110.71428571429</v>
      </c>
      <c r="G62" s="1">
        <f ca="1">OFFSET(控制台!$E$3903,MATCH($C62,控制台!$B$3903:$B$3918,0)-1,0)</f>
        <v>2.28571428571429</v>
      </c>
      <c r="H62" s="1">
        <f ca="1" t="shared" si="1"/>
        <v>11.4285714285715</v>
      </c>
      <c r="I62" s="5">
        <f ca="1" t="shared" si="8"/>
        <v>122.285714285714</v>
      </c>
      <c r="J62" s="1">
        <f ca="1">OFFSET(控制台!$G$3903,MATCH($C62,控制台!$B$3903:$B$3918,0)-1,0)</f>
        <v>142.857142857143</v>
      </c>
      <c r="K62" s="1">
        <f ca="1" t="shared" si="2"/>
        <v>714.285714285715</v>
      </c>
      <c r="L62" s="5">
        <f ca="1" t="shared" si="9"/>
        <v>10285.7142857143</v>
      </c>
      <c r="M62" s="1">
        <f ca="1">OFFSET(控制台!$H$3903,MATCH($C62,控制台!$B$3903:$B$3918,0)-1,0)</f>
        <v>133.285714285714</v>
      </c>
      <c r="N62" s="1">
        <f ca="1" t="shared" si="3"/>
        <v>666.42857142857</v>
      </c>
      <c r="O62" s="5">
        <f ca="1" t="shared" si="10"/>
        <v>7855.71428571427</v>
      </c>
      <c r="P62" s="1">
        <f ca="1">OFFSET(控制台!$M$3903,MATCH($C62,控制台!$B$3903:$B$3918,0)-1,0)</f>
        <v>71.4285714285714</v>
      </c>
      <c r="Q62" s="1">
        <f ca="1" t="shared" si="4"/>
        <v>357.142857142857</v>
      </c>
      <c r="R62" s="5">
        <f ca="1" t="shared" si="11"/>
        <v>4000</v>
      </c>
      <c r="S62" s="1">
        <f ca="1">OFFSET(控制台!$N$3903,MATCH($C62,控制台!$B$3903:$B$3918,0)-1,0)</f>
        <v>64.2857142857143</v>
      </c>
      <c r="T62" s="1">
        <f ca="1" t="shared" si="5"/>
        <v>321.428571428572</v>
      </c>
      <c r="U62" s="5">
        <f ca="1" t="shared" si="12"/>
        <v>1928.57142857143</v>
      </c>
    </row>
    <row r="63" spans="1:21">
      <c r="A63" s="11">
        <v>90</v>
      </c>
      <c r="B63" s="1">
        <f t="shared" si="6"/>
        <v>5</v>
      </c>
      <c r="C63" s="1">
        <f>IF(控制台!C2088="",C62,控制台!C2088)</f>
        <v>9</v>
      </c>
      <c r="D63" s="1">
        <f ca="1">OFFSET(控制台!$D$3903,MATCH($C63,控制台!$B$3903:$B$3918,0)-1,0)</f>
        <v>64.2857142857143</v>
      </c>
      <c r="E63" s="1">
        <f ca="1" t="shared" si="0"/>
        <v>321.428571428572</v>
      </c>
      <c r="F63" s="5">
        <f ca="1" t="shared" si="7"/>
        <v>5432.14285714286</v>
      </c>
      <c r="G63" s="1">
        <f ca="1">OFFSET(控制台!$E$3903,MATCH($C63,控制台!$B$3903:$B$3918,0)-1,0)</f>
        <v>2.28571428571429</v>
      </c>
      <c r="H63" s="1">
        <f ca="1" t="shared" si="1"/>
        <v>11.4285714285715</v>
      </c>
      <c r="I63" s="5">
        <f ca="1" t="shared" si="8"/>
        <v>133.714285714286</v>
      </c>
      <c r="J63" s="1">
        <f ca="1">OFFSET(控制台!$G$3903,MATCH($C63,控制台!$B$3903:$B$3918,0)-1,0)</f>
        <v>142.857142857143</v>
      </c>
      <c r="K63" s="1">
        <f ca="1" t="shared" si="2"/>
        <v>714.285714285715</v>
      </c>
      <c r="L63" s="5">
        <f ca="1" t="shared" si="9"/>
        <v>11000</v>
      </c>
      <c r="M63" s="1">
        <f ca="1">OFFSET(控制台!$H$3903,MATCH($C63,控制台!$B$3903:$B$3918,0)-1,0)</f>
        <v>133.285714285714</v>
      </c>
      <c r="N63" s="1">
        <f ca="1" t="shared" si="3"/>
        <v>666.42857142857</v>
      </c>
      <c r="O63" s="5">
        <f ca="1" t="shared" si="10"/>
        <v>8522.14285714284</v>
      </c>
      <c r="P63" s="1">
        <f ca="1">OFFSET(控制台!$M$3903,MATCH($C63,控制台!$B$3903:$B$3918,0)-1,0)</f>
        <v>71.4285714285714</v>
      </c>
      <c r="Q63" s="1">
        <f ca="1" t="shared" si="4"/>
        <v>357.142857142857</v>
      </c>
      <c r="R63" s="5">
        <f ca="1" t="shared" si="11"/>
        <v>4357.14285714285</v>
      </c>
      <c r="S63" s="1">
        <f ca="1">OFFSET(控制台!$N$3903,MATCH($C63,控制台!$B$3903:$B$3918,0)-1,0)</f>
        <v>64.2857142857143</v>
      </c>
      <c r="T63" s="1">
        <f ca="1" t="shared" si="5"/>
        <v>321.428571428572</v>
      </c>
      <c r="U63" s="5">
        <f ca="1" t="shared" si="12"/>
        <v>2250</v>
      </c>
    </row>
    <row r="64" spans="1:21">
      <c r="A64" s="11">
        <v>95</v>
      </c>
      <c r="B64" s="1">
        <f t="shared" si="6"/>
        <v>5</v>
      </c>
      <c r="C64" s="1">
        <f>IF(控制台!C2089="",C63,控制台!C2089)</f>
        <v>9</v>
      </c>
      <c r="D64" s="1">
        <f ca="1">OFFSET(控制台!$D$3903,MATCH($C64,控制台!$B$3903:$B$3918,0)-1,0)</f>
        <v>64.2857142857143</v>
      </c>
      <c r="E64" s="1">
        <f ca="1" t="shared" si="0"/>
        <v>321.428571428572</v>
      </c>
      <c r="F64" s="5">
        <f ca="1" t="shared" si="7"/>
        <v>5753.57142857143</v>
      </c>
      <c r="G64" s="1">
        <f ca="1">OFFSET(控制台!$E$3903,MATCH($C64,控制台!$B$3903:$B$3918,0)-1,0)</f>
        <v>2.28571428571429</v>
      </c>
      <c r="H64" s="1">
        <f ca="1" t="shared" si="1"/>
        <v>11.4285714285715</v>
      </c>
      <c r="I64" s="5">
        <f ca="1" t="shared" si="8"/>
        <v>145.142857142857</v>
      </c>
      <c r="J64" s="1">
        <f ca="1">OFFSET(控制台!$G$3903,MATCH($C64,控制台!$B$3903:$B$3918,0)-1,0)</f>
        <v>142.857142857143</v>
      </c>
      <c r="K64" s="1">
        <f ca="1" t="shared" si="2"/>
        <v>714.285714285715</v>
      </c>
      <c r="L64" s="5">
        <f ca="1" t="shared" si="9"/>
        <v>11714.2857142857</v>
      </c>
      <c r="M64" s="1">
        <f ca="1">OFFSET(控制台!$H$3903,MATCH($C64,控制台!$B$3903:$B$3918,0)-1,0)</f>
        <v>133.285714285714</v>
      </c>
      <c r="N64" s="1">
        <f ca="1" t="shared" si="3"/>
        <v>666.42857142857</v>
      </c>
      <c r="O64" s="5">
        <f ca="1" t="shared" si="10"/>
        <v>9188.57142857141</v>
      </c>
      <c r="P64" s="1">
        <f ca="1">OFFSET(控制台!$M$3903,MATCH($C64,控制台!$B$3903:$B$3918,0)-1,0)</f>
        <v>71.4285714285714</v>
      </c>
      <c r="Q64" s="1">
        <f ca="1" t="shared" si="4"/>
        <v>357.142857142857</v>
      </c>
      <c r="R64" s="5">
        <f ca="1" t="shared" si="11"/>
        <v>4714.28571428571</v>
      </c>
      <c r="S64" s="1">
        <f ca="1">OFFSET(控制台!$N$3903,MATCH($C64,控制台!$B$3903:$B$3918,0)-1,0)</f>
        <v>64.2857142857143</v>
      </c>
      <c r="T64" s="1">
        <f ca="1" t="shared" si="5"/>
        <v>321.428571428572</v>
      </c>
      <c r="U64" s="5">
        <f ca="1" t="shared" si="12"/>
        <v>2571.42857142857</v>
      </c>
    </row>
    <row r="65" spans="1:21">
      <c r="A65" s="11">
        <v>100</v>
      </c>
      <c r="B65" s="1">
        <f t="shared" si="6"/>
        <v>5</v>
      </c>
      <c r="C65" s="1">
        <f>IF(控制台!C2090="",C64,控制台!C2090)</f>
        <v>9</v>
      </c>
      <c r="D65" s="1">
        <f ca="1">OFFSET(控制台!$D$3903,MATCH($C65,控制台!$B$3903:$B$3918,0)-1,0)</f>
        <v>64.2857142857143</v>
      </c>
      <c r="E65" s="1">
        <f ca="1" t="shared" si="0"/>
        <v>321.428571428572</v>
      </c>
      <c r="F65" s="5">
        <f ca="1" t="shared" si="7"/>
        <v>6075</v>
      </c>
      <c r="G65" s="1">
        <f ca="1">OFFSET(控制台!$E$3903,MATCH($C65,控制台!$B$3903:$B$3918,0)-1,0)</f>
        <v>2.28571428571429</v>
      </c>
      <c r="H65" s="1">
        <f ca="1" t="shared" si="1"/>
        <v>11.4285714285715</v>
      </c>
      <c r="I65" s="5">
        <f ca="1" t="shared" si="8"/>
        <v>156.571428571429</v>
      </c>
      <c r="J65" s="1">
        <f ca="1">OFFSET(控制台!$G$3903,MATCH($C65,控制台!$B$3903:$B$3918,0)-1,0)</f>
        <v>142.857142857143</v>
      </c>
      <c r="K65" s="1">
        <f ca="1" t="shared" si="2"/>
        <v>714.285714285715</v>
      </c>
      <c r="L65" s="5">
        <f ca="1" t="shared" si="9"/>
        <v>12428.5714285714</v>
      </c>
      <c r="M65" s="1">
        <f ca="1">OFFSET(控制台!$H$3903,MATCH($C65,控制台!$B$3903:$B$3918,0)-1,0)</f>
        <v>133.285714285714</v>
      </c>
      <c r="N65" s="1">
        <f ca="1" t="shared" si="3"/>
        <v>666.42857142857</v>
      </c>
      <c r="O65" s="5">
        <f ca="1" t="shared" si="10"/>
        <v>9854.99999999998</v>
      </c>
      <c r="P65" s="1">
        <f ca="1">OFFSET(控制台!$M$3903,MATCH($C65,控制台!$B$3903:$B$3918,0)-1,0)</f>
        <v>71.4285714285714</v>
      </c>
      <c r="Q65" s="1">
        <f ca="1" t="shared" si="4"/>
        <v>357.142857142857</v>
      </c>
      <c r="R65" s="5">
        <f ca="1" t="shared" si="11"/>
        <v>5071.42857142857</v>
      </c>
      <c r="S65" s="1">
        <f ca="1">OFFSET(控制台!$N$3903,MATCH($C65,控制台!$B$3903:$B$3918,0)-1,0)</f>
        <v>64.2857142857143</v>
      </c>
      <c r="T65" s="1">
        <f ca="1" t="shared" si="5"/>
        <v>321.428571428572</v>
      </c>
      <c r="U65" s="5">
        <f ca="1" t="shared" si="12"/>
        <v>2892.85714285714</v>
      </c>
    </row>
    <row r="66" spans="1:21">
      <c r="A66" s="11">
        <v>105</v>
      </c>
      <c r="B66" s="1">
        <f t="shared" si="6"/>
        <v>5</v>
      </c>
      <c r="C66" s="1">
        <f>IF(控制台!C2091="",C65,控制台!C2091)</f>
        <v>9</v>
      </c>
      <c r="D66" s="1">
        <f ca="1">OFFSET(控制台!$D$3903,MATCH($C66,控制台!$B$3903:$B$3918,0)-1,0)</f>
        <v>64.2857142857143</v>
      </c>
      <c r="E66" s="1">
        <f ca="1" t="shared" si="0"/>
        <v>321.428571428572</v>
      </c>
      <c r="F66" s="5">
        <f ca="1" t="shared" si="7"/>
        <v>6396.42857142857</v>
      </c>
      <c r="G66" s="1">
        <f ca="1">OFFSET(控制台!$E$3903,MATCH($C66,控制台!$B$3903:$B$3918,0)-1,0)</f>
        <v>2.28571428571429</v>
      </c>
      <c r="H66" s="1">
        <f ca="1" t="shared" si="1"/>
        <v>11.4285714285715</v>
      </c>
      <c r="I66" s="5">
        <f ca="1" t="shared" si="8"/>
        <v>168</v>
      </c>
      <c r="J66" s="1">
        <f ca="1">OFFSET(控制台!$G$3903,MATCH($C66,控制台!$B$3903:$B$3918,0)-1,0)</f>
        <v>142.857142857143</v>
      </c>
      <c r="K66" s="1">
        <f ca="1" t="shared" si="2"/>
        <v>714.285714285715</v>
      </c>
      <c r="L66" s="5">
        <f ca="1" t="shared" si="9"/>
        <v>13142.8571428572</v>
      </c>
      <c r="M66" s="1">
        <f ca="1">OFFSET(控制台!$H$3903,MATCH($C66,控制台!$B$3903:$B$3918,0)-1,0)</f>
        <v>133.285714285714</v>
      </c>
      <c r="N66" s="1">
        <f ca="1" t="shared" si="3"/>
        <v>666.42857142857</v>
      </c>
      <c r="O66" s="5">
        <f ca="1" t="shared" si="10"/>
        <v>10521.4285714286</v>
      </c>
      <c r="P66" s="1">
        <f ca="1">OFFSET(控制台!$M$3903,MATCH($C66,控制台!$B$3903:$B$3918,0)-1,0)</f>
        <v>71.4285714285714</v>
      </c>
      <c r="Q66" s="1">
        <f ca="1" t="shared" si="4"/>
        <v>357.142857142857</v>
      </c>
      <c r="R66" s="5">
        <f ca="1" t="shared" si="11"/>
        <v>5428.57142857142</v>
      </c>
      <c r="S66" s="1">
        <f ca="1">OFFSET(控制台!$N$3903,MATCH($C66,控制台!$B$3903:$B$3918,0)-1,0)</f>
        <v>64.2857142857143</v>
      </c>
      <c r="T66" s="1">
        <f ca="1" t="shared" si="5"/>
        <v>321.428571428572</v>
      </c>
      <c r="U66" s="5">
        <f ca="1" t="shared" si="12"/>
        <v>3214.28571428572</v>
      </c>
    </row>
    <row r="67" spans="1:21">
      <c r="A67" s="11">
        <v>110</v>
      </c>
      <c r="B67" s="1">
        <f t="shared" si="6"/>
        <v>5</v>
      </c>
      <c r="C67" s="1">
        <f>IF(控制台!C2092="",C66,控制台!C2092)</f>
        <v>9</v>
      </c>
      <c r="D67" s="1">
        <f ca="1">OFFSET(控制台!$D$3903,MATCH($C67,控制台!$B$3903:$B$3918,0)-1,0)</f>
        <v>64.2857142857143</v>
      </c>
      <c r="E67" s="1">
        <f ca="1" t="shared" si="0"/>
        <v>321.428571428572</v>
      </c>
      <c r="F67" s="5">
        <f ca="1" t="shared" si="7"/>
        <v>6717.85714285714</v>
      </c>
      <c r="G67" s="1">
        <f ca="1">OFFSET(控制台!$E$3903,MATCH($C67,控制台!$B$3903:$B$3918,0)-1,0)</f>
        <v>2.28571428571429</v>
      </c>
      <c r="H67" s="1">
        <f ca="1" t="shared" si="1"/>
        <v>11.4285714285715</v>
      </c>
      <c r="I67" s="5">
        <f ca="1" t="shared" si="8"/>
        <v>179.428571428571</v>
      </c>
      <c r="J67" s="1">
        <f ca="1">OFFSET(控制台!$G$3903,MATCH($C67,控制台!$B$3903:$B$3918,0)-1,0)</f>
        <v>142.857142857143</v>
      </c>
      <c r="K67" s="1">
        <f ca="1" t="shared" si="2"/>
        <v>714.285714285715</v>
      </c>
      <c r="L67" s="5">
        <f ca="1" t="shared" si="9"/>
        <v>13857.1428571429</v>
      </c>
      <c r="M67" s="1">
        <f ca="1">OFFSET(控制台!$H$3903,MATCH($C67,控制台!$B$3903:$B$3918,0)-1,0)</f>
        <v>133.285714285714</v>
      </c>
      <c r="N67" s="1">
        <f ca="1" t="shared" si="3"/>
        <v>666.42857142857</v>
      </c>
      <c r="O67" s="5">
        <f ca="1" t="shared" si="10"/>
        <v>11187.8571428571</v>
      </c>
      <c r="P67" s="1">
        <f ca="1">OFFSET(控制台!$M$3903,MATCH($C67,控制台!$B$3903:$B$3918,0)-1,0)</f>
        <v>71.4285714285714</v>
      </c>
      <c r="Q67" s="1">
        <f ca="1" t="shared" si="4"/>
        <v>357.142857142857</v>
      </c>
      <c r="R67" s="5">
        <f ca="1" t="shared" si="11"/>
        <v>5785.71428571428</v>
      </c>
      <c r="S67" s="1">
        <f ca="1">OFFSET(控制台!$N$3903,MATCH($C67,控制台!$B$3903:$B$3918,0)-1,0)</f>
        <v>64.2857142857143</v>
      </c>
      <c r="T67" s="1">
        <f ca="1" t="shared" si="5"/>
        <v>321.428571428572</v>
      </c>
      <c r="U67" s="5">
        <f ca="1" t="shared" si="12"/>
        <v>3535.71428571429</v>
      </c>
    </row>
    <row r="68" spans="1:21">
      <c r="A68" s="11">
        <v>115</v>
      </c>
      <c r="B68" s="1">
        <f t="shared" si="6"/>
        <v>5</v>
      </c>
      <c r="C68" s="1">
        <f>IF(控制台!C2093="",C67,控制台!C2093)</f>
        <v>9</v>
      </c>
      <c r="D68" s="1">
        <f ca="1">OFFSET(控制台!$D$3903,MATCH($C68,控制台!$B$3903:$B$3918,0)-1,0)</f>
        <v>64.2857142857143</v>
      </c>
      <c r="E68" s="1">
        <f ca="1" t="shared" si="0"/>
        <v>321.428571428572</v>
      </c>
      <c r="F68" s="5">
        <f ca="1" t="shared" si="7"/>
        <v>7039.28571428572</v>
      </c>
      <c r="G68" s="1">
        <f ca="1">OFFSET(控制台!$E$3903,MATCH($C68,控制台!$B$3903:$B$3918,0)-1,0)</f>
        <v>2.28571428571429</v>
      </c>
      <c r="H68" s="1">
        <f ca="1" t="shared" si="1"/>
        <v>11.4285714285715</v>
      </c>
      <c r="I68" s="5">
        <f ca="1" t="shared" si="8"/>
        <v>190.857142857143</v>
      </c>
      <c r="J68" s="1">
        <f ca="1">OFFSET(控制台!$G$3903,MATCH($C68,控制台!$B$3903:$B$3918,0)-1,0)</f>
        <v>142.857142857143</v>
      </c>
      <c r="K68" s="1">
        <f ca="1" t="shared" si="2"/>
        <v>714.285714285715</v>
      </c>
      <c r="L68" s="5">
        <f ca="1" t="shared" si="9"/>
        <v>14571.4285714286</v>
      </c>
      <c r="M68" s="1">
        <f ca="1">OFFSET(控制台!$H$3903,MATCH($C68,控制台!$B$3903:$B$3918,0)-1,0)</f>
        <v>133.285714285714</v>
      </c>
      <c r="N68" s="1">
        <f ca="1" t="shared" si="3"/>
        <v>666.42857142857</v>
      </c>
      <c r="O68" s="5">
        <f ca="1" t="shared" si="10"/>
        <v>11854.2857142857</v>
      </c>
      <c r="P68" s="1">
        <f ca="1">OFFSET(控制台!$M$3903,MATCH($C68,控制台!$B$3903:$B$3918,0)-1,0)</f>
        <v>71.4285714285714</v>
      </c>
      <c r="Q68" s="1">
        <f ca="1" t="shared" si="4"/>
        <v>357.142857142857</v>
      </c>
      <c r="R68" s="5">
        <f ca="1" t="shared" si="11"/>
        <v>6142.85714285714</v>
      </c>
      <c r="S68" s="1">
        <f ca="1">OFFSET(控制台!$N$3903,MATCH($C68,控制台!$B$3903:$B$3918,0)-1,0)</f>
        <v>64.2857142857143</v>
      </c>
      <c r="T68" s="1">
        <f ca="1" t="shared" si="5"/>
        <v>321.428571428572</v>
      </c>
      <c r="U68" s="5">
        <f ca="1" t="shared" si="12"/>
        <v>3857.14285714286</v>
      </c>
    </row>
    <row r="69" spans="1:21">
      <c r="A69" s="11">
        <v>120</v>
      </c>
      <c r="B69" s="1">
        <f t="shared" si="6"/>
        <v>5</v>
      </c>
      <c r="C69" s="1">
        <f>IF(控制台!C2094="",C68,控制台!C2094)</f>
        <v>9</v>
      </c>
      <c r="D69" s="1">
        <f ca="1">OFFSET(控制台!$D$3903,MATCH($C69,控制台!$B$3903:$B$3918,0)-1,0)</f>
        <v>64.2857142857143</v>
      </c>
      <c r="E69" s="1">
        <f ca="1" t="shared" si="0"/>
        <v>321.428571428572</v>
      </c>
      <c r="F69" s="5">
        <f ca="1" t="shared" si="7"/>
        <v>7360.71428571429</v>
      </c>
      <c r="G69" s="1">
        <f ca="1">OFFSET(控制台!$E$3903,MATCH($C69,控制台!$B$3903:$B$3918,0)-1,0)</f>
        <v>2.28571428571429</v>
      </c>
      <c r="H69" s="1">
        <f ca="1" t="shared" si="1"/>
        <v>11.4285714285715</v>
      </c>
      <c r="I69" s="5">
        <f ca="1" t="shared" si="8"/>
        <v>202.285714285714</v>
      </c>
      <c r="J69" s="1">
        <f ca="1">OFFSET(控制台!$G$3903,MATCH($C69,控制台!$B$3903:$B$3918,0)-1,0)</f>
        <v>142.857142857143</v>
      </c>
      <c r="K69" s="1">
        <f ca="1" t="shared" si="2"/>
        <v>714.285714285715</v>
      </c>
      <c r="L69" s="5">
        <f ca="1" t="shared" si="9"/>
        <v>15285.7142857143</v>
      </c>
      <c r="M69" s="1">
        <f ca="1">OFFSET(控制台!$H$3903,MATCH($C69,控制台!$B$3903:$B$3918,0)-1,0)</f>
        <v>133.285714285714</v>
      </c>
      <c r="N69" s="1">
        <f ca="1" t="shared" si="3"/>
        <v>666.42857142857</v>
      </c>
      <c r="O69" s="5">
        <f ca="1" t="shared" si="10"/>
        <v>12520.7142857143</v>
      </c>
      <c r="P69" s="1">
        <f ca="1">OFFSET(控制台!$M$3903,MATCH($C69,控制台!$B$3903:$B$3918,0)-1,0)</f>
        <v>71.4285714285714</v>
      </c>
      <c r="Q69" s="1">
        <f ca="1" t="shared" si="4"/>
        <v>357.142857142857</v>
      </c>
      <c r="R69" s="5">
        <f ca="1" t="shared" si="11"/>
        <v>6500</v>
      </c>
      <c r="S69" s="1">
        <f ca="1">OFFSET(控制台!$N$3903,MATCH($C69,控制台!$B$3903:$B$3918,0)-1,0)</f>
        <v>64.2857142857143</v>
      </c>
      <c r="T69" s="1">
        <f ca="1" t="shared" si="5"/>
        <v>321.428571428572</v>
      </c>
      <c r="U69" s="5">
        <f ca="1" t="shared" si="12"/>
        <v>4178.57142857143</v>
      </c>
    </row>
    <row r="70" spans="1:21">
      <c r="A70" s="12">
        <v>150</v>
      </c>
      <c r="B70" s="1">
        <f t="shared" si="6"/>
        <v>30</v>
      </c>
      <c r="C70" s="1">
        <f>IF(控制台!C2095="",C69,控制台!C2095)</f>
        <v>10</v>
      </c>
      <c r="D70" s="1">
        <f ca="1">OFFSET(控制台!$D$3903,MATCH($C70,控制台!$B$3903:$B$3918,0)-1,0)</f>
        <v>64.2857142857143</v>
      </c>
      <c r="E70" s="1">
        <f ca="1" t="shared" si="0"/>
        <v>1928.57142857143</v>
      </c>
      <c r="F70" s="5">
        <f ca="1" t="shared" si="7"/>
        <v>9289.28571428572</v>
      </c>
      <c r="G70" s="1">
        <f ca="1">OFFSET(控制台!$E$3903,MATCH($C70,控制台!$B$3903:$B$3918,0)-1,0)</f>
        <v>2.28571428571429</v>
      </c>
      <c r="H70" s="1">
        <f ca="1" t="shared" si="1"/>
        <v>68.5714285714287</v>
      </c>
      <c r="I70" s="5">
        <f ca="1" t="shared" si="8"/>
        <v>270.857142857143</v>
      </c>
      <c r="J70" s="1">
        <f ca="1">OFFSET(控制台!$G$3903,MATCH($C70,控制台!$B$3903:$B$3918,0)-1,0)</f>
        <v>142.857142857143</v>
      </c>
      <c r="K70" s="1">
        <f ca="1" t="shared" si="2"/>
        <v>4285.71428571429</v>
      </c>
      <c r="L70" s="5">
        <f ca="1" t="shared" si="9"/>
        <v>19571.4285714286</v>
      </c>
      <c r="M70" s="1">
        <f ca="1">OFFSET(控制台!$H$3903,MATCH($C70,控制台!$B$3903:$B$3918,0)-1,0)</f>
        <v>133.285714285714</v>
      </c>
      <c r="N70" s="1">
        <f ca="1" t="shared" si="3"/>
        <v>3998.57142857142</v>
      </c>
      <c r="O70" s="5">
        <f ca="1" t="shared" si="10"/>
        <v>16519.2857142857</v>
      </c>
      <c r="P70" s="1">
        <f ca="1">OFFSET(控制台!$M$3903,MATCH($C70,控制台!$B$3903:$B$3918,0)-1,0)</f>
        <v>71.4285714285714</v>
      </c>
      <c r="Q70" s="1">
        <f ca="1" t="shared" si="4"/>
        <v>2142.85714285714</v>
      </c>
      <c r="R70" s="5">
        <f ca="1" t="shared" si="11"/>
        <v>8642.85714285714</v>
      </c>
      <c r="S70" s="1">
        <f ca="1">OFFSET(控制台!$N$3903,MATCH($C70,控制台!$B$3903:$B$3918,0)-1,0)</f>
        <v>64.2857142857143</v>
      </c>
      <c r="T70" s="1">
        <f ca="1" t="shared" si="5"/>
        <v>1928.57142857143</v>
      </c>
      <c r="U70" s="5">
        <f ca="1" t="shared" si="12"/>
        <v>6107.14285714286</v>
      </c>
    </row>
    <row r="71" spans="1:21">
      <c r="A71" s="12">
        <v>180</v>
      </c>
      <c r="B71" s="1">
        <f t="shared" si="6"/>
        <v>30</v>
      </c>
      <c r="C71" s="1">
        <f>IF(控制台!C2096="",C70,控制台!C2096)</f>
        <v>10</v>
      </c>
      <c r="D71" s="1">
        <f ca="1">OFFSET(控制台!$D$3903,MATCH($C71,控制台!$B$3903:$B$3918,0)-1,0)</f>
        <v>64.2857142857143</v>
      </c>
      <c r="E71" s="1">
        <f ca="1" t="shared" ref="E71:E77" si="13">D71*$B71</f>
        <v>1928.57142857143</v>
      </c>
      <c r="F71" s="5">
        <f ca="1" t="shared" si="7"/>
        <v>11217.8571428571</v>
      </c>
      <c r="G71" s="1">
        <f ca="1">OFFSET(控制台!$E$3903,MATCH($C71,控制台!$B$3903:$B$3918,0)-1,0)</f>
        <v>2.28571428571429</v>
      </c>
      <c r="H71" s="1">
        <f ca="1" t="shared" ref="H71:H77" si="14">G71*$B71</f>
        <v>68.5714285714287</v>
      </c>
      <c r="I71" s="5">
        <f ca="1" t="shared" si="8"/>
        <v>339.428571428572</v>
      </c>
      <c r="J71" s="1">
        <f ca="1">OFFSET(控制台!$G$3903,MATCH($C71,控制台!$B$3903:$B$3918,0)-1,0)</f>
        <v>142.857142857143</v>
      </c>
      <c r="K71" s="1">
        <f ca="1" t="shared" ref="K71:K77" si="15">J71*$B71</f>
        <v>4285.71428571429</v>
      </c>
      <c r="L71" s="5">
        <f ca="1" t="shared" si="9"/>
        <v>23857.1428571429</v>
      </c>
      <c r="M71" s="1">
        <f ca="1">OFFSET(控制台!$H$3903,MATCH($C71,控制台!$B$3903:$B$3918,0)-1,0)</f>
        <v>133.285714285714</v>
      </c>
      <c r="N71" s="1">
        <f ca="1" t="shared" ref="N71:N77" si="16">M71*$B71</f>
        <v>3998.57142857142</v>
      </c>
      <c r="O71" s="5">
        <f ca="1" t="shared" si="10"/>
        <v>20517.8571428571</v>
      </c>
      <c r="P71" s="1">
        <f ca="1">OFFSET(控制台!$M$3903,MATCH($C71,控制台!$B$3903:$B$3918,0)-1,0)</f>
        <v>71.4285714285714</v>
      </c>
      <c r="Q71" s="1">
        <f ca="1" t="shared" ref="Q71:Q77" si="17">P71*$B71</f>
        <v>2142.85714285714</v>
      </c>
      <c r="R71" s="5">
        <f ca="1" t="shared" si="11"/>
        <v>10785.7142857143</v>
      </c>
      <c r="S71" s="1">
        <f ca="1">OFFSET(控制台!$N$3903,MATCH($C71,控制台!$B$3903:$B$3918,0)-1,0)</f>
        <v>64.2857142857143</v>
      </c>
      <c r="T71" s="1">
        <f ca="1" t="shared" ref="T71:T77" si="18">S71*$B71</f>
        <v>1928.57142857143</v>
      </c>
      <c r="U71" s="5">
        <f ca="1" t="shared" si="12"/>
        <v>8035.71428571429</v>
      </c>
    </row>
    <row r="72" spans="1:21">
      <c r="A72" s="12">
        <v>210</v>
      </c>
      <c r="B72" s="1">
        <f t="shared" ref="B72:B77" si="19">A72-A71</f>
        <v>30</v>
      </c>
      <c r="C72" s="1">
        <f>IF(控制台!C2097="",C71,控制台!C2097)</f>
        <v>10</v>
      </c>
      <c r="D72" s="1">
        <f ca="1">OFFSET(控制台!$D$3903,MATCH($C72,控制台!$B$3903:$B$3918,0)-1,0)</f>
        <v>64.2857142857143</v>
      </c>
      <c r="E72" s="1">
        <f ca="1" t="shared" si="13"/>
        <v>1928.57142857143</v>
      </c>
      <c r="F72" s="5">
        <f ca="1" t="shared" ref="F72:F77" si="20">F71+E72</f>
        <v>13146.4285714286</v>
      </c>
      <c r="G72" s="1">
        <f ca="1">OFFSET(控制台!$E$3903,MATCH($C72,控制台!$B$3903:$B$3918,0)-1,0)</f>
        <v>2.28571428571429</v>
      </c>
      <c r="H72" s="1">
        <f ca="1" t="shared" si="14"/>
        <v>68.5714285714287</v>
      </c>
      <c r="I72" s="5">
        <f ca="1" t="shared" ref="I72:I77" si="21">I71+H72</f>
        <v>408</v>
      </c>
      <c r="J72" s="1">
        <f ca="1">OFFSET(控制台!$G$3903,MATCH($C72,控制台!$B$3903:$B$3918,0)-1,0)</f>
        <v>142.857142857143</v>
      </c>
      <c r="K72" s="1">
        <f ca="1" t="shared" si="15"/>
        <v>4285.71428571429</v>
      </c>
      <c r="L72" s="5">
        <f ca="1" t="shared" ref="L72:L77" si="22">L71+K72</f>
        <v>28142.8571428572</v>
      </c>
      <c r="M72" s="1">
        <f ca="1">OFFSET(控制台!$H$3903,MATCH($C72,控制台!$B$3903:$B$3918,0)-1,0)</f>
        <v>133.285714285714</v>
      </c>
      <c r="N72" s="1">
        <f ca="1" t="shared" si="16"/>
        <v>3998.57142857142</v>
      </c>
      <c r="O72" s="5">
        <f ca="1" t="shared" ref="O72:O77" si="23">O71+N72</f>
        <v>24516.4285714285</v>
      </c>
      <c r="P72" s="1">
        <f ca="1">OFFSET(控制台!$M$3903,MATCH($C72,控制台!$B$3903:$B$3918,0)-1,0)</f>
        <v>71.4285714285714</v>
      </c>
      <c r="Q72" s="1">
        <f ca="1" t="shared" si="17"/>
        <v>2142.85714285714</v>
      </c>
      <c r="R72" s="5">
        <f ca="1" t="shared" ref="R72:R77" si="24">R71+Q72</f>
        <v>12928.5714285714</v>
      </c>
      <c r="S72" s="1">
        <f ca="1">OFFSET(控制台!$N$3903,MATCH($C72,控制台!$B$3903:$B$3918,0)-1,0)</f>
        <v>64.2857142857143</v>
      </c>
      <c r="T72" s="1">
        <f ca="1" t="shared" si="18"/>
        <v>1928.57142857143</v>
      </c>
      <c r="U72" s="5">
        <f ca="1" t="shared" ref="U72:U77" si="25">U71+T72</f>
        <v>9964.28571428572</v>
      </c>
    </row>
    <row r="73" spans="1:21">
      <c r="A73" s="12">
        <v>240</v>
      </c>
      <c r="B73" s="1">
        <f t="shared" si="19"/>
        <v>30</v>
      </c>
      <c r="C73" s="1">
        <f>IF(控制台!C2098="",C72,控制台!C2098)</f>
        <v>11</v>
      </c>
      <c r="D73" s="1">
        <f ca="1">OFFSET(控制台!$D$3903,MATCH($C73,控制台!$B$3903:$B$3918,0)-1,0)</f>
        <v>64.2857142857143</v>
      </c>
      <c r="E73" s="1">
        <f ca="1" t="shared" si="13"/>
        <v>1928.57142857143</v>
      </c>
      <c r="F73" s="5">
        <f ca="1" t="shared" si="20"/>
        <v>15075</v>
      </c>
      <c r="G73" s="1">
        <f ca="1">OFFSET(控制台!$E$3903,MATCH($C73,控制台!$B$3903:$B$3918,0)-1,0)</f>
        <v>2.28571428571429</v>
      </c>
      <c r="H73" s="1">
        <f ca="1" t="shared" si="14"/>
        <v>68.5714285714287</v>
      </c>
      <c r="I73" s="5">
        <f ca="1" t="shared" si="21"/>
        <v>476.571428571429</v>
      </c>
      <c r="J73" s="1">
        <f ca="1">OFFSET(控制台!$G$3903,MATCH($C73,控制台!$B$3903:$B$3918,0)-1,0)</f>
        <v>142.857142857143</v>
      </c>
      <c r="K73" s="1">
        <f ca="1" t="shared" si="15"/>
        <v>4285.71428571429</v>
      </c>
      <c r="L73" s="5">
        <f ca="1" t="shared" si="22"/>
        <v>32428.5714285715</v>
      </c>
      <c r="M73" s="1">
        <f ca="1">OFFSET(控制台!$H$3903,MATCH($C73,控制台!$B$3903:$B$3918,0)-1,0)</f>
        <v>133.285714285714</v>
      </c>
      <c r="N73" s="1">
        <f ca="1" t="shared" si="16"/>
        <v>3998.57142857142</v>
      </c>
      <c r="O73" s="5">
        <f ca="1" t="shared" si="23"/>
        <v>28514.9999999999</v>
      </c>
      <c r="P73" s="1">
        <f ca="1">OFFSET(控制台!$M$3903,MATCH($C73,控制台!$B$3903:$B$3918,0)-1,0)</f>
        <v>71.4285714285714</v>
      </c>
      <c r="Q73" s="1">
        <f ca="1" t="shared" si="17"/>
        <v>2142.85714285714</v>
      </c>
      <c r="R73" s="5">
        <f ca="1" t="shared" si="24"/>
        <v>15071.4285714286</v>
      </c>
      <c r="S73" s="1">
        <f ca="1">OFFSET(控制台!$N$3903,MATCH($C73,控制台!$B$3903:$B$3918,0)-1,0)</f>
        <v>64.2857142857143</v>
      </c>
      <c r="T73" s="1">
        <f ca="1" t="shared" si="18"/>
        <v>1928.57142857143</v>
      </c>
      <c r="U73" s="5">
        <f ca="1" t="shared" si="25"/>
        <v>11892.8571428571</v>
      </c>
    </row>
    <row r="74" spans="1:21">
      <c r="A74" s="12">
        <v>270</v>
      </c>
      <c r="B74" s="1">
        <f t="shared" si="19"/>
        <v>30</v>
      </c>
      <c r="C74" s="1">
        <f>IF(控制台!C2099="",C73,控制台!C2099)</f>
        <v>11</v>
      </c>
      <c r="D74" s="1">
        <f ca="1">OFFSET(控制台!$D$3903,MATCH($C74,控制台!$B$3903:$B$3918,0)-1,0)</f>
        <v>64.2857142857143</v>
      </c>
      <c r="E74" s="1">
        <f ca="1" t="shared" si="13"/>
        <v>1928.57142857143</v>
      </c>
      <c r="F74" s="5">
        <f ca="1" t="shared" si="20"/>
        <v>17003.5714285714</v>
      </c>
      <c r="G74" s="1">
        <f ca="1">OFFSET(控制台!$E$3903,MATCH($C74,控制台!$B$3903:$B$3918,0)-1,0)</f>
        <v>2.28571428571429</v>
      </c>
      <c r="H74" s="1">
        <f ca="1" t="shared" si="14"/>
        <v>68.5714285714287</v>
      </c>
      <c r="I74" s="5">
        <f ca="1" t="shared" si="21"/>
        <v>545.142857142858</v>
      </c>
      <c r="J74" s="1">
        <f ca="1">OFFSET(控制台!$G$3903,MATCH($C74,控制台!$B$3903:$B$3918,0)-1,0)</f>
        <v>142.857142857143</v>
      </c>
      <c r="K74" s="1">
        <f ca="1" t="shared" si="15"/>
        <v>4285.71428571429</v>
      </c>
      <c r="L74" s="5">
        <f ca="1" t="shared" si="22"/>
        <v>36714.2857142858</v>
      </c>
      <c r="M74" s="1">
        <f ca="1">OFFSET(控制台!$H$3903,MATCH($C74,控制台!$B$3903:$B$3918,0)-1,0)</f>
        <v>133.285714285714</v>
      </c>
      <c r="N74" s="1">
        <f ca="1" t="shared" si="16"/>
        <v>3998.57142857142</v>
      </c>
      <c r="O74" s="5">
        <f ca="1" t="shared" si="23"/>
        <v>32513.5714285714</v>
      </c>
      <c r="P74" s="1">
        <f ca="1">OFFSET(控制台!$M$3903,MATCH($C74,控制台!$B$3903:$B$3918,0)-1,0)</f>
        <v>71.4285714285714</v>
      </c>
      <c r="Q74" s="1">
        <f ca="1" t="shared" si="17"/>
        <v>2142.85714285714</v>
      </c>
      <c r="R74" s="5">
        <f ca="1" t="shared" si="24"/>
        <v>17214.2857142857</v>
      </c>
      <c r="S74" s="1">
        <f ca="1">OFFSET(控制台!$N$3903,MATCH($C74,控制台!$B$3903:$B$3918,0)-1,0)</f>
        <v>64.2857142857143</v>
      </c>
      <c r="T74" s="1">
        <f ca="1" t="shared" si="18"/>
        <v>1928.57142857143</v>
      </c>
      <c r="U74" s="5">
        <f ca="1" t="shared" si="25"/>
        <v>13821.4285714286</v>
      </c>
    </row>
    <row r="75" spans="1:21">
      <c r="A75" s="12">
        <v>300</v>
      </c>
      <c r="B75" s="1">
        <f t="shared" si="19"/>
        <v>30</v>
      </c>
      <c r="C75" s="1">
        <f>IF(控制台!C2100="",C74,控制台!C2100)</f>
        <v>11</v>
      </c>
      <c r="D75" s="1">
        <f ca="1">OFFSET(控制台!$D$3903,MATCH($C75,控制台!$B$3903:$B$3918,0)-1,0)</f>
        <v>64.2857142857143</v>
      </c>
      <c r="E75" s="1">
        <f ca="1" t="shared" si="13"/>
        <v>1928.57142857143</v>
      </c>
      <c r="F75" s="5">
        <f ca="1" t="shared" si="20"/>
        <v>18932.1428571429</v>
      </c>
      <c r="G75" s="1">
        <f ca="1">OFFSET(控制台!$E$3903,MATCH($C75,控制台!$B$3903:$B$3918,0)-1,0)</f>
        <v>2.28571428571429</v>
      </c>
      <c r="H75" s="1">
        <f ca="1" t="shared" si="14"/>
        <v>68.5714285714287</v>
      </c>
      <c r="I75" s="5">
        <f ca="1" t="shared" si="21"/>
        <v>613.714285714286</v>
      </c>
      <c r="J75" s="1">
        <f ca="1">OFFSET(控制台!$G$3903,MATCH($C75,控制台!$B$3903:$B$3918,0)-1,0)</f>
        <v>142.857142857143</v>
      </c>
      <c r="K75" s="1">
        <f ca="1" t="shared" si="15"/>
        <v>4285.71428571429</v>
      </c>
      <c r="L75" s="5">
        <f ca="1" t="shared" si="22"/>
        <v>41000</v>
      </c>
      <c r="M75" s="1">
        <f ca="1">OFFSET(控制台!$H$3903,MATCH($C75,控制台!$B$3903:$B$3918,0)-1,0)</f>
        <v>133.285714285714</v>
      </c>
      <c r="N75" s="1">
        <f ca="1" t="shared" si="16"/>
        <v>3998.57142857142</v>
      </c>
      <c r="O75" s="5">
        <f ca="1" t="shared" si="23"/>
        <v>36512.1428571428</v>
      </c>
      <c r="P75" s="1">
        <f ca="1">OFFSET(控制台!$M$3903,MATCH($C75,控制台!$B$3903:$B$3918,0)-1,0)</f>
        <v>71.4285714285714</v>
      </c>
      <c r="Q75" s="1">
        <f ca="1" t="shared" si="17"/>
        <v>2142.85714285714</v>
      </c>
      <c r="R75" s="5">
        <f ca="1" t="shared" si="24"/>
        <v>19357.1428571428</v>
      </c>
      <c r="S75" s="1">
        <f ca="1">OFFSET(控制台!$N$3903,MATCH($C75,控制台!$B$3903:$B$3918,0)-1,0)</f>
        <v>64.2857142857143</v>
      </c>
      <c r="T75" s="1">
        <f ca="1" t="shared" si="18"/>
        <v>1928.57142857143</v>
      </c>
      <c r="U75" s="5">
        <f ca="1" t="shared" si="25"/>
        <v>15750</v>
      </c>
    </row>
    <row r="76" spans="1:21">
      <c r="A76" s="12">
        <v>330</v>
      </c>
      <c r="B76" s="1">
        <f t="shared" si="19"/>
        <v>30</v>
      </c>
      <c r="C76" s="1">
        <f>IF(控制台!C2101="",C75,控制台!C2101)</f>
        <v>11</v>
      </c>
      <c r="D76" s="1">
        <f ca="1">OFFSET(控制台!$D$3903,MATCH($C76,控制台!$B$3903:$B$3918,0)-1,0)</f>
        <v>64.2857142857143</v>
      </c>
      <c r="E76" s="1">
        <f ca="1" t="shared" si="13"/>
        <v>1928.57142857143</v>
      </c>
      <c r="F76" s="5">
        <f ca="1" t="shared" si="20"/>
        <v>20860.7142857143</v>
      </c>
      <c r="G76" s="1">
        <f ca="1">OFFSET(控制台!$E$3903,MATCH($C76,控制台!$B$3903:$B$3918,0)-1,0)</f>
        <v>2.28571428571429</v>
      </c>
      <c r="H76" s="1">
        <f ca="1" t="shared" si="14"/>
        <v>68.5714285714287</v>
      </c>
      <c r="I76" s="5">
        <f ca="1" t="shared" si="21"/>
        <v>682.285714285715</v>
      </c>
      <c r="J76" s="1">
        <f ca="1">OFFSET(控制台!$G$3903,MATCH($C76,控制台!$B$3903:$B$3918,0)-1,0)</f>
        <v>142.857142857143</v>
      </c>
      <c r="K76" s="1">
        <f ca="1" t="shared" si="15"/>
        <v>4285.71428571429</v>
      </c>
      <c r="L76" s="5">
        <f ca="1" t="shared" si="22"/>
        <v>45285.7142857143</v>
      </c>
      <c r="M76" s="1">
        <f ca="1">OFFSET(控制台!$H$3903,MATCH($C76,控制台!$B$3903:$B$3918,0)-1,0)</f>
        <v>133.285714285714</v>
      </c>
      <c r="N76" s="1">
        <f ca="1" t="shared" si="16"/>
        <v>3998.57142857142</v>
      </c>
      <c r="O76" s="5">
        <f ca="1" t="shared" si="23"/>
        <v>40510.7142857142</v>
      </c>
      <c r="P76" s="1">
        <f ca="1">OFFSET(控制台!$M$3903,MATCH($C76,控制台!$B$3903:$B$3918,0)-1,0)</f>
        <v>71.4285714285714</v>
      </c>
      <c r="Q76" s="1">
        <f ca="1" t="shared" si="17"/>
        <v>2142.85714285714</v>
      </c>
      <c r="R76" s="5">
        <f ca="1" t="shared" si="24"/>
        <v>21500</v>
      </c>
      <c r="S76" s="1">
        <f ca="1">OFFSET(控制台!$N$3903,MATCH($C76,控制台!$B$3903:$B$3918,0)-1,0)</f>
        <v>64.2857142857143</v>
      </c>
      <c r="T76" s="1">
        <f ca="1" t="shared" si="18"/>
        <v>1928.57142857143</v>
      </c>
      <c r="U76" s="5">
        <f ca="1" t="shared" si="25"/>
        <v>17678.5714285714</v>
      </c>
    </row>
    <row r="77" spans="1:21">
      <c r="A77" s="12">
        <v>360</v>
      </c>
      <c r="B77" s="1">
        <f t="shared" si="19"/>
        <v>30</v>
      </c>
      <c r="C77" s="1">
        <f>IF(控制台!C2102="",C76,控制台!C2102)</f>
        <v>12</v>
      </c>
      <c r="D77" s="1">
        <f ca="1">OFFSET(控制台!$D$3903,MATCH($C77,控制台!$B$3903:$B$3918,0)-1,0)</f>
        <v>64.2857142857143</v>
      </c>
      <c r="E77" s="1">
        <f ca="1" t="shared" si="13"/>
        <v>1928.57142857143</v>
      </c>
      <c r="F77" s="5">
        <f ca="1" t="shared" si="20"/>
        <v>22789.2857142857</v>
      </c>
      <c r="G77" s="1">
        <f ca="1">OFFSET(控制台!$E$3903,MATCH($C77,控制台!$B$3903:$B$3918,0)-1,0)</f>
        <v>2.28571428571429</v>
      </c>
      <c r="H77" s="1">
        <f ca="1" t="shared" si="14"/>
        <v>68.5714285714287</v>
      </c>
      <c r="I77" s="5">
        <f ca="1" t="shared" si="21"/>
        <v>750.857142857144</v>
      </c>
      <c r="J77" s="1">
        <f ca="1">OFFSET(控制台!$G$3903,MATCH($C77,控制台!$B$3903:$B$3918,0)-1,0)</f>
        <v>142.857142857143</v>
      </c>
      <c r="K77" s="1">
        <f ca="1" t="shared" si="15"/>
        <v>4285.71428571429</v>
      </c>
      <c r="L77" s="5">
        <f ca="1" t="shared" si="22"/>
        <v>49571.4285714286</v>
      </c>
      <c r="M77" s="1">
        <f ca="1">OFFSET(控制台!$H$3903,MATCH($C77,控制台!$B$3903:$B$3918,0)-1,0)</f>
        <v>133.285714285714</v>
      </c>
      <c r="N77" s="1">
        <f ca="1" t="shared" si="16"/>
        <v>3998.57142857142</v>
      </c>
      <c r="O77" s="5">
        <f ca="1" t="shared" si="23"/>
        <v>44509.2857142856</v>
      </c>
      <c r="P77" s="1">
        <f ca="1">OFFSET(控制台!$M$3903,MATCH($C77,控制台!$B$3903:$B$3918,0)-1,0)</f>
        <v>71.4285714285714</v>
      </c>
      <c r="Q77" s="1">
        <f ca="1" t="shared" si="17"/>
        <v>2142.85714285714</v>
      </c>
      <c r="R77" s="5">
        <f ca="1" t="shared" si="24"/>
        <v>23642.8571428571</v>
      </c>
      <c r="S77" s="1">
        <f ca="1">OFFSET(控制台!$N$3903,MATCH($C77,控制台!$B$3903:$B$3918,0)-1,0)</f>
        <v>64.2857142857143</v>
      </c>
      <c r="T77" s="1">
        <f ca="1" t="shared" si="18"/>
        <v>1928.57142857143</v>
      </c>
      <c r="U77" s="5">
        <f ca="1" t="shared" si="25"/>
        <v>19607.1428571429</v>
      </c>
    </row>
  </sheetData>
  <hyperlinks>
    <hyperlink ref="A1" location="控制台_212_VIP商店" display="返回控制台_VIP商店"/>
  </hyperlinks>
  <pageMargins left="0.699305555555556" right="0.699305555555556" top="0.75" bottom="0.75" header="0.3" footer="0.3"/>
  <pageSetup paperSize="9" orientation="portrait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12">
    <tabColor theme="9" tint="0.599993896298105"/>
  </sheetPr>
  <dimension ref="A1:L77"/>
  <sheetViews>
    <sheetView workbookViewId="0">
      <selection activeCell="A1" sqref="A1"/>
    </sheetView>
  </sheetViews>
  <sheetFormatPr defaultColWidth="8.70967741935484" defaultRowHeight="13.1"/>
  <cols>
    <col min="1" max="16384" width="10.6290322580645" style="1"/>
  </cols>
  <sheetData>
    <row r="1" spans="1:12">
      <c r="A1" s="3" t="s">
        <v>2999</v>
      </c>
      <c r="L1" s="4"/>
    </row>
    <row r="2" spans="12:12">
      <c r="L2" s="4"/>
    </row>
    <row r="3" s="2" customFormat="1" spans="1:1">
      <c r="A3" s="2" t="s">
        <v>2885</v>
      </c>
    </row>
    <row r="4" spans="12:12">
      <c r="L4" s="4"/>
    </row>
    <row r="5" spans="1:5">
      <c r="A5" s="1" t="s">
        <v>382</v>
      </c>
      <c r="B5" s="1" t="s">
        <v>2759</v>
      </c>
      <c r="C5" s="1" t="s">
        <v>3000</v>
      </c>
      <c r="D5" s="1" t="s">
        <v>3001</v>
      </c>
      <c r="E5" s="5" t="s">
        <v>1272</v>
      </c>
    </row>
    <row r="6" spans="1:5">
      <c r="A6" s="7">
        <v>0</v>
      </c>
      <c r="B6" s="1">
        <f>A6</f>
        <v>0</v>
      </c>
      <c r="C6" s="8">
        <f ca="1">IF(A6-1&lt;0,控制台!$C$3926,OFFSET(控制台!$C$3926,MATCH(A6-1,控制台!$B$3926:$B$3928,1)-1,0))</f>
        <v>0</v>
      </c>
      <c r="D6" s="1">
        <f ca="1">C6*$B6</f>
        <v>0</v>
      </c>
      <c r="E6" s="5">
        <f ca="1">D6</f>
        <v>0</v>
      </c>
    </row>
    <row r="7" spans="1:5">
      <c r="A7" s="7">
        <v>0.1</v>
      </c>
      <c r="B7" s="1">
        <f>A7-A6</f>
        <v>0.1</v>
      </c>
      <c r="C7" s="8">
        <f ca="1">IF(A7-1&lt;0,控制台!$C$3926,OFFSET(控制台!$C$3926,MATCH(A7-1,控制台!$B$3926:$B$3928,1)-1,0))</f>
        <v>0</v>
      </c>
      <c r="D7" s="1">
        <f ca="1" t="shared" ref="D7:D70" si="0">C7*$B7</f>
        <v>0</v>
      </c>
      <c r="E7" s="5">
        <f ca="1">E6+D7</f>
        <v>0</v>
      </c>
    </row>
    <row r="8" spans="1:5">
      <c r="A8" s="7">
        <v>0.2</v>
      </c>
      <c r="B8" s="1">
        <f t="shared" ref="B8:B71" si="1">A8-A7</f>
        <v>0.1</v>
      </c>
      <c r="C8" s="8">
        <f ca="1">IF(A8-1&lt;0,控制台!$C$3926,OFFSET(控制台!$C$3926,MATCH(A8-1,控制台!$B$3926:$B$3928,1)-1,0))</f>
        <v>0</v>
      </c>
      <c r="D8" s="1">
        <f ca="1" t="shared" si="0"/>
        <v>0</v>
      </c>
      <c r="E8" s="5">
        <f ca="1" t="shared" ref="E8:E71" si="2">E7+D8</f>
        <v>0</v>
      </c>
    </row>
    <row r="9" spans="1:5">
      <c r="A9" s="7">
        <v>0.3</v>
      </c>
      <c r="B9" s="1">
        <f t="shared" si="1"/>
        <v>0.1</v>
      </c>
      <c r="C9" s="8">
        <f ca="1">IF(A9-1&lt;0,控制台!$C$3926,OFFSET(控制台!$C$3926,MATCH(A9-1,控制台!$B$3926:$B$3928,1)-1,0))</f>
        <v>0</v>
      </c>
      <c r="D9" s="1">
        <f ca="1" t="shared" si="0"/>
        <v>0</v>
      </c>
      <c r="E9" s="5">
        <f ca="1" t="shared" si="2"/>
        <v>0</v>
      </c>
    </row>
    <row r="10" spans="1:5">
      <c r="A10" s="7">
        <v>0.4</v>
      </c>
      <c r="B10" s="1">
        <f t="shared" si="1"/>
        <v>0.1</v>
      </c>
      <c r="C10" s="8">
        <f ca="1">IF(A10-1&lt;0,控制台!$C$3926,OFFSET(控制台!$C$3926,MATCH(A10-1,控制台!$B$3926:$B$3928,1)-1,0))</f>
        <v>0</v>
      </c>
      <c r="D10" s="1">
        <f ca="1" t="shared" si="0"/>
        <v>0</v>
      </c>
      <c r="E10" s="5">
        <f ca="1" t="shared" si="2"/>
        <v>0</v>
      </c>
    </row>
    <row r="11" spans="1:5">
      <c r="A11" s="7">
        <v>0.5</v>
      </c>
      <c r="B11" s="1">
        <f t="shared" si="1"/>
        <v>0.1</v>
      </c>
      <c r="C11" s="8">
        <f ca="1">IF(A11-1&lt;0,控制台!$C$3926,OFFSET(控制台!$C$3926,MATCH(A11-1,控制台!$B$3926:$B$3928,1)-1,0))</f>
        <v>0</v>
      </c>
      <c r="D11" s="1">
        <f ca="1" t="shared" si="0"/>
        <v>0</v>
      </c>
      <c r="E11" s="5">
        <f ca="1" t="shared" si="2"/>
        <v>0</v>
      </c>
    </row>
    <row r="12" spans="1:5">
      <c r="A12" s="7">
        <v>0.6</v>
      </c>
      <c r="B12" s="1">
        <f t="shared" si="1"/>
        <v>0.1</v>
      </c>
      <c r="C12" s="8">
        <f ca="1">IF(A12-1&lt;0,控制台!$C$3926,OFFSET(控制台!$C$3926,MATCH(A12-1,控制台!$B$3926:$B$3928,1)-1,0))</f>
        <v>0</v>
      </c>
      <c r="D12" s="1">
        <f ca="1" t="shared" si="0"/>
        <v>0</v>
      </c>
      <c r="E12" s="5">
        <f ca="1" t="shared" si="2"/>
        <v>0</v>
      </c>
    </row>
    <row r="13" spans="1:5">
      <c r="A13" s="7">
        <v>0.7</v>
      </c>
      <c r="B13" s="1">
        <f t="shared" si="1"/>
        <v>0.1</v>
      </c>
      <c r="C13" s="8">
        <f ca="1">IF(A13-1&lt;0,控制台!$C$3926,OFFSET(控制台!$C$3926,MATCH(A13-1,控制台!$B$3926:$B$3928,1)-1,0))</f>
        <v>0</v>
      </c>
      <c r="D13" s="1">
        <f ca="1" t="shared" si="0"/>
        <v>0</v>
      </c>
      <c r="E13" s="5">
        <f ca="1" t="shared" si="2"/>
        <v>0</v>
      </c>
    </row>
    <row r="14" spans="1:5">
      <c r="A14" s="7">
        <v>0.8</v>
      </c>
      <c r="B14" s="1">
        <f t="shared" si="1"/>
        <v>0.1</v>
      </c>
      <c r="C14" s="8">
        <f ca="1">IF(A14-1&lt;0,控制台!$C$3926,OFFSET(控制台!$C$3926,MATCH(A14-1,控制台!$B$3926:$B$3928,1)-1,0))</f>
        <v>0</v>
      </c>
      <c r="D14" s="1">
        <f ca="1" t="shared" si="0"/>
        <v>0</v>
      </c>
      <c r="E14" s="5">
        <f ca="1" t="shared" si="2"/>
        <v>0</v>
      </c>
    </row>
    <row r="15" spans="1:5">
      <c r="A15" s="7">
        <v>0.9</v>
      </c>
      <c r="B15" s="1">
        <f t="shared" si="1"/>
        <v>0.1</v>
      </c>
      <c r="C15" s="8">
        <f ca="1">IF(A15-1&lt;0,控制台!$C$3926,OFFSET(控制台!$C$3926,MATCH(A15-1,控制台!$B$3926:$B$3928,1)-1,0))</f>
        <v>0</v>
      </c>
      <c r="D15" s="1">
        <f ca="1" t="shared" si="0"/>
        <v>0</v>
      </c>
      <c r="E15" s="5">
        <f ca="1" t="shared" si="2"/>
        <v>0</v>
      </c>
    </row>
    <row r="16" spans="1:5">
      <c r="A16" s="7">
        <v>1</v>
      </c>
      <c r="B16" s="1">
        <f t="shared" si="1"/>
        <v>0.1</v>
      </c>
      <c r="C16" s="8">
        <f ca="1">IF(A16-1&lt;0,控制台!$C$3926,OFFSET(控制台!$C$3926,MATCH(A16-1,控制台!$B$3926:$B$3928,1)-1,0))</f>
        <v>0</v>
      </c>
      <c r="D16" s="1">
        <f ca="1" t="shared" si="0"/>
        <v>0</v>
      </c>
      <c r="E16" s="5">
        <f ca="1" t="shared" si="2"/>
        <v>0</v>
      </c>
    </row>
    <row r="17" spans="1:5">
      <c r="A17" s="9">
        <v>1.5</v>
      </c>
      <c r="B17" s="1">
        <f t="shared" si="1"/>
        <v>0.5</v>
      </c>
      <c r="C17" s="8">
        <f ca="1">IF(A17-1&lt;0,控制台!$C$3926,OFFSET(控制台!$C$3926,MATCH(A17-1,控制台!$B$3926:$B$3928,1)-1,0))</f>
        <v>0</v>
      </c>
      <c r="D17" s="1">
        <f ca="1" t="shared" si="0"/>
        <v>0</v>
      </c>
      <c r="E17" s="5">
        <f ca="1" t="shared" si="2"/>
        <v>0</v>
      </c>
    </row>
    <row r="18" spans="1:5">
      <c r="A18" s="9">
        <v>2</v>
      </c>
      <c r="B18" s="1">
        <f t="shared" si="1"/>
        <v>0.5</v>
      </c>
      <c r="C18" s="8">
        <f ca="1">IF(A18-1&lt;0,控制台!$C$3926,OFFSET(控制台!$C$3926,MATCH(A18-1,控制台!$B$3926:$B$3928,1)-1,0))</f>
        <v>0</v>
      </c>
      <c r="D18" s="1">
        <f ca="1" t="shared" si="0"/>
        <v>0</v>
      </c>
      <c r="E18" s="5">
        <f ca="1" t="shared" si="2"/>
        <v>0</v>
      </c>
    </row>
    <row r="19" spans="1:5">
      <c r="A19" s="9">
        <v>2.5</v>
      </c>
      <c r="B19" s="1">
        <f t="shared" si="1"/>
        <v>0.5</v>
      </c>
      <c r="C19" s="8">
        <f ca="1">IF(A19-1&lt;0,控制台!$C$3926,OFFSET(控制台!$C$3926,MATCH(A19-1,控制台!$B$3926:$B$3928,1)-1,0))</f>
        <v>0</v>
      </c>
      <c r="D19" s="1">
        <f ca="1" t="shared" si="0"/>
        <v>0</v>
      </c>
      <c r="E19" s="5">
        <f ca="1" t="shared" si="2"/>
        <v>0</v>
      </c>
    </row>
    <row r="20" spans="1:5">
      <c r="A20" s="9">
        <v>3</v>
      </c>
      <c r="B20" s="1">
        <f t="shared" si="1"/>
        <v>0.5</v>
      </c>
      <c r="C20" s="8">
        <f ca="1">IF(A20-1&lt;0,控制台!$C$3926,OFFSET(控制台!$C$3926,MATCH(A20-1,控制台!$B$3926:$B$3928,1)-1,0))</f>
        <v>0</v>
      </c>
      <c r="D20" s="1">
        <f ca="1" t="shared" si="0"/>
        <v>0</v>
      </c>
      <c r="E20" s="5">
        <f ca="1" t="shared" si="2"/>
        <v>0</v>
      </c>
    </row>
    <row r="21" spans="1:5">
      <c r="A21" s="9">
        <v>3.5</v>
      </c>
      <c r="B21" s="1">
        <f t="shared" si="1"/>
        <v>0.5</v>
      </c>
      <c r="C21" s="8">
        <f ca="1">IF(A21-1&lt;0,控制台!$C$3926,OFFSET(控制台!$C$3926,MATCH(A21-1,控制台!$B$3926:$B$3928,1)-1,0))</f>
        <v>0</v>
      </c>
      <c r="D21" s="1">
        <f ca="1" t="shared" si="0"/>
        <v>0</v>
      </c>
      <c r="E21" s="5">
        <f ca="1" t="shared" si="2"/>
        <v>0</v>
      </c>
    </row>
    <row r="22" spans="1:5">
      <c r="A22" s="9">
        <v>4</v>
      </c>
      <c r="B22" s="1">
        <f t="shared" si="1"/>
        <v>0.5</v>
      </c>
      <c r="C22" s="8">
        <f ca="1">IF(A22-1&lt;0,控制台!$C$3926,OFFSET(控制台!$C$3926,MATCH(A22-1,控制台!$B$3926:$B$3928,1)-1,0))</f>
        <v>0</v>
      </c>
      <c r="D22" s="1">
        <f ca="1" t="shared" si="0"/>
        <v>0</v>
      </c>
      <c r="E22" s="5">
        <f ca="1" t="shared" si="2"/>
        <v>0</v>
      </c>
    </row>
    <row r="23" spans="1:5">
      <c r="A23" s="9">
        <v>4.5</v>
      </c>
      <c r="B23" s="1">
        <f t="shared" si="1"/>
        <v>0.5</v>
      </c>
      <c r="C23" s="8">
        <f ca="1">IF(A23-1&lt;0,控制台!$C$3926,OFFSET(控制台!$C$3926,MATCH(A23-1,控制台!$B$3926:$B$3928,1)-1,0))</f>
        <v>0</v>
      </c>
      <c r="D23" s="1">
        <f ca="1" t="shared" si="0"/>
        <v>0</v>
      </c>
      <c r="E23" s="5">
        <f ca="1" t="shared" si="2"/>
        <v>0</v>
      </c>
    </row>
    <row r="24" spans="1:5">
      <c r="A24" s="9">
        <v>5</v>
      </c>
      <c r="B24" s="1">
        <f t="shared" si="1"/>
        <v>0.5</v>
      </c>
      <c r="C24" s="8">
        <f ca="1">IF(A24-1&lt;0,控制台!$C$3926,OFFSET(控制台!$C$3926,MATCH(A24-1,控制台!$B$3926:$B$3928,1)-1,0))</f>
        <v>0</v>
      </c>
      <c r="D24" s="1">
        <f ca="1" t="shared" si="0"/>
        <v>0</v>
      </c>
      <c r="E24" s="5">
        <f ca="1" t="shared" si="2"/>
        <v>0</v>
      </c>
    </row>
    <row r="25" spans="1:5">
      <c r="A25" s="9">
        <v>5.5</v>
      </c>
      <c r="B25" s="1">
        <f t="shared" si="1"/>
        <v>0.5</v>
      </c>
      <c r="C25" s="8">
        <f ca="1">IF(A25-1&lt;0,控制台!$C$3926,OFFSET(控制台!$C$3926,MATCH(A25-1,控制台!$B$3926:$B$3928,1)-1,0))</f>
        <v>0</v>
      </c>
      <c r="D25" s="1">
        <f ca="1" t="shared" si="0"/>
        <v>0</v>
      </c>
      <c r="E25" s="5">
        <f ca="1" t="shared" si="2"/>
        <v>0</v>
      </c>
    </row>
    <row r="26" spans="1:5">
      <c r="A26" s="9">
        <v>6</v>
      </c>
      <c r="B26" s="1">
        <f t="shared" si="1"/>
        <v>0.5</v>
      </c>
      <c r="C26" s="8">
        <f ca="1">IF(A26-1&lt;0,控制台!$C$3926,OFFSET(控制台!$C$3926,MATCH(A26-1,控制台!$B$3926:$B$3928,1)-1,0))</f>
        <v>0</v>
      </c>
      <c r="D26" s="1">
        <f ca="1" t="shared" si="0"/>
        <v>0</v>
      </c>
      <c r="E26" s="5">
        <f ca="1" t="shared" si="2"/>
        <v>0</v>
      </c>
    </row>
    <row r="27" spans="1:5">
      <c r="A27" s="9">
        <v>6.5</v>
      </c>
      <c r="B27" s="1">
        <f t="shared" si="1"/>
        <v>0.5</v>
      </c>
      <c r="C27" s="8">
        <f ca="1">IF(A27-1&lt;0,控制台!$C$3926,OFFSET(控制台!$C$3926,MATCH(A27-1,控制台!$B$3926:$B$3928,1)-1,0))</f>
        <v>0</v>
      </c>
      <c r="D27" s="1">
        <f ca="1" t="shared" si="0"/>
        <v>0</v>
      </c>
      <c r="E27" s="5">
        <f ca="1" t="shared" si="2"/>
        <v>0</v>
      </c>
    </row>
    <row r="28" spans="1:5">
      <c r="A28" s="9">
        <v>7</v>
      </c>
      <c r="B28" s="1">
        <f t="shared" si="1"/>
        <v>0.5</v>
      </c>
      <c r="C28" s="8">
        <f ca="1">IF(A28-1&lt;0,控制台!$C$3926,OFFSET(控制台!$C$3926,MATCH(A28-1,控制台!$B$3926:$B$3928,1)-1,0))</f>
        <v>0</v>
      </c>
      <c r="D28" s="1">
        <f ca="1" t="shared" si="0"/>
        <v>0</v>
      </c>
      <c r="E28" s="5">
        <f ca="1" t="shared" si="2"/>
        <v>0</v>
      </c>
    </row>
    <row r="29" spans="1:5">
      <c r="A29" s="10">
        <v>8</v>
      </c>
      <c r="B29" s="1">
        <f t="shared" si="1"/>
        <v>1</v>
      </c>
      <c r="C29" s="8">
        <f ca="1">IF(A29-1&lt;0,控制台!$C$3926,OFFSET(控制台!$C$3926,MATCH(A29-1,控制台!$B$3926:$B$3928,1)-1,0))</f>
        <v>0</v>
      </c>
      <c r="D29" s="1">
        <f ca="1" t="shared" si="0"/>
        <v>0</v>
      </c>
      <c r="E29" s="5">
        <f ca="1" t="shared" si="2"/>
        <v>0</v>
      </c>
    </row>
    <row r="30" spans="1:5">
      <c r="A30" s="10">
        <v>9</v>
      </c>
      <c r="B30" s="1">
        <f t="shared" si="1"/>
        <v>1</v>
      </c>
      <c r="C30" s="8">
        <f ca="1">IF(A30-1&lt;0,控制台!$C$3926,OFFSET(控制台!$C$3926,MATCH(A30-1,控制台!$B$3926:$B$3928,1)-1,0))</f>
        <v>0</v>
      </c>
      <c r="D30" s="1">
        <f ca="1" t="shared" si="0"/>
        <v>0</v>
      </c>
      <c r="E30" s="5">
        <f ca="1" t="shared" si="2"/>
        <v>0</v>
      </c>
    </row>
    <row r="31" spans="1:5">
      <c r="A31" s="10">
        <v>10</v>
      </c>
      <c r="B31" s="1">
        <f t="shared" si="1"/>
        <v>1</v>
      </c>
      <c r="C31" s="8">
        <f ca="1">IF(A31-1&lt;0,控制台!$C$3926,OFFSET(控制台!$C$3926,MATCH(A31-1,控制台!$B$3926:$B$3928,1)-1,0))</f>
        <v>0</v>
      </c>
      <c r="D31" s="1">
        <f ca="1" t="shared" si="0"/>
        <v>0</v>
      </c>
      <c r="E31" s="5">
        <f ca="1" t="shared" si="2"/>
        <v>0</v>
      </c>
    </row>
    <row r="32" spans="1:5">
      <c r="A32" s="10">
        <v>11</v>
      </c>
      <c r="B32" s="1">
        <f t="shared" si="1"/>
        <v>1</v>
      </c>
      <c r="C32" s="8">
        <f ca="1">IF(A32-1&lt;0,控制台!$C$3926,OFFSET(控制台!$C$3926,MATCH(A32-1,控制台!$B$3926:$B$3928,1)-1,0))</f>
        <v>0</v>
      </c>
      <c r="D32" s="1">
        <f ca="1" t="shared" si="0"/>
        <v>0</v>
      </c>
      <c r="E32" s="5">
        <f ca="1" t="shared" si="2"/>
        <v>0</v>
      </c>
    </row>
    <row r="33" spans="1:5">
      <c r="A33" s="10">
        <v>12</v>
      </c>
      <c r="B33" s="1">
        <f t="shared" si="1"/>
        <v>1</v>
      </c>
      <c r="C33" s="8">
        <f ca="1">IF(A33-1&lt;0,控制台!$C$3926,OFFSET(控制台!$C$3926,MATCH(A33-1,控制台!$B$3926:$B$3928,1)-1,0))</f>
        <v>0</v>
      </c>
      <c r="D33" s="1">
        <f ca="1" t="shared" si="0"/>
        <v>0</v>
      </c>
      <c r="E33" s="5">
        <f ca="1" t="shared" si="2"/>
        <v>0</v>
      </c>
    </row>
    <row r="34" spans="1:5">
      <c r="A34" s="10">
        <v>13</v>
      </c>
      <c r="B34" s="1">
        <f t="shared" si="1"/>
        <v>1</v>
      </c>
      <c r="C34" s="8">
        <f ca="1">IF(A34-1&lt;0,控制台!$C$3926,OFFSET(控制台!$C$3926,MATCH(A34-1,控制台!$B$3926:$B$3928,1)-1,0))</f>
        <v>0</v>
      </c>
      <c r="D34" s="1">
        <f ca="1" t="shared" si="0"/>
        <v>0</v>
      </c>
      <c r="E34" s="5">
        <f ca="1" t="shared" si="2"/>
        <v>0</v>
      </c>
    </row>
    <row r="35" spans="1:5">
      <c r="A35" s="10">
        <v>14</v>
      </c>
      <c r="B35" s="1">
        <f t="shared" si="1"/>
        <v>1</v>
      </c>
      <c r="C35" s="8">
        <f ca="1">IF(A35-1&lt;0,控制台!$C$3926,OFFSET(控制台!$C$3926,MATCH(A35-1,控制台!$B$3926:$B$3928,1)-1,0))</f>
        <v>0</v>
      </c>
      <c r="D35" s="1">
        <f ca="1" t="shared" si="0"/>
        <v>0</v>
      </c>
      <c r="E35" s="5">
        <f ca="1" t="shared" si="2"/>
        <v>0</v>
      </c>
    </row>
    <row r="36" spans="1:5">
      <c r="A36" s="10">
        <v>15</v>
      </c>
      <c r="B36" s="1">
        <f t="shared" si="1"/>
        <v>1</v>
      </c>
      <c r="C36" s="8">
        <f ca="1">IF(A36-1&lt;0,控制台!$C$3926,OFFSET(控制台!$C$3926,MATCH(A36-1,控制台!$B$3926:$B$3928,1)-1,0))</f>
        <v>0</v>
      </c>
      <c r="D36" s="1">
        <f ca="1" t="shared" si="0"/>
        <v>0</v>
      </c>
      <c r="E36" s="5">
        <f ca="1" t="shared" si="2"/>
        <v>0</v>
      </c>
    </row>
    <row r="37" spans="1:5">
      <c r="A37" s="10">
        <v>16</v>
      </c>
      <c r="B37" s="1">
        <f t="shared" si="1"/>
        <v>1</v>
      </c>
      <c r="C37" s="8">
        <f ca="1">IF(A37-1&lt;0,控制台!$C$3926,OFFSET(控制台!$C$3926,MATCH(A37-1,控制台!$B$3926:$B$3928,1)-1,0))</f>
        <v>0</v>
      </c>
      <c r="D37" s="1">
        <f ca="1" t="shared" si="0"/>
        <v>0</v>
      </c>
      <c r="E37" s="5">
        <f ca="1" t="shared" si="2"/>
        <v>0</v>
      </c>
    </row>
    <row r="38" spans="1:5">
      <c r="A38" s="10">
        <v>17</v>
      </c>
      <c r="B38" s="1">
        <f t="shared" si="1"/>
        <v>1</v>
      </c>
      <c r="C38" s="8">
        <f ca="1">IF(A38-1&lt;0,控制台!$C$3926,OFFSET(控制台!$C$3926,MATCH(A38-1,控制台!$B$3926:$B$3928,1)-1,0))</f>
        <v>0</v>
      </c>
      <c r="D38" s="1">
        <f ca="1" t="shared" si="0"/>
        <v>0</v>
      </c>
      <c r="E38" s="5">
        <f ca="1" t="shared" si="2"/>
        <v>0</v>
      </c>
    </row>
    <row r="39" spans="1:5">
      <c r="A39" s="10">
        <v>18</v>
      </c>
      <c r="B39" s="1">
        <f t="shared" si="1"/>
        <v>1</v>
      </c>
      <c r="C39" s="8">
        <f ca="1">IF(A39-1&lt;0,控制台!$C$3926,OFFSET(控制台!$C$3926,MATCH(A39-1,控制台!$B$3926:$B$3928,1)-1,0))</f>
        <v>0</v>
      </c>
      <c r="D39" s="1">
        <f ca="1" t="shared" si="0"/>
        <v>0</v>
      </c>
      <c r="E39" s="5">
        <f ca="1" t="shared" si="2"/>
        <v>0</v>
      </c>
    </row>
    <row r="40" spans="1:5">
      <c r="A40" s="10">
        <v>19</v>
      </c>
      <c r="B40" s="1">
        <f t="shared" si="1"/>
        <v>1</v>
      </c>
      <c r="C40" s="8">
        <f ca="1">IF(A40-1&lt;0,控制台!$C$3926,OFFSET(控制台!$C$3926,MATCH(A40-1,控制台!$B$3926:$B$3928,1)-1,0))</f>
        <v>0</v>
      </c>
      <c r="D40" s="1">
        <f ca="1" t="shared" si="0"/>
        <v>0</v>
      </c>
      <c r="E40" s="5">
        <f ca="1" t="shared" si="2"/>
        <v>0</v>
      </c>
    </row>
    <row r="41" spans="1:5">
      <c r="A41" s="10">
        <v>20</v>
      </c>
      <c r="B41" s="1">
        <f t="shared" si="1"/>
        <v>1</v>
      </c>
      <c r="C41" s="8">
        <f ca="1">IF(A41-1&lt;0,控制台!$C$3926,OFFSET(控制台!$C$3926,MATCH(A41-1,控制台!$B$3926:$B$3928,1)-1,0))</f>
        <v>0</v>
      </c>
      <c r="D41" s="1">
        <f ca="1" t="shared" si="0"/>
        <v>0</v>
      </c>
      <c r="E41" s="5">
        <f ca="1" t="shared" si="2"/>
        <v>0</v>
      </c>
    </row>
    <row r="42" spans="1:5">
      <c r="A42" s="10">
        <v>21</v>
      </c>
      <c r="B42" s="1">
        <f t="shared" si="1"/>
        <v>1</v>
      </c>
      <c r="C42" s="8">
        <f ca="1">IF(A42-1&lt;0,控制台!$C$3926,OFFSET(控制台!$C$3926,MATCH(A42-1,控制台!$B$3926:$B$3928,1)-1,0))</f>
        <v>0</v>
      </c>
      <c r="D42" s="1">
        <f ca="1" t="shared" si="0"/>
        <v>0</v>
      </c>
      <c r="E42" s="5">
        <f ca="1" t="shared" si="2"/>
        <v>0</v>
      </c>
    </row>
    <row r="43" spans="1:5">
      <c r="A43" s="10">
        <v>22</v>
      </c>
      <c r="B43" s="1">
        <f t="shared" si="1"/>
        <v>1</v>
      </c>
      <c r="C43" s="8">
        <f ca="1">IF(A43-1&lt;0,控制台!$C$3926,OFFSET(控制台!$C$3926,MATCH(A43-1,控制台!$B$3926:$B$3928,1)-1,0))</f>
        <v>0</v>
      </c>
      <c r="D43" s="1">
        <f ca="1" t="shared" si="0"/>
        <v>0</v>
      </c>
      <c r="E43" s="5">
        <f ca="1" t="shared" si="2"/>
        <v>0</v>
      </c>
    </row>
    <row r="44" spans="1:5">
      <c r="A44" s="10">
        <v>23</v>
      </c>
      <c r="B44" s="1">
        <f t="shared" si="1"/>
        <v>1</v>
      </c>
      <c r="C44" s="8">
        <f ca="1">IF(A44-1&lt;0,控制台!$C$3926,OFFSET(控制台!$C$3926,MATCH(A44-1,控制台!$B$3926:$B$3928,1)-1,0))</f>
        <v>0</v>
      </c>
      <c r="D44" s="1">
        <f ca="1" t="shared" si="0"/>
        <v>0</v>
      </c>
      <c r="E44" s="5">
        <f ca="1" t="shared" si="2"/>
        <v>0</v>
      </c>
    </row>
    <row r="45" spans="1:5">
      <c r="A45" s="10">
        <v>24</v>
      </c>
      <c r="B45" s="1">
        <f t="shared" si="1"/>
        <v>1</v>
      </c>
      <c r="C45" s="8">
        <f ca="1">IF(A45-1&lt;0,控制台!$C$3926,OFFSET(控制台!$C$3926,MATCH(A45-1,控制台!$B$3926:$B$3928,1)-1,0))</f>
        <v>0</v>
      </c>
      <c r="D45" s="1">
        <f ca="1" t="shared" si="0"/>
        <v>0</v>
      </c>
      <c r="E45" s="5">
        <f ca="1" t="shared" si="2"/>
        <v>0</v>
      </c>
    </row>
    <row r="46" spans="1:5">
      <c r="A46" s="10">
        <v>25</v>
      </c>
      <c r="B46" s="1">
        <f t="shared" si="1"/>
        <v>1</v>
      </c>
      <c r="C46" s="8">
        <f ca="1">IF(A46-1&lt;0,控制台!$C$3926,OFFSET(控制台!$C$3926,MATCH(A46-1,控制台!$B$3926:$B$3928,1)-1,0))</f>
        <v>0</v>
      </c>
      <c r="D46" s="1">
        <f ca="1" t="shared" si="0"/>
        <v>0</v>
      </c>
      <c r="E46" s="5">
        <f ca="1" t="shared" si="2"/>
        <v>0</v>
      </c>
    </row>
    <row r="47" spans="1:5">
      <c r="A47" s="10">
        <v>26</v>
      </c>
      <c r="B47" s="1">
        <f t="shared" si="1"/>
        <v>1</v>
      </c>
      <c r="C47" s="8">
        <f ca="1">IF(A47-1&lt;0,控制台!$C$3926,OFFSET(控制台!$C$3926,MATCH(A47-1,控制台!$B$3926:$B$3928,1)-1,0))</f>
        <v>0</v>
      </c>
      <c r="D47" s="1">
        <f ca="1" t="shared" si="0"/>
        <v>0</v>
      </c>
      <c r="E47" s="5">
        <f ca="1" t="shared" si="2"/>
        <v>0</v>
      </c>
    </row>
    <row r="48" spans="1:5">
      <c r="A48" s="10">
        <v>27</v>
      </c>
      <c r="B48" s="1">
        <f t="shared" si="1"/>
        <v>1</v>
      </c>
      <c r="C48" s="8">
        <f ca="1">IF(A48-1&lt;0,控制台!$C$3926,OFFSET(控制台!$C$3926,MATCH(A48-1,控制台!$B$3926:$B$3928,1)-1,0))</f>
        <v>0</v>
      </c>
      <c r="D48" s="1">
        <f ca="1" t="shared" si="0"/>
        <v>0</v>
      </c>
      <c r="E48" s="5">
        <f ca="1" t="shared" si="2"/>
        <v>0</v>
      </c>
    </row>
    <row r="49" spans="1:5">
      <c r="A49" s="10">
        <v>28</v>
      </c>
      <c r="B49" s="1">
        <f t="shared" si="1"/>
        <v>1</v>
      </c>
      <c r="C49" s="8">
        <f ca="1">IF(A49-1&lt;0,控制台!$C$3926,OFFSET(控制台!$C$3926,MATCH(A49-1,控制台!$B$3926:$B$3928,1)-1,0))</f>
        <v>0</v>
      </c>
      <c r="D49" s="1">
        <f ca="1" t="shared" si="0"/>
        <v>0</v>
      </c>
      <c r="E49" s="5">
        <f ca="1" t="shared" si="2"/>
        <v>0</v>
      </c>
    </row>
    <row r="50" spans="1:5">
      <c r="A50" s="10">
        <v>29</v>
      </c>
      <c r="B50" s="1">
        <f t="shared" si="1"/>
        <v>1</v>
      </c>
      <c r="C50" s="8">
        <f ca="1">IF(A50-1&lt;0,控制台!$C$3926,OFFSET(控制台!$C$3926,MATCH(A50-1,控制台!$B$3926:$B$3928,1)-1,0))</f>
        <v>0</v>
      </c>
      <c r="D50" s="1">
        <f ca="1" t="shared" si="0"/>
        <v>0</v>
      </c>
      <c r="E50" s="5">
        <f ca="1" t="shared" si="2"/>
        <v>0</v>
      </c>
    </row>
    <row r="51" spans="1:5">
      <c r="A51" s="10">
        <v>30</v>
      </c>
      <c r="B51" s="1">
        <f t="shared" si="1"/>
        <v>1</v>
      </c>
      <c r="C51" s="8">
        <f ca="1">IF(A51-1&lt;0,控制台!$C$3926,OFFSET(控制台!$C$3926,MATCH(A51-1,控制台!$B$3926:$B$3928,1)-1,0))</f>
        <v>0</v>
      </c>
      <c r="D51" s="1">
        <f ca="1" t="shared" si="0"/>
        <v>0</v>
      </c>
      <c r="E51" s="5">
        <f ca="1" t="shared" si="2"/>
        <v>0</v>
      </c>
    </row>
    <row r="52" spans="1:5">
      <c r="A52" s="11">
        <v>35</v>
      </c>
      <c r="B52" s="1">
        <f t="shared" si="1"/>
        <v>5</v>
      </c>
      <c r="C52" s="8">
        <f ca="1">IF(A52-1&lt;0,控制台!$C$3926,OFFSET(控制台!$C$3926,MATCH(A52-1,控制台!$B$3926:$B$3928,1)-1,0))</f>
        <v>100</v>
      </c>
      <c r="D52" s="1">
        <f ca="1" t="shared" si="0"/>
        <v>500</v>
      </c>
      <c r="E52" s="5">
        <f ca="1" t="shared" si="2"/>
        <v>500</v>
      </c>
    </row>
    <row r="53" spans="1:5">
      <c r="A53" s="11">
        <v>40</v>
      </c>
      <c r="B53" s="1">
        <f t="shared" si="1"/>
        <v>5</v>
      </c>
      <c r="C53" s="8">
        <f ca="1">IF(A53-1&lt;0,控制台!$C$3926,OFFSET(控制台!$C$3926,MATCH(A53-1,控制台!$B$3926:$B$3928,1)-1,0))</f>
        <v>100</v>
      </c>
      <c r="D53" s="1">
        <f ca="1" t="shared" si="0"/>
        <v>500</v>
      </c>
      <c r="E53" s="5">
        <f ca="1" t="shared" si="2"/>
        <v>1000</v>
      </c>
    </row>
    <row r="54" spans="1:5">
      <c r="A54" s="11">
        <v>45</v>
      </c>
      <c r="B54" s="1">
        <f t="shared" si="1"/>
        <v>5</v>
      </c>
      <c r="C54" s="8">
        <f ca="1">IF(A54-1&lt;0,控制台!$C$3926,OFFSET(控制台!$C$3926,MATCH(A54-1,控制台!$B$3926:$B$3928,1)-1,0))</f>
        <v>100</v>
      </c>
      <c r="D54" s="1">
        <f ca="1" t="shared" si="0"/>
        <v>500</v>
      </c>
      <c r="E54" s="5">
        <f ca="1" t="shared" si="2"/>
        <v>1500</v>
      </c>
    </row>
    <row r="55" spans="1:5">
      <c r="A55" s="11">
        <v>50</v>
      </c>
      <c r="B55" s="1">
        <f t="shared" si="1"/>
        <v>5</v>
      </c>
      <c r="C55" s="8">
        <f ca="1">IF(A55-1&lt;0,控制台!$C$3926,OFFSET(控制台!$C$3926,MATCH(A55-1,控制台!$B$3926:$B$3928,1)-1,0))</f>
        <v>200</v>
      </c>
      <c r="D55" s="1">
        <f ca="1" t="shared" si="0"/>
        <v>1000</v>
      </c>
      <c r="E55" s="5">
        <f ca="1" t="shared" si="2"/>
        <v>2500</v>
      </c>
    </row>
    <row r="56" spans="1:5">
      <c r="A56" s="11">
        <v>55</v>
      </c>
      <c r="B56" s="1">
        <f t="shared" si="1"/>
        <v>5</v>
      </c>
      <c r="C56" s="8">
        <f ca="1">IF(A56-1&lt;0,控制台!$C$3926,OFFSET(控制台!$C$3926,MATCH(A56-1,控制台!$B$3926:$B$3928,1)-1,0))</f>
        <v>200</v>
      </c>
      <c r="D56" s="1">
        <f ca="1" t="shared" si="0"/>
        <v>1000</v>
      </c>
      <c r="E56" s="5">
        <f ca="1" t="shared" si="2"/>
        <v>3500</v>
      </c>
    </row>
    <row r="57" spans="1:5">
      <c r="A57" s="11">
        <v>60</v>
      </c>
      <c r="B57" s="1">
        <f t="shared" si="1"/>
        <v>5</v>
      </c>
      <c r="C57" s="8">
        <f ca="1">IF(A57-1&lt;0,控制台!$C$3926,OFFSET(控制台!$C$3926,MATCH(A57-1,控制台!$B$3926:$B$3928,1)-1,0))</f>
        <v>200</v>
      </c>
      <c r="D57" s="1">
        <f ca="1" t="shared" si="0"/>
        <v>1000</v>
      </c>
      <c r="E57" s="5">
        <f ca="1" t="shared" si="2"/>
        <v>4500</v>
      </c>
    </row>
    <row r="58" spans="1:5">
      <c r="A58" s="11">
        <v>65</v>
      </c>
      <c r="B58" s="1">
        <f t="shared" si="1"/>
        <v>5</v>
      </c>
      <c r="C58" s="8">
        <f ca="1">IF(A58-1&lt;0,控制台!$C$3926,OFFSET(控制台!$C$3926,MATCH(A58-1,控制台!$B$3926:$B$3928,1)-1,0))</f>
        <v>200</v>
      </c>
      <c r="D58" s="1">
        <f ca="1" t="shared" si="0"/>
        <v>1000</v>
      </c>
      <c r="E58" s="5">
        <f ca="1" t="shared" si="2"/>
        <v>5500</v>
      </c>
    </row>
    <row r="59" spans="1:5">
      <c r="A59" s="11">
        <v>70</v>
      </c>
      <c r="B59" s="1">
        <f t="shared" si="1"/>
        <v>5</v>
      </c>
      <c r="C59" s="8">
        <f ca="1">IF(A59-1&lt;0,控制台!$C$3926,OFFSET(控制台!$C$3926,MATCH(A59-1,控制台!$B$3926:$B$3928,1)-1,0))</f>
        <v>200</v>
      </c>
      <c r="D59" s="1">
        <f ca="1" t="shared" si="0"/>
        <v>1000</v>
      </c>
      <c r="E59" s="5">
        <f ca="1" t="shared" si="2"/>
        <v>6500</v>
      </c>
    </row>
    <row r="60" spans="1:5">
      <c r="A60" s="11">
        <v>75</v>
      </c>
      <c r="B60" s="1">
        <f t="shared" si="1"/>
        <v>5</v>
      </c>
      <c r="C60" s="8">
        <f ca="1">IF(A60-1&lt;0,控制台!$C$3926,OFFSET(控制台!$C$3926,MATCH(A60-1,控制台!$B$3926:$B$3928,1)-1,0))</f>
        <v>200</v>
      </c>
      <c r="D60" s="1">
        <f ca="1" t="shared" si="0"/>
        <v>1000</v>
      </c>
      <c r="E60" s="5">
        <f ca="1" t="shared" si="2"/>
        <v>7500</v>
      </c>
    </row>
    <row r="61" spans="1:5">
      <c r="A61" s="11">
        <v>80</v>
      </c>
      <c r="B61" s="1">
        <f t="shared" si="1"/>
        <v>5</v>
      </c>
      <c r="C61" s="8">
        <f ca="1">IF(A61-1&lt;0,控制台!$C$3926,OFFSET(控制台!$C$3926,MATCH(A61-1,控制台!$B$3926:$B$3928,1)-1,0))</f>
        <v>200</v>
      </c>
      <c r="D61" s="1">
        <f ca="1" t="shared" si="0"/>
        <v>1000</v>
      </c>
      <c r="E61" s="5">
        <f ca="1" t="shared" si="2"/>
        <v>8500</v>
      </c>
    </row>
    <row r="62" spans="1:5">
      <c r="A62" s="11">
        <v>85</v>
      </c>
      <c r="B62" s="1">
        <f t="shared" si="1"/>
        <v>5</v>
      </c>
      <c r="C62" s="8">
        <f ca="1">IF(A62-1&lt;0,控制台!$C$3926,OFFSET(控制台!$C$3926,MATCH(A62-1,控制台!$B$3926:$B$3928,1)-1,0))</f>
        <v>200</v>
      </c>
      <c r="D62" s="1">
        <f ca="1" t="shared" si="0"/>
        <v>1000</v>
      </c>
      <c r="E62" s="5">
        <f ca="1" t="shared" si="2"/>
        <v>9500</v>
      </c>
    </row>
    <row r="63" spans="1:5">
      <c r="A63" s="11">
        <v>90</v>
      </c>
      <c r="B63" s="1">
        <f t="shared" si="1"/>
        <v>5</v>
      </c>
      <c r="C63" s="8">
        <f ca="1">IF(A63-1&lt;0,控制台!$C$3926,OFFSET(控制台!$C$3926,MATCH(A63-1,控制台!$B$3926:$B$3928,1)-1,0))</f>
        <v>200</v>
      </c>
      <c r="D63" s="1">
        <f ca="1" t="shared" si="0"/>
        <v>1000</v>
      </c>
      <c r="E63" s="5">
        <f ca="1" t="shared" si="2"/>
        <v>10500</v>
      </c>
    </row>
    <row r="64" spans="1:5">
      <c r="A64" s="11">
        <v>95</v>
      </c>
      <c r="B64" s="1">
        <f t="shared" si="1"/>
        <v>5</v>
      </c>
      <c r="C64" s="8">
        <f ca="1">IF(A64-1&lt;0,控制台!$C$3926,OFFSET(控制台!$C$3926,MATCH(A64-1,控制台!$B$3926:$B$3928,1)-1,0))</f>
        <v>200</v>
      </c>
      <c r="D64" s="1">
        <f ca="1" t="shared" si="0"/>
        <v>1000</v>
      </c>
      <c r="E64" s="5">
        <f ca="1" t="shared" si="2"/>
        <v>11500</v>
      </c>
    </row>
    <row r="65" spans="1:5">
      <c r="A65" s="11">
        <v>100</v>
      </c>
      <c r="B65" s="1">
        <f t="shared" si="1"/>
        <v>5</v>
      </c>
      <c r="C65" s="8">
        <f ca="1">IF(A65-1&lt;0,控制台!$C$3926,OFFSET(控制台!$C$3926,MATCH(A65-1,控制台!$B$3926:$B$3928,1)-1,0))</f>
        <v>200</v>
      </c>
      <c r="D65" s="1">
        <f ca="1" t="shared" si="0"/>
        <v>1000</v>
      </c>
      <c r="E65" s="5">
        <f ca="1" t="shared" si="2"/>
        <v>12500</v>
      </c>
    </row>
    <row r="66" spans="1:5">
      <c r="A66" s="11">
        <v>105</v>
      </c>
      <c r="B66" s="1">
        <f t="shared" si="1"/>
        <v>5</v>
      </c>
      <c r="C66" s="8">
        <f ca="1">IF(A66-1&lt;0,控制台!$C$3926,OFFSET(控制台!$C$3926,MATCH(A66-1,控制台!$B$3926:$B$3928,1)-1,0))</f>
        <v>200</v>
      </c>
      <c r="D66" s="1">
        <f ca="1" t="shared" si="0"/>
        <v>1000</v>
      </c>
      <c r="E66" s="5">
        <f ca="1" t="shared" si="2"/>
        <v>13500</v>
      </c>
    </row>
    <row r="67" spans="1:5">
      <c r="A67" s="11">
        <v>110</v>
      </c>
      <c r="B67" s="1">
        <f t="shared" si="1"/>
        <v>5</v>
      </c>
      <c r="C67" s="8">
        <f ca="1">IF(A67-1&lt;0,控制台!$C$3926,OFFSET(控制台!$C$3926,MATCH(A67-1,控制台!$B$3926:$B$3928,1)-1,0))</f>
        <v>200</v>
      </c>
      <c r="D67" s="1">
        <f ca="1" t="shared" si="0"/>
        <v>1000</v>
      </c>
      <c r="E67" s="5">
        <f ca="1" t="shared" si="2"/>
        <v>14500</v>
      </c>
    </row>
    <row r="68" spans="1:5">
      <c r="A68" s="11">
        <v>115</v>
      </c>
      <c r="B68" s="1">
        <f t="shared" si="1"/>
        <v>5</v>
      </c>
      <c r="C68" s="8">
        <f ca="1">IF(A68-1&lt;0,控制台!$C$3926,OFFSET(控制台!$C$3926,MATCH(A68-1,控制台!$B$3926:$B$3928,1)-1,0))</f>
        <v>200</v>
      </c>
      <c r="D68" s="1">
        <f ca="1" t="shared" si="0"/>
        <v>1000</v>
      </c>
      <c r="E68" s="5">
        <f ca="1" t="shared" si="2"/>
        <v>15500</v>
      </c>
    </row>
    <row r="69" spans="1:5">
      <c r="A69" s="11">
        <v>120</v>
      </c>
      <c r="B69" s="1">
        <f t="shared" si="1"/>
        <v>5</v>
      </c>
      <c r="C69" s="8">
        <f ca="1">IF(A69-1&lt;0,控制台!$C$3926,OFFSET(控制台!$C$3926,MATCH(A69-1,控制台!$B$3926:$B$3928,1)-1,0))</f>
        <v>200</v>
      </c>
      <c r="D69" s="1">
        <f ca="1" t="shared" si="0"/>
        <v>1000</v>
      </c>
      <c r="E69" s="5">
        <f ca="1" t="shared" si="2"/>
        <v>16500</v>
      </c>
    </row>
    <row r="70" spans="1:5">
      <c r="A70" s="12">
        <v>150</v>
      </c>
      <c r="B70" s="1">
        <f t="shared" si="1"/>
        <v>30</v>
      </c>
      <c r="C70" s="8">
        <f ca="1">IF(A70-1&lt;0,控制台!$C$3926,OFFSET(控制台!$C$3926,MATCH(A70-1,控制台!$B$3926:$B$3928,1)-1,0))</f>
        <v>200</v>
      </c>
      <c r="D70" s="1">
        <f ca="1" t="shared" si="0"/>
        <v>6000</v>
      </c>
      <c r="E70" s="5">
        <f ca="1" t="shared" si="2"/>
        <v>22500</v>
      </c>
    </row>
    <row r="71" spans="1:5">
      <c r="A71" s="12">
        <v>180</v>
      </c>
      <c r="B71" s="1">
        <f t="shared" si="1"/>
        <v>30</v>
      </c>
      <c r="C71" s="8">
        <f ca="1">IF(A71-1&lt;0,控制台!$C$3926,OFFSET(控制台!$C$3926,MATCH(A71-1,控制台!$B$3926:$B$3928,1)-1,0))</f>
        <v>200</v>
      </c>
      <c r="D71" s="1">
        <f ca="1" t="shared" ref="D71:D77" si="3">C71*$B71</f>
        <v>6000</v>
      </c>
      <c r="E71" s="5">
        <f ca="1" t="shared" si="2"/>
        <v>28500</v>
      </c>
    </row>
    <row r="72" spans="1:5">
      <c r="A72" s="12">
        <v>210</v>
      </c>
      <c r="B72" s="1">
        <f t="shared" ref="B72:B77" si="4">A72-A71</f>
        <v>30</v>
      </c>
      <c r="C72" s="8">
        <f ca="1">IF(A72-1&lt;0,控制台!$C$3926,OFFSET(控制台!$C$3926,MATCH(A72-1,控制台!$B$3926:$B$3928,1)-1,0))</f>
        <v>200</v>
      </c>
      <c r="D72" s="1">
        <f ca="1" t="shared" si="3"/>
        <v>6000</v>
      </c>
      <c r="E72" s="5">
        <f ca="1" t="shared" ref="E72:E77" si="5">E71+D72</f>
        <v>34500</v>
      </c>
    </row>
    <row r="73" spans="1:5">
      <c r="A73" s="12">
        <v>240</v>
      </c>
      <c r="B73" s="1">
        <f t="shared" si="4"/>
        <v>30</v>
      </c>
      <c r="C73" s="8">
        <f ca="1">IF(A73-1&lt;0,控制台!$C$3926,OFFSET(控制台!$C$3926,MATCH(A73-1,控制台!$B$3926:$B$3928,1)-1,0))</f>
        <v>200</v>
      </c>
      <c r="D73" s="1">
        <f ca="1" t="shared" si="3"/>
        <v>6000</v>
      </c>
      <c r="E73" s="5">
        <f ca="1" t="shared" si="5"/>
        <v>40500</v>
      </c>
    </row>
    <row r="74" spans="1:5">
      <c r="A74" s="12">
        <v>270</v>
      </c>
      <c r="B74" s="1">
        <f t="shared" si="4"/>
        <v>30</v>
      </c>
      <c r="C74" s="8">
        <f ca="1">IF(A74-1&lt;0,控制台!$C$3926,OFFSET(控制台!$C$3926,MATCH(A74-1,控制台!$B$3926:$B$3928,1)-1,0))</f>
        <v>200</v>
      </c>
      <c r="D74" s="1">
        <f ca="1" t="shared" si="3"/>
        <v>6000</v>
      </c>
      <c r="E74" s="5">
        <f ca="1" t="shared" si="5"/>
        <v>46500</v>
      </c>
    </row>
    <row r="75" spans="1:5">
      <c r="A75" s="12">
        <v>300</v>
      </c>
      <c r="B75" s="1">
        <f t="shared" si="4"/>
        <v>30</v>
      </c>
      <c r="C75" s="8">
        <f ca="1">IF(A75-1&lt;0,控制台!$C$3926,OFFSET(控制台!$C$3926,MATCH(A75-1,控制台!$B$3926:$B$3928,1)-1,0))</f>
        <v>200</v>
      </c>
      <c r="D75" s="1">
        <f ca="1" t="shared" si="3"/>
        <v>6000</v>
      </c>
      <c r="E75" s="5">
        <f ca="1" t="shared" si="5"/>
        <v>52500</v>
      </c>
    </row>
    <row r="76" spans="1:5">
      <c r="A76" s="12">
        <v>330</v>
      </c>
      <c r="B76" s="1">
        <f t="shared" si="4"/>
        <v>30</v>
      </c>
      <c r="C76" s="8">
        <f ca="1">IF(A76-1&lt;0,控制台!$C$3926,OFFSET(控制台!$C$3926,MATCH(A76-1,控制台!$B$3926:$B$3928,1)-1,0))</f>
        <v>200</v>
      </c>
      <c r="D76" s="1">
        <f ca="1" t="shared" si="3"/>
        <v>6000</v>
      </c>
      <c r="E76" s="5">
        <f ca="1" t="shared" si="5"/>
        <v>58500</v>
      </c>
    </row>
    <row r="77" spans="1:5">
      <c r="A77" s="12">
        <v>360</v>
      </c>
      <c r="B77" s="1">
        <f t="shared" si="4"/>
        <v>30</v>
      </c>
      <c r="C77" s="8">
        <f ca="1">IF(A77-1&lt;0,控制台!$C$3926,OFFSET(控制台!$C$3926,MATCH(A77-1,控制台!$B$3926:$B$3928,1)-1,0))</f>
        <v>200</v>
      </c>
      <c r="D77" s="1">
        <f ca="1" t="shared" si="3"/>
        <v>6000</v>
      </c>
      <c r="E77" s="5">
        <f ca="1" t="shared" si="5"/>
        <v>64500</v>
      </c>
    </row>
  </sheetData>
  <hyperlinks>
    <hyperlink ref="A1" location="控制台_213_主题活动" display="返回控制台_主题活动"/>
  </hyperlinks>
  <pageMargins left="0.699305555555556" right="0.699305555555556" top="0.75" bottom="0.75" header="0.3" footer="0.3"/>
  <pageSetup paperSize="9" orientation="portrait"/>
  <headerFooter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08">
    <tabColor theme="7" tint="0.599993896298105"/>
  </sheetPr>
  <dimension ref="A1:P465"/>
  <sheetViews>
    <sheetView zoomScale="70" zoomScaleNormal="70" workbookViewId="0">
      <selection activeCell="P22" sqref="P22"/>
    </sheetView>
  </sheetViews>
  <sheetFormatPr defaultColWidth="8.70967741935484" defaultRowHeight="13.1"/>
  <cols>
    <col min="1" max="15" width="9.62903225806452" style="1"/>
    <col min="16" max="16" width="23.3790322580645" style="1" customWidth="1"/>
    <col min="17" max="16384" width="9.62903225806452" style="1"/>
  </cols>
  <sheetData>
    <row r="1" spans="1:11">
      <c r="A1" s="3" t="s">
        <v>3002</v>
      </c>
      <c r="E1" s="4"/>
      <c r="F1" s="5"/>
      <c r="G1" s="4"/>
      <c r="H1" s="5"/>
      <c r="K1" s="5"/>
    </row>
    <row r="2" spans="5:11">
      <c r="E2" s="4"/>
      <c r="F2" s="5"/>
      <c r="G2" s="4"/>
      <c r="H2" s="5"/>
      <c r="K2" s="5"/>
    </row>
    <row r="3" s="2" customFormat="1" spans="1:1">
      <c r="A3" s="2" t="s">
        <v>2875</v>
      </c>
    </row>
    <row r="4" spans="5:11">
      <c r="E4" s="4"/>
      <c r="F4" s="5"/>
      <c r="G4" s="4"/>
      <c r="H4" s="5"/>
      <c r="K4" s="5"/>
    </row>
    <row r="5" spans="1:16">
      <c r="A5" s="1" t="s">
        <v>2660</v>
      </c>
      <c r="B5" s="1" t="s">
        <v>1477</v>
      </c>
      <c r="C5" s="1" t="s">
        <v>2946</v>
      </c>
      <c r="D5" s="1" t="s">
        <v>805</v>
      </c>
      <c r="E5" s="1" t="s">
        <v>806</v>
      </c>
      <c r="F5" s="1" t="s">
        <v>2850</v>
      </c>
      <c r="G5" s="4" t="s">
        <v>1049</v>
      </c>
      <c r="H5" s="1" t="s">
        <v>805</v>
      </c>
      <c r="I5" s="1" t="s">
        <v>806</v>
      </c>
      <c r="J5" s="1" t="s">
        <v>2850</v>
      </c>
      <c r="K5" s="4" t="s">
        <v>379</v>
      </c>
      <c r="L5" s="1" t="s">
        <v>805</v>
      </c>
      <c r="M5" s="1" t="s">
        <v>806</v>
      </c>
      <c r="N5" s="1" t="s">
        <v>2850</v>
      </c>
      <c r="O5" s="4" t="s">
        <v>458</v>
      </c>
      <c r="P5" s="1" t="s">
        <v>3003</v>
      </c>
    </row>
    <row r="6" spans="1:15">
      <c r="A6" s="1">
        <f>B6*100+C6</f>
        <v>101</v>
      </c>
      <c r="B6" s="1">
        <v>1</v>
      </c>
      <c r="C6" s="1">
        <v>1</v>
      </c>
      <c r="D6" s="1">
        <f ca="1">OFFSET(控制台!$C$4617,MATCH(B6,控制台!$B$4617:$B$4629,0)-2,0)*控制台!$C$4610</f>
        <v>10000</v>
      </c>
      <c r="E6" s="1">
        <f ca="1">OFFSET(控制台!$C$4617,MATCH(B6,控制台!$B$4617:$B$4629,0)-1,0)*控制台!$C$4610</f>
        <v>15000</v>
      </c>
      <c r="F6" s="1">
        <f>(_xlfn.FLOOR.MATH((C6-1)/4)+1)/5</f>
        <v>0.2</v>
      </c>
      <c r="G6" s="4">
        <f ca="1">Lerp_dyy(D6,E6,F6)</f>
        <v>11000</v>
      </c>
      <c r="H6" s="1">
        <f ca="1">OFFSET(控制台!$E$4617,MATCH(B6,控制台!$B$4617:$B$4629,0)-2,0)*控制台!$C$4611</f>
        <v>0</v>
      </c>
      <c r="I6" s="1">
        <f ca="1">OFFSET(控制台!$E$4617,MATCH(B6,控制台!$B$4617:$B$4629,0)-1,0)*控制台!$C$4611</f>
        <v>10</v>
      </c>
      <c r="J6" s="1">
        <f>(_xlfn.FLOOR.MATH((C6-1)/10)+1)/2</f>
        <v>0.5</v>
      </c>
      <c r="K6" s="4">
        <f ca="1">IF(MOD(C6,4)=0,0,Lerp_dyy(H6,I6,J6))</f>
        <v>5</v>
      </c>
      <c r="L6" s="1">
        <f ca="1">OFFSET(控制台!$G$4617,MATCH(B6,控制台!$B$4617:$B$4629,0)-2,0)*控制台!$C$4612</f>
        <v>0</v>
      </c>
      <c r="M6" s="1">
        <f ca="1">OFFSET(控制台!$G$4617,MATCH(B6,控制台!$B$4617:$B$4629,0)-1,0)*控制台!$C$4612</f>
        <v>10</v>
      </c>
      <c r="N6" s="1">
        <v>1</v>
      </c>
      <c r="O6" s="6">
        <v>20</v>
      </c>
    </row>
    <row r="7" spans="1:15">
      <c r="A7" s="1">
        <f t="shared" ref="A7:A80" si="0">B7*100+C7</f>
        <v>102</v>
      </c>
      <c r="B7" s="1">
        <v>1</v>
      </c>
      <c r="C7" s="1">
        <v>2</v>
      </c>
      <c r="D7" s="1">
        <f ca="1">OFFSET(控制台!$C$4617,MATCH(B7,控制台!$B$4617:$B$4629,0)-2,0)*控制台!$C$4610</f>
        <v>10000</v>
      </c>
      <c r="E7" s="1">
        <f ca="1">OFFSET(控制台!$C$4617,MATCH(B7,控制台!$B$4617:$B$4629,0)-1,0)*控制台!$C$4610</f>
        <v>15000</v>
      </c>
      <c r="F7" s="1">
        <f>(_xlfn.FLOOR.MATH((C7-1)/4)+1)/5</f>
        <v>0.2</v>
      </c>
      <c r="G7" s="4">
        <f ca="1">Lerp_dyy(D7,E7,F7)</f>
        <v>11000</v>
      </c>
      <c r="H7" s="1">
        <f ca="1">OFFSET(控制台!$E$4617,MATCH(B7,控制台!$B$4617:$B$4629,0)-2,0)*控制台!$C$4611</f>
        <v>0</v>
      </c>
      <c r="I7" s="1">
        <f ca="1">OFFSET(控制台!$E$4617,MATCH(B7,控制台!$B$4617:$B$4629,0)-1,0)*控制台!$C$4611</f>
        <v>10</v>
      </c>
      <c r="J7" s="1">
        <f>(_xlfn.FLOOR.MATH((C7-1)/10)+1)/2</f>
        <v>0.5</v>
      </c>
      <c r="K7" s="4">
        <f ca="1">IF(MOD(C7,4)=0,0,Lerp_dyy(H7,I7,J7))</f>
        <v>5</v>
      </c>
      <c r="L7" s="1">
        <f ca="1">OFFSET(控制台!$G$4617,MATCH(B7,控制台!$B$4617:$B$4629,0)-2,0)*控制台!$C$4612</f>
        <v>0</v>
      </c>
      <c r="M7" s="1">
        <f ca="1">OFFSET(控制台!$G$4617,MATCH(B7,控制台!$B$4617:$B$4629,0)-1,0)*控制台!$C$4612</f>
        <v>10</v>
      </c>
      <c r="N7" s="1">
        <v>1</v>
      </c>
      <c r="O7" s="4">
        <f ca="1">IF(MOD(C7,4)=0,Lerp_dyy(L7,M7,N7),0)</f>
        <v>0</v>
      </c>
    </row>
    <row r="8" spans="1:15">
      <c r="A8" s="1">
        <f t="shared" si="0"/>
        <v>103</v>
      </c>
      <c r="B8" s="1">
        <v>1</v>
      </c>
      <c r="C8" s="1">
        <v>3</v>
      </c>
      <c r="D8" s="1">
        <f ca="1">OFFSET(控制台!$C$4617,MATCH(B8,控制台!$B$4617:$B$4629,0)-2,0)*控制台!$C$4610</f>
        <v>10000</v>
      </c>
      <c r="E8" s="1">
        <f ca="1">OFFSET(控制台!$C$4617,MATCH(B8,控制台!$B$4617:$B$4629,0)-1,0)*控制台!$C$4610</f>
        <v>15000</v>
      </c>
      <c r="F8" s="1">
        <f>(_xlfn.FLOOR.MATH((C8-1)/4)+1)/5</f>
        <v>0.2</v>
      </c>
      <c r="G8" s="4">
        <f ca="1">Lerp_dyy(D8,E8,F8)</f>
        <v>11000</v>
      </c>
      <c r="H8" s="1">
        <f ca="1">OFFSET(控制台!$E$4617,MATCH(B8,控制台!$B$4617:$B$4629,0)-2,0)*控制台!$C$4611</f>
        <v>0</v>
      </c>
      <c r="I8" s="1">
        <f ca="1">OFFSET(控制台!$E$4617,MATCH(B8,控制台!$B$4617:$B$4629,0)-1,0)*控制台!$C$4611</f>
        <v>10</v>
      </c>
      <c r="J8" s="1">
        <f>(_xlfn.FLOOR.MATH((C8-1)/10)+1)/2</f>
        <v>0.5</v>
      </c>
      <c r="K8" s="4">
        <f ca="1">IF(MOD(C8,4)=0,0,Lerp_dyy(H8,I8,J8))</f>
        <v>5</v>
      </c>
      <c r="L8" s="1">
        <f ca="1">OFFSET(控制台!$G$4617,MATCH(B8,控制台!$B$4617:$B$4629,0)-2,0)*控制台!$C$4612</f>
        <v>0</v>
      </c>
      <c r="M8" s="1">
        <f ca="1">OFFSET(控制台!$G$4617,MATCH(B8,控制台!$B$4617:$B$4629,0)-1,0)*控制台!$C$4612</f>
        <v>10</v>
      </c>
      <c r="N8" s="1">
        <v>1</v>
      </c>
      <c r="O8" s="4">
        <f ca="1">IF(MOD(C8,4)=0,Lerp_dyy(L8,M8,N8),0)</f>
        <v>0</v>
      </c>
    </row>
    <row r="9" spans="1:15">
      <c r="A9" s="1">
        <f t="shared" si="0"/>
        <v>104</v>
      </c>
      <c r="B9" s="1">
        <v>1</v>
      </c>
      <c r="C9" s="1">
        <v>4</v>
      </c>
      <c r="D9" s="1">
        <f ca="1">OFFSET(控制台!$C$4617,MATCH(B9,控制台!$B$4617:$B$4629,0)-2,0)*控制台!$C$4610</f>
        <v>10000</v>
      </c>
      <c r="E9" s="1">
        <f ca="1">OFFSET(控制台!$C$4617,MATCH(B9,控制台!$B$4617:$B$4629,0)-1,0)*控制台!$C$4610</f>
        <v>15000</v>
      </c>
      <c r="F9" s="1">
        <f>(_xlfn.FLOOR.MATH((C9-1)/4)+1)/5</f>
        <v>0.2</v>
      </c>
      <c r="G9" s="4">
        <f ca="1">Lerp_dyy(D9,E9,F9)</f>
        <v>11000</v>
      </c>
      <c r="H9" s="1">
        <f ca="1">OFFSET(控制台!$E$4617,MATCH(B9,控制台!$B$4617:$B$4629,0)-2,0)*控制台!$C$4611</f>
        <v>0</v>
      </c>
      <c r="I9" s="1">
        <f ca="1">OFFSET(控制台!$E$4617,MATCH(B9,控制台!$B$4617:$B$4629,0)-1,0)*控制台!$C$4611</f>
        <v>10</v>
      </c>
      <c r="J9" s="1">
        <f>(_xlfn.FLOOR.MATH((C9-1)/10)+1)/2</f>
        <v>0.5</v>
      </c>
      <c r="K9" s="4">
        <f ca="1">IF(MOD(C9,4)=0,0,Lerp_dyy(H9,I9,J9))</f>
        <v>0</v>
      </c>
      <c r="L9" s="1">
        <f ca="1">OFFSET(控制台!$G$4617,MATCH(B9,控制台!$B$4617:$B$4629,0)-2,0)*控制台!$C$4612</f>
        <v>0</v>
      </c>
      <c r="M9" s="1">
        <f ca="1">OFFSET(控制台!$G$4617,MATCH(B9,控制台!$B$4617:$B$4629,0)-1,0)*控制台!$C$4612</f>
        <v>10</v>
      </c>
      <c r="N9" s="1">
        <v>1</v>
      </c>
      <c r="O9" s="4">
        <f ca="1">IF(MOD(C9,4)=0,Lerp_dyy(L9,M9,N9),0)</f>
        <v>10</v>
      </c>
    </row>
    <row r="10" spans="1:15">
      <c r="A10" s="1">
        <f t="shared" si="0"/>
        <v>105</v>
      </c>
      <c r="B10" s="1">
        <v>1</v>
      </c>
      <c r="C10" s="1">
        <v>5</v>
      </c>
      <c r="D10" s="1">
        <f ca="1">OFFSET(控制台!$C$4617,MATCH(B10,控制台!$B$4617:$B$4629,0)-2,0)*控制台!$C$4610</f>
        <v>10000</v>
      </c>
      <c r="E10" s="1">
        <f ca="1">OFFSET(控制台!$C$4617,MATCH(B10,控制台!$B$4617:$B$4629,0)-1,0)*控制台!$C$4610</f>
        <v>15000</v>
      </c>
      <c r="F10" s="1">
        <f>(_xlfn.FLOOR.MATH((C10-1)/4)+1)/5</f>
        <v>0.4</v>
      </c>
      <c r="G10" s="4">
        <f ca="1">Lerp_dyy(D10,E10,F10)</f>
        <v>12000</v>
      </c>
      <c r="H10" s="1">
        <f ca="1">OFFSET(控制台!$E$4617,MATCH(B10,控制台!$B$4617:$B$4629,0)-2,0)*控制台!$C$4611</f>
        <v>0</v>
      </c>
      <c r="I10" s="1">
        <f ca="1">OFFSET(控制台!$E$4617,MATCH(B10,控制台!$B$4617:$B$4629,0)-1,0)*控制台!$C$4611</f>
        <v>10</v>
      </c>
      <c r="J10" s="1">
        <f>(_xlfn.FLOOR.MATH((C10-1)/10)+1)/2</f>
        <v>0.5</v>
      </c>
      <c r="K10" s="4">
        <f ca="1">IF(MOD(C10,4)=0,0,Lerp_dyy(H10,I10,J10))</f>
        <v>5</v>
      </c>
      <c r="L10" s="1">
        <f ca="1">OFFSET(控制台!$G$4617,MATCH(B10,控制台!$B$4617:$B$4629,0)-2,0)*控制台!$C$4612</f>
        <v>0</v>
      </c>
      <c r="M10" s="1">
        <f ca="1">OFFSET(控制台!$G$4617,MATCH(B10,控制台!$B$4617:$B$4629,0)-1,0)*控制台!$C$4612</f>
        <v>10</v>
      </c>
      <c r="N10" s="1">
        <v>1</v>
      </c>
      <c r="O10" s="4">
        <f ca="1">IF(MOD(C10,4)=0,Lerp_dyy(L10,M10,N10),0)</f>
        <v>0</v>
      </c>
    </row>
    <row r="11" spans="1:15">
      <c r="A11" s="1">
        <f t="shared" si="0"/>
        <v>106</v>
      </c>
      <c r="B11" s="1">
        <v>1</v>
      </c>
      <c r="C11" s="1">
        <v>6</v>
      </c>
      <c r="D11" s="1">
        <f ca="1">OFFSET(控制台!$C$4617,MATCH(B11,控制台!$B$4617:$B$4629,0)-2,0)*控制台!$C$4610</f>
        <v>10000</v>
      </c>
      <c r="E11" s="1">
        <f ca="1">OFFSET(控制台!$C$4617,MATCH(B11,控制台!$B$4617:$B$4629,0)-1,0)*控制台!$C$4610</f>
        <v>15000</v>
      </c>
      <c r="F11" s="1">
        <f>(_xlfn.FLOOR.MATH((C11-1)/4)+1)/5</f>
        <v>0.4</v>
      </c>
      <c r="G11" s="4">
        <f ca="1">Lerp_dyy(D11,E11,F11)</f>
        <v>12000</v>
      </c>
      <c r="H11" s="1">
        <f ca="1">OFFSET(控制台!$E$4617,MATCH(B11,控制台!$B$4617:$B$4629,0)-2,0)*控制台!$C$4611</f>
        <v>0</v>
      </c>
      <c r="I11" s="1">
        <f ca="1">OFFSET(控制台!$E$4617,MATCH(B11,控制台!$B$4617:$B$4629,0)-1,0)*控制台!$C$4611</f>
        <v>10</v>
      </c>
      <c r="J11" s="1">
        <f>(_xlfn.FLOOR.MATH((C11-1)/10)+1)/2</f>
        <v>0.5</v>
      </c>
      <c r="K11" s="4">
        <f ca="1">IF(MOD(C11,4)=0,0,Lerp_dyy(H11,I11,J11))</f>
        <v>5</v>
      </c>
      <c r="L11" s="1">
        <f ca="1">OFFSET(控制台!$G$4617,MATCH(B11,控制台!$B$4617:$B$4629,0)-2,0)*控制台!$C$4612</f>
        <v>0</v>
      </c>
      <c r="M11" s="1">
        <f ca="1">OFFSET(控制台!$G$4617,MATCH(B11,控制台!$B$4617:$B$4629,0)-1,0)*控制台!$C$4612</f>
        <v>10</v>
      </c>
      <c r="N11" s="1">
        <v>1</v>
      </c>
      <c r="O11" s="4">
        <f ca="1">IF(MOD(C11,4)=0,Lerp_dyy(L11,M11,N11),0)</f>
        <v>0</v>
      </c>
    </row>
    <row r="12" spans="1:15">
      <c r="A12" s="1">
        <f t="shared" si="0"/>
        <v>107</v>
      </c>
      <c r="B12" s="1">
        <v>1</v>
      </c>
      <c r="C12" s="1">
        <v>7</v>
      </c>
      <c r="D12" s="1">
        <f ca="1">OFFSET(控制台!$C$4617,MATCH(B12,控制台!$B$4617:$B$4629,0)-2,0)*控制台!$C$4610</f>
        <v>10000</v>
      </c>
      <c r="E12" s="1">
        <f ca="1">OFFSET(控制台!$C$4617,MATCH(B12,控制台!$B$4617:$B$4629,0)-1,0)*控制台!$C$4610</f>
        <v>15000</v>
      </c>
      <c r="F12" s="1">
        <f>(_xlfn.FLOOR.MATH((C12-1)/4)+1)/5</f>
        <v>0.4</v>
      </c>
      <c r="G12" s="4">
        <f ca="1">Lerp_dyy(D12,E12,F12)</f>
        <v>12000</v>
      </c>
      <c r="H12" s="1">
        <f ca="1">OFFSET(控制台!$E$4617,MATCH(B12,控制台!$B$4617:$B$4629,0)-2,0)*控制台!$C$4611</f>
        <v>0</v>
      </c>
      <c r="I12" s="1">
        <f ca="1">OFFSET(控制台!$E$4617,MATCH(B12,控制台!$B$4617:$B$4629,0)-1,0)*控制台!$C$4611</f>
        <v>10</v>
      </c>
      <c r="J12" s="1">
        <f>(_xlfn.FLOOR.MATH((C12-1)/10)+1)/2</f>
        <v>0.5</v>
      </c>
      <c r="K12" s="4">
        <f ca="1">IF(MOD(C12,4)=0,0,Lerp_dyy(H12,I12,J12))</f>
        <v>5</v>
      </c>
      <c r="L12" s="1">
        <f ca="1">OFFSET(控制台!$G$4617,MATCH(B12,控制台!$B$4617:$B$4629,0)-2,0)*控制台!$C$4612</f>
        <v>0</v>
      </c>
      <c r="M12" s="1">
        <f ca="1">OFFSET(控制台!$G$4617,MATCH(B12,控制台!$B$4617:$B$4629,0)-1,0)*控制台!$C$4612</f>
        <v>10</v>
      </c>
      <c r="N12" s="1">
        <v>1</v>
      </c>
      <c r="O12" s="4">
        <f ca="1">IF(MOD(C12,4)=0,Lerp_dyy(L12,M12,N12),0)</f>
        <v>0</v>
      </c>
    </row>
    <row r="13" spans="1:15">
      <c r="A13" s="1">
        <f t="shared" si="0"/>
        <v>108</v>
      </c>
      <c r="B13" s="1">
        <v>1</v>
      </c>
      <c r="C13" s="1">
        <v>8</v>
      </c>
      <c r="D13" s="1">
        <f ca="1">OFFSET(控制台!$C$4617,MATCH(B13,控制台!$B$4617:$B$4629,0)-2,0)*控制台!$C$4610</f>
        <v>10000</v>
      </c>
      <c r="E13" s="1">
        <f ca="1">OFFSET(控制台!$C$4617,MATCH(B13,控制台!$B$4617:$B$4629,0)-1,0)*控制台!$C$4610</f>
        <v>15000</v>
      </c>
      <c r="F13" s="1">
        <f>(_xlfn.FLOOR.MATH((C13-1)/4)+1)/5</f>
        <v>0.4</v>
      </c>
      <c r="G13" s="4">
        <f ca="1">Lerp_dyy(D13,E13,F13)</f>
        <v>12000</v>
      </c>
      <c r="H13" s="1">
        <f ca="1">OFFSET(控制台!$E$4617,MATCH(B13,控制台!$B$4617:$B$4629,0)-2,0)*控制台!$C$4611</f>
        <v>0</v>
      </c>
      <c r="I13" s="1">
        <f ca="1">OFFSET(控制台!$E$4617,MATCH(B13,控制台!$B$4617:$B$4629,0)-1,0)*控制台!$C$4611</f>
        <v>10</v>
      </c>
      <c r="J13" s="1">
        <f>(_xlfn.FLOOR.MATH((C13-1)/10)+1)/2</f>
        <v>0.5</v>
      </c>
      <c r="K13" s="4">
        <f ca="1">IF(MOD(C13,4)=0,0,Lerp_dyy(H13,I13,J13))</f>
        <v>0</v>
      </c>
      <c r="L13" s="1">
        <f ca="1">OFFSET(控制台!$G$4617,MATCH(B13,控制台!$B$4617:$B$4629,0)-2,0)*控制台!$C$4612</f>
        <v>0</v>
      </c>
      <c r="M13" s="1">
        <f ca="1">OFFSET(控制台!$G$4617,MATCH(B13,控制台!$B$4617:$B$4629,0)-1,0)*控制台!$C$4612</f>
        <v>10</v>
      </c>
      <c r="N13" s="1">
        <v>1</v>
      </c>
      <c r="O13" s="4">
        <f ca="1">IF(MOD(C13,4)=0,Lerp_dyy(L13,M13,N13),0)</f>
        <v>10</v>
      </c>
    </row>
    <row r="14" spans="1:15">
      <c r="A14" s="1">
        <f t="shared" si="0"/>
        <v>109</v>
      </c>
      <c r="B14" s="1">
        <v>1</v>
      </c>
      <c r="C14" s="1">
        <v>9</v>
      </c>
      <c r="D14" s="1">
        <f ca="1">OFFSET(控制台!$C$4617,MATCH(B14,控制台!$B$4617:$B$4629,0)-2,0)*控制台!$C$4610</f>
        <v>10000</v>
      </c>
      <c r="E14" s="1">
        <f ca="1">OFFSET(控制台!$C$4617,MATCH(B14,控制台!$B$4617:$B$4629,0)-1,0)*控制台!$C$4610</f>
        <v>15000</v>
      </c>
      <c r="F14" s="1">
        <f>(_xlfn.FLOOR.MATH((C14-1)/4)+1)/5</f>
        <v>0.6</v>
      </c>
      <c r="G14" s="4">
        <f ca="1">Lerp_dyy(D14,E14,F14)</f>
        <v>13000</v>
      </c>
      <c r="H14" s="1">
        <f ca="1">OFFSET(控制台!$E$4617,MATCH(B14,控制台!$B$4617:$B$4629,0)-2,0)*控制台!$C$4611</f>
        <v>0</v>
      </c>
      <c r="I14" s="1">
        <f ca="1">OFFSET(控制台!$E$4617,MATCH(B14,控制台!$B$4617:$B$4629,0)-1,0)*控制台!$C$4611</f>
        <v>10</v>
      </c>
      <c r="J14" s="1">
        <f>(_xlfn.FLOOR.MATH((C14-1)/10)+1)/2</f>
        <v>0.5</v>
      </c>
      <c r="K14" s="4">
        <f ca="1">IF(MOD(C14,4)=0,0,Lerp_dyy(H14,I14,J14))</f>
        <v>5</v>
      </c>
      <c r="L14" s="1">
        <f ca="1">OFFSET(控制台!$G$4617,MATCH(B14,控制台!$B$4617:$B$4629,0)-2,0)*控制台!$C$4612</f>
        <v>0</v>
      </c>
      <c r="M14" s="1">
        <f ca="1">OFFSET(控制台!$G$4617,MATCH(B14,控制台!$B$4617:$B$4629,0)-1,0)*控制台!$C$4612</f>
        <v>10</v>
      </c>
      <c r="N14" s="1">
        <v>1</v>
      </c>
      <c r="O14" s="4">
        <f ca="1">IF(MOD(C14,4)=0,Lerp_dyy(L14,M14,N14),0)</f>
        <v>0</v>
      </c>
    </row>
    <row r="15" spans="1:15">
      <c r="A15" s="1">
        <f t="shared" si="0"/>
        <v>110</v>
      </c>
      <c r="B15" s="1">
        <v>1</v>
      </c>
      <c r="C15" s="1">
        <v>10</v>
      </c>
      <c r="D15" s="1">
        <f ca="1">OFFSET(控制台!$C$4617,MATCH(B15,控制台!$B$4617:$B$4629,0)-2,0)*控制台!$C$4610</f>
        <v>10000</v>
      </c>
      <c r="E15" s="1">
        <f ca="1">OFFSET(控制台!$C$4617,MATCH(B15,控制台!$B$4617:$B$4629,0)-1,0)*控制台!$C$4610</f>
        <v>15000</v>
      </c>
      <c r="F15" s="1">
        <f>(_xlfn.FLOOR.MATH((C15-1)/4)+1)/5</f>
        <v>0.6</v>
      </c>
      <c r="G15" s="4">
        <f ca="1">Lerp_dyy(D15,E15,F15)</f>
        <v>13000</v>
      </c>
      <c r="H15" s="1">
        <f ca="1">OFFSET(控制台!$E$4617,MATCH(B15,控制台!$B$4617:$B$4629,0)-2,0)*控制台!$C$4611</f>
        <v>0</v>
      </c>
      <c r="I15" s="1">
        <f ca="1">OFFSET(控制台!$E$4617,MATCH(B15,控制台!$B$4617:$B$4629,0)-1,0)*控制台!$C$4611</f>
        <v>10</v>
      </c>
      <c r="J15" s="1">
        <f>(_xlfn.FLOOR.MATH((C15-1)/10)+1)/2</f>
        <v>0.5</v>
      </c>
      <c r="K15" s="4">
        <f ca="1">IF(MOD(C15,4)=0,0,Lerp_dyy(H15,I15,J15))</f>
        <v>5</v>
      </c>
      <c r="L15" s="1">
        <f ca="1">OFFSET(控制台!$G$4617,MATCH(B15,控制台!$B$4617:$B$4629,0)-2,0)*控制台!$C$4612</f>
        <v>0</v>
      </c>
      <c r="M15" s="1">
        <f ca="1">OFFSET(控制台!$G$4617,MATCH(B15,控制台!$B$4617:$B$4629,0)-1,0)*控制台!$C$4612</f>
        <v>10</v>
      </c>
      <c r="N15" s="1">
        <v>1</v>
      </c>
      <c r="O15" s="4">
        <f ca="1">IF(MOD(C15,4)=0,Lerp_dyy(L15,M15,N15),0)</f>
        <v>0</v>
      </c>
    </row>
    <row r="16" spans="1:15">
      <c r="A16" s="1">
        <f t="shared" si="0"/>
        <v>111</v>
      </c>
      <c r="B16" s="1">
        <v>1</v>
      </c>
      <c r="C16" s="1">
        <v>11</v>
      </c>
      <c r="D16" s="1">
        <f ca="1">OFFSET(控制台!$C$4617,MATCH(B16,控制台!$B$4617:$B$4629,0)-2,0)*控制台!$C$4610</f>
        <v>10000</v>
      </c>
      <c r="E16" s="1">
        <f ca="1">OFFSET(控制台!$C$4617,MATCH(B16,控制台!$B$4617:$B$4629,0)-1,0)*控制台!$C$4610</f>
        <v>15000</v>
      </c>
      <c r="F16" s="1">
        <f>(_xlfn.FLOOR.MATH((C16-1)/4)+1)/5</f>
        <v>0.6</v>
      </c>
      <c r="G16" s="4">
        <f ca="1">Lerp_dyy(D16,E16,F16)</f>
        <v>13000</v>
      </c>
      <c r="H16" s="1">
        <f ca="1">OFFSET(控制台!$E$4617,MATCH(B16,控制台!$B$4617:$B$4629,0)-2,0)*控制台!$C$4611</f>
        <v>0</v>
      </c>
      <c r="I16" s="1">
        <f ca="1">OFFSET(控制台!$E$4617,MATCH(B16,控制台!$B$4617:$B$4629,0)-1,0)*控制台!$C$4611</f>
        <v>10</v>
      </c>
      <c r="J16" s="1">
        <f>(_xlfn.FLOOR.MATH((C16-1)/10)+1)/2</f>
        <v>1</v>
      </c>
      <c r="K16" s="4">
        <f ca="1">IF(MOD(C16,4)=0,0,Lerp_dyy(H16,I16,J16))</f>
        <v>10</v>
      </c>
      <c r="L16" s="1">
        <f ca="1">OFFSET(控制台!$G$4617,MATCH(B16,控制台!$B$4617:$B$4629,0)-2,0)*控制台!$C$4612</f>
        <v>0</v>
      </c>
      <c r="M16" s="1">
        <f ca="1">OFFSET(控制台!$G$4617,MATCH(B16,控制台!$B$4617:$B$4629,0)-1,0)*控制台!$C$4612</f>
        <v>10</v>
      </c>
      <c r="N16" s="1">
        <v>1</v>
      </c>
      <c r="O16" s="4">
        <f ca="1">IF(MOD(C16,4)=0,Lerp_dyy(L16,M16,N16),0)</f>
        <v>0</v>
      </c>
    </row>
    <row r="17" spans="1:15">
      <c r="A17" s="1">
        <f t="shared" ref="A17:A25" si="1">B17*100+C17</f>
        <v>112</v>
      </c>
      <c r="B17" s="1">
        <v>1</v>
      </c>
      <c r="C17" s="1">
        <v>12</v>
      </c>
      <c r="D17" s="1">
        <f ca="1">OFFSET(控制台!$C$4617,MATCH(B17,控制台!$B$4617:$B$4629,0)-2,0)*控制台!$C$4610</f>
        <v>10000</v>
      </c>
      <c r="E17" s="1">
        <f ca="1">OFFSET(控制台!$C$4617,MATCH(B17,控制台!$B$4617:$B$4629,0)-1,0)*控制台!$C$4610</f>
        <v>15000</v>
      </c>
      <c r="F17" s="1">
        <f>(_xlfn.FLOOR.MATH((C17-1)/4)+1)/5</f>
        <v>0.6</v>
      </c>
      <c r="G17" s="4">
        <f ca="1">Lerp_dyy(D17,E17,F17)</f>
        <v>13000</v>
      </c>
      <c r="H17" s="1">
        <f ca="1">OFFSET(控制台!$E$4617,MATCH(B17,控制台!$B$4617:$B$4629,0)-2,0)*控制台!$C$4611</f>
        <v>0</v>
      </c>
      <c r="I17" s="1">
        <f ca="1">OFFSET(控制台!$E$4617,MATCH(B17,控制台!$B$4617:$B$4629,0)-1,0)*控制台!$C$4611</f>
        <v>10</v>
      </c>
      <c r="J17" s="1">
        <f>(_xlfn.FLOOR.MATH((C17-1)/10)+1)/2</f>
        <v>1</v>
      </c>
      <c r="K17" s="4">
        <f ca="1">IF(MOD(C17,4)=0,0,Lerp_dyy(H17,I17,J17))</f>
        <v>0</v>
      </c>
      <c r="L17" s="1">
        <f ca="1">OFFSET(控制台!$G$4617,MATCH(B17,控制台!$B$4617:$B$4629,0)-2,0)*控制台!$C$4612</f>
        <v>0</v>
      </c>
      <c r="M17" s="1">
        <f ca="1">OFFSET(控制台!$G$4617,MATCH(B17,控制台!$B$4617:$B$4629,0)-1,0)*控制台!$C$4612</f>
        <v>10</v>
      </c>
      <c r="N17" s="1">
        <v>1</v>
      </c>
      <c r="O17" s="4">
        <f ca="1">IF(MOD(C17,4)=0,Lerp_dyy(L17,M17,N17),0)</f>
        <v>10</v>
      </c>
    </row>
    <row r="18" spans="1:15">
      <c r="A18" s="1">
        <f t="shared" si="1"/>
        <v>113</v>
      </c>
      <c r="B18" s="1">
        <v>1</v>
      </c>
      <c r="C18" s="1">
        <v>13</v>
      </c>
      <c r="D18" s="1">
        <f ca="1">OFFSET(控制台!$C$4617,MATCH(B18,控制台!$B$4617:$B$4629,0)-2,0)*控制台!$C$4610</f>
        <v>10000</v>
      </c>
      <c r="E18" s="1">
        <f ca="1">OFFSET(控制台!$C$4617,MATCH(B18,控制台!$B$4617:$B$4629,0)-1,0)*控制台!$C$4610</f>
        <v>15000</v>
      </c>
      <c r="F18" s="1">
        <f>(_xlfn.FLOOR.MATH((C18-1)/4)+1)/5</f>
        <v>0.8</v>
      </c>
      <c r="G18" s="4">
        <f ca="1">Lerp_dyy(D18,E18,F18)</f>
        <v>14000</v>
      </c>
      <c r="H18" s="1">
        <f ca="1">OFFSET(控制台!$E$4617,MATCH(B18,控制台!$B$4617:$B$4629,0)-2,0)*控制台!$C$4611</f>
        <v>0</v>
      </c>
      <c r="I18" s="1">
        <f ca="1">OFFSET(控制台!$E$4617,MATCH(B18,控制台!$B$4617:$B$4629,0)-1,0)*控制台!$C$4611</f>
        <v>10</v>
      </c>
      <c r="J18" s="1">
        <f>(_xlfn.FLOOR.MATH((C18-1)/10)+1)/2</f>
        <v>1</v>
      </c>
      <c r="K18" s="4">
        <f ca="1">IF(MOD(C18,4)=0,0,Lerp_dyy(H18,I18,J18))</f>
        <v>10</v>
      </c>
      <c r="L18" s="1">
        <f ca="1">OFFSET(控制台!$G$4617,MATCH(B18,控制台!$B$4617:$B$4629,0)-2,0)*控制台!$C$4612</f>
        <v>0</v>
      </c>
      <c r="M18" s="1">
        <f ca="1">OFFSET(控制台!$G$4617,MATCH(B18,控制台!$B$4617:$B$4629,0)-1,0)*控制台!$C$4612</f>
        <v>10</v>
      </c>
      <c r="N18" s="1">
        <v>1</v>
      </c>
      <c r="O18" s="4">
        <f ca="1">IF(MOD(C18,4)=0,Lerp_dyy(L18,M18,N18),0)</f>
        <v>0</v>
      </c>
    </row>
    <row r="19" spans="1:15">
      <c r="A19" s="1">
        <f t="shared" si="1"/>
        <v>114</v>
      </c>
      <c r="B19" s="1">
        <v>1</v>
      </c>
      <c r="C19" s="1">
        <v>14</v>
      </c>
      <c r="D19" s="1">
        <f ca="1">OFFSET(控制台!$C$4617,MATCH(B19,控制台!$B$4617:$B$4629,0)-2,0)*控制台!$C$4610</f>
        <v>10000</v>
      </c>
      <c r="E19" s="1">
        <f ca="1">OFFSET(控制台!$C$4617,MATCH(B19,控制台!$B$4617:$B$4629,0)-1,0)*控制台!$C$4610</f>
        <v>15000</v>
      </c>
      <c r="F19" s="1">
        <f>(_xlfn.FLOOR.MATH((C19-1)/4)+1)/5</f>
        <v>0.8</v>
      </c>
      <c r="G19" s="4">
        <f ca="1">Lerp_dyy(D19,E19,F19)</f>
        <v>14000</v>
      </c>
      <c r="H19" s="1">
        <f ca="1">OFFSET(控制台!$E$4617,MATCH(B19,控制台!$B$4617:$B$4629,0)-2,0)*控制台!$C$4611</f>
        <v>0</v>
      </c>
      <c r="I19" s="1">
        <f ca="1">OFFSET(控制台!$E$4617,MATCH(B19,控制台!$B$4617:$B$4629,0)-1,0)*控制台!$C$4611</f>
        <v>10</v>
      </c>
      <c r="J19" s="1">
        <f>(_xlfn.FLOOR.MATH((C19-1)/10)+1)/2</f>
        <v>1</v>
      </c>
      <c r="K19" s="4">
        <f ca="1">IF(MOD(C19,4)=0,0,Lerp_dyy(H19,I19,J19))</f>
        <v>10</v>
      </c>
      <c r="L19" s="1">
        <f ca="1">OFFSET(控制台!$G$4617,MATCH(B19,控制台!$B$4617:$B$4629,0)-2,0)*控制台!$C$4612</f>
        <v>0</v>
      </c>
      <c r="M19" s="1">
        <f ca="1">OFFSET(控制台!$G$4617,MATCH(B19,控制台!$B$4617:$B$4629,0)-1,0)*控制台!$C$4612</f>
        <v>10</v>
      </c>
      <c r="N19" s="1">
        <v>1</v>
      </c>
      <c r="O19" s="4">
        <f ca="1">IF(MOD(C19,4)=0,Lerp_dyy(L19,M19,N19),0)</f>
        <v>0</v>
      </c>
    </row>
    <row r="20" spans="1:15">
      <c r="A20" s="1">
        <f t="shared" si="1"/>
        <v>115</v>
      </c>
      <c r="B20" s="1">
        <v>1</v>
      </c>
      <c r="C20" s="1">
        <v>15</v>
      </c>
      <c r="D20" s="1">
        <f ca="1">OFFSET(控制台!$C$4617,MATCH(B20,控制台!$B$4617:$B$4629,0)-2,0)*控制台!$C$4610</f>
        <v>10000</v>
      </c>
      <c r="E20" s="1">
        <f ca="1">OFFSET(控制台!$C$4617,MATCH(B20,控制台!$B$4617:$B$4629,0)-1,0)*控制台!$C$4610</f>
        <v>15000</v>
      </c>
      <c r="F20" s="1">
        <f>(_xlfn.FLOOR.MATH((C20-1)/4)+1)/5</f>
        <v>0.8</v>
      </c>
      <c r="G20" s="4">
        <f ca="1">Lerp_dyy(D20,E20,F20)</f>
        <v>14000</v>
      </c>
      <c r="H20" s="1">
        <f ca="1">OFFSET(控制台!$E$4617,MATCH(B20,控制台!$B$4617:$B$4629,0)-2,0)*控制台!$C$4611</f>
        <v>0</v>
      </c>
      <c r="I20" s="1">
        <f ca="1">OFFSET(控制台!$E$4617,MATCH(B20,控制台!$B$4617:$B$4629,0)-1,0)*控制台!$C$4611</f>
        <v>10</v>
      </c>
      <c r="J20" s="1">
        <f>(_xlfn.FLOOR.MATH((C20-1)/10)+1)/2</f>
        <v>1</v>
      </c>
      <c r="K20" s="4">
        <f ca="1">IF(MOD(C20,4)=0,0,Lerp_dyy(H20,I20,J20))</f>
        <v>10</v>
      </c>
      <c r="L20" s="1">
        <f ca="1">OFFSET(控制台!$G$4617,MATCH(B20,控制台!$B$4617:$B$4629,0)-2,0)*控制台!$C$4612</f>
        <v>0</v>
      </c>
      <c r="M20" s="1">
        <f ca="1">OFFSET(控制台!$G$4617,MATCH(B20,控制台!$B$4617:$B$4629,0)-1,0)*控制台!$C$4612</f>
        <v>10</v>
      </c>
      <c r="N20" s="1">
        <v>1</v>
      </c>
      <c r="O20" s="4">
        <f ca="1">IF(MOD(C20,4)=0,Lerp_dyy(L20,M20,N20),0)</f>
        <v>0</v>
      </c>
    </row>
    <row r="21" spans="1:15">
      <c r="A21" s="1">
        <f t="shared" si="1"/>
        <v>116</v>
      </c>
      <c r="B21" s="1">
        <v>1</v>
      </c>
      <c r="C21" s="1">
        <v>16</v>
      </c>
      <c r="D21" s="1">
        <f ca="1">OFFSET(控制台!$C$4617,MATCH(B21,控制台!$B$4617:$B$4629,0)-2,0)*控制台!$C$4610</f>
        <v>10000</v>
      </c>
      <c r="E21" s="1">
        <f ca="1">OFFSET(控制台!$C$4617,MATCH(B21,控制台!$B$4617:$B$4629,0)-1,0)*控制台!$C$4610</f>
        <v>15000</v>
      </c>
      <c r="F21" s="1">
        <f>(_xlfn.FLOOR.MATH((C21-1)/4)+1)/5</f>
        <v>0.8</v>
      </c>
      <c r="G21" s="4">
        <f ca="1">Lerp_dyy(D21,E21,F21)</f>
        <v>14000</v>
      </c>
      <c r="H21" s="1">
        <f ca="1">OFFSET(控制台!$E$4617,MATCH(B21,控制台!$B$4617:$B$4629,0)-2,0)*控制台!$C$4611</f>
        <v>0</v>
      </c>
      <c r="I21" s="1">
        <f ca="1">OFFSET(控制台!$E$4617,MATCH(B21,控制台!$B$4617:$B$4629,0)-1,0)*控制台!$C$4611</f>
        <v>10</v>
      </c>
      <c r="J21" s="1">
        <f>(_xlfn.FLOOR.MATH((C21-1)/10)+1)/2</f>
        <v>1</v>
      </c>
      <c r="K21" s="4">
        <f ca="1">IF(MOD(C21,4)=0,0,Lerp_dyy(H21,I21,J21))</f>
        <v>0</v>
      </c>
      <c r="L21" s="1">
        <f ca="1">OFFSET(控制台!$G$4617,MATCH(B21,控制台!$B$4617:$B$4629,0)-2,0)*控制台!$C$4612</f>
        <v>0</v>
      </c>
      <c r="M21" s="1">
        <f ca="1">OFFSET(控制台!$G$4617,MATCH(B21,控制台!$B$4617:$B$4629,0)-1,0)*控制台!$C$4612</f>
        <v>10</v>
      </c>
      <c r="N21" s="1">
        <v>1</v>
      </c>
      <c r="O21" s="4">
        <f ca="1">IF(MOD(C21,4)=0,Lerp_dyy(L21,M21,N21),0)</f>
        <v>10</v>
      </c>
    </row>
    <row r="22" spans="1:15">
      <c r="A22" s="1">
        <f t="shared" si="1"/>
        <v>117</v>
      </c>
      <c r="B22" s="1">
        <v>1</v>
      </c>
      <c r="C22" s="1">
        <v>17</v>
      </c>
      <c r="D22" s="1">
        <f ca="1">OFFSET(控制台!$C$4617,MATCH(B22,控制台!$B$4617:$B$4629,0)-2,0)*控制台!$C$4610</f>
        <v>10000</v>
      </c>
      <c r="E22" s="1">
        <f ca="1">OFFSET(控制台!$C$4617,MATCH(B22,控制台!$B$4617:$B$4629,0)-1,0)*控制台!$C$4610</f>
        <v>15000</v>
      </c>
      <c r="F22" s="1">
        <f>(_xlfn.FLOOR.MATH((C22-1)/4)+1)/5</f>
        <v>1</v>
      </c>
      <c r="G22" s="4">
        <f ca="1">Lerp_dyy(D22,E22,F22)</f>
        <v>15000</v>
      </c>
      <c r="H22" s="1">
        <f ca="1">OFFSET(控制台!$E$4617,MATCH(B22,控制台!$B$4617:$B$4629,0)-2,0)*控制台!$C$4611</f>
        <v>0</v>
      </c>
      <c r="I22" s="1">
        <f ca="1">OFFSET(控制台!$E$4617,MATCH(B22,控制台!$B$4617:$B$4629,0)-1,0)*控制台!$C$4611</f>
        <v>10</v>
      </c>
      <c r="J22" s="1">
        <f>(_xlfn.FLOOR.MATH((C22-1)/10)+1)/2</f>
        <v>1</v>
      </c>
      <c r="K22" s="4">
        <f ca="1">IF(MOD(C22,4)=0,0,Lerp_dyy(H22,I22,J22))</f>
        <v>10</v>
      </c>
      <c r="L22" s="1">
        <f ca="1">OFFSET(控制台!$G$4617,MATCH(B22,控制台!$B$4617:$B$4629,0)-2,0)*控制台!$C$4612</f>
        <v>0</v>
      </c>
      <c r="M22" s="1">
        <f ca="1">OFFSET(控制台!$G$4617,MATCH(B22,控制台!$B$4617:$B$4629,0)-1,0)*控制台!$C$4612</f>
        <v>10</v>
      </c>
      <c r="N22" s="1">
        <v>1</v>
      </c>
      <c r="O22" s="4">
        <f ca="1">IF(MOD(C22,4)=0,Lerp_dyy(L22,M22,N22),0)</f>
        <v>0</v>
      </c>
    </row>
    <row r="23" spans="1:15">
      <c r="A23" s="1">
        <f t="shared" si="1"/>
        <v>118</v>
      </c>
      <c r="B23" s="1">
        <v>1</v>
      </c>
      <c r="C23" s="1">
        <v>18</v>
      </c>
      <c r="D23" s="1">
        <f ca="1">OFFSET(控制台!$C$4617,MATCH(B23,控制台!$B$4617:$B$4629,0)-2,0)*控制台!$C$4610</f>
        <v>10000</v>
      </c>
      <c r="E23" s="1">
        <f ca="1">OFFSET(控制台!$C$4617,MATCH(B23,控制台!$B$4617:$B$4629,0)-1,0)*控制台!$C$4610</f>
        <v>15000</v>
      </c>
      <c r="F23" s="1">
        <f>(_xlfn.FLOOR.MATH((C23-1)/4)+1)/5</f>
        <v>1</v>
      </c>
      <c r="G23" s="4">
        <f ca="1">Lerp_dyy(D23,E23,F23)</f>
        <v>15000</v>
      </c>
      <c r="H23" s="1">
        <f ca="1">OFFSET(控制台!$E$4617,MATCH(B23,控制台!$B$4617:$B$4629,0)-2,0)*控制台!$C$4611</f>
        <v>0</v>
      </c>
      <c r="I23" s="1">
        <f ca="1">OFFSET(控制台!$E$4617,MATCH(B23,控制台!$B$4617:$B$4629,0)-1,0)*控制台!$C$4611</f>
        <v>10</v>
      </c>
      <c r="J23" s="1">
        <f>(_xlfn.FLOOR.MATH((C23-1)/10)+1)/2</f>
        <v>1</v>
      </c>
      <c r="K23" s="4">
        <f ca="1">IF(MOD(C23,4)=0,0,Lerp_dyy(H23,I23,J23))</f>
        <v>10</v>
      </c>
      <c r="L23" s="1">
        <f ca="1">OFFSET(控制台!$G$4617,MATCH(B23,控制台!$B$4617:$B$4629,0)-2,0)*控制台!$C$4612</f>
        <v>0</v>
      </c>
      <c r="M23" s="1">
        <f ca="1">OFFSET(控制台!$G$4617,MATCH(B23,控制台!$B$4617:$B$4629,0)-1,0)*控制台!$C$4612</f>
        <v>10</v>
      </c>
      <c r="N23" s="1">
        <v>1</v>
      </c>
      <c r="O23" s="4">
        <f ca="1">IF(MOD(C23,4)=0,Lerp_dyy(L23,M23,N23),0)</f>
        <v>0</v>
      </c>
    </row>
    <row r="24" spans="1:15">
      <c r="A24" s="1">
        <f t="shared" si="1"/>
        <v>119</v>
      </c>
      <c r="B24" s="1">
        <v>1</v>
      </c>
      <c r="C24" s="1">
        <v>19</v>
      </c>
      <c r="D24" s="1">
        <f ca="1">OFFSET(控制台!$C$4617,MATCH(B24,控制台!$B$4617:$B$4629,0)-2,0)*控制台!$C$4610</f>
        <v>10000</v>
      </c>
      <c r="E24" s="1">
        <f ca="1">OFFSET(控制台!$C$4617,MATCH(B24,控制台!$B$4617:$B$4629,0)-1,0)*控制台!$C$4610</f>
        <v>15000</v>
      </c>
      <c r="F24" s="1">
        <f>(_xlfn.FLOOR.MATH((C24-1)/4)+1)/5</f>
        <v>1</v>
      </c>
      <c r="G24" s="4">
        <f ca="1">Lerp_dyy(D24,E24,F24)</f>
        <v>15000</v>
      </c>
      <c r="H24" s="1">
        <f ca="1">OFFSET(控制台!$E$4617,MATCH(B24,控制台!$B$4617:$B$4629,0)-2,0)*控制台!$C$4611</f>
        <v>0</v>
      </c>
      <c r="I24" s="1">
        <f ca="1">OFFSET(控制台!$E$4617,MATCH(B24,控制台!$B$4617:$B$4629,0)-1,0)*控制台!$C$4611</f>
        <v>10</v>
      </c>
      <c r="J24" s="1">
        <f>(_xlfn.FLOOR.MATH((C24-1)/10)+1)/2</f>
        <v>1</v>
      </c>
      <c r="K24" s="4">
        <f ca="1">IF(MOD(C24,4)=0,0,Lerp_dyy(H24,I24,J24))</f>
        <v>10</v>
      </c>
      <c r="L24" s="1">
        <f ca="1">OFFSET(控制台!$G$4617,MATCH(B24,控制台!$B$4617:$B$4629,0)-2,0)*控制台!$C$4612</f>
        <v>0</v>
      </c>
      <c r="M24" s="1">
        <f ca="1">OFFSET(控制台!$G$4617,MATCH(B24,控制台!$B$4617:$B$4629,0)-1,0)*控制台!$C$4612</f>
        <v>10</v>
      </c>
      <c r="N24" s="1">
        <v>1</v>
      </c>
      <c r="O24" s="4">
        <f ca="1">IF(MOD(C24,4)=0,Lerp_dyy(L24,M24,N24),0)</f>
        <v>0</v>
      </c>
    </row>
    <row r="25" spans="1:15">
      <c r="A25" s="1">
        <f t="shared" si="1"/>
        <v>120</v>
      </c>
      <c r="B25" s="1">
        <v>1</v>
      </c>
      <c r="C25" s="1">
        <v>20</v>
      </c>
      <c r="D25" s="1">
        <f ca="1">OFFSET(控制台!$C$4617,MATCH(B25,控制台!$B$4617:$B$4629,0)-2,0)*控制台!$C$4610</f>
        <v>10000</v>
      </c>
      <c r="E25" s="1">
        <f ca="1">OFFSET(控制台!$C$4617,MATCH(B25,控制台!$B$4617:$B$4629,0)-1,0)*控制台!$C$4610</f>
        <v>15000</v>
      </c>
      <c r="F25" s="1">
        <f>(_xlfn.FLOOR.MATH((C25-1)/4)+1)/5</f>
        <v>1</v>
      </c>
      <c r="G25" s="4">
        <f ca="1">Lerp_dyy(D25,E25,F25)</f>
        <v>15000</v>
      </c>
      <c r="H25" s="1">
        <f ca="1">OFFSET(控制台!$E$4617,MATCH(B25,控制台!$B$4617:$B$4629,0)-2,0)*控制台!$C$4611</f>
        <v>0</v>
      </c>
      <c r="I25" s="1">
        <f ca="1">OFFSET(控制台!$E$4617,MATCH(B25,控制台!$B$4617:$B$4629,0)-1,0)*控制台!$C$4611</f>
        <v>10</v>
      </c>
      <c r="J25" s="1">
        <f>(_xlfn.FLOOR.MATH((C25-1)/10)+1)/2</f>
        <v>1</v>
      </c>
      <c r="K25" s="4">
        <f ca="1">IF(MOD(C25,4)=0,0,Lerp_dyy(H25,I25,J25))</f>
        <v>0</v>
      </c>
      <c r="L25" s="1">
        <f ca="1">OFFSET(控制台!$G$4617,MATCH(B25,控制台!$B$4617:$B$4629,0)-2,0)*控制台!$C$4612</f>
        <v>0</v>
      </c>
      <c r="M25" s="1">
        <f ca="1">OFFSET(控制台!$G$4617,MATCH(B25,控制台!$B$4617:$B$4629,0)-1,0)*控制台!$C$4612</f>
        <v>10</v>
      </c>
      <c r="N25" s="1">
        <v>1</v>
      </c>
      <c r="O25" s="4">
        <f ca="1">IF(MOD(C25,4)=0,Lerp_dyy(L25,M25,N25),0)</f>
        <v>10</v>
      </c>
    </row>
    <row r="26" spans="1:15">
      <c r="A26" s="1">
        <f t="shared" si="0"/>
        <v>201</v>
      </c>
      <c r="B26" s="1">
        <v>2</v>
      </c>
      <c r="C26" s="1">
        <v>1</v>
      </c>
      <c r="D26" s="1">
        <f ca="1">OFFSET(控制台!$C$4617,MATCH(B26,控制台!$B$4617:$B$4629,0)-2,0)*控制台!$C$4610</f>
        <v>15000</v>
      </c>
      <c r="E26" s="1">
        <f ca="1">OFFSET(控制台!$C$4617,MATCH(B26,控制台!$B$4617:$B$4629,0)-1,0)*控制台!$C$4610</f>
        <v>20000</v>
      </c>
      <c r="F26" s="1">
        <f>(_xlfn.FLOOR.MATH((C26-1)/8)+1)/5</f>
        <v>0.2</v>
      </c>
      <c r="G26" s="4">
        <f ca="1">Lerp_dyy(D26,E26,F26)</f>
        <v>16000</v>
      </c>
      <c r="H26" s="1">
        <f ca="1">OFFSET(控制台!$E$4617,MATCH(B26,控制台!$B$4617:$B$4629,0)-2,0)*控制台!$C$4611</f>
        <v>10</v>
      </c>
      <c r="I26" s="1">
        <f ca="1">OFFSET(控制台!$E$4617,MATCH(B26,控制台!$B$4617:$B$4629,0)-1,0)*控制台!$C$4611</f>
        <v>10</v>
      </c>
      <c r="J26" s="1">
        <f>(_xlfn.FLOOR.MATH((C26-1)/20)+1)/2</f>
        <v>0.5</v>
      </c>
      <c r="K26" s="4">
        <f ca="1">IF(MOD(C26,4)=0,0,Lerp_dyy(H26,I26,J26))</f>
        <v>10</v>
      </c>
      <c r="L26" s="1">
        <f ca="1">OFFSET(控制台!$G$4617,MATCH(B26,控制台!$B$4617:$B$4629,0)-2,0)*控制台!$C$4612</f>
        <v>10</v>
      </c>
      <c r="M26" s="1">
        <f ca="1">OFFSET(控制台!$G$4617,MATCH(B26,控制台!$B$4617:$B$4629,0)-1,0)*控制台!$C$4612</f>
        <v>10</v>
      </c>
      <c r="N26" s="1">
        <v>1</v>
      </c>
      <c r="O26" s="4">
        <f ca="1">IF(MOD(C26,4)=0,Lerp_dyy(L26,M26,N26),0)</f>
        <v>0</v>
      </c>
    </row>
    <row r="27" spans="1:15">
      <c r="A27" s="1">
        <f t="shared" si="0"/>
        <v>202</v>
      </c>
      <c r="B27" s="1">
        <v>2</v>
      </c>
      <c r="C27" s="1">
        <v>2</v>
      </c>
      <c r="D27" s="1">
        <f ca="1">OFFSET(控制台!$C$4617,MATCH(B27,控制台!$B$4617:$B$4629,0)-2,0)*控制台!$C$4610</f>
        <v>15000</v>
      </c>
      <c r="E27" s="1">
        <f ca="1">OFFSET(控制台!$C$4617,MATCH(B27,控制台!$B$4617:$B$4629,0)-1,0)*控制台!$C$4610</f>
        <v>20000</v>
      </c>
      <c r="F27" s="1">
        <f>(_xlfn.FLOOR.MATH((C27-1)/8)+1)/5</f>
        <v>0.2</v>
      </c>
      <c r="G27" s="4">
        <f ca="1">Lerp_dyy(D27,E27,F27)</f>
        <v>16000</v>
      </c>
      <c r="H27" s="1">
        <f ca="1">OFFSET(控制台!$E$4617,MATCH(B27,控制台!$B$4617:$B$4629,0)-2,0)*控制台!$C$4611</f>
        <v>10</v>
      </c>
      <c r="I27" s="1">
        <f ca="1">OFFSET(控制台!$E$4617,MATCH(B27,控制台!$B$4617:$B$4629,0)-1,0)*控制台!$C$4611</f>
        <v>10</v>
      </c>
      <c r="J27" s="1">
        <f>(_xlfn.FLOOR.MATH((C27-1)/20)+1)/2</f>
        <v>0.5</v>
      </c>
      <c r="K27" s="4">
        <f ca="1">IF(MOD(C27,4)=0,0,Lerp_dyy(H27,I27,J27))</f>
        <v>10</v>
      </c>
      <c r="L27" s="1">
        <f ca="1">OFFSET(控制台!$G$4617,MATCH(B27,控制台!$B$4617:$B$4629,0)-2,0)*控制台!$C$4612</f>
        <v>10</v>
      </c>
      <c r="M27" s="1">
        <f ca="1">OFFSET(控制台!$G$4617,MATCH(B27,控制台!$B$4617:$B$4629,0)-1,0)*控制台!$C$4612</f>
        <v>10</v>
      </c>
      <c r="N27" s="1">
        <v>1</v>
      </c>
      <c r="O27" s="4">
        <f ca="1">IF(MOD(C27,4)=0,Lerp_dyy(L27,M27,N27),0)</f>
        <v>0</v>
      </c>
    </row>
    <row r="28" spans="1:15">
      <c r="A28" s="1">
        <f t="shared" si="0"/>
        <v>203</v>
      </c>
      <c r="B28" s="1">
        <v>2</v>
      </c>
      <c r="C28" s="1">
        <v>3</v>
      </c>
      <c r="D28" s="1">
        <f ca="1">OFFSET(控制台!$C$4617,MATCH(B28,控制台!$B$4617:$B$4629,0)-2,0)*控制台!$C$4610</f>
        <v>15000</v>
      </c>
      <c r="E28" s="1">
        <f ca="1">OFFSET(控制台!$C$4617,MATCH(B28,控制台!$B$4617:$B$4629,0)-1,0)*控制台!$C$4610</f>
        <v>20000</v>
      </c>
      <c r="F28" s="1">
        <f>(_xlfn.FLOOR.MATH((C28-1)/8)+1)/5</f>
        <v>0.2</v>
      </c>
      <c r="G28" s="4">
        <f ca="1">Lerp_dyy(D28,E28,F28)</f>
        <v>16000</v>
      </c>
      <c r="H28" s="1">
        <f ca="1">OFFSET(控制台!$E$4617,MATCH(B28,控制台!$B$4617:$B$4629,0)-2,0)*控制台!$C$4611</f>
        <v>10</v>
      </c>
      <c r="I28" s="1">
        <f ca="1">OFFSET(控制台!$E$4617,MATCH(B28,控制台!$B$4617:$B$4629,0)-1,0)*控制台!$C$4611</f>
        <v>10</v>
      </c>
      <c r="J28" s="1">
        <f>(_xlfn.FLOOR.MATH((C28-1)/20)+1)/2</f>
        <v>0.5</v>
      </c>
      <c r="K28" s="4">
        <f ca="1">IF(MOD(C28,4)=0,0,Lerp_dyy(H28,I28,J28))</f>
        <v>10</v>
      </c>
      <c r="L28" s="1">
        <f ca="1">OFFSET(控制台!$G$4617,MATCH(B28,控制台!$B$4617:$B$4629,0)-2,0)*控制台!$C$4612</f>
        <v>10</v>
      </c>
      <c r="M28" s="1">
        <f ca="1">OFFSET(控制台!$G$4617,MATCH(B28,控制台!$B$4617:$B$4629,0)-1,0)*控制台!$C$4612</f>
        <v>10</v>
      </c>
      <c r="N28" s="1">
        <v>1</v>
      </c>
      <c r="O28" s="4">
        <f ca="1">IF(MOD(C28,4)=0,Lerp_dyy(L28,M28,N28),0)</f>
        <v>0</v>
      </c>
    </row>
    <row r="29" spans="1:15">
      <c r="A29" s="1">
        <f t="shared" si="0"/>
        <v>204</v>
      </c>
      <c r="B29" s="1">
        <v>2</v>
      </c>
      <c r="C29" s="1">
        <v>4</v>
      </c>
      <c r="D29" s="1">
        <f ca="1">OFFSET(控制台!$C$4617,MATCH(B29,控制台!$B$4617:$B$4629,0)-2,0)*控制台!$C$4610</f>
        <v>15000</v>
      </c>
      <c r="E29" s="1">
        <f ca="1">OFFSET(控制台!$C$4617,MATCH(B29,控制台!$B$4617:$B$4629,0)-1,0)*控制台!$C$4610</f>
        <v>20000</v>
      </c>
      <c r="F29" s="1">
        <f>(_xlfn.FLOOR.MATH((C29-1)/8)+1)/5</f>
        <v>0.2</v>
      </c>
      <c r="G29" s="4">
        <f ca="1">Lerp_dyy(D29,E29,F29)</f>
        <v>16000</v>
      </c>
      <c r="H29" s="1">
        <f ca="1">OFFSET(控制台!$E$4617,MATCH(B29,控制台!$B$4617:$B$4629,0)-2,0)*控制台!$C$4611</f>
        <v>10</v>
      </c>
      <c r="I29" s="1">
        <f ca="1">OFFSET(控制台!$E$4617,MATCH(B29,控制台!$B$4617:$B$4629,0)-1,0)*控制台!$C$4611</f>
        <v>10</v>
      </c>
      <c r="J29" s="1">
        <f>(_xlfn.FLOOR.MATH((C29-1)/20)+1)/2</f>
        <v>0.5</v>
      </c>
      <c r="K29" s="4">
        <f ca="1">IF(MOD(C29,4)=0,0,Lerp_dyy(H29,I29,J29))</f>
        <v>0</v>
      </c>
      <c r="L29" s="1">
        <f ca="1">OFFSET(控制台!$G$4617,MATCH(B29,控制台!$B$4617:$B$4629,0)-2,0)*控制台!$C$4612</f>
        <v>10</v>
      </c>
      <c r="M29" s="1">
        <f ca="1">OFFSET(控制台!$G$4617,MATCH(B29,控制台!$B$4617:$B$4629,0)-1,0)*控制台!$C$4612</f>
        <v>10</v>
      </c>
      <c r="N29" s="1">
        <v>1</v>
      </c>
      <c r="O29" s="4">
        <f ca="1">IF(MOD(C29,4)=0,Lerp_dyy(L29,M29,N29),0)</f>
        <v>10</v>
      </c>
    </row>
    <row r="30" spans="1:15">
      <c r="A30" s="1">
        <f t="shared" si="0"/>
        <v>205</v>
      </c>
      <c r="B30" s="1">
        <v>2</v>
      </c>
      <c r="C30" s="1">
        <v>5</v>
      </c>
      <c r="D30" s="1">
        <f ca="1">OFFSET(控制台!$C$4617,MATCH(B30,控制台!$B$4617:$B$4629,0)-2,0)*控制台!$C$4610</f>
        <v>15000</v>
      </c>
      <c r="E30" s="1">
        <f ca="1">OFFSET(控制台!$C$4617,MATCH(B30,控制台!$B$4617:$B$4629,0)-1,0)*控制台!$C$4610</f>
        <v>20000</v>
      </c>
      <c r="F30" s="1">
        <f>(_xlfn.FLOOR.MATH((C30-1)/8)+1)/5</f>
        <v>0.2</v>
      </c>
      <c r="G30" s="4">
        <f ca="1">Lerp_dyy(D30,E30,F30)</f>
        <v>16000</v>
      </c>
      <c r="H30" s="1">
        <f ca="1">OFFSET(控制台!$E$4617,MATCH(B30,控制台!$B$4617:$B$4629,0)-2,0)*控制台!$C$4611</f>
        <v>10</v>
      </c>
      <c r="I30" s="1">
        <f ca="1">OFFSET(控制台!$E$4617,MATCH(B30,控制台!$B$4617:$B$4629,0)-1,0)*控制台!$C$4611</f>
        <v>10</v>
      </c>
      <c r="J30" s="1">
        <f>(_xlfn.FLOOR.MATH((C30-1)/20)+1)/2</f>
        <v>0.5</v>
      </c>
      <c r="K30" s="4">
        <f ca="1">IF(MOD(C30,4)=0,0,Lerp_dyy(H30,I30,J30))</f>
        <v>10</v>
      </c>
      <c r="L30" s="1">
        <f ca="1">OFFSET(控制台!$G$4617,MATCH(B30,控制台!$B$4617:$B$4629,0)-2,0)*控制台!$C$4612</f>
        <v>10</v>
      </c>
      <c r="M30" s="1">
        <f ca="1">OFFSET(控制台!$G$4617,MATCH(B30,控制台!$B$4617:$B$4629,0)-1,0)*控制台!$C$4612</f>
        <v>10</v>
      </c>
      <c r="N30" s="1">
        <v>1</v>
      </c>
      <c r="O30" s="4">
        <f ca="1">IF(MOD(C30,4)=0,Lerp_dyy(L30,M30,N30),0)</f>
        <v>0</v>
      </c>
    </row>
    <row r="31" spans="1:15">
      <c r="A31" s="1">
        <f t="shared" si="0"/>
        <v>206</v>
      </c>
      <c r="B31" s="1">
        <v>2</v>
      </c>
      <c r="C31" s="1">
        <v>6</v>
      </c>
      <c r="D31" s="1">
        <f ca="1">OFFSET(控制台!$C$4617,MATCH(B31,控制台!$B$4617:$B$4629,0)-2,0)*控制台!$C$4610</f>
        <v>15000</v>
      </c>
      <c r="E31" s="1">
        <f ca="1">OFFSET(控制台!$C$4617,MATCH(B31,控制台!$B$4617:$B$4629,0)-1,0)*控制台!$C$4610</f>
        <v>20000</v>
      </c>
      <c r="F31" s="1">
        <f>(_xlfn.FLOOR.MATH((C31-1)/8)+1)/5</f>
        <v>0.2</v>
      </c>
      <c r="G31" s="4">
        <f ca="1">Lerp_dyy(D31,E31,F31)</f>
        <v>16000</v>
      </c>
      <c r="H31" s="1">
        <f ca="1">OFFSET(控制台!$E$4617,MATCH(B31,控制台!$B$4617:$B$4629,0)-2,0)*控制台!$C$4611</f>
        <v>10</v>
      </c>
      <c r="I31" s="1">
        <f ca="1">OFFSET(控制台!$E$4617,MATCH(B31,控制台!$B$4617:$B$4629,0)-1,0)*控制台!$C$4611</f>
        <v>10</v>
      </c>
      <c r="J31" s="1">
        <f>(_xlfn.FLOOR.MATH((C31-1)/20)+1)/2</f>
        <v>0.5</v>
      </c>
      <c r="K31" s="4">
        <f ca="1">IF(MOD(C31,4)=0,0,Lerp_dyy(H31,I31,J31))</f>
        <v>10</v>
      </c>
      <c r="L31" s="1">
        <f ca="1">OFFSET(控制台!$G$4617,MATCH(B31,控制台!$B$4617:$B$4629,0)-2,0)*控制台!$C$4612</f>
        <v>10</v>
      </c>
      <c r="M31" s="1">
        <f ca="1">OFFSET(控制台!$G$4617,MATCH(B31,控制台!$B$4617:$B$4629,0)-1,0)*控制台!$C$4612</f>
        <v>10</v>
      </c>
      <c r="N31" s="1">
        <v>1</v>
      </c>
      <c r="O31" s="4">
        <f ca="1">IF(MOD(C31,4)=0,Lerp_dyy(L31,M31,N31),0)</f>
        <v>0</v>
      </c>
    </row>
    <row r="32" spans="1:15">
      <c r="A32" s="1">
        <f t="shared" si="0"/>
        <v>207</v>
      </c>
      <c r="B32" s="1">
        <v>2</v>
      </c>
      <c r="C32" s="1">
        <v>7</v>
      </c>
      <c r="D32" s="1">
        <f ca="1">OFFSET(控制台!$C$4617,MATCH(B32,控制台!$B$4617:$B$4629,0)-2,0)*控制台!$C$4610</f>
        <v>15000</v>
      </c>
      <c r="E32" s="1">
        <f ca="1">OFFSET(控制台!$C$4617,MATCH(B32,控制台!$B$4617:$B$4629,0)-1,0)*控制台!$C$4610</f>
        <v>20000</v>
      </c>
      <c r="F32" s="1">
        <f>(_xlfn.FLOOR.MATH((C32-1)/8)+1)/5</f>
        <v>0.2</v>
      </c>
      <c r="G32" s="4">
        <f ca="1">Lerp_dyy(D32,E32,F32)</f>
        <v>16000</v>
      </c>
      <c r="H32" s="1">
        <f ca="1">OFFSET(控制台!$E$4617,MATCH(B32,控制台!$B$4617:$B$4629,0)-2,0)*控制台!$C$4611</f>
        <v>10</v>
      </c>
      <c r="I32" s="1">
        <f ca="1">OFFSET(控制台!$E$4617,MATCH(B32,控制台!$B$4617:$B$4629,0)-1,0)*控制台!$C$4611</f>
        <v>10</v>
      </c>
      <c r="J32" s="1">
        <f>(_xlfn.FLOOR.MATH((C32-1)/20)+1)/2</f>
        <v>0.5</v>
      </c>
      <c r="K32" s="4">
        <f ca="1">IF(MOD(C32,4)=0,0,Lerp_dyy(H32,I32,J32))</f>
        <v>10</v>
      </c>
      <c r="L32" s="1">
        <f ca="1">OFFSET(控制台!$G$4617,MATCH(B32,控制台!$B$4617:$B$4629,0)-2,0)*控制台!$C$4612</f>
        <v>10</v>
      </c>
      <c r="M32" s="1">
        <f ca="1">OFFSET(控制台!$G$4617,MATCH(B32,控制台!$B$4617:$B$4629,0)-1,0)*控制台!$C$4612</f>
        <v>10</v>
      </c>
      <c r="N32" s="1">
        <v>1</v>
      </c>
      <c r="O32" s="4">
        <f ca="1">IF(MOD(C32,4)=0,Lerp_dyy(L32,M32,N32),0)</f>
        <v>0</v>
      </c>
    </row>
    <row r="33" spans="1:15">
      <c r="A33" s="1">
        <f t="shared" si="0"/>
        <v>208</v>
      </c>
      <c r="B33" s="1">
        <v>2</v>
      </c>
      <c r="C33" s="1">
        <v>8</v>
      </c>
      <c r="D33" s="1">
        <f ca="1">OFFSET(控制台!$C$4617,MATCH(B33,控制台!$B$4617:$B$4629,0)-2,0)*控制台!$C$4610</f>
        <v>15000</v>
      </c>
      <c r="E33" s="1">
        <f ca="1">OFFSET(控制台!$C$4617,MATCH(B33,控制台!$B$4617:$B$4629,0)-1,0)*控制台!$C$4610</f>
        <v>20000</v>
      </c>
      <c r="F33" s="1">
        <f>(_xlfn.FLOOR.MATH((C33-1)/8)+1)/5</f>
        <v>0.2</v>
      </c>
      <c r="G33" s="4">
        <f ca="1">Lerp_dyy(D33,E33,F33)</f>
        <v>16000</v>
      </c>
      <c r="H33" s="1">
        <f ca="1">OFFSET(控制台!$E$4617,MATCH(B33,控制台!$B$4617:$B$4629,0)-2,0)*控制台!$C$4611</f>
        <v>10</v>
      </c>
      <c r="I33" s="1">
        <f ca="1">OFFSET(控制台!$E$4617,MATCH(B33,控制台!$B$4617:$B$4629,0)-1,0)*控制台!$C$4611</f>
        <v>10</v>
      </c>
      <c r="J33" s="1">
        <f>(_xlfn.FLOOR.MATH((C33-1)/20)+1)/2</f>
        <v>0.5</v>
      </c>
      <c r="K33" s="4">
        <f ca="1">IF(MOD(C33,4)=0,0,Lerp_dyy(H33,I33,J33))</f>
        <v>0</v>
      </c>
      <c r="L33" s="1">
        <f ca="1">OFFSET(控制台!$G$4617,MATCH(B33,控制台!$B$4617:$B$4629,0)-2,0)*控制台!$C$4612</f>
        <v>10</v>
      </c>
      <c r="M33" s="1">
        <f ca="1">OFFSET(控制台!$G$4617,MATCH(B33,控制台!$B$4617:$B$4629,0)-1,0)*控制台!$C$4612</f>
        <v>10</v>
      </c>
      <c r="N33" s="1">
        <v>1</v>
      </c>
      <c r="O33" s="4">
        <f ca="1">IF(MOD(C33,4)=0,Lerp_dyy(L33,M33,N33),0)</f>
        <v>10</v>
      </c>
    </row>
    <row r="34" spans="1:15">
      <c r="A34" s="1">
        <f t="shared" si="0"/>
        <v>209</v>
      </c>
      <c r="B34" s="1">
        <v>2</v>
      </c>
      <c r="C34" s="1">
        <v>9</v>
      </c>
      <c r="D34" s="1">
        <f ca="1">OFFSET(控制台!$C$4617,MATCH(B34,控制台!$B$4617:$B$4629,0)-2,0)*控制台!$C$4610</f>
        <v>15000</v>
      </c>
      <c r="E34" s="1">
        <f ca="1">OFFSET(控制台!$C$4617,MATCH(B34,控制台!$B$4617:$B$4629,0)-1,0)*控制台!$C$4610</f>
        <v>20000</v>
      </c>
      <c r="F34" s="1">
        <f>(_xlfn.FLOOR.MATH((C34-1)/8)+1)/5</f>
        <v>0.4</v>
      </c>
      <c r="G34" s="4">
        <f ca="1">Lerp_dyy(D34,E34,F34)</f>
        <v>17000</v>
      </c>
      <c r="H34" s="1">
        <f ca="1">OFFSET(控制台!$E$4617,MATCH(B34,控制台!$B$4617:$B$4629,0)-2,0)*控制台!$C$4611</f>
        <v>10</v>
      </c>
      <c r="I34" s="1">
        <f ca="1">OFFSET(控制台!$E$4617,MATCH(B34,控制台!$B$4617:$B$4629,0)-1,0)*控制台!$C$4611</f>
        <v>10</v>
      </c>
      <c r="J34" s="1">
        <f>(_xlfn.FLOOR.MATH((C34-1)/20)+1)/2</f>
        <v>0.5</v>
      </c>
      <c r="K34" s="4">
        <f ca="1">IF(MOD(C34,4)=0,0,Lerp_dyy(H34,I34,J34))</f>
        <v>10</v>
      </c>
      <c r="L34" s="1">
        <f ca="1">OFFSET(控制台!$G$4617,MATCH(B34,控制台!$B$4617:$B$4629,0)-2,0)*控制台!$C$4612</f>
        <v>10</v>
      </c>
      <c r="M34" s="1">
        <f ca="1">OFFSET(控制台!$G$4617,MATCH(B34,控制台!$B$4617:$B$4629,0)-1,0)*控制台!$C$4612</f>
        <v>10</v>
      </c>
      <c r="N34" s="1">
        <v>1</v>
      </c>
      <c r="O34" s="4">
        <f ca="1">IF(MOD(C34,4)=0,Lerp_dyy(L34,M34,N34),0)</f>
        <v>0</v>
      </c>
    </row>
    <row r="35" spans="1:15">
      <c r="A35" s="1">
        <f t="shared" si="0"/>
        <v>210</v>
      </c>
      <c r="B35" s="1">
        <v>2</v>
      </c>
      <c r="C35" s="1">
        <v>10</v>
      </c>
      <c r="D35" s="1">
        <f ca="1">OFFSET(控制台!$C$4617,MATCH(B35,控制台!$B$4617:$B$4629,0)-2,0)*控制台!$C$4610</f>
        <v>15000</v>
      </c>
      <c r="E35" s="1">
        <f ca="1">OFFSET(控制台!$C$4617,MATCH(B35,控制台!$B$4617:$B$4629,0)-1,0)*控制台!$C$4610</f>
        <v>20000</v>
      </c>
      <c r="F35" s="1">
        <f>(_xlfn.FLOOR.MATH((C35-1)/8)+1)/5</f>
        <v>0.4</v>
      </c>
      <c r="G35" s="4">
        <f ca="1">Lerp_dyy(D35,E35,F35)</f>
        <v>17000</v>
      </c>
      <c r="H35" s="1">
        <f ca="1">OFFSET(控制台!$E$4617,MATCH(B35,控制台!$B$4617:$B$4629,0)-2,0)*控制台!$C$4611</f>
        <v>10</v>
      </c>
      <c r="I35" s="1">
        <f ca="1">OFFSET(控制台!$E$4617,MATCH(B35,控制台!$B$4617:$B$4629,0)-1,0)*控制台!$C$4611</f>
        <v>10</v>
      </c>
      <c r="J35" s="1">
        <f>(_xlfn.FLOOR.MATH((C35-1)/20)+1)/2</f>
        <v>0.5</v>
      </c>
      <c r="K35" s="4">
        <f ca="1">IF(MOD(C35,4)=0,0,Lerp_dyy(H35,I35,J35))</f>
        <v>10</v>
      </c>
      <c r="L35" s="1">
        <f ca="1">OFFSET(控制台!$G$4617,MATCH(B35,控制台!$B$4617:$B$4629,0)-2,0)*控制台!$C$4612</f>
        <v>10</v>
      </c>
      <c r="M35" s="1">
        <f ca="1">OFFSET(控制台!$G$4617,MATCH(B35,控制台!$B$4617:$B$4629,0)-1,0)*控制台!$C$4612</f>
        <v>10</v>
      </c>
      <c r="N35" s="1">
        <v>1</v>
      </c>
      <c r="O35" s="4">
        <f ca="1">IF(MOD(C35,4)=0,Lerp_dyy(L35,M35,N35),0)</f>
        <v>0</v>
      </c>
    </row>
    <row r="36" spans="1:15">
      <c r="A36" s="1">
        <f t="shared" si="0"/>
        <v>211</v>
      </c>
      <c r="B36" s="1">
        <v>2</v>
      </c>
      <c r="C36" s="1">
        <v>11</v>
      </c>
      <c r="D36" s="1">
        <f ca="1">OFFSET(控制台!$C$4617,MATCH(B36,控制台!$B$4617:$B$4629,0)-2,0)*控制台!$C$4610</f>
        <v>15000</v>
      </c>
      <c r="E36" s="1">
        <f ca="1">OFFSET(控制台!$C$4617,MATCH(B36,控制台!$B$4617:$B$4629,0)-1,0)*控制台!$C$4610</f>
        <v>20000</v>
      </c>
      <c r="F36" s="1">
        <f>(_xlfn.FLOOR.MATH((C36-1)/8)+1)/5</f>
        <v>0.4</v>
      </c>
      <c r="G36" s="4">
        <f ca="1">Lerp_dyy(D36,E36,F36)</f>
        <v>17000</v>
      </c>
      <c r="H36" s="1">
        <f ca="1">OFFSET(控制台!$E$4617,MATCH(B36,控制台!$B$4617:$B$4629,0)-2,0)*控制台!$C$4611</f>
        <v>10</v>
      </c>
      <c r="I36" s="1">
        <f ca="1">OFFSET(控制台!$E$4617,MATCH(B36,控制台!$B$4617:$B$4629,0)-1,0)*控制台!$C$4611</f>
        <v>10</v>
      </c>
      <c r="J36" s="1">
        <f>(_xlfn.FLOOR.MATH((C36-1)/20)+1)/2</f>
        <v>0.5</v>
      </c>
      <c r="K36" s="4">
        <f ca="1">IF(MOD(C36,4)=0,0,Lerp_dyy(H36,I36,J36))</f>
        <v>10</v>
      </c>
      <c r="L36" s="1">
        <f ca="1">OFFSET(控制台!$G$4617,MATCH(B36,控制台!$B$4617:$B$4629,0)-2,0)*控制台!$C$4612</f>
        <v>10</v>
      </c>
      <c r="M36" s="1">
        <f ca="1">OFFSET(控制台!$G$4617,MATCH(B36,控制台!$B$4617:$B$4629,0)-1,0)*控制台!$C$4612</f>
        <v>10</v>
      </c>
      <c r="N36" s="1">
        <v>1</v>
      </c>
      <c r="O36" s="4">
        <f ca="1">IF(MOD(C36,4)=0,Lerp_dyy(L36,M36,N36),0)</f>
        <v>0</v>
      </c>
    </row>
    <row r="37" spans="1:15">
      <c r="A37" s="1">
        <f t="shared" si="0"/>
        <v>212</v>
      </c>
      <c r="B37" s="1">
        <v>2</v>
      </c>
      <c r="C37" s="1">
        <v>12</v>
      </c>
      <c r="D37" s="1">
        <f ca="1">OFFSET(控制台!$C$4617,MATCH(B37,控制台!$B$4617:$B$4629,0)-2,0)*控制台!$C$4610</f>
        <v>15000</v>
      </c>
      <c r="E37" s="1">
        <f ca="1">OFFSET(控制台!$C$4617,MATCH(B37,控制台!$B$4617:$B$4629,0)-1,0)*控制台!$C$4610</f>
        <v>20000</v>
      </c>
      <c r="F37" s="1">
        <f>(_xlfn.FLOOR.MATH((C37-1)/8)+1)/5</f>
        <v>0.4</v>
      </c>
      <c r="G37" s="4">
        <f ca="1">Lerp_dyy(D37,E37,F37)</f>
        <v>17000</v>
      </c>
      <c r="H37" s="1">
        <f ca="1">OFFSET(控制台!$E$4617,MATCH(B37,控制台!$B$4617:$B$4629,0)-2,0)*控制台!$C$4611</f>
        <v>10</v>
      </c>
      <c r="I37" s="1">
        <f ca="1">OFFSET(控制台!$E$4617,MATCH(B37,控制台!$B$4617:$B$4629,0)-1,0)*控制台!$C$4611</f>
        <v>10</v>
      </c>
      <c r="J37" s="1">
        <f>(_xlfn.FLOOR.MATH((C37-1)/20)+1)/2</f>
        <v>0.5</v>
      </c>
      <c r="K37" s="4">
        <f ca="1">IF(MOD(C37,4)=0,0,Lerp_dyy(H37,I37,J37))</f>
        <v>0</v>
      </c>
      <c r="L37" s="1">
        <f ca="1">OFFSET(控制台!$G$4617,MATCH(B37,控制台!$B$4617:$B$4629,0)-2,0)*控制台!$C$4612</f>
        <v>10</v>
      </c>
      <c r="M37" s="1">
        <f ca="1">OFFSET(控制台!$G$4617,MATCH(B37,控制台!$B$4617:$B$4629,0)-1,0)*控制台!$C$4612</f>
        <v>10</v>
      </c>
      <c r="N37" s="1">
        <v>1</v>
      </c>
      <c r="O37" s="4">
        <f ca="1">IF(MOD(C37,4)=0,Lerp_dyy(L37,M37,N37),0)</f>
        <v>10</v>
      </c>
    </row>
    <row r="38" spans="1:15">
      <c r="A38" s="1">
        <f t="shared" si="0"/>
        <v>213</v>
      </c>
      <c r="B38" s="1">
        <v>2</v>
      </c>
      <c r="C38" s="1">
        <v>13</v>
      </c>
      <c r="D38" s="1">
        <f ca="1">OFFSET(控制台!$C$4617,MATCH(B38,控制台!$B$4617:$B$4629,0)-2,0)*控制台!$C$4610</f>
        <v>15000</v>
      </c>
      <c r="E38" s="1">
        <f ca="1">OFFSET(控制台!$C$4617,MATCH(B38,控制台!$B$4617:$B$4629,0)-1,0)*控制台!$C$4610</f>
        <v>20000</v>
      </c>
      <c r="F38" s="1">
        <f>(_xlfn.FLOOR.MATH((C38-1)/8)+1)/5</f>
        <v>0.4</v>
      </c>
      <c r="G38" s="4">
        <f ca="1">Lerp_dyy(D38,E38,F38)</f>
        <v>17000</v>
      </c>
      <c r="H38" s="1">
        <f ca="1">OFFSET(控制台!$E$4617,MATCH(B38,控制台!$B$4617:$B$4629,0)-2,0)*控制台!$C$4611</f>
        <v>10</v>
      </c>
      <c r="I38" s="1">
        <f ca="1">OFFSET(控制台!$E$4617,MATCH(B38,控制台!$B$4617:$B$4629,0)-1,0)*控制台!$C$4611</f>
        <v>10</v>
      </c>
      <c r="J38" s="1">
        <f>(_xlfn.FLOOR.MATH((C38-1)/20)+1)/2</f>
        <v>0.5</v>
      </c>
      <c r="K38" s="4">
        <f ca="1">IF(MOD(C38,4)=0,0,Lerp_dyy(H38,I38,J38))</f>
        <v>10</v>
      </c>
      <c r="L38" s="1">
        <f ca="1">OFFSET(控制台!$G$4617,MATCH(B38,控制台!$B$4617:$B$4629,0)-2,0)*控制台!$C$4612</f>
        <v>10</v>
      </c>
      <c r="M38" s="1">
        <f ca="1">OFFSET(控制台!$G$4617,MATCH(B38,控制台!$B$4617:$B$4629,0)-1,0)*控制台!$C$4612</f>
        <v>10</v>
      </c>
      <c r="N38" s="1">
        <v>1</v>
      </c>
      <c r="O38" s="4">
        <f ca="1">IF(MOD(C38,4)=0,Lerp_dyy(L38,M38,N38),0)</f>
        <v>0</v>
      </c>
    </row>
    <row r="39" spans="1:15">
      <c r="A39" s="1">
        <f t="shared" si="0"/>
        <v>214</v>
      </c>
      <c r="B39" s="1">
        <v>2</v>
      </c>
      <c r="C39" s="1">
        <v>14</v>
      </c>
      <c r="D39" s="1">
        <f ca="1">OFFSET(控制台!$C$4617,MATCH(B39,控制台!$B$4617:$B$4629,0)-2,0)*控制台!$C$4610</f>
        <v>15000</v>
      </c>
      <c r="E39" s="1">
        <f ca="1">OFFSET(控制台!$C$4617,MATCH(B39,控制台!$B$4617:$B$4629,0)-1,0)*控制台!$C$4610</f>
        <v>20000</v>
      </c>
      <c r="F39" s="1">
        <f>(_xlfn.FLOOR.MATH((C39-1)/8)+1)/5</f>
        <v>0.4</v>
      </c>
      <c r="G39" s="4">
        <f ca="1">Lerp_dyy(D39,E39,F39)</f>
        <v>17000</v>
      </c>
      <c r="H39" s="1">
        <f ca="1">OFFSET(控制台!$E$4617,MATCH(B39,控制台!$B$4617:$B$4629,0)-2,0)*控制台!$C$4611</f>
        <v>10</v>
      </c>
      <c r="I39" s="1">
        <f ca="1">OFFSET(控制台!$E$4617,MATCH(B39,控制台!$B$4617:$B$4629,0)-1,0)*控制台!$C$4611</f>
        <v>10</v>
      </c>
      <c r="J39" s="1">
        <f>(_xlfn.FLOOR.MATH((C39-1)/20)+1)/2</f>
        <v>0.5</v>
      </c>
      <c r="K39" s="4">
        <f ca="1">IF(MOD(C39,4)=0,0,Lerp_dyy(H39,I39,J39))</f>
        <v>10</v>
      </c>
      <c r="L39" s="1">
        <f ca="1">OFFSET(控制台!$G$4617,MATCH(B39,控制台!$B$4617:$B$4629,0)-2,0)*控制台!$C$4612</f>
        <v>10</v>
      </c>
      <c r="M39" s="1">
        <f ca="1">OFFSET(控制台!$G$4617,MATCH(B39,控制台!$B$4617:$B$4629,0)-1,0)*控制台!$C$4612</f>
        <v>10</v>
      </c>
      <c r="N39" s="1">
        <v>1</v>
      </c>
      <c r="O39" s="4">
        <f ca="1">IF(MOD(C39,4)=0,Lerp_dyy(L39,M39,N39),0)</f>
        <v>0</v>
      </c>
    </row>
    <row r="40" spans="1:15">
      <c r="A40" s="1">
        <f t="shared" si="0"/>
        <v>215</v>
      </c>
      <c r="B40" s="1">
        <v>2</v>
      </c>
      <c r="C40" s="1">
        <v>15</v>
      </c>
      <c r="D40" s="1">
        <f ca="1">OFFSET(控制台!$C$4617,MATCH(B40,控制台!$B$4617:$B$4629,0)-2,0)*控制台!$C$4610</f>
        <v>15000</v>
      </c>
      <c r="E40" s="1">
        <f ca="1">OFFSET(控制台!$C$4617,MATCH(B40,控制台!$B$4617:$B$4629,0)-1,0)*控制台!$C$4610</f>
        <v>20000</v>
      </c>
      <c r="F40" s="1">
        <f>(_xlfn.FLOOR.MATH((C40-1)/8)+1)/5</f>
        <v>0.4</v>
      </c>
      <c r="G40" s="4">
        <f ca="1">Lerp_dyy(D40,E40,F40)</f>
        <v>17000</v>
      </c>
      <c r="H40" s="1">
        <f ca="1">OFFSET(控制台!$E$4617,MATCH(B40,控制台!$B$4617:$B$4629,0)-2,0)*控制台!$C$4611</f>
        <v>10</v>
      </c>
      <c r="I40" s="1">
        <f ca="1">OFFSET(控制台!$E$4617,MATCH(B40,控制台!$B$4617:$B$4629,0)-1,0)*控制台!$C$4611</f>
        <v>10</v>
      </c>
      <c r="J40" s="1">
        <f>(_xlfn.FLOOR.MATH((C40-1)/20)+1)/2</f>
        <v>0.5</v>
      </c>
      <c r="K40" s="4">
        <f ca="1">IF(MOD(C40,4)=0,0,Lerp_dyy(H40,I40,J40))</f>
        <v>10</v>
      </c>
      <c r="L40" s="1">
        <f ca="1">OFFSET(控制台!$G$4617,MATCH(B40,控制台!$B$4617:$B$4629,0)-2,0)*控制台!$C$4612</f>
        <v>10</v>
      </c>
      <c r="M40" s="1">
        <f ca="1">OFFSET(控制台!$G$4617,MATCH(B40,控制台!$B$4617:$B$4629,0)-1,0)*控制台!$C$4612</f>
        <v>10</v>
      </c>
      <c r="N40" s="1">
        <v>1</v>
      </c>
      <c r="O40" s="4">
        <f ca="1">IF(MOD(C40,4)=0,Lerp_dyy(L40,M40,N40),0)</f>
        <v>0</v>
      </c>
    </row>
    <row r="41" spans="1:15">
      <c r="A41" s="1">
        <f t="shared" si="0"/>
        <v>216</v>
      </c>
      <c r="B41" s="1">
        <v>2</v>
      </c>
      <c r="C41" s="1">
        <v>16</v>
      </c>
      <c r="D41" s="1">
        <f ca="1">OFFSET(控制台!$C$4617,MATCH(B41,控制台!$B$4617:$B$4629,0)-2,0)*控制台!$C$4610</f>
        <v>15000</v>
      </c>
      <c r="E41" s="1">
        <f ca="1">OFFSET(控制台!$C$4617,MATCH(B41,控制台!$B$4617:$B$4629,0)-1,0)*控制台!$C$4610</f>
        <v>20000</v>
      </c>
      <c r="F41" s="1">
        <f>(_xlfn.FLOOR.MATH((C41-1)/8)+1)/5</f>
        <v>0.4</v>
      </c>
      <c r="G41" s="4">
        <f ca="1">Lerp_dyy(D41,E41,F41)</f>
        <v>17000</v>
      </c>
      <c r="H41" s="1">
        <f ca="1">OFFSET(控制台!$E$4617,MATCH(B41,控制台!$B$4617:$B$4629,0)-2,0)*控制台!$C$4611</f>
        <v>10</v>
      </c>
      <c r="I41" s="1">
        <f ca="1">OFFSET(控制台!$E$4617,MATCH(B41,控制台!$B$4617:$B$4629,0)-1,0)*控制台!$C$4611</f>
        <v>10</v>
      </c>
      <c r="J41" s="1">
        <f>(_xlfn.FLOOR.MATH((C41-1)/20)+1)/2</f>
        <v>0.5</v>
      </c>
      <c r="K41" s="4">
        <f ca="1">IF(MOD(C41,4)=0,0,Lerp_dyy(H41,I41,J41))</f>
        <v>0</v>
      </c>
      <c r="L41" s="1">
        <f ca="1">OFFSET(控制台!$G$4617,MATCH(B41,控制台!$B$4617:$B$4629,0)-2,0)*控制台!$C$4612</f>
        <v>10</v>
      </c>
      <c r="M41" s="1">
        <f ca="1">OFFSET(控制台!$G$4617,MATCH(B41,控制台!$B$4617:$B$4629,0)-1,0)*控制台!$C$4612</f>
        <v>10</v>
      </c>
      <c r="N41" s="1">
        <v>1</v>
      </c>
      <c r="O41" s="4">
        <f ca="1">IF(MOD(C41,4)=0,Lerp_dyy(L41,M41,N41),0)</f>
        <v>10</v>
      </c>
    </row>
    <row r="42" spans="1:15">
      <c r="A42" s="1">
        <f t="shared" si="0"/>
        <v>217</v>
      </c>
      <c r="B42" s="1">
        <v>2</v>
      </c>
      <c r="C42" s="1">
        <v>17</v>
      </c>
      <c r="D42" s="1">
        <f ca="1">OFFSET(控制台!$C$4617,MATCH(B42,控制台!$B$4617:$B$4629,0)-2,0)*控制台!$C$4610</f>
        <v>15000</v>
      </c>
      <c r="E42" s="1">
        <f ca="1">OFFSET(控制台!$C$4617,MATCH(B42,控制台!$B$4617:$B$4629,0)-1,0)*控制台!$C$4610</f>
        <v>20000</v>
      </c>
      <c r="F42" s="1">
        <f>(_xlfn.FLOOR.MATH((C42-1)/8)+1)/5</f>
        <v>0.6</v>
      </c>
      <c r="G42" s="4">
        <f ca="1">Lerp_dyy(D42,E42,F42)</f>
        <v>18000</v>
      </c>
      <c r="H42" s="1">
        <f ca="1">OFFSET(控制台!$E$4617,MATCH(B42,控制台!$B$4617:$B$4629,0)-2,0)*控制台!$C$4611</f>
        <v>10</v>
      </c>
      <c r="I42" s="1">
        <f ca="1">OFFSET(控制台!$E$4617,MATCH(B42,控制台!$B$4617:$B$4629,0)-1,0)*控制台!$C$4611</f>
        <v>10</v>
      </c>
      <c r="J42" s="1">
        <f>(_xlfn.FLOOR.MATH((C42-1)/20)+1)/2</f>
        <v>0.5</v>
      </c>
      <c r="K42" s="4">
        <f ca="1">IF(MOD(C42,4)=0,0,Lerp_dyy(H42,I42,J42))</f>
        <v>10</v>
      </c>
      <c r="L42" s="1">
        <f ca="1">OFFSET(控制台!$G$4617,MATCH(B42,控制台!$B$4617:$B$4629,0)-2,0)*控制台!$C$4612</f>
        <v>10</v>
      </c>
      <c r="M42" s="1">
        <f ca="1">OFFSET(控制台!$G$4617,MATCH(B42,控制台!$B$4617:$B$4629,0)-1,0)*控制台!$C$4612</f>
        <v>10</v>
      </c>
      <c r="N42" s="1">
        <v>1</v>
      </c>
      <c r="O42" s="4">
        <f ca="1">IF(MOD(C42,4)=0,Lerp_dyy(L42,M42,N42),0)</f>
        <v>0</v>
      </c>
    </row>
    <row r="43" spans="1:15">
      <c r="A43" s="1">
        <f t="shared" si="0"/>
        <v>218</v>
      </c>
      <c r="B43" s="1">
        <v>2</v>
      </c>
      <c r="C43" s="1">
        <v>18</v>
      </c>
      <c r="D43" s="1">
        <f ca="1">OFFSET(控制台!$C$4617,MATCH(B43,控制台!$B$4617:$B$4629,0)-2,0)*控制台!$C$4610</f>
        <v>15000</v>
      </c>
      <c r="E43" s="1">
        <f ca="1">OFFSET(控制台!$C$4617,MATCH(B43,控制台!$B$4617:$B$4629,0)-1,0)*控制台!$C$4610</f>
        <v>20000</v>
      </c>
      <c r="F43" s="1">
        <f>(_xlfn.FLOOR.MATH((C43-1)/8)+1)/5</f>
        <v>0.6</v>
      </c>
      <c r="G43" s="4">
        <f ca="1">Lerp_dyy(D43,E43,F43)</f>
        <v>18000</v>
      </c>
      <c r="H43" s="1">
        <f ca="1">OFFSET(控制台!$E$4617,MATCH(B43,控制台!$B$4617:$B$4629,0)-2,0)*控制台!$C$4611</f>
        <v>10</v>
      </c>
      <c r="I43" s="1">
        <f ca="1">OFFSET(控制台!$E$4617,MATCH(B43,控制台!$B$4617:$B$4629,0)-1,0)*控制台!$C$4611</f>
        <v>10</v>
      </c>
      <c r="J43" s="1">
        <f>(_xlfn.FLOOR.MATH((C43-1)/20)+1)/2</f>
        <v>0.5</v>
      </c>
      <c r="K43" s="4">
        <f ca="1">IF(MOD(C43,4)=0,0,Lerp_dyy(H43,I43,J43))</f>
        <v>10</v>
      </c>
      <c r="L43" s="1">
        <f ca="1">OFFSET(控制台!$G$4617,MATCH(B43,控制台!$B$4617:$B$4629,0)-2,0)*控制台!$C$4612</f>
        <v>10</v>
      </c>
      <c r="M43" s="1">
        <f ca="1">OFFSET(控制台!$G$4617,MATCH(B43,控制台!$B$4617:$B$4629,0)-1,0)*控制台!$C$4612</f>
        <v>10</v>
      </c>
      <c r="N43" s="1">
        <v>1</v>
      </c>
      <c r="O43" s="4">
        <f ca="1">IF(MOD(C43,4)=0,Lerp_dyy(L43,M43,N43),0)</f>
        <v>0</v>
      </c>
    </row>
    <row r="44" spans="1:15">
      <c r="A44" s="1">
        <f t="shared" si="0"/>
        <v>219</v>
      </c>
      <c r="B44" s="1">
        <v>2</v>
      </c>
      <c r="C44" s="1">
        <v>19</v>
      </c>
      <c r="D44" s="1">
        <f ca="1">OFFSET(控制台!$C$4617,MATCH(B44,控制台!$B$4617:$B$4629,0)-2,0)*控制台!$C$4610</f>
        <v>15000</v>
      </c>
      <c r="E44" s="1">
        <f ca="1">OFFSET(控制台!$C$4617,MATCH(B44,控制台!$B$4617:$B$4629,0)-1,0)*控制台!$C$4610</f>
        <v>20000</v>
      </c>
      <c r="F44" s="1">
        <f>(_xlfn.FLOOR.MATH((C44-1)/8)+1)/5</f>
        <v>0.6</v>
      </c>
      <c r="G44" s="4">
        <f ca="1">Lerp_dyy(D44,E44,F44)</f>
        <v>18000</v>
      </c>
      <c r="H44" s="1">
        <f ca="1">OFFSET(控制台!$E$4617,MATCH(B44,控制台!$B$4617:$B$4629,0)-2,0)*控制台!$C$4611</f>
        <v>10</v>
      </c>
      <c r="I44" s="1">
        <f ca="1">OFFSET(控制台!$E$4617,MATCH(B44,控制台!$B$4617:$B$4629,0)-1,0)*控制台!$C$4611</f>
        <v>10</v>
      </c>
      <c r="J44" s="1">
        <f>(_xlfn.FLOOR.MATH((C44-1)/20)+1)/2</f>
        <v>0.5</v>
      </c>
      <c r="K44" s="4">
        <f ca="1">IF(MOD(C44,4)=0,0,Lerp_dyy(H44,I44,J44))</f>
        <v>10</v>
      </c>
      <c r="L44" s="1">
        <f ca="1">OFFSET(控制台!$G$4617,MATCH(B44,控制台!$B$4617:$B$4629,0)-2,0)*控制台!$C$4612</f>
        <v>10</v>
      </c>
      <c r="M44" s="1">
        <f ca="1">OFFSET(控制台!$G$4617,MATCH(B44,控制台!$B$4617:$B$4629,0)-1,0)*控制台!$C$4612</f>
        <v>10</v>
      </c>
      <c r="N44" s="1">
        <v>1</v>
      </c>
      <c r="O44" s="4">
        <f ca="1">IF(MOD(C44,4)=0,Lerp_dyy(L44,M44,N44),0)</f>
        <v>0</v>
      </c>
    </row>
    <row r="45" spans="1:15">
      <c r="A45" s="1">
        <f t="shared" si="0"/>
        <v>220</v>
      </c>
      <c r="B45" s="1">
        <v>2</v>
      </c>
      <c r="C45" s="1">
        <v>20</v>
      </c>
      <c r="D45" s="1">
        <f ca="1">OFFSET(控制台!$C$4617,MATCH(B45,控制台!$B$4617:$B$4629,0)-2,0)*控制台!$C$4610</f>
        <v>15000</v>
      </c>
      <c r="E45" s="1">
        <f ca="1">OFFSET(控制台!$C$4617,MATCH(B45,控制台!$B$4617:$B$4629,0)-1,0)*控制台!$C$4610</f>
        <v>20000</v>
      </c>
      <c r="F45" s="1">
        <f>(_xlfn.FLOOR.MATH((C45-1)/8)+1)/5</f>
        <v>0.6</v>
      </c>
      <c r="G45" s="4">
        <f ca="1">Lerp_dyy(D45,E45,F45)</f>
        <v>18000</v>
      </c>
      <c r="H45" s="1">
        <f ca="1">OFFSET(控制台!$E$4617,MATCH(B45,控制台!$B$4617:$B$4629,0)-2,0)*控制台!$C$4611</f>
        <v>10</v>
      </c>
      <c r="I45" s="1">
        <f ca="1">OFFSET(控制台!$E$4617,MATCH(B45,控制台!$B$4617:$B$4629,0)-1,0)*控制台!$C$4611</f>
        <v>10</v>
      </c>
      <c r="J45" s="1">
        <f>(_xlfn.FLOOR.MATH((C45-1)/20)+1)/2</f>
        <v>0.5</v>
      </c>
      <c r="K45" s="4">
        <f ca="1">IF(MOD(C45,4)=0,0,Lerp_dyy(H45,I45,J45))</f>
        <v>0</v>
      </c>
      <c r="L45" s="1">
        <f ca="1">OFFSET(控制台!$G$4617,MATCH(B45,控制台!$B$4617:$B$4629,0)-2,0)*控制台!$C$4612</f>
        <v>10</v>
      </c>
      <c r="M45" s="1">
        <f ca="1">OFFSET(控制台!$G$4617,MATCH(B45,控制台!$B$4617:$B$4629,0)-1,0)*控制台!$C$4612</f>
        <v>10</v>
      </c>
      <c r="N45" s="1">
        <v>1</v>
      </c>
      <c r="O45" s="4">
        <f ca="1">IF(MOD(C45,4)=0,Lerp_dyy(L45,M45,N45),0)</f>
        <v>10</v>
      </c>
    </row>
    <row r="46" spans="1:15">
      <c r="A46" s="1">
        <f t="shared" si="0"/>
        <v>221</v>
      </c>
      <c r="B46" s="1">
        <v>2</v>
      </c>
      <c r="C46" s="1">
        <v>21</v>
      </c>
      <c r="D46" s="1">
        <f ca="1">OFFSET(控制台!$C$4617,MATCH(B46,控制台!$B$4617:$B$4629,0)-2,0)*控制台!$C$4610</f>
        <v>15000</v>
      </c>
      <c r="E46" s="1">
        <f ca="1">OFFSET(控制台!$C$4617,MATCH(B46,控制台!$B$4617:$B$4629,0)-1,0)*控制台!$C$4610</f>
        <v>20000</v>
      </c>
      <c r="F46" s="1">
        <f>(_xlfn.FLOOR.MATH((C46-1)/8)+1)/5</f>
        <v>0.6</v>
      </c>
      <c r="G46" s="4">
        <f ca="1">Lerp_dyy(D46,E46,F46)</f>
        <v>18000</v>
      </c>
      <c r="H46" s="1">
        <f ca="1">OFFSET(控制台!$E$4617,MATCH(B46,控制台!$B$4617:$B$4629,0)-2,0)*控制台!$C$4611</f>
        <v>10</v>
      </c>
      <c r="I46" s="1">
        <f ca="1">OFFSET(控制台!$E$4617,MATCH(B46,控制台!$B$4617:$B$4629,0)-1,0)*控制台!$C$4611</f>
        <v>10</v>
      </c>
      <c r="J46" s="1">
        <f>(_xlfn.FLOOR.MATH((C46-1)/20)+1)/2</f>
        <v>1</v>
      </c>
      <c r="K46" s="4">
        <f ca="1">IF(MOD(C46,4)=0,0,Lerp_dyy(H46,I46,J46))</f>
        <v>10</v>
      </c>
      <c r="L46" s="1">
        <f ca="1">OFFSET(控制台!$G$4617,MATCH(B46,控制台!$B$4617:$B$4629,0)-2,0)*控制台!$C$4612</f>
        <v>10</v>
      </c>
      <c r="M46" s="1">
        <f ca="1">OFFSET(控制台!$G$4617,MATCH(B46,控制台!$B$4617:$B$4629,0)-1,0)*控制台!$C$4612</f>
        <v>10</v>
      </c>
      <c r="N46" s="1">
        <v>1</v>
      </c>
      <c r="O46" s="4">
        <f ca="1">IF(MOD(C46,4)=0,Lerp_dyy(L46,M46,N46),0)</f>
        <v>0</v>
      </c>
    </row>
    <row r="47" spans="1:15">
      <c r="A47" s="1">
        <f t="shared" si="0"/>
        <v>222</v>
      </c>
      <c r="B47" s="1">
        <v>2</v>
      </c>
      <c r="C47" s="1">
        <v>22</v>
      </c>
      <c r="D47" s="1">
        <f ca="1">OFFSET(控制台!$C$4617,MATCH(B47,控制台!$B$4617:$B$4629,0)-2,0)*控制台!$C$4610</f>
        <v>15000</v>
      </c>
      <c r="E47" s="1">
        <f ca="1">OFFSET(控制台!$C$4617,MATCH(B47,控制台!$B$4617:$B$4629,0)-1,0)*控制台!$C$4610</f>
        <v>20000</v>
      </c>
      <c r="F47" s="1">
        <f>(_xlfn.FLOOR.MATH((C47-1)/8)+1)/5</f>
        <v>0.6</v>
      </c>
      <c r="G47" s="4">
        <f ca="1">Lerp_dyy(D47,E47,F47)</f>
        <v>18000</v>
      </c>
      <c r="H47" s="1">
        <f ca="1">OFFSET(控制台!$E$4617,MATCH(B47,控制台!$B$4617:$B$4629,0)-2,0)*控制台!$C$4611</f>
        <v>10</v>
      </c>
      <c r="I47" s="1">
        <f ca="1">OFFSET(控制台!$E$4617,MATCH(B47,控制台!$B$4617:$B$4629,0)-1,0)*控制台!$C$4611</f>
        <v>10</v>
      </c>
      <c r="J47" s="1">
        <f>(_xlfn.FLOOR.MATH((C47-1)/20)+1)/2</f>
        <v>1</v>
      </c>
      <c r="K47" s="4">
        <f ca="1">IF(MOD(C47,4)=0,0,Lerp_dyy(H47,I47,J47))</f>
        <v>10</v>
      </c>
      <c r="L47" s="1">
        <f ca="1">OFFSET(控制台!$G$4617,MATCH(B47,控制台!$B$4617:$B$4629,0)-2,0)*控制台!$C$4612</f>
        <v>10</v>
      </c>
      <c r="M47" s="1">
        <f ca="1">OFFSET(控制台!$G$4617,MATCH(B47,控制台!$B$4617:$B$4629,0)-1,0)*控制台!$C$4612</f>
        <v>10</v>
      </c>
      <c r="N47" s="1">
        <v>1</v>
      </c>
      <c r="O47" s="4">
        <f ca="1">IF(MOD(C47,4)=0,Lerp_dyy(L47,M47,N47),0)</f>
        <v>0</v>
      </c>
    </row>
    <row r="48" spans="1:15">
      <c r="A48" s="1">
        <f t="shared" si="0"/>
        <v>223</v>
      </c>
      <c r="B48" s="1">
        <v>2</v>
      </c>
      <c r="C48" s="1">
        <v>23</v>
      </c>
      <c r="D48" s="1">
        <f ca="1">OFFSET(控制台!$C$4617,MATCH(B48,控制台!$B$4617:$B$4629,0)-2,0)*控制台!$C$4610</f>
        <v>15000</v>
      </c>
      <c r="E48" s="1">
        <f ca="1">OFFSET(控制台!$C$4617,MATCH(B48,控制台!$B$4617:$B$4629,0)-1,0)*控制台!$C$4610</f>
        <v>20000</v>
      </c>
      <c r="F48" s="1">
        <f>(_xlfn.FLOOR.MATH((C48-1)/8)+1)/5</f>
        <v>0.6</v>
      </c>
      <c r="G48" s="4">
        <f ca="1">Lerp_dyy(D48,E48,F48)</f>
        <v>18000</v>
      </c>
      <c r="H48" s="1">
        <f ca="1">OFFSET(控制台!$E$4617,MATCH(B48,控制台!$B$4617:$B$4629,0)-2,0)*控制台!$C$4611</f>
        <v>10</v>
      </c>
      <c r="I48" s="1">
        <f ca="1">OFFSET(控制台!$E$4617,MATCH(B48,控制台!$B$4617:$B$4629,0)-1,0)*控制台!$C$4611</f>
        <v>10</v>
      </c>
      <c r="J48" s="1">
        <f>(_xlfn.FLOOR.MATH((C48-1)/20)+1)/2</f>
        <v>1</v>
      </c>
      <c r="K48" s="4">
        <f ca="1">IF(MOD(C48,4)=0,0,Lerp_dyy(H48,I48,J48))</f>
        <v>10</v>
      </c>
      <c r="L48" s="1">
        <f ca="1">OFFSET(控制台!$G$4617,MATCH(B48,控制台!$B$4617:$B$4629,0)-2,0)*控制台!$C$4612</f>
        <v>10</v>
      </c>
      <c r="M48" s="1">
        <f ca="1">OFFSET(控制台!$G$4617,MATCH(B48,控制台!$B$4617:$B$4629,0)-1,0)*控制台!$C$4612</f>
        <v>10</v>
      </c>
      <c r="N48" s="1">
        <v>1</v>
      </c>
      <c r="O48" s="4">
        <f ca="1">IF(MOD(C48,4)=0,Lerp_dyy(L48,M48,N48),0)</f>
        <v>0</v>
      </c>
    </row>
    <row r="49" spans="1:15">
      <c r="A49" s="1">
        <f t="shared" si="0"/>
        <v>224</v>
      </c>
      <c r="B49" s="1">
        <v>2</v>
      </c>
      <c r="C49" s="1">
        <v>24</v>
      </c>
      <c r="D49" s="1">
        <f ca="1">OFFSET(控制台!$C$4617,MATCH(B49,控制台!$B$4617:$B$4629,0)-2,0)*控制台!$C$4610</f>
        <v>15000</v>
      </c>
      <c r="E49" s="1">
        <f ca="1">OFFSET(控制台!$C$4617,MATCH(B49,控制台!$B$4617:$B$4629,0)-1,0)*控制台!$C$4610</f>
        <v>20000</v>
      </c>
      <c r="F49" s="1">
        <f>(_xlfn.FLOOR.MATH((C49-1)/8)+1)/5</f>
        <v>0.6</v>
      </c>
      <c r="G49" s="4">
        <f ca="1">Lerp_dyy(D49,E49,F49)</f>
        <v>18000</v>
      </c>
      <c r="H49" s="1">
        <f ca="1">OFFSET(控制台!$E$4617,MATCH(B49,控制台!$B$4617:$B$4629,0)-2,0)*控制台!$C$4611</f>
        <v>10</v>
      </c>
      <c r="I49" s="1">
        <f ca="1">OFFSET(控制台!$E$4617,MATCH(B49,控制台!$B$4617:$B$4629,0)-1,0)*控制台!$C$4611</f>
        <v>10</v>
      </c>
      <c r="J49" s="1">
        <f>(_xlfn.FLOOR.MATH((C49-1)/20)+1)/2</f>
        <v>1</v>
      </c>
      <c r="K49" s="4">
        <f ca="1">IF(MOD(C49,4)=0,0,Lerp_dyy(H49,I49,J49))</f>
        <v>0</v>
      </c>
      <c r="L49" s="1">
        <f ca="1">OFFSET(控制台!$G$4617,MATCH(B49,控制台!$B$4617:$B$4629,0)-2,0)*控制台!$C$4612</f>
        <v>10</v>
      </c>
      <c r="M49" s="1">
        <f ca="1">OFFSET(控制台!$G$4617,MATCH(B49,控制台!$B$4617:$B$4629,0)-1,0)*控制台!$C$4612</f>
        <v>10</v>
      </c>
      <c r="N49" s="1">
        <v>1</v>
      </c>
      <c r="O49" s="4">
        <f ca="1">IF(MOD(C49,4)=0,Lerp_dyy(L49,M49,N49),0)</f>
        <v>10</v>
      </c>
    </row>
    <row r="50" spans="1:15">
      <c r="A50" s="1">
        <f t="shared" si="0"/>
        <v>225</v>
      </c>
      <c r="B50" s="1">
        <v>2</v>
      </c>
      <c r="C50" s="1">
        <v>25</v>
      </c>
      <c r="D50" s="1">
        <f ca="1">OFFSET(控制台!$C$4617,MATCH(B50,控制台!$B$4617:$B$4629,0)-2,0)*控制台!$C$4610</f>
        <v>15000</v>
      </c>
      <c r="E50" s="1">
        <f ca="1">OFFSET(控制台!$C$4617,MATCH(B50,控制台!$B$4617:$B$4629,0)-1,0)*控制台!$C$4610</f>
        <v>20000</v>
      </c>
      <c r="F50" s="1">
        <f>(_xlfn.FLOOR.MATH((C50-1)/8)+1)/5</f>
        <v>0.8</v>
      </c>
      <c r="G50" s="4">
        <f ca="1">Lerp_dyy(D50,E50,F50)</f>
        <v>19000</v>
      </c>
      <c r="H50" s="1">
        <f ca="1">OFFSET(控制台!$E$4617,MATCH(B50,控制台!$B$4617:$B$4629,0)-2,0)*控制台!$C$4611</f>
        <v>10</v>
      </c>
      <c r="I50" s="1">
        <f ca="1">OFFSET(控制台!$E$4617,MATCH(B50,控制台!$B$4617:$B$4629,0)-1,0)*控制台!$C$4611</f>
        <v>10</v>
      </c>
      <c r="J50" s="1">
        <f>(_xlfn.FLOOR.MATH((C50-1)/20)+1)/2</f>
        <v>1</v>
      </c>
      <c r="K50" s="4">
        <f ca="1">IF(MOD(C50,4)=0,0,Lerp_dyy(H50,I50,J50))</f>
        <v>10</v>
      </c>
      <c r="L50" s="1">
        <f ca="1">OFFSET(控制台!$G$4617,MATCH(B50,控制台!$B$4617:$B$4629,0)-2,0)*控制台!$C$4612</f>
        <v>10</v>
      </c>
      <c r="M50" s="1">
        <f ca="1">OFFSET(控制台!$G$4617,MATCH(B50,控制台!$B$4617:$B$4629,0)-1,0)*控制台!$C$4612</f>
        <v>10</v>
      </c>
      <c r="N50" s="1">
        <v>1</v>
      </c>
      <c r="O50" s="4">
        <f ca="1">IF(MOD(C50,4)=0,Lerp_dyy(L50,M50,N50),0)</f>
        <v>0</v>
      </c>
    </row>
    <row r="51" spans="1:15">
      <c r="A51" s="1">
        <f t="shared" si="0"/>
        <v>226</v>
      </c>
      <c r="B51" s="1">
        <v>2</v>
      </c>
      <c r="C51" s="1">
        <v>26</v>
      </c>
      <c r="D51" s="1">
        <f ca="1">OFFSET(控制台!$C$4617,MATCH(B51,控制台!$B$4617:$B$4629,0)-2,0)*控制台!$C$4610</f>
        <v>15000</v>
      </c>
      <c r="E51" s="1">
        <f ca="1">OFFSET(控制台!$C$4617,MATCH(B51,控制台!$B$4617:$B$4629,0)-1,0)*控制台!$C$4610</f>
        <v>20000</v>
      </c>
      <c r="F51" s="1">
        <f>(_xlfn.FLOOR.MATH((C51-1)/8)+1)/5</f>
        <v>0.8</v>
      </c>
      <c r="G51" s="4">
        <f ca="1">Lerp_dyy(D51,E51,F51)</f>
        <v>19000</v>
      </c>
      <c r="H51" s="1">
        <f ca="1">OFFSET(控制台!$E$4617,MATCH(B51,控制台!$B$4617:$B$4629,0)-2,0)*控制台!$C$4611</f>
        <v>10</v>
      </c>
      <c r="I51" s="1">
        <f ca="1">OFFSET(控制台!$E$4617,MATCH(B51,控制台!$B$4617:$B$4629,0)-1,0)*控制台!$C$4611</f>
        <v>10</v>
      </c>
      <c r="J51" s="1">
        <f>(_xlfn.FLOOR.MATH((C51-1)/20)+1)/2</f>
        <v>1</v>
      </c>
      <c r="K51" s="4">
        <f ca="1">IF(MOD(C51,4)=0,0,Lerp_dyy(H51,I51,J51))</f>
        <v>10</v>
      </c>
      <c r="L51" s="1">
        <f ca="1">OFFSET(控制台!$G$4617,MATCH(B51,控制台!$B$4617:$B$4629,0)-2,0)*控制台!$C$4612</f>
        <v>10</v>
      </c>
      <c r="M51" s="1">
        <f ca="1">OFFSET(控制台!$G$4617,MATCH(B51,控制台!$B$4617:$B$4629,0)-1,0)*控制台!$C$4612</f>
        <v>10</v>
      </c>
      <c r="N51" s="1">
        <v>1</v>
      </c>
      <c r="O51" s="4">
        <f ca="1">IF(MOD(C51,4)=0,Lerp_dyy(L51,M51,N51),0)</f>
        <v>0</v>
      </c>
    </row>
    <row r="52" spans="1:15">
      <c r="A52" s="1">
        <f t="shared" si="0"/>
        <v>227</v>
      </c>
      <c r="B52" s="1">
        <v>2</v>
      </c>
      <c r="C52" s="1">
        <v>27</v>
      </c>
      <c r="D52" s="1">
        <f ca="1">OFFSET(控制台!$C$4617,MATCH(B52,控制台!$B$4617:$B$4629,0)-2,0)*控制台!$C$4610</f>
        <v>15000</v>
      </c>
      <c r="E52" s="1">
        <f ca="1">OFFSET(控制台!$C$4617,MATCH(B52,控制台!$B$4617:$B$4629,0)-1,0)*控制台!$C$4610</f>
        <v>20000</v>
      </c>
      <c r="F52" s="1">
        <f>(_xlfn.FLOOR.MATH((C52-1)/8)+1)/5</f>
        <v>0.8</v>
      </c>
      <c r="G52" s="4">
        <f ca="1">Lerp_dyy(D52,E52,F52)</f>
        <v>19000</v>
      </c>
      <c r="H52" s="1">
        <f ca="1">OFFSET(控制台!$E$4617,MATCH(B52,控制台!$B$4617:$B$4629,0)-2,0)*控制台!$C$4611</f>
        <v>10</v>
      </c>
      <c r="I52" s="1">
        <f ca="1">OFFSET(控制台!$E$4617,MATCH(B52,控制台!$B$4617:$B$4629,0)-1,0)*控制台!$C$4611</f>
        <v>10</v>
      </c>
      <c r="J52" s="1">
        <f>(_xlfn.FLOOR.MATH((C52-1)/20)+1)/2</f>
        <v>1</v>
      </c>
      <c r="K52" s="4">
        <f ca="1">IF(MOD(C52,4)=0,0,Lerp_dyy(H52,I52,J52))</f>
        <v>10</v>
      </c>
      <c r="L52" s="1">
        <f ca="1">OFFSET(控制台!$G$4617,MATCH(B52,控制台!$B$4617:$B$4629,0)-2,0)*控制台!$C$4612</f>
        <v>10</v>
      </c>
      <c r="M52" s="1">
        <f ca="1">OFFSET(控制台!$G$4617,MATCH(B52,控制台!$B$4617:$B$4629,0)-1,0)*控制台!$C$4612</f>
        <v>10</v>
      </c>
      <c r="N52" s="1">
        <v>1</v>
      </c>
      <c r="O52" s="4">
        <f ca="1">IF(MOD(C52,4)=0,Lerp_dyy(L52,M52,N52),0)</f>
        <v>0</v>
      </c>
    </row>
    <row r="53" spans="1:15">
      <c r="A53" s="1">
        <f t="shared" si="0"/>
        <v>228</v>
      </c>
      <c r="B53" s="1">
        <v>2</v>
      </c>
      <c r="C53" s="1">
        <v>28</v>
      </c>
      <c r="D53" s="1">
        <f ca="1">OFFSET(控制台!$C$4617,MATCH(B53,控制台!$B$4617:$B$4629,0)-2,0)*控制台!$C$4610</f>
        <v>15000</v>
      </c>
      <c r="E53" s="1">
        <f ca="1">OFFSET(控制台!$C$4617,MATCH(B53,控制台!$B$4617:$B$4629,0)-1,0)*控制台!$C$4610</f>
        <v>20000</v>
      </c>
      <c r="F53" s="1">
        <f>(_xlfn.FLOOR.MATH((C53-1)/8)+1)/5</f>
        <v>0.8</v>
      </c>
      <c r="G53" s="4">
        <f ca="1">Lerp_dyy(D53,E53,F53)</f>
        <v>19000</v>
      </c>
      <c r="H53" s="1">
        <f ca="1">OFFSET(控制台!$E$4617,MATCH(B53,控制台!$B$4617:$B$4629,0)-2,0)*控制台!$C$4611</f>
        <v>10</v>
      </c>
      <c r="I53" s="1">
        <f ca="1">OFFSET(控制台!$E$4617,MATCH(B53,控制台!$B$4617:$B$4629,0)-1,0)*控制台!$C$4611</f>
        <v>10</v>
      </c>
      <c r="J53" s="1">
        <f>(_xlfn.FLOOR.MATH((C53-1)/20)+1)/2</f>
        <v>1</v>
      </c>
      <c r="K53" s="4">
        <f ca="1">IF(MOD(C53,4)=0,0,Lerp_dyy(H53,I53,J53))</f>
        <v>0</v>
      </c>
      <c r="L53" s="1">
        <f ca="1">OFFSET(控制台!$G$4617,MATCH(B53,控制台!$B$4617:$B$4629,0)-2,0)*控制台!$C$4612</f>
        <v>10</v>
      </c>
      <c r="M53" s="1">
        <f ca="1">OFFSET(控制台!$G$4617,MATCH(B53,控制台!$B$4617:$B$4629,0)-1,0)*控制台!$C$4612</f>
        <v>10</v>
      </c>
      <c r="N53" s="1">
        <v>1</v>
      </c>
      <c r="O53" s="4">
        <f ca="1">IF(MOD(C53,4)=0,Lerp_dyy(L53,M53,N53),0)</f>
        <v>10</v>
      </c>
    </row>
    <row r="54" spans="1:15">
      <c r="A54" s="1">
        <f t="shared" si="0"/>
        <v>229</v>
      </c>
      <c r="B54" s="1">
        <v>2</v>
      </c>
      <c r="C54" s="1">
        <v>29</v>
      </c>
      <c r="D54" s="1">
        <f ca="1">OFFSET(控制台!$C$4617,MATCH(B54,控制台!$B$4617:$B$4629,0)-2,0)*控制台!$C$4610</f>
        <v>15000</v>
      </c>
      <c r="E54" s="1">
        <f ca="1">OFFSET(控制台!$C$4617,MATCH(B54,控制台!$B$4617:$B$4629,0)-1,0)*控制台!$C$4610</f>
        <v>20000</v>
      </c>
      <c r="F54" s="1">
        <f>(_xlfn.FLOOR.MATH((C54-1)/8)+1)/5</f>
        <v>0.8</v>
      </c>
      <c r="G54" s="4">
        <f ca="1">Lerp_dyy(D54,E54,F54)</f>
        <v>19000</v>
      </c>
      <c r="H54" s="1">
        <f ca="1">OFFSET(控制台!$E$4617,MATCH(B54,控制台!$B$4617:$B$4629,0)-2,0)*控制台!$C$4611</f>
        <v>10</v>
      </c>
      <c r="I54" s="1">
        <f ca="1">OFFSET(控制台!$E$4617,MATCH(B54,控制台!$B$4617:$B$4629,0)-1,0)*控制台!$C$4611</f>
        <v>10</v>
      </c>
      <c r="J54" s="1">
        <f>(_xlfn.FLOOR.MATH((C54-1)/20)+1)/2</f>
        <v>1</v>
      </c>
      <c r="K54" s="4">
        <f ca="1">IF(MOD(C54,4)=0,0,Lerp_dyy(H54,I54,J54))</f>
        <v>10</v>
      </c>
      <c r="L54" s="1">
        <f ca="1">OFFSET(控制台!$G$4617,MATCH(B54,控制台!$B$4617:$B$4629,0)-2,0)*控制台!$C$4612</f>
        <v>10</v>
      </c>
      <c r="M54" s="1">
        <f ca="1">OFFSET(控制台!$G$4617,MATCH(B54,控制台!$B$4617:$B$4629,0)-1,0)*控制台!$C$4612</f>
        <v>10</v>
      </c>
      <c r="N54" s="1">
        <v>1</v>
      </c>
      <c r="O54" s="4">
        <f ca="1">IF(MOD(C54,4)=0,Lerp_dyy(L54,M54,N54),0)</f>
        <v>0</v>
      </c>
    </row>
    <row r="55" spans="1:15">
      <c r="A55" s="1">
        <f t="shared" si="0"/>
        <v>230</v>
      </c>
      <c r="B55" s="1">
        <v>2</v>
      </c>
      <c r="C55" s="1">
        <v>30</v>
      </c>
      <c r="D55" s="1">
        <f ca="1">OFFSET(控制台!$C$4617,MATCH(B55,控制台!$B$4617:$B$4629,0)-2,0)*控制台!$C$4610</f>
        <v>15000</v>
      </c>
      <c r="E55" s="1">
        <f ca="1">OFFSET(控制台!$C$4617,MATCH(B55,控制台!$B$4617:$B$4629,0)-1,0)*控制台!$C$4610</f>
        <v>20000</v>
      </c>
      <c r="F55" s="1">
        <f>(_xlfn.FLOOR.MATH((C55-1)/8)+1)/5</f>
        <v>0.8</v>
      </c>
      <c r="G55" s="4">
        <f ca="1">Lerp_dyy(D55,E55,F55)</f>
        <v>19000</v>
      </c>
      <c r="H55" s="1">
        <f ca="1">OFFSET(控制台!$E$4617,MATCH(B55,控制台!$B$4617:$B$4629,0)-2,0)*控制台!$C$4611</f>
        <v>10</v>
      </c>
      <c r="I55" s="1">
        <f ca="1">OFFSET(控制台!$E$4617,MATCH(B55,控制台!$B$4617:$B$4629,0)-1,0)*控制台!$C$4611</f>
        <v>10</v>
      </c>
      <c r="J55" s="1">
        <f>(_xlfn.FLOOR.MATH((C55-1)/20)+1)/2</f>
        <v>1</v>
      </c>
      <c r="K55" s="4">
        <f ca="1">IF(MOD(C55,4)=0,0,Lerp_dyy(H55,I55,J55))</f>
        <v>10</v>
      </c>
      <c r="L55" s="1">
        <f ca="1">OFFSET(控制台!$G$4617,MATCH(B55,控制台!$B$4617:$B$4629,0)-2,0)*控制台!$C$4612</f>
        <v>10</v>
      </c>
      <c r="M55" s="1">
        <f ca="1">OFFSET(控制台!$G$4617,MATCH(B55,控制台!$B$4617:$B$4629,0)-1,0)*控制台!$C$4612</f>
        <v>10</v>
      </c>
      <c r="N55" s="1">
        <v>1</v>
      </c>
      <c r="O55" s="4">
        <f ca="1">IF(MOD(C55,4)=0,Lerp_dyy(L55,M55,N55),0)</f>
        <v>0</v>
      </c>
    </row>
    <row r="56" spans="1:15">
      <c r="A56" s="1">
        <f t="shared" si="0"/>
        <v>231</v>
      </c>
      <c r="B56" s="1">
        <v>2</v>
      </c>
      <c r="C56" s="1">
        <v>31</v>
      </c>
      <c r="D56" s="1">
        <f ca="1">OFFSET(控制台!$C$4617,MATCH(B56,控制台!$B$4617:$B$4629,0)-2,0)*控制台!$C$4610</f>
        <v>15000</v>
      </c>
      <c r="E56" s="1">
        <f ca="1">OFFSET(控制台!$C$4617,MATCH(B56,控制台!$B$4617:$B$4629,0)-1,0)*控制台!$C$4610</f>
        <v>20000</v>
      </c>
      <c r="F56" s="1">
        <f>(_xlfn.FLOOR.MATH((C56-1)/8)+1)/5</f>
        <v>0.8</v>
      </c>
      <c r="G56" s="4">
        <f ca="1">Lerp_dyy(D56,E56,F56)</f>
        <v>19000</v>
      </c>
      <c r="H56" s="1">
        <f ca="1">OFFSET(控制台!$E$4617,MATCH(B56,控制台!$B$4617:$B$4629,0)-2,0)*控制台!$C$4611</f>
        <v>10</v>
      </c>
      <c r="I56" s="1">
        <f ca="1">OFFSET(控制台!$E$4617,MATCH(B56,控制台!$B$4617:$B$4629,0)-1,0)*控制台!$C$4611</f>
        <v>10</v>
      </c>
      <c r="J56" s="1">
        <f>(_xlfn.FLOOR.MATH((C56-1)/20)+1)/2</f>
        <v>1</v>
      </c>
      <c r="K56" s="4">
        <f ca="1">IF(MOD(C56,4)=0,0,Lerp_dyy(H56,I56,J56))</f>
        <v>10</v>
      </c>
      <c r="L56" s="1">
        <f ca="1">OFFSET(控制台!$G$4617,MATCH(B56,控制台!$B$4617:$B$4629,0)-2,0)*控制台!$C$4612</f>
        <v>10</v>
      </c>
      <c r="M56" s="1">
        <f ca="1">OFFSET(控制台!$G$4617,MATCH(B56,控制台!$B$4617:$B$4629,0)-1,0)*控制台!$C$4612</f>
        <v>10</v>
      </c>
      <c r="N56" s="1">
        <v>1</v>
      </c>
      <c r="O56" s="4">
        <f ca="1">IF(MOD(C56,4)=0,Lerp_dyy(L56,M56,N56),0)</f>
        <v>0</v>
      </c>
    </row>
    <row r="57" spans="1:15">
      <c r="A57" s="1">
        <f t="shared" si="0"/>
        <v>232</v>
      </c>
      <c r="B57" s="1">
        <v>2</v>
      </c>
      <c r="C57" s="1">
        <v>32</v>
      </c>
      <c r="D57" s="1">
        <f ca="1">OFFSET(控制台!$C$4617,MATCH(B57,控制台!$B$4617:$B$4629,0)-2,0)*控制台!$C$4610</f>
        <v>15000</v>
      </c>
      <c r="E57" s="1">
        <f ca="1">OFFSET(控制台!$C$4617,MATCH(B57,控制台!$B$4617:$B$4629,0)-1,0)*控制台!$C$4610</f>
        <v>20000</v>
      </c>
      <c r="F57" s="1">
        <f>(_xlfn.FLOOR.MATH((C57-1)/8)+1)/5</f>
        <v>0.8</v>
      </c>
      <c r="G57" s="4">
        <f ca="1">Lerp_dyy(D57,E57,F57)</f>
        <v>19000</v>
      </c>
      <c r="H57" s="1">
        <f ca="1">OFFSET(控制台!$E$4617,MATCH(B57,控制台!$B$4617:$B$4629,0)-2,0)*控制台!$C$4611</f>
        <v>10</v>
      </c>
      <c r="I57" s="1">
        <f ca="1">OFFSET(控制台!$E$4617,MATCH(B57,控制台!$B$4617:$B$4629,0)-1,0)*控制台!$C$4611</f>
        <v>10</v>
      </c>
      <c r="J57" s="1">
        <f>(_xlfn.FLOOR.MATH((C57-1)/20)+1)/2</f>
        <v>1</v>
      </c>
      <c r="K57" s="4">
        <f ca="1">IF(MOD(C57,4)=0,0,Lerp_dyy(H57,I57,J57))</f>
        <v>0</v>
      </c>
      <c r="L57" s="1">
        <f ca="1">OFFSET(控制台!$G$4617,MATCH(B57,控制台!$B$4617:$B$4629,0)-2,0)*控制台!$C$4612</f>
        <v>10</v>
      </c>
      <c r="M57" s="1">
        <f ca="1">OFFSET(控制台!$G$4617,MATCH(B57,控制台!$B$4617:$B$4629,0)-1,0)*控制台!$C$4612</f>
        <v>10</v>
      </c>
      <c r="N57" s="1">
        <v>1</v>
      </c>
      <c r="O57" s="4">
        <f ca="1">IF(MOD(C57,4)=0,Lerp_dyy(L57,M57,N57),0)</f>
        <v>10</v>
      </c>
    </row>
    <row r="58" spans="1:15">
      <c r="A58" s="1">
        <f t="shared" si="0"/>
        <v>233</v>
      </c>
      <c r="B58" s="1">
        <v>2</v>
      </c>
      <c r="C58" s="1">
        <v>33</v>
      </c>
      <c r="D58" s="1">
        <f ca="1">OFFSET(控制台!$C$4617,MATCH(B58,控制台!$B$4617:$B$4629,0)-2,0)*控制台!$C$4610</f>
        <v>15000</v>
      </c>
      <c r="E58" s="1">
        <f ca="1">OFFSET(控制台!$C$4617,MATCH(B58,控制台!$B$4617:$B$4629,0)-1,0)*控制台!$C$4610</f>
        <v>20000</v>
      </c>
      <c r="F58" s="1">
        <f>(_xlfn.FLOOR.MATH((C58-1)/8)+1)/5</f>
        <v>1</v>
      </c>
      <c r="G58" s="4">
        <f ca="1">Lerp_dyy(D58,E58,F58)</f>
        <v>20000</v>
      </c>
      <c r="H58" s="1">
        <f ca="1">OFFSET(控制台!$E$4617,MATCH(B58,控制台!$B$4617:$B$4629,0)-2,0)*控制台!$C$4611</f>
        <v>10</v>
      </c>
      <c r="I58" s="1">
        <f ca="1">OFFSET(控制台!$E$4617,MATCH(B58,控制台!$B$4617:$B$4629,0)-1,0)*控制台!$C$4611</f>
        <v>10</v>
      </c>
      <c r="J58" s="1">
        <f>(_xlfn.FLOOR.MATH((C58-1)/20)+1)/2</f>
        <v>1</v>
      </c>
      <c r="K58" s="4">
        <f ca="1">IF(MOD(C58,4)=0,0,Lerp_dyy(H58,I58,J58))</f>
        <v>10</v>
      </c>
      <c r="L58" s="1">
        <f ca="1">OFFSET(控制台!$G$4617,MATCH(B58,控制台!$B$4617:$B$4629,0)-2,0)*控制台!$C$4612</f>
        <v>10</v>
      </c>
      <c r="M58" s="1">
        <f ca="1">OFFSET(控制台!$G$4617,MATCH(B58,控制台!$B$4617:$B$4629,0)-1,0)*控制台!$C$4612</f>
        <v>10</v>
      </c>
      <c r="N58" s="1">
        <v>1</v>
      </c>
      <c r="O58" s="4">
        <f ca="1">IF(MOD(C58,4)=0,Lerp_dyy(L58,M58,N58),0)</f>
        <v>0</v>
      </c>
    </row>
    <row r="59" spans="1:15">
      <c r="A59" s="1">
        <f t="shared" si="0"/>
        <v>234</v>
      </c>
      <c r="B59" s="1">
        <v>2</v>
      </c>
      <c r="C59" s="1">
        <v>34</v>
      </c>
      <c r="D59" s="1">
        <f ca="1">OFFSET(控制台!$C$4617,MATCH(B59,控制台!$B$4617:$B$4629,0)-2,0)*控制台!$C$4610</f>
        <v>15000</v>
      </c>
      <c r="E59" s="1">
        <f ca="1">OFFSET(控制台!$C$4617,MATCH(B59,控制台!$B$4617:$B$4629,0)-1,0)*控制台!$C$4610</f>
        <v>20000</v>
      </c>
      <c r="F59" s="1">
        <f>(_xlfn.FLOOR.MATH((C59-1)/8)+1)/5</f>
        <v>1</v>
      </c>
      <c r="G59" s="4">
        <f ca="1">Lerp_dyy(D59,E59,F59)</f>
        <v>20000</v>
      </c>
      <c r="H59" s="1">
        <f ca="1">OFFSET(控制台!$E$4617,MATCH(B59,控制台!$B$4617:$B$4629,0)-2,0)*控制台!$C$4611</f>
        <v>10</v>
      </c>
      <c r="I59" s="1">
        <f ca="1">OFFSET(控制台!$E$4617,MATCH(B59,控制台!$B$4617:$B$4629,0)-1,0)*控制台!$C$4611</f>
        <v>10</v>
      </c>
      <c r="J59" s="1">
        <f>(_xlfn.FLOOR.MATH((C59-1)/20)+1)/2</f>
        <v>1</v>
      </c>
      <c r="K59" s="4">
        <f ca="1">IF(MOD(C59,4)=0,0,Lerp_dyy(H59,I59,J59))</f>
        <v>10</v>
      </c>
      <c r="L59" s="1">
        <f ca="1">OFFSET(控制台!$G$4617,MATCH(B59,控制台!$B$4617:$B$4629,0)-2,0)*控制台!$C$4612</f>
        <v>10</v>
      </c>
      <c r="M59" s="1">
        <f ca="1">OFFSET(控制台!$G$4617,MATCH(B59,控制台!$B$4617:$B$4629,0)-1,0)*控制台!$C$4612</f>
        <v>10</v>
      </c>
      <c r="N59" s="1">
        <v>1</v>
      </c>
      <c r="O59" s="4">
        <f ca="1">IF(MOD(C59,4)=0,Lerp_dyy(L59,M59,N59),0)</f>
        <v>0</v>
      </c>
    </row>
    <row r="60" spans="1:15">
      <c r="A60" s="1">
        <f t="shared" si="0"/>
        <v>235</v>
      </c>
      <c r="B60" s="1">
        <v>2</v>
      </c>
      <c r="C60" s="1">
        <v>35</v>
      </c>
      <c r="D60" s="1">
        <f ca="1">OFFSET(控制台!$C$4617,MATCH(B60,控制台!$B$4617:$B$4629,0)-2,0)*控制台!$C$4610</f>
        <v>15000</v>
      </c>
      <c r="E60" s="1">
        <f ca="1">OFFSET(控制台!$C$4617,MATCH(B60,控制台!$B$4617:$B$4629,0)-1,0)*控制台!$C$4610</f>
        <v>20000</v>
      </c>
      <c r="F60" s="1">
        <f>(_xlfn.FLOOR.MATH((C60-1)/8)+1)/5</f>
        <v>1</v>
      </c>
      <c r="G60" s="4">
        <f ca="1">Lerp_dyy(D60,E60,F60)</f>
        <v>20000</v>
      </c>
      <c r="H60" s="1">
        <f ca="1">OFFSET(控制台!$E$4617,MATCH(B60,控制台!$B$4617:$B$4629,0)-2,0)*控制台!$C$4611</f>
        <v>10</v>
      </c>
      <c r="I60" s="1">
        <f ca="1">OFFSET(控制台!$E$4617,MATCH(B60,控制台!$B$4617:$B$4629,0)-1,0)*控制台!$C$4611</f>
        <v>10</v>
      </c>
      <c r="J60" s="1">
        <f>(_xlfn.FLOOR.MATH((C60-1)/20)+1)/2</f>
        <v>1</v>
      </c>
      <c r="K60" s="4">
        <f ca="1">IF(MOD(C60,4)=0,0,Lerp_dyy(H60,I60,J60))</f>
        <v>10</v>
      </c>
      <c r="L60" s="1">
        <f ca="1">OFFSET(控制台!$G$4617,MATCH(B60,控制台!$B$4617:$B$4629,0)-2,0)*控制台!$C$4612</f>
        <v>10</v>
      </c>
      <c r="M60" s="1">
        <f ca="1">OFFSET(控制台!$G$4617,MATCH(B60,控制台!$B$4617:$B$4629,0)-1,0)*控制台!$C$4612</f>
        <v>10</v>
      </c>
      <c r="N60" s="1">
        <v>1</v>
      </c>
      <c r="O60" s="4">
        <f ca="1">IF(MOD(C60,4)=0,Lerp_dyy(L60,M60,N60),0)</f>
        <v>0</v>
      </c>
    </row>
    <row r="61" spans="1:15">
      <c r="A61" s="1">
        <f t="shared" si="0"/>
        <v>236</v>
      </c>
      <c r="B61" s="1">
        <v>2</v>
      </c>
      <c r="C61" s="1">
        <v>36</v>
      </c>
      <c r="D61" s="1">
        <f ca="1">OFFSET(控制台!$C$4617,MATCH(B61,控制台!$B$4617:$B$4629,0)-2,0)*控制台!$C$4610</f>
        <v>15000</v>
      </c>
      <c r="E61" s="1">
        <f ca="1">OFFSET(控制台!$C$4617,MATCH(B61,控制台!$B$4617:$B$4629,0)-1,0)*控制台!$C$4610</f>
        <v>20000</v>
      </c>
      <c r="F61" s="1">
        <f>(_xlfn.FLOOR.MATH((C61-1)/8)+1)/5</f>
        <v>1</v>
      </c>
      <c r="G61" s="4">
        <f ca="1">Lerp_dyy(D61,E61,F61)</f>
        <v>20000</v>
      </c>
      <c r="H61" s="1">
        <f ca="1">OFFSET(控制台!$E$4617,MATCH(B61,控制台!$B$4617:$B$4629,0)-2,0)*控制台!$C$4611</f>
        <v>10</v>
      </c>
      <c r="I61" s="1">
        <f ca="1">OFFSET(控制台!$E$4617,MATCH(B61,控制台!$B$4617:$B$4629,0)-1,0)*控制台!$C$4611</f>
        <v>10</v>
      </c>
      <c r="J61" s="1">
        <f>(_xlfn.FLOOR.MATH((C61-1)/20)+1)/2</f>
        <v>1</v>
      </c>
      <c r="K61" s="4">
        <f ca="1">IF(MOD(C61,4)=0,0,Lerp_dyy(H61,I61,J61))</f>
        <v>0</v>
      </c>
      <c r="L61" s="1">
        <f ca="1">OFFSET(控制台!$G$4617,MATCH(B61,控制台!$B$4617:$B$4629,0)-2,0)*控制台!$C$4612</f>
        <v>10</v>
      </c>
      <c r="M61" s="1">
        <f ca="1">OFFSET(控制台!$G$4617,MATCH(B61,控制台!$B$4617:$B$4629,0)-1,0)*控制台!$C$4612</f>
        <v>10</v>
      </c>
      <c r="N61" s="1">
        <v>1</v>
      </c>
      <c r="O61" s="4">
        <f ca="1">IF(MOD(C61,4)=0,Lerp_dyy(L61,M61,N61),0)</f>
        <v>10</v>
      </c>
    </row>
    <row r="62" spans="1:15">
      <c r="A62" s="1">
        <f t="shared" si="0"/>
        <v>237</v>
      </c>
      <c r="B62" s="1">
        <v>2</v>
      </c>
      <c r="C62" s="1">
        <v>37</v>
      </c>
      <c r="D62" s="1">
        <f ca="1">OFFSET(控制台!$C$4617,MATCH(B62,控制台!$B$4617:$B$4629,0)-2,0)*控制台!$C$4610</f>
        <v>15000</v>
      </c>
      <c r="E62" s="1">
        <f ca="1">OFFSET(控制台!$C$4617,MATCH(B62,控制台!$B$4617:$B$4629,0)-1,0)*控制台!$C$4610</f>
        <v>20000</v>
      </c>
      <c r="F62" s="1">
        <f>(_xlfn.FLOOR.MATH((C62-1)/8)+1)/5</f>
        <v>1</v>
      </c>
      <c r="G62" s="4">
        <f ca="1">Lerp_dyy(D62,E62,F62)</f>
        <v>20000</v>
      </c>
      <c r="H62" s="1">
        <f ca="1">OFFSET(控制台!$E$4617,MATCH(B62,控制台!$B$4617:$B$4629,0)-2,0)*控制台!$C$4611</f>
        <v>10</v>
      </c>
      <c r="I62" s="1">
        <f ca="1">OFFSET(控制台!$E$4617,MATCH(B62,控制台!$B$4617:$B$4629,0)-1,0)*控制台!$C$4611</f>
        <v>10</v>
      </c>
      <c r="J62" s="1">
        <f>(_xlfn.FLOOR.MATH((C62-1)/20)+1)/2</f>
        <v>1</v>
      </c>
      <c r="K62" s="4">
        <f ca="1">IF(MOD(C62,4)=0,0,Lerp_dyy(H62,I62,J62))</f>
        <v>10</v>
      </c>
      <c r="L62" s="1">
        <f ca="1">OFFSET(控制台!$G$4617,MATCH(B62,控制台!$B$4617:$B$4629,0)-2,0)*控制台!$C$4612</f>
        <v>10</v>
      </c>
      <c r="M62" s="1">
        <f ca="1">OFFSET(控制台!$G$4617,MATCH(B62,控制台!$B$4617:$B$4629,0)-1,0)*控制台!$C$4612</f>
        <v>10</v>
      </c>
      <c r="N62" s="1">
        <v>1</v>
      </c>
      <c r="O62" s="4">
        <f ca="1">IF(MOD(C62,4)=0,Lerp_dyy(L62,M62,N62),0)</f>
        <v>0</v>
      </c>
    </row>
    <row r="63" spans="1:15">
      <c r="A63" s="1">
        <f t="shared" si="0"/>
        <v>238</v>
      </c>
      <c r="B63" s="1">
        <v>2</v>
      </c>
      <c r="C63" s="1">
        <v>38</v>
      </c>
      <c r="D63" s="1">
        <f ca="1">OFFSET(控制台!$C$4617,MATCH(B63,控制台!$B$4617:$B$4629,0)-2,0)*控制台!$C$4610</f>
        <v>15000</v>
      </c>
      <c r="E63" s="1">
        <f ca="1">OFFSET(控制台!$C$4617,MATCH(B63,控制台!$B$4617:$B$4629,0)-1,0)*控制台!$C$4610</f>
        <v>20000</v>
      </c>
      <c r="F63" s="1">
        <f>(_xlfn.FLOOR.MATH((C63-1)/8)+1)/5</f>
        <v>1</v>
      </c>
      <c r="G63" s="4">
        <f ca="1">Lerp_dyy(D63,E63,F63)</f>
        <v>20000</v>
      </c>
      <c r="H63" s="1">
        <f ca="1">OFFSET(控制台!$E$4617,MATCH(B63,控制台!$B$4617:$B$4629,0)-2,0)*控制台!$C$4611</f>
        <v>10</v>
      </c>
      <c r="I63" s="1">
        <f ca="1">OFFSET(控制台!$E$4617,MATCH(B63,控制台!$B$4617:$B$4629,0)-1,0)*控制台!$C$4611</f>
        <v>10</v>
      </c>
      <c r="J63" s="1">
        <f>(_xlfn.FLOOR.MATH((C63-1)/20)+1)/2</f>
        <v>1</v>
      </c>
      <c r="K63" s="4">
        <f ca="1">IF(MOD(C63,4)=0,0,Lerp_dyy(H63,I63,J63))</f>
        <v>10</v>
      </c>
      <c r="L63" s="1">
        <f ca="1">OFFSET(控制台!$G$4617,MATCH(B63,控制台!$B$4617:$B$4629,0)-2,0)*控制台!$C$4612</f>
        <v>10</v>
      </c>
      <c r="M63" s="1">
        <f ca="1">OFFSET(控制台!$G$4617,MATCH(B63,控制台!$B$4617:$B$4629,0)-1,0)*控制台!$C$4612</f>
        <v>10</v>
      </c>
      <c r="N63" s="1">
        <v>1</v>
      </c>
      <c r="O63" s="4">
        <f ca="1">IF(MOD(C63,4)=0,Lerp_dyy(L63,M63,N63),0)</f>
        <v>0</v>
      </c>
    </row>
    <row r="64" spans="1:15">
      <c r="A64" s="1">
        <f t="shared" si="0"/>
        <v>239</v>
      </c>
      <c r="B64" s="1">
        <v>2</v>
      </c>
      <c r="C64" s="1">
        <v>39</v>
      </c>
      <c r="D64" s="1">
        <f ca="1">OFFSET(控制台!$C$4617,MATCH(B64,控制台!$B$4617:$B$4629,0)-2,0)*控制台!$C$4610</f>
        <v>15000</v>
      </c>
      <c r="E64" s="1">
        <f ca="1">OFFSET(控制台!$C$4617,MATCH(B64,控制台!$B$4617:$B$4629,0)-1,0)*控制台!$C$4610</f>
        <v>20000</v>
      </c>
      <c r="F64" s="1">
        <f>(_xlfn.FLOOR.MATH((C64-1)/8)+1)/5</f>
        <v>1</v>
      </c>
      <c r="G64" s="4">
        <f ca="1">Lerp_dyy(D64,E64,F64)</f>
        <v>20000</v>
      </c>
      <c r="H64" s="1">
        <f ca="1">OFFSET(控制台!$E$4617,MATCH(B64,控制台!$B$4617:$B$4629,0)-2,0)*控制台!$C$4611</f>
        <v>10</v>
      </c>
      <c r="I64" s="1">
        <f ca="1">OFFSET(控制台!$E$4617,MATCH(B64,控制台!$B$4617:$B$4629,0)-1,0)*控制台!$C$4611</f>
        <v>10</v>
      </c>
      <c r="J64" s="1">
        <f>(_xlfn.FLOOR.MATH((C64-1)/20)+1)/2</f>
        <v>1</v>
      </c>
      <c r="K64" s="4">
        <f ca="1">IF(MOD(C64,4)=0,0,Lerp_dyy(H64,I64,J64))</f>
        <v>10</v>
      </c>
      <c r="L64" s="1">
        <f ca="1">OFFSET(控制台!$G$4617,MATCH(B64,控制台!$B$4617:$B$4629,0)-2,0)*控制台!$C$4612</f>
        <v>10</v>
      </c>
      <c r="M64" s="1">
        <f ca="1">OFFSET(控制台!$G$4617,MATCH(B64,控制台!$B$4617:$B$4629,0)-1,0)*控制台!$C$4612</f>
        <v>10</v>
      </c>
      <c r="N64" s="1">
        <v>1</v>
      </c>
      <c r="O64" s="4">
        <f ca="1">IF(MOD(C64,4)=0,Lerp_dyy(L64,M64,N64),0)</f>
        <v>0</v>
      </c>
    </row>
    <row r="65" spans="1:15">
      <c r="A65" s="1">
        <f t="shared" si="0"/>
        <v>240</v>
      </c>
      <c r="B65" s="1">
        <v>2</v>
      </c>
      <c r="C65" s="1">
        <v>40</v>
      </c>
      <c r="D65" s="1">
        <f ca="1">OFFSET(控制台!$C$4617,MATCH(B65,控制台!$B$4617:$B$4629,0)-2,0)*控制台!$C$4610</f>
        <v>15000</v>
      </c>
      <c r="E65" s="1">
        <f ca="1">OFFSET(控制台!$C$4617,MATCH(B65,控制台!$B$4617:$B$4629,0)-1,0)*控制台!$C$4610</f>
        <v>20000</v>
      </c>
      <c r="F65" s="1">
        <f>(_xlfn.FLOOR.MATH((C65-1)/8)+1)/5</f>
        <v>1</v>
      </c>
      <c r="G65" s="4">
        <f ca="1">Lerp_dyy(D65,E65,F65)</f>
        <v>20000</v>
      </c>
      <c r="H65" s="1">
        <f ca="1">OFFSET(控制台!$E$4617,MATCH(B65,控制台!$B$4617:$B$4629,0)-2,0)*控制台!$C$4611</f>
        <v>10</v>
      </c>
      <c r="I65" s="1">
        <f ca="1">OFFSET(控制台!$E$4617,MATCH(B65,控制台!$B$4617:$B$4629,0)-1,0)*控制台!$C$4611</f>
        <v>10</v>
      </c>
      <c r="J65" s="1">
        <f>(_xlfn.FLOOR.MATH((C65-1)/20)+1)/2</f>
        <v>1</v>
      </c>
      <c r="K65" s="4">
        <f ca="1">IF(MOD(C65,4)=0,0,Lerp_dyy(H65,I65,J65))</f>
        <v>0</v>
      </c>
      <c r="L65" s="1">
        <f ca="1">OFFSET(控制台!$G$4617,MATCH(B65,控制台!$B$4617:$B$4629,0)-2,0)*控制台!$C$4612</f>
        <v>10</v>
      </c>
      <c r="M65" s="1">
        <f ca="1">OFFSET(控制台!$G$4617,MATCH(B65,控制台!$B$4617:$B$4629,0)-1,0)*控制台!$C$4612</f>
        <v>10</v>
      </c>
      <c r="N65" s="1">
        <v>1</v>
      </c>
      <c r="O65" s="4">
        <f ca="1">IF(MOD(C65,4)=0,Lerp_dyy(L65,M65,N65),0)</f>
        <v>10</v>
      </c>
    </row>
    <row r="66" spans="1:15">
      <c r="A66" s="1">
        <f t="shared" si="0"/>
        <v>301</v>
      </c>
      <c r="B66" s="1">
        <v>3</v>
      </c>
      <c r="C66" s="1">
        <v>1</v>
      </c>
      <c r="D66" s="1">
        <f ca="1">OFFSET(控制台!$C$4617,MATCH(B66,控制台!$B$4617:$B$4629,0)-2,0)*控制台!$C$4610</f>
        <v>20000</v>
      </c>
      <c r="E66" s="1">
        <f ca="1">OFFSET(控制台!$C$4617,MATCH(B66,控制台!$B$4617:$B$4629,0)-1,0)*控制台!$C$4610</f>
        <v>25000</v>
      </c>
      <c r="F66" s="1">
        <f>(_xlfn.FLOOR.MATH((C66-1)/8)+1)/5</f>
        <v>0.2</v>
      </c>
      <c r="G66" s="4">
        <f ca="1">Lerp_dyy(D66,E66,F66)</f>
        <v>21000</v>
      </c>
      <c r="H66" s="1">
        <f ca="1">OFFSET(控制台!$E$4617,MATCH(B66,控制台!$B$4617:$B$4629,0)-2,0)*控制台!$C$4611</f>
        <v>10</v>
      </c>
      <c r="I66" s="1">
        <f ca="1">OFFSET(控制台!$E$4617,MATCH(B66,控制台!$B$4617:$B$4629,0)-1,0)*控制台!$C$4611</f>
        <v>20</v>
      </c>
      <c r="J66" s="1">
        <f>(_xlfn.FLOOR.MATH((C66-1)/20)+1)/2</f>
        <v>0.5</v>
      </c>
      <c r="K66" s="4">
        <f ca="1">IF(MOD(C66,4)=0,0,Lerp_dyy(H66,I66,J66))</f>
        <v>15</v>
      </c>
      <c r="L66" s="1">
        <f ca="1">OFFSET(控制台!$G$4617,MATCH(B66,控制台!$B$4617:$B$4629,0)-2,0)*控制台!$C$4612</f>
        <v>10</v>
      </c>
      <c r="M66" s="1">
        <f ca="1">OFFSET(控制台!$G$4617,MATCH(B66,控制台!$B$4617:$B$4629,0)-1,0)*控制台!$C$4612</f>
        <v>12</v>
      </c>
      <c r="N66" s="1">
        <v>1</v>
      </c>
      <c r="O66" s="4">
        <f ca="1">IF(MOD(C66,4)=0,Lerp_dyy(L66,M66,N66),0)</f>
        <v>0</v>
      </c>
    </row>
    <row r="67" spans="1:15">
      <c r="A67" s="1">
        <f t="shared" si="0"/>
        <v>302</v>
      </c>
      <c r="B67" s="1">
        <v>3</v>
      </c>
      <c r="C67" s="1">
        <v>2</v>
      </c>
      <c r="D67" s="1">
        <f ca="1">OFFSET(控制台!$C$4617,MATCH(B67,控制台!$B$4617:$B$4629,0)-2,0)*控制台!$C$4610</f>
        <v>20000</v>
      </c>
      <c r="E67" s="1">
        <f ca="1">OFFSET(控制台!$C$4617,MATCH(B67,控制台!$B$4617:$B$4629,0)-1,0)*控制台!$C$4610</f>
        <v>25000</v>
      </c>
      <c r="F67" s="1">
        <f>(_xlfn.FLOOR.MATH((C67-1)/8)+1)/5</f>
        <v>0.2</v>
      </c>
      <c r="G67" s="4">
        <f ca="1">Lerp_dyy(D67,E67,F67)</f>
        <v>21000</v>
      </c>
      <c r="H67" s="1">
        <f ca="1">OFFSET(控制台!$E$4617,MATCH(B67,控制台!$B$4617:$B$4629,0)-2,0)*控制台!$C$4611</f>
        <v>10</v>
      </c>
      <c r="I67" s="1">
        <f ca="1">OFFSET(控制台!$E$4617,MATCH(B67,控制台!$B$4617:$B$4629,0)-1,0)*控制台!$C$4611</f>
        <v>20</v>
      </c>
      <c r="J67" s="1">
        <f>(_xlfn.FLOOR.MATH((C67-1)/20)+1)/2</f>
        <v>0.5</v>
      </c>
      <c r="K67" s="4">
        <f ca="1">IF(MOD(C67,4)=0,0,Lerp_dyy(H67,I67,J67))</f>
        <v>15</v>
      </c>
      <c r="L67" s="1">
        <f ca="1">OFFSET(控制台!$G$4617,MATCH(B67,控制台!$B$4617:$B$4629,0)-2,0)*控制台!$C$4612</f>
        <v>10</v>
      </c>
      <c r="M67" s="1">
        <f ca="1">OFFSET(控制台!$G$4617,MATCH(B67,控制台!$B$4617:$B$4629,0)-1,0)*控制台!$C$4612</f>
        <v>12</v>
      </c>
      <c r="N67" s="1">
        <v>1</v>
      </c>
      <c r="O67" s="4">
        <f ca="1">IF(MOD(C67,4)=0,Lerp_dyy(L67,M67,N67),0)</f>
        <v>0</v>
      </c>
    </row>
    <row r="68" spans="1:15">
      <c r="A68" s="1">
        <f t="shared" si="0"/>
        <v>303</v>
      </c>
      <c r="B68" s="1">
        <v>3</v>
      </c>
      <c r="C68" s="1">
        <v>3</v>
      </c>
      <c r="D68" s="1">
        <f ca="1">OFFSET(控制台!$C$4617,MATCH(B68,控制台!$B$4617:$B$4629,0)-2,0)*控制台!$C$4610</f>
        <v>20000</v>
      </c>
      <c r="E68" s="1">
        <f ca="1">OFFSET(控制台!$C$4617,MATCH(B68,控制台!$B$4617:$B$4629,0)-1,0)*控制台!$C$4610</f>
        <v>25000</v>
      </c>
      <c r="F68" s="1">
        <f>(_xlfn.FLOOR.MATH((C68-1)/8)+1)/5</f>
        <v>0.2</v>
      </c>
      <c r="G68" s="4">
        <f ca="1">Lerp_dyy(D68,E68,F68)</f>
        <v>21000</v>
      </c>
      <c r="H68" s="1">
        <f ca="1">OFFSET(控制台!$E$4617,MATCH(B68,控制台!$B$4617:$B$4629,0)-2,0)*控制台!$C$4611</f>
        <v>10</v>
      </c>
      <c r="I68" s="1">
        <f ca="1">OFFSET(控制台!$E$4617,MATCH(B68,控制台!$B$4617:$B$4629,0)-1,0)*控制台!$C$4611</f>
        <v>20</v>
      </c>
      <c r="J68" s="1">
        <f>(_xlfn.FLOOR.MATH((C68-1)/20)+1)/2</f>
        <v>0.5</v>
      </c>
      <c r="K68" s="4">
        <f ca="1">IF(MOD(C68,4)=0,0,Lerp_dyy(H68,I68,J68))</f>
        <v>15</v>
      </c>
      <c r="L68" s="1">
        <f ca="1">OFFSET(控制台!$G$4617,MATCH(B68,控制台!$B$4617:$B$4629,0)-2,0)*控制台!$C$4612</f>
        <v>10</v>
      </c>
      <c r="M68" s="1">
        <f ca="1">OFFSET(控制台!$G$4617,MATCH(B68,控制台!$B$4617:$B$4629,0)-1,0)*控制台!$C$4612</f>
        <v>12</v>
      </c>
      <c r="N68" s="1">
        <v>1</v>
      </c>
      <c r="O68" s="4">
        <f ca="1">IF(MOD(C68,4)=0,Lerp_dyy(L68,M68,N68),0)</f>
        <v>0</v>
      </c>
    </row>
    <row r="69" spans="1:15">
      <c r="A69" s="1">
        <f t="shared" si="0"/>
        <v>304</v>
      </c>
      <c r="B69" s="1">
        <v>3</v>
      </c>
      <c r="C69" s="1">
        <v>4</v>
      </c>
      <c r="D69" s="1">
        <f ca="1">OFFSET(控制台!$C$4617,MATCH(B69,控制台!$B$4617:$B$4629,0)-2,0)*控制台!$C$4610</f>
        <v>20000</v>
      </c>
      <c r="E69" s="1">
        <f ca="1">OFFSET(控制台!$C$4617,MATCH(B69,控制台!$B$4617:$B$4629,0)-1,0)*控制台!$C$4610</f>
        <v>25000</v>
      </c>
      <c r="F69" s="1">
        <f>(_xlfn.FLOOR.MATH((C69-1)/8)+1)/5</f>
        <v>0.2</v>
      </c>
      <c r="G69" s="4">
        <f ca="1">Lerp_dyy(D69,E69,F69)</f>
        <v>21000</v>
      </c>
      <c r="H69" s="1">
        <f ca="1">OFFSET(控制台!$E$4617,MATCH(B69,控制台!$B$4617:$B$4629,0)-2,0)*控制台!$C$4611</f>
        <v>10</v>
      </c>
      <c r="I69" s="1">
        <f ca="1">OFFSET(控制台!$E$4617,MATCH(B69,控制台!$B$4617:$B$4629,0)-1,0)*控制台!$C$4611</f>
        <v>20</v>
      </c>
      <c r="J69" s="1">
        <f>(_xlfn.FLOOR.MATH((C69-1)/20)+1)/2</f>
        <v>0.5</v>
      </c>
      <c r="K69" s="4">
        <f ca="1">IF(MOD(C69,4)=0,0,Lerp_dyy(H69,I69,J69))</f>
        <v>0</v>
      </c>
      <c r="L69" s="1">
        <f ca="1">OFFSET(控制台!$G$4617,MATCH(B69,控制台!$B$4617:$B$4629,0)-2,0)*控制台!$C$4612</f>
        <v>10</v>
      </c>
      <c r="M69" s="1">
        <f ca="1">OFFSET(控制台!$G$4617,MATCH(B69,控制台!$B$4617:$B$4629,0)-1,0)*控制台!$C$4612</f>
        <v>12</v>
      </c>
      <c r="N69" s="1">
        <v>1</v>
      </c>
      <c r="O69" s="4">
        <f ca="1">IF(MOD(C69,4)=0,Lerp_dyy(L69,M69,N69),0)</f>
        <v>12</v>
      </c>
    </row>
    <row r="70" spans="1:15">
      <c r="A70" s="1">
        <f t="shared" si="0"/>
        <v>305</v>
      </c>
      <c r="B70" s="1">
        <v>3</v>
      </c>
      <c r="C70" s="1">
        <v>5</v>
      </c>
      <c r="D70" s="1">
        <f ca="1">OFFSET(控制台!$C$4617,MATCH(B70,控制台!$B$4617:$B$4629,0)-2,0)*控制台!$C$4610</f>
        <v>20000</v>
      </c>
      <c r="E70" s="1">
        <f ca="1">OFFSET(控制台!$C$4617,MATCH(B70,控制台!$B$4617:$B$4629,0)-1,0)*控制台!$C$4610</f>
        <v>25000</v>
      </c>
      <c r="F70" s="1">
        <f>(_xlfn.FLOOR.MATH((C70-1)/8)+1)/5</f>
        <v>0.2</v>
      </c>
      <c r="G70" s="4">
        <f ca="1">Lerp_dyy(D70,E70,F70)</f>
        <v>21000</v>
      </c>
      <c r="H70" s="1">
        <f ca="1">OFFSET(控制台!$E$4617,MATCH(B70,控制台!$B$4617:$B$4629,0)-2,0)*控制台!$C$4611</f>
        <v>10</v>
      </c>
      <c r="I70" s="1">
        <f ca="1">OFFSET(控制台!$E$4617,MATCH(B70,控制台!$B$4617:$B$4629,0)-1,0)*控制台!$C$4611</f>
        <v>20</v>
      </c>
      <c r="J70" s="1">
        <f>(_xlfn.FLOOR.MATH((C70-1)/20)+1)/2</f>
        <v>0.5</v>
      </c>
      <c r="K70" s="4">
        <f ca="1">IF(MOD(C70,4)=0,0,Lerp_dyy(H70,I70,J70))</f>
        <v>15</v>
      </c>
      <c r="L70" s="1">
        <f ca="1">OFFSET(控制台!$G$4617,MATCH(B70,控制台!$B$4617:$B$4629,0)-2,0)*控制台!$C$4612</f>
        <v>10</v>
      </c>
      <c r="M70" s="1">
        <f ca="1">OFFSET(控制台!$G$4617,MATCH(B70,控制台!$B$4617:$B$4629,0)-1,0)*控制台!$C$4612</f>
        <v>12</v>
      </c>
      <c r="N70" s="1">
        <v>1</v>
      </c>
      <c r="O70" s="4">
        <f ca="1">IF(MOD(C70,4)=0,Lerp_dyy(L70,M70,N70),0)</f>
        <v>0</v>
      </c>
    </row>
    <row r="71" spans="1:15">
      <c r="A71" s="1">
        <f t="shared" si="0"/>
        <v>306</v>
      </c>
      <c r="B71" s="1">
        <v>3</v>
      </c>
      <c r="C71" s="1">
        <v>6</v>
      </c>
      <c r="D71" s="1">
        <f ca="1">OFFSET(控制台!$C$4617,MATCH(B71,控制台!$B$4617:$B$4629,0)-2,0)*控制台!$C$4610</f>
        <v>20000</v>
      </c>
      <c r="E71" s="1">
        <f ca="1">OFFSET(控制台!$C$4617,MATCH(B71,控制台!$B$4617:$B$4629,0)-1,0)*控制台!$C$4610</f>
        <v>25000</v>
      </c>
      <c r="F71" s="1">
        <f>(_xlfn.FLOOR.MATH((C71-1)/8)+1)/5</f>
        <v>0.2</v>
      </c>
      <c r="G71" s="4">
        <f ca="1">Lerp_dyy(D71,E71,F71)</f>
        <v>21000</v>
      </c>
      <c r="H71" s="1">
        <f ca="1">OFFSET(控制台!$E$4617,MATCH(B71,控制台!$B$4617:$B$4629,0)-2,0)*控制台!$C$4611</f>
        <v>10</v>
      </c>
      <c r="I71" s="1">
        <f ca="1">OFFSET(控制台!$E$4617,MATCH(B71,控制台!$B$4617:$B$4629,0)-1,0)*控制台!$C$4611</f>
        <v>20</v>
      </c>
      <c r="J71" s="1">
        <f>(_xlfn.FLOOR.MATH((C71-1)/20)+1)/2</f>
        <v>0.5</v>
      </c>
      <c r="K71" s="4">
        <f ca="1">IF(MOD(C71,4)=0,0,Lerp_dyy(H71,I71,J71))</f>
        <v>15</v>
      </c>
      <c r="L71" s="1">
        <f ca="1">OFFSET(控制台!$G$4617,MATCH(B71,控制台!$B$4617:$B$4629,0)-2,0)*控制台!$C$4612</f>
        <v>10</v>
      </c>
      <c r="M71" s="1">
        <f ca="1">OFFSET(控制台!$G$4617,MATCH(B71,控制台!$B$4617:$B$4629,0)-1,0)*控制台!$C$4612</f>
        <v>12</v>
      </c>
      <c r="N71" s="1">
        <v>1</v>
      </c>
      <c r="O71" s="4">
        <f ca="1">IF(MOD(C71,4)=0,Lerp_dyy(L71,M71,N71),0)</f>
        <v>0</v>
      </c>
    </row>
    <row r="72" spans="1:15">
      <c r="A72" s="1">
        <f t="shared" si="0"/>
        <v>307</v>
      </c>
      <c r="B72" s="1">
        <v>3</v>
      </c>
      <c r="C72" s="1">
        <v>7</v>
      </c>
      <c r="D72" s="1">
        <f ca="1">OFFSET(控制台!$C$4617,MATCH(B72,控制台!$B$4617:$B$4629,0)-2,0)*控制台!$C$4610</f>
        <v>20000</v>
      </c>
      <c r="E72" s="1">
        <f ca="1">OFFSET(控制台!$C$4617,MATCH(B72,控制台!$B$4617:$B$4629,0)-1,0)*控制台!$C$4610</f>
        <v>25000</v>
      </c>
      <c r="F72" s="1">
        <f>(_xlfn.FLOOR.MATH((C72-1)/8)+1)/5</f>
        <v>0.2</v>
      </c>
      <c r="G72" s="4">
        <f ca="1">Lerp_dyy(D72,E72,F72)</f>
        <v>21000</v>
      </c>
      <c r="H72" s="1">
        <f ca="1">OFFSET(控制台!$E$4617,MATCH(B72,控制台!$B$4617:$B$4629,0)-2,0)*控制台!$C$4611</f>
        <v>10</v>
      </c>
      <c r="I72" s="1">
        <f ca="1">OFFSET(控制台!$E$4617,MATCH(B72,控制台!$B$4617:$B$4629,0)-1,0)*控制台!$C$4611</f>
        <v>20</v>
      </c>
      <c r="J72" s="1">
        <f>(_xlfn.FLOOR.MATH((C72-1)/20)+1)/2</f>
        <v>0.5</v>
      </c>
      <c r="K72" s="4">
        <f ca="1">IF(MOD(C72,4)=0,0,Lerp_dyy(H72,I72,J72))</f>
        <v>15</v>
      </c>
      <c r="L72" s="1">
        <f ca="1">OFFSET(控制台!$G$4617,MATCH(B72,控制台!$B$4617:$B$4629,0)-2,0)*控制台!$C$4612</f>
        <v>10</v>
      </c>
      <c r="M72" s="1">
        <f ca="1">OFFSET(控制台!$G$4617,MATCH(B72,控制台!$B$4617:$B$4629,0)-1,0)*控制台!$C$4612</f>
        <v>12</v>
      </c>
      <c r="N72" s="1">
        <v>1</v>
      </c>
      <c r="O72" s="4">
        <f ca="1">IF(MOD(C72,4)=0,Lerp_dyy(L72,M72,N72),0)</f>
        <v>0</v>
      </c>
    </row>
    <row r="73" spans="1:15">
      <c r="A73" s="1">
        <f t="shared" si="0"/>
        <v>308</v>
      </c>
      <c r="B73" s="1">
        <v>3</v>
      </c>
      <c r="C73" s="1">
        <v>8</v>
      </c>
      <c r="D73" s="1">
        <f ca="1">OFFSET(控制台!$C$4617,MATCH(B73,控制台!$B$4617:$B$4629,0)-2,0)*控制台!$C$4610</f>
        <v>20000</v>
      </c>
      <c r="E73" s="1">
        <f ca="1">OFFSET(控制台!$C$4617,MATCH(B73,控制台!$B$4617:$B$4629,0)-1,0)*控制台!$C$4610</f>
        <v>25000</v>
      </c>
      <c r="F73" s="1">
        <f>(_xlfn.FLOOR.MATH((C73-1)/8)+1)/5</f>
        <v>0.2</v>
      </c>
      <c r="G73" s="4">
        <f ca="1">Lerp_dyy(D73,E73,F73)</f>
        <v>21000</v>
      </c>
      <c r="H73" s="1">
        <f ca="1">OFFSET(控制台!$E$4617,MATCH(B73,控制台!$B$4617:$B$4629,0)-2,0)*控制台!$C$4611</f>
        <v>10</v>
      </c>
      <c r="I73" s="1">
        <f ca="1">OFFSET(控制台!$E$4617,MATCH(B73,控制台!$B$4617:$B$4629,0)-1,0)*控制台!$C$4611</f>
        <v>20</v>
      </c>
      <c r="J73" s="1">
        <f>(_xlfn.FLOOR.MATH((C73-1)/20)+1)/2</f>
        <v>0.5</v>
      </c>
      <c r="K73" s="4">
        <f ca="1">IF(MOD(C73,4)=0,0,Lerp_dyy(H73,I73,J73))</f>
        <v>0</v>
      </c>
      <c r="L73" s="1">
        <f ca="1">OFFSET(控制台!$G$4617,MATCH(B73,控制台!$B$4617:$B$4629,0)-2,0)*控制台!$C$4612</f>
        <v>10</v>
      </c>
      <c r="M73" s="1">
        <f ca="1">OFFSET(控制台!$G$4617,MATCH(B73,控制台!$B$4617:$B$4629,0)-1,0)*控制台!$C$4612</f>
        <v>12</v>
      </c>
      <c r="N73" s="1">
        <v>1</v>
      </c>
      <c r="O73" s="4">
        <f ca="1">IF(MOD(C73,4)=0,Lerp_dyy(L73,M73,N73),0)</f>
        <v>12</v>
      </c>
    </row>
    <row r="74" spans="1:15">
      <c r="A74" s="1">
        <f t="shared" si="0"/>
        <v>309</v>
      </c>
      <c r="B74" s="1">
        <v>3</v>
      </c>
      <c r="C74" s="1">
        <v>9</v>
      </c>
      <c r="D74" s="1">
        <f ca="1">OFFSET(控制台!$C$4617,MATCH(B74,控制台!$B$4617:$B$4629,0)-2,0)*控制台!$C$4610</f>
        <v>20000</v>
      </c>
      <c r="E74" s="1">
        <f ca="1">OFFSET(控制台!$C$4617,MATCH(B74,控制台!$B$4617:$B$4629,0)-1,0)*控制台!$C$4610</f>
        <v>25000</v>
      </c>
      <c r="F74" s="1">
        <f>(_xlfn.FLOOR.MATH((C74-1)/8)+1)/5</f>
        <v>0.4</v>
      </c>
      <c r="G74" s="4">
        <f ca="1">Lerp_dyy(D74,E74,F74)</f>
        <v>22000</v>
      </c>
      <c r="H74" s="1">
        <f ca="1">OFFSET(控制台!$E$4617,MATCH(B74,控制台!$B$4617:$B$4629,0)-2,0)*控制台!$C$4611</f>
        <v>10</v>
      </c>
      <c r="I74" s="1">
        <f ca="1">OFFSET(控制台!$E$4617,MATCH(B74,控制台!$B$4617:$B$4629,0)-1,0)*控制台!$C$4611</f>
        <v>20</v>
      </c>
      <c r="J74" s="1">
        <f>(_xlfn.FLOOR.MATH((C74-1)/20)+1)/2</f>
        <v>0.5</v>
      </c>
      <c r="K74" s="4">
        <f ca="1">IF(MOD(C74,4)=0,0,Lerp_dyy(H74,I74,J74))</f>
        <v>15</v>
      </c>
      <c r="L74" s="1">
        <f ca="1">OFFSET(控制台!$G$4617,MATCH(B74,控制台!$B$4617:$B$4629,0)-2,0)*控制台!$C$4612</f>
        <v>10</v>
      </c>
      <c r="M74" s="1">
        <f ca="1">OFFSET(控制台!$G$4617,MATCH(B74,控制台!$B$4617:$B$4629,0)-1,0)*控制台!$C$4612</f>
        <v>12</v>
      </c>
      <c r="N74" s="1">
        <v>1</v>
      </c>
      <c r="O74" s="4">
        <f ca="1">IF(MOD(C74,4)=0,Lerp_dyy(L74,M74,N74),0)</f>
        <v>0</v>
      </c>
    </row>
    <row r="75" spans="1:15">
      <c r="A75" s="1">
        <f t="shared" si="0"/>
        <v>310</v>
      </c>
      <c r="B75" s="1">
        <v>3</v>
      </c>
      <c r="C75" s="1">
        <v>10</v>
      </c>
      <c r="D75" s="1">
        <f ca="1">OFFSET(控制台!$C$4617,MATCH(B75,控制台!$B$4617:$B$4629,0)-2,0)*控制台!$C$4610</f>
        <v>20000</v>
      </c>
      <c r="E75" s="1">
        <f ca="1">OFFSET(控制台!$C$4617,MATCH(B75,控制台!$B$4617:$B$4629,0)-1,0)*控制台!$C$4610</f>
        <v>25000</v>
      </c>
      <c r="F75" s="1">
        <f>(_xlfn.FLOOR.MATH((C75-1)/8)+1)/5</f>
        <v>0.4</v>
      </c>
      <c r="G75" s="4">
        <f ca="1">Lerp_dyy(D75,E75,F75)</f>
        <v>22000</v>
      </c>
      <c r="H75" s="1">
        <f ca="1">OFFSET(控制台!$E$4617,MATCH(B75,控制台!$B$4617:$B$4629,0)-2,0)*控制台!$C$4611</f>
        <v>10</v>
      </c>
      <c r="I75" s="1">
        <f ca="1">OFFSET(控制台!$E$4617,MATCH(B75,控制台!$B$4617:$B$4629,0)-1,0)*控制台!$C$4611</f>
        <v>20</v>
      </c>
      <c r="J75" s="1">
        <f>(_xlfn.FLOOR.MATH((C75-1)/20)+1)/2</f>
        <v>0.5</v>
      </c>
      <c r="K75" s="4">
        <f ca="1">IF(MOD(C75,4)=0,0,Lerp_dyy(H75,I75,J75))</f>
        <v>15</v>
      </c>
      <c r="L75" s="1">
        <f ca="1">OFFSET(控制台!$G$4617,MATCH(B75,控制台!$B$4617:$B$4629,0)-2,0)*控制台!$C$4612</f>
        <v>10</v>
      </c>
      <c r="M75" s="1">
        <f ca="1">OFFSET(控制台!$G$4617,MATCH(B75,控制台!$B$4617:$B$4629,0)-1,0)*控制台!$C$4612</f>
        <v>12</v>
      </c>
      <c r="N75" s="1">
        <v>1</v>
      </c>
      <c r="O75" s="4">
        <f ca="1">IF(MOD(C75,4)=0,Lerp_dyy(L75,M75,N75),0)</f>
        <v>0</v>
      </c>
    </row>
    <row r="76" spans="1:15">
      <c r="A76" s="1">
        <f t="shared" si="0"/>
        <v>311</v>
      </c>
      <c r="B76" s="1">
        <v>3</v>
      </c>
      <c r="C76" s="1">
        <v>11</v>
      </c>
      <c r="D76" s="1">
        <f ca="1">OFFSET(控制台!$C$4617,MATCH(B76,控制台!$B$4617:$B$4629,0)-2,0)*控制台!$C$4610</f>
        <v>20000</v>
      </c>
      <c r="E76" s="1">
        <f ca="1">OFFSET(控制台!$C$4617,MATCH(B76,控制台!$B$4617:$B$4629,0)-1,0)*控制台!$C$4610</f>
        <v>25000</v>
      </c>
      <c r="F76" s="1">
        <f>(_xlfn.FLOOR.MATH((C76-1)/8)+1)/5</f>
        <v>0.4</v>
      </c>
      <c r="G76" s="4">
        <f ca="1">Lerp_dyy(D76,E76,F76)</f>
        <v>22000</v>
      </c>
      <c r="H76" s="1">
        <f ca="1">OFFSET(控制台!$E$4617,MATCH(B76,控制台!$B$4617:$B$4629,0)-2,0)*控制台!$C$4611</f>
        <v>10</v>
      </c>
      <c r="I76" s="1">
        <f ca="1">OFFSET(控制台!$E$4617,MATCH(B76,控制台!$B$4617:$B$4629,0)-1,0)*控制台!$C$4611</f>
        <v>20</v>
      </c>
      <c r="J76" s="1">
        <f>(_xlfn.FLOOR.MATH((C76-1)/20)+1)/2</f>
        <v>0.5</v>
      </c>
      <c r="K76" s="4">
        <f ca="1">IF(MOD(C76,4)=0,0,Lerp_dyy(H76,I76,J76))</f>
        <v>15</v>
      </c>
      <c r="L76" s="1">
        <f ca="1">OFFSET(控制台!$G$4617,MATCH(B76,控制台!$B$4617:$B$4629,0)-2,0)*控制台!$C$4612</f>
        <v>10</v>
      </c>
      <c r="M76" s="1">
        <f ca="1">OFFSET(控制台!$G$4617,MATCH(B76,控制台!$B$4617:$B$4629,0)-1,0)*控制台!$C$4612</f>
        <v>12</v>
      </c>
      <c r="N76" s="1">
        <v>1</v>
      </c>
      <c r="O76" s="4">
        <f ca="1">IF(MOD(C76,4)=0,Lerp_dyy(L76,M76,N76),0)</f>
        <v>0</v>
      </c>
    </row>
    <row r="77" spans="1:15">
      <c r="A77" s="1">
        <f t="shared" si="0"/>
        <v>312</v>
      </c>
      <c r="B77" s="1">
        <v>3</v>
      </c>
      <c r="C77" s="1">
        <v>12</v>
      </c>
      <c r="D77" s="1">
        <f ca="1">OFFSET(控制台!$C$4617,MATCH(B77,控制台!$B$4617:$B$4629,0)-2,0)*控制台!$C$4610</f>
        <v>20000</v>
      </c>
      <c r="E77" s="1">
        <f ca="1">OFFSET(控制台!$C$4617,MATCH(B77,控制台!$B$4617:$B$4629,0)-1,0)*控制台!$C$4610</f>
        <v>25000</v>
      </c>
      <c r="F77" s="1">
        <f>(_xlfn.FLOOR.MATH((C77-1)/8)+1)/5</f>
        <v>0.4</v>
      </c>
      <c r="G77" s="4">
        <f ca="1">Lerp_dyy(D77,E77,F77)</f>
        <v>22000</v>
      </c>
      <c r="H77" s="1">
        <f ca="1">OFFSET(控制台!$E$4617,MATCH(B77,控制台!$B$4617:$B$4629,0)-2,0)*控制台!$C$4611</f>
        <v>10</v>
      </c>
      <c r="I77" s="1">
        <f ca="1">OFFSET(控制台!$E$4617,MATCH(B77,控制台!$B$4617:$B$4629,0)-1,0)*控制台!$C$4611</f>
        <v>20</v>
      </c>
      <c r="J77" s="1">
        <f>(_xlfn.FLOOR.MATH((C77-1)/20)+1)/2</f>
        <v>0.5</v>
      </c>
      <c r="K77" s="4">
        <f ca="1">IF(MOD(C77,4)=0,0,Lerp_dyy(H77,I77,J77))</f>
        <v>0</v>
      </c>
      <c r="L77" s="1">
        <f ca="1">OFFSET(控制台!$G$4617,MATCH(B77,控制台!$B$4617:$B$4629,0)-2,0)*控制台!$C$4612</f>
        <v>10</v>
      </c>
      <c r="M77" s="1">
        <f ca="1">OFFSET(控制台!$G$4617,MATCH(B77,控制台!$B$4617:$B$4629,0)-1,0)*控制台!$C$4612</f>
        <v>12</v>
      </c>
      <c r="N77" s="1">
        <v>1</v>
      </c>
      <c r="O77" s="4">
        <f ca="1">IF(MOD(C77,4)=0,Lerp_dyy(L77,M77,N77),0)</f>
        <v>12</v>
      </c>
    </row>
    <row r="78" spans="1:15">
      <c r="A78" s="1">
        <f t="shared" si="0"/>
        <v>313</v>
      </c>
      <c r="B78" s="1">
        <v>3</v>
      </c>
      <c r="C78" s="1">
        <v>13</v>
      </c>
      <c r="D78" s="1">
        <f ca="1">OFFSET(控制台!$C$4617,MATCH(B78,控制台!$B$4617:$B$4629,0)-2,0)*控制台!$C$4610</f>
        <v>20000</v>
      </c>
      <c r="E78" s="1">
        <f ca="1">OFFSET(控制台!$C$4617,MATCH(B78,控制台!$B$4617:$B$4629,0)-1,0)*控制台!$C$4610</f>
        <v>25000</v>
      </c>
      <c r="F78" s="1">
        <f>(_xlfn.FLOOR.MATH((C78-1)/8)+1)/5</f>
        <v>0.4</v>
      </c>
      <c r="G78" s="4">
        <f ca="1">Lerp_dyy(D78,E78,F78)</f>
        <v>22000</v>
      </c>
      <c r="H78" s="1">
        <f ca="1">OFFSET(控制台!$E$4617,MATCH(B78,控制台!$B$4617:$B$4629,0)-2,0)*控制台!$C$4611</f>
        <v>10</v>
      </c>
      <c r="I78" s="1">
        <f ca="1">OFFSET(控制台!$E$4617,MATCH(B78,控制台!$B$4617:$B$4629,0)-1,0)*控制台!$C$4611</f>
        <v>20</v>
      </c>
      <c r="J78" s="1">
        <f>(_xlfn.FLOOR.MATH((C78-1)/20)+1)/2</f>
        <v>0.5</v>
      </c>
      <c r="K78" s="4">
        <f ca="1">IF(MOD(C78,4)=0,0,Lerp_dyy(H78,I78,J78))</f>
        <v>15</v>
      </c>
      <c r="L78" s="1">
        <f ca="1">OFFSET(控制台!$G$4617,MATCH(B78,控制台!$B$4617:$B$4629,0)-2,0)*控制台!$C$4612</f>
        <v>10</v>
      </c>
      <c r="M78" s="1">
        <f ca="1">OFFSET(控制台!$G$4617,MATCH(B78,控制台!$B$4617:$B$4629,0)-1,0)*控制台!$C$4612</f>
        <v>12</v>
      </c>
      <c r="N78" s="1">
        <v>1</v>
      </c>
      <c r="O78" s="4">
        <f ca="1">IF(MOD(C78,4)=0,Lerp_dyy(L78,M78,N78),0)</f>
        <v>0</v>
      </c>
    </row>
    <row r="79" spans="1:15">
      <c r="A79" s="1">
        <f t="shared" si="0"/>
        <v>314</v>
      </c>
      <c r="B79" s="1">
        <v>3</v>
      </c>
      <c r="C79" s="1">
        <v>14</v>
      </c>
      <c r="D79" s="1">
        <f ca="1">OFFSET(控制台!$C$4617,MATCH(B79,控制台!$B$4617:$B$4629,0)-2,0)*控制台!$C$4610</f>
        <v>20000</v>
      </c>
      <c r="E79" s="1">
        <f ca="1">OFFSET(控制台!$C$4617,MATCH(B79,控制台!$B$4617:$B$4629,0)-1,0)*控制台!$C$4610</f>
        <v>25000</v>
      </c>
      <c r="F79" s="1">
        <f>(_xlfn.FLOOR.MATH((C79-1)/8)+1)/5</f>
        <v>0.4</v>
      </c>
      <c r="G79" s="4">
        <f ca="1">Lerp_dyy(D79,E79,F79)</f>
        <v>22000</v>
      </c>
      <c r="H79" s="1">
        <f ca="1">OFFSET(控制台!$E$4617,MATCH(B79,控制台!$B$4617:$B$4629,0)-2,0)*控制台!$C$4611</f>
        <v>10</v>
      </c>
      <c r="I79" s="1">
        <f ca="1">OFFSET(控制台!$E$4617,MATCH(B79,控制台!$B$4617:$B$4629,0)-1,0)*控制台!$C$4611</f>
        <v>20</v>
      </c>
      <c r="J79" s="1">
        <f>(_xlfn.FLOOR.MATH((C79-1)/20)+1)/2</f>
        <v>0.5</v>
      </c>
      <c r="K79" s="4">
        <f ca="1">IF(MOD(C79,4)=0,0,Lerp_dyy(H79,I79,J79))</f>
        <v>15</v>
      </c>
      <c r="L79" s="1">
        <f ca="1">OFFSET(控制台!$G$4617,MATCH(B79,控制台!$B$4617:$B$4629,0)-2,0)*控制台!$C$4612</f>
        <v>10</v>
      </c>
      <c r="M79" s="1">
        <f ca="1">OFFSET(控制台!$G$4617,MATCH(B79,控制台!$B$4617:$B$4629,0)-1,0)*控制台!$C$4612</f>
        <v>12</v>
      </c>
      <c r="N79" s="1">
        <v>1</v>
      </c>
      <c r="O79" s="4">
        <f ca="1">IF(MOD(C79,4)=0,Lerp_dyy(L79,M79,N79),0)</f>
        <v>0</v>
      </c>
    </row>
    <row r="80" spans="1:15">
      <c r="A80" s="1">
        <f t="shared" si="0"/>
        <v>315</v>
      </c>
      <c r="B80" s="1">
        <v>3</v>
      </c>
      <c r="C80" s="1">
        <v>15</v>
      </c>
      <c r="D80" s="1">
        <f ca="1">OFFSET(控制台!$C$4617,MATCH(B80,控制台!$B$4617:$B$4629,0)-2,0)*控制台!$C$4610</f>
        <v>20000</v>
      </c>
      <c r="E80" s="1">
        <f ca="1">OFFSET(控制台!$C$4617,MATCH(B80,控制台!$B$4617:$B$4629,0)-1,0)*控制台!$C$4610</f>
        <v>25000</v>
      </c>
      <c r="F80" s="1">
        <f>(_xlfn.FLOOR.MATH((C80-1)/8)+1)/5</f>
        <v>0.4</v>
      </c>
      <c r="G80" s="4">
        <f ca="1">Lerp_dyy(D80,E80,F80)</f>
        <v>22000</v>
      </c>
      <c r="H80" s="1">
        <f ca="1">OFFSET(控制台!$E$4617,MATCH(B80,控制台!$B$4617:$B$4629,0)-2,0)*控制台!$C$4611</f>
        <v>10</v>
      </c>
      <c r="I80" s="1">
        <f ca="1">OFFSET(控制台!$E$4617,MATCH(B80,控制台!$B$4617:$B$4629,0)-1,0)*控制台!$C$4611</f>
        <v>20</v>
      </c>
      <c r="J80" s="1">
        <f>(_xlfn.FLOOR.MATH((C80-1)/20)+1)/2</f>
        <v>0.5</v>
      </c>
      <c r="K80" s="4">
        <f ca="1">IF(MOD(C80,4)=0,0,Lerp_dyy(H80,I80,J80))</f>
        <v>15</v>
      </c>
      <c r="L80" s="1">
        <f ca="1">OFFSET(控制台!$G$4617,MATCH(B80,控制台!$B$4617:$B$4629,0)-2,0)*控制台!$C$4612</f>
        <v>10</v>
      </c>
      <c r="M80" s="1">
        <f ca="1">OFFSET(控制台!$G$4617,MATCH(B80,控制台!$B$4617:$B$4629,0)-1,0)*控制台!$C$4612</f>
        <v>12</v>
      </c>
      <c r="N80" s="1">
        <v>1</v>
      </c>
      <c r="O80" s="4">
        <f ca="1">IF(MOD(C80,4)=0,Lerp_dyy(L80,M80,N80),0)</f>
        <v>0</v>
      </c>
    </row>
    <row r="81" spans="1:15">
      <c r="A81" s="1">
        <f t="shared" ref="A81:A136" si="2">B81*100+C81</f>
        <v>316</v>
      </c>
      <c r="B81" s="1">
        <v>3</v>
      </c>
      <c r="C81" s="1">
        <v>16</v>
      </c>
      <c r="D81" s="1">
        <f ca="1">OFFSET(控制台!$C$4617,MATCH(B81,控制台!$B$4617:$B$4629,0)-2,0)*控制台!$C$4610</f>
        <v>20000</v>
      </c>
      <c r="E81" s="1">
        <f ca="1">OFFSET(控制台!$C$4617,MATCH(B81,控制台!$B$4617:$B$4629,0)-1,0)*控制台!$C$4610</f>
        <v>25000</v>
      </c>
      <c r="F81" s="1">
        <f>(_xlfn.FLOOR.MATH((C81-1)/8)+1)/5</f>
        <v>0.4</v>
      </c>
      <c r="G81" s="4">
        <f ca="1">Lerp_dyy(D81,E81,F81)</f>
        <v>22000</v>
      </c>
      <c r="H81" s="1">
        <f ca="1">OFFSET(控制台!$E$4617,MATCH(B81,控制台!$B$4617:$B$4629,0)-2,0)*控制台!$C$4611</f>
        <v>10</v>
      </c>
      <c r="I81" s="1">
        <f ca="1">OFFSET(控制台!$E$4617,MATCH(B81,控制台!$B$4617:$B$4629,0)-1,0)*控制台!$C$4611</f>
        <v>20</v>
      </c>
      <c r="J81" s="1">
        <f>(_xlfn.FLOOR.MATH((C81-1)/20)+1)/2</f>
        <v>0.5</v>
      </c>
      <c r="K81" s="4">
        <f ca="1">IF(MOD(C81,4)=0,0,Lerp_dyy(H81,I81,J81))</f>
        <v>0</v>
      </c>
      <c r="L81" s="1">
        <f ca="1">OFFSET(控制台!$G$4617,MATCH(B81,控制台!$B$4617:$B$4629,0)-2,0)*控制台!$C$4612</f>
        <v>10</v>
      </c>
      <c r="M81" s="1">
        <f ca="1">OFFSET(控制台!$G$4617,MATCH(B81,控制台!$B$4617:$B$4629,0)-1,0)*控制台!$C$4612</f>
        <v>12</v>
      </c>
      <c r="N81" s="1">
        <v>1</v>
      </c>
      <c r="O81" s="4">
        <f ca="1">IF(MOD(C81,4)=0,Lerp_dyy(L81,M81,N81),0)</f>
        <v>12</v>
      </c>
    </row>
    <row r="82" spans="1:15">
      <c r="A82" s="1">
        <f t="shared" si="2"/>
        <v>317</v>
      </c>
      <c r="B82" s="1">
        <v>3</v>
      </c>
      <c r="C82" s="1">
        <v>17</v>
      </c>
      <c r="D82" s="1">
        <f ca="1">OFFSET(控制台!$C$4617,MATCH(B82,控制台!$B$4617:$B$4629,0)-2,0)*控制台!$C$4610</f>
        <v>20000</v>
      </c>
      <c r="E82" s="1">
        <f ca="1">OFFSET(控制台!$C$4617,MATCH(B82,控制台!$B$4617:$B$4629,0)-1,0)*控制台!$C$4610</f>
        <v>25000</v>
      </c>
      <c r="F82" s="1">
        <f>(_xlfn.FLOOR.MATH((C82-1)/8)+1)/5</f>
        <v>0.6</v>
      </c>
      <c r="G82" s="4">
        <f ca="1">Lerp_dyy(D82,E82,F82)</f>
        <v>23000</v>
      </c>
      <c r="H82" s="1">
        <f ca="1">OFFSET(控制台!$E$4617,MATCH(B82,控制台!$B$4617:$B$4629,0)-2,0)*控制台!$C$4611</f>
        <v>10</v>
      </c>
      <c r="I82" s="1">
        <f ca="1">OFFSET(控制台!$E$4617,MATCH(B82,控制台!$B$4617:$B$4629,0)-1,0)*控制台!$C$4611</f>
        <v>20</v>
      </c>
      <c r="J82" s="1">
        <f>(_xlfn.FLOOR.MATH((C82-1)/20)+1)/2</f>
        <v>0.5</v>
      </c>
      <c r="K82" s="4">
        <f ca="1">IF(MOD(C82,4)=0,0,Lerp_dyy(H82,I82,J82))</f>
        <v>15</v>
      </c>
      <c r="L82" s="1">
        <f ca="1">OFFSET(控制台!$G$4617,MATCH(B82,控制台!$B$4617:$B$4629,0)-2,0)*控制台!$C$4612</f>
        <v>10</v>
      </c>
      <c r="M82" s="1">
        <f ca="1">OFFSET(控制台!$G$4617,MATCH(B82,控制台!$B$4617:$B$4629,0)-1,0)*控制台!$C$4612</f>
        <v>12</v>
      </c>
      <c r="N82" s="1">
        <v>1</v>
      </c>
      <c r="O82" s="4">
        <f ca="1">IF(MOD(C82,4)=0,Lerp_dyy(L82,M82,N82),0)</f>
        <v>0</v>
      </c>
    </row>
    <row r="83" spans="1:15">
      <c r="A83" s="1">
        <f t="shared" si="2"/>
        <v>318</v>
      </c>
      <c r="B83" s="1">
        <v>3</v>
      </c>
      <c r="C83" s="1">
        <v>18</v>
      </c>
      <c r="D83" s="1">
        <f ca="1">OFFSET(控制台!$C$4617,MATCH(B83,控制台!$B$4617:$B$4629,0)-2,0)*控制台!$C$4610</f>
        <v>20000</v>
      </c>
      <c r="E83" s="1">
        <f ca="1">OFFSET(控制台!$C$4617,MATCH(B83,控制台!$B$4617:$B$4629,0)-1,0)*控制台!$C$4610</f>
        <v>25000</v>
      </c>
      <c r="F83" s="1">
        <f>(_xlfn.FLOOR.MATH((C83-1)/8)+1)/5</f>
        <v>0.6</v>
      </c>
      <c r="G83" s="4">
        <f ca="1">Lerp_dyy(D83,E83,F83)</f>
        <v>23000</v>
      </c>
      <c r="H83" s="1">
        <f ca="1">OFFSET(控制台!$E$4617,MATCH(B83,控制台!$B$4617:$B$4629,0)-2,0)*控制台!$C$4611</f>
        <v>10</v>
      </c>
      <c r="I83" s="1">
        <f ca="1">OFFSET(控制台!$E$4617,MATCH(B83,控制台!$B$4617:$B$4629,0)-1,0)*控制台!$C$4611</f>
        <v>20</v>
      </c>
      <c r="J83" s="1">
        <f>(_xlfn.FLOOR.MATH((C83-1)/20)+1)/2</f>
        <v>0.5</v>
      </c>
      <c r="K83" s="4">
        <f ca="1">IF(MOD(C83,4)=0,0,Lerp_dyy(H83,I83,J83))</f>
        <v>15</v>
      </c>
      <c r="L83" s="1">
        <f ca="1">OFFSET(控制台!$G$4617,MATCH(B83,控制台!$B$4617:$B$4629,0)-2,0)*控制台!$C$4612</f>
        <v>10</v>
      </c>
      <c r="M83" s="1">
        <f ca="1">OFFSET(控制台!$G$4617,MATCH(B83,控制台!$B$4617:$B$4629,0)-1,0)*控制台!$C$4612</f>
        <v>12</v>
      </c>
      <c r="N83" s="1">
        <v>1</v>
      </c>
      <c r="O83" s="4">
        <f ca="1">IF(MOD(C83,4)=0,Lerp_dyy(L83,M83,N83),0)</f>
        <v>0</v>
      </c>
    </row>
    <row r="84" spans="1:15">
      <c r="A84" s="1">
        <f t="shared" si="2"/>
        <v>319</v>
      </c>
      <c r="B84" s="1">
        <v>3</v>
      </c>
      <c r="C84" s="1">
        <v>19</v>
      </c>
      <c r="D84" s="1">
        <f ca="1">OFFSET(控制台!$C$4617,MATCH(B84,控制台!$B$4617:$B$4629,0)-2,0)*控制台!$C$4610</f>
        <v>20000</v>
      </c>
      <c r="E84" s="1">
        <f ca="1">OFFSET(控制台!$C$4617,MATCH(B84,控制台!$B$4617:$B$4629,0)-1,0)*控制台!$C$4610</f>
        <v>25000</v>
      </c>
      <c r="F84" s="1">
        <f>(_xlfn.FLOOR.MATH((C84-1)/8)+1)/5</f>
        <v>0.6</v>
      </c>
      <c r="G84" s="4">
        <f ca="1">Lerp_dyy(D84,E84,F84)</f>
        <v>23000</v>
      </c>
      <c r="H84" s="1">
        <f ca="1">OFFSET(控制台!$E$4617,MATCH(B84,控制台!$B$4617:$B$4629,0)-2,0)*控制台!$C$4611</f>
        <v>10</v>
      </c>
      <c r="I84" s="1">
        <f ca="1">OFFSET(控制台!$E$4617,MATCH(B84,控制台!$B$4617:$B$4629,0)-1,0)*控制台!$C$4611</f>
        <v>20</v>
      </c>
      <c r="J84" s="1">
        <f>(_xlfn.FLOOR.MATH((C84-1)/20)+1)/2</f>
        <v>0.5</v>
      </c>
      <c r="K84" s="4">
        <f ca="1">IF(MOD(C84,4)=0,0,Lerp_dyy(H84,I84,J84))</f>
        <v>15</v>
      </c>
      <c r="L84" s="1">
        <f ca="1">OFFSET(控制台!$G$4617,MATCH(B84,控制台!$B$4617:$B$4629,0)-2,0)*控制台!$C$4612</f>
        <v>10</v>
      </c>
      <c r="M84" s="1">
        <f ca="1">OFFSET(控制台!$G$4617,MATCH(B84,控制台!$B$4617:$B$4629,0)-1,0)*控制台!$C$4612</f>
        <v>12</v>
      </c>
      <c r="N84" s="1">
        <v>1</v>
      </c>
      <c r="O84" s="4">
        <f ca="1">IF(MOD(C84,4)=0,Lerp_dyy(L84,M84,N84),0)</f>
        <v>0</v>
      </c>
    </row>
    <row r="85" spans="1:15">
      <c r="A85" s="1">
        <f t="shared" si="2"/>
        <v>320</v>
      </c>
      <c r="B85" s="1">
        <v>3</v>
      </c>
      <c r="C85" s="1">
        <v>20</v>
      </c>
      <c r="D85" s="1">
        <f ca="1">OFFSET(控制台!$C$4617,MATCH(B85,控制台!$B$4617:$B$4629,0)-2,0)*控制台!$C$4610</f>
        <v>20000</v>
      </c>
      <c r="E85" s="1">
        <f ca="1">OFFSET(控制台!$C$4617,MATCH(B85,控制台!$B$4617:$B$4629,0)-1,0)*控制台!$C$4610</f>
        <v>25000</v>
      </c>
      <c r="F85" s="1">
        <f>(_xlfn.FLOOR.MATH((C85-1)/8)+1)/5</f>
        <v>0.6</v>
      </c>
      <c r="G85" s="4">
        <f ca="1">Lerp_dyy(D85,E85,F85)</f>
        <v>23000</v>
      </c>
      <c r="H85" s="1">
        <f ca="1">OFFSET(控制台!$E$4617,MATCH(B85,控制台!$B$4617:$B$4629,0)-2,0)*控制台!$C$4611</f>
        <v>10</v>
      </c>
      <c r="I85" s="1">
        <f ca="1">OFFSET(控制台!$E$4617,MATCH(B85,控制台!$B$4617:$B$4629,0)-1,0)*控制台!$C$4611</f>
        <v>20</v>
      </c>
      <c r="J85" s="1">
        <f>(_xlfn.FLOOR.MATH((C85-1)/20)+1)/2</f>
        <v>0.5</v>
      </c>
      <c r="K85" s="4">
        <f ca="1">IF(MOD(C85,4)=0,0,Lerp_dyy(H85,I85,J85))</f>
        <v>0</v>
      </c>
      <c r="L85" s="1">
        <f ca="1">OFFSET(控制台!$G$4617,MATCH(B85,控制台!$B$4617:$B$4629,0)-2,0)*控制台!$C$4612</f>
        <v>10</v>
      </c>
      <c r="M85" s="1">
        <f ca="1">OFFSET(控制台!$G$4617,MATCH(B85,控制台!$B$4617:$B$4629,0)-1,0)*控制台!$C$4612</f>
        <v>12</v>
      </c>
      <c r="N85" s="1">
        <v>1</v>
      </c>
      <c r="O85" s="4">
        <f ca="1">IF(MOD(C85,4)=0,Lerp_dyy(L85,M85,N85),0)</f>
        <v>12</v>
      </c>
    </row>
    <row r="86" spans="1:15">
      <c r="A86" s="1">
        <f t="shared" si="2"/>
        <v>321</v>
      </c>
      <c r="B86" s="1">
        <v>3</v>
      </c>
      <c r="C86" s="1">
        <v>21</v>
      </c>
      <c r="D86" s="1">
        <f ca="1">OFFSET(控制台!$C$4617,MATCH(B86,控制台!$B$4617:$B$4629,0)-2,0)*控制台!$C$4610</f>
        <v>20000</v>
      </c>
      <c r="E86" s="1">
        <f ca="1">OFFSET(控制台!$C$4617,MATCH(B86,控制台!$B$4617:$B$4629,0)-1,0)*控制台!$C$4610</f>
        <v>25000</v>
      </c>
      <c r="F86" s="1">
        <f>(_xlfn.FLOOR.MATH((C86-1)/8)+1)/5</f>
        <v>0.6</v>
      </c>
      <c r="G86" s="4">
        <f ca="1">Lerp_dyy(D86,E86,F86)</f>
        <v>23000</v>
      </c>
      <c r="H86" s="1">
        <f ca="1">OFFSET(控制台!$E$4617,MATCH(B86,控制台!$B$4617:$B$4629,0)-2,0)*控制台!$C$4611</f>
        <v>10</v>
      </c>
      <c r="I86" s="1">
        <f ca="1">OFFSET(控制台!$E$4617,MATCH(B86,控制台!$B$4617:$B$4629,0)-1,0)*控制台!$C$4611</f>
        <v>20</v>
      </c>
      <c r="J86" s="1">
        <f>(_xlfn.FLOOR.MATH((C86-1)/20)+1)/2</f>
        <v>1</v>
      </c>
      <c r="K86" s="4">
        <f ca="1">IF(MOD(C86,4)=0,0,Lerp_dyy(H86,I86,J86))</f>
        <v>20</v>
      </c>
      <c r="L86" s="1">
        <f ca="1">OFFSET(控制台!$G$4617,MATCH(B86,控制台!$B$4617:$B$4629,0)-2,0)*控制台!$C$4612</f>
        <v>10</v>
      </c>
      <c r="M86" s="1">
        <f ca="1">OFFSET(控制台!$G$4617,MATCH(B86,控制台!$B$4617:$B$4629,0)-1,0)*控制台!$C$4612</f>
        <v>12</v>
      </c>
      <c r="N86" s="1">
        <v>1</v>
      </c>
      <c r="O86" s="4">
        <f ca="1">IF(MOD(C86,4)=0,Lerp_dyy(L86,M86,N86),0)</f>
        <v>0</v>
      </c>
    </row>
    <row r="87" spans="1:15">
      <c r="A87" s="1">
        <f t="shared" si="2"/>
        <v>322</v>
      </c>
      <c r="B87" s="1">
        <v>3</v>
      </c>
      <c r="C87" s="1">
        <v>22</v>
      </c>
      <c r="D87" s="1">
        <f ca="1">OFFSET(控制台!$C$4617,MATCH(B87,控制台!$B$4617:$B$4629,0)-2,0)*控制台!$C$4610</f>
        <v>20000</v>
      </c>
      <c r="E87" s="1">
        <f ca="1">OFFSET(控制台!$C$4617,MATCH(B87,控制台!$B$4617:$B$4629,0)-1,0)*控制台!$C$4610</f>
        <v>25000</v>
      </c>
      <c r="F87" s="1">
        <f>(_xlfn.FLOOR.MATH((C87-1)/8)+1)/5</f>
        <v>0.6</v>
      </c>
      <c r="G87" s="4">
        <f ca="1">Lerp_dyy(D87,E87,F87)</f>
        <v>23000</v>
      </c>
      <c r="H87" s="1">
        <f ca="1">OFFSET(控制台!$E$4617,MATCH(B87,控制台!$B$4617:$B$4629,0)-2,0)*控制台!$C$4611</f>
        <v>10</v>
      </c>
      <c r="I87" s="1">
        <f ca="1">OFFSET(控制台!$E$4617,MATCH(B87,控制台!$B$4617:$B$4629,0)-1,0)*控制台!$C$4611</f>
        <v>20</v>
      </c>
      <c r="J87" s="1">
        <f>(_xlfn.FLOOR.MATH((C87-1)/20)+1)/2</f>
        <v>1</v>
      </c>
      <c r="K87" s="4">
        <f ca="1">IF(MOD(C87,4)=0,0,Lerp_dyy(H87,I87,J87))</f>
        <v>20</v>
      </c>
      <c r="L87" s="1">
        <f ca="1">OFFSET(控制台!$G$4617,MATCH(B87,控制台!$B$4617:$B$4629,0)-2,0)*控制台!$C$4612</f>
        <v>10</v>
      </c>
      <c r="M87" s="1">
        <f ca="1">OFFSET(控制台!$G$4617,MATCH(B87,控制台!$B$4617:$B$4629,0)-1,0)*控制台!$C$4612</f>
        <v>12</v>
      </c>
      <c r="N87" s="1">
        <v>1</v>
      </c>
      <c r="O87" s="4">
        <f ca="1">IF(MOD(C87,4)=0,Lerp_dyy(L87,M87,N87),0)</f>
        <v>0</v>
      </c>
    </row>
    <row r="88" spans="1:15">
      <c r="A88" s="1">
        <f t="shared" si="2"/>
        <v>323</v>
      </c>
      <c r="B88" s="1">
        <v>3</v>
      </c>
      <c r="C88" s="1">
        <v>23</v>
      </c>
      <c r="D88" s="1">
        <f ca="1">OFFSET(控制台!$C$4617,MATCH(B88,控制台!$B$4617:$B$4629,0)-2,0)*控制台!$C$4610</f>
        <v>20000</v>
      </c>
      <c r="E88" s="1">
        <f ca="1">OFFSET(控制台!$C$4617,MATCH(B88,控制台!$B$4617:$B$4629,0)-1,0)*控制台!$C$4610</f>
        <v>25000</v>
      </c>
      <c r="F88" s="1">
        <f>(_xlfn.FLOOR.MATH((C88-1)/8)+1)/5</f>
        <v>0.6</v>
      </c>
      <c r="G88" s="4">
        <f ca="1">Lerp_dyy(D88,E88,F88)</f>
        <v>23000</v>
      </c>
      <c r="H88" s="1">
        <f ca="1">OFFSET(控制台!$E$4617,MATCH(B88,控制台!$B$4617:$B$4629,0)-2,0)*控制台!$C$4611</f>
        <v>10</v>
      </c>
      <c r="I88" s="1">
        <f ca="1">OFFSET(控制台!$E$4617,MATCH(B88,控制台!$B$4617:$B$4629,0)-1,0)*控制台!$C$4611</f>
        <v>20</v>
      </c>
      <c r="J88" s="1">
        <f>(_xlfn.FLOOR.MATH((C88-1)/20)+1)/2</f>
        <v>1</v>
      </c>
      <c r="K88" s="4">
        <f ca="1">IF(MOD(C88,4)=0,0,Lerp_dyy(H88,I88,J88))</f>
        <v>20</v>
      </c>
      <c r="L88" s="1">
        <f ca="1">OFFSET(控制台!$G$4617,MATCH(B88,控制台!$B$4617:$B$4629,0)-2,0)*控制台!$C$4612</f>
        <v>10</v>
      </c>
      <c r="M88" s="1">
        <f ca="1">OFFSET(控制台!$G$4617,MATCH(B88,控制台!$B$4617:$B$4629,0)-1,0)*控制台!$C$4612</f>
        <v>12</v>
      </c>
      <c r="N88" s="1">
        <v>1</v>
      </c>
      <c r="O88" s="4">
        <f ca="1">IF(MOD(C88,4)=0,Lerp_dyy(L88,M88,N88),0)</f>
        <v>0</v>
      </c>
    </row>
    <row r="89" spans="1:15">
      <c r="A89" s="1">
        <f t="shared" si="2"/>
        <v>324</v>
      </c>
      <c r="B89" s="1">
        <v>3</v>
      </c>
      <c r="C89" s="1">
        <v>24</v>
      </c>
      <c r="D89" s="1">
        <f ca="1">OFFSET(控制台!$C$4617,MATCH(B89,控制台!$B$4617:$B$4629,0)-2,0)*控制台!$C$4610</f>
        <v>20000</v>
      </c>
      <c r="E89" s="1">
        <f ca="1">OFFSET(控制台!$C$4617,MATCH(B89,控制台!$B$4617:$B$4629,0)-1,0)*控制台!$C$4610</f>
        <v>25000</v>
      </c>
      <c r="F89" s="1">
        <f>(_xlfn.FLOOR.MATH((C89-1)/8)+1)/5</f>
        <v>0.6</v>
      </c>
      <c r="G89" s="4">
        <f ca="1">Lerp_dyy(D89,E89,F89)</f>
        <v>23000</v>
      </c>
      <c r="H89" s="1">
        <f ca="1">OFFSET(控制台!$E$4617,MATCH(B89,控制台!$B$4617:$B$4629,0)-2,0)*控制台!$C$4611</f>
        <v>10</v>
      </c>
      <c r="I89" s="1">
        <f ca="1">OFFSET(控制台!$E$4617,MATCH(B89,控制台!$B$4617:$B$4629,0)-1,0)*控制台!$C$4611</f>
        <v>20</v>
      </c>
      <c r="J89" s="1">
        <f>(_xlfn.FLOOR.MATH((C89-1)/20)+1)/2</f>
        <v>1</v>
      </c>
      <c r="K89" s="4">
        <f ca="1">IF(MOD(C89,4)=0,0,Lerp_dyy(H89,I89,J89))</f>
        <v>0</v>
      </c>
      <c r="L89" s="1">
        <f ca="1">OFFSET(控制台!$G$4617,MATCH(B89,控制台!$B$4617:$B$4629,0)-2,0)*控制台!$C$4612</f>
        <v>10</v>
      </c>
      <c r="M89" s="1">
        <f ca="1">OFFSET(控制台!$G$4617,MATCH(B89,控制台!$B$4617:$B$4629,0)-1,0)*控制台!$C$4612</f>
        <v>12</v>
      </c>
      <c r="N89" s="1">
        <v>1</v>
      </c>
      <c r="O89" s="4">
        <f ca="1">IF(MOD(C89,4)=0,Lerp_dyy(L89,M89,N89),0)</f>
        <v>12</v>
      </c>
    </row>
    <row r="90" spans="1:15">
      <c r="A90" s="1">
        <f t="shared" si="2"/>
        <v>325</v>
      </c>
      <c r="B90" s="1">
        <v>3</v>
      </c>
      <c r="C90" s="1">
        <v>25</v>
      </c>
      <c r="D90" s="1">
        <f ca="1">OFFSET(控制台!$C$4617,MATCH(B90,控制台!$B$4617:$B$4629,0)-2,0)*控制台!$C$4610</f>
        <v>20000</v>
      </c>
      <c r="E90" s="1">
        <f ca="1">OFFSET(控制台!$C$4617,MATCH(B90,控制台!$B$4617:$B$4629,0)-1,0)*控制台!$C$4610</f>
        <v>25000</v>
      </c>
      <c r="F90" s="1">
        <f>(_xlfn.FLOOR.MATH((C90-1)/8)+1)/5</f>
        <v>0.8</v>
      </c>
      <c r="G90" s="4">
        <f ca="1">Lerp_dyy(D90,E90,F90)</f>
        <v>24000</v>
      </c>
      <c r="H90" s="1">
        <f ca="1">OFFSET(控制台!$E$4617,MATCH(B90,控制台!$B$4617:$B$4629,0)-2,0)*控制台!$C$4611</f>
        <v>10</v>
      </c>
      <c r="I90" s="1">
        <f ca="1">OFFSET(控制台!$E$4617,MATCH(B90,控制台!$B$4617:$B$4629,0)-1,0)*控制台!$C$4611</f>
        <v>20</v>
      </c>
      <c r="J90" s="1">
        <f>(_xlfn.FLOOR.MATH((C90-1)/20)+1)/2</f>
        <v>1</v>
      </c>
      <c r="K90" s="4">
        <f ca="1">IF(MOD(C90,4)=0,0,Lerp_dyy(H90,I90,J90))</f>
        <v>20</v>
      </c>
      <c r="L90" s="1">
        <f ca="1">OFFSET(控制台!$G$4617,MATCH(B90,控制台!$B$4617:$B$4629,0)-2,0)*控制台!$C$4612</f>
        <v>10</v>
      </c>
      <c r="M90" s="1">
        <f ca="1">OFFSET(控制台!$G$4617,MATCH(B90,控制台!$B$4617:$B$4629,0)-1,0)*控制台!$C$4612</f>
        <v>12</v>
      </c>
      <c r="N90" s="1">
        <v>1</v>
      </c>
      <c r="O90" s="4">
        <f ca="1">IF(MOD(C90,4)=0,Lerp_dyy(L90,M90,N90),0)</f>
        <v>0</v>
      </c>
    </row>
    <row r="91" spans="1:15">
      <c r="A91" s="1">
        <f t="shared" si="2"/>
        <v>326</v>
      </c>
      <c r="B91" s="1">
        <v>3</v>
      </c>
      <c r="C91" s="1">
        <v>26</v>
      </c>
      <c r="D91" s="1">
        <f ca="1">OFFSET(控制台!$C$4617,MATCH(B91,控制台!$B$4617:$B$4629,0)-2,0)*控制台!$C$4610</f>
        <v>20000</v>
      </c>
      <c r="E91" s="1">
        <f ca="1">OFFSET(控制台!$C$4617,MATCH(B91,控制台!$B$4617:$B$4629,0)-1,0)*控制台!$C$4610</f>
        <v>25000</v>
      </c>
      <c r="F91" s="1">
        <f>(_xlfn.FLOOR.MATH((C91-1)/8)+1)/5</f>
        <v>0.8</v>
      </c>
      <c r="G91" s="4">
        <f ca="1">Lerp_dyy(D91,E91,F91)</f>
        <v>24000</v>
      </c>
      <c r="H91" s="1">
        <f ca="1">OFFSET(控制台!$E$4617,MATCH(B91,控制台!$B$4617:$B$4629,0)-2,0)*控制台!$C$4611</f>
        <v>10</v>
      </c>
      <c r="I91" s="1">
        <f ca="1">OFFSET(控制台!$E$4617,MATCH(B91,控制台!$B$4617:$B$4629,0)-1,0)*控制台!$C$4611</f>
        <v>20</v>
      </c>
      <c r="J91" s="1">
        <f>(_xlfn.FLOOR.MATH((C91-1)/20)+1)/2</f>
        <v>1</v>
      </c>
      <c r="K91" s="4">
        <f ca="1">IF(MOD(C91,4)=0,0,Lerp_dyy(H91,I91,J91))</f>
        <v>20</v>
      </c>
      <c r="L91" s="1">
        <f ca="1">OFFSET(控制台!$G$4617,MATCH(B91,控制台!$B$4617:$B$4629,0)-2,0)*控制台!$C$4612</f>
        <v>10</v>
      </c>
      <c r="M91" s="1">
        <f ca="1">OFFSET(控制台!$G$4617,MATCH(B91,控制台!$B$4617:$B$4629,0)-1,0)*控制台!$C$4612</f>
        <v>12</v>
      </c>
      <c r="N91" s="1">
        <v>1</v>
      </c>
      <c r="O91" s="4">
        <f ca="1">IF(MOD(C91,4)=0,Lerp_dyy(L91,M91,N91),0)</f>
        <v>0</v>
      </c>
    </row>
    <row r="92" spans="1:15">
      <c r="A92" s="1">
        <f t="shared" si="2"/>
        <v>327</v>
      </c>
      <c r="B92" s="1">
        <v>3</v>
      </c>
      <c r="C92" s="1">
        <v>27</v>
      </c>
      <c r="D92" s="1">
        <f ca="1">OFFSET(控制台!$C$4617,MATCH(B92,控制台!$B$4617:$B$4629,0)-2,0)*控制台!$C$4610</f>
        <v>20000</v>
      </c>
      <c r="E92" s="1">
        <f ca="1">OFFSET(控制台!$C$4617,MATCH(B92,控制台!$B$4617:$B$4629,0)-1,0)*控制台!$C$4610</f>
        <v>25000</v>
      </c>
      <c r="F92" s="1">
        <f>(_xlfn.FLOOR.MATH((C92-1)/8)+1)/5</f>
        <v>0.8</v>
      </c>
      <c r="G92" s="4">
        <f ca="1">Lerp_dyy(D92,E92,F92)</f>
        <v>24000</v>
      </c>
      <c r="H92" s="1">
        <f ca="1">OFFSET(控制台!$E$4617,MATCH(B92,控制台!$B$4617:$B$4629,0)-2,0)*控制台!$C$4611</f>
        <v>10</v>
      </c>
      <c r="I92" s="1">
        <f ca="1">OFFSET(控制台!$E$4617,MATCH(B92,控制台!$B$4617:$B$4629,0)-1,0)*控制台!$C$4611</f>
        <v>20</v>
      </c>
      <c r="J92" s="1">
        <f>(_xlfn.FLOOR.MATH((C92-1)/20)+1)/2</f>
        <v>1</v>
      </c>
      <c r="K92" s="4">
        <f ca="1">IF(MOD(C92,4)=0,0,Lerp_dyy(H92,I92,J92))</f>
        <v>20</v>
      </c>
      <c r="L92" s="1">
        <f ca="1">OFFSET(控制台!$G$4617,MATCH(B92,控制台!$B$4617:$B$4629,0)-2,0)*控制台!$C$4612</f>
        <v>10</v>
      </c>
      <c r="M92" s="1">
        <f ca="1">OFFSET(控制台!$G$4617,MATCH(B92,控制台!$B$4617:$B$4629,0)-1,0)*控制台!$C$4612</f>
        <v>12</v>
      </c>
      <c r="N92" s="1">
        <v>1</v>
      </c>
      <c r="O92" s="4">
        <f ca="1">IF(MOD(C92,4)=0,Lerp_dyy(L92,M92,N92),0)</f>
        <v>0</v>
      </c>
    </row>
    <row r="93" spans="1:15">
      <c r="A93" s="1">
        <f t="shared" si="2"/>
        <v>328</v>
      </c>
      <c r="B93" s="1">
        <v>3</v>
      </c>
      <c r="C93" s="1">
        <v>28</v>
      </c>
      <c r="D93" s="1">
        <f ca="1">OFFSET(控制台!$C$4617,MATCH(B93,控制台!$B$4617:$B$4629,0)-2,0)*控制台!$C$4610</f>
        <v>20000</v>
      </c>
      <c r="E93" s="1">
        <f ca="1">OFFSET(控制台!$C$4617,MATCH(B93,控制台!$B$4617:$B$4629,0)-1,0)*控制台!$C$4610</f>
        <v>25000</v>
      </c>
      <c r="F93" s="1">
        <f>(_xlfn.FLOOR.MATH((C93-1)/8)+1)/5</f>
        <v>0.8</v>
      </c>
      <c r="G93" s="4">
        <f ca="1">Lerp_dyy(D93,E93,F93)</f>
        <v>24000</v>
      </c>
      <c r="H93" s="1">
        <f ca="1">OFFSET(控制台!$E$4617,MATCH(B93,控制台!$B$4617:$B$4629,0)-2,0)*控制台!$C$4611</f>
        <v>10</v>
      </c>
      <c r="I93" s="1">
        <f ca="1">OFFSET(控制台!$E$4617,MATCH(B93,控制台!$B$4617:$B$4629,0)-1,0)*控制台!$C$4611</f>
        <v>20</v>
      </c>
      <c r="J93" s="1">
        <f>(_xlfn.FLOOR.MATH((C93-1)/20)+1)/2</f>
        <v>1</v>
      </c>
      <c r="K93" s="4">
        <f ca="1">IF(MOD(C93,4)=0,0,Lerp_dyy(H93,I93,J93))</f>
        <v>0</v>
      </c>
      <c r="L93" s="1">
        <f ca="1">OFFSET(控制台!$G$4617,MATCH(B93,控制台!$B$4617:$B$4629,0)-2,0)*控制台!$C$4612</f>
        <v>10</v>
      </c>
      <c r="M93" s="1">
        <f ca="1">OFFSET(控制台!$G$4617,MATCH(B93,控制台!$B$4617:$B$4629,0)-1,0)*控制台!$C$4612</f>
        <v>12</v>
      </c>
      <c r="N93" s="1">
        <v>1</v>
      </c>
      <c r="O93" s="4">
        <f ca="1">IF(MOD(C93,4)=0,Lerp_dyy(L93,M93,N93),0)</f>
        <v>12</v>
      </c>
    </row>
    <row r="94" spans="1:15">
      <c r="A94" s="1">
        <f t="shared" si="2"/>
        <v>329</v>
      </c>
      <c r="B94" s="1">
        <v>3</v>
      </c>
      <c r="C94" s="1">
        <v>29</v>
      </c>
      <c r="D94" s="1">
        <f ca="1">OFFSET(控制台!$C$4617,MATCH(B94,控制台!$B$4617:$B$4629,0)-2,0)*控制台!$C$4610</f>
        <v>20000</v>
      </c>
      <c r="E94" s="1">
        <f ca="1">OFFSET(控制台!$C$4617,MATCH(B94,控制台!$B$4617:$B$4629,0)-1,0)*控制台!$C$4610</f>
        <v>25000</v>
      </c>
      <c r="F94" s="1">
        <f>(_xlfn.FLOOR.MATH((C94-1)/8)+1)/5</f>
        <v>0.8</v>
      </c>
      <c r="G94" s="4">
        <f ca="1">Lerp_dyy(D94,E94,F94)</f>
        <v>24000</v>
      </c>
      <c r="H94" s="1">
        <f ca="1">OFFSET(控制台!$E$4617,MATCH(B94,控制台!$B$4617:$B$4629,0)-2,0)*控制台!$C$4611</f>
        <v>10</v>
      </c>
      <c r="I94" s="1">
        <f ca="1">OFFSET(控制台!$E$4617,MATCH(B94,控制台!$B$4617:$B$4629,0)-1,0)*控制台!$C$4611</f>
        <v>20</v>
      </c>
      <c r="J94" s="1">
        <f>(_xlfn.FLOOR.MATH((C94-1)/20)+1)/2</f>
        <v>1</v>
      </c>
      <c r="K94" s="4">
        <f ca="1">IF(MOD(C94,4)=0,0,Lerp_dyy(H94,I94,J94))</f>
        <v>20</v>
      </c>
      <c r="L94" s="1">
        <f ca="1">OFFSET(控制台!$G$4617,MATCH(B94,控制台!$B$4617:$B$4629,0)-2,0)*控制台!$C$4612</f>
        <v>10</v>
      </c>
      <c r="M94" s="1">
        <f ca="1">OFFSET(控制台!$G$4617,MATCH(B94,控制台!$B$4617:$B$4629,0)-1,0)*控制台!$C$4612</f>
        <v>12</v>
      </c>
      <c r="N94" s="1">
        <v>1</v>
      </c>
      <c r="O94" s="4">
        <f ca="1">IF(MOD(C94,4)=0,Lerp_dyy(L94,M94,N94),0)</f>
        <v>0</v>
      </c>
    </row>
    <row r="95" spans="1:15">
      <c r="A95" s="1">
        <f t="shared" si="2"/>
        <v>330</v>
      </c>
      <c r="B95" s="1">
        <v>3</v>
      </c>
      <c r="C95" s="1">
        <v>30</v>
      </c>
      <c r="D95" s="1">
        <f ca="1">OFFSET(控制台!$C$4617,MATCH(B95,控制台!$B$4617:$B$4629,0)-2,0)*控制台!$C$4610</f>
        <v>20000</v>
      </c>
      <c r="E95" s="1">
        <f ca="1">OFFSET(控制台!$C$4617,MATCH(B95,控制台!$B$4617:$B$4629,0)-1,0)*控制台!$C$4610</f>
        <v>25000</v>
      </c>
      <c r="F95" s="1">
        <f>(_xlfn.FLOOR.MATH((C95-1)/8)+1)/5</f>
        <v>0.8</v>
      </c>
      <c r="G95" s="4">
        <f ca="1">Lerp_dyy(D95,E95,F95)</f>
        <v>24000</v>
      </c>
      <c r="H95" s="1">
        <f ca="1">OFFSET(控制台!$E$4617,MATCH(B95,控制台!$B$4617:$B$4629,0)-2,0)*控制台!$C$4611</f>
        <v>10</v>
      </c>
      <c r="I95" s="1">
        <f ca="1">OFFSET(控制台!$E$4617,MATCH(B95,控制台!$B$4617:$B$4629,0)-1,0)*控制台!$C$4611</f>
        <v>20</v>
      </c>
      <c r="J95" s="1">
        <f>(_xlfn.FLOOR.MATH((C95-1)/20)+1)/2</f>
        <v>1</v>
      </c>
      <c r="K95" s="4">
        <f ca="1">IF(MOD(C95,4)=0,0,Lerp_dyy(H95,I95,J95))</f>
        <v>20</v>
      </c>
      <c r="L95" s="1">
        <f ca="1">OFFSET(控制台!$G$4617,MATCH(B95,控制台!$B$4617:$B$4629,0)-2,0)*控制台!$C$4612</f>
        <v>10</v>
      </c>
      <c r="M95" s="1">
        <f ca="1">OFFSET(控制台!$G$4617,MATCH(B95,控制台!$B$4617:$B$4629,0)-1,0)*控制台!$C$4612</f>
        <v>12</v>
      </c>
      <c r="N95" s="1">
        <v>1</v>
      </c>
      <c r="O95" s="4">
        <f ca="1">IF(MOD(C95,4)=0,Lerp_dyy(L95,M95,N95),0)</f>
        <v>0</v>
      </c>
    </row>
    <row r="96" spans="1:15">
      <c r="A96" s="1">
        <f t="shared" si="2"/>
        <v>331</v>
      </c>
      <c r="B96" s="1">
        <v>3</v>
      </c>
      <c r="C96" s="1">
        <v>31</v>
      </c>
      <c r="D96" s="1">
        <f ca="1">OFFSET(控制台!$C$4617,MATCH(B96,控制台!$B$4617:$B$4629,0)-2,0)*控制台!$C$4610</f>
        <v>20000</v>
      </c>
      <c r="E96" s="1">
        <f ca="1">OFFSET(控制台!$C$4617,MATCH(B96,控制台!$B$4617:$B$4629,0)-1,0)*控制台!$C$4610</f>
        <v>25000</v>
      </c>
      <c r="F96" s="1">
        <f>(_xlfn.FLOOR.MATH((C96-1)/8)+1)/5</f>
        <v>0.8</v>
      </c>
      <c r="G96" s="4">
        <f ca="1">Lerp_dyy(D96,E96,F96)</f>
        <v>24000</v>
      </c>
      <c r="H96" s="1">
        <f ca="1">OFFSET(控制台!$E$4617,MATCH(B96,控制台!$B$4617:$B$4629,0)-2,0)*控制台!$C$4611</f>
        <v>10</v>
      </c>
      <c r="I96" s="1">
        <f ca="1">OFFSET(控制台!$E$4617,MATCH(B96,控制台!$B$4617:$B$4629,0)-1,0)*控制台!$C$4611</f>
        <v>20</v>
      </c>
      <c r="J96" s="1">
        <f>(_xlfn.FLOOR.MATH((C96-1)/20)+1)/2</f>
        <v>1</v>
      </c>
      <c r="K96" s="4">
        <f ca="1">IF(MOD(C96,4)=0,0,Lerp_dyy(H96,I96,J96))</f>
        <v>20</v>
      </c>
      <c r="L96" s="1">
        <f ca="1">OFFSET(控制台!$G$4617,MATCH(B96,控制台!$B$4617:$B$4629,0)-2,0)*控制台!$C$4612</f>
        <v>10</v>
      </c>
      <c r="M96" s="1">
        <f ca="1">OFFSET(控制台!$G$4617,MATCH(B96,控制台!$B$4617:$B$4629,0)-1,0)*控制台!$C$4612</f>
        <v>12</v>
      </c>
      <c r="N96" s="1">
        <v>1</v>
      </c>
      <c r="O96" s="4">
        <f ca="1">IF(MOD(C96,4)=0,Lerp_dyy(L96,M96,N96),0)</f>
        <v>0</v>
      </c>
    </row>
    <row r="97" spans="1:15">
      <c r="A97" s="1">
        <f t="shared" si="2"/>
        <v>332</v>
      </c>
      <c r="B97" s="1">
        <v>3</v>
      </c>
      <c r="C97" s="1">
        <v>32</v>
      </c>
      <c r="D97" s="1">
        <f ca="1">OFFSET(控制台!$C$4617,MATCH(B97,控制台!$B$4617:$B$4629,0)-2,0)*控制台!$C$4610</f>
        <v>20000</v>
      </c>
      <c r="E97" s="1">
        <f ca="1">OFFSET(控制台!$C$4617,MATCH(B97,控制台!$B$4617:$B$4629,0)-1,0)*控制台!$C$4610</f>
        <v>25000</v>
      </c>
      <c r="F97" s="1">
        <f>(_xlfn.FLOOR.MATH((C97-1)/8)+1)/5</f>
        <v>0.8</v>
      </c>
      <c r="G97" s="4">
        <f ca="1">Lerp_dyy(D97,E97,F97)</f>
        <v>24000</v>
      </c>
      <c r="H97" s="1">
        <f ca="1">OFFSET(控制台!$E$4617,MATCH(B97,控制台!$B$4617:$B$4629,0)-2,0)*控制台!$C$4611</f>
        <v>10</v>
      </c>
      <c r="I97" s="1">
        <f ca="1">OFFSET(控制台!$E$4617,MATCH(B97,控制台!$B$4617:$B$4629,0)-1,0)*控制台!$C$4611</f>
        <v>20</v>
      </c>
      <c r="J97" s="1">
        <f>(_xlfn.FLOOR.MATH((C97-1)/20)+1)/2</f>
        <v>1</v>
      </c>
      <c r="K97" s="4">
        <f ca="1">IF(MOD(C97,4)=0,0,Lerp_dyy(H97,I97,J97))</f>
        <v>0</v>
      </c>
      <c r="L97" s="1">
        <f ca="1">OFFSET(控制台!$G$4617,MATCH(B97,控制台!$B$4617:$B$4629,0)-2,0)*控制台!$C$4612</f>
        <v>10</v>
      </c>
      <c r="M97" s="1">
        <f ca="1">OFFSET(控制台!$G$4617,MATCH(B97,控制台!$B$4617:$B$4629,0)-1,0)*控制台!$C$4612</f>
        <v>12</v>
      </c>
      <c r="N97" s="1">
        <v>1</v>
      </c>
      <c r="O97" s="4">
        <f ca="1">IF(MOD(C97,4)=0,Lerp_dyy(L97,M97,N97),0)</f>
        <v>12</v>
      </c>
    </row>
    <row r="98" spans="1:15">
      <c r="A98" s="1">
        <f t="shared" si="2"/>
        <v>333</v>
      </c>
      <c r="B98" s="1">
        <v>3</v>
      </c>
      <c r="C98" s="1">
        <v>33</v>
      </c>
      <c r="D98" s="1">
        <f ca="1">OFFSET(控制台!$C$4617,MATCH(B98,控制台!$B$4617:$B$4629,0)-2,0)*控制台!$C$4610</f>
        <v>20000</v>
      </c>
      <c r="E98" s="1">
        <f ca="1">OFFSET(控制台!$C$4617,MATCH(B98,控制台!$B$4617:$B$4629,0)-1,0)*控制台!$C$4610</f>
        <v>25000</v>
      </c>
      <c r="F98" s="1">
        <f>(_xlfn.FLOOR.MATH((C98-1)/8)+1)/5</f>
        <v>1</v>
      </c>
      <c r="G98" s="4">
        <f ca="1">Lerp_dyy(D98,E98,F98)</f>
        <v>25000</v>
      </c>
      <c r="H98" s="1">
        <f ca="1">OFFSET(控制台!$E$4617,MATCH(B98,控制台!$B$4617:$B$4629,0)-2,0)*控制台!$C$4611</f>
        <v>10</v>
      </c>
      <c r="I98" s="1">
        <f ca="1">OFFSET(控制台!$E$4617,MATCH(B98,控制台!$B$4617:$B$4629,0)-1,0)*控制台!$C$4611</f>
        <v>20</v>
      </c>
      <c r="J98" s="1">
        <f>(_xlfn.FLOOR.MATH((C98-1)/20)+1)/2</f>
        <v>1</v>
      </c>
      <c r="K98" s="4">
        <f ca="1">IF(MOD(C98,4)=0,0,Lerp_dyy(H98,I98,J98))</f>
        <v>20</v>
      </c>
      <c r="L98" s="1">
        <f ca="1">OFFSET(控制台!$G$4617,MATCH(B98,控制台!$B$4617:$B$4629,0)-2,0)*控制台!$C$4612</f>
        <v>10</v>
      </c>
      <c r="M98" s="1">
        <f ca="1">OFFSET(控制台!$G$4617,MATCH(B98,控制台!$B$4617:$B$4629,0)-1,0)*控制台!$C$4612</f>
        <v>12</v>
      </c>
      <c r="N98" s="1">
        <v>1</v>
      </c>
      <c r="O98" s="4">
        <f ca="1">IF(MOD(C98,4)=0,Lerp_dyy(L98,M98,N98),0)</f>
        <v>0</v>
      </c>
    </row>
    <row r="99" spans="1:15">
      <c r="A99" s="1">
        <f t="shared" si="2"/>
        <v>334</v>
      </c>
      <c r="B99" s="1">
        <v>3</v>
      </c>
      <c r="C99" s="1">
        <v>34</v>
      </c>
      <c r="D99" s="1">
        <f ca="1">OFFSET(控制台!$C$4617,MATCH(B99,控制台!$B$4617:$B$4629,0)-2,0)*控制台!$C$4610</f>
        <v>20000</v>
      </c>
      <c r="E99" s="1">
        <f ca="1">OFFSET(控制台!$C$4617,MATCH(B99,控制台!$B$4617:$B$4629,0)-1,0)*控制台!$C$4610</f>
        <v>25000</v>
      </c>
      <c r="F99" s="1">
        <f>(_xlfn.FLOOR.MATH((C99-1)/8)+1)/5</f>
        <v>1</v>
      </c>
      <c r="G99" s="4">
        <f ca="1">Lerp_dyy(D99,E99,F99)</f>
        <v>25000</v>
      </c>
      <c r="H99" s="1">
        <f ca="1">OFFSET(控制台!$E$4617,MATCH(B99,控制台!$B$4617:$B$4629,0)-2,0)*控制台!$C$4611</f>
        <v>10</v>
      </c>
      <c r="I99" s="1">
        <f ca="1">OFFSET(控制台!$E$4617,MATCH(B99,控制台!$B$4617:$B$4629,0)-1,0)*控制台!$C$4611</f>
        <v>20</v>
      </c>
      <c r="J99" s="1">
        <f>(_xlfn.FLOOR.MATH((C99-1)/20)+1)/2</f>
        <v>1</v>
      </c>
      <c r="K99" s="4">
        <f ca="1">IF(MOD(C99,4)=0,0,Lerp_dyy(H99,I99,J99))</f>
        <v>20</v>
      </c>
      <c r="L99" s="1">
        <f ca="1">OFFSET(控制台!$G$4617,MATCH(B99,控制台!$B$4617:$B$4629,0)-2,0)*控制台!$C$4612</f>
        <v>10</v>
      </c>
      <c r="M99" s="1">
        <f ca="1">OFFSET(控制台!$G$4617,MATCH(B99,控制台!$B$4617:$B$4629,0)-1,0)*控制台!$C$4612</f>
        <v>12</v>
      </c>
      <c r="N99" s="1">
        <v>1</v>
      </c>
      <c r="O99" s="4">
        <f ca="1">IF(MOD(C99,4)=0,Lerp_dyy(L99,M99,N99),0)</f>
        <v>0</v>
      </c>
    </row>
    <row r="100" spans="1:15">
      <c r="A100" s="1">
        <f t="shared" si="2"/>
        <v>335</v>
      </c>
      <c r="B100" s="1">
        <v>3</v>
      </c>
      <c r="C100" s="1">
        <v>35</v>
      </c>
      <c r="D100" s="1">
        <f ca="1">OFFSET(控制台!$C$4617,MATCH(B100,控制台!$B$4617:$B$4629,0)-2,0)*控制台!$C$4610</f>
        <v>20000</v>
      </c>
      <c r="E100" s="1">
        <f ca="1">OFFSET(控制台!$C$4617,MATCH(B100,控制台!$B$4617:$B$4629,0)-1,0)*控制台!$C$4610</f>
        <v>25000</v>
      </c>
      <c r="F100" s="1">
        <f>(_xlfn.FLOOR.MATH((C100-1)/8)+1)/5</f>
        <v>1</v>
      </c>
      <c r="G100" s="4">
        <f ca="1">Lerp_dyy(D100,E100,F100)</f>
        <v>25000</v>
      </c>
      <c r="H100" s="1">
        <f ca="1">OFFSET(控制台!$E$4617,MATCH(B100,控制台!$B$4617:$B$4629,0)-2,0)*控制台!$C$4611</f>
        <v>10</v>
      </c>
      <c r="I100" s="1">
        <f ca="1">OFFSET(控制台!$E$4617,MATCH(B100,控制台!$B$4617:$B$4629,0)-1,0)*控制台!$C$4611</f>
        <v>20</v>
      </c>
      <c r="J100" s="1">
        <f>(_xlfn.FLOOR.MATH((C100-1)/20)+1)/2</f>
        <v>1</v>
      </c>
      <c r="K100" s="4">
        <f ca="1">IF(MOD(C100,4)=0,0,Lerp_dyy(H100,I100,J100))</f>
        <v>20</v>
      </c>
      <c r="L100" s="1">
        <f ca="1">OFFSET(控制台!$G$4617,MATCH(B100,控制台!$B$4617:$B$4629,0)-2,0)*控制台!$C$4612</f>
        <v>10</v>
      </c>
      <c r="M100" s="1">
        <f ca="1">OFFSET(控制台!$G$4617,MATCH(B100,控制台!$B$4617:$B$4629,0)-1,0)*控制台!$C$4612</f>
        <v>12</v>
      </c>
      <c r="N100" s="1">
        <v>1</v>
      </c>
      <c r="O100" s="4">
        <f ca="1">IF(MOD(C100,4)=0,Lerp_dyy(L100,M100,N100),0)</f>
        <v>0</v>
      </c>
    </row>
    <row r="101" spans="1:15">
      <c r="A101" s="1">
        <f t="shared" si="2"/>
        <v>336</v>
      </c>
      <c r="B101" s="1">
        <v>3</v>
      </c>
      <c r="C101" s="1">
        <v>36</v>
      </c>
      <c r="D101" s="1">
        <f ca="1">OFFSET(控制台!$C$4617,MATCH(B101,控制台!$B$4617:$B$4629,0)-2,0)*控制台!$C$4610</f>
        <v>20000</v>
      </c>
      <c r="E101" s="1">
        <f ca="1">OFFSET(控制台!$C$4617,MATCH(B101,控制台!$B$4617:$B$4629,0)-1,0)*控制台!$C$4610</f>
        <v>25000</v>
      </c>
      <c r="F101" s="1">
        <f>(_xlfn.FLOOR.MATH((C101-1)/8)+1)/5</f>
        <v>1</v>
      </c>
      <c r="G101" s="4">
        <f ca="1">Lerp_dyy(D101,E101,F101)</f>
        <v>25000</v>
      </c>
      <c r="H101" s="1">
        <f ca="1">OFFSET(控制台!$E$4617,MATCH(B101,控制台!$B$4617:$B$4629,0)-2,0)*控制台!$C$4611</f>
        <v>10</v>
      </c>
      <c r="I101" s="1">
        <f ca="1">OFFSET(控制台!$E$4617,MATCH(B101,控制台!$B$4617:$B$4629,0)-1,0)*控制台!$C$4611</f>
        <v>20</v>
      </c>
      <c r="J101" s="1">
        <f>(_xlfn.FLOOR.MATH((C101-1)/20)+1)/2</f>
        <v>1</v>
      </c>
      <c r="K101" s="4">
        <f ca="1">IF(MOD(C101,4)=0,0,Lerp_dyy(H101,I101,J101))</f>
        <v>0</v>
      </c>
      <c r="L101" s="1">
        <f ca="1">OFFSET(控制台!$G$4617,MATCH(B101,控制台!$B$4617:$B$4629,0)-2,0)*控制台!$C$4612</f>
        <v>10</v>
      </c>
      <c r="M101" s="1">
        <f ca="1">OFFSET(控制台!$G$4617,MATCH(B101,控制台!$B$4617:$B$4629,0)-1,0)*控制台!$C$4612</f>
        <v>12</v>
      </c>
      <c r="N101" s="1">
        <v>1</v>
      </c>
      <c r="O101" s="4">
        <f ca="1">IF(MOD(C101,4)=0,Lerp_dyy(L101,M101,N101),0)</f>
        <v>12</v>
      </c>
    </row>
    <row r="102" spans="1:15">
      <c r="A102" s="1">
        <f t="shared" si="2"/>
        <v>337</v>
      </c>
      <c r="B102" s="1">
        <v>3</v>
      </c>
      <c r="C102" s="1">
        <v>37</v>
      </c>
      <c r="D102" s="1">
        <f ca="1">OFFSET(控制台!$C$4617,MATCH(B102,控制台!$B$4617:$B$4629,0)-2,0)*控制台!$C$4610</f>
        <v>20000</v>
      </c>
      <c r="E102" s="1">
        <f ca="1">OFFSET(控制台!$C$4617,MATCH(B102,控制台!$B$4617:$B$4629,0)-1,0)*控制台!$C$4610</f>
        <v>25000</v>
      </c>
      <c r="F102" s="1">
        <f>(_xlfn.FLOOR.MATH((C102-1)/8)+1)/5</f>
        <v>1</v>
      </c>
      <c r="G102" s="4">
        <f ca="1">Lerp_dyy(D102,E102,F102)</f>
        <v>25000</v>
      </c>
      <c r="H102" s="1">
        <f ca="1">OFFSET(控制台!$E$4617,MATCH(B102,控制台!$B$4617:$B$4629,0)-2,0)*控制台!$C$4611</f>
        <v>10</v>
      </c>
      <c r="I102" s="1">
        <f ca="1">OFFSET(控制台!$E$4617,MATCH(B102,控制台!$B$4617:$B$4629,0)-1,0)*控制台!$C$4611</f>
        <v>20</v>
      </c>
      <c r="J102" s="1">
        <f>(_xlfn.FLOOR.MATH((C102-1)/20)+1)/2</f>
        <v>1</v>
      </c>
      <c r="K102" s="4">
        <f ca="1">IF(MOD(C102,4)=0,0,Lerp_dyy(H102,I102,J102))</f>
        <v>20</v>
      </c>
      <c r="L102" s="1">
        <f ca="1">OFFSET(控制台!$G$4617,MATCH(B102,控制台!$B$4617:$B$4629,0)-2,0)*控制台!$C$4612</f>
        <v>10</v>
      </c>
      <c r="M102" s="1">
        <f ca="1">OFFSET(控制台!$G$4617,MATCH(B102,控制台!$B$4617:$B$4629,0)-1,0)*控制台!$C$4612</f>
        <v>12</v>
      </c>
      <c r="N102" s="1">
        <v>1</v>
      </c>
      <c r="O102" s="4">
        <f ca="1">IF(MOD(C102,4)=0,Lerp_dyy(L102,M102,N102),0)</f>
        <v>0</v>
      </c>
    </row>
    <row r="103" spans="1:15">
      <c r="A103" s="1">
        <f t="shared" si="2"/>
        <v>338</v>
      </c>
      <c r="B103" s="1">
        <v>3</v>
      </c>
      <c r="C103" s="1">
        <v>38</v>
      </c>
      <c r="D103" s="1">
        <f ca="1">OFFSET(控制台!$C$4617,MATCH(B103,控制台!$B$4617:$B$4629,0)-2,0)*控制台!$C$4610</f>
        <v>20000</v>
      </c>
      <c r="E103" s="1">
        <f ca="1">OFFSET(控制台!$C$4617,MATCH(B103,控制台!$B$4617:$B$4629,0)-1,0)*控制台!$C$4610</f>
        <v>25000</v>
      </c>
      <c r="F103" s="1">
        <f>(_xlfn.FLOOR.MATH((C103-1)/8)+1)/5</f>
        <v>1</v>
      </c>
      <c r="G103" s="4">
        <f ca="1">Lerp_dyy(D103,E103,F103)</f>
        <v>25000</v>
      </c>
      <c r="H103" s="1">
        <f ca="1">OFFSET(控制台!$E$4617,MATCH(B103,控制台!$B$4617:$B$4629,0)-2,0)*控制台!$C$4611</f>
        <v>10</v>
      </c>
      <c r="I103" s="1">
        <f ca="1">OFFSET(控制台!$E$4617,MATCH(B103,控制台!$B$4617:$B$4629,0)-1,0)*控制台!$C$4611</f>
        <v>20</v>
      </c>
      <c r="J103" s="1">
        <f>(_xlfn.FLOOR.MATH((C103-1)/20)+1)/2</f>
        <v>1</v>
      </c>
      <c r="K103" s="4">
        <f ca="1">IF(MOD(C103,4)=0,0,Lerp_dyy(H103,I103,J103))</f>
        <v>20</v>
      </c>
      <c r="L103" s="1">
        <f ca="1">OFFSET(控制台!$G$4617,MATCH(B103,控制台!$B$4617:$B$4629,0)-2,0)*控制台!$C$4612</f>
        <v>10</v>
      </c>
      <c r="M103" s="1">
        <f ca="1">OFFSET(控制台!$G$4617,MATCH(B103,控制台!$B$4617:$B$4629,0)-1,0)*控制台!$C$4612</f>
        <v>12</v>
      </c>
      <c r="N103" s="1">
        <v>1</v>
      </c>
      <c r="O103" s="4">
        <f ca="1">IF(MOD(C103,4)=0,Lerp_dyy(L103,M103,N103),0)</f>
        <v>0</v>
      </c>
    </row>
    <row r="104" spans="1:15">
      <c r="A104" s="1">
        <f t="shared" si="2"/>
        <v>339</v>
      </c>
      <c r="B104" s="1">
        <v>3</v>
      </c>
      <c r="C104" s="1">
        <v>39</v>
      </c>
      <c r="D104" s="1">
        <f ca="1">OFFSET(控制台!$C$4617,MATCH(B104,控制台!$B$4617:$B$4629,0)-2,0)*控制台!$C$4610</f>
        <v>20000</v>
      </c>
      <c r="E104" s="1">
        <f ca="1">OFFSET(控制台!$C$4617,MATCH(B104,控制台!$B$4617:$B$4629,0)-1,0)*控制台!$C$4610</f>
        <v>25000</v>
      </c>
      <c r="F104" s="1">
        <f>(_xlfn.FLOOR.MATH((C104-1)/8)+1)/5</f>
        <v>1</v>
      </c>
      <c r="G104" s="4">
        <f ca="1">Lerp_dyy(D104,E104,F104)</f>
        <v>25000</v>
      </c>
      <c r="H104" s="1">
        <f ca="1">OFFSET(控制台!$E$4617,MATCH(B104,控制台!$B$4617:$B$4629,0)-2,0)*控制台!$C$4611</f>
        <v>10</v>
      </c>
      <c r="I104" s="1">
        <f ca="1">OFFSET(控制台!$E$4617,MATCH(B104,控制台!$B$4617:$B$4629,0)-1,0)*控制台!$C$4611</f>
        <v>20</v>
      </c>
      <c r="J104" s="1">
        <f>(_xlfn.FLOOR.MATH((C104-1)/20)+1)/2</f>
        <v>1</v>
      </c>
      <c r="K104" s="4">
        <f ca="1">IF(MOD(C104,4)=0,0,Lerp_dyy(H104,I104,J104))</f>
        <v>20</v>
      </c>
      <c r="L104" s="1">
        <f ca="1">OFFSET(控制台!$G$4617,MATCH(B104,控制台!$B$4617:$B$4629,0)-2,0)*控制台!$C$4612</f>
        <v>10</v>
      </c>
      <c r="M104" s="1">
        <f ca="1">OFFSET(控制台!$G$4617,MATCH(B104,控制台!$B$4617:$B$4629,0)-1,0)*控制台!$C$4612</f>
        <v>12</v>
      </c>
      <c r="N104" s="1">
        <v>1</v>
      </c>
      <c r="O104" s="4">
        <f ca="1">IF(MOD(C104,4)=0,Lerp_dyy(L104,M104,N104),0)</f>
        <v>0</v>
      </c>
    </row>
    <row r="105" spans="1:15">
      <c r="A105" s="1">
        <f t="shared" si="2"/>
        <v>340</v>
      </c>
      <c r="B105" s="1">
        <v>3</v>
      </c>
      <c r="C105" s="1">
        <v>40</v>
      </c>
      <c r="D105" s="1">
        <f ca="1">OFFSET(控制台!$C$4617,MATCH(B105,控制台!$B$4617:$B$4629,0)-2,0)*控制台!$C$4610</f>
        <v>20000</v>
      </c>
      <c r="E105" s="1">
        <f ca="1">OFFSET(控制台!$C$4617,MATCH(B105,控制台!$B$4617:$B$4629,0)-1,0)*控制台!$C$4610</f>
        <v>25000</v>
      </c>
      <c r="F105" s="1">
        <f>(_xlfn.FLOOR.MATH((C105-1)/8)+1)/5</f>
        <v>1</v>
      </c>
      <c r="G105" s="4">
        <f ca="1">Lerp_dyy(D105,E105,F105)</f>
        <v>25000</v>
      </c>
      <c r="H105" s="1">
        <f ca="1">OFFSET(控制台!$E$4617,MATCH(B105,控制台!$B$4617:$B$4629,0)-2,0)*控制台!$C$4611</f>
        <v>10</v>
      </c>
      <c r="I105" s="1">
        <f ca="1">OFFSET(控制台!$E$4617,MATCH(B105,控制台!$B$4617:$B$4629,0)-1,0)*控制台!$C$4611</f>
        <v>20</v>
      </c>
      <c r="J105" s="1">
        <f>(_xlfn.FLOOR.MATH((C105-1)/20)+1)/2</f>
        <v>1</v>
      </c>
      <c r="K105" s="4">
        <f ca="1">IF(MOD(C105,4)=0,0,Lerp_dyy(H105,I105,J105))</f>
        <v>0</v>
      </c>
      <c r="L105" s="1">
        <f ca="1">OFFSET(控制台!$G$4617,MATCH(B105,控制台!$B$4617:$B$4629,0)-2,0)*控制台!$C$4612</f>
        <v>10</v>
      </c>
      <c r="M105" s="1">
        <f ca="1">OFFSET(控制台!$G$4617,MATCH(B105,控制台!$B$4617:$B$4629,0)-1,0)*控制台!$C$4612</f>
        <v>12</v>
      </c>
      <c r="N105" s="1">
        <v>1</v>
      </c>
      <c r="O105" s="4">
        <f ca="1">IF(MOD(C105,4)=0,Lerp_dyy(L105,M105,N105),0)</f>
        <v>12</v>
      </c>
    </row>
    <row r="106" spans="1:15">
      <c r="A106" s="1">
        <f t="shared" si="2"/>
        <v>401</v>
      </c>
      <c r="B106" s="1">
        <v>4</v>
      </c>
      <c r="C106" s="1">
        <v>1</v>
      </c>
      <c r="D106" s="1">
        <f ca="1">OFFSET(控制台!$C$4617,MATCH(B106,控制台!$B$4617:$B$4629,0)-2,0)*控制台!$C$4610</f>
        <v>25000</v>
      </c>
      <c r="E106" s="1">
        <f ca="1">OFFSET(控制台!$C$4617,MATCH(B106,控制台!$B$4617:$B$4629,0)-1,0)*控制台!$C$4610</f>
        <v>30000</v>
      </c>
      <c r="F106" s="1">
        <f>(_xlfn.FLOOR.MATH((C106-1)/8)+1)/5</f>
        <v>0.2</v>
      </c>
      <c r="G106" s="4">
        <f ca="1">Lerp_dyy(D106,E106,F106)</f>
        <v>26000</v>
      </c>
      <c r="H106" s="1">
        <f ca="1">OFFSET(控制台!$E$4617,MATCH(B106,控制台!$B$4617:$B$4629,0)-2,0)*控制台!$C$4611</f>
        <v>20</v>
      </c>
      <c r="I106" s="1">
        <f ca="1">OFFSET(控制台!$E$4617,MATCH(B106,控制台!$B$4617:$B$4629,0)-1,0)*控制台!$C$4611</f>
        <v>20</v>
      </c>
      <c r="J106" s="1">
        <f>(_xlfn.FLOOR.MATH((C106-1)/20)+1)/2</f>
        <v>0.5</v>
      </c>
      <c r="K106" s="4">
        <f ca="1">IF(MOD(C106,4)=0,0,Lerp_dyy(H106,I106,J106))</f>
        <v>20</v>
      </c>
      <c r="L106" s="1">
        <f ca="1">OFFSET(控制台!$G$4617,MATCH(B106,控制台!$B$4617:$B$4629,0)-2,0)*控制台!$C$4612</f>
        <v>12</v>
      </c>
      <c r="M106" s="1">
        <f ca="1">OFFSET(控制台!$G$4617,MATCH(B106,控制台!$B$4617:$B$4629,0)-1,0)*控制台!$C$4612</f>
        <v>12</v>
      </c>
      <c r="N106" s="1">
        <v>1</v>
      </c>
      <c r="O106" s="4">
        <f ca="1">IF(MOD(C106,4)=0,Lerp_dyy(L106,M106,N106),0)</f>
        <v>0</v>
      </c>
    </row>
    <row r="107" spans="1:15">
      <c r="A107" s="1">
        <f t="shared" si="2"/>
        <v>402</v>
      </c>
      <c r="B107" s="1">
        <v>4</v>
      </c>
      <c r="C107" s="1">
        <v>2</v>
      </c>
      <c r="D107" s="1">
        <f ca="1">OFFSET(控制台!$C$4617,MATCH(B107,控制台!$B$4617:$B$4629,0)-2,0)*控制台!$C$4610</f>
        <v>25000</v>
      </c>
      <c r="E107" s="1">
        <f ca="1">OFFSET(控制台!$C$4617,MATCH(B107,控制台!$B$4617:$B$4629,0)-1,0)*控制台!$C$4610</f>
        <v>30000</v>
      </c>
      <c r="F107" s="1">
        <f>(_xlfn.FLOOR.MATH((C107-1)/8)+1)/5</f>
        <v>0.2</v>
      </c>
      <c r="G107" s="4">
        <f ca="1">Lerp_dyy(D107,E107,F107)</f>
        <v>26000</v>
      </c>
      <c r="H107" s="1">
        <f ca="1">OFFSET(控制台!$E$4617,MATCH(B107,控制台!$B$4617:$B$4629,0)-2,0)*控制台!$C$4611</f>
        <v>20</v>
      </c>
      <c r="I107" s="1">
        <f ca="1">OFFSET(控制台!$E$4617,MATCH(B107,控制台!$B$4617:$B$4629,0)-1,0)*控制台!$C$4611</f>
        <v>20</v>
      </c>
      <c r="J107" s="1">
        <f>(_xlfn.FLOOR.MATH((C107-1)/20)+1)/2</f>
        <v>0.5</v>
      </c>
      <c r="K107" s="4">
        <f ca="1">IF(MOD(C107,4)=0,0,Lerp_dyy(H107,I107,J107))</f>
        <v>20</v>
      </c>
      <c r="L107" s="1">
        <f ca="1">OFFSET(控制台!$G$4617,MATCH(B107,控制台!$B$4617:$B$4629,0)-2,0)*控制台!$C$4612</f>
        <v>12</v>
      </c>
      <c r="M107" s="1">
        <f ca="1">OFFSET(控制台!$G$4617,MATCH(B107,控制台!$B$4617:$B$4629,0)-1,0)*控制台!$C$4612</f>
        <v>12</v>
      </c>
      <c r="N107" s="1">
        <v>1</v>
      </c>
      <c r="O107" s="4">
        <f ca="1">IF(MOD(C107,4)=0,Lerp_dyy(L107,M107,N107),0)</f>
        <v>0</v>
      </c>
    </row>
    <row r="108" spans="1:15">
      <c r="A108" s="1">
        <f t="shared" si="2"/>
        <v>403</v>
      </c>
      <c r="B108" s="1">
        <v>4</v>
      </c>
      <c r="C108" s="1">
        <v>3</v>
      </c>
      <c r="D108" s="1">
        <f ca="1">OFFSET(控制台!$C$4617,MATCH(B108,控制台!$B$4617:$B$4629,0)-2,0)*控制台!$C$4610</f>
        <v>25000</v>
      </c>
      <c r="E108" s="1">
        <f ca="1">OFFSET(控制台!$C$4617,MATCH(B108,控制台!$B$4617:$B$4629,0)-1,0)*控制台!$C$4610</f>
        <v>30000</v>
      </c>
      <c r="F108" s="1">
        <f>(_xlfn.FLOOR.MATH((C108-1)/8)+1)/5</f>
        <v>0.2</v>
      </c>
      <c r="G108" s="4">
        <f ca="1">Lerp_dyy(D108,E108,F108)</f>
        <v>26000</v>
      </c>
      <c r="H108" s="1">
        <f ca="1">OFFSET(控制台!$E$4617,MATCH(B108,控制台!$B$4617:$B$4629,0)-2,0)*控制台!$C$4611</f>
        <v>20</v>
      </c>
      <c r="I108" s="1">
        <f ca="1">OFFSET(控制台!$E$4617,MATCH(B108,控制台!$B$4617:$B$4629,0)-1,0)*控制台!$C$4611</f>
        <v>20</v>
      </c>
      <c r="J108" s="1">
        <f>(_xlfn.FLOOR.MATH((C108-1)/20)+1)/2</f>
        <v>0.5</v>
      </c>
      <c r="K108" s="4">
        <f ca="1">IF(MOD(C108,4)=0,0,Lerp_dyy(H108,I108,J108))</f>
        <v>20</v>
      </c>
      <c r="L108" s="1">
        <f ca="1">OFFSET(控制台!$G$4617,MATCH(B108,控制台!$B$4617:$B$4629,0)-2,0)*控制台!$C$4612</f>
        <v>12</v>
      </c>
      <c r="M108" s="1">
        <f ca="1">OFFSET(控制台!$G$4617,MATCH(B108,控制台!$B$4617:$B$4629,0)-1,0)*控制台!$C$4612</f>
        <v>12</v>
      </c>
      <c r="N108" s="1">
        <v>1</v>
      </c>
      <c r="O108" s="4">
        <f ca="1">IF(MOD(C108,4)=0,Lerp_dyy(L108,M108,N108),0)</f>
        <v>0</v>
      </c>
    </row>
    <row r="109" spans="1:15">
      <c r="A109" s="1">
        <f t="shared" si="2"/>
        <v>404</v>
      </c>
      <c r="B109" s="1">
        <v>4</v>
      </c>
      <c r="C109" s="1">
        <v>4</v>
      </c>
      <c r="D109" s="1">
        <f ca="1">OFFSET(控制台!$C$4617,MATCH(B109,控制台!$B$4617:$B$4629,0)-2,0)*控制台!$C$4610</f>
        <v>25000</v>
      </c>
      <c r="E109" s="1">
        <f ca="1">OFFSET(控制台!$C$4617,MATCH(B109,控制台!$B$4617:$B$4629,0)-1,0)*控制台!$C$4610</f>
        <v>30000</v>
      </c>
      <c r="F109" s="1">
        <f>(_xlfn.FLOOR.MATH((C109-1)/8)+1)/5</f>
        <v>0.2</v>
      </c>
      <c r="G109" s="4">
        <f ca="1">Lerp_dyy(D109,E109,F109)</f>
        <v>26000</v>
      </c>
      <c r="H109" s="1">
        <f ca="1">OFFSET(控制台!$E$4617,MATCH(B109,控制台!$B$4617:$B$4629,0)-2,0)*控制台!$C$4611</f>
        <v>20</v>
      </c>
      <c r="I109" s="1">
        <f ca="1">OFFSET(控制台!$E$4617,MATCH(B109,控制台!$B$4617:$B$4629,0)-1,0)*控制台!$C$4611</f>
        <v>20</v>
      </c>
      <c r="J109" s="1">
        <f>(_xlfn.FLOOR.MATH((C109-1)/20)+1)/2</f>
        <v>0.5</v>
      </c>
      <c r="K109" s="4">
        <f ca="1">IF(MOD(C109,4)=0,0,Lerp_dyy(H109,I109,J109))</f>
        <v>0</v>
      </c>
      <c r="L109" s="1">
        <f ca="1">OFFSET(控制台!$G$4617,MATCH(B109,控制台!$B$4617:$B$4629,0)-2,0)*控制台!$C$4612</f>
        <v>12</v>
      </c>
      <c r="M109" s="1">
        <f ca="1">OFFSET(控制台!$G$4617,MATCH(B109,控制台!$B$4617:$B$4629,0)-1,0)*控制台!$C$4612</f>
        <v>12</v>
      </c>
      <c r="N109" s="1">
        <v>1</v>
      </c>
      <c r="O109" s="4">
        <f ca="1">IF(MOD(C109,4)=0,Lerp_dyy(L109,M109,N109),0)</f>
        <v>12</v>
      </c>
    </row>
    <row r="110" spans="1:15">
      <c r="A110" s="1">
        <f t="shared" si="2"/>
        <v>405</v>
      </c>
      <c r="B110" s="1">
        <v>4</v>
      </c>
      <c r="C110" s="1">
        <v>5</v>
      </c>
      <c r="D110" s="1">
        <f ca="1">OFFSET(控制台!$C$4617,MATCH(B110,控制台!$B$4617:$B$4629,0)-2,0)*控制台!$C$4610</f>
        <v>25000</v>
      </c>
      <c r="E110" s="1">
        <f ca="1">OFFSET(控制台!$C$4617,MATCH(B110,控制台!$B$4617:$B$4629,0)-1,0)*控制台!$C$4610</f>
        <v>30000</v>
      </c>
      <c r="F110" s="1">
        <f>(_xlfn.FLOOR.MATH((C110-1)/8)+1)/5</f>
        <v>0.2</v>
      </c>
      <c r="G110" s="4">
        <f ca="1">Lerp_dyy(D110,E110,F110)</f>
        <v>26000</v>
      </c>
      <c r="H110" s="1">
        <f ca="1">OFFSET(控制台!$E$4617,MATCH(B110,控制台!$B$4617:$B$4629,0)-2,0)*控制台!$C$4611</f>
        <v>20</v>
      </c>
      <c r="I110" s="1">
        <f ca="1">OFFSET(控制台!$E$4617,MATCH(B110,控制台!$B$4617:$B$4629,0)-1,0)*控制台!$C$4611</f>
        <v>20</v>
      </c>
      <c r="J110" s="1">
        <f>(_xlfn.FLOOR.MATH((C110-1)/20)+1)/2</f>
        <v>0.5</v>
      </c>
      <c r="K110" s="4">
        <f ca="1">IF(MOD(C110,4)=0,0,Lerp_dyy(H110,I110,J110))</f>
        <v>20</v>
      </c>
      <c r="L110" s="1">
        <f ca="1">OFFSET(控制台!$G$4617,MATCH(B110,控制台!$B$4617:$B$4629,0)-2,0)*控制台!$C$4612</f>
        <v>12</v>
      </c>
      <c r="M110" s="1">
        <f ca="1">OFFSET(控制台!$G$4617,MATCH(B110,控制台!$B$4617:$B$4629,0)-1,0)*控制台!$C$4612</f>
        <v>12</v>
      </c>
      <c r="N110" s="1">
        <v>1</v>
      </c>
      <c r="O110" s="4">
        <f ca="1">IF(MOD(C110,4)=0,Lerp_dyy(L110,M110,N110),0)</f>
        <v>0</v>
      </c>
    </row>
    <row r="111" spans="1:15">
      <c r="A111" s="1">
        <f t="shared" si="2"/>
        <v>406</v>
      </c>
      <c r="B111" s="1">
        <v>4</v>
      </c>
      <c r="C111" s="1">
        <v>6</v>
      </c>
      <c r="D111" s="1">
        <f ca="1">OFFSET(控制台!$C$4617,MATCH(B111,控制台!$B$4617:$B$4629,0)-2,0)*控制台!$C$4610</f>
        <v>25000</v>
      </c>
      <c r="E111" s="1">
        <f ca="1">OFFSET(控制台!$C$4617,MATCH(B111,控制台!$B$4617:$B$4629,0)-1,0)*控制台!$C$4610</f>
        <v>30000</v>
      </c>
      <c r="F111" s="1">
        <f>(_xlfn.FLOOR.MATH((C111-1)/8)+1)/5</f>
        <v>0.2</v>
      </c>
      <c r="G111" s="4">
        <f ca="1">Lerp_dyy(D111,E111,F111)</f>
        <v>26000</v>
      </c>
      <c r="H111" s="1">
        <f ca="1">OFFSET(控制台!$E$4617,MATCH(B111,控制台!$B$4617:$B$4629,0)-2,0)*控制台!$C$4611</f>
        <v>20</v>
      </c>
      <c r="I111" s="1">
        <f ca="1">OFFSET(控制台!$E$4617,MATCH(B111,控制台!$B$4617:$B$4629,0)-1,0)*控制台!$C$4611</f>
        <v>20</v>
      </c>
      <c r="J111" s="1">
        <f>(_xlfn.FLOOR.MATH((C111-1)/20)+1)/2</f>
        <v>0.5</v>
      </c>
      <c r="K111" s="4">
        <f ca="1">IF(MOD(C111,4)=0,0,Lerp_dyy(H111,I111,J111))</f>
        <v>20</v>
      </c>
      <c r="L111" s="1">
        <f ca="1">OFFSET(控制台!$G$4617,MATCH(B111,控制台!$B$4617:$B$4629,0)-2,0)*控制台!$C$4612</f>
        <v>12</v>
      </c>
      <c r="M111" s="1">
        <f ca="1">OFFSET(控制台!$G$4617,MATCH(B111,控制台!$B$4617:$B$4629,0)-1,0)*控制台!$C$4612</f>
        <v>12</v>
      </c>
      <c r="N111" s="1">
        <v>1</v>
      </c>
      <c r="O111" s="4">
        <f ca="1">IF(MOD(C111,4)=0,Lerp_dyy(L111,M111,N111),0)</f>
        <v>0</v>
      </c>
    </row>
    <row r="112" spans="1:15">
      <c r="A112" s="1">
        <f t="shared" si="2"/>
        <v>407</v>
      </c>
      <c r="B112" s="1">
        <v>4</v>
      </c>
      <c r="C112" s="1">
        <v>7</v>
      </c>
      <c r="D112" s="1">
        <f ca="1">OFFSET(控制台!$C$4617,MATCH(B112,控制台!$B$4617:$B$4629,0)-2,0)*控制台!$C$4610</f>
        <v>25000</v>
      </c>
      <c r="E112" s="1">
        <f ca="1">OFFSET(控制台!$C$4617,MATCH(B112,控制台!$B$4617:$B$4629,0)-1,0)*控制台!$C$4610</f>
        <v>30000</v>
      </c>
      <c r="F112" s="1">
        <f>(_xlfn.FLOOR.MATH((C112-1)/8)+1)/5</f>
        <v>0.2</v>
      </c>
      <c r="G112" s="4">
        <f ca="1">Lerp_dyy(D112,E112,F112)</f>
        <v>26000</v>
      </c>
      <c r="H112" s="1">
        <f ca="1">OFFSET(控制台!$E$4617,MATCH(B112,控制台!$B$4617:$B$4629,0)-2,0)*控制台!$C$4611</f>
        <v>20</v>
      </c>
      <c r="I112" s="1">
        <f ca="1">OFFSET(控制台!$E$4617,MATCH(B112,控制台!$B$4617:$B$4629,0)-1,0)*控制台!$C$4611</f>
        <v>20</v>
      </c>
      <c r="J112" s="1">
        <f>(_xlfn.FLOOR.MATH((C112-1)/20)+1)/2</f>
        <v>0.5</v>
      </c>
      <c r="K112" s="4">
        <f ca="1">IF(MOD(C112,4)=0,0,Lerp_dyy(H112,I112,J112))</f>
        <v>20</v>
      </c>
      <c r="L112" s="1">
        <f ca="1">OFFSET(控制台!$G$4617,MATCH(B112,控制台!$B$4617:$B$4629,0)-2,0)*控制台!$C$4612</f>
        <v>12</v>
      </c>
      <c r="M112" s="1">
        <f ca="1">OFFSET(控制台!$G$4617,MATCH(B112,控制台!$B$4617:$B$4629,0)-1,0)*控制台!$C$4612</f>
        <v>12</v>
      </c>
      <c r="N112" s="1">
        <v>1</v>
      </c>
      <c r="O112" s="4">
        <f ca="1">IF(MOD(C112,4)=0,Lerp_dyy(L112,M112,N112),0)</f>
        <v>0</v>
      </c>
    </row>
    <row r="113" spans="1:15">
      <c r="A113" s="1">
        <f t="shared" si="2"/>
        <v>408</v>
      </c>
      <c r="B113" s="1">
        <v>4</v>
      </c>
      <c r="C113" s="1">
        <v>8</v>
      </c>
      <c r="D113" s="1">
        <f ca="1">OFFSET(控制台!$C$4617,MATCH(B113,控制台!$B$4617:$B$4629,0)-2,0)*控制台!$C$4610</f>
        <v>25000</v>
      </c>
      <c r="E113" s="1">
        <f ca="1">OFFSET(控制台!$C$4617,MATCH(B113,控制台!$B$4617:$B$4629,0)-1,0)*控制台!$C$4610</f>
        <v>30000</v>
      </c>
      <c r="F113" s="1">
        <f>(_xlfn.FLOOR.MATH((C113-1)/8)+1)/5</f>
        <v>0.2</v>
      </c>
      <c r="G113" s="4">
        <f ca="1">Lerp_dyy(D113,E113,F113)</f>
        <v>26000</v>
      </c>
      <c r="H113" s="1">
        <f ca="1">OFFSET(控制台!$E$4617,MATCH(B113,控制台!$B$4617:$B$4629,0)-2,0)*控制台!$C$4611</f>
        <v>20</v>
      </c>
      <c r="I113" s="1">
        <f ca="1">OFFSET(控制台!$E$4617,MATCH(B113,控制台!$B$4617:$B$4629,0)-1,0)*控制台!$C$4611</f>
        <v>20</v>
      </c>
      <c r="J113" s="1">
        <f>(_xlfn.FLOOR.MATH((C113-1)/20)+1)/2</f>
        <v>0.5</v>
      </c>
      <c r="K113" s="4">
        <f ca="1">IF(MOD(C113,4)=0,0,Lerp_dyy(H113,I113,J113))</f>
        <v>0</v>
      </c>
      <c r="L113" s="1">
        <f ca="1">OFFSET(控制台!$G$4617,MATCH(B113,控制台!$B$4617:$B$4629,0)-2,0)*控制台!$C$4612</f>
        <v>12</v>
      </c>
      <c r="M113" s="1">
        <f ca="1">OFFSET(控制台!$G$4617,MATCH(B113,控制台!$B$4617:$B$4629,0)-1,0)*控制台!$C$4612</f>
        <v>12</v>
      </c>
      <c r="N113" s="1">
        <v>1</v>
      </c>
      <c r="O113" s="4">
        <f ca="1">IF(MOD(C113,4)=0,Lerp_dyy(L113,M113,N113),0)</f>
        <v>12</v>
      </c>
    </row>
    <row r="114" spans="1:15">
      <c r="A114" s="1">
        <f t="shared" si="2"/>
        <v>409</v>
      </c>
      <c r="B114" s="1">
        <v>4</v>
      </c>
      <c r="C114" s="1">
        <v>9</v>
      </c>
      <c r="D114" s="1">
        <f ca="1">OFFSET(控制台!$C$4617,MATCH(B114,控制台!$B$4617:$B$4629,0)-2,0)*控制台!$C$4610</f>
        <v>25000</v>
      </c>
      <c r="E114" s="1">
        <f ca="1">OFFSET(控制台!$C$4617,MATCH(B114,控制台!$B$4617:$B$4629,0)-1,0)*控制台!$C$4610</f>
        <v>30000</v>
      </c>
      <c r="F114" s="1">
        <f>(_xlfn.FLOOR.MATH((C114-1)/8)+1)/5</f>
        <v>0.4</v>
      </c>
      <c r="G114" s="4">
        <f ca="1">Lerp_dyy(D114,E114,F114)</f>
        <v>27000</v>
      </c>
      <c r="H114" s="1">
        <f ca="1">OFFSET(控制台!$E$4617,MATCH(B114,控制台!$B$4617:$B$4629,0)-2,0)*控制台!$C$4611</f>
        <v>20</v>
      </c>
      <c r="I114" s="1">
        <f ca="1">OFFSET(控制台!$E$4617,MATCH(B114,控制台!$B$4617:$B$4629,0)-1,0)*控制台!$C$4611</f>
        <v>20</v>
      </c>
      <c r="J114" s="1">
        <f>(_xlfn.FLOOR.MATH((C114-1)/20)+1)/2</f>
        <v>0.5</v>
      </c>
      <c r="K114" s="4">
        <f ca="1">IF(MOD(C114,4)=0,0,Lerp_dyy(H114,I114,J114))</f>
        <v>20</v>
      </c>
      <c r="L114" s="1">
        <f ca="1">OFFSET(控制台!$G$4617,MATCH(B114,控制台!$B$4617:$B$4629,0)-2,0)*控制台!$C$4612</f>
        <v>12</v>
      </c>
      <c r="M114" s="1">
        <f ca="1">OFFSET(控制台!$G$4617,MATCH(B114,控制台!$B$4617:$B$4629,0)-1,0)*控制台!$C$4612</f>
        <v>12</v>
      </c>
      <c r="N114" s="1">
        <v>1</v>
      </c>
      <c r="O114" s="4">
        <f ca="1">IF(MOD(C114,4)=0,Lerp_dyy(L114,M114,N114),0)</f>
        <v>0</v>
      </c>
    </row>
    <row r="115" spans="1:15">
      <c r="A115" s="1">
        <f t="shared" si="2"/>
        <v>410</v>
      </c>
      <c r="B115" s="1">
        <v>4</v>
      </c>
      <c r="C115" s="1">
        <v>10</v>
      </c>
      <c r="D115" s="1">
        <f ca="1">OFFSET(控制台!$C$4617,MATCH(B115,控制台!$B$4617:$B$4629,0)-2,0)*控制台!$C$4610</f>
        <v>25000</v>
      </c>
      <c r="E115" s="1">
        <f ca="1">OFFSET(控制台!$C$4617,MATCH(B115,控制台!$B$4617:$B$4629,0)-1,0)*控制台!$C$4610</f>
        <v>30000</v>
      </c>
      <c r="F115" s="1">
        <f>(_xlfn.FLOOR.MATH((C115-1)/8)+1)/5</f>
        <v>0.4</v>
      </c>
      <c r="G115" s="4">
        <f ca="1">Lerp_dyy(D115,E115,F115)</f>
        <v>27000</v>
      </c>
      <c r="H115" s="1">
        <f ca="1">OFFSET(控制台!$E$4617,MATCH(B115,控制台!$B$4617:$B$4629,0)-2,0)*控制台!$C$4611</f>
        <v>20</v>
      </c>
      <c r="I115" s="1">
        <f ca="1">OFFSET(控制台!$E$4617,MATCH(B115,控制台!$B$4617:$B$4629,0)-1,0)*控制台!$C$4611</f>
        <v>20</v>
      </c>
      <c r="J115" s="1">
        <f>(_xlfn.FLOOR.MATH((C115-1)/20)+1)/2</f>
        <v>0.5</v>
      </c>
      <c r="K115" s="4">
        <f ca="1">IF(MOD(C115,4)=0,0,Lerp_dyy(H115,I115,J115))</f>
        <v>20</v>
      </c>
      <c r="L115" s="1">
        <f ca="1">OFFSET(控制台!$G$4617,MATCH(B115,控制台!$B$4617:$B$4629,0)-2,0)*控制台!$C$4612</f>
        <v>12</v>
      </c>
      <c r="M115" s="1">
        <f ca="1">OFFSET(控制台!$G$4617,MATCH(B115,控制台!$B$4617:$B$4629,0)-1,0)*控制台!$C$4612</f>
        <v>12</v>
      </c>
      <c r="N115" s="1">
        <v>1</v>
      </c>
      <c r="O115" s="4">
        <f ca="1">IF(MOD(C115,4)=0,Lerp_dyy(L115,M115,N115),0)</f>
        <v>0</v>
      </c>
    </row>
    <row r="116" spans="1:15">
      <c r="A116" s="1">
        <f t="shared" si="2"/>
        <v>411</v>
      </c>
      <c r="B116" s="1">
        <v>4</v>
      </c>
      <c r="C116" s="1">
        <v>11</v>
      </c>
      <c r="D116" s="1">
        <f ca="1">OFFSET(控制台!$C$4617,MATCH(B116,控制台!$B$4617:$B$4629,0)-2,0)*控制台!$C$4610</f>
        <v>25000</v>
      </c>
      <c r="E116" s="1">
        <f ca="1">OFFSET(控制台!$C$4617,MATCH(B116,控制台!$B$4617:$B$4629,0)-1,0)*控制台!$C$4610</f>
        <v>30000</v>
      </c>
      <c r="F116" s="1">
        <f>(_xlfn.FLOOR.MATH((C116-1)/8)+1)/5</f>
        <v>0.4</v>
      </c>
      <c r="G116" s="4">
        <f ca="1">Lerp_dyy(D116,E116,F116)</f>
        <v>27000</v>
      </c>
      <c r="H116" s="1">
        <f ca="1">OFFSET(控制台!$E$4617,MATCH(B116,控制台!$B$4617:$B$4629,0)-2,0)*控制台!$C$4611</f>
        <v>20</v>
      </c>
      <c r="I116" s="1">
        <f ca="1">OFFSET(控制台!$E$4617,MATCH(B116,控制台!$B$4617:$B$4629,0)-1,0)*控制台!$C$4611</f>
        <v>20</v>
      </c>
      <c r="J116" s="1">
        <f>(_xlfn.FLOOR.MATH((C116-1)/20)+1)/2</f>
        <v>0.5</v>
      </c>
      <c r="K116" s="4">
        <f ca="1">IF(MOD(C116,4)=0,0,Lerp_dyy(H116,I116,J116))</f>
        <v>20</v>
      </c>
      <c r="L116" s="1">
        <f ca="1">OFFSET(控制台!$G$4617,MATCH(B116,控制台!$B$4617:$B$4629,0)-2,0)*控制台!$C$4612</f>
        <v>12</v>
      </c>
      <c r="M116" s="1">
        <f ca="1">OFFSET(控制台!$G$4617,MATCH(B116,控制台!$B$4617:$B$4629,0)-1,0)*控制台!$C$4612</f>
        <v>12</v>
      </c>
      <c r="N116" s="1">
        <v>1</v>
      </c>
      <c r="O116" s="4">
        <f ca="1">IF(MOD(C116,4)=0,Lerp_dyy(L116,M116,N116),0)</f>
        <v>0</v>
      </c>
    </row>
    <row r="117" spans="1:15">
      <c r="A117" s="1">
        <f t="shared" si="2"/>
        <v>412</v>
      </c>
      <c r="B117" s="1">
        <v>4</v>
      </c>
      <c r="C117" s="1">
        <v>12</v>
      </c>
      <c r="D117" s="1">
        <f ca="1">OFFSET(控制台!$C$4617,MATCH(B117,控制台!$B$4617:$B$4629,0)-2,0)*控制台!$C$4610</f>
        <v>25000</v>
      </c>
      <c r="E117" s="1">
        <f ca="1">OFFSET(控制台!$C$4617,MATCH(B117,控制台!$B$4617:$B$4629,0)-1,0)*控制台!$C$4610</f>
        <v>30000</v>
      </c>
      <c r="F117" s="1">
        <f>(_xlfn.FLOOR.MATH((C117-1)/8)+1)/5</f>
        <v>0.4</v>
      </c>
      <c r="G117" s="4">
        <f ca="1">Lerp_dyy(D117,E117,F117)</f>
        <v>27000</v>
      </c>
      <c r="H117" s="1">
        <f ca="1">OFFSET(控制台!$E$4617,MATCH(B117,控制台!$B$4617:$B$4629,0)-2,0)*控制台!$C$4611</f>
        <v>20</v>
      </c>
      <c r="I117" s="1">
        <f ca="1">OFFSET(控制台!$E$4617,MATCH(B117,控制台!$B$4617:$B$4629,0)-1,0)*控制台!$C$4611</f>
        <v>20</v>
      </c>
      <c r="J117" s="1">
        <f>(_xlfn.FLOOR.MATH((C117-1)/20)+1)/2</f>
        <v>0.5</v>
      </c>
      <c r="K117" s="4">
        <f ca="1">IF(MOD(C117,4)=0,0,Lerp_dyy(H117,I117,J117))</f>
        <v>0</v>
      </c>
      <c r="L117" s="1">
        <f ca="1">OFFSET(控制台!$G$4617,MATCH(B117,控制台!$B$4617:$B$4629,0)-2,0)*控制台!$C$4612</f>
        <v>12</v>
      </c>
      <c r="M117" s="1">
        <f ca="1">OFFSET(控制台!$G$4617,MATCH(B117,控制台!$B$4617:$B$4629,0)-1,0)*控制台!$C$4612</f>
        <v>12</v>
      </c>
      <c r="N117" s="1">
        <v>1</v>
      </c>
      <c r="O117" s="4">
        <f ca="1">IF(MOD(C117,4)=0,Lerp_dyy(L117,M117,N117),0)</f>
        <v>12</v>
      </c>
    </row>
    <row r="118" spans="1:15">
      <c r="A118" s="1">
        <f t="shared" si="2"/>
        <v>413</v>
      </c>
      <c r="B118" s="1">
        <v>4</v>
      </c>
      <c r="C118" s="1">
        <v>13</v>
      </c>
      <c r="D118" s="1">
        <f ca="1">OFFSET(控制台!$C$4617,MATCH(B118,控制台!$B$4617:$B$4629,0)-2,0)*控制台!$C$4610</f>
        <v>25000</v>
      </c>
      <c r="E118" s="1">
        <f ca="1">OFFSET(控制台!$C$4617,MATCH(B118,控制台!$B$4617:$B$4629,0)-1,0)*控制台!$C$4610</f>
        <v>30000</v>
      </c>
      <c r="F118" s="1">
        <f>(_xlfn.FLOOR.MATH((C118-1)/8)+1)/5</f>
        <v>0.4</v>
      </c>
      <c r="G118" s="4">
        <f ca="1">Lerp_dyy(D118,E118,F118)</f>
        <v>27000</v>
      </c>
      <c r="H118" s="1">
        <f ca="1">OFFSET(控制台!$E$4617,MATCH(B118,控制台!$B$4617:$B$4629,0)-2,0)*控制台!$C$4611</f>
        <v>20</v>
      </c>
      <c r="I118" s="1">
        <f ca="1">OFFSET(控制台!$E$4617,MATCH(B118,控制台!$B$4617:$B$4629,0)-1,0)*控制台!$C$4611</f>
        <v>20</v>
      </c>
      <c r="J118" s="1">
        <f>(_xlfn.FLOOR.MATH((C118-1)/20)+1)/2</f>
        <v>0.5</v>
      </c>
      <c r="K118" s="4">
        <f ca="1">IF(MOD(C118,4)=0,0,Lerp_dyy(H118,I118,J118))</f>
        <v>20</v>
      </c>
      <c r="L118" s="1">
        <f ca="1">OFFSET(控制台!$G$4617,MATCH(B118,控制台!$B$4617:$B$4629,0)-2,0)*控制台!$C$4612</f>
        <v>12</v>
      </c>
      <c r="M118" s="1">
        <f ca="1">OFFSET(控制台!$G$4617,MATCH(B118,控制台!$B$4617:$B$4629,0)-1,0)*控制台!$C$4612</f>
        <v>12</v>
      </c>
      <c r="N118" s="1">
        <v>1</v>
      </c>
      <c r="O118" s="4">
        <f ca="1">IF(MOD(C118,4)=0,Lerp_dyy(L118,M118,N118),0)</f>
        <v>0</v>
      </c>
    </row>
    <row r="119" spans="1:15">
      <c r="A119" s="1">
        <f t="shared" si="2"/>
        <v>414</v>
      </c>
      <c r="B119" s="1">
        <v>4</v>
      </c>
      <c r="C119" s="1">
        <v>14</v>
      </c>
      <c r="D119" s="1">
        <f ca="1">OFFSET(控制台!$C$4617,MATCH(B119,控制台!$B$4617:$B$4629,0)-2,0)*控制台!$C$4610</f>
        <v>25000</v>
      </c>
      <c r="E119" s="1">
        <f ca="1">OFFSET(控制台!$C$4617,MATCH(B119,控制台!$B$4617:$B$4629,0)-1,0)*控制台!$C$4610</f>
        <v>30000</v>
      </c>
      <c r="F119" s="1">
        <f>(_xlfn.FLOOR.MATH((C119-1)/8)+1)/5</f>
        <v>0.4</v>
      </c>
      <c r="G119" s="4">
        <f ca="1">Lerp_dyy(D119,E119,F119)</f>
        <v>27000</v>
      </c>
      <c r="H119" s="1">
        <f ca="1">OFFSET(控制台!$E$4617,MATCH(B119,控制台!$B$4617:$B$4629,0)-2,0)*控制台!$C$4611</f>
        <v>20</v>
      </c>
      <c r="I119" s="1">
        <f ca="1">OFFSET(控制台!$E$4617,MATCH(B119,控制台!$B$4617:$B$4629,0)-1,0)*控制台!$C$4611</f>
        <v>20</v>
      </c>
      <c r="J119" s="1">
        <f>(_xlfn.FLOOR.MATH((C119-1)/20)+1)/2</f>
        <v>0.5</v>
      </c>
      <c r="K119" s="4">
        <f ca="1">IF(MOD(C119,4)=0,0,Lerp_dyy(H119,I119,J119))</f>
        <v>20</v>
      </c>
      <c r="L119" s="1">
        <f ca="1">OFFSET(控制台!$G$4617,MATCH(B119,控制台!$B$4617:$B$4629,0)-2,0)*控制台!$C$4612</f>
        <v>12</v>
      </c>
      <c r="M119" s="1">
        <f ca="1">OFFSET(控制台!$G$4617,MATCH(B119,控制台!$B$4617:$B$4629,0)-1,0)*控制台!$C$4612</f>
        <v>12</v>
      </c>
      <c r="N119" s="1">
        <v>1</v>
      </c>
      <c r="O119" s="4">
        <f ca="1">IF(MOD(C119,4)=0,Lerp_dyy(L119,M119,N119),0)</f>
        <v>0</v>
      </c>
    </row>
    <row r="120" spans="1:15">
      <c r="A120" s="1">
        <f t="shared" si="2"/>
        <v>415</v>
      </c>
      <c r="B120" s="1">
        <v>4</v>
      </c>
      <c r="C120" s="1">
        <v>15</v>
      </c>
      <c r="D120" s="1">
        <f ca="1">OFFSET(控制台!$C$4617,MATCH(B120,控制台!$B$4617:$B$4629,0)-2,0)*控制台!$C$4610</f>
        <v>25000</v>
      </c>
      <c r="E120" s="1">
        <f ca="1">OFFSET(控制台!$C$4617,MATCH(B120,控制台!$B$4617:$B$4629,0)-1,0)*控制台!$C$4610</f>
        <v>30000</v>
      </c>
      <c r="F120" s="1">
        <f>(_xlfn.FLOOR.MATH((C120-1)/8)+1)/5</f>
        <v>0.4</v>
      </c>
      <c r="G120" s="4">
        <f ca="1">Lerp_dyy(D120,E120,F120)</f>
        <v>27000</v>
      </c>
      <c r="H120" s="1">
        <f ca="1">OFFSET(控制台!$E$4617,MATCH(B120,控制台!$B$4617:$B$4629,0)-2,0)*控制台!$C$4611</f>
        <v>20</v>
      </c>
      <c r="I120" s="1">
        <f ca="1">OFFSET(控制台!$E$4617,MATCH(B120,控制台!$B$4617:$B$4629,0)-1,0)*控制台!$C$4611</f>
        <v>20</v>
      </c>
      <c r="J120" s="1">
        <f>(_xlfn.FLOOR.MATH((C120-1)/20)+1)/2</f>
        <v>0.5</v>
      </c>
      <c r="K120" s="4">
        <f ca="1">IF(MOD(C120,4)=0,0,Lerp_dyy(H120,I120,J120))</f>
        <v>20</v>
      </c>
      <c r="L120" s="1">
        <f ca="1">OFFSET(控制台!$G$4617,MATCH(B120,控制台!$B$4617:$B$4629,0)-2,0)*控制台!$C$4612</f>
        <v>12</v>
      </c>
      <c r="M120" s="1">
        <f ca="1">OFFSET(控制台!$G$4617,MATCH(B120,控制台!$B$4617:$B$4629,0)-1,0)*控制台!$C$4612</f>
        <v>12</v>
      </c>
      <c r="N120" s="1">
        <v>1</v>
      </c>
      <c r="O120" s="4">
        <f ca="1">IF(MOD(C120,4)=0,Lerp_dyy(L120,M120,N120),0)</f>
        <v>0</v>
      </c>
    </row>
    <row r="121" spans="1:15">
      <c r="A121" s="1">
        <f t="shared" si="2"/>
        <v>416</v>
      </c>
      <c r="B121" s="1">
        <v>4</v>
      </c>
      <c r="C121" s="1">
        <v>16</v>
      </c>
      <c r="D121" s="1">
        <f ca="1">OFFSET(控制台!$C$4617,MATCH(B121,控制台!$B$4617:$B$4629,0)-2,0)*控制台!$C$4610</f>
        <v>25000</v>
      </c>
      <c r="E121" s="1">
        <f ca="1">OFFSET(控制台!$C$4617,MATCH(B121,控制台!$B$4617:$B$4629,0)-1,0)*控制台!$C$4610</f>
        <v>30000</v>
      </c>
      <c r="F121" s="1">
        <f>(_xlfn.FLOOR.MATH((C121-1)/8)+1)/5</f>
        <v>0.4</v>
      </c>
      <c r="G121" s="4">
        <f ca="1">Lerp_dyy(D121,E121,F121)</f>
        <v>27000</v>
      </c>
      <c r="H121" s="1">
        <f ca="1">OFFSET(控制台!$E$4617,MATCH(B121,控制台!$B$4617:$B$4629,0)-2,0)*控制台!$C$4611</f>
        <v>20</v>
      </c>
      <c r="I121" s="1">
        <f ca="1">OFFSET(控制台!$E$4617,MATCH(B121,控制台!$B$4617:$B$4629,0)-1,0)*控制台!$C$4611</f>
        <v>20</v>
      </c>
      <c r="J121" s="1">
        <f>(_xlfn.FLOOR.MATH((C121-1)/20)+1)/2</f>
        <v>0.5</v>
      </c>
      <c r="K121" s="4">
        <f ca="1">IF(MOD(C121,4)=0,0,Lerp_dyy(H121,I121,J121))</f>
        <v>0</v>
      </c>
      <c r="L121" s="1">
        <f ca="1">OFFSET(控制台!$G$4617,MATCH(B121,控制台!$B$4617:$B$4629,0)-2,0)*控制台!$C$4612</f>
        <v>12</v>
      </c>
      <c r="M121" s="1">
        <f ca="1">OFFSET(控制台!$G$4617,MATCH(B121,控制台!$B$4617:$B$4629,0)-1,0)*控制台!$C$4612</f>
        <v>12</v>
      </c>
      <c r="N121" s="1">
        <v>1</v>
      </c>
      <c r="O121" s="4">
        <f ca="1">IF(MOD(C121,4)=0,Lerp_dyy(L121,M121,N121),0)</f>
        <v>12</v>
      </c>
    </row>
    <row r="122" spans="1:15">
      <c r="A122" s="1">
        <f t="shared" si="2"/>
        <v>417</v>
      </c>
      <c r="B122" s="1">
        <v>4</v>
      </c>
      <c r="C122" s="1">
        <v>17</v>
      </c>
      <c r="D122" s="1">
        <f ca="1">OFFSET(控制台!$C$4617,MATCH(B122,控制台!$B$4617:$B$4629,0)-2,0)*控制台!$C$4610</f>
        <v>25000</v>
      </c>
      <c r="E122" s="1">
        <f ca="1">OFFSET(控制台!$C$4617,MATCH(B122,控制台!$B$4617:$B$4629,0)-1,0)*控制台!$C$4610</f>
        <v>30000</v>
      </c>
      <c r="F122" s="1">
        <f>(_xlfn.FLOOR.MATH((C122-1)/8)+1)/5</f>
        <v>0.6</v>
      </c>
      <c r="G122" s="4">
        <f ca="1">Lerp_dyy(D122,E122,F122)</f>
        <v>28000</v>
      </c>
      <c r="H122" s="1">
        <f ca="1">OFFSET(控制台!$E$4617,MATCH(B122,控制台!$B$4617:$B$4629,0)-2,0)*控制台!$C$4611</f>
        <v>20</v>
      </c>
      <c r="I122" s="1">
        <f ca="1">OFFSET(控制台!$E$4617,MATCH(B122,控制台!$B$4617:$B$4629,0)-1,0)*控制台!$C$4611</f>
        <v>20</v>
      </c>
      <c r="J122" s="1">
        <f>(_xlfn.FLOOR.MATH((C122-1)/20)+1)/2</f>
        <v>0.5</v>
      </c>
      <c r="K122" s="4">
        <f ca="1">IF(MOD(C122,4)=0,0,Lerp_dyy(H122,I122,J122))</f>
        <v>20</v>
      </c>
      <c r="L122" s="1">
        <f ca="1">OFFSET(控制台!$G$4617,MATCH(B122,控制台!$B$4617:$B$4629,0)-2,0)*控制台!$C$4612</f>
        <v>12</v>
      </c>
      <c r="M122" s="1">
        <f ca="1">OFFSET(控制台!$G$4617,MATCH(B122,控制台!$B$4617:$B$4629,0)-1,0)*控制台!$C$4612</f>
        <v>12</v>
      </c>
      <c r="N122" s="1">
        <v>1</v>
      </c>
      <c r="O122" s="4">
        <f ca="1">IF(MOD(C122,4)=0,Lerp_dyy(L122,M122,N122),0)</f>
        <v>0</v>
      </c>
    </row>
    <row r="123" spans="1:15">
      <c r="A123" s="1">
        <f t="shared" si="2"/>
        <v>418</v>
      </c>
      <c r="B123" s="1">
        <v>4</v>
      </c>
      <c r="C123" s="1">
        <v>18</v>
      </c>
      <c r="D123" s="1">
        <f ca="1">OFFSET(控制台!$C$4617,MATCH(B123,控制台!$B$4617:$B$4629,0)-2,0)*控制台!$C$4610</f>
        <v>25000</v>
      </c>
      <c r="E123" s="1">
        <f ca="1">OFFSET(控制台!$C$4617,MATCH(B123,控制台!$B$4617:$B$4629,0)-1,0)*控制台!$C$4610</f>
        <v>30000</v>
      </c>
      <c r="F123" s="1">
        <f>(_xlfn.FLOOR.MATH((C123-1)/8)+1)/5</f>
        <v>0.6</v>
      </c>
      <c r="G123" s="4">
        <f ca="1">Lerp_dyy(D123,E123,F123)</f>
        <v>28000</v>
      </c>
      <c r="H123" s="1">
        <f ca="1">OFFSET(控制台!$E$4617,MATCH(B123,控制台!$B$4617:$B$4629,0)-2,0)*控制台!$C$4611</f>
        <v>20</v>
      </c>
      <c r="I123" s="1">
        <f ca="1">OFFSET(控制台!$E$4617,MATCH(B123,控制台!$B$4617:$B$4629,0)-1,0)*控制台!$C$4611</f>
        <v>20</v>
      </c>
      <c r="J123" s="1">
        <f>(_xlfn.FLOOR.MATH((C123-1)/20)+1)/2</f>
        <v>0.5</v>
      </c>
      <c r="K123" s="4">
        <f ca="1">IF(MOD(C123,4)=0,0,Lerp_dyy(H123,I123,J123))</f>
        <v>20</v>
      </c>
      <c r="L123" s="1">
        <f ca="1">OFFSET(控制台!$G$4617,MATCH(B123,控制台!$B$4617:$B$4629,0)-2,0)*控制台!$C$4612</f>
        <v>12</v>
      </c>
      <c r="M123" s="1">
        <f ca="1">OFFSET(控制台!$G$4617,MATCH(B123,控制台!$B$4617:$B$4629,0)-1,0)*控制台!$C$4612</f>
        <v>12</v>
      </c>
      <c r="N123" s="1">
        <v>1</v>
      </c>
      <c r="O123" s="4">
        <f ca="1">IF(MOD(C123,4)=0,Lerp_dyy(L123,M123,N123),0)</f>
        <v>0</v>
      </c>
    </row>
    <row r="124" spans="1:15">
      <c r="A124" s="1">
        <f t="shared" si="2"/>
        <v>419</v>
      </c>
      <c r="B124" s="1">
        <v>4</v>
      </c>
      <c r="C124" s="1">
        <v>19</v>
      </c>
      <c r="D124" s="1">
        <f ca="1">OFFSET(控制台!$C$4617,MATCH(B124,控制台!$B$4617:$B$4629,0)-2,0)*控制台!$C$4610</f>
        <v>25000</v>
      </c>
      <c r="E124" s="1">
        <f ca="1">OFFSET(控制台!$C$4617,MATCH(B124,控制台!$B$4617:$B$4629,0)-1,0)*控制台!$C$4610</f>
        <v>30000</v>
      </c>
      <c r="F124" s="1">
        <f>(_xlfn.FLOOR.MATH((C124-1)/8)+1)/5</f>
        <v>0.6</v>
      </c>
      <c r="G124" s="4">
        <f ca="1">Lerp_dyy(D124,E124,F124)</f>
        <v>28000</v>
      </c>
      <c r="H124" s="1">
        <f ca="1">OFFSET(控制台!$E$4617,MATCH(B124,控制台!$B$4617:$B$4629,0)-2,0)*控制台!$C$4611</f>
        <v>20</v>
      </c>
      <c r="I124" s="1">
        <f ca="1">OFFSET(控制台!$E$4617,MATCH(B124,控制台!$B$4617:$B$4629,0)-1,0)*控制台!$C$4611</f>
        <v>20</v>
      </c>
      <c r="J124" s="1">
        <f>(_xlfn.FLOOR.MATH((C124-1)/20)+1)/2</f>
        <v>0.5</v>
      </c>
      <c r="K124" s="4">
        <f ca="1">IF(MOD(C124,4)=0,0,Lerp_dyy(H124,I124,J124))</f>
        <v>20</v>
      </c>
      <c r="L124" s="1">
        <f ca="1">OFFSET(控制台!$G$4617,MATCH(B124,控制台!$B$4617:$B$4629,0)-2,0)*控制台!$C$4612</f>
        <v>12</v>
      </c>
      <c r="M124" s="1">
        <f ca="1">OFFSET(控制台!$G$4617,MATCH(B124,控制台!$B$4617:$B$4629,0)-1,0)*控制台!$C$4612</f>
        <v>12</v>
      </c>
      <c r="N124" s="1">
        <v>1</v>
      </c>
      <c r="O124" s="4">
        <f ca="1">IF(MOD(C124,4)=0,Lerp_dyy(L124,M124,N124),0)</f>
        <v>0</v>
      </c>
    </row>
    <row r="125" spans="1:15">
      <c r="A125" s="1">
        <f t="shared" si="2"/>
        <v>420</v>
      </c>
      <c r="B125" s="1">
        <v>4</v>
      </c>
      <c r="C125" s="1">
        <v>20</v>
      </c>
      <c r="D125" s="1">
        <f ca="1">OFFSET(控制台!$C$4617,MATCH(B125,控制台!$B$4617:$B$4629,0)-2,0)*控制台!$C$4610</f>
        <v>25000</v>
      </c>
      <c r="E125" s="1">
        <f ca="1">OFFSET(控制台!$C$4617,MATCH(B125,控制台!$B$4617:$B$4629,0)-1,0)*控制台!$C$4610</f>
        <v>30000</v>
      </c>
      <c r="F125" s="1">
        <f>(_xlfn.FLOOR.MATH((C125-1)/8)+1)/5</f>
        <v>0.6</v>
      </c>
      <c r="G125" s="4">
        <f ca="1">Lerp_dyy(D125,E125,F125)</f>
        <v>28000</v>
      </c>
      <c r="H125" s="1">
        <f ca="1">OFFSET(控制台!$E$4617,MATCH(B125,控制台!$B$4617:$B$4629,0)-2,0)*控制台!$C$4611</f>
        <v>20</v>
      </c>
      <c r="I125" s="1">
        <f ca="1">OFFSET(控制台!$E$4617,MATCH(B125,控制台!$B$4617:$B$4629,0)-1,0)*控制台!$C$4611</f>
        <v>20</v>
      </c>
      <c r="J125" s="1">
        <f>(_xlfn.FLOOR.MATH((C125-1)/20)+1)/2</f>
        <v>0.5</v>
      </c>
      <c r="K125" s="4">
        <f ca="1">IF(MOD(C125,4)=0,0,Lerp_dyy(H125,I125,J125))</f>
        <v>0</v>
      </c>
      <c r="L125" s="1">
        <f ca="1">OFFSET(控制台!$G$4617,MATCH(B125,控制台!$B$4617:$B$4629,0)-2,0)*控制台!$C$4612</f>
        <v>12</v>
      </c>
      <c r="M125" s="1">
        <f ca="1">OFFSET(控制台!$G$4617,MATCH(B125,控制台!$B$4617:$B$4629,0)-1,0)*控制台!$C$4612</f>
        <v>12</v>
      </c>
      <c r="N125" s="1">
        <v>1</v>
      </c>
      <c r="O125" s="4">
        <f ca="1">IF(MOD(C125,4)=0,Lerp_dyy(L125,M125,N125),0)</f>
        <v>12</v>
      </c>
    </row>
    <row r="126" spans="1:15">
      <c r="A126" s="1">
        <f t="shared" si="2"/>
        <v>421</v>
      </c>
      <c r="B126" s="1">
        <v>4</v>
      </c>
      <c r="C126" s="1">
        <v>21</v>
      </c>
      <c r="D126" s="1">
        <f ca="1">OFFSET(控制台!$C$4617,MATCH(B126,控制台!$B$4617:$B$4629,0)-2,0)*控制台!$C$4610</f>
        <v>25000</v>
      </c>
      <c r="E126" s="1">
        <f ca="1">OFFSET(控制台!$C$4617,MATCH(B126,控制台!$B$4617:$B$4629,0)-1,0)*控制台!$C$4610</f>
        <v>30000</v>
      </c>
      <c r="F126" s="1">
        <f>(_xlfn.FLOOR.MATH((C126-1)/8)+1)/5</f>
        <v>0.6</v>
      </c>
      <c r="G126" s="4">
        <f ca="1">Lerp_dyy(D126,E126,F126)</f>
        <v>28000</v>
      </c>
      <c r="H126" s="1">
        <f ca="1">OFFSET(控制台!$E$4617,MATCH(B126,控制台!$B$4617:$B$4629,0)-2,0)*控制台!$C$4611</f>
        <v>20</v>
      </c>
      <c r="I126" s="1">
        <f ca="1">OFFSET(控制台!$E$4617,MATCH(B126,控制台!$B$4617:$B$4629,0)-1,0)*控制台!$C$4611</f>
        <v>20</v>
      </c>
      <c r="J126" s="1">
        <f>(_xlfn.FLOOR.MATH((C126-1)/20)+1)/2</f>
        <v>1</v>
      </c>
      <c r="K126" s="4">
        <f ca="1">IF(MOD(C126,4)=0,0,Lerp_dyy(H126,I126,J126))</f>
        <v>20</v>
      </c>
      <c r="L126" s="1">
        <f ca="1">OFFSET(控制台!$G$4617,MATCH(B126,控制台!$B$4617:$B$4629,0)-2,0)*控制台!$C$4612</f>
        <v>12</v>
      </c>
      <c r="M126" s="1">
        <f ca="1">OFFSET(控制台!$G$4617,MATCH(B126,控制台!$B$4617:$B$4629,0)-1,0)*控制台!$C$4612</f>
        <v>12</v>
      </c>
      <c r="N126" s="1">
        <v>1</v>
      </c>
      <c r="O126" s="4">
        <f ca="1">IF(MOD(C126,4)=0,Lerp_dyy(L126,M126,N126),0)</f>
        <v>0</v>
      </c>
    </row>
    <row r="127" spans="1:15">
      <c r="A127" s="1">
        <f t="shared" si="2"/>
        <v>422</v>
      </c>
      <c r="B127" s="1">
        <v>4</v>
      </c>
      <c r="C127" s="1">
        <v>22</v>
      </c>
      <c r="D127" s="1">
        <f ca="1">OFFSET(控制台!$C$4617,MATCH(B127,控制台!$B$4617:$B$4629,0)-2,0)*控制台!$C$4610</f>
        <v>25000</v>
      </c>
      <c r="E127" s="1">
        <f ca="1">OFFSET(控制台!$C$4617,MATCH(B127,控制台!$B$4617:$B$4629,0)-1,0)*控制台!$C$4610</f>
        <v>30000</v>
      </c>
      <c r="F127" s="1">
        <f>(_xlfn.FLOOR.MATH((C127-1)/8)+1)/5</f>
        <v>0.6</v>
      </c>
      <c r="G127" s="4">
        <f ca="1">Lerp_dyy(D127,E127,F127)</f>
        <v>28000</v>
      </c>
      <c r="H127" s="1">
        <f ca="1">OFFSET(控制台!$E$4617,MATCH(B127,控制台!$B$4617:$B$4629,0)-2,0)*控制台!$C$4611</f>
        <v>20</v>
      </c>
      <c r="I127" s="1">
        <f ca="1">OFFSET(控制台!$E$4617,MATCH(B127,控制台!$B$4617:$B$4629,0)-1,0)*控制台!$C$4611</f>
        <v>20</v>
      </c>
      <c r="J127" s="1">
        <f>(_xlfn.FLOOR.MATH((C127-1)/20)+1)/2</f>
        <v>1</v>
      </c>
      <c r="K127" s="4">
        <f ca="1">IF(MOD(C127,4)=0,0,Lerp_dyy(H127,I127,J127))</f>
        <v>20</v>
      </c>
      <c r="L127" s="1">
        <f ca="1">OFFSET(控制台!$G$4617,MATCH(B127,控制台!$B$4617:$B$4629,0)-2,0)*控制台!$C$4612</f>
        <v>12</v>
      </c>
      <c r="M127" s="1">
        <f ca="1">OFFSET(控制台!$G$4617,MATCH(B127,控制台!$B$4617:$B$4629,0)-1,0)*控制台!$C$4612</f>
        <v>12</v>
      </c>
      <c r="N127" s="1">
        <v>1</v>
      </c>
      <c r="O127" s="4">
        <f ca="1">IF(MOD(C127,4)=0,Lerp_dyy(L127,M127,N127),0)</f>
        <v>0</v>
      </c>
    </row>
    <row r="128" spans="1:15">
      <c r="A128" s="1">
        <f t="shared" si="2"/>
        <v>423</v>
      </c>
      <c r="B128" s="1">
        <v>4</v>
      </c>
      <c r="C128" s="1">
        <v>23</v>
      </c>
      <c r="D128" s="1">
        <f ca="1">OFFSET(控制台!$C$4617,MATCH(B128,控制台!$B$4617:$B$4629,0)-2,0)*控制台!$C$4610</f>
        <v>25000</v>
      </c>
      <c r="E128" s="1">
        <f ca="1">OFFSET(控制台!$C$4617,MATCH(B128,控制台!$B$4617:$B$4629,0)-1,0)*控制台!$C$4610</f>
        <v>30000</v>
      </c>
      <c r="F128" s="1">
        <f>(_xlfn.FLOOR.MATH((C128-1)/8)+1)/5</f>
        <v>0.6</v>
      </c>
      <c r="G128" s="4">
        <f ca="1">Lerp_dyy(D128,E128,F128)</f>
        <v>28000</v>
      </c>
      <c r="H128" s="1">
        <f ca="1">OFFSET(控制台!$E$4617,MATCH(B128,控制台!$B$4617:$B$4629,0)-2,0)*控制台!$C$4611</f>
        <v>20</v>
      </c>
      <c r="I128" s="1">
        <f ca="1">OFFSET(控制台!$E$4617,MATCH(B128,控制台!$B$4617:$B$4629,0)-1,0)*控制台!$C$4611</f>
        <v>20</v>
      </c>
      <c r="J128" s="1">
        <f>(_xlfn.FLOOR.MATH((C128-1)/20)+1)/2</f>
        <v>1</v>
      </c>
      <c r="K128" s="4">
        <f ca="1">IF(MOD(C128,4)=0,0,Lerp_dyy(H128,I128,J128))</f>
        <v>20</v>
      </c>
      <c r="L128" s="1">
        <f ca="1">OFFSET(控制台!$G$4617,MATCH(B128,控制台!$B$4617:$B$4629,0)-2,0)*控制台!$C$4612</f>
        <v>12</v>
      </c>
      <c r="M128" s="1">
        <f ca="1">OFFSET(控制台!$G$4617,MATCH(B128,控制台!$B$4617:$B$4629,0)-1,0)*控制台!$C$4612</f>
        <v>12</v>
      </c>
      <c r="N128" s="1">
        <v>1</v>
      </c>
      <c r="O128" s="4">
        <f ca="1">IF(MOD(C128,4)=0,Lerp_dyy(L128,M128,N128),0)</f>
        <v>0</v>
      </c>
    </row>
    <row r="129" spans="1:15">
      <c r="A129" s="1">
        <f t="shared" si="2"/>
        <v>424</v>
      </c>
      <c r="B129" s="1">
        <v>4</v>
      </c>
      <c r="C129" s="1">
        <v>24</v>
      </c>
      <c r="D129" s="1">
        <f ca="1">OFFSET(控制台!$C$4617,MATCH(B129,控制台!$B$4617:$B$4629,0)-2,0)*控制台!$C$4610</f>
        <v>25000</v>
      </c>
      <c r="E129" s="1">
        <f ca="1">OFFSET(控制台!$C$4617,MATCH(B129,控制台!$B$4617:$B$4629,0)-1,0)*控制台!$C$4610</f>
        <v>30000</v>
      </c>
      <c r="F129" s="1">
        <f>(_xlfn.FLOOR.MATH((C129-1)/8)+1)/5</f>
        <v>0.6</v>
      </c>
      <c r="G129" s="4">
        <f ca="1">Lerp_dyy(D129,E129,F129)</f>
        <v>28000</v>
      </c>
      <c r="H129" s="1">
        <f ca="1">OFFSET(控制台!$E$4617,MATCH(B129,控制台!$B$4617:$B$4629,0)-2,0)*控制台!$C$4611</f>
        <v>20</v>
      </c>
      <c r="I129" s="1">
        <f ca="1">OFFSET(控制台!$E$4617,MATCH(B129,控制台!$B$4617:$B$4629,0)-1,0)*控制台!$C$4611</f>
        <v>20</v>
      </c>
      <c r="J129" s="1">
        <f>(_xlfn.FLOOR.MATH((C129-1)/20)+1)/2</f>
        <v>1</v>
      </c>
      <c r="K129" s="4">
        <f ca="1">IF(MOD(C129,4)=0,0,Lerp_dyy(H129,I129,J129))</f>
        <v>0</v>
      </c>
      <c r="L129" s="1">
        <f ca="1">OFFSET(控制台!$G$4617,MATCH(B129,控制台!$B$4617:$B$4629,0)-2,0)*控制台!$C$4612</f>
        <v>12</v>
      </c>
      <c r="M129" s="1">
        <f ca="1">OFFSET(控制台!$G$4617,MATCH(B129,控制台!$B$4617:$B$4629,0)-1,0)*控制台!$C$4612</f>
        <v>12</v>
      </c>
      <c r="N129" s="1">
        <v>1</v>
      </c>
      <c r="O129" s="4">
        <f ca="1">IF(MOD(C129,4)=0,Lerp_dyy(L129,M129,N129),0)</f>
        <v>12</v>
      </c>
    </row>
    <row r="130" spans="1:15">
      <c r="A130" s="1">
        <f t="shared" si="2"/>
        <v>425</v>
      </c>
      <c r="B130" s="1">
        <v>4</v>
      </c>
      <c r="C130" s="1">
        <v>25</v>
      </c>
      <c r="D130" s="1">
        <f ca="1">OFFSET(控制台!$C$4617,MATCH(B130,控制台!$B$4617:$B$4629,0)-2,0)*控制台!$C$4610</f>
        <v>25000</v>
      </c>
      <c r="E130" s="1">
        <f ca="1">OFFSET(控制台!$C$4617,MATCH(B130,控制台!$B$4617:$B$4629,0)-1,0)*控制台!$C$4610</f>
        <v>30000</v>
      </c>
      <c r="F130" s="1">
        <f>(_xlfn.FLOOR.MATH((C130-1)/8)+1)/5</f>
        <v>0.8</v>
      </c>
      <c r="G130" s="4">
        <f ca="1">Lerp_dyy(D130,E130,F130)</f>
        <v>29000</v>
      </c>
      <c r="H130" s="1">
        <f ca="1">OFFSET(控制台!$E$4617,MATCH(B130,控制台!$B$4617:$B$4629,0)-2,0)*控制台!$C$4611</f>
        <v>20</v>
      </c>
      <c r="I130" s="1">
        <f ca="1">OFFSET(控制台!$E$4617,MATCH(B130,控制台!$B$4617:$B$4629,0)-1,0)*控制台!$C$4611</f>
        <v>20</v>
      </c>
      <c r="J130" s="1">
        <f>(_xlfn.FLOOR.MATH((C130-1)/20)+1)/2</f>
        <v>1</v>
      </c>
      <c r="K130" s="4">
        <f ca="1">IF(MOD(C130,4)=0,0,Lerp_dyy(H130,I130,J130))</f>
        <v>20</v>
      </c>
      <c r="L130" s="1">
        <f ca="1">OFFSET(控制台!$G$4617,MATCH(B130,控制台!$B$4617:$B$4629,0)-2,0)*控制台!$C$4612</f>
        <v>12</v>
      </c>
      <c r="M130" s="1">
        <f ca="1">OFFSET(控制台!$G$4617,MATCH(B130,控制台!$B$4617:$B$4629,0)-1,0)*控制台!$C$4612</f>
        <v>12</v>
      </c>
      <c r="N130" s="1">
        <v>1</v>
      </c>
      <c r="O130" s="4">
        <f ca="1">IF(MOD(C130,4)=0,Lerp_dyy(L130,M130,N130),0)</f>
        <v>0</v>
      </c>
    </row>
    <row r="131" spans="1:15">
      <c r="A131" s="1">
        <f t="shared" si="2"/>
        <v>426</v>
      </c>
      <c r="B131" s="1">
        <v>4</v>
      </c>
      <c r="C131" s="1">
        <v>26</v>
      </c>
      <c r="D131" s="1">
        <f ca="1">OFFSET(控制台!$C$4617,MATCH(B131,控制台!$B$4617:$B$4629,0)-2,0)*控制台!$C$4610</f>
        <v>25000</v>
      </c>
      <c r="E131" s="1">
        <f ca="1">OFFSET(控制台!$C$4617,MATCH(B131,控制台!$B$4617:$B$4629,0)-1,0)*控制台!$C$4610</f>
        <v>30000</v>
      </c>
      <c r="F131" s="1">
        <f>(_xlfn.FLOOR.MATH((C131-1)/8)+1)/5</f>
        <v>0.8</v>
      </c>
      <c r="G131" s="4">
        <f ca="1">Lerp_dyy(D131,E131,F131)</f>
        <v>29000</v>
      </c>
      <c r="H131" s="1">
        <f ca="1">OFFSET(控制台!$E$4617,MATCH(B131,控制台!$B$4617:$B$4629,0)-2,0)*控制台!$C$4611</f>
        <v>20</v>
      </c>
      <c r="I131" s="1">
        <f ca="1">OFFSET(控制台!$E$4617,MATCH(B131,控制台!$B$4617:$B$4629,0)-1,0)*控制台!$C$4611</f>
        <v>20</v>
      </c>
      <c r="J131" s="1">
        <f>(_xlfn.FLOOR.MATH((C131-1)/20)+1)/2</f>
        <v>1</v>
      </c>
      <c r="K131" s="4">
        <f ca="1">IF(MOD(C131,4)=0,0,Lerp_dyy(H131,I131,J131))</f>
        <v>20</v>
      </c>
      <c r="L131" s="1">
        <f ca="1">OFFSET(控制台!$G$4617,MATCH(B131,控制台!$B$4617:$B$4629,0)-2,0)*控制台!$C$4612</f>
        <v>12</v>
      </c>
      <c r="M131" s="1">
        <f ca="1">OFFSET(控制台!$G$4617,MATCH(B131,控制台!$B$4617:$B$4629,0)-1,0)*控制台!$C$4612</f>
        <v>12</v>
      </c>
      <c r="N131" s="1">
        <v>1</v>
      </c>
      <c r="O131" s="4">
        <f ca="1">IF(MOD(C131,4)=0,Lerp_dyy(L131,M131,N131),0)</f>
        <v>0</v>
      </c>
    </row>
    <row r="132" spans="1:15">
      <c r="A132" s="1">
        <f t="shared" si="2"/>
        <v>427</v>
      </c>
      <c r="B132" s="1">
        <v>4</v>
      </c>
      <c r="C132" s="1">
        <v>27</v>
      </c>
      <c r="D132" s="1">
        <f ca="1">OFFSET(控制台!$C$4617,MATCH(B132,控制台!$B$4617:$B$4629,0)-2,0)*控制台!$C$4610</f>
        <v>25000</v>
      </c>
      <c r="E132" s="1">
        <f ca="1">OFFSET(控制台!$C$4617,MATCH(B132,控制台!$B$4617:$B$4629,0)-1,0)*控制台!$C$4610</f>
        <v>30000</v>
      </c>
      <c r="F132" s="1">
        <f>(_xlfn.FLOOR.MATH((C132-1)/8)+1)/5</f>
        <v>0.8</v>
      </c>
      <c r="G132" s="4">
        <f ca="1">Lerp_dyy(D132,E132,F132)</f>
        <v>29000</v>
      </c>
      <c r="H132" s="1">
        <f ca="1">OFFSET(控制台!$E$4617,MATCH(B132,控制台!$B$4617:$B$4629,0)-2,0)*控制台!$C$4611</f>
        <v>20</v>
      </c>
      <c r="I132" s="1">
        <f ca="1">OFFSET(控制台!$E$4617,MATCH(B132,控制台!$B$4617:$B$4629,0)-1,0)*控制台!$C$4611</f>
        <v>20</v>
      </c>
      <c r="J132" s="1">
        <f>(_xlfn.FLOOR.MATH((C132-1)/20)+1)/2</f>
        <v>1</v>
      </c>
      <c r="K132" s="4">
        <f ca="1">IF(MOD(C132,4)=0,0,Lerp_dyy(H132,I132,J132))</f>
        <v>20</v>
      </c>
      <c r="L132" s="1">
        <f ca="1">OFFSET(控制台!$G$4617,MATCH(B132,控制台!$B$4617:$B$4629,0)-2,0)*控制台!$C$4612</f>
        <v>12</v>
      </c>
      <c r="M132" s="1">
        <f ca="1">OFFSET(控制台!$G$4617,MATCH(B132,控制台!$B$4617:$B$4629,0)-1,0)*控制台!$C$4612</f>
        <v>12</v>
      </c>
      <c r="N132" s="1">
        <v>1</v>
      </c>
      <c r="O132" s="4">
        <f ca="1">IF(MOD(C132,4)=0,Lerp_dyy(L132,M132,N132),0)</f>
        <v>0</v>
      </c>
    </row>
    <row r="133" spans="1:15">
      <c r="A133" s="1">
        <f t="shared" si="2"/>
        <v>428</v>
      </c>
      <c r="B133" s="1">
        <v>4</v>
      </c>
      <c r="C133" s="1">
        <v>28</v>
      </c>
      <c r="D133" s="1">
        <f ca="1">OFFSET(控制台!$C$4617,MATCH(B133,控制台!$B$4617:$B$4629,0)-2,0)*控制台!$C$4610</f>
        <v>25000</v>
      </c>
      <c r="E133" s="1">
        <f ca="1">OFFSET(控制台!$C$4617,MATCH(B133,控制台!$B$4617:$B$4629,0)-1,0)*控制台!$C$4610</f>
        <v>30000</v>
      </c>
      <c r="F133" s="1">
        <f>(_xlfn.FLOOR.MATH((C133-1)/8)+1)/5</f>
        <v>0.8</v>
      </c>
      <c r="G133" s="4">
        <f ca="1">Lerp_dyy(D133,E133,F133)</f>
        <v>29000</v>
      </c>
      <c r="H133" s="1">
        <f ca="1">OFFSET(控制台!$E$4617,MATCH(B133,控制台!$B$4617:$B$4629,0)-2,0)*控制台!$C$4611</f>
        <v>20</v>
      </c>
      <c r="I133" s="1">
        <f ca="1">OFFSET(控制台!$E$4617,MATCH(B133,控制台!$B$4617:$B$4629,0)-1,0)*控制台!$C$4611</f>
        <v>20</v>
      </c>
      <c r="J133" s="1">
        <f>(_xlfn.FLOOR.MATH((C133-1)/20)+1)/2</f>
        <v>1</v>
      </c>
      <c r="K133" s="4">
        <f ca="1">IF(MOD(C133,4)=0,0,Lerp_dyy(H133,I133,J133))</f>
        <v>0</v>
      </c>
      <c r="L133" s="1">
        <f ca="1">OFFSET(控制台!$G$4617,MATCH(B133,控制台!$B$4617:$B$4629,0)-2,0)*控制台!$C$4612</f>
        <v>12</v>
      </c>
      <c r="M133" s="1">
        <f ca="1">OFFSET(控制台!$G$4617,MATCH(B133,控制台!$B$4617:$B$4629,0)-1,0)*控制台!$C$4612</f>
        <v>12</v>
      </c>
      <c r="N133" s="1">
        <v>1</v>
      </c>
      <c r="O133" s="4">
        <f ca="1">IF(MOD(C133,4)=0,Lerp_dyy(L133,M133,N133),0)</f>
        <v>12</v>
      </c>
    </row>
    <row r="134" spans="1:15">
      <c r="A134" s="1">
        <f t="shared" si="2"/>
        <v>429</v>
      </c>
      <c r="B134" s="1">
        <v>4</v>
      </c>
      <c r="C134" s="1">
        <v>29</v>
      </c>
      <c r="D134" s="1">
        <f ca="1">OFFSET(控制台!$C$4617,MATCH(B134,控制台!$B$4617:$B$4629,0)-2,0)*控制台!$C$4610</f>
        <v>25000</v>
      </c>
      <c r="E134" s="1">
        <f ca="1">OFFSET(控制台!$C$4617,MATCH(B134,控制台!$B$4617:$B$4629,0)-1,0)*控制台!$C$4610</f>
        <v>30000</v>
      </c>
      <c r="F134" s="1">
        <f>(_xlfn.FLOOR.MATH((C134-1)/8)+1)/5</f>
        <v>0.8</v>
      </c>
      <c r="G134" s="4">
        <f ca="1">Lerp_dyy(D134,E134,F134)</f>
        <v>29000</v>
      </c>
      <c r="H134" s="1">
        <f ca="1">OFFSET(控制台!$E$4617,MATCH(B134,控制台!$B$4617:$B$4629,0)-2,0)*控制台!$C$4611</f>
        <v>20</v>
      </c>
      <c r="I134" s="1">
        <f ca="1">OFFSET(控制台!$E$4617,MATCH(B134,控制台!$B$4617:$B$4629,0)-1,0)*控制台!$C$4611</f>
        <v>20</v>
      </c>
      <c r="J134" s="1">
        <f>(_xlfn.FLOOR.MATH((C134-1)/20)+1)/2</f>
        <v>1</v>
      </c>
      <c r="K134" s="4">
        <f ca="1">IF(MOD(C134,4)=0,0,Lerp_dyy(H134,I134,J134))</f>
        <v>20</v>
      </c>
      <c r="L134" s="1">
        <f ca="1">OFFSET(控制台!$G$4617,MATCH(B134,控制台!$B$4617:$B$4629,0)-2,0)*控制台!$C$4612</f>
        <v>12</v>
      </c>
      <c r="M134" s="1">
        <f ca="1">OFFSET(控制台!$G$4617,MATCH(B134,控制台!$B$4617:$B$4629,0)-1,0)*控制台!$C$4612</f>
        <v>12</v>
      </c>
      <c r="N134" s="1">
        <v>1</v>
      </c>
      <c r="O134" s="4">
        <f ca="1">IF(MOD(C134,4)=0,Lerp_dyy(L134,M134,N134),0)</f>
        <v>0</v>
      </c>
    </row>
    <row r="135" spans="1:15">
      <c r="A135" s="1">
        <f t="shared" si="2"/>
        <v>430</v>
      </c>
      <c r="B135" s="1">
        <v>4</v>
      </c>
      <c r="C135" s="1">
        <v>30</v>
      </c>
      <c r="D135" s="1">
        <f ca="1">OFFSET(控制台!$C$4617,MATCH(B135,控制台!$B$4617:$B$4629,0)-2,0)*控制台!$C$4610</f>
        <v>25000</v>
      </c>
      <c r="E135" s="1">
        <f ca="1">OFFSET(控制台!$C$4617,MATCH(B135,控制台!$B$4617:$B$4629,0)-1,0)*控制台!$C$4610</f>
        <v>30000</v>
      </c>
      <c r="F135" s="1">
        <f>(_xlfn.FLOOR.MATH((C135-1)/8)+1)/5</f>
        <v>0.8</v>
      </c>
      <c r="G135" s="4">
        <f ca="1">Lerp_dyy(D135,E135,F135)</f>
        <v>29000</v>
      </c>
      <c r="H135" s="1">
        <f ca="1">OFFSET(控制台!$E$4617,MATCH(B135,控制台!$B$4617:$B$4629,0)-2,0)*控制台!$C$4611</f>
        <v>20</v>
      </c>
      <c r="I135" s="1">
        <f ca="1">OFFSET(控制台!$E$4617,MATCH(B135,控制台!$B$4617:$B$4629,0)-1,0)*控制台!$C$4611</f>
        <v>20</v>
      </c>
      <c r="J135" s="1">
        <f>(_xlfn.FLOOR.MATH((C135-1)/20)+1)/2</f>
        <v>1</v>
      </c>
      <c r="K135" s="4">
        <f ca="1">IF(MOD(C135,4)=0,0,Lerp_dyy(H135,I135,J135))</f>
        <v>20</v>
      </c>
      <c r="L135" s="1">
        <f ca="1">OFFSET(控制台!$G$4617,MATCH(B135,控制台!$B$4617:$B$4629,0)-2,0)*控制台!$C$4612</f>
        <v>12</v>
      </c>
      <c r="M135" s="1">
        <f ca="1">OFFSET(控制台!$G$4617,MATCH(B135,控制台!$B$4617:$B$4629,0)-1,0)*控制台!$C$4612</f>
        <v>12</v>
      </c>
      <c r="N135" s="1">
        <v>1</v>
      </c>
      <c r="O135" s="4">
        <f ca="1">IF(MOD(C135,4)=0,Lerp_dyy(L135,M135,N135),0)</f>
        <v>0</v>
      </c>
    </row>
    <row r="136" spans="1:15">
      <c r="A136" s="1">
        <f t="shared" si="2"/>
        <v>431</v>
      </c>
      <c r="B136" s="1">
        <v>4</v>
      </c>
      <c r="C136" s="1">
        <v>31</v>
      </c>
      <c r="D136" s="1">
        <f ca="1">OFFSET(控制台!$C$4617,MATCH(B136,控制台!$B$4617:$B$4629,0)-2,0)*控制台!$C$4610</f>
        <v>25000</v>
      </c>
      <c r="E136" s="1">
        <f ca="1">OFFSET(控制台!$C$4617,MATCH(B136,控制台!$B$4617:$B$4629,0)-1,0)*控制台!$C$4610</f>
        <v>30000</v>
      </c>
      <c r="F136" s="1">
        <f>(_xlfn.FLOOR.MATH((C136-1)/8)+1)/5</f>
        <v>0.8</v>
      </c>
      <c r="G136" s="4">
        <f ca="1">Lerp_dyy(D136,E136,F136)</f>
        <v>29000</v>
      </c>
      <c r="H136" s="1">
        <f ca="1">OFFSET(控制台!$E$4617,MATCH(B136,控制台!$B$4617:$B$4629,0)-2,0)*控制台!$C$4611</f>
        <v>20</v>
      </c>
      <c r="I136" s="1">
        <f ca="1">OFFSET(控制台!$E$4617,MATCH(B136,控制台!$B$4617:$B$4629,0)-1,0)*控制台!$C$4611</f>
        <v>20</v>
      </c>
      <c r="J136" s="1">
        <f>(_xlfn.FLOOR.MATH((C136-1)/20)+1)/2</f>
        <v>1</v>
      </c>
      <c r="K136" s="4">
        <f ca="1">IF(MOD(C136,4)=0,0,Lerp_dyy(H136,I136,J136))</f>
        <v>20</v>
      </c>
      <c r="L136" s="1">
        <f ca="1">OFFSET(控制台!$G$4617,MATCH(B136,控制台!$B$4617:$B$4629,0)-2,0)*控制台!$C$4612</f>
        <v>12</v>
      </c>
      <c r="M136" s="1">
        <f ca="1">OFFSET(控制台!$G$4617,MATCH(B136,控制台!$B$4617:$B$4629,0)-1,0)*控制台!$C$4612</f>
        <v>12</v>
      </c>
      <c r="N136" s="1">
        <v>1</v>
      </c>
      <c r="O136" s="4">
        <f ca="1">IF(MOD(C136,4)=0,Lerp_dyy(L136,M136,N136),0)</f>
        <v>0</v>
      </c>
    </row>
    <row r="137" spans="1:15">
      <c r="A137" s="1">
        <f t="shared" ref="A137:A146" si="3">B137*100+C137</f>
        <v>432</v>
      </c>
      <c r="B137" s="1">
        <v>4</v>
      </c>
      <c r="C137" s="1">
        <v>32</v>
      </c>
      <c r="D137" s="1">
        <f ca="1">OFFSET(控制台!$C$4617,MATCH(B137,控制台!$B$4617:$B$4629,0)-2,0)*控制台!$C$4610</f>
        <v>25000</v>
      </c>
      <c r="E137" s="1">
        <f ca="1">OFFSET(控制台!$C$4617,MATCH(B137,控制台!$B$4617:$B$4629,0)-1,0)*控制台!$C$4610</f>
        <v>30000</v>
      </c>
      <c r="F137" s="1">
        <f>(_xlfn.FLOOR.MATH((C137-1)/8)+1)/5</f>
        <v>0.8</v>
      </c>
      <c r="G137" s="4">
        <f ca="1">Lerp_dyy(D137,E137,F137)</f>
        <v>29000</v>
      </c>
      <c r="H137" s="1">
        <f ca="1">OFFSET(控制台!$E$4617,MATCH(B137,控制台!$B$4617:$B$4629,0)-2,0)*控制台!$C$4611</f>
        <v>20</v>
      </c>
      <c r="I137" s="1">
        <f ca="1">OFFSET(控制台!$E$4617,MATCH(B137,控制台!$B$4617:$B$4629,0)-1,0)*控制台!$C$4611</f>
        <v>20</v>
      </c>
      <c r="J137" s="1">
        <f>(_xlfn.FLOOR.MATH((C137-1)/20)+1)/2</f>
        <v>1</v>
      </c>
      <c r="K137" s="4">
        <f ca="1">IF(MOD(C137,4)=0,0,Lerp_dyy(H137,I137,J137))</f>
        <v>0</v>
      </c>
      <c r="L137" s="1">
        <f ca="1">OFFSET(控制台!$G$4617,MATCH(B137,控制台!$B$4617:$B$4629,0)-2,0)*控制台!$C$4612</f>
        <v>12</v>
      </c>
      <c r="M137" s="1">
        <f ca="1">OFFSET(控制台!$G$4617,MATCH(B137,控制台!$B$4617:$B$4629,0)-1,0)*控制台!$C$4612</f>
        <v>12</v>
      </c>
      <c r="N137" s="1">
        <v>1</v>
      </c>
      <c r="O137" s="4">
        <f ca="1">IF(MOD(C137,4)=0,Lerp_dyy(L137,M137,N137),0)</f>
        <v>12</v>
      </c>
    </row>
    <row r="138" spans="1:15">
      <c r="A138" s="1">
        <f t="shared" si="3"/>
        <v>433</v>
      </c>
      <c r="B138" s="1">
        <v>4</v>
      </c>
      <c r="C138" s="1">
        <v>33</v>
      </c>
      <c r="D138" s="1">
        <f ca="1">OFFSET(控制台!$C$4617,MATCH(B138,控制台!$B$4617:$B$4629,0)-2,0)*控制台!$C$4610</f>
        <v>25000</v>
      </c>
      <c r="E138" s="1">
        <f ca="1">OFFSET(控制台!$C$4617,MATCH(B138,控制台!$B$4617:$B$4629,0)-1,0)*控制台!$C$4610</f>
        <v>30000</v>
      </c>
      <c r="F138" s="1">
        <f>(_xlfn.FLOOR.MATH((C138-1)/8)+1)/5</f>
        <v>1</v>
      </c>
      <c r="G138" s="4">
        <f ca="1">Lerp_dyy(D138,E138,F138)</f>
        <v>30000</v>
      </c>
      <c r="H138" s="1">
        <f ca="1">OFFSET(控制台!$E$4617,MATCH(B138,控制台!$B$4617:$B$4629,0)-2,0)*控制台!$C$4611</f>
        <v>20</v>
      </c>
      <c r="I138" s="1">
        <f ca="1">OFFSET(控制台!$E$4617,MATCH(B138,控制台!$B$4617:$B$4629,0)-1,0)*控制台!$C$4611</f>
        <v>20</v>
      </c>
      <c r="J138" s="1">
        <f>(_xlfn.FLOOR.MATH((C138-1)/20)+1)/2</f>
        <v>1</v>
      </c>
      <c r="K138" s="4">
        <f ca="1">IF(MOD(C138,4)=0,0,Lerp_dyy(H138,I138,J138))</f>
        <v>20</v>
      </c>
      <c r="L138" s="1">
        <f ca="1">OFFSET(控制台!$G$4617,MATCH(B138,控制台!$B$4617:$B$4629,0)-2,0)*控制台!$C$4612</f>
        <v>12</v>
      </c>
      <c r="M138" s="1">
        <f ca="1">OFFSET(控制台!$G$4617,MATCH(B138,控制台!$B$4617:$B$4629,0)-1,0)*控制台!$C$4612</f>
        <v>12</v>
      </c>
      <c r="N138" s="1">
        <v>1</v>
      </c>
      <c r="O138" s="4">
        <f ca="1">IF(MOD(C138,4)=0,Lerp_dyy(L138,M138,N138),0)</f>
        <v>0</v>
      </c>
    </row>
    <row r="139" spans="1:15">
      <c r="A139" s="1">
        <f t="shared" si="3"/>
        <v>434</v>
      </c>
      <c r="B139" s="1">
        <v>4</v>
      </c>
      <c r="C139" s="1">
        <v>34</v>
      </c>
      <c r="D139" s="1">
        <f ca="1">OFFSET(控制台!$C$4617,MATCH(B139,控制台!$B$4617:$B$4629,0)-2,0)*控制台!$C$4610</f>
        <v>25000</v>
      </c>
      <c r="E139" s="1">
        <f ca="1">OFFSET(控制台!$C$4617,MATCH(B139,控制台!$B$4617:$B$4629,0)-1,0)*控制台!$C$4610</f>
        <v>30000</v>
      </c>
      <c r="F139" s="1">
        <f>(_xlfn.FLOOR.MATH((C139-1)/8)+1)/5</f>
        <v>1</v>
      </c>
      <c r="G139" s="4">
        <f ca="1">Lerp_dyy(D139,E139,F139)</f>
        <v>30000</v>
      </c>
      <c r="H139" s="1">
        <f ca="1">OFFSET(控制台!$E$4617,MATCH(B139,控制台!$B$4617:$B$4629,0)-2,0)*控制台!$C$4611</f>
        <v>20</v>
      </c>
      <c r="I139" s="1">
        <f ca="1">OFFSET(控制台!$E$4617,MATCH(B139,控制台!$B$4617:$B$4629,0)-1,0)*控制台!$C$4611</f>
        <v>20</v>
      </c>
      <c r="J139" s="1">
        <f>(_xlfn.FLOOR.MATH((C139-1)/20)+1)/2</f>
        <v>1</v>
      </c>
      <c r="K139" s="4">
        <f ca="1">IF(MOD(C139,4)=0,0,Lerp_dyy(H139,I139,J139))</f>
        <v>20</v>
      </c>
      <c r="L139" s="1">
        <f ca="1">OFFSET(控制台!$G$4617,MATCH(B139,控制台!$B$4617:$B$4629,0)-2,0)*控制台!$C$4612</f>
        <v>12</v>
      </c>
      <c r="M139" s="1">
        <f ca="1">OFFSET(控制台!$G$4617,MATCH(B139,控制台!$B$4617:$B$4629,0)-1,0)*控制台!$C$4612</f>
        <v>12</v>
      </c>
      <c r="N139" s="1">
        <v>1</v>
      </c>
      <c r="O139" s="4">
        <f ca="1">IF(MOD(C139,4)=0,Lerp_dyy(L139,M139,N139),0)</f>
        <v>0</v>
      </c>
    </row>
    <row r="140" spans="1:15">
      <c r="A140" s="1">
        <f t="shared" si="3"/>
        <v>435</v>
      </c>
      <c r="B140" s="1">
        <v>4</v>
      </c>
      <c r="C140" s="1">
        <v>35</v>
      </c>
      <c r="D140" s="1">
        <f ca="1">OFFSET(控制台!$C$4617,MATCH(B140,控制台!$B$4617:$B$4629,0)-2,0)*控制台!$C$4610</f>
        <v>25000</v>
      </c>
      <c r="E140" s="1">
        <f ca="1">OFFSET(控制台!$C$4617,MATCH(B140,控制台!$B$4617:$B$4629,0)-1,0)*控制台!$C$4610</f>
        <v>30000</v>
      </c>
      <c r="F140" s="1">
        <f>(_xlfn.FLOOR.MATH((C140-1)/8)+1)/5</f>
        <v>1</v>
      </c>
      <c r="G140" s="4">
        <f ca="1">Lerp_dyy(D140,E140,F140)</f>
        <v>30000</v>
      </c>
      <c r="H140" s="1">
        <f ca="1">OFFSET(控制台!$E$4617,MATCH(B140,控制台!$B$4617:$B$4629,0)-2,0)*控制台!$C$4611</f>
        <v>20</v>
      </c>
      <c r="I140" s="1">
        <f ca="1">OFFSET(控制台!$E$4617,MATCH(B140,控制台!$B$4617:$B$4629,0)-1,0)*控制台!$C$4611</f>
        <v>20</v>
      </c>
      <c r="J140" s="1">
        <f>(_xlfn.FLOOR.MATH((C140-1)/20)+1)/2</f>
        <v>1</v>
      </c>
      <c r="K140" s="4">
        <f ca="1">IF(MOD(C140,4)=0,0,Lerp_dyy(H140,I140,J140))</f>
        <v>20</v>
      </c>
      <c r="L140" s="1">
        <f ca="1">OFFSET(控制台!$G$4617,MATCH(B140,控制台!$B$4617:$B$4629,0)-2,0)*控制台!$C$4612</f>
        <v>12</v>
      </c>
      <c r="M140" s="1">
        <f ca="1">OFFSET(控制台!$G$4617,MATCH(B140,控制台!$B$4617:$B$4629,0)-1,0)*控制台!$C$4612</f>
        <v>12</v>
      </c>
      <c r="N140" s="1">
        <v>1</v>
      </c>
      <c r="O140" s="4">
        <f ca="1">IF(MOD(C140,4)=0,Lerp_dyy(L140,M140,N140),0)</f>
        <v>0</v>
      </c>
    </row>
    <row r="141" spans="1:15">
      <c r="A141" s="1">
        <f t="shared" si="3"/>
        <v>436</v>
      </c>
      <c r="B141" s="1">
        <v>4</v>
      </c>
      <c r="C141" s="1">
        <v>36</v>
      </c>
      <c r="D141" s="1">
        <f ca="1">OFFSET(控制台!$C$4617,MATCH(B141,控制台!$B$4617:$B$4629,0)-2,0)*控制台!$C$4610</f>
        <v>25000</v>
      </c>
      <c r="E141" s="1">
        <f ca="1">OFFSET(控制台!$C$4617,MATCH(B141,控制台!$B$4617:$B$4629,0)-1,0)*控制台!$C$4610</f>
        <v>30000</v>
      </c>
      <c r="F141" s="1">
        <f>(_xlfn.FLOOR.MATH((C141-1)/8)+1)/5</f>
        <v>1</v>
      </c>
      <c r="G141" s="4">
        <f ca="1">Lerp_dyy(D141,E141,F141)</f>
        <v>30000</v>
      </c>
      <c r="H141" s="1">
        <f ca="1">OFFSET(控制台!$E$4617,MATCH(B141,控制台!$B$4617:$B$4629,0)-2,0)*控制台!$C$4611</f>
        <v>20</v>
      </c>
      <c r="I141" s="1">
        <f ca="1">OFFSET(控制台!$E$4617,MATCH(B141,控制台!$B$4617:$B$4629,0)-1,0)*控制台!$C$4611</f>
        <v>20</v>
      </c>
      <c r="J141" s="1">
        <f>(_xlfn.FLOOR.MATH((C141-1)/20)+1)/2</f>
        <v>1</v>
      </c>
      <c r="K141" s="4">
        <f ca="1">IF(MOD(C141,4)=0,0,Lerp_dyy(H141,I141,J141))</f>
        <v>0</v>
      </c>
      <c r="L141" s="1">
        <f ca="1">OFFSET(控制台!$G$4617,MATCH(B141,控制台!$B$4617:$B$4629,0)-2,0)*控制台!$C$4612</f>
        <v>12</v>
      </c>
      <c r="M141" s="1">
        <f ca="1">OFFSET(控制台!$G$4617,MATCH(B141,控制台!$B$4617:$B$4629,0)-1,0)*控制台!$C$4612</f>
        <v>12</v>
      </c>
      <c r="N141" s="1">
        <v>1</v>
      </c>
      <c r="O141" s="4">
        <f ca="1">IF(MOD(C141,4)=0,Lerp_dyy(L141,M141,N141),0)</f>
        <v>12</v>
      </c>
    </row>
    <row r="142" spans="1:15">
      <c r="A142" s="1">
        <f t="shared" si="3"/>
        <v>437</v>
      </c>
      <c r="B142" s="1">
        <v>4</v>
      </c>
      <c r="C142" s="1">
        <v>37</v>
      </c>
      <c r="D142" s="1">
        <f ca="1">OFFSET(控制台!$C$4617,MATCH(B142,控制台!$B$4617:$B$4629,0)-2,0)*控制台!$C$4610</f>
        <v>25000</v>
      </c>
      <c r="E142" s="1">
        <f ca="1">OFFSET(控制台!$C$4617,MATCH(B142,控制台!$B$4617:$B$4629,0)-1,0)*控制台!$C$4610</f>
        <v>30000</v>
      </c>
      <c r="F142" s="1">
        <f>(_xlfn.FLOOR.MATH((C142-1)/8)+1)/5</f>
        <v>1</v>
      </c>
      <c r="G142" s="4">
        <f ca="1">Lerp_dyy(D142,E142,F142)</f>
        <v>30000</v>
      </c>
      <c r="H142" s="1">
        <f ca="1">OFFSET(控制台!$E$4617,MATCH(B142,控制台!$B$4617:$B$4629,0)-2,0)*控制台!$C$4611</f>
        <v>20</v>
      </c>
      <c r="I142" s="1">
        <f ca="1">OFFSET(控制台!$E$4617,MATCH(B142,控制台!$B$4617:$B$4629,0)-1,0)*控制台!$C$4611</f>
        <v>20</v>
      </c>
      <c r="J142" s="1">
        <f>(_xlfn.FLOOR.MATH((C142-1)/20)+1)/2</f>
        <v>1</v>
      </c>
      <c r="K142" s="4">
        <f ca="1">IF(MOD(C142,4)=0,0,Lerp_dyy(H142,I142,J142))</f>
        <v>20</v>
      </c>
      <c r="L142" s="1">
        <f ca="1">OFFSET(控制台!$G$4617,MATCH(B142,控制台!$B$4617:$B$4629,0)-2,0)*控制台!$C$4612</f>
        <v>12</v>
      </c>
      <c r="M142" s="1">
        <f ca="1">OFFSET(控制台!$G$4617,MATCH(B142,控制台!$B$4617:$B$4629,0)-1,0)*控制台!$C$4612</f>
        <v>12</v>
      </c>
      <c r="N142" s="1">
        <v>1</v>
      </c>
      <c r="O142" s="4">
        <f ca="1">IF(MOD(C142,4)=0,Lerp_dyy(L142,M142,N142),0)</f>
        <v>0</v>
      </c>
    </row>
    <row r="143" spans="1:15">
      <c r="A143" s="1">
        <f t="shared" si="3"/>
        <v>438</v>
      </c>
      <c r="B143" s="1">
        <v>4</v>
      </c>
      <c r="C143" s="1">
        <v>38</v>
      </c>
      <c r="D143" s="1">
        <f ca="1">OFFSET(控制台!$C$4617,MATCH(B143,控制台!$B$4617:$B$4629,0)-2,0)*控制台!$C$4610</f>
        <v>25000</v>
      </c>
      <c r="E143" s="1">
        <f ca="1">OFFSET(控制台!$C$4617,MATCH(B143,控制台!$B$4617:$B$4629,0)-1,0)*控制台!$C$4610</f>
        <v>30000</v>
      </c>
      <c r="F143" s="1">
        <f>(_xlfn.FLOOR.MATH((C143-1)/8)+1)/5</f>
        <v>1</v>
      </c>
      <c r="G143" s="4">
        <f ca="1">Lerp_dyy(D143,E143,F143)</f>
        <v>30000</v>
      </c>
      <c r="H143" s="1">
        <f ca="1">OFFSET(控制台!$E$4617,MATCH(B143,控制台!$B$4617:$B$4629,0)-2,0)*控制台!$C$4611</f>
        <v>20</v>
      </c>
      <c r="I143" s="1">
        <f ca="1">OFFSET(控制台!$E$4617,MATCH(B143,控制台!$B$4617:$B$4629,0)-1,0)*控制台!$C$4611</f>
        <v>20</v>
      </c>
      <c r="J143" s="1">
        <f>(_xlfn.FLOOR.MATH((C143-1)/20)+1)/2</f>
        <v>1</v>
      </c>
      <c r="K143" s="4">
        <f ca="1">IF(MOD(C143,4)=0,0,Lerp_dyy(H143,I143,J143))</f>
        <v>20</v>
      </c>
      <c r="L143" s="1">
        <f ca="1">OFFSET(控制台!$G$4617,MATCH(B143,控制台!$B$4617:$B$4629,0)-2,0)*控制台!$C$4612</f>
        <v>12</v>
      </c>
      <c r="M143" s="1">
        <f ca="1">OFFSET(控制台!$G$4617,MATCH(B143,控制台!$B$4617:$B$4629,0)-1,0)*控制台!$C$4612</f>
        <v>12</v>
      </c>
      <c r="N143" s="1">
        <v>1</v>
      </c>
      <c r="O143" s="4">
        <f ca="1">IF(MOD(C143,4)=0,Lerp_dyy(L143,M143,N143),0)</f>
        <v>0</v>
      </c>
    </row>
    <row r="144" spans="1:15">
      <c r="A144" s="1">
        <f t="shared" si="3"/>
        <v>439</v>
      </c>
      <c r="B144" s="1">
        <v>4</v>
      </c>
      <c r="C144" s="1">
        <v>39</v>
      </c>
      <c r="D144" s="1">
        <f ca="1">OFFSET(控制台!$C$4617,MATCH(B144,控制台!$B$4617:$B$4629,0)-2,0)*控制台!$C$4610</f>
        <v>25000</v>
      </c>
      <c r="E144" s="1">
        <f ca="1">OFFSET(控制台!$C$4617,MATCH(B144,控制台!$B$4617:$B$4629,0)-1,0)*控制台!$C$4610</f>
        <v>30000</v>
      </c>
      <c r="F144" s="1">
        <f>(_xlfn.FLOOR.MATH((C144-1)/8)+1)/5</f>
        <v>1</v>
      </c>
      <c r="G144" s="4">
        <f ca="1">Lerp_dyy(D144,E144,F144)</f>
        <v>30000</v>
      </c>
      <c r="H144" s="1">
        <f ca="1">OFFSET(控制台!$E$4617,MATCH(B144,控制台!$B$4617:$B$4629,0)-2,0)*控制台!$C$4611</f>
        <v>20</v>
      </c>
      <c r="I144" s="1">
        <f ca="1">OFFSET(控制台!$E$4617,MATCH(B144,控制台!$B$4617:$B$4629,0)-1,0)*控制台!$C$4611</f>
        <v>20</v>
      </c>
      <c r="J144" s="1">
        <f>(_xlfn.FLOOR.MATH((C144-1)/20)+1)/2</f>
        <v>1</v>
      </c>
      <c r="K144" s="4">
        <f ca="1">IF(MOD(C144,4)=0,0,Lerp_dyy(H144,I144,J144))</f>
        <v>20</v>
      </c>
      <c r="L144" s="1">
        <f ca="1">OFFSET(控制台!$G$4617,MATCH(B144,控制台!$B$4617:$B$4629,0)-2,0)*控制台!$C$4612</f>
        <v>12</v>
      </c>
      <c r="M144" s="1">
        <f ca="1">OFFSET(控制台!$G$4617,MATCH(B144,控制台!$B$4617:$B$4629,0)-1,0)*控制台!$C$4612</f>
        <v>12</v>
      </c>
      <c r="N144" s="1">
        <v>1</v>
      </c>
      <c r="O144" s="4">
        <f ca="1">IF(MOD(C144,4)=0,Lerp_dyy(L144,M144,N144),0)</f>
        <v>0</v>
      </c>
    </row>
    <row r="145" spans="1:15">
      <c r="A145" s="1">
        <f t="shared" si="3"/>
        <v>440</v>
      </c>
      <c r="B145" s="1">
        <v>4</v>
      </c>
      <c r="C145" s="1">
        <v>40</v>
      </c>
      <c r="D145" s="1">
        <f ca="1">OFFSET(控制台!$C$4617,MATCH(B145,控制台!$B$4617:$B$4629,0)-2,0)*控制台!$C$4610</f>
        <v>25000</v>
      </c>
      <c r="E145" s="1">
        <f ca="1">OFFSET(控制台!$C$4617,MATCH(B145,控制台!$B$4617:$B$4629,0)-1,0)*控制台!$C$4610</f>
        <v>30000</v>
      </c>
      <c r="F145" s="1">
        <f>(_xlfn.FLOOR.MATH((C145-1)/8)+1)/5</f>
        <v>1</v>
      </c>
      <c r="G145" s="4">
        <f ca="1">Lerp_dyy(D145,E145,F145)</f>
        <v>30000</v>
      </c>
      <c r="H145" s="1">
        <f ca="1">OFFSET(控制台!$E$4617,MATCH(B145,控制台!$B$4617:$B$4629,0)-2,0)*控制台!$C$4611</f>
        <v>20</v>
      </c>
      <c r="I145" s="1">
        <f ca="1">OFFSET(控制台!$E$4617,MATCH(B145,控制台!$B$4617:$B$4629,0)-1,0)*控制台!$C$4611</f>
        <v>20</v>
      </c>
      <c r="J145" s="1">
        <f>(_xlfn.FLOOR.MATH((C145-1)/20)+1)/2</f>
        <v>1</v>
      </c>
      <c r="K145" s="4">
        <f ca="1">IF(MOD(C145,4)=0,0,Lerp_dyy(H145,I145,J145))</f>
        <v>0</v>
      </c>
      <c r="L145" s="1">
        <f ca="1">OFFSET(控制台!$G$4617,MATCH(B145,控制台!$B$4617:$B$4629,0)-2,0)*控制台!$C$4612</f>
        <v>12</v>
      </c>
      <c r="M145" s="1">
        <f ca="1">OFFSET(控制台!$G$4617,MATCH(B145,控制台!$B$4617:$B$4629,0)-1,0)*控制台!$C$4612</f>
        <v>12</v>
      </c>
      <c r="N145" s="1">
        <v>1</v>
      </c>
      <c r="O145" s="4">
        <f ca="1">IF(MOD(C145,4)=0,Lerp_dyy(L145,M145,N145),0)</f>
        <v>12</v>
      </c>
    </row>
    <row r="146" spans="1:15">
      <c r="A146" s="1">
        <f t="shared" si="3"/>
        <v>501</v>
      </c>
      <c r="B146" s="1">
        <v>5</v>
      </c>
      <c r="C146" s="1">
        <v>1</v>
      </c>
      <c r="D146" s="1">
        <f ca="1">OFFSET(控制台!$C$4617,MATCH(B146,控制台!$B$4617:$B$4629,0)-2,0)*控制台!$C$4610</f>
        <v>30000</v>
      </c>
      <c r="E146" s="1">
        <f ca="1">OFFSET(控制台!$C$4617,MATCH(B146,控制台!$B$4617:$B$4629,0)-1,0)*控制台!$C$4610</f>
        <v>35000</v>
      </c>
      <c r="F146" s="1">
        <f>(_xlfn.FLOOR.MATH((C146-1)/8)+1)/5</f>
        <v>0.2</v>
      </c>
      <c r="G146" s="4">
        <f ca="1">Lerp_dyy(D146,E146,F146)</f>
        <v>31000</v>
      </c>
      <c r="H146" s="1">
        <f ca="1">OFFSET(控制台!$E$4617,MATCH(B146,控制台!$B$4617:$B$4629,0)-2,0)*控制台!$C$4611</f>
        <v>20</v>
      </c>
      <c r="I146" s="1">
        <f ca="1">OFFSET(控制台!$E$4617,MATCH(B146,控制台!$B$4617:$B$4629,0)-1,0)*控制台!$C$4611</f>
        <v>40</v>
      </c>
      <c r="J146" s="1">
        <f>(_xlfn.FLOOR.MATH((C146-1)/20)+1)/2</f>
        <v>0.5</v>
      </c>
      <c r="K146" s="4">
        <f ca="1">IF(MOD(C146,4)=0,0,Lerp_dyy(H146,I146,J146))</f>
        <v>30</v>
      </c>
      <c r="L146" s="1">
        <f ca="1">OFFSET(控制台!$G$4617,MATCH(B146,控制台!$B$4617:$B$4629,0)-2,0)*控制台!$C$4612</f>
        <v>12</v>
      </c>
      <c r="M146" s="1">
        <f ca="1">OFFSET(控制台!$G$4617,MATCH(B146,控制台!$B$4617:$B$4629,0)-1,0)*控制台!$C$4612</f>
        <v>14</v>
      </c>
      <c r="N146" s="1">
        <v>1</v>
      </c>
      <c r="O146" s="4">
        <f ca="1">IF(MOD(C146,4)=0,Lerp_dyy(L146,M146,N146),0)</f>
        <v>0</v>
      </c>
    </row>
    <row r="147" spans="1:15">
      <c r="A147" s="1">
        <f t="shared" ref="A147:A156" si="4">B147*100+C147</f>
        <v>502</v>
      </c>
      <c r="B147" s="1">
        <v>5</v>
      </c>
      <c r="C147" s="1">
        <v>2</v>
      </c>
      <c r="D147" s="1">
        <f ca="1">OFFSET(控制台!$C$4617,MATCH(B147,控制台!$B$4617:$B$4629,0)-2,0)*控制台!$C$4610</f>
        <v>30000</v>
      </c>
      <c r="E147" s="1">
        <f ca="1">OFFSET(控制台!$C$4617,MATCH(B147,控制台!$B$4617:$B$4629,0)-1,0)*控制台!$C$4610</f>
        <v>35000</v>
      </c>
      <c r="F147" s="1">
        <f>(_xlfn.FLOOR.MATH((C147-1)/8)+1)/5</f>
        <v>0.2</v>
      </c>
      <c r="G147" s="4">
        <f ca="1">Lerp_dyy(D147,E147,F147)</f>
        <v>31000</v>
      </c>
      <c r="H147" s="1">
        <f ca="1">OFFSET(控制台!$E$4617,MATCH(B147,控制台!$B$4617:$B$4629,0)-2,0)*控制台!$C$4611</f>
        <v>20</v>
      </c>
      <c r="I147" s="1">
        <f ca="1">OFFSET(控制台!$E$4617,MATCH(B147,控制台!$B$4617:$B$4629,0)-1,0)*控制台!$C$4611</f>
        <v>40</v>
      </c>
      <c r="J147" s="1">
        <f>(_xlfn.FLOOR.MATH((C147-1)/20)+1)/2</f>
        <v>0.5</v>
      </c>
      <c r="K147" s="4">
        <f ca="1">IF(MOD(C147,4)=0,0,Lerp_dyy(H147,I147,J147))</f>
        <v>30</v>
      </c>
      <c r="L147" s="1">
        <f ca="1">OFFSET(控制台!$G$4617,MATCH(B147,控制台!$B$4617:$B$4629,0)-2,0)*控制台!$C$4612</f>
        <v>12</v>
      </c>
      <c r="M147" s="1">
        <f ca="1">OFFSET(控制台!$G$4617,MATCH(B147,控制台!$B$4617:$B$4629,0)-1,0)*控制台!$C$4612</f>
        <v>14</v>
      </c>
      <c r="N147" s="1">
        <v>1</v>
      </c>
      <c r="O147" s="4">
        <f ca="1">IF(MOD(C147,4)=0,Lerp_dyy(L147,M147,N147),0)</f>
        <v>0</v>
      </c>
    </row>
    <row r="148" spans="1:15">
      <c r="A148" s="1">
        <f t="shared" si="4"/>
        <v>503</v>
      </c>
      <c r="B148" s="1">
        <v>5</v>
      </c>
      <c r="C148" s="1">
        <v>3</v>
      </c>
      <c r="D148" s="1">
        <f ca="1">OFFSET(控制台!$C$4617,MATCH(B148,控制台!$B$4617:$B$4629,0)-2,0)*控制台!$C$4610</f>
        <v>30000</v>
      </c>
      <c r="E148" s="1">
        <f ca="1">OFFSET(控制台!$C$4617,MATCH(B148,控制台!$B$4617:$B$4629,0)-1,0)*控制台!$C$4610</f>
        <v>35000</v>
      </c>
      <c r="F148" s="1">
        <f>(_xlfn.FLOOR.MATH((C148-1)/8)+1)/5</f>
        <v>0.2</v>
      </c>
      <c r="G148" s="4">
        <f ca="1">Lerp_dyy(D148,E148,F148)</f>
        <v>31000</v>
      </c>
      <c r="H148" s="1">
        <f ca="1">OFFSET(控制台!$E$4617,MATCH(B148,控制台!$B$4617:$B$4629,0)-2,0)*控制台!$C$4611</f>
        <v>20</v>
      </c>
      <c r="I148" s="1">
        <f ca="1">OFFSET(控制台!$E$4617,MATCH(B148,控制台!$B$4617:$B$4629,0)-1,0)*控制台!$C$4611</f>
        <v>40</v>
      </c>
      <c r="J148" s="1">
        <f>(_xlfn.FLOOR.MATH((C148-1)/20)+1)/2</f>
        <v>0.5</v>
      </c>
      <c r="K148" s="4">
        <f ca="1">IF(MOD(C148,4)=0,0,Lerp_dyy(H148,I148,J148))</f>
        <v>30</v>
      </c>
      <c r="L148" s="1">
        <f ca="1">OFFSET(控制台!$G$4617,MATCH(B148,控制台!$B$4617:$B$4629,0)-2,0)*控制台!$C$4612</f>
        <v>12</v>
      </c>
      <c r="M148" s="1">
        <f ca="1">OFFSET(控制台!$G$4617,MATCH(B148,控制台!$B$4617:$B$4629,0)-1,0)*控制台!$C$4612</f>
        <v>14</v>
      </c>
      <c r="N148" s="1">
        <v>1</v>
      </c>
      <c r="O148" s="4">
        <f ca="1">IF(MOD(C148,4)=0,Lerp_dyy(L148,M148,N148),0)</f>
        <v>0</v>
      </c>
    </row>
    <row r="149" spans="1:15">
      <c r="A149" s="1">
        <f t="shared" si="4"/>
        <v>504</v>
      </c>
      <c r="B149" s="1">
        <v>5</v>
      </c>
      <c r="C149" s="1">
        <v>4</v>
      </c>
      <c r="D149" s="1">
        <f ca="1">OFFSET(控制台!$C$4617,MATCH(B149,控制台!$B$4617:$B$4629,0)-2,0)*控制台!$C$4610</f>
        <v>30000</v>
      </c>
      <c r="E149" s="1">
        <f ca="1">OFFSET(控制台!$C$4617,MATCH(B149,控制台!$B$4617:$B$4629,0)-1,0)*控制台!$C$4610</f>
        <v>35000</v>
      </c>
      <c r="F149" s="1">
        <f>(_xlfn.FLOOR.MATH((C149-1)/8)+1)/5</f>
        <v>0.2</v>
      </c>
      <c r="G149" s="4">
        <f ca="1">Lerp_dyy(D149,E149,F149)</f>
        <v>31000</v>
      </c>
      <c r="H149" s="1">
        <f ca="1">OFFSET(控制台!$E$4617,MATCH(B149,控制台!$B$4617:$B$4629,0)-2,0)*控制台!$C$4611</f>
        <v>20</v>
      </c>
      <c r="I149" s="1">
        <f ca="1">OFFSET(控制台!$E$4617,MATCH(B149,控制台!$B$4617:$B$4629,0)-1,0)*控制台!$C$4611</f>
        <v>40</v>
      </c>
      <c r="J149" s="1">
        <f>(_xlfn.FLOOR.MATH((C149-1)/20)+1)/2</f>
        <v>0.5</v>
      </c>
      <c r="K149" s="4">
        <f ca="1">IF(MOD(C149,4)=0,0,Lerp_dyy(H149,I149,J149))</f>
        <v>0</v>
      </c>
      <c r="L149" s="1">
        <f ca="1">OFFSET(控制台!$G$4617,MATCH(B149,控制台!$B$4617:$B$4629,0)-2,0)*控制台!$C$4612</f>
        <v>12</v>
      </c>
      <c r="M149" s="1">
        <f ca="1">OFFSET(控制台!$G$4617,MATCH(B149,控制台!$B$4617:$B$4629,0)-1,0)*控制台!$C$4612</f>
        <v>14</v>
      </c>
      <c r="N149" s="1">
        <v>1</v>
      </c>
      <c r="O149" s="4">
        <f ca="1">IF(MOD(C149,4)=0,Lerp_dyy(L149,M149,N149),0)</f>
        <v>14</v>
      </c>
    </row>
    <row r="150" spans="1:15">
      <c r="A150" s="1">
        <f t="shared" si="4"/>
        <v>505</v>
      </c>
      <c r="B150" s="1">
        <v>5</v>
      </c>
      <c r="C150" s="1">
        <v>5</v>
      </c>
      <c r="D150" s="1">
        <f ca="1">OFFSET(控制台!$C$4617,MATCH(B150,控制台!$B$4617:$B$4629,0)-2,0)*控制台!$C$4610</f>
        <v>30000</v>
      </c>
      <c r="E150" s="1">
        <f ca="1">OFFSET(控制台!$C$4617,MATCH(B150,控制台!$B$4617:$B$4629,0)-1,0)*控制台!$C$4610</f>
        <v>35000</v>
      </c>
      <c r="F150" s="1">
        <f>(_xlfn.FLOOR.MATH((C150-1)/8)+1)/5</f>
        <v>0.2</v>
      </c>
      <c r="G150" s="4">
        <f ca="1">Lerp_dyy(D150,E150,F150)</f>
        <v>31000</v>
      </c>
      <c r="H150" s="1">
        <f ca="1">OFFSET(控制台!$E$4617,MATCH(B150,控制台!$B$4617:$B$4629,0)-2,0)*控制台!$C$4611</f>
        <v>20</v>
      </c>
      <c r="I150" s="1">
        <f ca="1">OFFSET(控制台!$E$4617,MATCH(B150,控制台!$B$4617:$B$4629,0)-1,0)*控制台!$C$4611</f>
        <v>40</v>
      </c>
      <c r="J150" s="1">
        <f>(_xlfn.FLOOR.MATH((C150-1)/20)+1)/2</f>
        <v>0.5</v>
      </c>
      <c r="K150" s="4">
        <f ca="1">IF(MOD(C150,4)=0,0,Lerp_dyy(H150,I150,J150))</f>
        <v>30</v>
      </c>
      <c r="L150" s="1">
        <f ca="1">OFFSET(控制台!$G$4617,MATCH(B150,控制台!$B$4617:$B$4629,0)-2,0)*控制台!$C$4612</f>
        <v>12</v>
      </c>
      <c r="M150" s="1">
        <f ca="1">OFFSET(控制台!$G$4617,MATCH(B150,控制台!$B$4617:$B$4629,0)-1,0)*控制台!$C$4612</f>
        <v>14</v>
      </c>
      <c r="N150" s="1">
        <v>1</v>
      </c>
      <c r="O150" s="4">
        <f ca="1">IF(MOD(C150,4)=0,Lerp_dyy(L150,M150,N150),0)</f>
        <v>0</v>
      </c>
    </row>
    <row r="151" spans="1:15">
      <c r="A151" s="1">
        <f t="shared" si="4"/>
        <v>506</v>
      </c>
      <c r="B151" s="1">
        <v>5</v>
      </c>
      <c r="C151" s="1">
        <v>6</v>
      </c>
      <c r="D151" s="1">
        <f ca="1">OFFSET(控制台!$C$4617,MATCH(B151,控制台!$B$4617:$B$4629,0)-2,0)*控制台!$C$4610</f>
        <v>30000</v>
      </c>
      <c r="E151" s="1">
        <f ca="1">OFFSET(控制台!$C$4617,MATCH(B151,控制台!$B$4617:$B$4629,0)-1,0)*控制台!$C$4610</f>
        <v>35000</v>
      </c>
      <c r="F151" s="1">
        <f>(_xlfn.FLOOR.MATH((C151-1)/8)+1)/5</f>
        <v>0.2</v>
      </c>
      <c r="G151" s="4">
        <f ca="1">Lerp_dyy(D151,E151,F151)</f>
        <v>31000</v>
      </c>
      <c r="H151" s="1">
        <f ca="1">OFFSET(控制台!$E$4617,MATCH(B151,控制台!$B$4617:$B$4629,0)-2,0)*控制台!$C$4611</f>
        <v>20</v>
      </c>
      <c r="I151" s="1">
        <f ca="1">OFFSET(控制台!$E$4617,MATCH(B151,控制台!$B$4617:$B$4629,0)-1,0)*控制台!$C$4611</f>
        <v>40</v>
      </c>
      <c r="J151" s="1">
        <f>(_xlfn.FLOOR.MATH((C151-1)/20)+1)/2</f>
        <v>0.5</v>
      </c>
      <c r="K151" s="4">
        <f ca="1">IF(MOD(C151,4)=0,0,Lerp_dyy(H151,I151,J151))</f>
        <v>30</v>
      </c>
      <c r="L151" s="1">
        <f ca="1">OFFSET(控制台!$G$4617,MATCH(B151,控制台!$B$4617:$B$4629,0)-2,0)*控制台!$C$4612</f>
        <v>12</v>
      </c>
      <c r="M151" s="1">
        <f ca="1">OFFSET(控制台!$G$4617,MATCH(B151,控制台!$B$4617:$B$4629,0)-1,0)*控制台!$C$4612</f>
        <v>14</v>
      </c>
      <c r="N151" s="1">
        <v>1</v>
      </c>
      <c r="O151" s="4">
        <f ca="1">IF(MOD(C151,4)=0,Lerp_dyy(L151,M151,N151),0)</f>
        <v>0</v>
      </c>
    </row>
    <row r="152" spans="1:15">
      <c r="A152" s="1">
        <f t="shared" si="4"/>
        <v>507</v>
      </c>
      <c r="B152" s="1">
        <v>5</v>
      </c>
      <c r="C152" s="1">
        <v>7</v>
      </c>
      <c r="D152" s="1">
        <f ca="1">OFFSET(控制台!$C$4617,MATCH(B152,控制台!$B$4617:$B$4629,0)-2,0)*控制台!$C$4610</f>
        <v>30000</v>
      </c>
      <c r="E152" s="1">
        <f ca="1">OFFSET(控制台!$C$4617,MATCH(B152,控制台!$B$4617:$B$4629,0)-1,0)*控制台!$C$4610</f>
        <v>35000</v>
      </c>
      <c r="F152" s="1">
        <f>(_xlfn.FLOOR.MATH((C152-1)/8)+1)/5</f>
        <v>0.2</v>
      </c>
      <c r="G152" s="4">
        <f ca="1">Lerp_dyy(D152,E152,F152)</f>
        <v>31000</v>
      </c>
      <c r="H152" s="1">
        <f ca="1">OFFSET(控制台!$E$4617,MATCH(B152,控制台!$B$4617:$B$4629,0)-2,0)*控制台!$C$4611</f>
        <v>20</v>
      </c>
      <c r="I152" s="1">
        <f ca="1">OFFSET(控制台!$E$4617,MATCH(B152,控制台!$B$4617:$B$4629,0)-1,0)*控制台!$C$4611</f>
        <v>40</v>
      </c>
      <c r="J152" s="1">
        <f>(_xlfn.FLOOR.MATH((C152-1)/20)+1)/2</f>
        <v>0.5</v>
      </c>
      <c r="K152" s="4">
        <f ca="1">IF(MOD(C152,4)=0,0,Lerp_dyy(H152,I152,J152))</f>
        <v>30</v>
      </c>
      <c r="L152" s="1">
        <f ca="1">OFFSET(控制台!$G$4617,MATCH(B152,控制台!$B$4617:$B$4629,0)-2,0)*控制台!$C$4612</f>
        <v>12</v>
      </c>
      <c r="M152" s="1">
        <f ca="1">OFFSET(控制台!$G$4617,MATCH(B152,控制台!$B$4617:$B$4629,0)-1,0)*控制台!$C$4612</f>
        <v>14</v>
      </c>
      <c r="N152" s="1">
        <v>1</v>
      </c>
      <c r="O152" s="4">
        <f ca="1">IF(MOD(C152,4)=0,Lerp_dyy(L152,M152,N152),0)</f>
        <v>0</v>
      </c>
    </row>
    <row r="153" spans="1:15">
      <c r="A153" s="1">
        <f t="shared" si="4"/>
        <v>508</v>
      </c>
      <c r="B153" s="1">
        <v>5</v>
      </c>
      <c r="C153" s="1">
        <v>8</v>
      </c>
      <c r="D153" s="1">
        <f ca="1">OFFSET(控制台!$C$4617,MATCH(B153,控制台!$B$4617:$B$4629,0)-2,0)*控制台!$C$4610</f>
        <v>30000</v>
      </c>
      <c r="E153" s="1">
        <f ca="1">OFFSET(控制台!$C$4617,MATCH(B153,控制台!$B$4617:$B$4629,0)-1,0)*控制台!$C$4610</f>
        <v>35000</v>
      </c>
      <c r="F153" s="1">
        <f>(_xlfn.FLOOR.MATH((C153-1)/8)+1)/5</f>
        <v>0.2</v>
      </c>
      <c r="G153" s="4">
        <f ca="1">Lerp_dyy(D153,E153,F153)</f>
        <v>31000</v>
      </c>
      <c r="H153" s="1">
        <f ca="1">OFFSET(控制台!$E$4617,MATCH(B153,控制台!$B$4617:$B$4629,0)-2,0)*控制台!$C$4611</f>
        <v>20</v>
      </c>
      <c r="I153" s="1">
        <f ca="1">OFFSET(控制台!$E$4617,MATCH(B153,控制台!$B$4617:$B$4629,0)-1,0)*控制台!$C$4611</f>
        <v>40</v>
      </c>
      <c r="J153" s="1">
        <f>(_xlfn.FLOOR.MATH((C153-1)/20)+1)/2</f>
        <v>0.5</v>
      </c>
      <c r="K153" s="4">
        <f ca="1">IF(MOD(C153,4)=0,0,Lerp_dyy(H153,I153,J153))</f>
        <v>0</v>
      </c>
      <c r="L153" s="1">
        <f ca="1">OFFSET(控制台!$G$4617,MATCH(B153,控制台!$B$4617:$B$4629,0)-2,0)*控制台!$C$4612</f>
        <v>12</v>
      </c>
      <c r="M153" s="1">
        <f ca="1">OFFSET(控制台!$G$4617,MATCH(B153,控制台!$B$4617:$B$4629,0)-1,0)*控制台!$C$4612</f>
        <v>14</v>
      </c>
      <c r="N153" s="1">
        <v>1</v>
      </c>
      <c r="O153" s="4">
        <f ca="1">IF(MOD(C153,4)=0,Lerp_dyy(L153,M153,N153),0)</f>
        <v>14</v>
      </c>
    </row>
    <row r="154" spans="1:15">
      <c r="A154" s="1">
        <f t="shared" si="4"/>
        <v>509</v>
      </c>
      <c r="B154" s="1">
        <v>5</v>
      </c>
      <c r="C154" s="1">
        <v>9</v>
      </c>
      <c r="D154" s="1">
        <f ca="1">OFFSET(控制台!$C$4617,MATCH(B154,控制台!$B$4617:$B$4629,0)-2,0)*控制台!$C$4610</f>
        <v>30000</v>
      </c>
      <c r="E154" s="1">
        <f ca="1">OFFSET(控制台!$C$4617,MATCH(B154,控制台!$B$4617:$B$4629,0)-1,0)*控制台!$C$4610</f>
        <v>35000</v>
      </c>
      <c r="F154" s="1">
        <f>(_xlfn.FLOOR.MATH((C154-1)/8)+1)/5</f>
        <v>0.4</v>
      </c>
      <c r="G154" s="4">
        <f ca="1">Lerp_dyy(D154,E154,F154)</f>
        <v>32000</v>
      </c>
      <c r="H154" s="1">
        <f ca="1">OFFSET(控制台!$E$4617,MATCH(B154,控制台!$B$4617:$B$4629,0)-2,0)*控制台!$C$4611</f>
        <v>20</v>
      </c>
      <c r="I154" s="1">
        <f ca="1">OFFSET(控制台!$E$4617,MATCH(B154,控制台!$B$4617:$B$4629,0)-1,0)*控制台!$C$4611</f>
        <v>40</v>
      </c>
      <c r="J154" s="1">
        <f>(_xlfn.FLOOR.MATH((C154-1)/20)+1)/2</f>
        <v>0.5</v>
      </c>
      <c r="K154" s="4">
        <f ca="1">IF(MOD(C154,4)=0,0,Lerp_dyy(H154,I154,J154))</f>
        <v>30</v>
      </c>
      <c r="L154" s="1">
        <f ca="1">OFFSET(控制台!$G$4617,MATCH(B154,控制台!$B$4617:$B$4629,0)-2,0)*控制台!$C$4612</f>
        <v>12</v>
      </c>
      <c r="M154" s="1">
        <f ca="1">OFFSET(控制台!$G$4617,MATCH(B154,控制台!$B$4617:$B$4629,0)-1,0)*控制台!$C$4612</f>
        <v>14</v>
      </c>
      <c r="N154" s="1">
        <v>1</v>
      </c>
      <c r="O154" s="4">
        <f ca="1">IF(MOD(C154,4)=0,Lerp_dyy(L154,M154,N154),0)</f>
        <v>0</v>
      </c>
    </row>
    <row r="155" spans="1:15">
      <c r="A155" s="1">
        <f t="shared" si="4"/>
        <v>510</v>
      </c>
      <c r="B155" s="1">
        <v>5</v>
      </c>
      <c r="C155" s="1">
        <v>10</v>
      </c>
      <c r="D155" s="1">
        <f ca="1">OFFSET(控制台!$C$4617,MATCH(B155,控制台!$B$4617:$B$4629,0)-2,0)*控制台!$C$4610</f>
        <v>30000</v>
      </c>
      <c r="E155" s="1">
        <f ca="1">OFFSET(控制台!$C$4617,MATCH(B155,控制台!$B$4617:$B$4629,0)-1,0)*控制台!$C$4610</f>
        <v>35000</v>
      </c>
      <c r="F155" s="1">
        <f>(_xlfn.FLOOR.MATH((C155-1)/8)+1)/5</f>
        <v>0.4</v>
      </c>
      <c r="G155" s="4">
        <f ca="1">Lerp_dyy(D155,E155,F155)</f>
        <v>32000</v>
      </c>
      <c r="H155" s="1">
        <f ca="1">OFFSET(控制台!$E$4617,MATCH(B155,控制台!$B$4617:$B$4629,0)-2,0)*控制台!$C$4611</f>
        <v>20</v>
      </c>
      <c r="I155" s="1">
        <f ca="1">OFFSET(控制台!$E$4617,MATCH(B155,控制台!$B$4617:$B$4629,0)-1,0)*控制台!$C$4611</f>
        <v>40</v>
      </c>
      <c r="J155" s="1">
        <f>(_xlfn.FLOOR.MATH((C155-1)/20)+1)/2</f>
        <v>0.5</v>
      </c>
      <c r="K155" s="4">
        <f ca="1">IF(MOD(C155,4)=0,0,Lerp_dyy(H155,I155,J155))</f>
        <v>30</v>
      </c>
      <c r="L155" s="1">
        <f ca="1">OFFSET(控制台!$G$4617,MATCH(B155,控制台!$B$4617:$B$4629,0)-2,0)*控制台!$C$4612</f>
        <v>12</v>
      </c>
      <c r="M155" s="1">
        <f ca="1">OFFSET(控制台!$G$4617,MATCH(B155,控制台!$B$4617:$B$4629,0)-1,0)*控制台!$C$4612</f>
        <v>14</v>
      </c>
      <c r="N155" s="1">
        <v>1</v>
      </c>
      <c r="O155" s="4">
        <f ca="1">IF(MOD(C155,4)=0,Lerp_dyy(L155,M155,N155),0)</f>
        <v>0</v>
      </c>
    </row>
    <row r="156" spans="1:15">
      <c r="A156" s="1">
        <f t="shared" si="4"/>
        <v>511</v>
      </c>
      <c r="B156" s="1">
        <v>5</v>
      </c>
      <c r="C156" s="1">
        <v>11</v>
      </c>
      <c r="D156" s="1">
        <f ca="1">OFFSET(控制台!$C$4617,MATCH(B156,控制台!$B$4617:$B$4629,0)-2,0)*控制台!$C$4610</f>
        <v>30000</v>
      </c>
      <c r="E156" s="1">
        <f ca="1">OFFSET(控制台!$C$4617,MATCH(B156,控制台!$B$4617:$B$4629,0)-1,0)*控制台!$C$4610</f>
        <v>35000</v>
      </c>
      <c r="F156" s="1">
        <f>(_xlfn.FLOOR.MATH((C156-1)/8)+1)/5</f>
        <v>0.4</v>
      </c>
      <c r="G156" s="4">
        <f ca="1">Lerp_dyy(D156,E156,F156)</f>
        <v>32000</v>
      </c>
      <c r="H156" s="1">
        <f ca="1">OFFSET(控制台!$E$4617,MATCH(B156,控制台!$B$4617:$B$4629,0)-2,0)*控制台!$C$4611</f>
        <v>20</v>
      </c>
      <c r="I156" s="1">
        <f ca="1">OFFSET(控制台!$E$4617,MATCH(B156,控制台!$B$4617:$B$4629,0)-1,0)*控制台!$C$4611</f>
        <v>40</v>
      </c>
      <c r="J156" s="1">
        <f>(_xlfn.FLOOR.MATH((C156-1)/20)+1)/2</f>
        <v>0.5</v>
      </c>
      <c r="K156" s="4">
        <f ca="1">IF(MOD(C156,4)=0,0,Lerp_dyy(H156,I156,J156))</f>
        <v>30</v>
      </c>
      <c r="L156" s="1">
        <f ca="1">OFFSET(控制台!$G$4617,MATCH(B156,控制台!$B$4617:$B$4629,0)-2,0)*控制台!$C$4612</f>
        <v>12</v>
      </c>
      <c r="M156" s="1">
        <f ca="1">OFFSET(控制台!$G$4617,MATCH(B156,控制台!$B$4617:$B$4629,0)-1,0)*控制台!$C$4612</f>
        <v>14</v>
      </c>
      <c r="N156" s="1">
        <v>1</v>
      </c>
      <c r="O156" s="4">
        <f ca="1">IF(MOD(C156,4)=0,Lerp_dyy(L156,M156,N156),0)</f>
        <v>0</v>
      </c>
    </row>
    <row r="157" spans="1:15">
      <c r="A157" s="1">
        <f t="shared" ref="A157:A166" si="5">B157*100+C157</f>
        <v>512</v>
      </c>
      <c r="B157" s="1">
        <v>5</v>
      </c>
      <c r="C157" s="1">
        <v>12</v>
      </c>
      <c r="D157" s="1">
        <f ca="1">OFFSET(控制台!$C$4617,MATCH(B157,控制台!$B$4617:$B$4629,0)-2,0)*控制台!$C$4610</f>
        <v>30000</v>
      </c>
      <c r="E157" s="1">
        <f ca="1">OFFSET(控制台!$C$4617,MATCH(B157,控制台!$B$4617:$B$4629,0)-1,0)*控制台!$C$4610</f>
        <v>35000</v>
      </c>
      <c r="F157" s="1">
        <f>(_xlfn.FLOOR.MATH((C157-1)/8)+1)/5</f>
        <v>0.4</v>
      </c>
      <c r="G157" s="4">
        <f ca="1">Lerp_dyy(D157,E157,F157)</f>
        <v>32000</v>
      </c>
      <c r="H157" s="1">
        <f ca="1">OFFSET(控制台!$E$4617,MATCH(B157,控制台!$B$4617:$B$4629,0)-2,0)*控制台!$C$4611</f>
        <v>20</v>
      </c>
      <c r="I157" s="1">
        <f ca="1">OFFSET(控制台!$E$4617,MATCH(B157,控制台!$B$4617:$B$4629,0)-1,0)*控制台!$C$4611</f>
        <v>40</v>
      </c>
      <c r="J157" s="1">
        <f>(_xlfn.FLOOR.MATH((C157-1)/20)+1)/2</f>
        <v>0.5</v>
      </c>
      <c r="K157" s="4">
        <f ca="1">IF(MOD(C157,4)=0,0,Lerp_dyy(H157,I157,J157))</f>
        <v>0</v>
      </c>
      <c r="L157" s="1">
        <f ca="1">OFFSET(控制台!$G$4617,MATCH(B157,控制台!$B$4617:$B$4629,0)-2,0)*控制台!$C$4612</f>
        <v>12</v>
      </c>
      <c r="M157" s="1">
        <f ca="1">OFFSET(控制台!$G$4617,MATCH(B157,控制台!$B$4617:$B$4629,0)-1,0)*控制台!$C$4612</f>
        <v>14</v>
      </c>
      <c r="N157" s="1">
        <v>1</v>
      </c>
      <c r="O157" s="4">
        <f ca="1">IF(MOD(C157,4)=0,Lerp_dyy(L157,M157,N157),0)</f>
        <v>14</v>
      </c>
    </row>
    <row r="158" spans="1:15">
      <c r="A158" s="1">
        <f t="shared" si="5"/>
        <v>513</v>
      </c>
      <c r="B158" s="1">
        <v>5</v>
      </c>
      <c r="C158" s="1">
        <v>13</v>
      </c>
      <c r="D158" s="1">
        <f ca="1">OFFSET(控制台!$C$4617,MATCH(B158,控制台!$B$4617:$B$4629,0)-2,0)*控制台!$C$4610</f>
        <v>30000</v>
      </c>
      <c r="E158" s="1">
        <f ca="1">OFFSET(控制台!$C$4617,MATCH(B158,控制台!$B$4617:$B$4629,0)-1,0)*控制台!$C$4610</f>
        <v>35000</v>
      </c>
      <c r="F158" s="1">
        <f>(_xlfn.FLOOR.MATH((C158-1)/8)+1)/5</f>
        <v>0.4</v>
      </c>
      <c r="G158" s="4">
        <f ca="1">Lerp_dyy(D158,E158,F158)</f>
        <v>32000</v>
      </c>
      <c r="H158" s="1">
        <f ca="1">OFFSET(控制台!$E$4617,MATCH(B158,控制台!$B$4617:$B$4629,0)-2,0)*控制台!$C$4611</f>
        <v>20</v>
      </c>
      <c r="I158" s="1">
        <f ca="1">OFFSET(控制台!$E$4617,MATCH(B158,控制台!$B$4617:$B$4629,0)-1,0)*控制台!$C$4611</f>
        <v>40</v>
      </c>
      <c r="J158" s="1">
        <f>(_xlfn.FLOOR.MATH((C158-1)/20)+1)/2</f>
        <v>0.5</v>
      </c>
      <c r="K158" s="4">
        <f ca="1">IF(MOD(C158,4)=0,0,Lerp_dyy(H158,I158,J158))</f>
        <v>30</v>
      </c>
      <c r="L158" s="1">
        <f ca="1">OFFSET(控制台!$G$4617,MATCH(B158,控制台!$B$4617:$B$4629,0)-2,0)*控制台!$C$4612</f>
        <v>12</v>
      </c>
      <c r="M158" s="1">
        <f ca="1">OFFSET(控制台!$G$4617,MATCH(B158,控制台!$B$4617:$B$4629,0)-1,0)*控制台!$C$4612</f>
        <v>14</v>
      </c>
      <c r="N158" s="1">
        <v>1</v>
      </c>
      <c r="O158" s="4">
        <f ca="1">IF(MOD(C158,4)=0,Lerp_dyy(L158,M158,N158),0)</f>
        <v>0</v>
      </c>
    </row>
    <row r="159" spans="1:15">
      <c r="A159" s="1">
        <f t="shared" si="5"/>
        <v>514</v>
      </c>
      <c r="B159" s="1">
        <v>5</v>
      </c>
      <c r="C159" s="1">
        <v>14</v>
      </c>
      <c r="D159" s="1">
        <f ca="1">OFFSET(控制台!$C$4617,MATCH(B159,控制台!$B$4617:$B$4629,0)-2,0)*控制台!$C$4610</f>
        <v>30000</v>
      </c>
      <c r="E159" s="1">
        <f ca="1">OFFSET(控制台!$C$4617,MATCH(B159,控制台!$B$4617:$B$4629,0)-1,0)*控制台!$C$4610</f>
        <v>35000</v>
      </c>
      <c r="F159" s="1">
        <f>(_xlfn.FLOOR.MATH((C159-1)/8)+1)/5</f>
        <v>0.4</v>
      </c>
      <c r="G159" s="4">
        <f ca="1">Lerp_dyy(D159,E159,F159)</f>
        <v>32000</v>
      </c>
      <c r="H159" s="1">
        <f ca="1">OFFSET(控制台!$E$4617,MATCH(B159,控制台!$B$4617:$B$4629,0)-2,0)*控制台!$C$4611</f>
        <v>20</v>
      </c>
      <c r="I159" s="1">
        <f ca="1">OFFSET(控制台!$E$4617,MATCH(B159,控制台!$B$4617:$B$4629,0)-1,0)*控制台!$C$4611</f>
        <v>40</v>
      </c>
      <c r="J159" s="1">
        <f>(_xlfn.FLOOR.MATH((C159-1)/20)+1)/2</f>
        <v>0.5</v>
      </c>
      <c r="K159" s="4">
        <f ca="1">IF(MOD(C159,4)=0,0,Lerp_dyy(H159,I159,J159))</f>
        <v>30</v>
      </c>
      <c r="L159" s="1">
        <f ca="1">OFFSET(控制台!$G$4617,MATCH(B159,控制台!$B$4617:$B$4629,0)-2,0)*控制台!$C$4612</f>
        <v>12</v>
      </c>
      <c r="M159" s="1">
        <f ca="1">OFFSET(控制台!$G$4617,MATCH(B159,控制台!$B$4617:$B$4629,0)-1,0)*控制台!$C$4612</f>
        <v>14</v>
      </c>
      <c r="N159" s="1">
        <v>1</v>
      </c>
      <c r="O159" s="4">
        <f ca="1">IF(MOD(C159,4)=0,Lerp_dyy(L159,M159,N159),0)</f>
        <v>0</v>
      </c>
    </row>
    <row r="160" spans="1:15">
      <c r="A160" s="1">
        <f t="shared" si="5"/>
        <v>515</v>
      </c>
      <c r="B160" s="1">
        <v>5</v>
      </c>
      <c r="C160" s="1">
        <v>15</v>
      </c>
      <c r="D160" s="1">
        <f ca="1">OFFSET(控制台!$C$4617,MATCH(B160,控制台!$B$4617:$B$4629,0)-2,0)*控制台!$C$4610</f>
        <v>30000</v>
      </c>
      <c r="E160" s="1">
        <f ca="1">OFFSET(控制台!$C$4617,MATCH(B160,控制台!$B$4617:$B$4629,0)-1,0)*控制台!$C$4610</f>
        <v>35000</v>
      </c>
      <c r="F160" s="1">
        <f>(_xlfn.FLOOR.MATH((C160-1)/8)+1)/5</f>
        <v>0.4</v>
      </c>
      <c r="G160" s="4">
        <f ca="1">Lerp_dyy(D160,E160,F160)</f>
        <v>32000</v>
      </c>
      <c r="H160" s="1">
        <f ca="1">OFFSET(控制台!$E$4617,MATCH(B160,控制台!$B$4617:$B$4629,0)-2,0)*控制台!$C$4611</f>
        <v>20</v>
      </c>
      <c r="I160" s="1">
        <f ca="1">OFFSET(控制台!$E$4617,MATCH(B160,控制台!$B$4617:$B$4629,0)-1,0)*控制台!$C$4611</f>
        <v>40</v>
      </c>
      <c r="J160" s="1">
        <f>(_xlfn.FLOOR.MATH((C160-1)/20)+1)/2</f>
        <v>0.5</v>
      </c>
      <c r="K160" s="4">
        <f ca="1">IF(MOD(C160,4)=0,0,Lerp_dyy(H160,I160,J160))</f>
        <v>30</v>
      </c>
      <c r="L160" s="1">
        <f ca="1">OFFSET(控制台!$G$4617,MATCH(B160,控制台!$B$4617:$B$4629,0)-2,0)*控制台!$C$4612</f>
        <v>12</v>
      </c>
      <c r="M160" s="1">
        <f ca="1">OFFSET(控制台!$G$4617,MATCH(B160,控制台!$B$4617:$B$4629,0)-1,0)*控制台!$C$4612</f>
        <v>14</v>
      </c>
      <c r="N160" s="1">
        <v>1</v>
      </c>
      <c r="O160" s="4">
        <f ca="1">IF(MOD(C160,4)=0,Lerp_dyy(L160,M160,N160),0)</f>
        <v>0</v>
      </c>
    </row>
    <row r="161" spans="1:15">
      <c r="A161" s="1">
        <f t="shared" si="5"/>
        <v>516</v>
      </c>
      <c r="B161" s="1">
        <v>5</v>
      </c>
      <c r="C161" s="1">
        <v>16</v>
      </c>
      <c r="D161" s="1">
        <f ca="1">OFFSET(控制台!$C$4617,MATCH(B161,控制台!$B$4617:$B$4629,0)-2,0)*控制台!$C$4610</f>
        <v>30000</v>
      </c>
      <c r="E161" s="1">
        <f ca="1">OFFSET(控制台!$C$4617,MATCH(B161,控制台!$B$4617:$B$4629,0)-1,0)*控制台!$C$4610</f>
        <v>35000</v>
      </c>
      <c r="F161" s="1">
        <f>(_xlfn.FLOOR.MATH((C161-1)/8)+1)/5</f>
        <v>0.4</v>
      </c>
      <c r="G161" s="4">
        <f ca="1">Lerp_dyy(D161,E161,F161)</f>
        <v>32000</v>
      </c>
      <c r="H161" s="1">
        <f ca="1">OFFSET(控制台!$E$4617,MATCH(B161,控制台!$B$4617:$B$4629,0)-2,0)*控制台!$C$4611</f>
        <v>20</v>
      </c>
      <c r="I161" s="1">
        <f ca="1">OFFSET(控制台!$E$4617,MATCH(B161,控制台!$B$4617:$B$4629,0)-1,0)*控制台!$C$4611</f>
        <v>40</v>
      </c>
      <c r="J161" s="1">
        <f>(_xlfn.FLOOR.MATH((C161-1)/20)+1)/2</f>
        <v>0.5</v>
      </c>
      <c r="K161" s="4">
        <f ca="1">IF(MOD(C161,4)=0,0,Lerp_dyy(H161,I161,J161))</f>
        <v>0</v>
      </c>
      <c r="L161" s="1">
        <f ca="1">OFFSET(控制台!$G$4617,MATCH(B161,控制台!$B$4617:$B$4629,0)-2,0)*控制台!$C$4612</f>
        <v>12</v>
      </c>
      <c r="M161" s="1">
        <f ca="1">OFFSET(控制台!$G$4617,MATCH(B161,控制台!$B$4617:$B$4629,0)-1,0)*控制台!$C$4612</f>
        <v>14</v>
      </c>
      <c r="N161" s="1">
        <v>1</v>
      </c>
      <c r="O161" s="4">
        <f ca="1">IF(MOD(C161,4)=0,Lerp_dyy(L161,M161,N161),0)</f>
        <v>14</v>
      </c>
    </row>
    <row r="162" spans="1:15">
      <c r="A162" s="1">
        <f t="shared" si="5"/>
        <v>517</v>
      </c>
      <c r="B162" s="1">
        <v>5</v>
      </c>
      <c r="C162" s="1">
        <v>17</v>
      </c>
      <c r="D162" s="1">
        <f ca="1">OFFSET(控制台!$C$4617,MATCH(B162,控制台!$B$4617:$B$4629,0)-2,0)*控制台!$C$4610</f>
        <v>30000</v>
      </c>
      <c r="E162" s="1">
        <f ca="1">OFFSET(控制台!$C$4617,MATCH(B162,控制台!$B$4617:$B$4629,0)-1,0)*控制台!$C$4610</f>
        <v>35000</v>
      </c>
      <c r="F162" s="1">
        <f>(_xlfn.FLOOR.MATH((C162-1)/8)+1)/5</f>
        <v>0.6</v>
      </c>
      <c r="G162" s="4">
        <f ca="1">Lerp_dyy(D162,E162,F162)</f>
        <v>33000</v>
      </c>
      <c r="H162" s="1">
        <f ca="1">OFFSET(控制台!$E$4617,MATCH(B162,控制台!$B$4617:$B$4629,0)-2,0)*控制台!$C$4611</f>
        <v>20</v>
      </c>
      <c r="I162" s="1">
        <f ca="1">OFFSET(控制台!$E$4617,MATCH(B162,控制台!$B$4617:$B$4629,0)-1,0)*控制台!$C$4611</f>
        <v>40</v>
      </c>
      <c r="J162" s="1">
        <f>(_xlfn.FLOOR.MATH((C162-1)/20)+1)/2</f>
        <v>0.5</v>
      </c>
      <c r="K162" s="4">
        <f ca="1">IF(MOD(C162,4)=0,0,Lerp_dyy(H162,I162,J162))</f>
        <v>30</v>
      </c>
      <c r="L162" s="1">
        <f ca="1">OFFSET(控制台!$G$4617,MATCH(B162,控制台!$B$4617:$B$4629,0)-2,0)*控制台!$C$4612</f>
        <v>12</v>
      </c>
      <c r="M162" s="1">
        <f ca="1">OFFSET(控制台!$G$4617,MATCH(B162,控制台!$B$4617:$B$4629,0)-1,0)*控制台!$C$4612</f>
        <v>14</v>
      </c>
      <c r="N162" s="1">
        <v>1</v>
      </c>
      <c r="O162" s="4">
        <f ca="1">IF(MOD(C162,4)=0,Lerp_dyy(L162,M162,N162),0)</f>
        <v>0</v>
      </c>
    </row>
    <row r="163" spans="1:15">
      <c r="A163" s="1">
        <f t="shared" si="5"/>
        <v>518</v>
      </c>
      <c r="B163" s="1">
        <v>5</v>
      </c>
      <c r="C163" s="1">
        <v>18</v>
      </c>
      <c r="D163" s="1">
        <f ca="1">OFFSET(控制台!$C$4617,MATCH(B163,控制台!$B$4617:$B$4629,0)-2,0)*控制台!$C$4610</f>
        <v>30000</v>
      </c>
      <c r="E163" s="1">
        <f ca="1">OFFSET(控制台!$C$4617,MATCH(B163,控制台!$B$4617:$B$4629,0)-1,0)*控制台!$C$4610</f>
        <v>35000</v>
      </c>
      <c r="F163" s="1">
        <f>(_xlfn.FLOOR.MATH((C163-1)/8)+1)/5</f>
        <v>0.6</v>
      </c>
      <c r="G163" s="4">
        <f ca="1">Lerp_dyy(D163,E163,F163)</f>
        <v>33000</v>
      </c>
      <c r="H163" s="1">
        <f ca="1">OFFSET(控制台!$E$4617,MATCH(B163,控制台!$B$4617:$B$4629,0)-2,0)*控制台!$C$4611</f>
        <v>20</v>
      </c>
      <c r="I163" s="1">
        <f ca="1">OFFSET(控制台!$E$4617,MATCH(B163,控制台!$B$4617:$B$4629,0)-1,0)*控制台!$C$4611</f>
        <v>40</v>
      </c>
      <c r="J163" s="1">
        <f>(_xlfn.FLOOR.MATH((C163-1)/20)+1)/2</f>
        <v>0.5</v>
      </c>
      <c r="K163" s="4">
        <f ca="1">IF(MOD(C163,4)=0,0,Lerp_dyy(H163,I163,J163))</f>
        <v>30</v>
      </c>
      <c r="L163" s="1">
        <f ca="1">OFFSET(控制台!$G$4617,MATCH(B163,控制台!$B$4617:$B$4629,0)-2,0)*控制台!$C$4612</f>
        <v>12</v>
      </c>
      <c r="M163" s="1">
        <f ca="1">OFFSET(控制台!$G$4617,MATCH(B163,控制台!$B$4617:$B$4629,0)-1,0)*控制台!$C$4612</f>
        <v>14</v>
      </c>
      <c r="N163" s="1">
        <v>1</v>
      </c>
      <c r="O163" s="4">
        <f ca="1">IF(MOD(C163,4)=0,Lerp_dyy(L163,M163,N163),0)</f>
        <v>0</v>
      </c>
    </row>
    <row r="164" spans="1:15">
      <c r="A164" s="1">
        <f t="shared" si="5"/>
        <v>519</v>
      </c>
      <c r="B164" s="1">
        <v>5</v>
      </c>
      <c r="C164" s="1">
        <v>19</v>
      </c>
      <c r="D164" s="1">
        <f ca="1">OFFSET(控制台!$C$4617,MATCH(B164,控制台!$B$4617:$B$4629,0)-2,0)*控制台!$C$4610</f>
        <v>30000</v>
      </c>
      <c r="E164" s="1">
        <f ca="1">OFFSET(控制台!$C$4617,MATCH(B164,控制台!$B$4617:$B$4629,0)-1,0)*控制台!$C$4610</f>
        <v>35000</v>
      </c>
      <c r="F164" s="1">
        <f>(_xlfn.FLOOR.MATH((C164-1)/8)+1)/5</f>
        <v>0.6</v>
      </c>
      <c r="G164" s="4">
        <f ca="1">Lerp_dyy(D164,E164,F164)</f>
        <v>33000</v>
      </c>
      <c r="H164" s="1">
        <f ca="1">OFFSET(控制台!$E$4617,MATCH(B164,控制台!$B$4617:$B$4629,0)-2,0)*控制台!$C$4611</f>
        <v>20</v>
      </c>
      <c r="I164" s="1">
        <f ca="1">OFFSET(控制台!$E$4617,MATCH(B164,控制台!$B$4617:$B$4629,0)-1,0)*控制台!$C$4611</f>
        <v>40</v>
      </c>
      <c r="J164" s="1">
        <f>(_xlfn.FLOOR.MATH((C164-1)/20)+1)/2</f>
        <v>0.5</v>
      </c>
      <c r="K164" s="4">
        <f ca="1">IF(MOD(C164,4)=0,0,Lerp_dyy(H164,I164,J164))</f>
        <v>30</v>
      </c>
      <c r="L164" s="1">
        <f ca="1">OFFSET(控制台!$G$4617,MATCH(B164,控制台!$B$4617:$B$4629,0)-2,0)*控制台!$C$4612</f>
        <v>12</v>
      </c>
      <c r="M164" s="1">
        <f ca="1">OFFSET(控制台!$G$4617,MATCH(B164,控制台!$B$4617:$B$4629,0)-1,0)*控制台!$C$4612</f>
        <v>14</v>
      </c>
      <c r="N164" s="1">
        <v>1</v>
      </c>
      <c r="O164" s="4">
        <f ca="1">IF(MOD(C164,4)=0,Lerp_dyy(L164,M164,N164),0)</f>
        <v>0</v>
      </c>
    </row>
    <row r="165" spans="1:15">
      <c r="A165" s="1">
        <f t="shared" si="5"/>
        <v>520</v>
      </c>
      <c r="B165" s="1">
        <v>5</v>
      </c>
      <c r="C165" s="1">
        <v>20</v>
      </c>
      <c r="D165" s="1">
        <f ca="1">OFFSET(控制台!$C$4617,MATCH(B165,控制台!$B$4617:$B$4629,0)-2,0)*控制台!$C$4610</f>
        <v>30000</v>
      </c>
      <c r="E165" s="1">
        <f ca="1">OFFSET(控制台!$C$4617,MATCH(B165,控制台!$B$4617:$B$4629,0)-1,0)*控制台!$C$4610</f>
        <v>35000</v>
      </c>
      <c r="F165" s="1">
        <f>(_xlfn.FLOOR.MATH((C165-1)/8)+1)/5</f>
        <v>0.6</v>
      </c>
      <c r="G165" s="4">
        <f ca="1">Lerp_dyy(D165,E165,F165)</f>
        <v>33000</v>
      </c>
      <c r="H165" s="1">
        <f ca="1">OFFSET(控制台!$E$4617,MATCH(B165,控制台!$B$4617:$B$4629,0)-2,0)*控制台!$C$4611</f>
        <v>20</v>
      </c>
      <c r="I165" s="1">
        <f ca="1">OFFSET(控制台!$E$4617,MATCH(B165,控制台!$B$4617:$B$4629,0)-1,0)*控制台!$C$4611</f>
        <v>40</v>
      </c>
      <c r="J165" s="1">
        <f>(_xlfn.FLOOR.MATH((C165-1)/20)+1)/2</f>
        <v>0.5</v>
      </c>
      <c r="K165" s="4">
        <f ca="1">IF(MOD(C165,4)=0,0,Lerp_dyy(H165,I165,J165))</f>
        <v>0</v>
      </c>
      <c r="L165" s="1">
        <f ca="1">OFFSET(控制台!$G$4617,MATCH(B165,控制台!$B$4617:$B$4629,0)-2,0)*控制台!$C$4612</f>
        <v>12</v>
      </c>
      <c r="M165" s="1">
        <f ca="1">OFFSET(控制台!$G$4617,MATCH(B165,控制台!$B$4617:$B$4629,0)-1,0)*控制台!$C$4612</f>
        <v>14</v>
      </c>
      <c r="N165" s="1">
        <v>1</v>
      </c>
      <c r="O165" s="4">
        <f ca="1">IF(MOD(C165,4)=0,Lerp_dyy(L165,M165,N165),0)</f>
        <v>14</v>
      </c>
    </row>
    <row r="166" spans="1:15">
      <c r="A166" s="1">
        <f t="shared" si="5"/>
        <v>521</v>
      </c>
      <c r="B166" s="1">
        <v>5</v>
      </c>
      <c r="C166" s="1">
        <v>21</v>
      </c>
      <c r="D166" s="1">
        <f ca="1">OFFSET(控制台!$C$4617,MATCH(B166,控制台!$B$4617:$B$4629,0)-2,0)*控制台!$C$4610</f>
        <v>30000</v>
      </c>
      <c r="E166" s="1">
        <f ca="1">OFFSET(控制台!$C$4617,MATCH(B166,控制台!$B$4617:$B$4629,0)-1,0)*控制台!$C$4610</f>
        <v>35000</v>
      </c>
      <c r="F166" s="1">
        <f>(_xlfn.FLOOR.MATH((C166-1)/8)+1)/5</f>
        <v>0.6</v>
      </c>
      <c r="G166" s="4">
        <f ca="1">Lerp_dyy(D166,E166,F166)</f>
        <v>33000</v>
      </c>
      <c r="H166" s="1">
        <f ca="1">OFFSET(控制台!$E$4617,MATCH(B166,控制台!$B$4617:$B$4629,0)-2,0)*控制台!$C$4611</f>
        <v>20</v>
      </c>
      <c r="I166" s="1">
        <f ca="1">OFFSET(控制台!$E$4617,MATCH(B166,控制台!$B$4617:$B$4629,0)-1,0)*控制台!$C$4611</f>
        <v>40</v>
      </c>
      <c r="J166" s="1">
        <f>(_xlfn.FLOOR.MATH((C166-1)/20)+1)/2</f>
        <v>1</v>
      </c>
      <c r="K166" s="4">
        <f ca="1">IF(MOD(C166,4)=0,0,Lerp_dyy(H166,I166,J166))</f>
        <v>40</v>
      </c>
      <c r="L166" s="1">
        <f ca="1">OFFSET(控制台!$G$4617,MATCH(B166,控制台!$B$4617:$B$4629,0)-2,0)*控制台!$C$4612</f>
        <v>12</v>
      </c>
      <c r="M166" s="1">
        <f ca="1">OFFSET(控制台!$G$4617,MATCH(B166,控制台!$B$4617:$B$4629,0)-1,0)*控制台!$C$4612</f>
        <v>14</v>
      </c>
      <c r="N166" s="1">
        <v>1</v>
      </c>
      <c r="O166" s="4">
        <f ca="1">IF(MOD(C166,4)=0,Lerp_dyy(L166,M166,N166),0)</f>
        <v>0</v>
      </c>
    </row>
    <row r="167" spans="1:15">
      <c r="A167" s="1">
        <f t="shared" ref="A167:A230" si="6">B167*100+C167</f>
        <v>522</v>
      </c>
      <c r="B167" s="1">
        <v>5</v>
      </c>
      <c r="C167" s="1">
        <v>22</v>
      </c>
      <c r="D167" s="1">
        <f ca="1">OFFSET(控制台!$C$4617,MATCH(B167,控制台!$B$4617:$B$4629,0)-2,0)*控制台!$C$4610</f>
        <v>30000</v>
      </c>
      <c r="E167" s="1">
        <f ca="1">OFFSET(控制台!$C$4617,MATCH(B167,控制台!$B$4617:$B$4629,0)-1,0)*控制台!$C$4610</f>
        <v>35000</v>
      </c>
      <c r="F167" s="1">
        <f>(_xlfn.FLOOR.MATH((C167-1)/8)+1)/5</f>
        <v>0.6</v>
      </c>
      <c r="G167" s="4">
        <f ca="1">Lerp_dyy(D167,E167,F167)</f>
        <v>33000</v>
      </c>
      <c r="H167" s="1">
        <f ca="1">OFFSET(控制台!$E$4617,MATCH(B167,控制台!$B$4617:$B$4629,0)-2,0)*控制台!$C$4611</f>
        <v>20</v>
      </c>
      <c r="I167" s="1">
        <f ca="1">OFFSET(控制台!$E$4617,MATCH(B167,控制台!$B$4617:$B$4629,0)-1,0)*控制台!$C$4611</f>
        <v>40</v>
      </c>
      <c r="J167" s="1">
        <f>(_xlfn.FLOOR.MATH((C167-1)/20)+1)/2</f>
        <v>1</v>
      </c>
      <c r="K167" s="4">
        <f ca="1">IF(MOD(C167,4)=0,0,Lerp_dyy(H167,I167,J167))</f>
        <v>40</v>
      </c>
      <c r="L167" s="1">
        <f ca="1">OFFSET(控制台!$G$4617,MATCH(B167,控制台!$B$4617:$B$4629,0)-2,0)*控制台!$C$4612</f>
        <v>12</v>
      </c>
      <c r="M167" s="1">
        <f ca="1">OFFSET(控制台!$G$4617,MATCH(B167,控制台!$B$4617:$B$4629,0)-1,0)*控制台!$C$4612</f>
        <v>14</v>
      </c>
      <c r="N167" s="1">
        <v>1</v>
      </c>
      <c r="O167" s="4">
        <f ca="1">IF(MOD(C167,4)=0,Lerp_dyy(L167,M167,N167),0)</f>
        <v>0</v>
      </c>
    </row>
    <row r="168" spans="1:15">
      <c r="A168" s="1">
        <f t="shared" si="6"/>
        <v>523</v>
      </c>
      <c r="B168" s="1">
        <v>5</v>
      </c>
      <c r="C168" s="1">
        <v>23</v>
      </c>
      <c r="D168" s="1">
        <f ca="1">OFFSET(控制台!$C$4617,MATCH(B168,控制台!$B$4617:$B$4629,0)-2,0)*控制台!$C$4610</f>
        <v>30000</v>
      </c>
      <c r="E168" s="1">
        <f ca="1">OFFSET(控制台!$C$4617,MATCH(B168,控制台!$B$4617:$B$4629,0)-1,0)*控制台!$C$4610</f>
        <v>35000</v>
      </c>
      <c r="F168" s="1">
        <f>(_xlfn.FLOOR.MATH((C168-1)/8)+1)/5</f>
        <v>0.6</v>
      </c>
      <c r="G168" s="4">
        <f ca="1">Lerp_dyy(D168,E168,F168)</f>
        <v>33000</v>
      </c>
      <c r="H168" s="1">
        <f ca="1">OFFSET(控制台!$E$4617,MATCH(B168,控制台!$B$4617:$B$4629,0)-2,0)*控制台!$C$4611</f>
        <v>20</v>
      </c>
      <c r="I168" s="1">
        <f ca="1">OFFSET(控制台!$E$4617,MATCH(B168,控制台!$B$4617:$B$4629,0)-1,0)*控制台!$C$4611</f>
        <v>40</v>
      </c>
      <c r="J168" s="1">
        <f>(_xlfn.FLOOR.MATH((C168-1)/20)+1)/2</f>
        <v>1</v>
      </c>
      <c r="K168" s="4">
        <f ca="1">IF(MOD(C168,4)=0,0,Lerp_dyy(H168,I168,J168))</f>
        <v>40</v>
      </c>
      <c r="L168" s="1">
        <f ca="1">OFFSET(控制台!$G$4617,MATCH(B168,控制台!$B$4617:$B$4629,0)-2,0)*控制台!$C$4612</f>
        <v>12</v>
      </c>
      <c r="M168" s="1">
        <f ca="1">OFFSET(控制台!$G$4617,MATCH(B168,控制台!$B$4617:$B$4629,0)-1,0)*控制台!$C$4612</f>
        <v>14</v>
      </c>
      <c r="N168" s="1">
        <v>1</v>
      </c>
      <c r="O168" s="4">
        <f ca="1">IF(MOD(C168,4)=0,Lerp_dyy(L168,M168,N168),0)</f>
        <v>0</v>
      </c>
    </row>
    <row r="169" spans="1:15">
      <c r="A169" s="1">
        <f t="shared" si="6"/>
        <v>524</v>
      </c>
      <c r="B169" s="1">
        <v>5</v>
      </c>
      <c r="C169" s="1">
        <v>24</v>
      </c>
      <c r="D169" s="1">
        <f ca="1">OFFSET(控制台!$C$4617,MATCH(B169,控制台!$B$4617:$B$4629,0)-2,0)*控制台!$C$4610</f>
        <v>30000</v>
      </c>
      <c r="E169" s="1">
        <f ca="1">OFFSET(控制台!$C$4617,MATCH(B169,控制台!$B$4617:$B$4629,0)-1,0)*控制台!$C$4610</f>
        <v>35000</v>
      </c>
      <c r="F169" s="1">
        <f>(_xlfn.FLOOR.MATH((C169-1)/8)+1)/5</f>
        <v>0.6</v>
      </c>
      <c r="G169" s="4">
        <f ca="1">Lerp_dyy(D169,E169,F169)</f>
        <v>33000</v>
      </c>
      <c r="H169" s="1">
        <f ca="1">OFFSET(控制台!$E$4617,MATCH(B169,控制台!$B$4617:$B$4629,0)-2,0)*控制台!$C$4611</f>
        <v>20</v>
      </c>
      <c r="I169" s="1">
        <f ca="1">OFFSET(控制台!$E$4617,MATCH(B169,控制台!$B$4617:$B$4629,0)-1,0)*控制台!$C$4611</f>
        <v>40</v>
      </c>
      <c r="J169" s="1">
        <f>(_xlfn.FLOOR.MATH((C169-1)/20)+1)/2</f>
        <v>1</v>
      </c>
      <c r="K169" s="4">
        <f ca="1">IF(MOD(C169,4)=0,0,Lerp_dyy(H169,I169,J169))</f>
        <v>0</v>
      </c>
      <c r="L169" s="1">
        <f ca="1">OFFSET(控制台!$G$4617,MATCH(B169,控制台!$B$4617:$B$4629,0)-2,0)*控制台!$C$4612</f>
        <v>12</v>
      </c>
      <c r="M169" s="1">
        <f ca="1">OFFSET(控制台!$G$4617,MATCH(B169,控制台!$B$4617:$B$4629,0)-1,0)*控制台!$C$4612</f>
        <v>14</v>
      </c>
      <c r="N169" s="1">
        <v>1</v>
      </c>
      <c r="O169" s="4">
        <f ca="1">IF(MOD(C169,4)=0,Lerp_dyy(L169,M169,N169),0)</f>
        <v>14</v>
      </c>
    </row>
    <row r="170" spans="1:15">
      <c r="A170" s="1">
        <f t="shared" si="6"/>
        <v>525</v>
      </c>
      <c r="B170" s="1">
        <v>5</v>
      </c>
      <c r="C170" s="1">
        <v>25</v>
      </c>
      <c r="D170" s="1">
        <f ca="1">OFFSET(控制台!$C$4617,MATCH(B170,控制台!$B$4617:$B$4629,0)-2,0)*控制台!$C$4610</f>
        <v>30000</v>
      </c>
      <c r="E170" s="1">
        <f ca="1">OFFSET(控制台!$C$4617,MATCH(B170,控制台!$B$4617:$B$4629,0)-1,0)*控制台!$C$4610</f>
        <v>35000</v>
      </c>
      <c r="F170" s="1">
        <f>(_xlfn.FLOOR.MATH((C170-1)/8)+1)/5</f>
        <v>0.8</v>
      </c>
      <c r="G170" s="4">
        <f ca="1">Lerp_dyy(D170,E170,F170)</f>
        <v>34000</v>
      </c>
      <c r="H170" s="1">
        <f ca="1">OFFSET(控制台!$E$4617,MATCH(B170,控制台!$B$4617:$B$4629,0)-2,0)*控制台!$C$4611</f>
        <v>20</v>
      </c>
      <c r="I170" s="1">
        <f ca="1">OFFSET(控制台!$E$4617,MATCH(B170,控制台!$B$4617:$B$4629,0)-1,0)*控制台!$C$4611</f>
        <v>40</v>
      </c>
      <c r="J170" s="1">
        <f>(_xlfn.FLOOR.MATH((C170-1)/20)+1)/2</f>
        <v>1</v>
      </c>
      <c r="K170" s="4">
        <f ca="1">IF(MOD(C170,4)=0,0,Lerp_dyy(H170,I170,J170))</f>
        <v>40</v>
      </c>
      <c r="L170" s="1">
        <f ca="1">OFFSET(控制台!$G$4617,MATCH(B170,控制台!$B$4617:$B$4629,0)-2,0)*控制台!$C$4612</f>
        <v>12</v>
      </c>
      <c r="M170" s="1">
        <f ca="1">OFFSET(控制台!$G$4617,MATCH(B170,控制台!$B$4617:$B$4629,0)-1,0)*控制台!$C$4612</f>
        <v>14</v>
      </c>
      <c r="N170" s="1">
        <v>1</v>
      </c>
      <c r="O170" s="4">
        <f ca="1">IF(MOD(C170,4)=0,Lerp_dyy(L170,M170,N170),0)</f>
        <v>0</v>
      </c>
    </row>
    <row r="171" spans="1:15">
      <c r="A171" s="1">
        <f t="shared" si="6"/>
        <v>526</v>
      </c>
      <c r="B171" s="1">
        <v>5</v>
      </c>
      <c r="C171" s="1">
        <v>26</v>
      </c>
      <c r="D171" s="1">
        <f ca="1">OFFSET(控制台!$C$4617,MATCH(B171,控制台!$B$4617:$B$4629,0)-2,0)*控制台!$C$4610</f>
        <v>30000</v>
      </c>
      <c r="E171" s="1">
        <f ca="1">OFFSET(控制台!$C$4617,MATCH(B171,控制台!$B$4617:$B$4629,0)-1,0)*控制台!$C$4610</f>
        <v>35000</v>
      </c>
      <c r="F171" s="1">
        <f>(_xlfn.FLOOR.MATH((C171-1)/8)+1)/5</f>
        <v>0.8</v>
      </c>
      <c r="G171" s="4">
        <f ca="1">Lerp_dyy(D171,E171,F171)</f>
        <v>34000</v>
      </c>
      <c r="H171" s="1">
        <f ca="1">OFFSET(控制台!$E$4617,MATCH(B171,控制台!$B$4617:$B$4629,0)-2,0)*控制台!$C$4611</f>
        <v>20</v>
      </c>
      <c r="I171" s="1">
        <f ca="1">OFFSET(控制台!$E$4617,MATCH(B171,控制台!$B$4617:$B$4629,0)-1,0)*控制台!$C$4611</f>
        <v>40</v>
      </c>
      <c r="J171" s="1">
        <f>(_xlfn.FLOOR.MATH((C171-1)/20)+1)/2</f>
        <v>1</v>
      </c>
      <c r="K171" s="4">
        <f ca="1">IF(MOD(C171,4)=0,0,Lerp_dyy(H171,I171,J171))</f>
        <v>40</v>
      </c>
      <c r="L171" s="1">
        <f ca="1">OFFSET(控制台!$G$4617,MATCH(B171,控制台!$B$4617:$B$4629,0)-2,0)*控制台!$C$4612</f>
        <v>12</v>
      </c>
      <c r="M171" s="1">
        <f ca="1">OFFSET(控制台!$G$4617,MATCH(B171,控制台!$B$4617:$B$4629,0)-1,0)*控制台!$C$4612</f>
        <v>14</v>
      </c>
      <c r="N171" s="1">
        <v>1</v>
      </c>
      <c r="O171" s="4">
        <f ca="1">IF(MOD(C171,4)=0,Lerp_dyy(L171,M171,N171),0)</f>
        <v>0</v>
      </c>
    </row>
    <row r="172" spans="1:15">
      <c r="A172" s="1">
        <f t="shared" si="6"/>
        <v>527</v>
      </c>
      <c r="B172" s="1">
        <v>5</v>
      </c>
      <c r="C172" s="1">
        <v>27</v>
      </c>
      <c r="D172" s="1">
        <f ca="1">OFFSET(控制台!$C$4617,MATCH(B172,控制台!$B$4617:$B$4629,0)-2,0)*控制台!$C$4610</f>
        <v>30000</v>
      </c>
      <c r="E172" s="1">
        <f ca="1">OFFSET(控制台!$C$4617,MATCH(B172,控制台!$B$4617:$B$4629,0)-1,0)*控制台!$C$4610</f>
        <v>35000</v>
      </c>
      <c r="F172" s="1">
        <f>(_xlfn.FLOOR.MATH((C172-1)/8)+1)/5</f>
        <v>0.8</v>
      </c>
      <c r="G172" s="4">
        <f ca="1">Lerp_dyy(D172,E172,F172)</f>
        <v>34000</v>
      </c>
      <c r="H172" s="1">
        <f ca="1">OFFSET(控制台!$E$4617,MATCH(B172,控制台!$B$4617:$B$4629,0)-2,0)*控制台!$C$4611</f>
        <v>20</v>
      </c>
      <c r="I172" s="1">
        <f ca="1">OFFSET(控制台!$E$4617,MATCH(B172,控制台!$B$4617:$B$4629,0)-1,0)*控制台!$C$4611</f>
        <v>40</v>
      </c>
      <c r="J172" s="1">
        <f>(_xlfn.FLOOR.MATH((C172-1)/20)+1)/2</f>
        <v>1</v>
      </c>
      <c r="K172" s="4">
        <f ca="1">IF(MOD(C172,4)=0,0,Lerp_dyy(H172,I172,J172))</f>
        <v>40</v>
      </c>
      <c r="L172" s="1">
        <f ca="1">OFFSET(控制台!$G$4617,MATCH(B172,控制台!$B$4617:$B$4629,0)-2,0)*控制台!$C$4612</f>
        <v>12</v>
      </c>
      <c r="M172" s="1">
        <f ca="1">OFFSET(控制台!$G$4617,MATCH(B172,控制台!$B$4617:$B$4629,0)-1,0)*控制台!$C$4612</f>
        <v>14</v>
      </c>
      <c r="N172" s="1">
        <v>1</v>
      </c>
      <c r="O172" s="4">
        <f ca="1">IF(MOD(C172,4)=0,Lerp_dyy(L172,M172,N172),0)</f>
        <v>0</v>
      </c>
    </row>
    <row r="173" spans="1:15">
      <c r="A173" s="1">
        <f t="shared" si="6"/>
        <v>528</v>
      </c>
      <c r="B173" s="1">
        <v>5</v>
      </c>
      <c r="C173" s="1">
        <v>28</v>
      </c>
      <c r="D173" s="1">
        <f ca="1">OFFSET(控制台!$C$4617,MATCH(B173,控制台!$B$4617:$B$4629,0)-2,0)*控制台!$C$4610</f>
        <v>30000</v>
      </c>
      <c r="E173" s="1">
        <f ca="1">OFFSET(控制台!$C$4617,MATCH(B173,控制台!$B$4617:$B$4629,0)-1,0)*控制台!$C$4610</f>
        <v>35000</v>
      </c>
      <c r="F173" s="1">
        <f>(_xlfn.FLOOR.MATH((C173-1)/8)+1)/5</f>
        <v>0.8</v>
      </c>
      <c r="G173" s="4">
        <f ca="1">Lerp_dyy(D173,E173,F173)</f>
        <v>34000</v>
      </c>
      <c r="H173" s="1">
        <f ca="1">OFFSET(控制台!$E$4617,MATCH(B173,控制台!$B$4617:$B$4629,0)-2,0)*控制台!$C$4611</f>
        <v>20</v>
      </c>
      <c r="I173" s="1">
        <f ca="1">OFFSET(控制台!$E$4617,MATCH(B173,控制台!$B$4617:$B$4629,0)-1,0)*控制台!$C$4611</f>
        <v>40</v>
      </c>
      <c r="J173" s="1">
        <f>(_xlfn.FLOOR.MATH((C173-1)/20)+1)/2</f>
        <v>1</v>
      </c>
      <c r="K173" s="4">
        <f ca="1">IF(MOD(C173,4)=0,0,Lerp_dyy(H173,I173,J173))</f>
        <v>0</v>
      </c>
      <c r="L173" s="1">
        <f ca="1">OFFSET(控制台!$G$4617,MATCH(B173,控制台!$B$4617:$B$4629,0)-2,0)*控制台!$C$4612</f>
        <v>12</v>
      </c>
      <c r="M173" s="1">
        <f ca="1">OFFSET(控制台!$G$4617,MATCH(B173,控制台!$B$4617:$B$4629,0)-1,0)*控制台!$C$4612</f>
        <v>14</v>
      </c>
      <c r="N173" s="1">
        <v>1</v>
      </c>
      <c r="O173" s="4">
        <f ca="1">IF(MOD(C173,4)=0,Lerp_dyy(L173,M173,N173),0)</f>
        <v>14</v>
      </c>
    </row>
    <row r="174" spans="1:15">
      <c r="A174" s="1">
        <f t="shared" si="6"/>
        <v>529</v>
      </c>
      <c r="B174" s="1">
        <v>5</v>
      </c>
      <c r="C174" s="1">
        <v>29</v>
      </c>
      <c r="D174" s="1">
        <f ca="1">OFFSET(控制台!$C$4617,MATCH(B174,控制台!$B$4617:$B$4629,0)-2,0)*控制台!$C$4610</f>
        <v>30000</v>
      </c>
      <c r="E174" s="1">
        <f ca="1">OFFSET(控制台!$C$4617,MATCH(B174,控制台!$B$4617:$B$4629,0)-1,0)*控制台!$C$4610</f>
        <v>35000</v>
      </c>
      <c r="F174" s="1">
        <f>(_xlfn.FLOOR.MATH((C174-1)/8)+1)/5</f>
        <v>0.8</v>
      </c>
      <c r="G174" s="4">
        <f ca="1">Lerp_dyy(D174,E174,F174)</f>
        <v>34000</v>
      </c>
      <c r="H174" s="1">
        <f ca="1">OFFSET(控制台!$E$4617,MATCH(B174,控制台!$B$4617:$B$4629,0)-2,0)*控制台!$C$4611</f>
        <v>20</v>
      </c>
      <c r="I174" s="1">
        <f ca="1">OFFSET(控制台!$E$4617,MATCH(B174,控制台!$B$4617:$B$4629,0)-1,0)*控制台!$C$4611</f>
        <v>40</v>
      </c>
      <c r="J174" s="1">
        <f>(_xlfn.FLOOR.MATH((C174-1)/20)+1)/2</f>
        <v>1</v>
      </c>
      <c r="K174" s="4">
        <f ca="1">IF(MOD(C174,4)=0,0,Lerp_dyy(H174,I174,J174))</f>
        <v>40</v>
      </c>
      <c r="L174" s="1">
        <f ca="1">OFFSET(控制台!$G$4617,MATCH(B174,控制台!$B$4617:$B$4629,0)-2,0)*控制台!$C$4612</f>
        <v>12</v>
      </c>
      <c r="M174" s="1">
        <f ca="1">OFFSET(控制台!$G$4617,MATCH(B174,控制台!$B$4617:$B$4629,0)-1,0)*控制台!$C$4612</f>
        <v>14</v>
      </c>
      <c r="N174" s="1">
        <v>1</v>
      </c>
      <c r="O174" s="4">
        <f ca="1">IF(MOD(C174,4)=0,Lerp_dyy(L174,M174,N174),0)</f>
        <v>0</v>
      </c>
    </row>
    <row r="175" spans="1:15">
      <c r="A175" s="1">
        <f t="shared" si="6"/>
        <v>530</v>
      </c>
      <c r="B175" s="1">
        <v>5</v>
      </c>
      <c r="C175" s="1">
        <v>30</v>
      </c>
      <c r="D175" s="1">
        <f ca="1">OFFSET(控制台!$C$4617,MATCH(B175,控制台!$B$4617:$B$4629,0)-2,0)*控制台!$C$4610</f>
        <v>30000</v>
      </c>
      <c r="E175" s="1">
        <f ca="1">OFFSET(控制台!$C$4617,MATCH(B175,控制台!$B$4617:$B$4629,0)-1,0)*控制台!$C$4610</f>
        <v>35000</v>
      </c>
      <c r="F175" s="1">
        <f>(_xlfn.FLOOR.MATH((C175-1)/8)+1)/5</f>
        <v>0.8</v>
      </c>
      <c r="G175" s="4">
        <f ca="1">Lerp_dyy(D175,E175,F175)</f>
        <v>34000</v>
      </c>
      <c r="H175" s="1">
        <f ca="1">OFFSET(控制台!$E$4617,MATCH(B175,控制台!$B$4617:$B$4629,0)-2,0)*控制台!$C$4611</f>
        <v>20</v>
      </c>
      <c r="I175" s="1">
        <f ca="1">OFFSET(控制台!$E$4617,MATCH(B175,控制台!$B$4617:$B$4629,0)-1,0)*控制台!$C$4611</f>
        <v>40</v>
      </c>
      <c r="J175" s="1">
        <f>(_xlfn.FLOOR.MATH((C175-1)/20)+1)/2</f>
        <v>1</v>
      </c>
      <c r="K175" s="4">
        <f ca="1">IF(MOD(C175,4)=0,0,Lerp_dyy(H175,I175,J175))</f>
        <v>40</v>
      </c>
      <c r="L175" s="1">
        <f ca="1">OFFSET(控制台!$G$4617,MATCH(B175,控制台!$B$4617:$B$4629,0)-2,0)*控制台!$C$4612</f>
        <v>12</v>
      </c>
      <c r="M175" s="1">
        <f ca="1">OFFSET(控制台!$G$4617,MATCH(B175,控制台!$B$4617:$B$4629,0)-1,0)*控制台!$C$4612</f>
        <v>14</v>
      </c>
      <c r="N175" s="1">
        <v>1</v>
      </c>
      <c r="O175" s="4">
        <f ca="1">IF(MOD(C175,4)=0,Lerp_dyy(L175,M175,N175),0)</f>
        <v>0</v>
      </c>
    </row>
    <row r="176" spans="1:15">
      <c r="A176" s="1">
        <f t="shared" si="6"/>
        <v>531</v>
      </c>
      <c r="B176" s="1">
        <v>5</v>
      </c>
      <c r="C176" s="1">
        <v>31</v>
      </c>
      <c r="D176" s="1">
        <f ca="1">OFFSET(控制台!$C$4617,MATCH(B176,控制台!$B$4617:$B$4629,0)-2,0)*控制台!$C$4610</f>
        <v>30000</v>
      </c>
      <c r="E176" s="1">
        <f ca="1">OFFSET(控制台!$C$4617,MATCH(B176,控制台!$B$4617:$B$4629,0)-1,0)*控制台!$C$4610</f>
        <v>35000</v>
      </c>
      <c r="F176" s="1">
        <f>(_xlfn.FLOOR.MATH((C176-1)/8)+1)/5</f>
        <v>0.8</v>
      </c>
      <c r="G176" s="4">
        <f ca="1">Lerp_dyy(D176,E176,F176)</f>
        <v>34000</v>
      </c>
      <c r="H176" s="1">
        <f ca="1">OFFSET(控制台!$E$4617,MATCH(B176,控制台!$B$4617:$B$4629,0)-2,0)*控制台!$C$4611</f>
        <v>20</v>
      </c>
      <c r="I176" s="1">
        <f ca="1">OFFSET(控制台!$E$4617,MATCH(B176,控制台!$B$4617:$B$4629,0)-1,0)*控制台!$C$4611</f>
        <v>40</v>
      </c>
      <c r="J176" s="1">
        <f>(_xlfn.FLOOR.MATH((C176-1)/20)+1)/2</f>
        <v>1</v>
      </c>
      <c r="K176" s="4">
        <f ca="1">IF(MOD(C176,4)=0,0,Lerp_dyy(H176,I176,J176))</f>
        <v>40</v>
      </c>
      <c r="L176" s="1">
        <f ca="1">OFFSET(控制台!$G$4617,MATCH(B176,控制台!$B$4617:$B$4629,0)-2,0)*控制台!$C$4612</f>
        <v>12</v>
      </c>
      <c r="M176" s="1">
        <f ca="1">OFFSET(控制台!$G$4617,MATCH(B176,控制台!$B$4617:$B$4629,0)-1,0)*控制台!$C$4612</f>
        <v>14</v>
      </c>
      <c r="N176" s="1">
        <v>1</v>
      </c>
      <c r="O176" s="4">
        <f ca="1">IF(MOD(C176,4)=0,Lerp_dyy(L176,M176,N176),0)</f>
        <v>0</v>
      </c>
    </row>
    <row r="177" spans="1:15">
      <c r="A177" s="1">
        <f t="shared" si="6"/>
        <v>532</v>
      </c>
      <c r="B177" s="1">
        <v>5</v>
      </c>
      <c r="C177" s="1">
        <v>32</v>
      </c>
      <c r="D177" s="1">
        <f ca="1">OFFSET(控制台!$C$4617,MATCH(B177,控制台!$B$4617:$B$4629,0)-2,0)*控制台!$C$4610</f>
        <v>30000</v>
      </c>
      <c r="E177" s="1">
        <f ca="1">OFFSET(控制台!$C$4617,MATCH(B177,控制台!$B$4617:$B$4629,0)-1,0)*控制台!$C$4610</f>
        <v>35000</v>
      </c>
      <c r="F177" s="1">
        <f>(_xlfn.FLOOR.MATH((C177-1)/8)+1)/5</f>
        <v>0.8</v>
      </c>
      <c r="G177" s="4">
        <f ca="1">Lerp_dyy(D177,E177,F177)</f>
        <v>34000</v>
      </c>
      <c r="H177" s="1">
        <f ca="1">OFFSET(控制台!$E$4617,MATCH(B177,控制台!$B$4617:$B$4629,0)-2,0)*控制台!$C$4611</f>
        <v>20</v>
      </c>
      <c r="I177" s="1">
        <f ca="1">OFFSET(控制台!$E$4617,MATCH(B177,控制台!$B$4617:$B$4629,0)-1,0)*控制台!$C$4611</f>
        <v>40</v>
      </c>
      <c r="J177" s="1">
        <f>(_xlfn.FLOOR.MATH((C177-1)/20)+1)/2</f>
        <v>1</v>
      </c>
      <c r="K177" s="4">
        <f ca="1">IF(MOD(C177,4)=0,0,Lerp_dyy(H177,I177,J177))</f>
        <v>0</v>
      </c>
      <c r="L177" s="1">
        <f ca="1">OFFSET(控制台!$G$4617,MATCH(B177,控制台!$B$4617:$B$4629,0)-2,0)*控制台!$C$4612</f>
        <v>12</v>
      </c>
      <c r="M177" s="1">
        <f ca="1">OFFSET(控制台!$G$4617,MATCH(B177,控制台!$B$4617:$B$4629,0)-1,0)*控制台!$C$4612</f>
        <v>14</v>
      </c>
      <c r="N177" s="1">
        <v>1</v>
      </c>
      <c r="O177" s="4">
        <f ca="1">IF(MOD(C177,4)=0,Lerp_dyy(L177,M177,N177),0)</f>
        <v>14</v>
      </c>
    </row>
    <row r="178" spans="1:15">
      <c r="A178" s="1">
        <f t="shared" si="6"/>
        <v>533</v>
      </c>
      <c r="B178" s="1">
        <v>5</v>
      </c>
      <c r="C178" s="1">
        <v>33</v>
      </c>
      <c r="D178" s="1">
        <f ca="1">OFFSET(控制台!$C$4617,MATCH(B178,控制台!$B$4617:$B$4629,0)-2,0)*控制台!$C$4610</f>
        <v>30000</v>
      </c>
      <c r="E178" s="1">
        <f ca="1">OFFSET(控制台!$C$4617,MATCH(B178,控制台!$B$4617:$B$4629,0)-1,0)*控制台!$C$4610</f>
        <v>35000</v>
      </c>
      <c r="F178" s="1">
        <f>(_xlfn.FLOOR.MATH((C178-1)/8)+1)/5</f>
        <v>1</v>
      </c>
      <c r="G178" s="4">
        <f ca="1">Lerp_dyy(D178,E178,F178)</f>
        <v>35000</v>
      </c>
      <c r="H178" s="1">
        <f ca="1">OFFSET(控制台!$E$4617,MATCH(B178,控制台!$B$4617:$B$4629,0)-2,0)*控制台!$C$4611</f>
        <v>20</v>
      </c>
      <c r="I178" s="1">
        <f ca="1">OFFSET(控制台!$E$4617,MATCH(B178,控制台!$B$4617:$B$4629,0)-1,0)*控制台!$C$4611</f>
        <v>40</v>
      </c>
      <c r="J178" s="1">
        <f>(_xlfn.FLOOR.MATH((C178-1)/20)+1)/2</f>
        <v>1</v>
      </c>
      <c r="K178" s="4">
        <f ca="1">IF(MOD(C178,4)=0,0,Lerp_dyy(H178,I178,J178))</f>
        <v>40</v>
      </c>
      <c r="L178" s="1">
        <f ca="1">OFFSET(控制台!$G$4617,MATCH(B178,控制台!$B$4617:$B$4629,0)-2,0)*控制台!$C$4612</f>
        <v>12</v>
      </c>
      <c r="M178" s="1">
        <f ca="1">OFFSET(控制台!$G$4617,MATCH(B178,控制台!$B$4617:$B$4629,0)-1,0)*控制台!$C$4612</f>
        <v>14</v>
      </c>
      <c r="N178" s="1">
        <v>1</v>
      </c>
      <c r="O178" s="4">
        <f ca="1">IF(MOD(C178,4)=0,Lerp_dyy(L178,M178,N178),0)</f>
        <v>0</v>
      </c>
    </row>
    <row r="179" spans="1:15">
      <c r="A179" s="1">
        <f t="shared" si="6"/>
        <v>534</v>
      </c>
      <c r="B179" s="1">
        <v>5</v>
      </c>
      <c r="C179" s="1">
        <v>34</v>
      </c>
      <c r="D179" s="1">
        <f ca="1">OFFSET(控制台!$C$4617,MATCH(B179,控制台!$B$4617:$B$4629,0)-2,0)*控制台!$C$4610</f>
        <v>30000</v>
      </c>
      <c r="E179" s="1">
        <f ca="1">OFFSET(控制台!$C$4617,MATCH(B179,控制台!$B$4617:$B$4629,0)-1,0)*控制台!$C$4610</f>
        <v>35000</v>
      </c>
      <c r="F179" s="1">
        <f>(_xlfn.FLOOR.MATH((C179-1)/8)+1)/5</f>
        <v>1</v>
      </c>
      <c r="G179" s="4">
        <f ca="1">Lerp_dyy(D179,E179,F179)</f>
        <v>35000</v>
      </c>
      <c r="H179" s="1">
        <f ca="1">OFFSET(控制台!$E$4617,MATCH(B179,控制台!$B$4617:$B$4629,0)-2,0)*控制台!$C$4611</f>
        <v>20</v>
      </c>
      <c r="I179" s="1">
        <f ca="1">OFFSET(控制台!$E$4617,MATCH(B179,控制台!$B$4617:$B$4629,0)-1,0)*控制台!$C$4611</f>
        <v>40</v>
      </c>
      <c r="J179" s="1">
        <f>(_xlfn.FLOOR.MATH((C179-1)/20)+1)/2</f>
        <v>1</v>
      </c>
      <c r="K179" s="4">
        <f ca="1">IF(MOD(C179,4)=0,0,Lerp_dyy(H179,I179,J179))</f>
        <v>40</v>
      </c>
      <c r="L179" s="1">
        <f ca="1">OFFSET(控制台!$G$4617,MATCH(B179,控制台!$B$4617:$B$4629,0)-2,0)*控制台!$C$4612</f>
        <v>12</v>
      </c>
      <c r="M179" s="1">
        <f ca="1">OFFSET(控制台!$G$4617,MATCH(B179,控制台!$B$4617:$B$4629,0)-1,0)*控制台!$C$4612</f>
        <v>14</v>
      </c>
      <c r="N179" s="1">
        <v>1</v>
      </c>
      <c r="O179" s="4">
        <f ca="1">IF(MOD(C179,4)=0,Lerp_dyy(L179,M179,N179),0)</f>
        <v>0</v>
      </c>
    </row>
    <row r="180" spans="1:15">
      <c r="A180" s="1">
        <f t="shared" si="6"/>
        <v>535</v>
      </c>
      <c r="B180" s="1">
        <v>5</v>
      </c>
      <c r="C180" s="1">
        <v>35</v>
      </c>
      <c r="D180" s="1">
        <f ca="1">OFFSET(控制台!$C$4617,MATCH(B180,控制台!$B$4617:$B$4629,0)-2,0)*控制台!$C$4610</f>
        <v>30000</v>
      </c>
      <c r="E180" s="1">
        <f ca="1">OFFSET(控制台!$C$4617,MATCH(B180,控制台!$B$4617:$B$4629,0)-1,0)*控制台!$C$4610</f>
        <v>35000</v>
      </c>
      <c r="F180" s="1">
        <f>(_xlfn.FLOOR.MATH((C180-1)/8)+1)/5</f>
        <v>1</v>
      </c>
      <c r="G180" s="4">
        <f ca="1">Lerp_dyy(D180,E180,F180)</f>
        <v>35000</v>
      </c>
      <c r="H180" s="1">
        <f ca="1">OFFSET(控制台!$E$4617,MATCH(B180,控制台!$B$4617:$B$4629,0)-2,0)*控制台!$C$4611</f>
        <v>20</v>
      </c>
      <c r="I180" s="1">
        <f ca="1">OFFSET(控制台!$E$4617,MATCH(B180,控制台!$B$4617:$B$4629,0)-1,0)*控制台!$C$4611</f>
        <v>40</v>
      </c>
      <c r="J180" s="1">
        <f>(_xlfn.FLOOR.MATH((C180-1)/20)+1)/2</f>
        <v>1</v>
      </c>
      <c r="K180" s="4">
        <f ca="1">IF(MOD(C180,4)=0,0,Lerp_dyy(H180,I180,J180))</f>
        <v>40</v>
      </c>
      <c r="L180" s="1">
        <f ca="1">OFFSET(控制台!$G$4617,MATCH(B180,控制台!$B$4617:$B$4629,0)-2,0)*控制台!$C$4612</f>
        <v>12</v>
      </c>
      <c r="M180" s="1">
        <f ca="1">OFFSET(控制台!$G$4617,MATCH(B180,控制台!$B$4617:$B$4629,0)-1,0)*控制台!$C$4612</f>
        <v>14</v>
      </c>
      <c r="N180" s="1">
        <v>1</v>
      </c>
      <c r="O180" s="4">
        <f ca="1">IF(MOD(C180,4)=0,Lerp_dyy(L180,M180,N180),0)</f>
        <v>0</v>
      </c>
    </row>
    <row r="181" spans="1:15">
      <c r="A181" s="1">
        <f t="shared" si="6"/>
        <v>536</v>
      </c>
      <c r="B181" s="1">
        <v>5</v>
      </c>
      <c r="C181" s="1">
        <v>36</v>
      </c>
      <c r="D181" s="1">
        <f ca="1">OFFSET(控制台!$C$4617,MATCH(B181,控制台!$B$4617:$B$4629,0)-2,0)*控制台!$C$4610</f>
        <v>30000</v>
      </c>
      <c r="E181" s="1">
        <f ca="1">OFFSET(控制台!$C$4617,MATCH(B181,控制台!$B$4617:$B$4629,0)-1,0)*控制台!$C$4610</f>
        <v>35000</v>
      </c>
      <c r="F181" s="1">
        <f>(_xlfn.FLOOR.MATH((C181-1)/8)+1)/5</f>
        <v>1</v>
      </c>
      <c r="G181" s="4">
        <f ca="1">Lerp_dyy(D181,E181,F181)</f>
        <v>35000</v>
      </c>
      <c r="H181" s="1">
        <f ca="1">OFFSET(控制台!$E$4617,MATCH(B181,控制台!$B$4617:$B$4629,0)-2,0)*控制台!$C$4611</f>
        <v>20</v>
      </c>
      <c r="I181" s="1">
        <f ca="1">OFFSET(控制台!$E$4617,MATCH(B181,控制台!$B$4617:$B$4629,0)-1,0)*控制台!$C$4611</f>
        <v>40</v>
      </c>
      <c r="J181" s="1">
        <f>(_xlfn.FLOOR.MATH((C181-1)/20)+1)/2</f>
        <v>1</v>
      </c>
      <c r="K181" s="4">
        <f ca="1">IF(MOD(C181,4)=0,0,Lerp_dyy(H181,I181,J181))</f>
        <v>0</v>
      </c>
      <c r="L181" s="1">
        <f ca="1">OFFSET(控制台!$G$4617,MATCH(B181,控制台!$B$4617:$B$4629,0)-2,0)*控制台!$C$4612</f>
        <v>12</v>
      </c>
      <c r="M181" s="1">
        <f ca="1">OFFSET(控制台!$G$4617,MATCH(B181,控制台!$B$4617:$B$4629,0)-1,0)*控制台!$C$4612</f>
        <v>14</v>
      </c>
      <c r="N181" s="1">
        <v>1</v>
      </c>
      <c r="O181" s="4">
        <f ca="1">IF(MOD(C181,4)=0,Lerp_dyy(L181,M181,N181),0)</f>
        <v>14</v>
      </c>
    </row>
    <row r="182" spans="1:15">
      <c r="A182" s="1">
        <f t="shared" si="6"/>
        <v>537</v>
      </c>
      <c r="B182" s="1">
        <v>5</v>
      </c>
      <c r="C182" s="1">
        <v>37</v>
      </c>
      <c r="D182" s="1">
        <f ca="1">OFFSET(控制台!$C$4617,MATCH(B182,控制台!$B$4617:$B$4629,0)-2,0)*控制台!$C$4610</f>
        <v>30000</v>
      </c>
      <c r="E182" s="1">
        <f ca="1">OFFSET(控制台!$C$4617,MATCH(B182,控制台!$B$4617:$B$4629,0)-1,0)*控制台!$C$4610</f>
        <v>35000</v>
      </c>
      <c r="F182" s="1">
        <f>(_xlfn.FLOOR.MATH((C182-1)/8)+1)/5</f>
        <v>1</v>
      </c>
      <c r="G182" s="4">
        <f ca="1">Lerp_dyy(D182,E182,F182)</f>
        <v>35000</v>
      </c>
      <c r="H182" s="1">
        <f ca="1">OFFSET(控制台!$E$4617,MATCH(B182,控制台!$B$4617:$B$4629,0)-2,0)*控制台!$C$4611</f>
        <v>20</v>
      </c>
      <c r="I182" s="1">
        <f ca="1">OFFSET(控制台!$E$4617,MATCH(B182,控制台!$B$4617:$B$4629,0)-1,0)*控制台!$C$4611</f>
        <v>40</v>
      </c>
      <c r="J182" s="1">
        <f>(_xlfn.FLOOR.MATH((C182-1)/20)+1)/2</f>
        <v>1</v>
      </c>
      <c r="K182" s="4">
        <f ca="1">IF(MOD(C182,4)=0,0,Lerp_dyy(H182,I182,J182))</f>
        <v>40</v>
      </c>
      <c r="L182" s="1">
        <f ca="1">OFFSET(控制台!$G$4617,MATCH(B182,控制台!$B$4617:$B$4629,0)-2,0)*控制台!$C$4612</f>
        <v>12</v>
      </c>
      <c r="M182" s="1">
        <f ca="1">OFFSET(控制台!$G$4617,MATCH(B182,控制台!$B$4617:$B$4629,0)-1,0)*控制台!$C$4612</f>
        <v>14</v>
      </c>
      <c r="N182" s="1">
        <v>1</v>
      </c>
      <c r="O182" s="4">
        <f ca="1">IF(MOD(C182,4)=0,Lerp_dyy(L182,M182,N182),0)</f>
        <v>0</v>
      </c>
    </row>
    <row r="183" spans="1:15">
      <c r="A183" s="1">
        <f t="shared" si="6"/>
        <v>538</v>
      </c>
      <c r="B183" s="1">
        <v>5</v>
      </c>
      <c r="C183" s="1">
        <v>38</v>
      </c>
      <c r="D183" s="1">
        <f ca="1">OFFSET(控制台!$C$4617,MATCH(B183,控制台!$B$4617:$B$4629,0)-2,0)*控制台!$C$4610</f>
        <v>30000</v>
      </c>
      <c r="E183" s="1">
        <f ca="1">OFFSET(控制台!$C$4617,MATCH(B183,控制台!$B$4617:$B$4629,0)-1,0)*控制台!$C$4610</f>
        <v>35000</v>
      </c>
      <c r="F183" s="1">
        <f>(_xlfn.FLOOR.MATH((C183-1)/8)+1)/5</f>
        <v>1</v>
      </c>
      <c r="G183" s="4">
        <f ca="1">Lerp_dyy(D183,E183,F183)</f>
        <v>35000</v>
      </c>
      <c r="H183" s="1">
        <f ca="1">OFFSET(控制台!$E$4617,MATCH(B183,控制台!$B$4617:$B$4629,0)-2,0)*控制台!$C$4611</f>
        <v>20</v>
      </c>
      <c r="I183" s="1">
        <f ca="1">OFFSET(控制台!$E$4617,MATCH(B183,控制台!$B$4617:$B$4629,0)-1,0)*控制台!$C$4611</f>
        <v>40</v>
      </c>
      <c r="J183" s="1">
        <f>(_xlfn.FLOOR.MATH((C183-1)/20)+1)/2</f>
        <v>1</v>
      </c>
      <c r="K183" s="4">
        <f ca="1">IF(MOD(C183,4)=0,0,Lerp_dyy(H183,I183,J183))</f>
        <v>40</v>
      </c>
      <c r="L183" s="1">
        <f ca="1">OFFSET(控制台!$G$4617,MATCH(B183,控制台!$B$4617:$B$4629,0)-2,0)*控制台!$C$4612</f>
        <v>12</v>
      </c>
      <c r="M183" s="1">
        <f ca="1">OFFSET(控制台!$G$4617,MATCH(B183,控制台!$B$4617:$B$4629,0)-1,0)*控制台!$C$4612</f>
        <v>14</v>
      </c>
      <c r="N183" s="1">
        <v>1</v>
      </c>
      <c r="O183" s="4">
        <f ca="1">IF(MOD(C183,4)=0,Lerp_dyy(L183,M183,N183),0)</f>
        <v>0</v>
      </c>
    </row>
    <row r="184" spans="1:15">
      <c r="A184" s="1">
        <f t="shared" si="6"/>
        <v>539</v>
      </c>
      <c r="B184" s="1">
        <v>5</v>
      </c>
      <c r="C184" s="1">
        <v>39</v>
      </c>
      <c r="D184" s="1">
        <f ca="1">OFFSET(控制台!$C$4617,MATCH(B184,控制台!$B$4617:$B$4629,0)-2,0)*控制台!$C$4610</f>
        <v>30000</v>
      </c>
      <c r="E184" s="1">
        <f ca="1">OFFSET(控制台!$C$4617,MATCH(B184,控制台!$B$4617:$B$4629,0)-1,0)*控制台!$C$4610</f>
        <v>35000</v>
      </c>
      <c r="F184" s="1">
        <f>(_xlfn.FLOOR.MATH((C184-1)/8)+1)/5</f>
        <v>1</v>
      </c>
      <c r="G184" s="4">
        <f ca="1">Lerp_dyy(D184,E184,F184)</f>
        <v>35000</v>
      </c>
      <c r="H184" s="1">
        <f ca="1">OFFSET(控制台!$E$4617,MATCH(B184,控制台!$B$4617:$B$4629,0)-2,0)*控制台!$C$4611</f>
        <v>20</v>
      </c>
      <c r="I184" s="1">
        <f ca="1">OFFSET(控制台!$E$4617,MATCH(B184,控制台!$B$4617:$B$4629,0)-1,0)*控制台!$C$4611</f>
        <v>40</v>
      </c>
      <c r="J184" s="1">
        <f>(_xlfn.FLOOR.MATH((C184-1)/20)+1)/2</f>
        <v>1</v>
      </c>
      <c r="K184" s="4">
        <f ca="1">IF(MOD(C184,4)=0,0,Lerp_dyy(H184,I184,J184))</f>
        <v>40</v>
      </c>
      <c r="L184" s="1">
        <f ca="1">OFFSET(控制台!$G$4617,MATCH(B184,控制台!$B$4617:$B$4629,0)-2,0)*控制台!$C$4612</f>
        <v>12</v>
      </c>
      <c r="M184" s="1">
        <f ca="1">OFFSET(控制台!$G$4617,MATCH(B184,控制台!$B$4617:$B$4629,0)-1,0)*控制台!$C$4612</f>
        <v>14</v>
      </c>
      <c r="N184" s="1">
        <v>1</v>
      </c>
      <c r="O184" s="4">
        <f ca="1">IF(MOD(C184,4)=0,Lerp_dyy(L184,M184,N184),0)</f>
        <v>0</v>
      </c>
    </row>
    <row r="185" spans="1:15">
      <c r="A185" s="1">
        <f t="shared" si="6"/>
        <v>540</v>
      </c>
      <c r="B185" s="1">
        <v>5</v>
      </c>
      <c r="C185" s="1">
        <v>40</v>
      </c>
      <c r="D185" s="1">
        <f ca="1">OFFSET(控制台!$C$4617,MATCH(B185,控制台!$B$4617:$B$4629,0)-2,0)*控制台!$C$4610</f>
        <v>30000</v>
      </c>
      <c r="E185" s="1">
        <f ca="1">OFFSET(控制台!$C$4617,MATCH(B185,控制台!$B$4617:$B$4629,0)-1,0)*控制台!$C$4610</f>
        <v>35000</v>
      </c>
      <c r="F185" s="1">
        <f>(_xlfn.FLOOR.MATH((C185-1)/8)+1)/5</f>
        <v>1</v>
      </c>
      <c r="G185" s="4">
        <f ca="1">Lerp_dyy(D185,E185,F185)</f>
        <v>35000</v>
      </c>
      <c r="H185" s="1">
        <f ca="1">OFFSET(控制台!$E$4617,MATCH(B185,控制台!$B$4617:$B$4629,0)-2,0)*控制台!$C$4611</f>
        <v>20</v>
      </c>
      <c r="I185" s="1">
        <f ca="1">OFFSET(控制台!$E$4617,MATCH(B185,控制台!$B$4617:$B$4629,0)-1,0)*控制台!$C$4611</f>
        <v>40</v>
      </c>
      <c r="J185" s="1">
        <f>(_xlfn.FLOOR.MATH((C185-1)/20)+1)/2</f>
        <v>1</v>
      </c>
      <c r="K185" s="4">
        <f ca="1">IF(MOD(C185,4)=0,0,Lerp_dyy(H185,I185,J185))</f>
        <v>0</v>
      </c>
      <c r="L185" s="1">
        <f ca="1">OFFSET(控制台!$G$4617,MATCH(B185,控制台!$B$4617:$B$4629,0)-2,0)*控制台!$C$4612</f>
        <v>12</v>
      </c>
      <c r="M185" s="1">
        <f ca="1">OFFSET(控制台!$G$4617,MATCH(B185,控制台!$B$4617:$B$4629,0)-1,0)*控制台!$C$4612</f>
        <v>14</v>
      </c>
      <c r="N185" s="1">
        <v>1</v>
      </c>
      <c r="O185" s="4">
        <f ca="1">IF(MOD(C185,4)=0,Lerp_dyy(L185,M185,N185),0)</f>
        <v>14</v>
      </c>
    </row>
    <row r="186" spans="1:15">
      <c r="A186" s="1">
        <f t="shared" si="6"/>
        <v>601</v>
      </c>
      <c r="B186" s="1">
        <v>6</v>
      </c>
      <c r="C186" s="1">
        <v>1</v>
      </c>
      <c r="D186" s="1">
        <f ca="1">OFFSET(控制台!$C$4617,MATCH(B186,控制台!$B$4617:$B$4629,0)-2,0)*控制台!$C$4610</f>
        <v>35000</v>
      </c>
      <c r="E186" s="1">
        <f ca="1">OFFSET(控制台!$C$4617,MATCH(B186,控制台!$B$4617:$B$4629,0)-1,0)*控制台!$C$4610</f>
        <v>40000</v>
      </c>
      <c r="F186" s="1">
        <f>(_xlfn.FLOOR.MATH((C186-1)/8)+1)/5</f>
        <v>0.2</v>
      </c>
      <c r="G186" s="4">
        <f ca="1">Lerp_dyy(D186,E186,F186)</f>
        <v>36000</v>
      </c>
      <c r="H186" s="1">
        <f ca="1">OFFSET(控制台!$E$4617,MATCH(B186,控制台!$B$4617:$B$4629,0)-2,0)*控制台!$C$4611</f>
        <v>40</v>
      </c>
      <c r="I186" s="1">
        <f ca="1">OFFSET(控制台!$E$4617,MATCH(B186,控制台!$B$4617:$B$4629,0)-1,0)*控制台!$C$4611</f>
        <v>40</v>
      </c>
      <c r="J186" s="1">
        <f>(_xlfn.FLOOR.MATH((C186-1)/20)+1)/2</f>
        <v>0.5</v>
      </c>
      <c r="K186" s="4">
        <f ca="1">IF(MOD(C186,4)=0,0,Lerp_dyy(H186,I186,J186))</f>
        <v>40</v>
      </c>
      <c r="L186" s="1">
        <f ca="1">OFFSET(控制台!$G$4617,MATCH(B186,控制台!$B$4617:$B$4629,0)-2,0)*控制台!$C$4612</f>
        <v>14</v>
      </c>
      <c r="M186" s="1">
        <f ca="1">OFFSET(控制台!$G$4617,MATCH(B186,控制台!$B$4617:$B$4629,0)-1,0)*控制台!$C$4612</f>
        <v>14</v>
      </c>
      <c r="N186" s="1">
        <v>1</v>
      </c>
      <c r="O186" s="4">
        <f ca="1">IF(MOD(C186,4)=0,Lerp_dyy(L186,M186,N186),0)</f>
        <v>0</v>
      </c>
    </row>
    <row r="187" spans="1:15">
      <c r="A187" s="1">
        <f t="shared" si="6"/>
        <v>602</v>
      </c>
      <c r="B187" s="1">
        <v>6</v>
      </c>
      <c r="C187" s="1">
        <v>2</v>
      </c>
      <c r="D187" s="1">
        <f ca="1">OFFSET(控制台!$C$4617,MATCH(B187,控制台!$B$4617:$B$4629,0)-2,0)*控制台!$C$4610</f>
        <v>35000</v>
      </c>
      <c r="E187" s="1">
        <f ca="1">OFFSET(控制台!$C$4617,MATCH(B187,控制台!$B$4617:$B$4629,0)-1,0)*控制台!$C$4610</f>
        <v>40000</v>
      </c>
      <c r="F187" s="1">
        <f>(_xlfn.FLOOR.MATH((C187-1)/8)+1)/5</f>
        <v>0.2</v>
      </c>
      <c r="G187" s="4">
        <f ca="1">Lerp_dyy(D187,E187,F187)</f>
        <v>36000</v>
      </c>
      <c r="H187" s="1">
        <f ca="1">OFFSET(控制台!$E$4617,MATCH(B187,控制台!$B$4617:$B$4629,0)-2,0)*控制台!$C$4611</f>
        <v>40</v>
      </c>
      <c r="I187" s="1">
        <f ca="1">OFFSET(控制台!$E$4617,MATCH(B187,控制台!$B$4617:$B$4629,0)-1,0)*控制台!$C$4611</f>
        <v>40</v>
      </c>
      <c r="J187" s="1">
        <f>(_xlfn.FLOOR.MATH((C187-1)/20)+1)/2</f>
        <v>0.5</v>
      </c>
      <c r="K187" s="4">
        <f ca="1">IF(MOD(C187,4)=0,0,Lerp_dyy(H187,I187,J187))</f>
        <v>40</v>
      </c>
      <c r="L187" s="1">
        <f ca="1">OFFSET(控制台!$G$4617,MATCH(B187,控制台!$B$4617:$B$4629,0)-2,0)*控制台!$C$4612</f>
        <v>14</v>
      </c>
      <c r="M187" s="1">
        <f ca="1">OFFSET(控制台!$G$4617,MATCH(B187,控制台!$B$4617:$B$4629,0)-1,0)*控制台!$C$4612</f>
        <v>14</v>
      </c>
      <c r="N187" s="1">
        <v>1</v>
      </c>
      <c r="O187" s="4">
        <f ca="1">IF(MOD(C187,4)=0,Lerp_dyy(L187,M187,N187),0)</f>
        <v>0</v>
      </c>
    </row>
    <row r="188" spans="1:15">
      <c r="A188" s="1">
        <f t="shared" si="6"/>
        <v>603</v>
      </c>
      <c r="B188" s="1">
        <v>6</v>
      </c>
      <c r="C188" s="1">
        <v>3</v>
      </c>
      <c r="D188" s="1">
        <f ca="1">OFFSET(控制台!$C$4617,MATCH(B188,控制台!$B$4617:$B$4629,0)-2,0)*控制台!$C$4610</f>
        <v>35000</v>
      </c>
      <c r="E188" s="1">
        <f ca="1">OFFSET(控制台!$C$4617,MATCH(B188,控制台!$B$4617:$B$4629,0)-1,0)*控制台!$C$4610</f>
        <v>40000</v>
      </c>
      <c r="F188" s="1">
        <f>(_xlfn.FLOOR.MATH((C188-1)/8)+1)/5</f>
        <v>0.2</v>
      </c>
      <c r="G188" s="4">
        <f ca="1">Lerp_dyy(D188,E188,F188)</f>
        <v>36000</v>
      </c>
      <c r="H188" s="1">
        <f ca="1">OFFSET(控制台!$E$4617,MATCH(B188,控制台!$B$4617:$B$4629,0)-2,0)*控制台!$C$4611</f>
        <v>40</v>
      </c>
      <c r="I188" s="1">
        <f ca="1">OFFSET(控制台!$E$4617,MATCH(B188,控制台!$B$4617:$B$4629,0)-1,0)*控制台!$C$4611</f>
        <v>40</v>
      </c>
      <c r="J188" s="1">
        <f>(_xlfn.FLOOR.MATH((C188-1)/20)+1)/2</f>
        <v>0.5</v>
      </c>
      <c r="K188" s="4">
        <f ca="1">IF(MOD(C188,4)=0,0,Lerp_dyy(H188,I188,J188))</f>
        <v>40</v>
      </c>
      <c r="L188" s="1">
        <f ca="1">OFFSET(控制台!$G$4617,MATCH(B188,控制台!$B$4617:$B$4629,0)-2,0)*控制台!$C$4612</f>
        <v>14</v>
      </c>
      <c r="M188" s="1">
        <f ca="1">OFFSET(控制台!$G$4617,MATCH(B188,控制台!$B$4617:$B$4629,0)-1,0)*控制台!$C$4612</f>
        <v>14</v>
      </c>
      <c r="N188" s="1">
        <v>1</v>
      </c>
      <c r="O188" s="4">
        <f ca="1">IF(MOD(C188,4)=0,Lerp_dyy(L188,M188,N188),0)</f>
        <v>0</v>
      </c>
    </row>
    <row r="189" spans="1:15">
      <c r="A189" s="1">
        <f t="shared" si="6"/>
        <v>604</v>
      </c>
      <c r="B189" s="1">
        <v>6</v>
      </c>
      <c r="C189" s="1">
        <v>4</v>
      </c>
      <c r="D189" s="1">
        <f ca="1">OFFSET(控制台!$C$4617,MATCH(B189,控制台!$B$4617:$B$4629,0)-2,0)*控制台!$C$4610</f>
        <v>35000</v>
      </c>
      <c r="E189" s="1">
        <f ca="1">OFFSET(控制台!$C$4617,MATCH(B189,控制台!$B$4617:$B$4629,0)-1,0)*控制台!$C$4610</f>
        <v>40000</v>
      </c>
      <c r="F189" s="1">
        <f>(_xlfn.FLOOR.MATH((C189-1)/8)+1)/5</f>
        <v>0.2</v>
      </c>
      <c r="G189" s="4">
        <f ca="1">Lerp_dyy(D189,E189,F189)</f>
        <v>36000</v>
      </c>
      <c r="H189" s="1">
        <f ca="1">OFFSET(控制台!$E$4617,MATCH(B189,控制台!$B$4617:$B$4629,0)-2,0)*控制台!$C$4611</f>
        <v>40</v>
      </c>
      <c r="I189" s="1">
        <f ca="1">OFFSET(控制台!$E$4617,MATCH(B189,控制台!$B$4617:$B$4629,0)-1,0)*控制台!$C$4611</f>
        <v>40</v>
      </c>
      <c r="J189" s="1">
        <f>(_xlfn.FLOOR.MATH((C189-1)/20)+1)/2</f>
        <v>0.5</v>
      </c>
      <c r="K189" s="4">
        <f ca="1">IF(MOD(C189,4)=0,0,Lerp_dyy(H189,I189,J189))</f>
        <v>0</v>
      </c>
      <c r="L189" s="1">
        <f ca="1">OFFSET(控制台!$G$4617,MATCH(B189,控制台!$B$4617:$B$4629,0)-2,0)*控制台!$C$4612</f>
        <v>14</v>
      </c>
      <c r="M189" s="1">
        <f ca="1">OFFSET(控制台!$G$4617,MATCH(B189,控制台!$B$4617:$B$4629,0)-1,0)*控制台!$C$4612</f>
        <v>14</v>
      </c>
      <c r="N189" s="1">
        <v>1</v>
      </c>
      <c r="O189" s="4">
        <f ca="1">IF(MOD(C189,4)=0,Lerp_dyy(L189,M189,N189),0)</f>
        <v>14</v>
      </c>
    </row>
    <row r="190" spans="1:15">
      <c r="A190" s="1">
        <f t="shared" si="6"/>
        <v>605</v>
      </c>
      <c r="B190" s="1">
        <v>6</v>
      </c>
      <c r="C190" s="1">
        <v>5</v>
      </c>
      <c r="D190" s="1">
        <f ca="1">OFFSET(控制台!$C$4617,MATCH(B190,控制台!$B$4617:$B$4629,0)-2,0)*控制台!$C$4610</f>
        <v>35000</v>
      </c>
      <c r="E190" s="1">
        <f ca="1">OFFSET(控制台!$C$4617,MATCH(B190,控制台!$B$4617:$B$4629,0)-1,0)*控制台!$C$4610</f>
        <v>40000</v>
      </c>
      <c r="F190" s="1">
        <f>(_xlfn.FLOOR.MATH((C190-1)/8)+1)/5</f>
        <v>0.2</v>
      </c>
      <c r="G190" s="4">
        <f ca="1">Lerp_dyy(D190,E190,F190)</f>
        <v>36000</v>
      </c>
      <c r="H190" s="1">
        <f ca="1">OFFSET(控制台!$E$4617,MATCH(B190,控制台!$B$4617:$B$4629,0)-2,0)*控制台!$C$4611</f>
        <v>40</v>
      </c>
      <c r="I190" s="1">
        <f ca="1">OFFSET(控制台!$E$4617,MATCH(B190,控制台!$B$4617:$B$4629,0)-1,0)*控制台!$C$4611</f>
        <v>40</v>
      </c>
      <c r="J190" s="1">
        <f>(_xlfn.FLOOR.MATH((C190-1)/20)+1)/2</f>
        <v>0.5</v>
      </c>
      <c r="K190" s="4">
        <f ca="1">IF(MOD(C190,4)=0,0,Lerp_dyy(H190,I190,J190))</f>
        <v>40</v>
      </c>
      <c r="L190" s="1">
        <f ca="1">OFFSET(控制台!$G$4617,MATCH(B190,控制台!$B$4617:$B$4629,0)-2,0)*控制台!$C$4612</f>
        <v>14</v>
      </c>
      <c r="M190" s="1">
        <f ca="1">OFFSET(控制台!$G$4617,MATCH(B190,控制台!$B$4617:$B$4629,0)-1,0)*控制台!$C$4612</f>
        <v>14</v>
      </c>
      <c r="N190" s="1">
        <v>1</v>
      </c>
      <c r="O190" s="4">
        <f ca="1">IF(MOD(C190,4)=0,Lerp_dyy(L190,M190,N190),0)</f>
        <v>0</v>
      </c>
    </row>
    <row r="191" spans="1:15">
      <c r="A191" s="1">
        <f t="shared" si="6"/>
        <v>606</v>
      </c>
      <c r="B191" s="1">
        <v>6</v>
      </c>
      <c r="C191" s="1">
        <v>6</v>
      </c>
      <c r="D191" s="1">
        <f ca="1">OFFSET(控制台!$C$4617,MATCH(B191,控制台!$B$4617:$B$4629,0)-2,0)*控制台!$C$4610</f>
        <v>35000</v>
      </c>
      <c r="E191" s="1">
        <f ca="1">OFFSET(控制台!$C$4617,MATCH(B191,控制台!$B$4617:$B$4629,0)-1,0)*控制台!$C$4610</f>
        <v>40000</v>
      </c>
      <c r="F191" s="1">
        <f>(_xlfn.FLOOR.MATH((C191-1)/8)+1)/5</f>
        <v>0.2</v>
      </c>
      <c r="G191" s="4">
        <f ca="1">Lerp_dyy(D191,E191,F191)</f>
        <v>36000</v>
      </c>
      <c r="H191" s="1">
        <f ca="1">OFFSET(控制台!$E$4617,MATCH(B191,控制台!$B$4617:$B$4629,0)-2,0)*控制台!$C$4611</f>
        <v>40</v>
      </c>
      <c r="I191" s="1">
        <f ca="1">OFFSET(控制台!$E$4617,MATCH(B191,控制台!$B$4617:$B$4629,0)-1,0)*控制台!$C$4611</f>
        <v>40</v>
      </c>
      <c r="J191" s="1">
        <f>(_xlfn.FLOOR.MATH((C191-1)/20)+1)/2</f>
        <v>0.5</v>
      </c>
      <c r="K191" s="4">
        <f ca="1">IF(MOD(C191,4)=0,0,Lerp_dyy(H191,I191,J191))</f>
        <v>40</v>
      </c>
      <c r="L191" s="1">
        <f ca="1">OFFSET(控制台!$G$4617,MATCH(B191,控制台!$B$4617:$B$4629,0)-2,0)*控制台!$C$4612</f>
        <v>14</v>
      </c>
      <c r="M191" s="1">
        <f ca="1">OFFSET(控制台!$G$4617,MATCH(B191,控制台!$B$4617:$B$4629,0)-1,0)*控制台!$C$4612</f>
        <v>14</v>
      </c>
      <c r="N191" s="1">
        <v>1</v>
      </c>
      <c r="O191" s="4">
        <f ca="1">IF(MOD(C191,4)=0,Lerp_dyy(L191,M191,N191),0)</f>
        <v>0</v>
      </c>
    </row>
    <row r="192" spans="1:15">
      <c r="A192" s="1">
        <f t="shared" si="6"/>
        <v>607</v>
      </c>
      <c r="B192" s="1">
        <v>6</v>
      </c>
      <c r="C192" s="1">
        <v>7</v>
      </c>
      <c r="D192" s="1">
        <f ca="1">OFFSET(控制台!$C$4617,MATCH(B192,控制台!$B$4617:$B$4629,0)-2,0)*控制台!$C$4610</f>
        <v>35000</v>
      </c>
      <c r="E192" s="1">
        <f ca="1">OFFSET(控制台!$C$4617,MATCH(B192,控制台!$B$4617:$B$4629,0)-1,0)*控制台!$C$4610</f>
        <v>40000</v>
      </c>
      <c r="F192" s="1">
        <f>(_xlfn.FLOOR.MATH((C192-1)/8)+1)/5</f>
        <v>0.2</v>
      </c>
      <c r="G192" s="4">
        <f ca="1">Lerp_dyy(D192,E192,F192)</f>
        <v>36000</v>
      </c>
      <c r="H192" s="1">
        <f ca="1">OFFSET(控制台!$E$4617,MATCH(B192,控制台!$B$4617:$B$4629,0)-2,0)*控制台!$C$4611</f>
        <v>40</v>
      </c>
      <c r="I192" s="1">
        <f ca="1">OFFSET(控制台!$E$4617,MATCH(B192,控制台!$B$4617:$B$4629,0)-1,0)*控制台!$C$4611</f>
        <v>40</v>
      </c>
      <c r="J192" s="1">
        <f>(_xlfn.FLOOR.MATH((C192-1)/20)+1)/2</f>
        <v>0.5</v>
      </c>
      <c r="K192" s="4">
        <f ca="1">IF(MOD(C192,4)=0,0,Lerp_dyy(H192,I192,J192))</f>
        <v>40</v>
      </c>
      <c r="L192" s="1">
        <f ca="1">OFFSET(控制台!$G$4617,MATCH(B192,控制台!$B$4617:$B$4629,0)-2,0)*控制台!$C$4612</f>
        <v>14</v>
      </c>
      <c r="M192" s="1">
        <f ca="1">OFFSET(控制台!$G$4617,MATCH(B192,控制台!$B$4617:$B$4629,0)-1,0)*控制台!$C$4612</f>
        <v>14</v>
      </c>
      <c r="N192" s="1">
        <v>1</v>
      </c>
      <c r="O192" s="4">
        <f ca="1">IF(MOD(C192,4)=0,Lerp_dyy(L192,M192,N192),0)</f>
        <v>0</v>
      </c>
    </row>
    <row r="193" spans="1:15">
      <c r="A193" s="1">
        <f t="shared" si="6"/>
        <v>608</v>
      </c>
      <c r="B193" s="1">
        <v>6</v>
      </c>
      <c r="C193" s="1">
        <v>8</v>
      </c>
      <c r="D193" s="1">
        <f ca="1">OFFSET(控制台!$C$4617,MATCH(B193,控制台!$B$4617:$B$4629,0)-2,0)*控制台!$C$4610</f>
        <v>35000</v>
      </c>
      <c r="E193" s="1">
        <f ca="1">OFFSET(控制台!$C$4617,MATCH(B193,控制台!$B$4617:$B$4629,0)-1,0)*控制台!$C$4610</f>
        <v>40000</v>
      </c>
      <c r="F193" s="1">
        <f>(_xlfn.FLOOR.MATH((C193-1)/8)+1)/5</f>
        <v>0.2</v>
      </c>
      <c r="G193" s="4">
        <f ca="1">Lerp_dyy(D193,E193,F193)</f>
        <v>36000</v>
      </c>
      <c r="H193" s="1">
        <f ca="1">OFFSET(控制台!$E$4617,MATCH(B193,控制台!$B$4617:$B$4629,0)-2,0)*控制台!$C$4611</f>
        <v>40</v>
      </c>
      <c r="I193" s="1">
        <f ca="1">OFFSET(控制台!$E$4617,MATCH(B193,控制台!$B$4617:$B$4629,0)-1,0)*控制台!$C$4611</f>
        <v>40</v>
      </c>
      <c r="J193" s="1">
        <f>(_xlfn.FLOOR.MATH((C193-1)/20)+1)/2</f>
        <v>0.5</v>
      </c>
      <c r="K193" s="4">
        <f ca="1">IF(MOD(C193,4)=0,0,Lerp_dyy(H193,I193,J193))</f>
        <v>0</v>
      </c>
      <c r="L193" s="1">
        <f ca="1">OFFSET(控制台!$G$4617,MATCH(B193,控制台!$B$4617:$B$4629,0)-2,0)*控制台!$C$4612</f>
        <v>14</v>
      </c>
      <c r="M193" s="1">
        <f ca="1">OFFSET(控制台!$G$4617,MATCH(B193,控制台!$B$4617:$B$4629,0)-1,0)*控制台!$C$4612</f>
        <v>14</v>
      </c>
      <c r="N193" s="1">
        <v>1</v>
      </c>
      <c r="O193" s="4">
        <f ca="1">IF(MOD(C193,4)=0,Lerp_dyy(L193,M193,N193),0)</f>
        <v>14</v>
      </c>
    </row>
    <row r="194" spans="1:15">
      <c r="A194" s="1">
        <f t="shared" si="6"/>
        <v>609</v>
      </c>
      <c r="B194" s="1">
        <v>6</v>
      </c>
      <c r="C194" s="1">
        <v>9</v>
      </c>
      <c r="D194" s="1">
        <f ca="1">OFFSET(控制台!$C$4617,MATCH(B194,控制台!$B$4617:$B$4629,0)-2,0)*控制台!$C$4610</f>
        <v>35000</v>
      </c>
      <c r="E194" s="1">
        <f ca="1">OFFSET(控制台!$C$4617,MATCH(B194,控制台!$B$4617:$B$4629,0)-1,0)*控制台!$C$4610</f>
        <v>40000</v>
      </c>
      <c r="F194" s="1">
        <f>(_xlfn.FLOOR.MATH((C194-1)/8)+1)/5</f>
        <v>0.4</v>
      </c>
      <c r="G194" s="4">
        <f ca="1">Lerp_dyy(D194,E194,F194)</f>
        <v>37000</v>
      </c>
      <c r="H194" s="1">
        <f ca="1">OFFSET(控制台!$E$4617,MATCH(B194,控制台!$B$4617:$B$4629,0)-2,0)*控制台!$C$4611</f>
        <v>40</v>
      </c>
      <c r="I194" s="1">
        <f ca="1">OFFSET(控制台!$E$4617,MATCH(B194,控制台!$B$4617:$B$4629,0)-1,0)*控制台!$C$4611</f>
        <v>40</v>
      </c>
      <c r="J194" s="1">
        <f>(_xlfn.FLOOR.MATH((C194-1)/20)+1)/2</f>
        <v>0.5</v>
      </c>
      <c r="K194" s="4">
        <f ca="1">IF(MOD(C194,4)=0,0,Lerp_dyy(H194,I194,J194))</f>
        <v>40</v>
      </c>
      <c r="L194" s="1">
        <f ca="1">OFFSET(控制台!$G$4617,MATCH(B194,控制台!$B$4617:$B$4629,0)-2,0)*控制台!$C$4612</f>
        <v>14</v>
      </c>
      <c r="M194" s="1">
        <f ca="1">OFFSET(控制台!$G$4617,MATCH(B194,控制台!$B$4617:$B$4629,0)-1,0)*控制台!$C$4612</f>
        <v>14</v>
      </c>
      <c r="N194" s="1">
        <v>1</v>
      </c>
      <c r="O194" s="4">
        <f ca="1">IF(MOD(C194,4)=0,Lerp_dyy(L194,M194,N194),0)</f>
        <v>0</v>
      </c>
    </row>
    <row r="195" spans="1:15">
      <c r="A195" s="1">
        <f t="shared" si="6"/>
        <v>610</v>
      </c>
      <c r="B195" s="1">
        <v>6</v>
      </c>
      <c r="C195" s="1">
        <v>10</v>
      </c>
      <c r="D195" s="1">
        <f ca="1">OFFSET(控制台!$C$4617,MATCH(B195,控制台!$B$4617:$B$4629,0)-2,0)*控制台!$C$4610</f>
        <v>35000</v>
      </c>
      <c r="E195" s="1">
        <f ca="1">OFFSET(控制台!$C$4617,MATCH(B195,控制台!$B$4617:$B$4629,0)-1,0)*控制台!$C$4610</f>
        <v>40000</v>
      </c>
      <c r="F195" s="1">
        <f>(_xlfn.FLOOR.MATH((C195-1)/8)+1)/5</f>
        <v>0.4</v>
      </c>
      <c r="G195" s="4">
        <f ca="1">Lerp_dyy(D195,E195,F195)</f>
        <v>37000</v>
      </c>
      <c r="H195" s="1">
        <f ca="1">OFFSET(控制台!$E$4617,MATCH(B195,控制台!$B$4617:$B$4629,0)-2,0)*控制台!$C$4611</f>
        <v>40</v>
      </c>
      <c r="I195" s="1">
        <f ca="1">OFFSET(控制台!$E$4617,MATCH(B195,控制台!$B$4617:$B$4629,0)-1,0)*控制台!$C$4611</f>
        <v>40</v>
      </c>
      <c r="J195" s="1">
        <f>(_xlfn.FLOOR.MATH((C195-1)/20)+1)/2</f>
        <v>0.5</v>
      </c>
      <c r="K195" s="4">
        <f ca="1">IF(MOD(C195,4)=0,0,Lerp_dyy(H195,I195,J195))</f>
        <v>40</v>
      </c>
      <c r="L195" s="1">
        <f ca="1">OFFSET(控制台!$G$4617,MATCH(B195,控制台!$B$4617:$B$4629,0)-2,0)*控制台!$C$4612</f>
        <v>14</v>
      </c>
      <c r="M195" s="1">
        <f ca="1">OFFSET(控制台!$G$4617,MATCH(B195,控制台!$B$4617:$B$4629,0)-1,0)*控制台!$C$4612</f>
        <v>14</v>
      </c>
      <c r="N195" s="1">
        <v>1</v>
      </c>
      <c r="O195" s="4">
        <f ca="1">IF(MOD(C195,4)=0,Lerp_dyy(L195,M195,N195),0)</f>
        <v>0</v>
      </c>
    </row>
    <row r="196" spans="1:15">
      <c r="A196" s="1">
        <f t="shared" si="6"/>
        <v>611</v>
      </c>
      <c r="B196" s="1">
        <v>6</v>
      </c>
      <c r="C196" s="1">
        <v>11</v>
      </c>
      <c r="D196" s="1">
        <f ca="1">OFFSET(控制台!$C$4617,MATCH(B196,控制台!$B$4617:$B$4629,0)-2,0)*控制台!$C$4610</f>
        <v>35000</v>
      </c>
      <c r="E196" s="1">
        <f ca="1">OFFSET(控制台!$C$4617,MATCH(B196,控制台!$B$4617:$B$4629,0)-1,0)*控制台!$C$4610</f>
        <v>40000</v>
      </c>
      <c r="F196" s="1">
        <f>(_xlfn.FLOOR.MATH((C196-1)/8)+1)/5</f>
        <v>0.4</v>
      </c>
      <c r="G196" s="4">
        <f ca="1">Lerp_dyy(D196,E196,F196)</f>
        <v>37000</v>
      </c>
      <c r="H196" s="1">
        <f ca="1">OFFSET(控制台!$E$4617,MATCH(B196,控制台!$B$4617:$B$4629,0)-2,0)*控制台!$C$4611</f>
        <v>40</v>
      </c>
      <c r="I196" s="1">
        <f ca="1">OFFSET(控制台!$E$4617,MATCH(B196,控制台!$B$4617:$B$4629,0)-1,0)*控制台!$C$4611</f>
        <v>40</v>
      </c>
      <c r="J196" s="1">
        <f>(_xlfn.FLOOR.MATH((C196-1)/20)+1)/2</f>
        <v>0.5</v>
      </c>
      <c r="K196" s="4">
        <f ca="1">IF(MOD(C196,4)=0,0,Lerp_dyy(H196,I196,J196))</f>
        <v>40</v>
      </c>
      <c r="L196" s="1">
        <f ca="1">OFFSET(控制台!$G$4617,MATCH(B196,控制台!$B$4617:$B$4629,0)-2,0)*控制台!$C$4612</f>
        <v>14</v>
      </c>
      <c r="M196" s="1">
        <f ca="1">OFFSET(控制台!$G$4617,MATCH(B196,控制台!$B$4617:$B$4629,0)-1,0)*控制台!$C$4612</f>
        <v>14</v>
      </c>
      <c r="N196" s="1">
        <v>1</v>
      </c>
      <c r="O196" s="4">
        <f ca="1">IF(MOD(C196,4)=0,Lerp_dyy(L196,M196,N196),0)</f>
        <v>0</v>
      </c>
    </row>
    <row r="197" spans="1:15">
      <c r="A197" s="1">
        <f t="shared" si="6"/>
        <v>612</v>
      </c>
      <c r="B197" s="1">
        <v>6</v>
      </c>
      <c r="C197" s="1">
        <v>12</v>
      </c>
      <c r="D197" s="1">
        <f ca="1">OFFSET(控制台!$C$4617,MATCH(B197,控制台!$B$4617:$B$4629,0)-2,0)*控制台!$C$4610</f>
        <v>35000</v>
      </c>
      <c r="E197" s="1">
        <f ca="1">OFFSET(控制台!$C$4617,MATCH(B197,控制台!$B$4617:$B$4629,0)-1,0)*控制台!$C$4610</f>
        <v>40000</v>
      </c>
      <c r="F197" s="1">
        <f>(_xlfn.FLOOR.MATH((C197-1)/8)+1)/5</f>
        <v>0.4</v>
      </c>
      <c r="G197" s="4">
        <f ca="1">Lerp_dyy(D197,E197,F197)</f>
        <v>37000</v>
      </c>
      <c r="H197" s="1">
        <f ca="1">OFFSET(控制台!$E$4617,MATCH(B197,控制台!$B$4617:$B$4629,0)-2,0)*控制台!$C$4611</f>
        <v>40</v>
      </c>
      <c r="I197" s="1">
        <f ca="1">OFFSET(控制台!$E$4617,MATCH(B197,控制台!$B$4617:$B$4629,0)-1,0)*控制台!$C$4611</f>
        <v>40</v>
      </c>
      <c r="J197" s="1">
        <f>(_xlfn.FLOOR.MATH((C197-1)/20)+1)/2</f>
        <v>0.5</v>
      </c>
      <c r="K197" s="4">
        <f ca="1">IF(MOD(C197,4)=0,0,Lerp_dyy(H197,I197,J197))</f>
        <v>0</v>
      </c>
      <c r="L197" s="1">
        <f ca="1">OFFSET(控制台!$G$4617,MATCH(B197,控制台!$B$4617:$B$4629,0)-2,0)*控制台!$C$4612</f>
        <v>14</v>
      </c>
      <c r="M197" s="1">
        <f ca="1">OFFSET(控制台!$G$4617,MATCH(B197,控制台!$B$4617:$B$4629,0)-1,0)*控制台!$C$4612</f>
        <v>14</v>
      </c>
      <c r="N197" s="1">
        <v>1</v>
      </c>
      <c r="O197" s="4">
        <f ca="1">IF(MOD(C197,4)=0,Lerp_dyy(L197,M197,N197),0)</f>
        <v>14</v>
      </c>
    </row>
    <row r="198" spans="1:15">
      <c r="A198" s="1">
        <f t="shared" si="6"/>
        <v>613</v>
      </c>
      <c r="B198" s="1">
        <v>6</v>
      </c>
      <c r="C198" s="1">
        <v>13</v>
      </c>
      <c r="D198" s="1">
        <f ca="1">OFFSET(控制台!$C$4617,MATCH(B198,控制台!$B$4617:$B$4629,0)-2,0)*控制台!$C$4610</f>
        <v>35000</v>
      </c>
      <c r="E198" s="1">
        <f ca="1">OFFSET(控制台!$C$4617,MATCH(B198,控制台!$B$4617:$B$4629,0)-1,0)*控制台!$C$4610</f>
        <v>40000</v>
      </c>
      <c r="F198" s="1">
        <f>(_xlfn.FLOOR.MATH((C198-1)/8)+1)/5</f>
        <v>0.4</v>
      </c>
      <c r="G198" s="4">
        <f ca="1">Lerp_dyy(D198,E198,F198)</f>
        <v>37000</v>
      </c>
      <c r="H198" s="1">
        <f ca="1">OFFSET(控制台!$E$4617,MATCH(B198,控制台!$B$4617:$B$4629,0)-2,0)*控制台!$C$4611</f>
        <v>40</v>
      </c>
      <c r="I198" s="1">
        <f ca="1">OFFSET(控制台!$E$4617,MATCH(B198,控制台!$B$4617:$B$4629,0)-1,0)*控制台!$C$4611</f>
        <v>40</v>
      </c>
      <c r="J198" s="1">
        <f>(_xlfn.FLOOR.MATH((C198-1)/20)+1)/2</f>
        <v>0.5</v>
      </c>
      <c r="K198" s="4">
        <f ca="1">IF(MOD(C198,4)=0,0,Lerp_dyy(H198,I198,J198))</f>
        <v>40</v>
      </c>
      <c r="L198" s="1">
        <f ca="1">OFFSET(控制台!$G$4617,MATCH(B198,控制台!$B$4617:$B$4629,0)-2,0)*控制台!$C$4612</f>
        <v>14</v>
      </c>
      <c r="M198" s="1">
        <f ca="1">OFFSET(控制台!$G$4617,MATCH(B198,控制台!$B$4617:$B$4629,0)-1,0)*控制台!$C$4612</f>
        <v>14</v>
      </c>
      <c r="N198" s="1">
        <v>1</v>
      </c>
      <c r="O198" s="4">
        <f ca="1">IF(MOD(C198,4)=0,Lerp_dyy(L198,M198,N198),0)</f>
        <v>0</v>
      </c>
    </row>
    <row r="199" spans="1:15">
      <c r="A199" s="1">
        <f t="shared" si="6"/>
        <v>614</v>
      </c>
      <c r="B199" s="1">
        <v>6</v>
      </c>
      <c r="C199" s="1">
        <v>14</v>
      </c>
      <c r="D199" s="1">
        <f ca="1">OFFSET(控制台!$C$4617,MATCH(B199,控制台!$B$4617:$B$4629,0)-2,0)*控制台!$C$4610</f>
        <v>35000</v>
      </c>
      <c r="E199" s="1">
        <f ca="1">OFFSET(控制台!$C$4617,MATCH(B199,控制台!$B$4617:$B$4629,0)-1,0)*控制台!$C$4610</f>
        <v>40000</v>
      </c>
      <c r="F199" s="1">
        <f>(_xlfn.FLOOR.MATH((C199-1)/8)+1)/5</f>
        <v>0.4</v>
      </c>
      <c r="G199" s="4">
        <f ca="1">Lerp_dyy(D199,E199,F199)</f>
        <v>37000</v>
      </c>
      <c r="H199" s="1">
        <f ca="1">OFFSET(控制台!$E$4617,MATCH(B199,控制台!$B$4617:$B$4629,0)-2,0)*控制台!$C$4611</f>
        <v>40</v>
      </c>
      <c r="I199" s="1">
        <f ca="1">OFFSET(控制台!$E$4617,MATCH(B199,控制台!$B$4617:$B$4629,0)-1,0)*控制台!$C$4611</f>
        <v>40</v>
      </c>
      <c r="J199" s="1">
        <f>(_xlfn.FLOOR.MATH((C199-1)/20)+1)/2</f>
        <v>0.5</v>
      </c>
      <c r="K199" s="4">
        <f ca="1">IF(MOD(C199,4)=0,0,Lerp_dyy(H199,I199,J199))</f>
        <v>40</v>
      </c>
      <c r="L199" s="1">
        <f ca="1">OFFSET(控制台!$G$4617,MATCH(B199,控制台!$B$4617:$B$4629,0)-2,0)*控制台!$C$4612</f>
        <v>14</v>
      </c>
      <c r="M199" s="1">
        <f ca="1">OFFSET(控制台!$G$4617,MATCH(B199,控制台!$B$4617:$B$4629,0)-1,0)*控制台!$C$4612</f>
        <v>14</v>
      </c>
      <c r="N199" s="1">
        <v>1</v>
      </c>
      <c r="O199" s="4">
        <f ca="1">IF(MOD(C199,4)=0,Lerp_dyy(L199,M199,N199),0)</f>
        <v>0</v>
      </c>
    </row>
    <row r="200" spans="1:15">
      <c r="A200" s="1">
        <f t="shared" si="6"/>
        <v>615</v>
      </c>
      <c r="B200" s="1">
        <v>6</v>
      </c>
      <c r="C200" s="1">
        <v>15</v>
      </c>
      <c r="D200" s="1">
        <f ca="1">OFFSET(控制台!$C$4617,MATCH(B200,控制台!$B$4617:$B$4629,0)-2,0)*控制台!$C$4610</f>
        <v>35000</v>
      </c>
      <c r="E200" s="1">
        <f ca="1">OFFSET(控制台!$C$4617,MATCH(B200,控制台!$B$4617:$B$4629,0)-1,0)*控制台!$C$4610</f>
        <v>40000</v>
      </c>
      <c r="F200" s="1">
        <f>(_xlfn.FLOOR.MATH((C200-1)/8)+1)/5</f>
        <v>0.4</v>
      </c>
      <c r="G200" s="4">
        <f ca="1">Lerp_dyy(D200,E200,F200)</f>
        <v>37000</v>
      </c>
      <c r="H200" s="1">
        <f ca="1">OFFSET(控制台!$E$4617,MATCH(B200,控制台!$B$4617:$B$4629,0)-2,0)*控制台!$C$4611</f>
        <v>40</v>
      </c>
      <c r="I200" s="1">
        <f ca="1">OFFSET(控制台!$E$4617,MATCH(B200,控制台!$B$4617:$B$4629,0)-1,0)*控制台!$C$4611</f>
        <v>40</v>
      </c>
      <c r="J200" s="1">
        <f>(_xlfn.FLOOR.MATH((C200-1)/20)+1)/2</f>
        <v>0.5</v>
      </c>
      <c r="K200" s="4">
        <f ca="1">IF(MOD(C200,4)=0,0,Lerp_dyy(H200,I200,J200))</f>
        <v>40</v>
      </c>
      <c r="L200" s="1">
        <f ca="1">OFFSET(控制台!$G$4617,MATCH(B200,控制台!$B$4617:$B$4629,0)-2,0)*控制台!$C$4612</f>
        <v>14</v>
      </c>
      <c r="M200" s="1">
        <f ca="1">OFFSET(控制台!$G$4617,MATCH(B200,控制台!$B$4617:$B$4629,0)-1,0)*控制台!$C$4612</f>
        <v>14</v>
      </c>
      <c r="N200" s="1">
        <v>1</v>
      </c>
      <c r="O200" s="4">
        <f ca="1">IF(MOD(C200,4)=0,Lerp_dyy(L200,M200,N200),0)</f>
        <v>0</v>
      </c>
    </row>
    <row r="201" spans="1:15">
      <c r="A201" s="1">
        <f t="shared" si="6"/>
        <v>616</v>
      </c>
      <c r="B201" s="1">
        <v>6</v>
      </c>
      <c r="C201" s="1">
        <v>16</v>
      </c>
      <c r="D201" s="1">
        <f ca="1">OFFSET(控制台!$C$4617,MATCH(B201,控制台!$B$4617:$B$4629,0)-2,0)*控制台!$C$4610</f>
        <v>35000</v>
      </c>
      <c r="E201" s="1">
        <f ca="1">OFFSET(控制台!$C$4617,MATCH(B201,控制台!$B$4617:$B$4629,0)-1,0)*控制台!$C$4610</f>
        <v>40000</v>
      </c>
      <c r="F201" s="1">
        <f>(_xlfn.FLOOR.MATH((C201-1)/8)+1)/5</f>
        <v>0.4</v>
      </c>
      <c r="G201" s="4">
        <f ca="1">Lerp_dyy(D201,E201,F201)</f>
        <v>37000</v>
      </c>
      <c r="H201" s="1">
        <f ca="1">OFFSET(控制台!$E$4617,MATCH(B201,控制台!$B$4617:$B$4629,0)-2,0)*控制台!$C$4611</f>
        <v>40</v>
      </c>
      <c r="I201" s="1">
        <f ca="1">OFFSET(控制台!$E$4617,MATCH(B201,控制台!$B$4617:$B$4629,0)-1,0)*控制台!$C$4611</f>
        <v>40</v>
      </c>
      <c r="J201" s="1">
        <f>(_xlfn.FLOOR.MATH((C201-1)/20)+1)/2</f>
        <v>0.5</v>
      </c>
      <c r="K201" s="4">
        <f ca="1">IF(MOD(C201,4)=0,0,Lerp_dyy(H201,I201,J201))</f>
        <v>0</v>
      </c>
      <c r="L201" s="1">
        <f ca="1">OFFSET(控制台!$G$4617,MATCH(B201,控制台!$B$4617:$B$4629,0)-2,0)*控制台!$C$4612</f>
        <v>14</v>
      </c>
      <c r="M201" s="1">
        <f ca="1">OFFSET(控制台!$G$4617,MATCH(B201,控制台!$B$4617:$B$4629,0)-1,0)*控制台!$C$4612</f>
        <v>14</v>
      </c>
      <c r="N201" s="1">
        <v>1</v>
      </c>
      <c r="O201" s="4">
        <f ca="1">IF(MOD(C201,4)=0,Lerp_dyy(L201,M201,N201),0)</f>
        <v>14</v>
      </c>
    </row>
    <row r="202" spans="1:15">
      <c r="A202" s="1">
        <f t="shared" si="6"/>
        <v>617</v>
      </c>
      <c r="B202" s="1">
        <v>6</v>
      </c>
      <c r="C202" s="1">
        <v>17</v>
      </c>
      <c r="D202" s="1">
        <f ca="1">OFFSET(控制台!$C$4617,MATCH(B202,控制台!$B$4617:$B$4629,0)-2,0)*控制台!$C$4610</f>
        <v>35000</v>
      </c>
      <c r="E202" s="1">
        <f ca="1">OFFSET(控制台!$C$4617,MATCH(B202,控制台!$B$4617:$B$4629,0)-1,0)*控制台!$C$4610</f>
        <v>40000</v>
      </c>
      <c r="F202" s="1">
        <f>(_xlfn.FLOOR.MATH((C202-1)/8)+1)/5</f>
        <v>0.6</v>
      </c>
      <c r="G202" s="4">
        <f ca="1">Lerp_dyy(D202,E202,F202)</f>
        <v>38000</v>
      </c>
      <c r="H202" s="1">
        <f ca="1">OFFSET(控制台!$E$4617,MATCH(B202,控制台!$B$4617:$B$4629,0)-2,0)*控制台!$C$4611</f>
        <v>40</v>
      </c>
      <c r="I202" s="1">
        <f ca="1">OFFSET(控制台!$E$4617,MATCH(B202,控制台!$B$4617:$B$4629,0)-1,0)*控制台!$C$4611</f>
        <v>40</v>
      </c>
      <c r="J202" s="1">
        <f>(_xlfn.FLOOR.MATH((C202-1)/20)+1)/2</f>
        <v>0.5</v>
      </c>
      <c r="K202" s="4">
        <f ca="1">IF(MOD(C202,4)=0,0,Lerp_dyy(H202,I202,J202))</f>
        <v>40</v>
      </c>
      <c r="L202" s="1">
        <f ca="1">OFFSET(控制台!$G$4617,MATCH(B202,控制台!$B$4617:$B$4629,0)-2,0)*控制台!$C$4612</f>
        <v>14</v>
      </c>
      <c r="M202" s="1">
        <f ca="1">OFFSET(控制台!$G$4617,MATCH(B202,控制台!$B$4617:$B$4629,0)-1,0)*控制台!$C$4612</f>
        <v>14</v>
      </c>
      <c r="N202" s="1">
        <v>1</v>
      </c>
      <c r="O202" s="4">
        <f ca="1">IF(MOD(C202,4)=0,Lerp_dyy(L202,M202,N202),0)</f>
        <v>0</v>
      </c>
    </row>
    <row r="203" spans="1:15">
      <c r="A203" s="1">
        <f t="shared" si="6"/>
        <v>618</v>
      </c>
      <c r="B203" s="1">
        <v>6</v>
      </c>
      <c r="C203" s="1">
        <v>18</v>
      </c>
      <c r="D203" s="1">
        <f ca="1">OFFSET(控制台!$C$4617,MATCH(B203,控制台!$B$4617:$B$4629,0)-2,0)*控制台!$C$4610</f>
        <v>35000</v>
      </c>
      <c r="E203" s="1">
        <f ca="1">OFFSET(控制台!$C$4617,MATCH(B203,控制台!$B$4617:$B$4629,0)-1,0)*控制台!$C$4610</f>
        <v>40000</v>
      </c>
      <c r="F203" s="1">
        <f>(_xlfn.FLOOR.MATH((C203-1)/8)+1)/5</f>
        <v>0.6</v>
      </c>
      <c r="G203" s="4">
        <f ca="1">Lerp_dyy(D203,E203,F203)</f>
        <v>38000</v>
      </c>
      <c r="H203" s="1">
        <f ca="1">OFFSET(控制台!$E$4617,MATCH(B203,控制台!$B$4617:$B$4629,0)-2,0)*控制台!$C$4611</f>
        <v>40</v>
      </c>
      <c r="I203" s="1">
        <f ca="1">OFFSET(控制台!$E$4617,MATCH(B203,控制台!$B$4617:$B$4629,0)-1,0)*控制台!$C$4611</f>
        <v>40</v>
      </c>
      <c r="J203" s="1">
        <f>(_xlfn.FLOOR.MATH((C203-1)/20)+1)/2</f>
        <v>0.5</v>
      </c>
      <c r="K203" s="4">
        <f ca="1">IF(MOD(C203,4)=0,0,Lerp_dyy(H203,I203,J203))</f>
        <v>40</v>
      </c>
      <c r="L203" s="1">
        <f ca="1">OFFSET(控制台!$G$4617,MATCH(B203,控制台!$B$4617:$B$4629,0)-2,0)*控制台!$C$4612</f>
        <v>14</v>
      </c>
      <c r="M203" s="1">
        <f ca="1">OFFSET(控制台!$G$4617,MATCH(B203,控制台!$B$4617:$B$4629,0)-1,0)*控制台!$C$4612</f>
        <v>14</v>
      </c>
      <c r="N203" s="1">
        <v>1</v>
      </c>
      <c r="O203" s="4">
        <f ca="1">IF(MOD(C203,4)=0,Lerp_dyy(L203,M203,N203),0)</f>
        <v>0</v>
      </c>
    </row>
    <row r="204" spans="1:15">
      <c r="A204" s="1">
        <f t="shared" si="6"/>
        <v>619</v>
      </c>
      <c r="B204" s="1">
        <v>6</v>
      </c>
      <c r="C204" s="1">
        <v>19</v>
      </c>
      <c r="D204" s="1">
        <f ca="1">OFFSET(控制台!$C$4617,MATCH(B204,控制台!$B$4617:$B$4629,0)-2,0)*控制台!$C$4610</f>
        <v>35000</v>
      </c>
      <c r="E204" s="1">
        <f ca="1">OFFSET(控制台!$C$4617,MATCH(B204,控制台!$B$4617:$B$4629,0)-1,0)*控制台!$C$4610</f>
        <v>40000</v>
      </c>
      <c r="F204" s="1">
        <f>(_xlfn.FLOOR.MATH((C204-1)/8)+1)/5</f>
        <v>0.6</v>
      </c>
      <c r="G204" s="4">
        <f ca="1">Lerp_dyy(D204,E204,F204)</f>
        <v>38000</v>
      </c>
      <c r="H204" s="1">
        <f ca="1">OFFSET(控制台!$E$4617,MATCH(B204,控制台!$B$4617:$B$4629,0)-2,0)*控制台!$C$4611</f>
        <v>40</v>
      </c>
      <c r="I204" s="1">
        <f ca="1">OFFSET(控制台!$E$4617,MATCH(B204,控制台!$B$4617:$B$4629,0)-1,0)*控制台!$C$4611</f>
        <v>40</v>
      </c>
      <c r="J204" s="1">
        <f>(_xlfn.FLOOR.MATH((C204-1)/20)+1)/2</f>
        <v>0.5</v>
      </c>
      <c r="K204" s="4">
        <f ca="1">IF(MOD(C204,4)=0,0,Lerp_dyy(H204,I204,J204))</f>
        <v>40</v>
      </c>
      <c r="L204" s="1">
        <f ca="1">OFFSET(控制台!$G$4617,MATCH(B204,控制台!$B$4617:$B$4629,0)-2,0)*控制台!$C$4612</f>
        <v>14</v>
      </c>
      <c r="M204" s="1">
        <f ca="1">OFFSET(控制台!$G$4617,MATCH(B204,控制台!$B$4617:$B$4629,0)-1,0)*控制台!$C$4612</f>
        <v>14</v>
      </c>
      <c r="N204" s="1">
        <v>1</v>
      </c>
      <c r="O204" s="4">
        <f ca="1">IF(MOD(C204,4)=0,Lerp_dyy(L204,M204,N204),0)</f>
        <v>0</v>
      </c>
    </row>
    <row r="205" spans="1:15">
      <c r="A205" s="1">
        <f t="shared" si="6"/>
        <v>620</v>
      </c>
      <c r="B205" s="1">
        <v>6</v>
      </c>
      <c r="C205" s="1">
        <v>20</v>
      </c>
      <c r="D205" s="1">
        <f ca="1">OFFSET(控制台!$C$4617,MATCH(B205,控制台!$B$4617:$B$4629,0)-2,0)*控制台!$C$4610</f>
        <v>35000</v>
      </c>
      <c r="E205" s="1">
        <f ca="1">OFFSET(控制台!$C$4617,MATCH(B205,控制台!$B$4617:$B$4629,0)-1,0)*控制台!$C$4610</f>
        <v>40000</v>
      </c>
      <c r="F205" s="1">
        <f>(_xlfn.FLOOR.MATH((C205-1)/8)+1)/5</f>
        <v>0.6</v>
      </c>
      <c r="G205" s="4">
        <f ca="1">Lerp_dyy(D205,E205,F205)</f>
        <v>38000</v>
      </c>
      <c r="H205" s="1">
        <f ca="1">OFFSET(控制台!$E$4617,MATCH(B205,控制台!$B$4617:$B$4629,0)-2,0)*控制台!$C$4611</f>
        <v>40</v>
      </c>
      <c r="I205" s="1">
        <f ca="1">OFFSET(控制台!$E$4617,MATCH(B205,控制台!$B$4617:$B$4629,0)-1,0)*控制台!$C$4611</f>
        <v>40</v>
      </c>
      <c r="J205" s="1">
        <f>(_xlfn.FLOOR.MATH((C205-1)/20)+1)/2</f>
        <v>0.5</v>
      </c>
      <c r="K205" s="4">
        <f ca="1">IF(MOD(C205,4)=0,0,Lerp_dyy(H205,I205,J205))</f>
        <v>0</v>
      </c>
      <c r="L205" s="1">
        <f ca="1">OFFSET(控制台!$G$4617,MATCH(B205,控制台!$B$4617:$B$4629,0)-2,0)*控制台!$C$4612</f>
        <v>14</v>
      </c>
      <c r="M205" s="1">
        <f ca="1">OFFSET(控制台!$G$4617,MATCH(B205,控制台!$B$4617:$B$4629,0)-1,0)*控制台!$C$4612</f>
        <v>14</v>
      </c>
      <c r="N205" s="1">
        <v>1</v>
      </c>
      <c r="O205" s="4">
        <f ca="1">IF(MOD(C205,4)=0,Lerp_dyy(L205,M205,N205),0)</f>
        <v>14</v>
      </c>
    </row>
    <row r="206" spans="1:15">
      <c r="A206" s="1">
        <f t="shared" si="6"/>
        <v>621</v>
      </c>
      <c r="B206" s="1">
        <v>6</v>
      </c>
      <c r="C206" s="1">
        <v>21</v>
      </c>
      <c r="D206" s="1">
        <f ca="1">OFFSET(控制台!$C$4617,MATCH(B206,控制台!$B$4617:$B$4629,0)-2,0)*控制台!$C$4610</f>
        <v>35000</v>
      </c>
      <c r="E206" s="1">
        <f ca="1">OFFSET(控制台!$C$4617,MATCH(B206,控制台!$B$4617:$B$4629,0)-1,0)*控制台!$C$4610</f>
        <v>40000</v>
      </c>
      <c r="F206" s="1">
        <f>(_xlfn.FLOOR.MATH((C206-1)/8)+1)/5</f>
        <v>0.6</v>
      </c>
      <c r="G206" s="4">
        <f ca="1">Lerp_dyy(D206,E206,F206)</f>
        <v>38000</v>
      </c>
      <c r="H206" s="1">
        <f ca="1">OFFSET(控制台!$E$4617,MATCH(B206,控制台!$B$4617:$B$4629,0)-2,0)*控制台!$C$4611</f>
        <v>40</v>
      </c>
      <c r="I206" s="1">
        <f ca="1">OFFSET(控制台!$E$4617,MATCH(B206,控制台!$B$4617:$B$4629,0)-1,0)*控制台!$C$4611</f>
        <v>40</v>
      </c>
      <c r="J206" s="1">
        <f>(_xlfn.FLOOR.MATH((C206-1)/20)+1)/2</f>
        <v>1</v>
      </c>
      <c r="K206" s="4">
        <f ca="1">IF(MOD(C206,4)=0,0,Lerp_dyy(H206,I206,J206))</f>
        <v>40</v>
      </c>
      <c r="L206" s="1">
        <f ca="1">OFFSET(控制台!$G$4617,MATCH(B206,控制台!$B$4617:$B$4629,0)-2,0)*控制台!$C$4612</f>
        <v>14</v>
      </c>
      <c r="M206" s="1">
        <f ca="1">OFFSET(控制台!$G$4617,MATCH(B206,控制台!$B$4617:$B$4629,0)-1,0)*控制台!$C$4612</f>
        <v>14</v>
      </c>
      <c r="N206" s="1">
        <v>1</v>
      </c>
      <c r="O206" s="4">
        <f ca="1">IF(MOD(C206,4)=0,Lerp_dyy(L206,M206,N206),0)</f>
        <v>0</v>
      </c>
    </row>
    <row r="207" spans="1:15">
      <c r="A207" s="1">
        <f t="shared" si="6"/>
        <v>622</v>
      </c>
      <c r="B207" s="1">
        <v>6</v>
      </c>
      <c r="C207" s="1">
        <v>22</v>
      </c>
      <c r="D207" s="1">
        <f ca="1">OFFSET(控制台!$C$4617,MATCH(B207,控制台!$B$4617:$B$4629,0)-2,0)*控制台!$C$4610</f>
        <v>35000</v>
      </c>
      <c r="E207" s="1">
        <f ca="1">OFFSET(控制台!$C$4617,MATCH(B207,控制台!$B$4617:$B$4629,0)-1,0)*控制台!$C$4610</f>
        <v>40000</v>
      </c>
      <c r="F207" s="1">
        <f>(_xlfn.FLOOR.MATH((C207-1)/8)+1)/5</f>
        <v>0.6</v>
      </c>
      <c r="G207" s="4">
        <f ca="1">Lerp_dyy(D207,E207,F207)</f>
        <v>38000</v>
      </c>
      <c r="H207" s="1">
        <f ca="1">OFFSET(控制台!$E$4617,MATCH(B207,控制台!$B$4617:$B$4629,0)-2,0)*控制台!$C$4611</f>
        <v>40</v>
      </c>
      <c r="I207" s="1">
        <f ca="1">OFFSET(控制台!$E$4617,MATCH(B207,控制台!$B$4617:$B$4629,0)-1,0)*控制台!$C$4611</f>
        <v>40</v>
      </c>
      <c r="J207" s="1">
        <f>(_xlfn.FLOOR.MATH((C207-1)/20)+1)/2</f>
        <v>1</v>
      </c>
      <c r="K207" s="4">
        <f ca="1">IF(MOD(C207,4)=0,0,Lerp_dyy(H207,I207,J207))</f>
        <v>40</v>
      </c>
      <c r="L207" s="1">
        <f ca="1">OFFSET(控制台!$G$4617,MATCH(B207,控制台!$B$4617:$B$4629,0)-2,0)*控制台!$C$4612</f>
        <v>14</v>
      </c>
      <c r="M207" s="1">
        <f ca="1">OFFSET(控制台!$G$4617,MATCH(B207,控制台!$B$4617:$B$4629,0)-1,0)*控制台!$C$4612</f>
        <v>14</v>
      </c>
      <c r="N207" s="1">
        <v>1</v>
      </c>
      <c r="O207" s="4">
        <f ca="1">IF(MOD(C207,4)=0,Lerp_dyy(L207,M207,N207),0)</f>
        <v>0</v>
      </c>
    </row>
    <row r="208" spans="1:15">
      <c r="A208" s="1">
        <f t="shared" si="6"/>
        <v>623</v>
      </c>
      <c r="B208" s="1">
        <v>6</v>
      </c>
      <c r="C208" s="1">
        <v>23</v>
      </c>
      <c r="D208" s="1">
        <f ca="1">OFFSET(控制台!$C$4617,MATCH(B208,控制台!$B$4617:$B$4629,0)-2,0)*控制台!$C$4610</f>
        <v>35000</v>
      </c>
      <c r="E208" s="1">
        <f ca="1">OFFSET(控制台!$C$4617,MATCH(B208,控制台!$B$4617:$B$4629,0)-1,0)*控制台!$C$4610</f>
        <v>40000</v>
      </c>
      <c r="F208" s="1">
        <f>(_xlfn.FLOOR.MATH((C208-1)/8)+1)/5</f>
        <v>0.6</v>
      </c>
      <c r="G208" s="4">
        <f ca="1">Lerp_dyy(D208,E208,F208)</f>
        <v>38000</v>
      </c>
      <c r="H208" s="1">
        <f ca="1">OFFSET(控制台!$E$4617,MATCH(B208,控制台!$B$4617:$B$4629,0)-2,0)*控制台!$C$4611</f>
        <v>40</v>
      </c>
      <c r="I208" s="1">
        <f ca="1">OFFSET(控制台!$E$4617,MATCH(B208,控制台!$B$4617:$B$4629,0)-1,0)*控制台!$C$4611</f>
        <v>40</v>
      </c>
      <c r="J208" s="1">
        <f>(_xlfn.FLOOR.MATH((C208-1)/20)+1)/2</f>
        <v>1</v>
      </c>
      <c r="K208" s="4">
        <f ca="1">IF(MOD(C208,4)=0,0,Lerp_dyy(H208,I208,J208))</f>
        <v>40</v>
      </c>
      <c r="L208" s="1">
        <f ca="1">OFFSET(控制台!$G$4617,MATCH(B208,控制台!$B$4617:$B$4629,0)-2,0)*控制台!$C$4612</f>
        <v>14</v>
      </c>
      <c r="M208" s="1">
        <f ca="1">OFFSET(控制台!$G$4617,MATCH(B208,控制台!$B$4617:$B$4629,0)-1,0)*控制台!$C$4612</f>
        <v>14</v>
      </c>
      <c r="N208" s="1">
        <v>1</v>
      </c>
      <c r="O208" s="4">
        <f ca="1">IF(MOD(C208,4)=0,Lerp_dyy(L208,M208,N208),0)</f>
        <v>0</v>
      </c>
    </row>
    <row r="209" spans="1:15">
      <c r="A209" s="1">
        <f t="shared" si="6"/>
        <v>624</v>
      </c>
      <c r="B209" s="1">
        <v>6</v>
      </c>
      <c r="C209" s="1">
        <v>24</v>
      </c>
      <c r="D209" s="1">
        <f ca="1">OFFSET(控制台!$C$4617,MATCH(B209,控制台!$B$4617:$B$4629,0)-2,0)*控制台!$C$4610</f>
        <v>35000</v>
      </c>
      <c r="E209" s="1">
        <f ca="1">OFFSET(控制台!$C$4617,MATCH(B209,控制台!$B$4617:$B$4629,0)-1,0)*控制台!$C$4610</f>
        <v>40000</v>
      </c>
      <c r="F209" s="1">
        <f>(_xlfn.FLOOR.MATH((C209-1)/8)+1)/5</f>
        <v>0.6</v>
      </c>
      <c r="G209" s="4">
        <f ca="1">Lerp_dyy(D209,E209,F209)</f>
        <v>38000</v>
      </c>
      <c r="H209" s="1">
        <f ca="1">OFFSET(控制台!$E$4617,MATCH(B209,控制台!$B$4617:$B$4629,0)-2,0)*控制台!$C$4611</f>
        <v>40</v>
      </c>
      <c r="I209" s="1">
        <f ca="1">OFFSET(控制台!$E$4617,MATCH(B209,控制台!$B$4617:$B$4629,0)-1,0)*控制台!$C$4611</f>
        <v>40</v>
      </c>
      <c r="J209" s="1">
        <f>(_xlfn.FLOOR.MATH((C209-1)/20)+1)/2</f>
        <v>1</v>
      </c>
      <c r="K209" s="4">
        <f ca="1">IF(MOD(C209,4)=0,0,Lerp_dyy(H209,I209,J209))</f>
        <v>0</v>
      </c>
      <c r="L209" s="1">
        <f ca="1">OFFSET(控制台!$G$4617,MATCH(B209,控制台!$B$4617:$B$4629,0)-2,0)*控制台!$C$4612</f>
        <v>14</v>
      </c>
      <c r="M209" s="1">
        <f ca="1">OFFSET(控制台!$G$4617,MATCH(B209,控制台!$B$4617:$B$4629,0)-1,0)*控制台!$C$4612</f>
        <v>14</v>
      </c>
      <c r="N209" s="1">
        <v>1</v>
      </c>
      <c r="O209" s="4">
        <f ca="1">IF(MOD(C209,4)=0,Lerp_dyy(L209,M209,N209),0)</f>
        <v>14</v>
      </c>
    </row>
    <row r="210" spans="1:15">
      <c r="A210" s="1">
        <f t="shared" si="6"/>
        <v>625</v>
      </c>
      <c r="B210" s="1">
        <v>6</v>
      </c>
      <c r="C210" s="1">
        <v>25</v>
      </c>
      <c r="D210" s="1">
        <f ca="1">OFFSET(控制台!$C$4617,MATCH(B210,控制台!$B$4617:$B$4629,0)-2,0)*控制台!$C$4610</f>
        <v>35000</v>
      </c>
      <c r="E210" s="1">
        <f ca="1">OFFSET(控制台!$C$4617,MATCH(B210,控制台!$B$4617:$B$4629,0)-1,0)*控制台!$C$4610</f>
        <v>40000</v>
      </c>
      <c r="F210" s="1">
        <f>(_xlfn.FLOOR.MATH((C210-1)/8)+1)/5</f>
        <v>0.8</v>
      </c>
      <c r="G210" s="4">
        <f ca="1">Lerp_dyy(D210,E210,F210)</f>
        <v>39000</v>
      </c>
      <c r="H210" s="1">
        <f ca="1">OFFSET(控制台!$E$4617,MATCH(B210,控制台!$B$4617:$B$4629,0)-2,0)*控制台!$C$4611</f>
        <v>40</v>
      </c>
      <c r="I210" s="1">
        <f ca="1">OFFSET(控制台!$E$4617,MATCH(B210,控制台!$B$4617:$B$4629,0)-1,0)*控制台!$C$4611</f>
        <v>40</v>
      </c>
      <c r="J210" s="1">
        <f>(_xlfn.FLOOR.MATH((C210-1)/20)+1)/2</f>
        <v>1</v>
      </c>
      <c r="K210" s="4">
        <f ca="1">IF(MOD(C210,4)=0,0,Lerp_dyy(H210,I210,J210))</f>
        <v>40</v>
      </c>
      <c r="L210" s="1">
        <f ca="1">OFFSET(控制台!$G$4617,MATCH(B210,控制台!$B$4617:$B$4629,0)-2,0)*控制台!$C$4612</f>
        <v>14</v>
      </c>
      <c r="M210" s="1">
        <f ca="1">OFFSET(控制台!$G$4617,MATCH(B210,控制台!$B$4617:$B$4629,0)-1,0)*控制台!$C$4612</f>
        <v>14</v>
      </c>
      <c r="N210" s="1">
        <v>1</v>
      </c>
      <c r="O210" s="4">
        <f ca="1">IF(MOD(C210,4)=0,Lerp_dyy(L210,M210,N210),0)</f>
        <v>0</v>
      </c>
    </row>
    <row r="211" spans="1:15">
      <c r="A211" s="1">
        <f t="shared" si="6"/>
        <v>626</v>
      </c>
      <c r="B211" s="1">
        <v>6</v>
      </c>
      <c r="C211" s="1">
        <v>26</v>
      </c>
      <c r="D211" s="1">
        <f ca="1">OFFSET(控制台!$C$4617,MATCH(B211,控制台!$B$4617:$B$4629,0)-2,0)*控制台!$C$4610</f>
        <v>35000</v>
      </c>
      <c r="E211" s="1">
        <f ca="1">OFFSET(控制台!$C$4617,MATCH(B211,控制台!$B$4617:$B$4629,0)-1,0)*控制台!$C$4610</f>
        <v>40000</v>
      </c>
      <c r="F211" s="1">
        <f>(_xlfn.FLOOR.MATH((C211-1)/8)+1)/5</f>
        <v>0.8</v>
      </c>
      <c r="G211" s="4">
        <f ca="1">Lerp_dyy(D211,E211,F211)</f>
        <v>39000</v>
      </c>
      <c r="H211" s="1">
        <f ca="1">OFFSET(控制台!$E$4617,MATCH(B211,控制台!$B$4617:$B$4629,0)-2,0)*控制台!$C$4611</f>
        <v>40</v>
      </c>
      <c r="I211" s="1">
        <f ca="1">OFFSET(控制台!$E$4617,MATCH(B211,控制台!$B$4617:$B$4629,0)-1,0)*控制台!$C$4611</f>
        <v>40</v>
      </c>
      <c r="J211" s="1">
        <f>(_xlfn.FLOOR.MATH((C211-1)/20)+1)/2</f>
        <v>1</v>
      </c>
      <c r="K211" s="4">
        <f ca="1">IF(MOD(C211,4)=0,0,Lerp_dyy(H211,I211,J211))</f>
        <v>40</v>
      </c>
      <c r="L211" s="1">
        <f ca="1">OFFSET(控制台!$G$4617,MATCH(B211,控制台!$B$4617:$B$4629,0)-2,0)*控制台!$C$4612</f>
        <v>14</v>
      </c>
      <c r="M211" s="1">
        <f ca="1">OFFSET(控制台!$G$4617,MATCH(B211,控制台!$B$4617:$B$4629,0)-1,0)*控制台!$C$4612</f>
        <v>14</v>
      </c>
      <c r="N211" s="1">
        <v>1</v>
      </c>
      <c r="O211" s="4">
        <f ca="1">IF(MOD(C211,4)=0,Lerp_dyy(L211,M211,N211),0)</f>
        <v>0</v>
      </c>
    </row>
    <row r="212" spans="1:15">
      <c r="A212" s="1">
        <f t="shared" si="6"/>
        <v>627</v>
      </c>
      <c r="B212" s="1">
        <v>6</v>
      </c>
      <c r="C212" s="1">
        <v>27</v>
      </c>
      <c r="D212" s="1">
        <f ca="1">OFFSET(控制台!$C$4617,MATCH(B212,控制台!$B$4617:$B$4629,0)-2,0)*控制台!$C$4610</f>
        <v>35000</v>
      </c>
      <c r="E212" s="1">
        <f ca="1">OFFSET(控制台!$C$4617,MATCH(B212,控制台!$B$4617:$B$4629,0)-1,0)*控制台!$C$4610</f>
        <v>40000</v>
      </c>
      <c r="F212" s="1">
        <f>(_xlfn.FLOOR.MATH((C212-1)/8)+1)/5</f>
        <v>0.8</v>
      </c>
      <c r="G212" s="4">
        <f ca="1">Lerp_dyy(D212,E212,F212)</f>
        <v>39000</v>
      </c>
      <c r="H212" s="1">
        <f ca="1">OFFSET(控制台!$E$4617,MATCH(B212,控制台!$B$4617:$B$4629,0)-2,0)*控制台!$C$4611</f>
        <v>40</v>
      </c>
      <c r="I212" s="1">
        <f ca="1">OFFSET(控制台!$E$4617,MATCH(B212,控制台!$B$4617:$B$4629,0)-1,0)*控制台!$C$4611</f>
        <v>40</v>
      </c>
      <c r="J212" s="1">
        <f>(_xlfn.FLOOR.MATH((C212-1)/20)+1)/2</f>
        <v>1</v>
      </c>
      <c r="K212" s="4">
        <f ca="1">IF(MOD(C212,4)=0,0,Lerp_dyy(H212,I212,J212))</f>
        <v>40</v>
      </c>
      <c r="L212" s="1">
        <f ca="1">OFFSET(控制台!$G$4617,MATCH(B212,控制台!$B$4617:$B$4629,0)-2,0)*控制台!$C$4612</f>
        <v>14</v>
      </c>
      <c r="M212" s="1">
        <f ca="1">OFFSET(控制台!$G$4617,MATCH(B212,控制台!$B$4617:$B$4629,0)-1,0)*控制台!$C$4612</f>
        <v>14</v>
      </c>
      <c r="N212" s="1">
        <v>1</v>
      </c>
      <c r="O212" s="4">
        <f ca="1">IF(MOD(C212,4)=0,Lerp_dyy(L212,M212,N212),0)</f>
        <v>0</v>
      </c>
    </row>
    <row r="213" spans="1:15">
      <c r="A213" s="1">
        <f t="shared" si="6"/>
        <v>628</v>
      </c>
      <c r="B213" s="1">
        <v>6</v>
      </c>
      <c r="C213" s="1">
        <v>28</v>
      </c>
      <c r="D213" s="1">
        <f ca="1">OFFSET(控制台!$C$4617,MATCH(B213,控制台!$B$4617:$B$4629,0)-2,0)*控制台!$C$4610</f>
        <v>35000</v>
      </c>
      <c r="E213" s="1">
        <f ca="1">OFFSET(控制台!$C$4617,MATCH(B213,控制台!$B$4617:$B$4629,0)-1,0)*控制台!$C$4610</f>
        <v>40000</v>
      </c>
      <c r="F213" s="1">
        <f>(_xlfn.FLOOR.MATH((C213-1)/8)+1)/5</f>
        <v>0.8</v>
      </c>
      <c r="G213" s="4">
        <f ca="1">Lerp_dyy(D213,E213,F213)</f>
        <v>39000</v>
      </c>
      <c r="H213" s="1">
        <f ca="1">OFFSET(控制台!$E$4617,MATCH(B213,控制台!$B$4617:$B$4629,0)-2,0)*控制台!$C$4611</f>
        <v>40</v>
      </c>
      <c r="I213" s="1">
        <f ca="1">OFFSET(控制台!$E$4617,MATCH(B213,控制台!$B$4617:$B$4629,0)-1,0)*控制台!$C$4611</f>
        <v>40</v>
      </c>
      <c r="J213" s="1">
        <f>(_xlfn.FLOOR.MATH((C213-1)/20)+1)/2</f>
        <v>1</v>
      </c>
      <c r="K213" s="4">
        <f ca="1">IF(MOD(C213,4)=0,0,Lerp_dyy(H213,I213,J213))</f>
        <v>0</v>
      </c>
      <c r="L213" s="1">
        <f ca="1">OFFSET(控制台!$G$4617,MATCH(B213,控制台!$B$4617:$B$4629,0)-2,0)*控制台!$C$4612</f>
        <v>14</v>
      </c>
      <c r="M213" s="1">
        <f ca="1">OFFSET(控制台!$G$4617,MATCH(B213,控制台!$B$4617:$B$4629,0)-1,0)*控制台!$C$4612</f>
        <v>14</v>
      </c>
      <c r="N213" s="1">
        <v>1</v>
      </c>
      <c r="O213" s="4">
        <f ca="1">IF(MOD(C213,4)=0,Lerp_dyy(L213,M213,N213),0)</f>
        <v>14</v>
      </c>
    </row>
    <row r="214" spans="1:15">
      <c r="A214" s="1">
        <f t="shared" si="6"/>
        <v>629</v>
      </c>
      <c r="B214" s="1">
        <v>6</v>
      </c>
      <c r="C214" s="1">
        <v>29</v>
      </c>
      <c r="D214" s="1">
        <f ca="1">OFFSET(控制台!$C$4617,MATCH(B214,控制台!$B$4617:$B$4629,0)-2,0)*控制台!$C$4610</f>
        <v>35000</v>
      </c>
      <c r="E214" s="1">
        <f ca="1">OFFSET(控制台!$C$4617,MATCH(B214,控制台!$B$4617:$B$4629,0)-1,0)*控制台!$C$4610</f>
        <v>40000</v>
      </c>
      <c r="F214" s="1">
        <f>(_xlfn.FLOOR.MATH((C214-1)/8)+1)/5</f>
        <v>0.8</v>
      </c>
      <c r="G214" s="4">
        <f ca="1">Lerp_dyy(D214,E214,F214)</f>
        <v>39000</v>
      </c>
      <c r="H214" s="1">
        <f ca="1">OFFSET(控制台!$E$4617,MATCH(B214,控制台!$B$4617:$B$4629,0)-2,0)*控制台!$C$4611</f>
        <v>40</v>
      </c>
      <c r="I214" s="1">
        <f ca="1">OFFSET(控制台!$E$4617,MATCH(B214,控制台!$B$4617:$B$4629,0)-1,0)*控制台!$C$4611</f>
        <v>40</v>
      </c>
      <c r="J214" s="1">
        <f>(_xlfn.FLOOR.MATH((C214-1)/20)+1)/2</f>
        <v>1</v>
      </c>
      <c r="K214" s="4">
        <f ca="1">IF(MOD(C214,4)=0,0,Lerp_dyy(H214,I214,J214))</f>
        <v>40</v>
      </c>
      <c r="L214" s="1">
        <f ca="1">OFFSET(控制台!$G$4617,MATCH(B214,控制台!$B$4617:$B$4629,0)-2,0)*控制台!$C$4612</f>
        <v>14</v>
      </c>
      <c r="M214" s="1">
        <f ca="1">OFFSET(控制台!$G$4617,MATCH(B214,控制台!$B$4617:$B$4629,0)-1,0)*控制台!$C$4612</f>
        <v>14</v>
      </c>
      <c r="N214" s="1">
        <v>1</v>
      </c>
      <c r="O214" s="4">
        <f ca="1">IF(MOD(C214,4)=0,Lerp_dyy(L214,M214,N214),0)</f>
        <v>0</v>
      </c>
    </row>
    <row r="215" spans="1:15">
      <c r="A215" s="1">
        <f t="shared" si="6"/>
        <v>630</v>
      </c>
      <c r="B215" s="1">
        <v>6</v>
      </c>
      <c r="C215" s="1">
        <v>30</v>
      </c>
      <c r="D215" s="1">
        <f ca="1">OFFSET(控制台!$C$4617,MATCH(B215,控制台!$B$4617:$B$4629,0)-2,0)*控制台!$C$4610</f>
        <v>35000</v>
      </c>
      <c r="E215" s="1">
        <f ca="1">OFFSET(控制台!$C$4617,MATCH(B215,控制台!$B$4617:$B$4629,0)-1,0)*控制台!$C$4610</f>
        <v>40000</v>
      </c>
      <c r="F215" s="1">
        <f>(_xlfn.FLOOR.MATH((C215-1)/8)+1)/5</f>
        <v>0.8</v>
      </c>
      <c r="G215" s="4">
        <f ca="1">Lerp_dyy(D215,E215,F215)</f>
        <v>39000</v>
      </c>
      <c r="H215" s="1">
        <f ca="1">OFFSET(控制台!$E$4617,MATCH(B215,控制台!$B$4617:$B$4629,0)-2,0)*控制台!$C$4611</f>
        <v>40</v>
      </c>
      <c r="I215" s="1">
        <f ca="1">OFFSET(控制台!$E$4617,MATCH(B215,控制台!$B$4617:$B$4629,0)-1,0)*控制台!$C$4611</f>
        <v>40</v>
      </c>
      <c r="J215" s="1">
        <f>(_xlfn.FLOOR.MATH((C215-1)/20)+1)/2</f>
        <v>1</v>
      </c>
      <c r="K215" s="4">
        <f ca="1">IF(MOD(C215,4)=0,0,Lerp_dyy(H215,I215,J215))</f>
        <v>40</v>
      </c>
      <c r="L215" s="1">
        <f ca="1">OFFSET(控制台!$G$4617,MATCH(B215,控制台!$B$4617:$B$4629,0)-2,0)*控制台!$C$4612</f>
        <v>14</v>
      </c>
      <c r="M215" s="1">
        <f ca="1">OFFSET(控制台!$G$4617,MATCH(B215,控制台!$B$4617:$B$4629,0)-1,0)*控制台!$C$4612</f>
        <v>14</v>
      </c>
      <c r="N215" s="1">
        <v>1</v>
      </c>
      <c r="O215" s="4">
        <f ca="1">IF(MOD(C215,4)=0,Lerp_dyy(L215,M215,N215),0)</f>
        <v>0</v>
      </c>
    </row>
    <row r="216" spans="1:15">
      <c r="A216" s="1">
        <f t="shared" si="6"/>
        <v>631</v>
      </c>
      <c r="B216" s="1">
        <v>6</v>
      </c>
      <c r="C216" s="1">
        <v>31</v>
      </c>
      <c r="D216" s="1">
        <f ca="1">OFFSET(控制台!$C$4617,MATCH(B216,控制台!$B$4617:$B$4629,0)-2,0)*控制台!$C$4610</f>
        <v>35000</v>
      </c>
      <c r="E216" s="1">
        <f ca="1">OFFSET(控制台!$C$4617,MATCH(B216,控制台!$B$4617:$B$4629,0)-1,0)*控制台!$C$4610</f>
        <v>40000</v>
      </c>
      <c r="F216" s="1">
        <f>(_xlfn.FLOOR.MATH((C216-1)/8)+1)/5</f>
        <v>0.8</v>
      </c>
      <c r="G216" s="4">
        <f ca="1">Lerp_dyy(D216,E216,F216)</f>
        <v>39000</v>
      </c>
      <c r="H216" s="1">
        <f ca="1">OFFSET(控制台!$E$4617,MATCH(B216,控制台!$B$4617:$B$4629,0)-2,0)*控制台!$C$4611</f>
        <v>40</v>
      </c>
      <c r="I216" s="1">
        <f ca="1">OFFSET(控制台!$E$4617,MATCH(B216,控制台!$B$4617:$B$4629,0)-1,0)*控制台!$C$4611</f>
        <v>40</v>
      </c>
      <c r="J216" s="1">
        <f>(_xlfn.FLOOR.MATH((C216-1)/20)+1)/2</f>
        <v>1</v>
      </c>
      <c r="K216" s="4">
        <f ca="1">IF(MOD(C216,4)=0,0,Lerp_dyy(H216,I216,J216))</f>
        <v>40</v>
      </c>
      <c r="L216" s="1">
        <f ca="1">OFFSET(控制台!$G$4617,MATCH(B216,控制台!$B$4617:$B$4629,0)-2,0)*控制台!$C$4612</f>
        <v>14</v>
      </c>
      <c r="M216" s="1">
        <f ca="1">OFFSET(控制台!$G$4617,MATCH(B216,控制台!$B$4617:$B$4629,0)-1,0)*控制台!$C$4612</f>
        <v>14</v>
      </c>
      <c r="N216" s="1">
        <v>1</v>
      </c>
      <c r="O216" s="4">
        <f ca="1">IF(MOD(C216,4)=0,Lerp_dyy(L216,M216,N216),0)</f>
        <v>0</v>
      </c>
    </row>
    <row r="217" spans="1:15">
      <c r="A217" s="1">
        <f t="shared" si="6"/>
        <v>632</v>
      </c>
      <c r="B217" s="1">
        <v>6</v>
      </c>
      <c r="C217" s="1">
        <v>32</v>
      </c>
      <c r="D217" s="1">
        <f ca="1">OFFSET(控制台!$C$4617,MATCH(B217,控制台!$B$4617:$B$4629,0)-2,0)*控制台!$C$4610</f>
        <v>35000</v>
      </c>
      <c r="E217" s="1">
        <f ca="1">OFFSET(控制台!$C$4617,MATCH(B217,控制台!$B$4617:$B$4629,0)-1,0)*控制台!$C$4610</f>
        <v>40000</v>
      </c>
      <c r="F217" s="1">
        <f>(_xlfn.FLOOR.MATH((C217-1)/8)+1)/5</f>
        <v>0.8</v>
      </c>
      <c r="G217" s="4">
        <f ca="1">Lerp_dyy(D217,E217,F217)</f>
        <v>39000</v>
      </c>
      <c r="H217" s="1">
        <f ca="1">OFFSET(控制台!$E$4617,MATCH(B217,控制台!$B$4617:$B$4629,0)-2,0)*控制台!$C$4611</f>
        <v>40</v>
      </c>
      <c r="I217" s="1">
        <f ca="1">OFFSET(控制台!$E$4617,MATCH(B217,控制台!$B$4617:$B$4629,0)-1,0)*控制台!$C$4611</f>
        <v>40</v>
      </c>
      <c r="J217" s="1">
        <f>(_xlfn.FLOOR.MATH((C217-1)/20)+1)/2</f>
        <v>1</v>
      </c>
      <c r="K217" s="4">
        <f ca="1">IF(MOD(C217,4)=0,0,Lerp_dyy(H217,I217,J217))</f>
        <v>0</v>
      </c>
      <c r="L217" s="1">
        <f ca="1">OFFSET(控制台!$G$4617,MATCH(B217,控制台!$B$4617:$B$4629,0)-2,0)*控制台!$C$4612</f>
        <v>14</v>
      </c>
      <c r="M217" s="1">
        <f ca="1">OFFSET(控制台!$G$4617,MATCH(B217,控制台!$B$4617:$B$4629,0)-1,0)*控制台!$C$4612</f>
        <v>14</v>
      </c>
      <c r="N217" s="1">
        <v>1</v>
      </c>
      <c r="O217" s="4">
        <f ca="1">IF(MOD(C217,4)=0,Lerp_dyy(L217,M217,N217),0)</f>
        <v>14</v>
      </c>
    </row>
    <row r="218" spans="1:15">
      <c r="A218" s="1">
        <f t="shared" si="6"/>
        <v>633</v>
      </c>
      <c r="B218" s="1">
        <v>6</v>
      </c>
      <c r="C218" s="1">
        <v>33</v>
      </c>
      <c r="D218" s="1">
        <f ca="1">OFFSET(控制台!$C$4617,MATCH(B218,控制台!$B$4617:$B$4629,0)-2,0)*控制台!$C$4610</f>
        <v>35000</v>
      </c>
      <c r="E218" s="1">
        <f ca="1">OFFSET(控制台!$C$4617,MATCH(B218,控制台!$B$4617:$B$4629,0)-1,0)*控制台!$C$4610</f>
        <v>40000</v>
      </c>
      <c r="F218" s="1">
        <f>(_xlfn.FLOOR.MATH((C218-1)/8)+1)/5</f>
        <v>1</v>
      </c>
      <c r="G218" s="4">
        <f ca="1">Lerp_dyy(D218,E218,F218)</f>
        <v>40000</v>
      </c>
      <c r="H218" s="1">
        <f ca="1">OFFSET(控制台!$E$4617,MATCH(B218,控制台!$B$4617:$B$4629,0)-2,0)*控制台!$C$4611</f>
        <v>40</v>
      </c>
      <c r="I218" s="1">
        <f ca="1">OFFSET(控制台!$E$4617,MATCH(B218,控制台!$B$4617:$B$4629,0)-1,0)*控制台!$C$4611</f>
        <v>40</v>
      </c>
      <c r="J218" s="1">
        <f>(_xlfn.FLOOR.MATH((C218-1)/20)+1)/2</f>
        <v>1</v>
      </c>
      <c r="K218" s="4">
        <f ca="1">IF(MOD(C218,4)=0,0,Lerp_dyy(H218,I218,J218))</f>
        <v>40</v>
      </c>
      <c r="L218" s="1">
        <f ca="1">OFFSET(控制台!$G$4617,MATCH(B218,控制台!$B$4617:$B$4629,0)-2,0)*控制台!$C$4612</f>
        <v>14</v>
      </c>
      <c r="M218" s="1">
        <f ca="1">OFFSET(控制台!$G$4617,MATCH(B218,控制台!$B$4617:$B$4629,0)-1,0)*控制台!$C$4612</f>
        <v>14</v>
      </c>
      <c r="N218" s="1">
        <v>1</v>
      </c>
      <c r="O218" s="4">
        <f ca="1">IF(MOD(C218,4)=0,Lerp_dyy(L218,M218,N218),0)</f>
        <v>0</v>
      </c>
    </row>
    <row r="219" spans="1:15">
      <c r="A219" s="1">
        <f t="shared" si="6"/>
        <v>634</v>
      </c>
      <c r="B219" s="1">
        <v>6</v>
      </c>
      <c r="C219" s="1">
        <v>34</v>
      </c>
      <c r="D219" s="1">
        <f ca="1">OFFSET(控制台!$C$4617,MATCH(B219,控制台!$B$4617:$B$4629,0)-2,0)*控制台!$C$4610</f>
        <v>35000</v>
      </c>
      <c r="E219" s="1">
        <f ca="1">OFFSET(控制台!$C$4617,MATCH(B219,控制台!$B$4617:$B$4629,0)-1,0)*控制台!$C$4610</f>
        <v>40000</v>
      </c>
      <c r="F219" s="1">
        <f>(_xlfn.FLOOR.MATH((C219-1)/8)+1)/5</f>
        <v>1</v>
      </c>
      <c r="G219" s="4">
        <f ca="1">Lerp_dyy(D219,E219,F219)</f>
        <v>40000</v>
      </c>
      <c r="H219" s="1">
        <f ca="1">OFFSET(控制台!$E$4617,MATCH(B219,控制台!$B$4617:$B$4629,0)-2,0)*控制台!$C$4611</f>
        <v>40</v>
      </c>
      <c r="I219" s="1">
        <f ca="1">OFFSET(控制台!$E$4617,MATCH(B219,控制台!$B$4617:$B$4629,0)-1,0)*控制台!$C$4611</f>
        <v>40</v>
      </c>
      <c r="J219" s="1">
        <f>(_xlfn.FLOOR.MATH((C219-1)/20)+1)/2</f>
        <v>1</v>
      </c>
      <c r="K219" s="4">
        <f ca="1">IF(MOD(C219,4)=0,0,Lerp_dyy(H219,I219,J219))</f>
        <v>40</v>
      </c>
      <c r="L219" s="1">
        <f ca="1">OFFSET(控制台!$G$4617,MATCH(B219,控制台!$B$4617:$B$4629,0)-2,0)*控制台!$C$4612</f>
        <v>14</v>
      </c>
      <c r="M219" s="1">
        <f ca="1">OFFSET(控制台!$G$4617,MATCH(B219,控制台!$B$4617:$B$4629,0)-1,0)*控制台!$C$4612</f>
        <v>14</v>
      </c>
      <c r="N219" s="1">
        <v>1</v>
      </c>
      <c r="O219" s="4">
        <f ca="1">IF(MOD(C219,4)=0,Lerp_dyy(L219,M219,N219),0)</f>
        <v>0</v>
      </c>
    </row>
    <row r="220" spans="1:15">
      <c r="A220" s="1">
        <f t="shared" si="6"/>
        <v>635</v>
      </c>
      <c r="B220" s="1">
        <v>6</v>
      </c>
      <c r="C220" s="1">
        <v>35</v>
      </c>
      <c r="D220" s="1">
        <f ca="1">OFFSET(控制台!$C$4617,MATCH(B220,控制台!$B$4617:$B$4629,0)-2,0)*控制台!$C$4610</f>
        <v>35000</v>
      </c>
      <c r="E220" s="1">
        <f ca="1">OFFSET(控制台!$C$4617,MATCH(B220,控制台!$B$4617:$B$4629,0)-1,0)*控制台!$C$4610</f>
        <v>40000</v>
      </c>
      <c r="F220" s="1">
        <f>(_xlfn.FLOOR.MATH((C220-1)/8)+1)/5</f>
        <v>1</v>
      </c>
      <c r="G220" s="4">
        <f ca="1">Lerp_dyy(D220,E220,F220)</f>
        <v>40000</v>
      </c>
      <c r="H220" s="1">
        <f ca="1">OFFSET(控制台!$E$4617,MATCH(B220,控制台!$B$4617:$B$4629,0)-2,0)*控制台!$C$4611</f>
        <v>40</v>
      </c>
      <c r="I220" s="1">
        <f ca="1">OFFSET(控制台!$E$4617,MATCH(B220,控制台!$B$4617:$B$4629,0)-1,0)*控制台!$C$4611</f>
        <v>40</v>
      </c>
      <c r="J220" s="1">
        <f>(_xlfn.FLOOR.MATH((C220-1)/20)+1)/2</f>
        <v>1</v>
      </c>
      <c r="K220" s="4">
        <f ca="1">IF(MOD(C220,4)=0,0,Lerp_dyy(H220,I220,J220))</f>
        <v>40</v>
      </c>
      <c r="L220" s="1">
        <f ca="1">OFFSET(控制台!$G$4617,MATCH(B220,控制台!$B$4617:$B$4629,0)-2,0)*控制台!$C$4612</f>
        <v>14</v>
      </c>
      <c r="M220" s="1">
        <f ca="1">OFFSET(控制台!$G$4617,MATCH(B220,控制台!$B$4617:$B$4629,0)-1,0)*控制台!$C$4612</f>
        <v>14</v>
      </c>
      <c r="N220" s="1">
        <v>1</v>
      </c>
      <c r="O220" s="4">
        <f ca="1">IF(MOD(C220,4)=0,Lerp_dyy(L220,M220,N220),0)</f>
        <v>0</v>
      </c>
    </row>
    <row r="221" spans="1:15">
      <c r="A221" s="1">
        <f t="shared" si="6"/>
        <v>636</v>
      </c>
      <c r="B221" s="1">
        <v>6</v>
      </c>
      <c r="C221" s="1">
        <v>36</v>
      </c>
      <c r="D221" s="1">
        <f ca="1">OFFSET(控制台!$C$4617,MATCH(B221,控制台!$B$4617:$B$4629,0)-2,0)*控制台!$C$4610</f>
        <v>35000</v>
      </c>
      <c r="E221" s="1">
        <f ca="1">OFFSET(控制台!$C$4617,MATCH(B221,控制台!$B$4617:$B$4629,0)-1,0)*控制台!$C$4610</f>
        <v>40000</v>
      </c>
      <c r="F221" s="1">
        <f>(_xlfn.FLOOR.MATH((C221-1)/8)+1)/5</f>
        <v>1</v>
      </c>
      <c r="G221" s="4">
        <f ca="1">Lerp_dyy(D221,E221,F221)</f>
        <v>40000</v>
      </c>
      <c r="H221" s="1">
        <f ca="1">OFFSET(控制台!$E$4617,MATCH(B221,控制台!$B$4617:$B$4629,0)-2,0)*控制台!$C$4611</f>
        <v>40</v>
      </c>
      <c r="I221" s="1">
        <f ca="1">OFFSET(控制台!$E$4617,MATCH(B221,控制台!$B$4617:$B$4629,0)-1,0)*控制台!$C$4611</f>
        <v>40</v>
      </c>
      <c r="J221" s="1">
        <f>(_xlfn.FLOOR.MATH((C221-1)/20)+1)/2</f>
        <v>1</v>
      </c>
      <c r="K221" s="4">
        <f ca="1">IF(MOD(C221,4)=0,0,Lerp_dyy(H221,I221,J221))</f>
        <v>0</v>
      </c>
      <c r="L221" s="1">
        <f ca="1">OFFSET(控制台!$G$4617,MATCH(B221,控制台!$B$4617:$B$4629,0)-2,0)*控制台!$C$4612</f>
        <v>14</v>
      </c>
      <c r="M221" s="1">
        <f ca="1">OFFSET(控制台!$G$4617,MATCH(B221,控制台!$B$4617:$B$4629,0)-1,0)*控制台!$C$4612</f>
        <v>14</v>
      </c>
      <c r="N221" s="1">
        <v>1</v>
      </c>
      <c r="O221" s="4">
        <f ca="1">IF(MOD(C221,4)=0,Lerp_dyy(L221,M221,N221),0)</f>
        <v>14</v>
      </c>
    </row>
    <row r="222" spans="1:15">
      <c r="A222" s="1">
        <f t="shared" si="6"/>
        <v>637</v>
      </c>
      <c r="B222" s="1">
        <v>6</v>
      </c>
      <c r="C222" s="1">
        <v>37</v>
      </c>
      <c r="D222" s="1">
        <f ca="1">OFFSET(控制台!$C$4617,MATCH(B222,控制台!$B$4617:$B$4629,0)-2,0)*控制台!$C$4610</f>
        <v>35000</v>
      </c>
      <c r="E222" s="1">
        <f ca="1">OFFSET(控制台!$C$4617,MATCH(B222,控制台!$B$4617:$B$4629,0)-1,0)*控制台!$C$4610</f>
        <v>40000</v>
      </c>
      <c r="F222" s="1">
        <f>(_xlfn.FLOOR.MATH((C222-1)/8)+1)/5</f>
        <v>1</v>
      </c>
      <c r="G222" s="4">
        <f ca="1">Lerp_dyy(D222,E222,F222)</f>
        <v>40000</v>
      </c>
      <c r="H222" s="1">
        <f ca="1">OFFSET(控制台!$E$4617,MATCH(B222,控制台!$B$4617:$B$4629,0)-2,0)*控制台!$C$4611</f>
        <v>40</v>
      </c>
      <c r="I222" s="1">
        <f ca="1">OFFSET(控制台!$E$4617,MATCH(B222,控制台!$B$4617:$B$4629,0)-1,0)*控制台!$C$4611</f>
        <v>40</v>
      </c>
      <c r="J222" s="1">
        <f>(_xlfn.FLOOR.MATH((C222-1)/20)+1)/2</f>
        <v>1</v>
      </c>
      <c r="K222" s="4">
        <f ca="1">IF(MOD(C222,4)=0,0,Lerp_dyy(H222,I222,J222))</f>
        <v>40</v>
      </c>
      <c r="L222" s="1">
        <f ca="1">OFFSET(控制台!$G$4617,MATCH(B222,控制台!$B$4617:$B$4629,0)-2,0)*控制台!$C$4612</f>
        <v>14</v>
      </c>
      <c r="M222" s="1">
        <f ca="1">OFFSET(控制台!$G$4617,MATCH(B222,控制台!$B$4617:$B$4629,0)-1,0)*控制台!$C$4612</f>
        <v>14</v>
      </c>
      <c r="N222" s="1">
        <v>1</v>
      </c>
      <c r="O222" s="4">
        <f ca="1">IF(MOD(C222,4)=0,Lerp_dyy(L222,M222,N222),0)</f>
        <v>0</v>
      </c>
    </row>
    <row r="223" spans="1:15">
      <c r="A223" s="1">
        <f t="shared" si="6"/>
        <v>638</v>
      </c>
      <c r="B223" s="1">
        <v>6</v>
      </c>
      <c r="C223" s="1">
        <v>38</v>
      </c>
      <c r="D223" s="1">
        <f ca="1">OFFSET(控制台!$C$4617,MATCH(B223,控制台!$B$4617:$B$4629,0)-2,0)*控制台!$C$4610</f>
        <v>35000</v>
      </c>
      <c r="E223" s="1">
        <f ca="1">OFFSET(控制台!$C$4617,MATCH(B223,控制台!$B$4617:$B$4629,0)-1,0)*控制台!$C$4610</f>
        <v>40000</v>
      </c>
      <c r="F223" s="1">
        <f>(_xlfn.FLOOR.MATH((C223-1)/8)+1)/5</f>
        <v>1</v>
      </c>
      <c r="G223" s="4">
        <f ca="1">Lerp_dyy(D223,E223,F223)</f>
        <v>40000</v>
      </c>
      <c r="H223" s="1">
        <f ca="1">OFFSET(控制台!$E$4617,MATCH(B223,控制台!$B$4617:$B$4629,0)-2,0)*控制台!$C$4611</f>
        <v>40</v>
      </c>
      <c r="I223" s="1">
        <f ca="1">OFFSET(控制台!$E$4617,MATCH(B223,控制台!$B$4617:$B$4629,0)-1,0)*控制台!$C$4611</f>
        <v>40</v>
      </c>
      <c r="J223" s="1">
        <f>(_xlfn.FLOOR.MATH((C223-1)/20)+1)/2</f>
        <v>1</v>
      </c>
      <c r="K223" s="4">
        <f ca="1">IF(MOD(C223,4)=0,0,Lerp_dyy(H223,I223,J223))</f>
        <v>40</v>
      </c>
      <c r="L223" s="1">
        <f ca="1">OFFSET(控制台!$G$4617,MATCH(B223,控制台!$B$4617:$B$4629,0)-2,0)*控制台!$C$4612</f>
        <v>14</v>
      </c>
      <c r="M223" s="1">
        <f ca="1">OFFSET(控制台!$G$4617,MATCH(B223,控制台!$B$4617:$B$4629,0)-1,0)*控制台!$C$4612</f>
        <v>14</v>
      </c>
      <c r="N223" s="1">
        <v>1</v>
      </c>
      <c r="O223" s="4">
        <f ca="1">IF(MOD(C223,4)=0,Lerp_dyy(L223,M223,N223),0)</f>
        <v>0</v>
      </c>
    </row>
    <row r="224" spans="1:15">
      <c r="A224" s="1">
        <f t="shared" si="6"/>
        <v>639</v>
      </c>
      <c r="B224" s="1">
        <v>6</v>
      </c>
      <c r="C224" s="1">
        <v>39</v>
      </c>
      <c r="D224" s="1">
        <f ca="1">OFFSET(控制台!$C$4617,MATCH(B224,控制台!$B$4617:$B$4629,0)-2,0)*控制台!$C$4610</f>
        <v>35000</v>
      </c>
      <c r="E224" s="1">
        <f ca="1">OFFSET(控制台!$C$4617,MATCH(B224,控制台!$B$4617:$B$4629,0)-1,0)*控制台!$C$4610</f>
        <v>40000</v>
      </c>
      <c r="F224" s="1">
        <f>(_xlfn.FLOOR.MATH((C224-1)/8)+1)/5</f>
        <v>1</v>
      </c>
      <c r="G224" s="4">
        <f ca="1">Lerp_dyy(D224,E224,F224)</f>
        <v>40000</v>
      </c>
      <c r="H224" s="1">
        <f ca="1">OFFSET(控制台!$E$4617,MATCH(B224,控制台!$B$4617:$B$4629,0)-2,0)*控制台!$C$4611</f>
        <v>40</v>
      </c>
      <c r="I224" s="1">
        <f ca="1">OFFSET(控制台!$E$4617,MATCH(B224,控制台!$B$4617:$B$4629,0)-1,0)*控制台!$C$4611</f>
        <v>40</v>
      </c>
      <c r="J224" s="1">
        <f>(_xlfn.FLOOR.MATH((C224-1)/20)+1)/2</f>
        <v>1</v>
      </c>
      <c r="K224" s="4">
        <f ca="1">IF(MOD(C224,4)=0,0,Lerp_dyy(H224,I224,J224))</f>
        <v>40</v>
      </c>
      <c r="L224" s="1">
        <f ca="1">OFFSET(控制台!$G$4617,MATCH(B224,控制台!$B$4617:$B$4629,0)-2,0)*控制台!$C$4612</f>
        <v>14</v>
      </c>
      <c r="M224" s="1">
        <f ca="1">OFFSET(控制台!$G$4617,MATCH(B224,控制台!$B$4617:$B$4629,0)-1,0)*控制台!$C$4612</f>
        <v>14</v>
      </c>
      <c r="N224" s="1">
        <v>1</v>
      </c>
      <c r="O224" s="4">
        <f ca="1">IF(MOD(C224,4)=0,Lerp_dyy(L224,M224,N224),0)</f>
        <v>0</v>
      </c>
    </row>
    <row r="225" spans="1:15">
      <c r="A225" s="1">
        <f t="shared" si="6"/>
        <v>640</v>
      </c>
      <c r="B225" s="1">
        <v>6</v>
      </c>
      <c r="C225" s="1">
        <v>40</v>
      </c>
      <c r="D225" s="1">
        <f ca="1">OFFSET(控制台!$C$4617,MATCH(B225,控制台!$B$4617:$B$4629,0)-2,0)*控制台!$C$4610</f>
        <v>35000</v>
      </c>
      <c r="E225" s="1">
        <f ca="1">OFFSET(控制台!$C$4617,MATCH(B225,控制台!$B$4617:$B$4629,0)-1,0)*控制台!$C$4610</f>
        <v>40000</v>
      </c>
      <c r="F225" s="1">
        <f>(_xlfn.FLOOR.MATH((C225-1)/8)+1)/5</f>
        <v>1</v>
      </c>
      <c r="G225" s="4">
        <f ca="1">Lerp_dyy(D225,E225,F225)</f>
        <v>40000</v>
      </c>
      <c r="H225" s="1">
        <f ca="1">OFFSET(控制台!$E$4617,MATCH(B225,控制台!$B$4617:$B$4629,0)-2,0)*控制台!$C$4611</f>
        <v>40</v>
      </c>
      <c r="I225" s="1">
        <f ca="1">OFFSET(控制台!$E$4617,MATCH(B225,控制台!$B$4617:$B$4629,0)-1,0)*控制台!$C$4611</f>
        <v>40</v>
      </c>
      <c r="J225" s="1">
        <f>(_xlfn.FLOOR.MATH((C225-1)/20)+1)/2</f>
        <v>1</v>
      </c>
      <c r="K225" s="4">
        <f ca="1">IF(MOD(C225,4)=0,0,Lerp_dyy(H225,I225,J225))</f>
        <v>0</v>
      </c>
      <c r="L225" s="1">
        <f ca="1">OFFSET(控制台!$G$4617,MATCH(B225,控制台!$B$4617:$B$4629,0)-2,0)*控制台!$C$4612</f>
        <v>14</v>
      </c>
      <c r="M225" s="1">
        <f ca="1">OFFSET(控制台!$G$4617,MATCH(B225,控制台!$B$4617:$B$4629,0)-1,0)*控制台!$C$4612</f>
        <v>14</v>
      </c>
      <c r="N225" s="1">
        <v>1</v>
      </c>
      <c r="O225" s="4">
        <f ca="1">IF(MOD(C225,4)=0,Lerp_dyy(L225,M225,N225),0)</f>
        <v>14</v>
      </c>
    </row>
    <row r="226" spans="1:15">
      <c r="A226" s="1">
        <f t="shared" si="6"/>
        <v>701</v>
      </c>
      <c r="B226" s="1">
        <v>7</v>
      </c>
      <c r="C226" s="1">
        <v>1</v>
      </c>
      <c r="D226" s="1">
        <f ca="1">OFFSET(控制台!$C$4617,MATCH(B226,控制台!$B$4617:$B$4629,0)-2,0)*控制台!$C$4610</f>
        <v>40000</v>
      </c>
      <c r="E226" s="1">
        <f ca="1">OFFSET(控制台!$C$4617,MATCH(B226,控制台!$B$4617:$B$4629,0)-1,0)*控制台!$C$4610</f>
        <v>50000</v>
      </c>
      <c r="F226" s="1">
        <f>(_xlfn.FLOOR.MATH((C226-1)/8)+1)/5</f>
        <v>0.2</v>
      </c>
      <c r="G226" s="4">
        <f ca="1">Lerp_dyy(D226,E226,F226)</f>
        <v>42000</v>
      </c>
      <c r="H226" s="1">
        <f ca="1">OFFSET(控制台!$E$4617,MATCH(B226,控制台!$B$4617:$B$4629,0)-2,0)*控制台!$C$4611</f>
        <v>40</v>
      </c>
      <c r="I226" s="1">
        <f ca="1">OFFSET(控制台!$E$4617,MATCH(B226,控制台!$B$4617:$B$4629,0)-1,0)*控制台!$C$4611</f>
        <v>60</v>
      </c>
      <c r="J226" s="1">
        <f>(_xlfn.FLOOR.MATH((C226-1)/20)+1)/2</f>
        <v>0.5</v>
      </c>
      <c r="K226" s="4">
        <f ca="1">IF(MOD(C226,4)=0,0,Lerp_dyy(H226,I226,J226))</f>
        <v>50</v>
      </c>
      <c r="L226" s="1">
        <f ca="1">OFFSET(控制台!$G$4617,MATCH(B226,控制台!$B$4617:$B$4629,0)-2,0)*控制台!$C$4612</f>
        <v>14</v>
      </c>
      <c r="M226" s="1">
        <f ca="1">OFFSET(控制台!$G$4617,MATCH(B226,控制台!$B$4617:$B$4629,0)-1,0)*控制台!$C$4612</f>
        <v>16</v>
      </c>
      <c r="N226" s="1">
        <v>1</v>
      </c>
      <c r="O226" s="4">
        <f ca="1">IF(MOD(C226,4)=0,Lerp_dyy(L226,M226,N226),0)</f>
        <v>0</v>
      </c>
    </row>
    <row r="227" spans="1:15">
      <c r="A227" s="1">
        <f t="shared" si="6"/>
        <v>702</v>
      </c>
      <c r="B227" s="1">
        <v>7</v>
      </c>
      <c r="C227" s="1">
        <v>2</v>
      </c>
      <c r="D227" s="1">
        <f ca="1">OFFSET(控制台!$C$4617,MATCH(B227,控制台!$B$4617:$B$4629,0)-2,0)*控制台!$C$4610</f>
        <v>40000</v>
      </c>
      <c r="E227" s="1">
        <f ca="1">OFFSET(控制台!$C$4617,MATCH(B227,控制台!$B$4617:$B$4629,0)-1,0)*控制台!$C$4610</f>
        <v>50000</v>
      </c>
      <c r="F227" s="1">
        <f>(_xlfn.FLOOR.MATH((C227-1)/8)+1)/5</f>
        <v>0.2</v>
      </c>
      <c r="G227" s="4">
        <f ca="1">Lerp_dyy(D227,E227,F227)</f>
        <v>42000</v>
      </c>
      <c r="H227" s="1">
        <f ca="1">OFFSET(控制台!$E$4617,MATCH(B227,控制台!$B$4617:$B$4629,0)-2,0)*控制台!$C$4611</f>
        <v>40</v>
      </c>
      <c r="I227" s="1">
        <f ca="1">OFFSET(控制台!$E$4617,MATCH(B227,控制台!$B$4617:$B$4629,0)-1,0)*控制台!$C$4611</f>
        <v>60</v>
      </c>
      <c r="J227" s="1">
        <f>(_xlfn.FLOOR.MATH((C227-1)/20)+1)/2</f>
        <v>0.5</v>
      </c>
      <c r="K227" s="4">
        <f ca="1">IF(MOD(C227,4)=0,0,Lerp_dyy(H227,I227,J227))</f>
        <v>50</v>
      </c>
      <c r="L227" s="1">
        <f ca="1">OFFSET(控制台!$G$4617,MATCH(B227,控制台!$B$4617:$B$4629,0)-2,0)*控制台!$C$4612</f>
        <v>14</v>
      </c>
      <c r="M227" s="1">
        <f ca="1">OFFSET(控制台!$G$4617,MATCH(B227,控制台!$B$4617:$B$4629,0)-1,0)*控制台!$C$4612</f>
        <v>16</v>
      </c>
      <c r="N227" s="1">
        <v>1</v>
      </c>
      <c r="O227" s="4">
        <f ca="1">IF(MOD(C227,4)=0,Lerp_dyy(L227,M227,N227),0)</f>
        <v>0</v>
      </c>
    </row>
    <row r="228" spans="1:15">
      <c r="A228" s="1">
        <f t="shared" si="6"/>
        <v>703</v>
      </c>
      <c r="B228" s="1">
        <v>7</v>
      </c>
      <c r="C228" s="1">
        <v>3</v>
      </c>
      <c r="D228" s="1">
        <f ca="1">OFFSET(控制台!$C$4617,MATCH(B228,控制台!$B$4617:$B$4629,0)-2,0)*控制台!$C$4610</f>
        <v>40000</v>
      </c>
      <c r="E228" s="1">
        <f ca="1">OFFSET(控制台!$C$4617,MATCH(B228,控制台!$B$4617:$B$4629,0)-1,0)*控制台!$C$4610</f>
        <v>50000</v>
      </c>
      <c r="F228" s="1">
        <f>(_xlfn.FLOOR.MATH((C228-1)/8)+1)/5</f>
        <v>0.2</v>
      </c>
      <c r="G228" s="4">
        <f ca="1">Lerp_dyy(D228,E228,F228)</f>
        <v>42000</v>
      </c>
      <c r="H228" s="1">
        <f ca="1">OFFSET(控制台!$E$4617,MATCH(B228,控制台!$B$4617:$B$4629,0)-2,0)*控制台!$C$4611</f>
        <v>40</v>
      </c>
      <c r="I228" s="1">
        <f ca="1">OFFSET(控制台!$E$4617,MATCH(B228,控制台!$B$4617:$B$4629,0)-1,0)*控制台!$C$4611</f>
        <v>60</v>
      </c>
      <c r="J228" s="1">
        <f>(_xlfn.FLOOR.MATH((C228-1)/20)+1)/2</f>
        <v>0.5</v>
      </c>
      <c r="K228" s="4">
        <f ca="1">IF(MOD(C228,4)=0,0,Lerp_dyy(H228,I228,J228))</f>
        <v>50</v>
      </c>
      <c r="L228" s="1">
        <f ca="1">OFFSET(控制台!$G$4617,MATCH(B228,控制台!$B$4617:$B$4629,0)-2,0)*控制台!$C$4612</f>
        <v>14</v>
      </c>
      <c r="M228" s="1">
        <f ca="1">OFFSET(控制台!$G$4617,MATCH(B228,控制台!$B$4617:$B$4629,0)-1,0)*控制台!$C$4612</f>
        <v>16</v>
      </c>
      <c r="N228" s="1">
        <v>1</v>
      </c>
      <c r="O228" s="4">
        <f ca="1">IF(MOD(C228,4)=0,Lerp_dyy(L228,M228,N228),0)</f>
        <v>0</v>
      </c>
    </row>
    <row r="229" spans="1:15">
      <c r="A229" s="1">
        <f t="shared" si="6"/>
        <v>704</v>
      </c>
      <c r="B229" s="1">
        <v>7</v>
      </c>
      <c r="C229" s="1">
        <v>4</v>
      </c>
      <c r="D229" s="1">
        <f ca="1">OFFSET(控制台!$C$4617,MATCH(B229,控制台!$B$4617:$B$4629,0)-2,0)*控制台!$C$4610</f>
        <v>40000</v>
      </c>
      <c r="E229" s="1">
        <f ca="1">OFFSET(控制台!$C$4617,MATCH(B229,控制台!$B$4617:$B$4629,0)-1,0)*控制台!$C$4610</f>
        <v>50000</v>
      </c>
      <c r="F229" s="1">
        <f>(_xlfn.FLOOR.MATH((C229-1)/8)+1)/5</f>
        <v>0.2</v>
      </c>
      <c r="G229" s="4">
        <f ca="1">Lerp_dyy(D229,E229,F229)</f>
        <v>42000</v>
      </c>
      <c r="H229" s="1">
        <f ca="1">OFFSET(控制台!$E$4617,MATCH(B229,控制台!$B$4617:$B$4629,0)-2,0)*控制台!$C$4611</f>
        <v>40</v>
      </c>
      <c r="I229" s="1">
        <f ca="1">OFFSET(控制台!$E$4617,MATCH(B229,控制台!$B$4617:$B$4629,0)-1,0)*控制台!$C$4611</f>
        <v>60</v>
      </c>
      <c r="J229" s="1">
        <f>(_xlfn.FLOOR.MATH((C229-1)/20)+1)/2</f>
        <v>0.5</v>
      </c>
      <c r="K229" s="4">
        <f ca="1">IF(MOD(C229,4)=0,0,Lerp_dyy(H229,I229,J229))</f>
        <v>0</v>
      </c>
      <c r="L229" s="1">
        <f ca="1">OFFSET(控制台!$G$4617,MATCH(B229,控制台!$B$4617:$B$4629,0)-2,0)*控制台!$C$4612</f>
        <v>14</v>
      </c>
      <c r="M229" s="1">
        <f ca="1">OFFSET(控制台!$G$4617,MATCH(B229,控制台!$B$4617:$B$4629,0)-1,0)*控制台!$C$4612</f>
        <v>16</v>
      </c>
      <c r="N229" s="1">
        <v>1</v>
      </c>
      <c r="O229" s="4">
        <f ca="1">IF(MOD(C229,4)=0,Lerp_dyy(L229,M229,N229),0)</f>
        <v>16</v>
      </c>
    </row>
    <row r="230" spans="1:15">
      <c r="A230" s="1">
        <f t="shared" si="6"/>
        <v>705</v>
      </c>
      <c r="B230" s="1">
        <v>7</v>
      </c>
      <c r="C230" s="1">
        <v>5</v>
      </c>
      <c r="D230" s="1">
        <f ca="1">OFFSET(控制台!$C$4617,MATCH(B230,控制台!$B$4617:$B$4629,0)-2,0)*控制台!$C$4610</f>
        <v>40000</v>
      </c>
      <c r="E230" s="1">
        <f ca="1">OFFSET(控制台!$C$4617,MATCH(B230,控制台!$B$4617:$B$4629,0)-1,0)*控制台!$C$4610</f>
        <v>50000</v>
      </c>
      <c r="F230" s="1">
        <f>(_xlfn.FLOOR.MATH((C230-1)/8)+1)/5</f>
        <v>0.2</v>
      </c>
      <c r="G230" s="4">
        <f ca="1">Lerp_dyy(D230,E230,F230)</f>
        <v>42000</v>
      </c>
      <c r="H230" s="1">
        <f ca="1">OFFSET(控制台!$E$4617,MATCH(B230,控制台!$B$4617:$B$4629,0)-2,0)*控制台!$C$4611</f>
        <v>40</v>
      </c>
      <c r="I230" s="1">
        <f ca="1">OFFSET(控制台!$E$4617,MATCH(B230,控制台!$B$4617:$B$4629,0)-1,0)*控制台!$C$4611</f>
        <v>60</v>
      </c>
      <c r="J230" s="1">
        <f>(_xlfn.FLOOR.MATH((C230-1)/20)+1)/2</f>
        <v>0.5</v>
      </c>
      <c r="K230" s="4">
        <f ca="1">IF(MOD(C230,4)=0,0,Lerp_dyy(H230,I230,J230))</f>
        <v>50</v>
      </c>
      <c r="L230" s="1">
        <f ca="1">OFFSET(控制台!$G$4617,MATCH(B230,控制台!$B$4617:$B$4629,0)-2,0)*控制台!$C$4612</f>
        <v>14</v>
      </c>
      <c r="M230" s="1">
        <f ca="1">OFFSET(控制台!$G$4617,MATCH(B230,控制台!$B$4617:$B$4629,0)-1,0)*控制台!$C$4612</f>
        <v>16</v>
      </c>
      <c r="N230" s="1">
        <v>1</v>
      </c>
      <c r="O230" s="4">
        <f ca="1">IF(MOD(C230,4)=0,Lerp_dyy(L230,M230,N230),0)</f>
        <v>0</v>
      </c>
    </row>
    <row r="231" spans="1:15">
      <c r="A231" s="1">
        <f t="shared" ref="A231:A285" si="7">B231*100+C231</f>
        <v>706</v>
      </c>
      <c r="B231" s="1">
        <v>7</v>
      </c>
      <c r="C231" s="1">
        <v>6</v>
      </c>
      <c r="D231" s="1">
        <f ca="1">OFFSET(控制台!$C$4617,MATCH(B231,控制台!$B$4617:$B$4629,0)-2,0)*控制台!$C$4610</f>
        <v>40000</v>
      </c>
      <c r="E231" s="1">
        <f ca="1">OFFSET(控制台!$C$4617,MATCH(B231,控制台!$B$4617:$B$4629,0)-1,0)*控制台!$C$4610</f>
        <v>50000</v>
      </c>
      <c r="F231" s="1">
        <f>(_xlfn.FLOOR.MATH((C231-1)/8)+1)/5</f>
        <v>0.2</v>
      </c>
      <c r="G231" s="4">
        <f ca="1">Lerp_dyy(D231,E231,F231)</f>
        <v>42000</v>
      </c>
      <c r="H231" s="1">
        <f ca="1">OFFSET(控制台!$E$4617,MATCH(B231,控制台!$B$4617:$B$4629,0)-2,0)*控制台!$C$4611</f>
        <v>40</v>
      </c>
      <c r="I231" s="1">
        <f ca="1">OFFSET(控制台!$E$4617,MATCH(B231,控制台!$B$4617:$B$4629,0)-1,0)*控制台!$C$4611</f>
        <v>60</v>
      </c>
      <c r="J231" s="1">
        <f>(_xlfn.FLOOR.MATH((C231-1)/20)+1)/2</f>
        <v>0.5</v>
      </c>
      <c r="K231" s="4">
        <f ca="1">IF(MOD(C231,4)=0,0,Lerp_dyy(H231,I231,J231))</f>
        <v>50</v>
      </c>
      <c r="L231" s="1">
        <f ca="1">OFFSET(控制台!$G$4617,MATCH(B231,控制台!$B$4617:$B$4629,0)-2,0)*控制台!$C$4612</f>
        <v>14</v>
      </c>
      <c r="M231" s="1">
        <f ca="1">OFFSET(控制台!$G$4617,MATCH(B231,控制台!$B$4617:$B$4629,0)-1,0)*控制台!$C$4612</f>
        <v>16</v>
      </c>
      <c r="N231" s="1">
        <v>1</v>
      </c>
      <c r="O231" s="4">
        <f ca="1">IF(MOD(C231,4)=0,Lerp_dyy(L231,M231,N231),0)</f>
        <v>0</v>
      </c>
    </row>
    <row r="232" spans="1:15">
      <c r="A232" s="1">
        <f t="shared" si="7"/>
        <v>707</v>
      </c>
      <c r="B232" s="1">
        <v>7</v>
      </c>
      <c r="C232" s="1">
        <v>7</v>
      </c>
      <c r="D232" s="1">
        <f ca="1">OFFSET(控制台!$C$4617,MATCH(B232,控制台!$B$4617:$B$4629,0)-2,0)*控制台!$C$4610</f>
        <v>40000</v>
      </c>
      <c r="E232" s="1">
        <f ca="1">OFFSET(控制台!$C$4617,MATCH(B232,控制台!$B$4617:$B$4629,0)-1,0)*控制台!$C$4610</f>
        <v>50000</v>
      </c>
      <c r="F232" s="1">
        <f>(_xlfn.FLOOR.MATH((C232-1)/8)+1)/5</f>
        <v>0.2</v>
      </c>
      <c r="G232" s="4">
        <f ca="1">Lerp_dyy(D232,E232,F232)</f>
        <v>42000</v>
      </c>
      <c r="H232" s="1">
        <f ca="1">OFFSET(控制台!$E$4617,MATCH(B232,控制台!$B$4617:$B$4629,0)-2,0)*控制台!$C$4611</f>
        <v>40</v>
      </c>
      <c r="I232" s="1">
        <f ca="1">OFFSET(控制台!$E$4617,MATCH(B232,控制台!$B$4617:$B$4629,0)-1,0)*控制台!$C$4611</f>
        <v>60</v>
      </c>
      <c r="J232" s="1">
        <f>(_xlfn.FLOOR.MATH((C232-1)/20)+1)/2</f>
        <v>0.5</v>
      </c>
      <c r="K232" s="4">
        <f ca="1">IF(MOD(C232,4)=0,0,Lerp_dyy(H232,I232,J232))</f>
        <v>50</v>
      </c>
      <c r="L232" s="1">
        <f ca="1">OFFSET(控制台!$G$4617,MATCH(B232,控制台!$B$4617:$B$4629,0)-2,0)*控制台!$C$4612</f>
        <v>14</v>
      </c>
      <c r="M232" s="1">
        <f ca="1">OFFSET(控制台!$G$4617,MATCH(B232,控制台!$B$4617:$B$4629,0)-1,0)*控制台!$C$4612</f>
        <v>16</v>
      </c>
      <c r="N232" s="1">
        <v>1</v>
      </c>
      <c r="O232" s="4">
        <f ca="1">IF(MOD(C232,4)=0,Lerp_dyy(L232,M232,N232),0)</f>
        <v>0</v>
      </c>
    </row>
    <row r="233" spans="1:15">
      <c r="A233" s="1">
        <f t="shared" si="7"/>
        <v>708</v>
      </c>
      <c r="B233" s="1">
        <v>7</v>
      </c>
      <c r="C233" s="1">
        <v>8</v>
      </c>
      <c r="D233" s="1">
        <f ca="1">OFFSET(控制台!$C$4617,MATCH(B233,控制台!$B$4617:$B$4629,0)-2,0)*控制台!$C$4610</f>
        <v>40000</v>
      </c>
      <c r="E233" s="1">
        <f ca="1">OFFSET(控制台!$C$4617,MATCH(B233,控制台!$B$4617:$B$4629,0)-1,0)*控制台!$C$4610</f>
        <v>50000</v>
      </c>
      <c r="F233" s="1">
        <f>(_xlfn.FLOOR.MATH((C233-1)/8)+1)/5</f>
        <v>0.2</v>
      </c>
      <c r="G233" s="4">
        <f ca="1">Lerp_dyy(D233,E233,F233)</f>
        <v>42000</v>
      </c>
      <c r="H233" s="1">
        <f ca="1">OFFSET(控制台!$E$4617,MATCH(B233,控制台!$B$4617:$B$4629,0)-2,0)*控制台!$C$4611</f>
        <v>40</v>
      </c>
      <c r="I233" s="1">
        <f ca="1">OFFSET(控制台!$E$4617,MATCH(B233,控制台!$B$4617:$B$4629,0)-1,0)*控制台!$C$4611</f>
        <v>60</v>
      </c>
      <c r="J233" s="1">
        <f>(_xlfn.FLOOR.MATH((C233-1)/20)+1)/2</f>
        <v>0.5</v>
      </c>
      <c r="K233" s="4">
        <f ca="1">IF(MOD(C233,4)=0,0,Lerp_dyy(H233,I233,J233))</f>
        <v>0</v>
      </c>
      <c r="L233" s="1">
        <f ca="1">OFFSET(控制台!$G$4617,MATCH(B233,控制台!$B$4617:$B$4629,0)-2,0)*控制台!$C$4612</f>
        <v>14</v>
      </c>
      <c r="M233" s="1">
        <f ca="1">OFFSET(控制台!$G$4617,MATCH(B233,控制台!$B$4617:$B$4629,0)-1,0)*控制台!$C$4612</f>
        <v>16</v>
      </c>
      <c r="N233" s="1">
        <v>1</v>
      </c>
      <c r="O233" s="4">
        <f ca="1">IF(MOD(C233,4)=0,Lerp_dyy(L233,M233,N233),0)</f>
        <v>16</v>
      </c>
    </row>
    <row r="234" spans="1:15">
      <c r="A234" s="1">
        <f t="shared" si="7"/>
        <v>709</v>
      </c>
      <c r="B234" s="1">
        <v>7</v>
      </c>
      <c r="C234" s="1">
        <v>9</v>
      </c>
      <c r="D234" s="1">
        <f ca="1">OFFSET(控制台!$C$4617,MATCH(B234,控制台!$B$4617:$B$4629,0)-2,0)*控制台!$C$4610</f>
        <v>40000</v>
      </c>
      <c r="E234" s="1">
        <f ca="1">OFFSET(控制台!$C$4617,MATCH(B234,控制台!$B$4617:$B$4629,0)-1,0)*控制台!$C$4610</f>
        <v>50000</v>
      </c>
      <c r="F234" s="1">
        <f>(_xlfn.FLOOR.MATH((C234-1)/8)+1)/5</f>
        <v>0.4</v>
      </c>
      <c r="G234" s="4">
        <f ca="1">Lerp_dyy(D234,E234,F234)</f>
        <v>44000</v>
      </c>
      <c r="H234" s="1">
        <f ca="1">OFFSET(控制台!$E$4617,MATCH(B234,控制台!$B$4617:$B$4629,0)-2,0)*控制台!$C$4611</f>
        <v>40</v>
      </c>
      <c r="I234" s="1">
        <f ca="1">OFFSET(控制台!$E$4617,MATCH(B234,控制台!$B$4617:$B$4629,0)-1,0)*控制台!$C$4611</f>
        <v>60</v>
      </c>
      <c r="J234" s="1">
        <f>(_xlfn.FLOOR.MATH((C234-1)/20)+1)/2</f>
        <v>0.5</v>
      </c>
      <c r="K234" s="4">
        <f ca="1">IF(MOD(C234,4)=0,0,Lerp_dyy(H234,I234,J234))</f>
        <v>50</v>
      </c>
      <c r="L234" s="1">
        <f ca="1">OFFSET(控制台!$G$4617,MATCH(B234,控制台!$B$4617:$B$4629,0)-2,0)*控制台!$C$4612</f>
        <v>14</v>
      </c>
      <c r="M234" s="1">
        <f ca="1">OFFSET(控制台!$G$4617,MATCH(B234,控制台!$B$4617:$B$4629,0)-1,0)*控制台!$C$4612</f>
        <v>16</v>
      </c>
      <c r="N234" s="1">
        <v>1</v>
      </c>
      <c r="O234" s="4">
        <f ca="1">IF(MOD(C234,4)=0,Lerp_dyy(L234,M234,N234),0)</f>
        <v>0</v>
      </c>
    </row>
    <row r="235" spans="1:15">
      <c r="A235" s="1">
        <f t="shared" si="7"/>
        <v>710</v>
      </c>
      <c r="B235" s="1">
        <v>7</v>
      </c>
      <c r="C235" s="1">
        <v>10</v>
      </c>
      <c r="D235" s="1">
        <f ca="1">OFFSET(控制台!$C$4617,MATCH(B235,控制台!$B$4617:$B$4629,0)-2,0)*控制台!$C$4610</f>
        <v>40000</v>
      </c>
      <c r="E235" s="1">
        <f ca="1">OFFSET(控制台!$C$4617,MATCH(B235,控制台!$B$4617:$B$4629,0)-1,0)*控制台!$C$4610</f>
        <v>50000</v>
      </c>
      <c r="F235" s="1">
        <f>(_xlfn.FLOOR.MATH((C235-1)/8)+1)/5</f>
        <v>0.4</v>
      </c>
      <c r="G235" s="4">
        <f ca="1">Lerp_dyy(D235,E235,F235)</f>
        <v>44000</v>
      </c>
      <c r="H235" s="1">
        <f ca="1">OFFSET(控制台!$E$4617,MATCH(B235,控制台!$B$4617:$B$4629,0)-2,0)*控制台!$C$4611</f>
        <v>40</v>
      </c>
      <c r="I235" s="1">
        <f ca="1">OFFSET(控制台!$E$4617,MATCH(B235,控制台!$B$4617:$B$4629,0)-1,0)*控制台!$C$4611</f>
        <v>60</v>
      </c>
      <c r="J235" s="1">
        <f>(_xlfn.FLOOR.MATH((C235-1)/20)+1)/2</f>
        <v>0.5</v>
      </c>
      <c r="K235" s="4">
        <f ca="1">IF(MOD(C235,4)=0,0,Lerp_dyy(H235,I235,J235))</f>
        <v>50</v>
      </c>
      <c r="L235" s="1">
        <f ca="1">OFFSET(控制台!$G$4617,MATCH(B235,控制台!$B$4617:$B$4629,0)-2,0)*控制台!$C$4612</f>
        <v>14</v>
      </c>
      <c r="M235" s="1">
        <f ca="1">OFFSET(控制台!$G$4617,MATCH(B235,控制台!$B$4617:$B$4629,0)-1,0)*控制台!$C$4612</f>
        <v>16</v>
      </c>
      <c r="N235" s="1">
        <v>1</v>
      </c>
      <c r="O235" s="4">
        <f ca="1">IF(MOD(C235,4)=0,Lerp_dyy(L235,M235,N235),0)</f>
        <v>0</v>
      </c>
    </row>
    <row r="236" spans="1:15">
      <c r="A236" s="1">
        <f t="shared" si="7"/>
        <v>711</v>
      </c>
      <c r="B236" s="1">
        <v>7</v>
      </c>
      <c r="C236" s="1">
        <v>11</v>
      </c>
      <c r="D236" s="1">
        <f ca="1">OFFSET(控制台!$C$4617,MATCH(B236,控制台!$B$4617:$B$4629,0)-2,0)*控制台!$C$4610</f>
        <v>40000</v>
      </c>
      <c r="E236" s="1">
        <f ca="1">OFFSET(控制台!$C$4617,MATCH(B236,控制台!$B$4617:$B$4629,0)-1,0)*控制台!$C$4610</f>
        <v>50000</v>
      </c>
      <c r="F236" s="1">
        <f>(_xlfn.FLOOR.MATH((C236-1)/8)+1)/5</f>
        <v>0.4</v>
      </c>
      <c r="G236" s="4">
        <f ca="1">Lerp_dyy(D236,E236,F236)</f>
        <v>44000</v>
      </c>
      <c r="H236" s="1">
        <f ca="1">OFFSET(控制台!$E$4617,MATCH(B236,控制台!$B$4617:$B$4629,0)-2,0)*控制台!$C$4611</f>
        <v>40</v>
      </c>
      <c r="I236" s="1">
        <f ca="1">OFFSET(控制台!$E$4617,MATCH(B236,控制台!$B$4617:$B$4629,0)-1,0)*控制台!$C$4611</f>
        <v>60</v>
      </c>
      <c r="J236" s="1">
        <f>(_xlfn.FLOOR.MATH((C236-1)/20)+1)/2</f>
        <v>0.5</v>
      </c>
      <c r="K236" s="4">
        <f ca="1">IF(MOD(C236,4)=0,0,Lerp_dyy(H236,I236,J236))</f>
        <v>50</v>
      </c>
      <c r="L236" s="1">
        <f ca="1">OFFSET(控制台!$G$4617,MATCH(B236,控制台!$B$4617:$B$4629,0)-2,0)*控制台!$C$4612</f>
        <v>14</v>
      </c>
      <c r="M236" s="1">
        <f ca="1">OFFSET(控制台!$G$4617,MATCH(B236,控制台!$B$4617:$B$4629,0)-1,0)*控制台!$C$4612</f>
        <v>16</v>
      </c>
      <c r="N236" s="1">
        <v>1</v>
      </c>
      <c r="O236" s="4">
        <f ca="1">IF(MOD(C236,4)=0,Lerp_dyy(L236,M236,N236),0)</f>
        <v>0</v>
      </c>
    </row>
    <row r="237" spans="1:15">
      <c r="A237" s="1">
        <f t="shared" si="7"/>
        <v>712</v>
      </c>
      <c r="B237" s="1">
        <v>7</v>
      </c>
      <c r="C237" s="1">
        <v>12</v>
      </c>
      <c r="D237" s="1">
        <f ca="1">OFFSET(控制台!$C$4617,MATCH(B237,控制台!$B$4617:$B$4629,0)-2,0)*控制台!$C$4610</f>
        <v>40000</v>
      </c>
      <c r="E237" s="1">
        <f ca="1">OFFSET(控制台!$C$4617,MATCH(B237,控制台!$B$4617:$B$4629,0)-1,0)*控制台!$C$4610</f>
        <v>50000</v>
      </c>
      <c r="F237" s="1">
        <f>(_xlfn.FLOOR.MATH((C237-1)/8)+1)/5</f>
        <v>0.4</v>
      </c>
      <c r="G237" s="4">
        <f ca="1">Lerp_dyy(D237,E237,F237)</f>
        <v>44000</v>
      </c>
      <c r="H237" s="1">
        <f ca="1">OFFSET(控制台!$E$4617,MATCH(B237,控制台!$B$4617:$B$4629,0)-2,0)*控制台!$C$4611</f>
        <v>40</v>
      </c>
      <c r="I237" s="1">
        <f ca="1">OFFSET(控制台!$E$4617,MATCH(B237,控制台!$B$4617:$B$4629,0)-1,0)*控制台!$C$4611</f>
        <v>60</v>
      </c>
      <c r="J237" s="1">
        <f>(_xlfn.FLOOR.MATH((C237-1)/20)+1)/2</f>
        <v>0.5</v>
      </c>
      <c r="K237" s="4">
        <f ca="1">IF(MOD(C237,4)=0,0,Lerp_dyy(H237,I237,J237))</f>
        <v>0</v>
      </c>
      <c r="L237" s="1">
        <f ca="1">OFFSET(控制台!$G$4617,MATCH(B237,控制台!$B$4617:$B$4629,0)-2,0)*控制台!$C$4612</f>
        <v>14</v>
      </c>
      <c r="M237" s="1">
        <f ca="1">OFFSET(控制台!$G$4617,MATCH(B237,控制台!$B$4617:$B$4629,0)-1,0)*控制台!$C$4612</f>
        <v>16</v>
      </c>
      <c r="N237" s="1">
        <v>1</v>
      </c>
      <c r="O237" s="4">
        <f ca="1">IF(MOD(C237,4)=0,Lerp_dyy(L237,M237,N237),0)</f>
        <v>16</v>
      </c>
    </row>
    <row r="238" spans="1:15">
      <c r="A238" s="1">
        <f t="shared" si="7"/>
        <v>713</v>
      </c>
      <c r="B238" s="1">
        <v>7</v>
      </c>
      <c r="C238" s="1">
        <v>13</v>
      </c>
      <c r="D238" s="1">
        <f ca="1">OFFSET(控制台!$C$4617,MATCH(B238,控制台!$B$4617:$B$4629,0)-2,0)*控制台!$C$4610</f>
        <v>40000</v>
      </c>
      <c r="E238" s="1">
        <f ca="1">OFFSET(控制台!$C$4617,MATCH(B238,控制台!$B$4617:$B$4629,0)-1,0)*控制台!$C$4610</f>
        <v>50000</v>
      </c>
      <c r="F238" s="1">
        <f>(_xlfn.FLOOR.MATH((C238-1)/8)+1)/5</f>
        <v>0.4</v>
      </c>
      <c r="G238" s="4">
        <f ca="1">Lerp_dyy(D238,E238,F238)</f>
        <v>44000</v>
      </c>
      <c r="H238" s="1">
        <f ca="1">OFFSET(控制台!$E$4617,MATCH(B238,控制台!$B$4617:$B$4629,0)-2,0)*控制台!$C$4611</f>
        <v>40</v>
      </c>
      <c r="I238" s="1">
        <f ca="1">OFFSET(控制台!$E$4617,MATCH(B238,控制台!$B$4617:$B$4629,0)-1,0)*控制台!$C$4611</f>
        <v>60</v>
      </c>
      <c r="J238" s="1">
        <f>(_xlfn.FLOOR.MATH((C238-1)/20)+1)/2</f>
        <v>0.5</v>
      </c>
      <c r="K238" s="4">
        <f ca="1">IF(MOD(C238,4)=0,0,Lerp_dyy(H238,I238,J238))</f>
        <v>50</v>
      </c>
      <c r="L238" s="1">
        <f ca="1">OFFSET(控制台!$G$4617,MATCH(B238,控制台!$B$4617:$B$4629,0)-2,0)*控制台!$C$4612</f>
        <v>14</v>
      </c>
      <c r="M238" s="1">
        <f ca="1">OFFSET(控制台!$G$4617,MATCH(B238,控制台!$B$4617:$B$4629,0)-1,0)*控制台!$C$4612</f>
        <v>16</v>
      </c>
      <c r="N238" s="1">
        <v>1</v>
      </c>
      <c r="O238" s="4">
        <f ca="1">IF(MOD(C238,4)=0,Lerp_dyy(L238,M238,N238),0)</f>
        <v>0</v>
      </c>
    </row>
    <row r="239" spans="1:15">
      <c r="A239" s="1">
        <f t="shared" si="7"/>
        <v>714</v>
      </c>
      <c r="B239" s="1">
        <v>7</v>
      </c>
      <c r="C239" s="1">
        <v>14</v>
      </c>
      <c r="D239" s="1">
        <f ca="1">OFFSET(控制台!$C$4617,MATCH(B239,控制台!$B$4617:$B$4629,0)-2,0)*控制台!$C$4610</f>
        <v>40000</v>
      </c>
      <c r="E239" s="1">
        <f ca="1">OFFSET(控制台!$C$4617,MATCH(B239,控制台!$B$4617:$B$4629,0)-1,0)*控制台!$C$4610</f>
        <v>50000</v>
      </c>
      <c r="F239" s="1">
        <f>(_xlfn.FLOOR.MATH((C239-1)/8)+1)/5</f>
        <v>0.4</v>
      </c>
      <c r="G239" s="4">
        <f ca="1">Lerp_dyy(D239,E239,F239)</f>
        <v>44000</v>
      </c>
      <c r="H239" s="1">
        <f ca="1">OFFSET(控制台!$E$4617,MATCH(B239,控制台!$B$4617:$B$4629,0)-2,0)*控制台!$C$4611</f>
        <v>40</v>
      </c>
      <c r="I239" s="1">
        <f ca="1">OFFSET(控制台!$E$4617,MATCH(B239,控制台!$B$4617:$B$4629,0)-1,0)*控制台!$C$4611</f>
        <v>60</v>
      </c>
      <c r="J239" s="1">
        <f>(_xlfn.FLOOR.MATH((C239-1)/20)+1)/2</f>
        <v>0.5</v>
      </c>
      <c r="K239" s="4">
        <f ca="1">IF(MOD(C239,4)=0,0,Lerp_dyy(H239,I239,J239))</f>
        <v>50</v>
      </c>
      <c r="L239" s="1">
        <f ca="1">OFFSET(控制台!$G$4617,MATCH(B239,控制台!$B$4617:$B$4629,0)-2,0)*控制台!$C$4612</f>
        <v>14</v>
      </c>
      <c r="M239" s="1">
        <f ca="1">OFFSET(控制台!$G$4617,MATCH(B239,控制台!$B$4617:$B$4629,0)-1,0)*控制台!$C$4612</f>
        <v>16</v>
      </c>
      <c r="N239" s="1">
        <v>1</v>
      </c>
      <c r="O239" s="4">
        <f ca="1">IF(MOD(C239,4)=0,Lerp_dyy(L239,M239,N239),0)</f>
        <v>0</v>
      </c>
    </row>
    <row r="240" spans="1:15">
      <c r="A240" s="1">
        <f t="shared" si="7"/>
        <v>715</v>
      </c>
      <c r="B240" s="1">
        <v>7</v>
      </c>
      <c r="C240" s="1">
        <v>15</v>
      </c>
      <c r="D240" s="1">
        <f ca="1">OFFSET(控制台!$C$4617,MATCH(B240,控制台!$B$4617:$B$4629,0)-2,0)*控制台!$C$4610</f>
        <v>40000</v>
      </c>
      <c r="E240" s="1">
        <f ca="1">OFFSET(控制台!$C$4617,MATCH(B240,控制台!$B$4617:$B$4629,0)-1,0)*控制台!$C$4610</f>
        <v>50000</v>
      </c>
      <c r="F240" s="1">
        <f>(_xlfn.FLOOR.MATH((C240-1)/8)+1)/5</f>
        <v>0.4</v>
      </c>
      <c r="G240" s="4">
        <f ca="1">Lerp_dyy(D240,E240,F240)</f>
        <v>44000</v>
      </c>
      <c r="H240" s="1">
        <f ca="1">OFFSET(控制台!$E$4617,MATCH(B240,控制台!$B$4617:$B$4629,0)-2,0)*控制台!$C$4611</f>
        <v>40</v>
      </c>
      <c r="I240" s="1">
        <f ca="1">OFFSET(控制台!$E$4617,MATCH(B240,控制台!$B$4617:$B$4629,0)-1,0)*控制台!$C$4611</f>
        <v>60</v>
      </c>
      <c r="J240" s="1">
        <f>(_xlfn.FLOOR.MATH((C240-1)/20)+1)/2</f>
        <v>0.5</v>
      </c>
      <c r="K240" s="4">
        <f ca="1">IF(MOD(C240,4)=0,0,Lerp_dyy(H240,I240,J240))</f>
        <v>50</v>
      </c>
      <c r="L240" s="1">
        <f ca="1">OFFSET(控制台!$G$4617,MATCH(B240,控制台!$B$4617:$B$4629,0)-2,0)*控制台!$C$4612</f>
        <v>14</v>
      </c>
      <c r="M240" s="1">
        <f ca="1">OFFSET(控制台!$G$4617,MATCH(B240,控制台!$B$4617:$B$4629,0)-1,0)*控制台!$C$4612</f>
        <v>16</v>
      </c>
      <c r="N240" s="1">
        <v>1</v>
      </c>
      <c r="O240" s="4">
        <f ca="1">IF(MOD(C240,4)=0,Lerp_dyy(L240,M240,N240),0)</f>
        <v>0</v>
      </c>
    </row>
    <row r="241" spans="1:15">
      <c r="A241" s="1">
        <f t="shared" si="7"/>
        <v>716</v>
      </c>
      <c r="B241" s="1">
        <v>7</v>
      </c>
      <c r="C241" s="1">
        <v>16</v>
      </c>
      <c r="D241" s="1">
        <f ca="1">OFFSET(控制台!$C$4617,MATCH(B241,控制台!$B$4617:$B$4629,0)-2,0)*控制台!$C$4610</f>
        <v>40000</v>
      </c>
      <c r="E241" s="1">
        <f ca="1">OFFSET(控制台!$C$4617,MATCH(B241,控制台!$B$4617:$B$4629,0)-1,0)*控制台!$C$4610</f>
        <v>50000</v>
      </c>
      <c r="F241" s="1">
        <f>(_xlfn.FLOOR.MATH((C241-1)/8)+1)/5</f>
        <v>0.4</v>
      </c>
      <c r="G241" s="4">
        <f ca="1">Lerp_dyy(D241,E241,F241)</f>
        <v>44000</v>
      </c>
      <c r="H241" s="1">
        <f ca="1">OFFSET(控制台!$E$4617,MATCH(B241,控制台!$B$4617:$B$4629,0)-2,0)*控制台!$C$4611</f>
        <v>40</v>
      </c>
      <c r="I241" s="1">
        <f ca="1">OFFSET(控制台!$E$4617,MATCH(B241,控制台!$B$4617:$B$4629,0)-1,0)*控制台!$C$4611</f>
        <v>60</v>
      </c>
      <c r="J241" s="1">
        <f>(_xlfn.FLOOR.MATH((C241-1)/20)+1)/2</f>
        <v>0.5</v>
      </c>
      <c r="K241" s="4">
        <f ca="1">IF(MOD(C241,4)=0,0,Lerp_dyy(H241,I241,J241))</f>
        <v>0</v>
      </c>
      <c r="L241" s="1">
        <f ca="1">OFFSET(控制台!$G$4617,MATCH(B241,控制台!$B$4617:$B$4629,0)-2,0)*控制台!$C$4612</f>
        <v>14</v>
      </c>
      <c r="M241" s="1">
        <f ca="1">OFFSET(控制台!$G$4617,MATCH(B241,控制台!$B$4617:$B$4629,0)-1,0)*控制台!$C$4612</f>
        <v>16</v>
      </c>
      <c r="N241" s="1">
        <v>1</v>
      </c>
      <c r="O241" s="4">
        <f ca="1">IF(MOD(C241,4)=0,Lerp_dyy(L241,M241,N241),0)</f>
        <v>16</v>
      </c>
    </row>
    <row r="242" spans="1:15">
      <c r="A242" s="1">
        <f t="shared" si="7"/>
        <v>717</v>
      </c>
      <c r="B242" s="1">
        <v>7</v>
      </c>
      <c r="C242" s="1">
        <v>17</v>
      </c>
      <c r="D242" s="1">
        <f ca="1">OFFSET(控制台!$C$4617,MATCH(B242,控制台!$B$4617:$B$4629,0)-2,0)*控制台!$C$4610</f>
        <v>40000</v>
      </c>
      <c r="E242" s="1">
        <f ca="1">OFFSET(控制台!$C$4617,MATCH(B242,控制台!$B$4617:$B$4629,0)-1,0)*控制台!$C$4610</f>
        <v>50000</v>
      </c>
      <c r="F242" s="1">
        <f>(_xlfn.FLOOR.MATH((C242-1)/8)+1)/5</f>
        <v>0.6</v>
      </c>
      <c r="G242" s="4">
        <f ca="1">Lerp_dyy(D242,E242,F242)</f>
        <v>46000</v>
      </c>
      <c r="H242" s="1">
        <f ca="1">OFFSET(控制台!$E$4617,MATCH(B242,控制台!$B$4617:$B$4629,0)-2,0)*控制台!$C$4611</f>
        <v>40</v>
      </c>
      <c r="I242" s="1">
        <f ca="1">OFFSET(控制台!$E$4617,MATCH(B242,控制台!$B$4617:$B$4629,0)-1,0)*控制台!$C$4611</f>
        <v>60</v>
      </c>
      <c r="J242" s="1">
        <f>(_xlfn.FLOOR.MATH((C242-1)/20)+1)/2</f>
        <v>0.5</v>
      </c>
      <c r="K242" s="4">
        <f ca="1">IF(MOD(C242,4)=0,0,Lerp_dyy(H242,I242,J242))</f>
        <v>50</v>
      </c>
      <c r="L242" s="1">
        <f ca="1">OFFSET(控制台!$G$4617,MATCH(B242,控制台!$B$4617:$B$4629,0)-2,0)*控制台!$C$4612</f>
        <v>14</v>
      </c>
      <c r="M242" s="1">
        <f ca="1">OFFSET(控制台!$G$4617,MATCH(B242,控制台!$B$4617:$B$4629,0)-1,0)*控制台!$C$4612</f>
        <v>16</v>
      </c>
      <c r="N242" s="1">
        <v>1</v>
      </c>
      <c r="O242" s="4">
        <f ca="1">IF(MOD(C242,4)=0,Lerp_dyy(L242,M242,N242),0)</f>
        <v>0</v>
      </c>
    </row>
    <row r="243" spans="1:15">
      <c r="A243" s="1">
        <f t="shared" si="7"/>
        <v>718</v>
      </c>
      <c r="B243" s="1">
        <v>7</v>
      </c>
      <c r="C243" s="1">
        <v>18</v>
      </c>
      <c r="D243" s="1">
        <f ca="1">OFFSET(控制台!$C$4617,MATCH(B243,控制台!$B$4617:$B$4629,0)-2,0)*控制台!$C$4610</f>
        <v>40000</v>
      </c>
      <c r="E243" s="1">
        <f ca="1">OFFSET(控制台!$C$4617,MATCH(B243,控制台!$B$4617:$B$4629,0)-1,0)*控制台!$C$4610</f>
        <v>50000</v>
      </c>
      <c r="F243" s="1">
        <f>(_xlfn.FLOOR.MATH((C243-1)/8)+1)/5</f>
        <v>0.6</v>
      </c>
      <c r="G243" s="4">
        <f ca="1">Lerp_dyy(D243,E243,F243)</f>
        <v>46000</v>
      </c>
      <c r="H243" s="1">
        <f ca="1">OFFSET(控制台!$E$4617,MATCH(B243,控制台!$B$4617:$B$4629,0)-2,0)*控制台!$C$4611</f>
        <v>40</v>
      </c>
      <c r="I243" s="1">
        <f ca="1">OFFSET(控制台!$E$4617,MATCH(B243,控制台!$B$4617:$B$4629,0)-1,0)*控制台!$C$4611</f>
        <v>60</v>
      </c>
      <c r="J243" s="1">
        <f>(_xlfn.FLOOR.MATH((C243-1)/20)+1)/2</f>
        <v>0.5</v>
      </c>
      <c r="K243" s="4">
        <f ca="1">IF(MOD(C243,4)=0,0,Lerp_dyy(H243,I243,J243))</f>
        <v>50</v>
      </c>
      <c r="L243" s="1">
        <f ca="1">OFFSET(控制台!$G$4617,MATCH(B243,控制台!$B$4617:$B$4629,0)-2,0)*控制台!$C$4612</f>
        <v>14</v>
      </c>
      <c r="M243" s="1">
        <f ca="1">OFFSET(控制台!$G$4617,MATCH(B243,控制台!$B$4617:$B$4629,0)-1,0)*控制台!$C$4612</f>
        <v>16</v>
      </c>
      <c r="N243" s="1">
        <v>1</v>
      </c>
      <c r="O243" s="4">
        <f ca="1">IF(MOD(C243,4)=0,Lerp_dyy(L243,M243,N243),0)</f>
        <v>0</v>
      </c>
    </row>
    <row r="244" spans="1:15">
      <c r="A244" s="1">
        <f t="shared" si="7"/>
        <v>719</v>
      </c>
      <c r="B244" s="1">
        <v>7</v>
      </c>
      <c r="C244" s="1">
        <v>19</v>
      </c>
      <c r="D244" s="1">
        <f ca="1">OFFSET(控制台!$C$4617,MATCH(B244,控制台!$B$4617:$B$4629,0)-2,0)*控制台!$C$4610</f>
        <v>40000</v>
      </c>
      <c r="E244" s="1">
        <f ca="1">OFFSET(控制台!$C$4617,MATCH(B244,控制台!$B$4617:$B$4629,0)-1,0)*控制台!$C$4610</f>
        <v>50000</v>
      </c>
      <c r="F244" s="1">
        <f>(_xlfn.FLOOR.MATH((C244-1)/8)+1)/5</f>
        <v>0.6</v>
      </c>
      <c r="G244" s="4">
        <f ca="1">Lerp_dyy(D244,E244,F244)</f>
        <v>46000</v>
      </c>
      <c r="H244" s="1">
        <f ca="1">OFFSET(控制台!$E$4617,MATCH(B244,控制台!$B$4617:$B$4629,0)-2,0)*控制台!$C$4611</f>
        <v>40</v>
      </c>
      <c r="I244" s="1">
        <f ca="1">OFFSET(控制台!$E$4617,MATCH(B244,控制台!$B$4617:$B$4629,0)-1,0)*控制台!$C$4611</f>
        <v>60</v>
      </c>
      <c r="J244" s="1">
        <f>(_xlfn.FLOOR.MATH((C244-1)/20)+1)/2</f>
        <v>0.5</v>
      </c>
      <c r="K244" s="4">
        <f ca="1">IF(MOD(C244,4)=0,0,Lerp_dyy(H244,I244,J244))</f>
        <v>50</v>
      </c>
      <c r="L244" s="1">
        <f ca="1">OFFSET(控制台!$G$4617,MATCH(B244,控制台!$B$4617:$B$4629,0)-2,0)*控制台!$C$4612</f>
        <v>14</v>
      </c>
      <c r="M244" s="1">
        <f ca="1">OFFSET(控制台!$G$4617,MATCH(B244,控制台!$B$4617:$B$4629,0)-1,0)*控制台!$C$4612</f>
        <v>16</v>
      </c>
      <c r="N244" s="1">
        <v>1</v>
      </c>
      <c r="O244" s="4">
        <f ca="1">IF(MOD(C244,4)=0,Lerp_dyy(L244,M244,N244),0)</f>
        <v>0</v>
      </c>
    </row>
    <row r="245" spans="1:15">
      <c r="A245" s="1">
        <f t="shared" si="7"/>
        <v>720</v>
      </c>
      <c r="B245" s="1">
        <v>7</v>
      </c>
      <c r="C245" s="1">
        <v>20</v>
      </c>
      <c r="D245" s="1">
        <f ca="1">OFFSET(控制台!$C$4617,MATCH(B245,控制台!$B$4617:$B$4629,0)-2,0)*控制台!$C$4610</f>
        <v>40000</v>
      </c>
      <c r="E245" s="1">
        <f ca="1">OFFSET(控制台!$C$4617,MATCH(B245,控制台!$B$4617:$B$4629,0)-1,0)*控制台!$C$4610</f>
        <v>50000</v>
      </c>
      <c r="F245" s="1">
        <f>(_xlfn.FLOOR.MATH((C245-1)/8)+1)/5</f>
        <v>0.6</v>
      </c>
      <c r="G245" s="4">
        <f ca="1">Lerp_dyy(D245,E245,F245)</f>
        <v>46000</v>
      </c>
      <c r="H245" s="1">
        <f ca="1">OFFSET(控制台!$E$4617,MATCH(B245,控制台!$B$4617:$B$4629,0)-2,0)*控制台!$C$4611</f>
        <v>40</v>
      </c>
      <c r="I245" s="1">
        <f ca="1">OFFSET(控制台!$E$4617,MATCH(B245,控制台!$B$4617:$B$4629,0)-1,0)*控制台!$C$4611</f>
        <v>60</v>
      </c>
      <c r="J245" s="1">
        <f>(_xlfn.FLOOR.MATH((C245-1)/20)+1)/2</f>
        <v>0.5</v>
      </c>
      <c r="K245" s="4">
        <f ca="1">IF(MOD(C245,4)=0,0,Lerp_dyy(H245,I245,J245))</f>
        <v>0</v>
      </c>
      <c r="L245" s="1">
        <f ca="1">OFFSET(控制台!$G$4617,MATCH(B245,控制台!$B$4617:$B$4629,0)-2,0)*控制台!$C$4612</f>
        <v>14</v>
      </c>
      <c r="M245" s="1">
        <f ca="1">OFFSET(控制台!$G$4617,MATCH(B245,控制台!$B$4617:$B$4629,0)-1,0)*控制台!$C$4612</f>
        <v>16</v>
      </c>
      <c r="N245" s="1">
        <v>1</v>
      </c>
      <c r="O245" s="4">
        <f ca="1">IF(MOD(C245,4)=0,Lerp_dyy(L245,M245,N245),0)</f>
        <v>16</v>
      </c>
    </row>
    <row r="246" spans="1:15">
      <c r="A246" s="1">
        <f t="shared" si="7"/>
        <v>721</v>
      </c>
      <c r="B246" s="1">
        <v>7</v>
      </c>
      <c r="C246" s="1">
        <v>21</v>
      </c>
      <c r="D246" s="1">
        <f ca="1">OFFSET(控制台!$C$4617,MATCH(B246,控制台!$B$4617:$B$4629,0)-2,0)*控制台!$C$4610</f>
        <v>40000</v>
      </c>
      <c r="E246" s="1">
        <f ca="1">OFFSET(控制台!$C$4617,MATCH(B246,控制台!$B$4617:$B$4629,0)-1,0)*控制台!$C$4610</f>
        <v>50000</v>
      </c>
      <c r="F246" s="1">
        <f>(_xlfn.FLOOR.MATH((C246-1)/8)+1)/5</f>
        <v>0.6</v>
      </c>
      <c r="G246" s="4">
        <f ca="1">Lerp_dyy(D246,E246,F246)</f>
        <v>46000</v>
      </c>
      <c r="H246" s="1">
        <f ca="1">OFFSET(控制台!$E$4617,MATCH(B246,控制台!$B$4617:$B$4629,0)-2,0)*控制台!$C$4611</f>
        <v>40</v>
      </c>
      <c r="I246" s="1">
        <f ca="1">OFFSET(控制台!$E$4617,MATCH(B246,控制台!$B$4617:$B$4629,0)-1,0)*控制台!$C$4611</f>
        <v>60</v>
      </c>
      <c r="J246" s="1">
        <f>(_xlfn.FLOOR.MATH((C246-1)/20)+1)/2</f>
        <v>1</v>
      </c>
      <c r="K246" s="4">
        <f ca="1">IF(MOD(C246,4)=0,0,Lerp_dyy(H246,I246,J246))</f>
        <v>60</v>
      </c>
      <c r="L246" s="1">
        <f ca="1">OFFSET(控制台!$G$4617,MATCH(B246,控制台!$B$4617:$B$4629,0)-2,0)*控制台!$C$4612</f>
        <v>14</v>
      </c>
      <c r="M246" s="1">
        <f ca="1">OFFSET(控制台!$G$4617,MATCH(B246,控制台!$B$4617:$B$4629,0)-1,0)*控制台!$C$4612</f>
        <v>16</v>
      </c>
      <c r="N246" s="1">
        <v>1</v>
      </c>
      <c r="O246" s="4">
        <f ca="1">IF(MOD(C246,4)=0,Lerp_dyy(L246,M246,N246),0)</f>
        <v>0</v>
      </c>
    </row>
    <row r="247" spans="1:15">
      <c r="A247" s="1">
        <f t="shared" si="7"/>
        <v>722</v>
      </c>
      <c r="B247" s="1">
        <v>7</v>
      </c>
      <c r="C247" s="1">
        <v>22</v>
      </c>
      <c r="D247" s="1">
        <f ca="1">OFFSET(控制台!$C$4617,MATCH(B247,控制台!$B$4617:$B$4629,0)-2,0)*控制台!$C$4610</f>
        <v>40000</v>
      </c>
      <c r="E247" s="1">
        <f ca="1">OFFSET(控制台!$C$4617,MATCH(B247,控制台!$B$4617:$B$4629,0)-1,0)*控制台!$C$4610</f>
        <v>50000</v>
      </c>
      <c r="F247" s="1">
        <f>(_xlfn.FLOOR.MATH((C247-1)/8)+1)/5</f>
        <v>0.6</v>
      </c>
      <c r="G247" s="4">
        <f ca="1">Lerp_dyy(D247,E247,F247)</f>
        <v>46000</v>
      </c>
      <c r="H247" s="1">
        <f ca="1">OFFSET(控制台!$E$4617,MATCH(B247,控制台!$B$4617:$B$4629,0)-2,0)*控制台!$C$4611</f>
        <v>40</v>
      </c>
      <c r="I247" s="1">
        <f ca="1">OFFSET(控制台!$E$4617,MATCH(B247,控制台!$B$4617:$B$4629,0)-1,0)*控制台!$C$4611</f>
        <v>60</v>
      </c>
      <c r="J247" s="1">
        <f>(_xlfn.FLOOR.MATH((C247-1)/20)+1)/2</f>
        <v>1</v>
      </c>
      <c r="K247" s="4">
        <f ca="1">IF(MOD(C247,4)=0,0,Lerp_dyy(H247,I247,J247))</f>
        <v>60</v>
      </c>
      <c r="L247" s="1">
        <f ca="1">OFFSET(控制台!$G$4617,MATCH(B247,控制台!$B$4617:$B$4629,0)-2,0)*控制台!$C$4612</f>
        <v>14</v>
      </c>
      <c r="M247" s="1">
        <f ca="1">OFFSET(控制台!$G$4617,MATCH(B247,控制台!$B$4617:$B$4629,0)-1,0)*控制台!$C$4612</f>
        <v>16</v>
      </c>
      <c r="N247" s="1">
        <v>1</v>
      </c>
      <c r="O247" s="4">
        <f ca="1">IF(MOD(C247,4)=0,Lerp_dyy(L247,M247,N247),0)</f>
        <v>0</v>
      </c>
    </row>
    <row r="248" spans="1:15">
      <c r="A248" s="1">
        <f t="shared" si="7"/>
        <v>723</v>
      </c>
      <c r="B248" s="1">
        <v>7</v>
      </c>
      <c r="C248" s="1">
        <v>23</v>
      </c>
      <c r="D248" s="1">
        <f ca="1">OFFSET(控制台!$C$4617,MATCH(B248,控制台!$B$4617:$B$4629,0)-2,0)*控制台!$C$4610</f>
        <v>40000</v>
      </c>
      <c r="E248" s="1">
        <f ca="1">OFFSET(控制台!$C$4617,MATCH(B248,控制台!$B$4617:$B$4629,0)-1,0)*控制台!$C$4610</f>
        <v>50000</v>
      </c>
      <c r="F248" s="1">
        <f>(_xlfn.FLOOR.MATH((C248-1)/8)+1)/5</f>
        <v>0.6</v>
      </c>
      <c r="G248" s="4">
        <f ca="1">Lerp_dyy(D248,E248,F248)</f>
        <v>46000</v>
      </c>
      <c r="H248" s="1">
        <f ca="1">OFFSET(控制台!$E$4617,MATCH(B248,控制台!$B$4617:$B$4629,0)-2,0)*控制台!$C$4611</f>
        <v>40</v>
      </c>
      <c r="I248" s="1">
        <f ca="1">OFFSET(控制台!$E$4617,MATCH(B248,控制台!$B$4617:$B$4629,0)-1,0)*控制台!$C$4611</f>
        <v>60</v>
      </c>
      <c r="J248" s="1">
        <f>(_xlfn.FLOOR.MATH((C248-1)/20)+1)/2</f>
        <v>1</v>
      </c>
      <c r="K248" s="4">
        <f ca="1">IF(MOD(C248,4)=0,0,Lerp_dyy(H248,I248,J248))</f>
        <v>60</v>
      </c>
      <c r="L248" s="1">
        <f ca="1">OFFSET(控制台!$G$4617,MATCH(B248,控制台!$B$4617:$B$4629,0)-2,0)*控制台!$C$4612</f>
        <v>14</v>
      </c>
      <c r="M248" s="1">
        <f ca="1">OFFSET(控制台!$G$4617,MATCH(B248,控制台!$B$4617:$B$4629,0)-1,0)*控制台!$C$4612</f>
        <v>16</v>
      </c>
      <c r="N248" s="1">
        <v>1</v>
      </c>
      <c r="O248" s="4">
        <f ca="1">IF(MOD(C248,4)=0,Lerp_dyy(L248,M248,N248),0)</f>
        <v>0</v>
      </c>
    </row>
    <row r="249" spans="1:15">
      <c r="A249" s="1">
        <f t="shared" si="7"/>
        <v>724</v>
      </c>
      <c r="B249" s="1">
        <v>7</v>
      </c>
      <c r="C249" s="1">
        <v>24</v>
      </c>
      <c r="D249" s="1">
        <f ca="1">OFFSET(控制台!$C$4617,MATCH(B249,控制台!$B$4617:$B$4629,0)-2,0)*控制台!$C$4610</f>
        <v>40000</v>
      </c>
      <c r="E249" s="1">
        <f ca="1">OFFSET(控制台!$C$4617,MATCH(B249,控制台!$B$4617:$B$4629,0)-1,0)*控制台!$C$4610</f>
        <v>50000</v>
      </c>
      <c r="F249" s="1">
        <f>(_xlfn.FLOOR.MATH((C249-1)/8)+1)/5</f>
        <v>0.6</v>
      </c>
      <c r="G249" s="4">
        <f ca="1">Lerp_dyy(D249,E249,F249)</f>
        <v>46000</v>
      </c>
      <c r="H249" s="1">
        <f ca="1">OFFSET(控制台!$E$4617,MATCH(B249,控制台!$B$4617:$B$4629,0)-2,0)*控制台!$C$4611</f>
        <v>40</v>
      </c>
      <c r="I249" s="1">
        <f ca="1">OFFSET(控制台!$E$4617,MATCH(B249,控制台!$B$4617:$B$4629,0)-1,0)*控制台!$C$4611</f>
        <v>60</v>
      </c>
      <c r="J249" s="1">
        <f>(_xlfn.FLOOR.MATH((C249-1)/20)+1)/2</f>
        <v>1</v>
      </c>
      <c r="K249" s="4">
        <f ca="1">IF(MOD(C249,4)=0,0,Lerp_dyy(H249,I249,J249))</f>
        <v>0</v>
      </c>
      <c r="L249" s="1">
        <f ca="1">OFFSET(控制台!$G$4617,MATCH(B249,控制台!$B$4617:$B$4629,0)-2,0)*控制台!$C$4612</f>
        <v>14</v>
      </c>
      <c r="M249" s="1">
        <f ca="1">OFFSET(控制台!$G$4617,MATCH(B249,控制台!$B$4617:$B$4629,0)-1,0)*控制台!$C$4612</f>
        <v>16</v>
      </c>
      <c r="N249" s="1">
        <v>1</v>
      </c>
      <c r="O249" s="4">
        <f ca="1">IF(MOD(C249,4)=0,Lerp_dyy(L249,M249,N249),0)</f>
        <v>16</v>
      </c>
    </row>
    <row r="250" spans="1:15">
      <c r="A250" s="1">
        <f t="shared" si="7"/>
        <v>725</v>
      </c>
      <c r="B250" s="1">
        <v>7</v>
      </c>
      <c r="C250" s="1">
        <v>25</v>
      </c>
      <c r="D250" s="1">
        <f ca="1">OFFSET(控制台!$C$4617,MATCH(B250,控制台!$B$4617:$B$4629,0)-2,0)*控制台!$C$4610</f>
        <v>40000</v>
      </c>
      <c r="E250" s="1">
        <f ca="1">OFFSET(控制台!$C$4617,MATCH(B250,控制台!$B$4617:$B$4629,0)-1,0)*控制台!$C$4610</f>
        <v>50000</v>
      </c>
      <c r="F250" s="1">
        <f>(_xlfn.FLOOR.MATH((C250-1)/8)+1)/5</f>
        <v>0.8</v>
      </c>
      <c r="G250" s="4">
        <f ca="1">Lerp_dyy(D250,E250,F250)</f>
        <v>48000</v>
      </c>
      <c r="H250" s="1">
        <f ca="1">OFFSET(控制台!$E$4617,MATCH(B250,控制台!$B$4617:$B$4629,0)-2,0)*控制台!$C$4611</f>
        <v>40</v>
      </c>
      <c r="I250" s="1">
        <f ca="1">OFFSET(控制台!$E$4617,MATCH(B250,控制台!$B$4617:$B$4629,0)-1,0)*控制台!$C$4611</f>
        <v>60</v>
      </c>
      <c r="J250" s="1">
        <f>(_xlfn.FLOOR.MATH((C250-1)/20)+1)/2</f>
        <v>1</v>
      </c>
      <c r="K250" s="4">
        <f ca="1">IF(MOD(C250,4)=0,0,Lerp_dyy(H250,I250,J250))</f>
        <v>60</v>
      </c>
      <c r="L250" s="1">
        <f ca="1">OFFSET(控制台!$G$4617,MATCH(B250,控制台!$B$4617:$B$4629,0)-2,0)*控制台!$C$4612</f>
        <v>14</v>
      </c>
      <c r="M250" s="1">
        <f ca="1">OFFSET(控制台!$G$4617,MATCH(B250,控制台!$B$4617:$B$4629,0)-1,0)*控制台!$C$4612</f>
        <v>16</v>
      </c>
      <c r="N250" s="1">
        <v>1</v>
      </c>
      <c r="O250" s="4">
        <f ca="1">IF(MOD(C250,4)=0,Lerp_dyy(L250,M250,N250),0)</f>
        <v>0</v>
      </c>
    </row>
    <row r="251" spans="1:15">
      <c r="A251" s="1">
        <f t="shared" si="7"/>
        <v>726</v>
      </c>
      <c r="B251" s="1">
        <v>7</v>
      </c>
      <c r="C251" s="1">
        <v>26</v>
      </c>
      <c r="D251" s="1">
        <f ca="1">OFFSET(控制台!$C$4617,MATCH(B251,控制台!$B$4617:$B$4629,0)-2,0)*控制台!$C$4610</f>
        <v>40000</v>
      </c>
      <c r="E251" s="1">
        <f ca="1">OFFSET(控制台!$C$4617,MATCH(B251,控制台!$B$4617:$B$4629,0)-1,0)*控制台!$C$4610</f>
        <v>50000</v>
      </c>
      <c r="F251" s="1">
        <f>(_xlfn.FLOOR.MATH((C251-1)/8)+1)/5</f>
        <v>0.8</v>
      </c>
      <c r="G251" s="4">
        <f ca="1">Lerp_dyy(D251,E251,F251)</f>
        <v>48000</v>
      </c>
      <c r="H251" s="1">
        <f ca="1">OFFSET(控制台!$E$4617,MATCH(B251,控制台!$B$4617:$B$4629,0)-2,0)*控制台!$C$4611</f>
        <v>40</v>
      </c>
      <c r="I251" s="1">
        <f ca="1">OFFSET(控制台!$E$4617,MATCH(B251,控制台!$B$4617:$B$4629,0)-1,0)*控制台!$C$4611</f>
        <v>60</v>
      </c>
      <c r="J251" s="1">
        <f>(_xlfn.FLOOR.MATH((C251-1)/20)+1)/2</f>
        <v>1</v>
      </c>
      <c r="K251" s="4">
        <f ca="1">IF(MOD(C251,4)=0,0,Lerp_dyy(H251,I251,J251))</f>
        <v>60</v>
      </c>
      <c r="L251" s="1">
        <f ca="1">OFFSET(控制台!$G$4617,MATCH(B251,控制台!$B$4617:$B$4629,0)-2,0)*控制台!$C$4612</f>
        <v>14</v>
      </c>
      <c r="M251" s="1">
        <f ca="1">OFFSET(控制台!$G$4617,MATCH(B251,控制台!$B$4617:$B$4629,0)-1,0)*控制台!$C$4612</f>
        <v>16</v>
      </c>
      <c r="N251" s="1">
        <v>1</v>
      </c>
      <c r="O251" s="4">
        <f ca="1">IF(MOD(C251,4)=0,Lerp_dyy(L251,M251,N251),0)</f>
        <v>0</v>
      </c>
    </row>
    <row r="252" spans="1:15">
      <c r="A252" s="1">
        <f t="shared" si="7"/>
        <v>727</v>
      </c>
      <c r="B252" s="1">
        <v>7</v>
      </c>
      <c r="C252" s="1">
        <v>27</v>
      </c>
      <c r="D252" s="1">
        <f ca="1">OFFSET(控制台!$C$4617,MATCH(B252,控制台!$B$4617:$B$4629,0)-2,0)*控制台!$C$4610</f>
        <v>40000</v>
      </c>
      <c r="E252" s="1">
        <f ca="1">OFFSET(控制台!$C$4617,MATCH(B252,控制台!$B$4617:$B$4629,0)-1,0)*控制台!$C$4610</f>
        <v>50000</v>
      </c>
      <c r="F252" s="1">
        <f>(_xlfn.FLOOR.MATH((C252-1)/8)+1)/5</f>
        <v>0.8</v>
      </c>
      <c r="G252" s="4">
        <f ca="1">Lerp_dyy(D252,E252,F252)</f>
        <v>48000</v>
      </c>
      <c r="H252" s="1">
        <f ca="1">OFFSET(控制台!$E$4617,MATCH(B252,控制台!$B$4617:$B$4629,0)-2,0)*控制台!$C$4611</f>
        <v>40</v>
      </c>
      <c r="I252" s="1">
        <f ca="1">OFFSET(控制台!$E$4617,MATCH(B252,控制台!$B$4617:$B$4629,0)-1,0)*控制台!$C$4611</f>
        <v>60</v>
      </c>
      <c r="J252" s="1">
        <f>(_xlfn.FLOOR.MATH((C252-1)/20)+1)/2</f>
        <v>1</v>
      </c>
      <c r="K252" s="4">
        <f ca="1">IF(MOD(C252,4)=0,0,Lerp_dyy(H252,I252,J252))</f>
        <v>60</v>
      </c>
      <c r="L252" s="1">
        <f ca="1">OFFSET(控制台!$G$4617,MATCH(B252,控制台!$B$4617:$B$4629,0)-2,0)*控制台!$C$4612</f>
        <v>14</v>
      </c>
      <c r="M252" s="1">
        <f ca="1">OFFSET(控制台!$G$4617,MATCH(B252,控制台!$B$4617:$B$4629,0)-1,0)*控制台!$C$4612</f>
        <v>16</v>
      </c>
      <c r="N252" s="1">
        <v>1</v>
      </c>
      <c r="O252" s="4">
        <f ca="1">IF(MOD(C252,4)=0,Lerp_dyy(L252,M252,N252),0)</f>
        <v>0</v>
      </c>
    </row>
    <row r="253" spans="1:15">
      <c r="A253" s="1">
        <f t="shared" si="7"/>
        <v>728</v>
      </c>
      <c r="B253" s="1">
        <v>7</v>
      </c>
      <c r="C253" s="1">
        <v>28</v>
      </c>
      <c r="D253" s="1">
        <f ca="1">OFFSET(控制台!$C$4617,MATCH(B253,控制台!$B$4617:$B$4629,0)-2,0)*控制台!$C$4610</f>
        <v>40000</v>
      </c>
      <c r="E253" s="1">
        <f ca="1">OFFSET(控制台!$C$4617,MATCH(B253,控制台!$B$4617:$B$4629,0)-1,0)*控制台!$C$4610</f>
        <v>50000</v>
      </c>
      <c r="F253" s="1">
        <f>(_xlfn.FLOOR.MATH((C253-1)/8)+1)/5</f>
        <v>0.8</v>
      </c>
      <c r="G253" s="4">
        <f ca="1">Lerp_dyy(D253,E253,F253)</f>
        <v>48000</v>
      </c>
      <c r="H253" s="1">
        <f ca="1">OFFSET(控制台!$E$4617,MATCH(B253,控制台!$B$4617:$B$4629,0)-2,0)*控制台!$C$4611</f>
        <v>40</v>
      </c>
      <c r="I253" s="1">
        <f ca="1">OFFSET(控制台!$E$4617,MATCH(B253,控制台!$B$4617:$B$4629,0)-1,0)*控制台!$C$4611</f>
        <v>60</v>
      </c>
      <c r="J253" s="1">
        <f>(_xlfn.FLOOR.MATH((C253-1)/20)+1)/2</f>
        <v>1</v>
      </c>
      <c r="K253" s="4">
        <f ca="1">IF(MOD(C253,4)=0,0,Lerp_dyy(H253,I253,J253))</f>
        <v>0</v>
      </c>
      <c r="L253" s="1">
        <f ca="1">OFFSET(控制台!$G$4617,MATCH(B253,控制台!$B$4617:$B$4629,0)-2,0)*控制台!$C$4612</f>
        <v>14</v>
      </c>
      <c r="M253" s="1">
        <f ca="1">OFFSET(控制台!$G$4617,MATCH(B253,控制台!$B$4617:$B$4629,0)-1,0)*控制台!$C$4612</f>
        <v>16</v>
      </c>
      <c r="N253" s="1">
        <v>1</v>
      </c>
      <c r="O253" s="4">
        <f ca="1">IF(MOD(C253,4)=0,Lerp_dyy(L253,M253,N253),0)</f>
        <v>16</v>
      </c>
    </row>
    <row r="254" spans="1:15">
      <c r="A254" s="1">
        <f t="shared" si="7"/>
        <v>729</v>
      </c>
      <c r="B254" s="1">
        <v>7</v>
      </c>
      <c r="C254" s="1">
        <v>29</v>
      </c>
      <c r="D254" s="1">
        <f ca="1">OFFSET(控制台!$C$4617,MATCH(B254,控制台!$B$4617:$B$4629,0)-2,0)*控制台!$C$4610</f>
        <v>40000</v>
      </c>
      <c r="E254" s="1">
        <f ca="1">OFFSET(控制台!$C$4617,MATCH(B254,控制台!$B$4617:$B$4629,0)-1,0)*控制台!$C$4610</f>
        <v>50000</v>
      </c>
      <c r="F254" s="1">
        <f>(_xlfn.FLOOR.MATH((C254-1)/8)+1)/5</f>
        <v>0.8</v>
      </c>
      <c r="G254" s="4">
        <f ca="1">Lerp_dyy(D254,E254,F254)</f>
        <v>48000</v>
      </c>
      <c r="H254" s="1">
        <f ca="1">OFFSET(控制台!$E$4617,MATCH(B254,控制台!$B$4617:$B$4629,0)-2,0)*控制台!$C$4611</f>
        <v>40</v>
      </c>
      <c r="I254" s="1">
        <f ca="1">OFFSET(控制台!$E$4617,MATCH(B254,控制台!$B$4617:$B$4629,0)-1,0)*控制台!$C$4611</f>
        <v>60</v>
      </c>
      <c r="J254" s="1">
        <f>(_xlfn.FLOOR.MATH((C254-1)/20)+1)/2</f>
        <v>1</v>
      </c>
      <c r="K254" s="4">
        <f ca="1">IF(MOD(C254,4)=0,0,Lerp_dyy(H254,I254,J254))</f>
        <v>60</v>
      </c>
      <c r="L254" s="1">
        <f ca="1">OFFSET(控制台!$G$4617,MATCH(B254,控制台!$B$4617:$B$4629,0)-2,0)*控制台!$C$4612</f>
        <v>14</v>
      </c>
      <c r="M254" s="1">
        <f ca="1">OFFSET(控制台!$G$4617,MATCH(B254,控制台!$B$4617:$B$4629,0)-1,0)*控制台!$C$4612</f>
        <v>16</v>
      </c>
      <c r="N254" s="1">
        <v>1</v>
      </c>
      <c r="O254" s="4">
        <f ca="1">IF(MOD(C254,4)=0,Lerp_dyy(L254,M254,N254),0)</f>
        <v>0</v>
      </c>
    </row>
    <row r="255" spans="1:15">
      <c r="A255" s="1">
        <f t="shared" si="7"/>
        <v>730</v>
      </c>
      <c r="B255" s="1">
        <v>7</v>
      </c>
      <c r="C255" s="1">
        <v>30</v>
      </c>
      <c r="D255" s="1">
        <f ca="1">OFFSET(控制台!$C$4617,MATCH(B255,控制台!$B$4617:$B$4629,0)-2,0)*控制台!$C$4610</f>
        <v>40000</v>
      </c>
      <c r="E255" s="1">
        <f ca="1">OFFSET(控制台!$C$4617,MATCH(B255,控制台!$B$4617:$B$4629,0)-1,0)*控制台!$C$4610</f>
        <v>50000</v>
      </c>
      <c r="F255" s="1">
        <f>(_xlfn.FLOOR.MATH((C255-1)/8)+1)/5</f>
        <v>0.8</v>
      </c>
      <c r="G255" s="4">
        <f ca="1">Lerp_dyy(D255,E255,F255)</f>
        <v>48000</v>
      </c>
      <c r="H255" s="1">
        <f ca="1">OFFSET(控制台!$E$4617,MATCH(B255,控制台!$B$4617:$B$4629,0)-2,0)*控制台!$C$4611</f>
        <v>40</v>
      </c>
      <c r="I255" s="1">
        <f ca="1">OFFSET(控制台!$E$4617,MATCH(B255,控制台!$B$4617:$B$4629,0)-1,0)*控制台!$C$4611</f>
        <v>60</v>
      </c>
      <c r="J255" s="1">
        <f>(_xlfn.FLOOR.MATH((C255-1)/20)+1)/2</f>
        <v>1</v>
      </c>
      <c r="K255" s="4">
        <f ca="1">IF(MOD(C255,4)=0,0,Lerp_dyy(H255,I255,J255))</f>
        <v>60</v>
      </c>
      <c r="L255" s="1">
        <f ca="1">OFFSET(控制台!$G$4617,MATCH(B255,控制台!$B$4617:$B$4629,0)-2,0)*控制台!$C$4612</f>
        <v>14</v>
      </c>
      <c r="M255" s="1">
        <f ca="1">OFFSET(控制台!$G$4617,MATCH(B255,控制台!$B$4617:$B$4629,0)-1,0)*控制台!$C$4612</f>
        <v>16</v>
      </c>
      <c r="N255" s="1">
        <v>1</v>
      </c>
      <c r="O255" s="4">
        <f ca="1">IF(MOD(C255,4)=0,Lerp_dyy(L255,M255,N255),0)</f>
        <v>0</v>
      </c>
    </row>
    <row r="256" spans="1:15">
      <c r="A256" s="1">
        <f t="shared" si="7"/>
        <v>731</v>
      </c>
      <c r="B256" s="1">
        <v>7</v>
      </c>
      <c r="C256" s="1">
        <v>31</v>
      </c>
      <c r="D256" s="1">
        <f ca="1">OFFSET(控制台!$C$4617,MATCH(B256,控制台!$B$4617:$B$4629,0)-2,0)*控制台!$C$4610</f>
        <v>40000</v>
      </c>
      <c r="E256" s="1">
        <f ca="1">OFFSET(控制台!$C$4617,MATCH(B256,控制台!$B$4617:$B$4629,0)-1,0)*控制台!$C$4610</f>
        <v>50000</v>
      </c>
      <c r="F256" s="1">
        <f>(_xlfn.FLOOR.MATH((C256-1)/8)+1)/5</f>
        <v>0.8</v>
      </c>
      <c r="G256" s="4">
        <f ca="1">Lerp_dyy(D256,E256,F256)</f>
        <v>48000</v>
      </c>
      <c r="H256" s="1">
        <f ca="1">OFFSET(控制台!$E$4617,MATCH(B256,控制台!$B$4617:$B$4629,0)-2,0)*控制台!$C$4611</f>
        <v>40</v>
      </c>
      <c r="I256" s="1">
        <f ca="1">OFFSET(控制台!$E$4617,MATCH(B256,控制台!$B$4617:$B$4629,0)-1,0)*控制台!$C$4611</f>
        <v>60</v>
      </c>
      <c r="J256" s="1">
        <f>(_xlfn.FLOOR.MATH((C256-1)/20)+1)/2</f>
        <v>1</v>
      </c>
      <c r="K256" s="4">
        <f ca="1">IF(MOD(C256,4)=0,0,Lerp_dyy(H256,I256,J256))</f>
        <v>60</v>
      </c>
      <c r="L256" s="1">
        <f ca="1">OFFSET(控制台!$G$4617,MATCH(B256,控制台!$B$4617:$B$4629,0)-2,0)*控制台!$C$4612</f>
        <v>14</v>
      </c>
      <c r="M256" s="1">
        <f ca="1">OFFSET(控制台!$G$4617,MATCH(B256,控制台!$B$4617:$B$4629,0)-1,0)*控制台!$C$4612</f>
        <v>16</v>
      </c>
      <c r="N256" s="1">
        <v>1</v>
      </c>
      <c r="O256" s="4">
        <f ca="1">IF(MOD(C256,4)=0,Lerp_dyy(L256,M256,N256),0)</f>
        <v>0</v>
      </c>
    </row>
    <row r="257" spans="1:15">
      <c r="A257" s="1">
        <f t="shared" si="7"/>
        <v>732</v>
      </c>
      <c r="B257" s="1">
        <v>7</v>
      </c>
      <c r="C257" s="1">
        <v>32</v>
      </c>
      <c r="D257" s="1">
        <f ca="1">OFFSET(控制台!$C$4617,MATCH(B257,控制台!$B$4617:$B$4629,0)-2,0)*控制台!$C$4610</f>
        <v>40000</v>
      </c>
      <c r="E257" s="1">
        <f ca="1">OFFSET(控制台!$C$4617,MATCH(B257,控制台!$B$4617:$B$4629,0)-1,0)*控制台!$C$4610</f>
        <v>50000</v>
      </c>
      <c r="F257" s="1">
        <f>(_xlfn.FLOOR.MATH((C257-1)/8)+1)/5</f>
        <v>0.8</v>
      </c>
      <c r="G257" s="4">
        <f ca="1">Lerp_dyy(D257,E257,F257)</f>
        <v>48000</v>
      </c>
      <c r="H257" s="1">
        <f ca="1">OFFSET(控制台!$E$4617,MATCH(B257,控制台!$B$4617:$B$4629,0)-2,0)*控制台!$C$4611</f>
        <v>40</v>
      </c>
      <c r="I257" s="1">
        <f ca="1">OFFSET(控制台!$E$4617,MATCH(B257,控制台!$B$4617:$B$4629,0)-1,0)*控制台!$C$4611</f>
        <v>60</v>
      </c>
      <c r="J257" s="1">
        <f>(_xlfn.FLOOR.MATH((C257-1)/20)+1)/2</f>
        <v>1</v>
      </c>
      <c r="K257" s="4">
        <f ca="1">IF(MOD(C257,4)=0,0,Lerp_dyy(H257,I257,J257))</f>
        <v>0</v>
      </c>
      <c r="L257" s="1">
        <f ca="1">OFFSET(控制台!$G$4617,MATCH(B257,控制台!$B$4617:$B$4629,0)-2,0)*控制台!$C$4612</f>
        <v>14</v>
      </c>
      <c r="M257" s="1">
        <f ca="1">OFFSET(控制台!$G$4617,MATCH(B257,控制台!$B$4617:$B$4629,0)-1,0)*控制台!$C$4612</f>
        <v>16</v>
      </c>
      <c r="N257" s="1">
        <v>1</v>
      </c>
      <c r="O257" s="4">
        <f ca="1">IF(MOD(C257,4)=0,Lerp_dyy(L257,M257,N257),0)</f>
        <v>16</v>
      </c>
    </row>
    <row r="258" spans="1:15">
      <c r="A258" s="1">
        <f t="shared" si="7"/>
        <v>733</v>
      </c>
      <c r="B258" s="1">
        <v>7</v>
      </c>
      <c r="C258" s="1">
        <v>33</v>
      </c>
      <c r="D258" s="1">
        <f ca="1">OFFSET(控制台!$C$4617,MATCH(B258,控制台!$B$4617:$B$4629,0)-2,0)*控制台!$C$4610</f>
        <v>40000</v>
      </c>
      <c r="E258" s="1">
        <f ca="1">OFFSET(控制台!$C$4617,MATCH(B258,控制台!$B$4617:$B$4629,0)-1,0)*控制台!$C$4610</f>
        <v>50000</v>
      </c>
      <c r="F258" s="1">
        <f>(_xlfn.FLOOR.MATH((C258-1)/8)+1)/5</f>
        <v>1</v>
      </c>
      <c r="G258" s="4">
        <f ca="1">Lerp_dyy(D258,E258,F258)</f>
        <v>50000</v>
      </c>
      <c r="H258" s="1">
        <f ca="1">OFFSET(控制台!$E$4617,MATCH(B258,控制台!$B$4617:$B$4629,0)-2,0)*控制台!$C$4611</f>
        <v>40</v>
      </c>
      <c r="I258" s="1">
        <f ca="1">OFFSET(控制台!$E$4617,MATCH(B258,控制台!$B$4617:$B$4629,0)-1,0)*控制台!$C$4611</f>
        <v>60</v>
      </c>
      <c r="J258" s="1">
        <f>(_xlfn.FLOOR.MATH((C258-1)/20)+1)/2</f>
        <v>1</v>
      </c>
      <c r="K258" s="4">
        <f ca="1">IF(MOD(C258,4)=0,0,Lerp_dyy(H258,I258,J258))</f>
        <v>60</v>
      </c>
      <c r="L258" s="1">
        <f ca="1">OFFSET(控制台!$G$4617,MATCH(B258,控制台!$B$4617:$B$4629,0)-2,0)*控制台!$C$4612</f>
        <v>14</v>
      </c>
      <c r="M258" s="1">
        <f ca="1">OFFSET(控制台!$G$4617,MATCH(B258,控制台!$B$4617:$B$4629,0)-1,0)*控制台!$C$4612</f>
        <v>16</v>
      </c>
      <c r="N258" s="1">
        <v>1</v>
      </c>
      <c r="O258" s="4">
        <f ca="1">IF(MOD(C258,4)=0,Lerp_dyy(L258,M258,N258),0)</f>
        <v>0</v>
      </c>
    </row>
    <row r="259" spans="1:15">
      <c r="A259" s="1">
        <f t="shared" si="7"/>
        <v>734</v>
      </c>
      <c r="B259" s="1">
        <v>7</v>
      </c>
      <c r="C259" s="1">
        <v>34</v>
      </c>
      <c r="D259" s="1">
        <f ca="1">OFFSET(控制台!$C$4617,MATCH(B259,控制台!$B$4617:$B$4629,0)-2,0)*控制台!$C$4610</f>
        <v>40000</v>
      </c>
      <c r="E259" s="1">
        <f ca="1">OFFSET(控制台!$C$4617,MATCH(B259,控制台!$B$4617:$B$4629,0)-1,0)*控制台!$C$4610</f>
        <v>50000</v>
      </c>
      <c r="F259" s="1">
        <f>(_xlfn.FLOOR.MATH((C259-1)/8)+1)/5</f>
        <v>1</v>
      </c>
      <c r="G259" s="4">
        <f ca="1">Lerp_dyy(D259,E259,F259)</f>
        <v>50000</v>
      </c>
      <c r="H259" s="1">
        <f ca="1">OFFSET(控制台!$E$4617,MATCH(B259,控制台!$B$4617:$B$4629,0)-2,0)*控制台!$C$4611</f>
        <v>40</v>
      </c>
      <c r="I259" s="1">
        <f ca="1">OFFSET(控制台!$E$4617,MATCH(B259,控制台!$B$4617:$B$4629,0)-1,0)*控制台!$C$4611</f>
        <v>60</v>
      </c>
      <c r="J259" s="1">
        <f>(_xlfn.FLOOR.MATH((C259-1)/20)+1)/2</f>
        <v>1</v>
      </c>
      <c r="K259" s="4">
        <f ca="1">IF(MOD(C259,4)=0,0,Lerp_dyy(H259,I259,J259))</f>
        <v>60</v>
      </c>
      <c r="L259" s="1">
        <f ca="1">OFFSET(控制台!$G$4617,MATCH(B259,控制台!$B$4617:$B$4629,0)-2,0)*控制台!$C$4612</f>
        <v>14</v>
      </c>
      <c r="M259" s="1">
        <f ca="1">OFFSET(控制台!$G$4617,MATCH(B259,控制台!$B$4617:$B$4629,0)-1,0)*控制台!$C$4612</f>
        <v>16</v>
      </c>
      <c r="N259" s="1">
        <v>1</v>
      </c>
      <c r="O259" s="4">
        <f ca="1">IF(MOD(C259,4)=0,Lerp_dyy(L259,M259,N259),0)</f>
        <v>0</v>
      </c>
    </row>
    <row r="260" spans="1:15">
      <c r="A260" s="1">
        <f t="shared" si="7"/>
        <v>735</v>
      </c>
      <c r="B260" s="1">
        <v>7</v>
      </c>
      <c r="C260" s="1">
        <v>35</v>
      </c>
      <c r="D260" s="1">
        <f ca="1">OFFSET(控制台!$C$4617,MATCH(B260,控制台!$B$4617:$B$4629,0)-2,0)*控制台!$C$4610</f>
        <v>40000</v>
      </c>
      <c r="E260" s="1">
        <f ca="1">OFFSET(控制台!$C$4617,MATCH(B260,控制台!$B$4617:$B$4629,0)-1,0)*控制台!$C$4610</f>
        <v>50000</v>
      </c>
      <c r="F260" s="1">
        <f>(_xlfn.FLOOR.MATH((C260-1)/8)+1)/5</f>
        <v>1</v>
      </c>
      <c r="G260" s="4">
        <f ca="1">Lerp_dyy(D260,E260,F260)</f>
        <v>50000</v>
      </c>
      <c r="H260" s="1">
        <f ca="1">OFFSET(控制台!$E$4617,MATCH(B260,控制台!$B$4617:$B$4629,0)-2,0)*控制台!$C$4611</f>
        <v>40</v>
      </c>
      <c r="I260" s="1">
        <f ca="1">OFFSET(控制台!$E$4617,MATCH(B260,控制台!$B$4617:$B$4629,0)-1,0)*控制台!$C$4611</f>
        <v>60</v>
      </c>
      <c r="J260" s="1">
        <f>(_xlfn.FLOOR.MATH((C260-1)/20)+1)/2</f>
        <v>1</v>
      </c>
      <c r="K260" s="4">
        <f ca="1">IF(MOD(C260,4)=0,0,Lerp_dyy(H260,I260,J260))</f>
        <v>60</v>
      </c>
      <c r="L260" s="1">
        <f ca="1">OFFSET(控制台!$G$4617,MATCH(B260,控制台!$B$4617:$B$4629,0)-2,0)*控制台!$C$4612</f>
        <v>14</v>
      </c>
      <c r="M260" s="1">
        <f ca="1">OFFSET(控制台!$G$4617,MATCH(B260,控制台!$B$4617:$B$4629,0)-1,0)*控制台!$C$4612</f>
        <v>16</v>
      </c>
      <c r="N260" s="1">
        <v>1</v>
      </c>
      <c r="O260" s="4">
        <f ca="1">IF(MOD(C260,4)=0,Lerp_dyy(L260,M260,N260),0)</f>
        <v>0</v>
      </c>
    </row>
    <row r="261" spans="1:15">
      <c r="A261" s="1">
        <f t="shared" si="7"/>
        <v>736</v>
      </c>
      <c r="B261" s="1">
        <v>7</v>
      </c>
      <c r="C261" s="1">
        <v>36</v>
      </c>
      <c r="D261" s="1">
        <f ca="1">OFFSET(控制台!$C$4617,MATCH(B261,控制台!$B$4617:$B$4629,0)-2,0)*控制台!$C$4610</f>
        <v>40000</v>
      </c>
      <c r="E261" s="1">
        <f ca="1">OFFSET(控制台!$C$4617,MATCH(B261,控制台!$B$4617:$B$4629,0)-1,0)*控制台!$C$4610</f>
        <v>50000</v>
      </c>
      <c r="F261" s="1">
        <f>(_xlfn.FLOOR.MATH((C261-1)/8)+1)/5</f>
        <v>1</v>
      </c>
      <c r="G261" s="4">
        <f ca="1">Lerp_dyy(D261,E261,F261)</f>
        <v>50000</v>
      </c>
      <c r="H261" s="1">
        <f ca="1">OFFSET(控制台!$E$4617,MATCH(B261,控制台!$B$4617:$B$4629,0)-2,0)*控制台!$C$4611</f>
        <v>40</v>
      </c>
      <c r="I261" s="1">
        <f ca="1">OFFSET(控制台!$E$4617,MATCH(B261,控制台!$B$4617:$B$4629,0)-1,0)*控制台!$C$4611</f>
        <v>60</v>
      </c>
      <c r="J261" s="1">
        <f>(_xlfn.FLOOR.MATH((C261-1)/20)+1)/2</f>
        <v>1</v>
      </c>
      <c r="K261" s="4">
        <f ca="1">IF(MOD(C261,4)=0,0,Lerp_dyy(H261,I261,J261))</f>
        <v>0</v>
      </c>
      <c r="L261" s="1">
        <f ca="1">OFFSET(控制台!$G$4617,MATCH(B261,控制台!$B$4617:$B$4629,0)-2,0)*控制台!$C$4612</f>
        <v>14</v>
      </c>
      <c r="M261" s="1">
        <f ca="1">OFFSET(控制台!$G$4617,MATCH(B261,控制台!$B$4617:$B$4629,0)-1,0)*控制台!$C$4612</f>
        <v>16</v>
      </c>
      <c r="N261" s="1">
        <v>1</v>
      </c>
      <c r="O261" s="4">
        <f ca="1">IF(MOD(C261,4)=0,Lerp_dyy(L261,M261,N261),0)</f>
        <v>16</v>
      </c>
    </row>
    <row r="262" spans="1:15">
      <c r="A262" s="1">
        <f t="shared" si="7"/>
        <v>737</v>
      </c>
      <c r="B262" s="1">
        <v>7</v>
      </c>
      <c r="C262" s="1">
        <v>37</v>
      </c>
      <c r="D262" s="1">
        <f ca="1">OFFSET(控制台!$C$4617,MATCH(B262,控制台!$B$4617:$B$4629,0)-2,0)*控制台!$C$4610</f>
        <v>40000</v>
      </c>
      <c r="E262" s="1">
        <f ca="1">OFFSET(控制台!$C$4617,MATCH(B262,控制台!$B$4617:$B$4629,0)-1,0)*控制台!$C$4610</f>
        <v>50000</v>
      </c>
      <c r="F262" s="1">
        <f>(_xlfn.FLOOR.MATH((C262-1)/8)+1)/5</f>
        <v>1</v>
      </c>
      <c r="G262" s="4">
        <f ca="1">Lerp_dyy(D262,E262,F262)</f>
        <v>50000</v>
      </c>
      <c r="H262" s="1">
        <f ca="1">OFFSET(控制台!$E$4617,MATCH(B262,控制台!$B$4617:$B$4629,0)-2,0)*控制台!$C$4611</f>
        <v>40</v>
      </c>
      <c r="I262" s="1">
        <f ca="1">OFFSET(控制台!$E$4617,MATCH(B262,控制台!$B$4617:$B$4629,0)-1,0)*控制台!$C$4611</f>
        <v>60</v>
      </c>
      <c r="J262" s="1">
        <f>(_xlfn.FLOOR.MATH((C262-1)/20)+1)/2</f>
        <v>1</v>
      </c>
      <c r="K262" s="4">
        <f ca="1">IF(MOD(C262,4)=0,0,Lerp_dyy(H262,I262,J262))</f>
        <v>60</v>
      </c>
      <c r="L262" s="1">
        <f ca="1">OFFSET(控制台!$G$4617,MATCH(B262,控制台!$B$4617:$B$4629,0)-2,0)*控制台!$C$4612</f>
        <v>14</v>
      </c>
      <c r="M262" s="1">
        <f ca="1">OFFSET(控制台!$G$4617,MATCH(B262,控制台!$B$4617:$B$4629,0)-1,0)*控制台!$C$4612</f>
        <v>16</v>
      </c>
      <c r="N262" s="1">
        <v>1</v>
      </c>
      <c r="O262" s="4">
        <f ca="1">IF(MOD(C262,4)=0,Lerp_dyy(L262,M262,N262),0)</f>
        <v>0</v>
      </c>
    </row>
    <row r="263" spans="1:15">
      <c r="A263" s="1">
        <f t="shared" si="7"/>
        <v>738</v>
      </c>
      <c r="B263" s="1">
        <v>7</v>
      </c>
      <c r="C263" s="1">
        <v>38</v>
      </c>
      <c r="D263" s="1">
        <f ca="1">OFFSET(控制台!$C$4617,MATCH(B263,控制台!$B$4617:$B$4629,0)-2,0)*控制台!$C$4610</f>
        <v>40000</v>
      </c>
      <c r="E263" s="1">
        <f ca="1">OFFSET(控制台!$C$4617,MATCH(B263,控制台!$B$4617:$B$4629,0)-1,0)*控制台!$C$4610</f>
        <v>50000</v>
      </c>
      <c r="F263" s="1">
        <f>(_xlfn.FLOOR.MATH((C263-1)/8)+1)/5</f>
        <v>1</v>
      </c>
      <c r="G263" s="4">
        <f ca="1">Lerp_dyy(D263,E263,F263)</f>
        <v>50000</v>
      </c>
      <c r="H263" s="1">
        <f ca="1">OFFSET(控制台!$E$4617,MATCH(B263,控制台!$B$4617:$B$4629,0)-2,0)*控制台!$C$4611</f>
        <v>40</v>
      </c>
      <c r="I263" s="1">
        <f ca="1">OFFSET(控制台!$E$4617,MATCH(B263,控制台!$B$4617:$B$4629,0)-1,0)*控制台!$C$4611</f>
        <v>60</v>
      </c>
      <c r="J263" s="1">
        <f>(_xlfn.FLOOR.MATH((C263-1)/20)+1)/2</f>
        <v>1</v>
      </c>
      <c r="K263" s="4">
        <f ca="1">IF(MOD(C263,4)=0,0,Lerp_dyy(H263,I263,J263))</f>
        <v>60</v>
      </c>
      <c r="L263" s="1">
        <f ca="1">OFFSET(控制台!$G$4617,MATCH(B263,控制台!$B$4617:$B$4629,0)-2,0)*控制台!$C$4612</f>
        <v>14</v>
      </c>
      <c r="M263" s="1">
        <f ca="1">OFFSET(控制台!$G$4617,MATCH(B263,控制台!$B$4617:$B$4629,0)-1,0)*控制台!$C$4612</f>
        <v>16</v>
      </c>
      <c r="N263" s="1">
        <v>1</v>
      </c>
      <c r="O263" s="4">
        <f ca="1">IF(MOD(C263,4)=0,Lerp_dyy(L263,M263,N263),0)</f>
        <v>0</v>
      </c>
    </row>
    <row r="264" spans="1:15">
      <c r="A264" s="1">
        <f t="shared" si="7"/>
        <v>739</v>
      </c>
      <c r="B264" s="1">
        <v>7</v>
      </c>
      <c r="C264" s="1">
        <v>39</v>
      </c>
      <c r="D264" s="1">
        <f ca="1">OFFSET(控制台!$C$4617,MATCH(B264,控制台!$B$4617:$B$4629,0)-2,0)*控制台!$C$4610</f>
        <v>40000</v>
      </c>
      <c r="E264" s="1">
        <f ca="1">OFFSET(控制台!$C$4617,MATCH(B264,控制台!$B$4617:$B$4629,0)-1,0)*控制台!$C$4610</f>
        <v>50000</v>
      </c>
      <c r="F264" s="1">
        <f>(_xlfn.FLOOR.MATH((C264-1)/8)+1)/5</f>
        <v>1</v>
      </c>
      <c r="G264" s="4">
        <f ca="1">Lerp_dyy(D264,E264,F264)</f>
        <v>50000</v>
      </c>
      <c r="H264" s="1">
        <f ca="1">OFFSET(控制台!$E$4617,MATCH(B264,控制台!$B$4617:$B$4629,0)-2,0)*控制台!$C$4611</f>
        <v>40</v>
      </c>
      <c r="I264" s="1">
        <f ca="1">OFFSET(控制台!$E$4617,MATCH(B264,控制台!$B$4617:$B$4629,0)-1,0)*控制台!$C$4611</f>
        <v>60</v>
      </c>
      <c r="J264" s="1">
        <f>(_xlfn.FLOOR.MATH((C264-1)/20)+1)/2</f>
        <v>1</v>
      </c>
      <c r="K264" s="4">
        <f ca="1">IF(MOD(C264,4)=0,0,Lerp_dyy(H264,I264,J264))</f>
        <v>60</v>
      </c>
      <c r="L264" s="1">
        <f ca="1">OFFSET(控制台!$G$4617,MATCH(B264,控制台!$B$4617:$B$4629,0)-2,0)*控制台!$C$4612</f>
        <v>14</v>
      </c>
      <c r="M264" s="1">
        <f ca="1">OFFSET(控制台!$G$4617,MATCH(B264,控制台!$B$4617:$B$4629,0)-1,0)*控制台!$C$4612</f>
        <v>16</v>
      </c>
      <c r="N264" s="1">
        <v>1</v>
      </c>
      <c r="O264" s="4">
        <f ca="1">IF(MOD(C264,4)=0,Lerp_dyy(L264,M264,N264),0)</f>
        <v>0</v>
      </c>
    </row>
    <row r="265" spans="1:15">
      <c r="A265" s="1">
        <f t="shared" si="7"/>
        <v>740</v>
      </c>
      <c r="B265" s="1">
        <v>7</v>
      </c>
      <c r="C265" s="1">
        <v>40</v>
      </c>
      <c r="D265" s="1">
        <f ca="1">OFFSET(控制台!$C$4617,MATCH(B265,控制台!$B$4617:$B$4629,0)-2,0)*控制台!$C$4610</f>
        <v>40000</v>
      </c>
      <c r="E265" s="1">
        <f ca="1">OFFSET(控制台!$C$4617,MATCH(B265,控制台!$B$4617:$B$4629,0)-1,0)*控制台!$C$4610</f>
        <v>50000</v>
      </c>
      <c r="F265" s="1">
        <f>(_xlfn.FLOOR.MATH((C265-1)/8)+1)/5</f>
        <v>1</v>
      </c>
      <c r="G265" s="4">
        <f ca="1">Lerp_dyy(D265,E265,F265)</f>
        <v>50000</v>
      </c>
      <c r="H265" s="1">
        <f ca="1">OFFSET(控制台!$E$4617,MATCH(B265,控制台!$B$4617:$B$4629,0)-2,0)*控制台!$C$4611</f>
        <v>40</v>
      </c>
      <c r="I265" s="1">
        <f ca="1">OFFSET(控制台!$E$4617,MATCH(B265,控制台!$B$4617:$B$4629,0)-1,0)*控制台!$C$4611</f>
        <v>60</v>
      </c>
      <c r="J265" s="1">
        <f>(_xlfn.FLOOR.MATH((C265-1)/20)+1)/2</f>
        <v>1</v>
      </c>
      <c r="K265" s="4">
        <f ca="1">IF(MOD(C265,4)=0,0,Lerp_dyy(H265,I265,J265))</f>
        <v>0</v>
      </c>
      <c r="L265" s="1">
        <f ca="1">OFFSET(控制台!$G$4617,MATCH(B265,控制台!$B$4617:$B$4629,0)-2,0)*控制台!$C$4612</f>
        <v>14</v>
      </c>
      <c r="M265" s="1">
        <f ca="1">OFFSET(控制台!$G$4617,MATCH(B265,控制台!$B$4617:$B$4629,0)-1,0)*控制台!$C$4612</f>
        <v>16</v>
      </c>
      <c r="N265" s="1">
        <v>1</v>
      </c>
      <c r="O265" s="4">
        <f ca="1">IF(MOD(C265,4)=0,Lerp_dyy(L265,M265,N265),0)</f>
        <v>16</v>
      </c>
    </row>
    <row r="266" spans="1:15">
      <c r="A266" s="1">
        <f t="shared" si="7"/>
        <v>801</v>
      </c>
      <c r="B266" s="1">
        <v>8</v>
      </c>
      <c r="C266" s="1">
        <v>1</v>
      </c>
      <c r="D266" s="1">
        <f ca="1">OFFSET(控制台!$C$4617,MATCH(B266,控制台!$B$4617:$B$4629,0)-2,0)*控制台!$C$4610</f>
        <v>50000</v>
      </c>
      <c r="E266" s="1">
        <f ca="1">OFFSET(控制台!$C$4617,MATCH(B266,控制台!$B$4617:$B$4629,0)-1,0)*控制台!$C$4610</f>
        <v>60000</v>
      </c>
      <c r="F266" s="1">
        <f>(_xlfn.FLOOR.MATH((C266-1)/8)+1)/5</f>
        <v>0.2</v>
      </c>
      <c r="G266" s="4">
        <f ca="1">Lerp_dyy(D266,E266,F266)</f>
        <v>52000</v>
      </c>
      <c r="H266" s="1">
        <f ca="1">OFFSET(控制台!$E$4617,MATCH(B266,控制台!$B$4617:$B$4629,0)-2,0)*控制台!$C$4611</f>
        <v>60</v>
      </c>
      <c r="I266" s="1">
        <f ca="1">OFFSET(控制台!$E$4617,MATCH(B266,控制台!$B$4617:$B$4629,0)-1,0)*控制台!$C$4611</f>
        <v>60</v>
      </c>
      <c r="J266" s="1">
        <f>(_xlfn.FLOOR.MATH((C266-1)/20)+1)/2</f>
        <v>0.5</v>
      </c>
      <c r="K266" s="4">
        <f ca="1">IF(MOD(C266,4)=0,0,Lerp_dyy(H266,I266,J266))</f>
        <v>60</v>
      </c>
      <c r="L266" s="1">
        <f ca="1">OFFSET(控制台!$G$4617,MATCH(B266,控制台!$B$4617:$B$4629,0)-2,0)*控制台!$C$4612</f>
        <v>16</v>
      </c>
      <c r="M266" s="1">
        <f ca="1">OFFSET(控制台!$G$4617,MATCH(B266,控制台!$B$4617:$B$4629,0)-1,0)*控制台!$C$4612</f>
        <v>16</v>
      </c>
      <c r="N266" s="1">
        <v>1</v>
      </c>
      <c r="O266" s="4">
        <f ca="1">IF(MOD(C266,4)=0,Lerp_dyy(L266,M266,N266),0)</f>
        <v>0</v>
      </c>
    </row>
    <row r="267" spans="1:15">
      <c r="A267" s="1">
        <f t="shared" si="7"/>
        <v>802</v>
      </c>
      <c r="B267" s="1">
        <v>8</v>
      </c>
      <c r="C267" s="1">
        <v>2</v>
      </c>
      <c r="D267" s="1">
        <f ca="1">OFFSET(控制台!$C$4617,MATCH(B267,控制台!$B$4617:$B$4629,0)-2,0)*控制台!$C$4610</f>
        <v>50000</v>
      </c>
      <c r="E267" s="1">
        <f ca="1">OFFSET(控制台!$C$4617,MATCH(B267,控制台!$B$4617:$B$4629,0)-1,0)*控制台!$C$4610</f>
        <v>60000</v>
      </c>
      <c r="F267" s="1">
        <f>(_xlfn.FLOOR.MATH((C267-1)/8)+1)/5</f>
        <v>0.2</v>
      </c>
      <c r="G267" s="4">
        <f ca="1">Lerp_dyy(D267,E267,F267)</f>
        <v>52000</v>
      </c>
      <c r="H267" s="1">
        <f ca="1">OFFSET(控制台!$E$4617,MATCH(B267,控制台!$B$4617:$B$4629,0)-2,0)*控制台!$C$4611</f>
        <v>60</v>
      </c>
      <c r="I267" s="1">
        <f ca="1">OFFSET(控制台!$E$4617,MATCH(B267,控制台!$B$4617:$B$4629,0)-1,0)*控制台!$C$4611</f>
        <v>60</v>
      </c>
      <c r="J267" s="1">
        <f>(_xlfn.FLOOR.MATH((C267-1)/20)+1)/2</f>
        <v>0.5</v>
      </c>
      <c r="K267" s="4">
        <f ca="1">IF(MOD(C267,4)=0,0,Lerp_dyy(H267,I267,J267))</f>
        <v>60</v>
      </c>
      <c r="L267" s="1">
        <f ca="1">OFFSET(控制台!$G$4617,MATCH(B267,控制台!$B$4617:$B$4629,0)-2,0)*控制台!$C$4612</f>
        <v>16</v>
      </c>
      <c r="M267" s="1">
        <f ca="1">OFFSET(控制台!$G$4617,MATCH(B267,控制台!$B$4617:$B$4629,0)-1,0)*控制台!$C$4612</f>
        <v>16</v>
      </c>
      <c r="N267" s="1">
        <v>1</v>
      </c>
      <c r="O267" s="4">
        <f ca="1">IF(MOD(C267,4)=0,Lerp_dyy(L267,M267,N267),0)</f>
        <v>0</v>
      </c>
    </row>
    <row r="268" spans="1:15">
      <c r="A268" s="1">
        <f t="shared" si="7"/>
        <v>803</v>
      </c>
      <c r="B268" s="1">
        <v>8</v>
      </c>
      <c r="C268" s="1">
        <v>3</v>
      </c>
      <c r="D268" s="1">
        <f ca="1">OFFSET(控制台!$C$4617,MATCH(B268,控制台!$B$4617:$B$4629,0)-2,0)*控制台!$C$4610</f>
        <v>50000</v>
      </c>
      <c r="E268" s="1">
        <f ca="1">OFFSET(控制台!$C$4617,MATCH(B268,控制台!$B$4617:$B$4629,0)-1,0)*控制台!$C$4610</f>
        <v>60000</v>
      </c>
      <c r="F268" s="1">
        <f>(_xlfn.FLOOR.MATH((C268-1)/8)+1)/5</f>
        <v>0.2</v>
      </c>
      <c r="G268" s="4">
        <f ca="1">Lerp_dyy(D268,E268,F268)</f>
        <v>52000</v>
      </c>
      <c r="H268" s="1">
        <f ca="1">OFFSET(控制台!$E$4617,MATCH(B268,控制台!$B$4617:$B$4629,0)-2,0)*控制台!$C$4611</f>
        <v>60</v>
      </c>
      <c r="I268" s="1">
        <f ca="1">OFFSET(控制台!$E$4617,MATCH(B268,控制台!$B$4617:$B$4629,0)-1,0)*控制台!$C$4611</f>
        <v>60</v>
      </c>
      <c r="J268" s="1">
        <f>(_xlfn.FLOOR.MATH((C268-1)/20)+1)/2</f>
        <v>0.5</v>
      </c>
      <c r="K268" s="4">
        <f ca="1">IF(MOD(C268,4)=0,0,Lerp_dyy(H268,I268,J268))</f>
        <v>60</v>
      </c>
      <c r="L268" s="1">
        <f ca="1">OFFSET(控制台!$G$4617,MATCH(B268,控制台!$B$4617:$B$4629,0)-2,0)*控制台!$C$4612</f>
        <v>16</v>
      </c>
      <c r="M268" s="1">
        <f ca="1">OFFSET(控制台!$G$4617,MATCH(B268,控制台!$B$4617:$B$4629,0)-1,0)*控制台!$C$4612</f>
        <v>16</v>
      </c>
      <c r="N268" s="1">
        <v>1</v>
      </c>
      <c r="O268" s="4">
        <f ca="1">IF(MOD(C268,4)=0,Lerp_dyy(L268,M268,N268),0)</f>
        <v>0</v>
      </c>
    </row>
    <row r="269" spans="1:15">
      <c r="A269" s="1">
        <f t="shared" si="7"/>
        <v>804</v>
      </c>
      <c r="B269" s="1">
        <v>8</v>
      </c>
      <c r="C269" s="1">
        <v>4</v>
      </c>
      <c r="D269" s="1">
        <f ca="1">OFFSET(控制台!$C$4617,MATCH(B269,控制台!$B$4617:$B$4629,0)-2,0)*控制台!$C$4610</f>
        <v>50000</v>
      </c>
      <c r="E269" s="1">
        <f ca="1">OFFSET(控制台!$C$4617,MATCH(B269,控制台!$B$4617:$B$4629,0)-1,0)*控制台!$C$4610</f>
        <v>60000</v>
      </c>
      <c r="F269" s="1">
        <f>(_xlfn.FLOOR.MATH((C269-1)/8)+1)/5</f>
        <v>0.2</v>
      </c>
      <c r="G269" s="4">
        <f ca="1">Lerp_dyy(D269,E269,F269)</f>
        <v>52000</v>
      </c>
      <c r="H269" s="1">
        <f ca="1">OFFSET(控制台!$E$4617,MATCH(B269,控制台!$B$4617:$B$4629,0)-2,0)*控制台!$C$4611</f>
        <v>60</v>
      </c>
      <c r="I269" s="1">
        <f ca="1">OFFSET(控制台!$E$4617,MATCH(B269,控制台!$B$4617:$B$4629,0)-1,0)*控制台!$C$4611</f>
        <v>60</v>
      </c>
      <c r="J269" s="1">
        <f>(_xlfn.FLOOR.MATH((C269-1)/20)+1)/2</f>
        <v>0.5</v>
      </c>
      <c r="K269" s="4">
        <f ca="1">IF(MOD(C269,4)=0,0,Lerp_dyy(H269,I269,J269))</f>
        <v>0</v>
      </c>
      <c r="L269" s="1">
        <f ca="1">OFFSET(控制台!$G$4617,MATCH(B269,控制台!$B$4617:$B$4629,0)-2,0)*控制台!$C$4612</f>
        <v>16</v>
      </c>
      <c r="M269" s="1">
        <f ca="1">OFFSET(控制台!$G$4617,MATCH(B269,控制台!$B$4617:$B$4629,0)-1,0)*控制台!$C$4612</f>
        <v>16</v>
      </c>
      <c r="N269" s="1">
        <v>1</v>
      </c>
      <c r="O269" s="4">
        <f ca="1">IF(MOD(C269,4)=0,Lerp_dyy(L269,M269,N269),0)</f>
        <v>16</v>
      </c>
    </row>
    <row r="270" spans="1:15">
      <c r="A270" s="1">
        <f t="shared" si="7"/>
        <v>805</v>
      </c>
      <c r="B270" s="1">
        <v>8</v>
      </c>
      <c r="C270" s="1">
        <v>5</v>
      </c>
      <c r="D270" s="1">
        <f ca="1">OFFSET(控制台!$C$4617,MATCH(B270,控制台!$B$4617:$B$4629,0)-2,0)*控制台!$C$4610</f>
        <v>50000</v>
      </c>
      <c r="E270" s="1">
        <f ca="1">OFFSET(控制台!$C$4617,MATCH(B270,控制台!$B$4617:$B$4629,0)-1,0)*控制台!$C$4610</f>
        <v>60000</v>
      </c>
      <c r="F270" s="1">
        <f>(_xlfn.FLOOR.MATH((C270-1)/8)+1)/5</f>
        <v>0.2</v>
      </c>
      <c r="G270" s="4">
        <f ca="1">Lerp_dyy(D270,E270,F270)</f>
        <v>52000</v>
      </c>
      <c r="H270" s="1">
        <f ca="1">OFFSET(控制台!$E$4617,MATCH(B270,控制台!$B$4617:$B$4629,0)-2,0)*控制台!$C$4611</f>
        <v>60</v>
      </c>
      <c r="I270" s="1">
        <f ca="1">OFFSET(控制台!$E$4617,MATCH(B270,控制台!$B$4617:$B$4629,0)-1,0)*控制台!$C$4611</f>
        <v>60</v>
      </c>
      <c r="J270" s="1">
        <f>(_xlfn.FLOOR.MATH((C270-1)/20)+1)/2</f>
        <v>0.5</v>
      </c>
      <c r="K270" s="4">
        <f ca="1">IF(MOD(C270,4)=0,0,Lerp_dyy(H270,I270,J270))</f>
        <v>60</v>
      </c>
      <c r="L270" s="1">
        <f ca="1">OFFSET(控制台!$G$4617,MATCH(B270,控制台!$B$4617:$B$4629,0)-2,0)*控制台!$C$4612</f>
        <v>16</v>
      </c>
      <c r="M270" s="1">
        <f ca="1">OFFSET(控制台!$G$4617,MATCH(B270,控制台!$B$4617:$B$4629,0)-1,0)*控制台!$C$4612</f>
        <v>16</v>
      </c>
      <c r="N270" s="1">
        <v>1</v>
      </c>
      <c r="O270" s="4">
        <f ca="1">IF(MOD(C270,4)=0,Lerp_dyy(L270,M270,N270),0)</f>
        <v>0</v>
      </c>
    </row>
    <row r="271" spans="1:15">
      <c r="A271" s="1">
        <f t="shared" si="7"/>
        <v>806</v>
      </c>
      <c r="B271" s="1">
        <v>8</v>
      </c>
      <c r="C271" s="1">
        <v>6</v>
      </c>
      <c r="D271" s="1">
        <f ca="1">OFFSET(控制台!$C$4617,MATCH(B271,控制台!$B$4617:$B$4629,0)-2,0)*控制台!$C$4610</f>
        <v>50000</v>
      </c>
      <c r="E271" s="1">
        <f ca="1">OFFSET(控制台!$C$4617,MATCH(B271,控制台!$B$4617:$B$4629,0)-1,0)*控制台!$C$4610</f>
        <v>60000</v>
      </c>
      <c r="F271" s="1">
        <f>(_xlfn.FLOOR.MATH((C271-1)/8)+1)/5</f>
        <v>0.2</v>
      </c>
      <c r="G271" s="4">
        <f ca="1">Lerp_dyy(D271,E271,F271)</f>
        <v>52000</v>
      </c>
      <c r="H271" s="1">
        <f ca="1">OFFSET(控制台!$E$4617,MATCH(B271,控制台!$B$4617:$B$4629,0)-2,0)*控制台!$C$4611</f>
        <v>60</v>
      </c>
      <c r="I271" s="1">
        <f ca="1">OFFSET(控制台!$E$4617,MATCH(B271,控制台!$B$4617:$B$4629,0)-1,0)*控制台!$C$4611</f>
        <v>60</v>
      </c>
      <c r="J271" s="1">
        <f>(_xlfn.FLOOR.MATH((C271-1)/20)+1)/2</f>
        <v>0.5</v>
      </c>
      <c r="K271" s="4">
        <f ca="1">IF(MOD(C271,4)=0,0,Lerp_dyy(H271,I271,J271))</f>
        <v>60</v>
      </c>
      <c r="L271" s="1">
        <f ca="1">OFFSET(控制台!$G$4617,MATCH(B271,控制台!$B$4617:$B$4629,0)-2,0)*控制台!$C$4612</f>
        <v>16</v>
      </c>
      <c r="M271" s="1">
        <f ca="1">OFFSET(控制台!$G$4617,MATCH(B271,控制台!$B$4617:$B$4629,0)-1,0)*控制台!$C$4612</f>
        <v>16</v>
      </c>
      <c r="N271" s="1">
        <v>1</v>
      </c>
      <c r="O271" s="4">
        <f ca="1">IF(MOD(C271,4)=0,Lerp_dyy(L271,M271,N271),0)</f>
        <v>0</v>
      </c>
    </row>
    <row r="272" spans="1:15">
      <c r="A272" s="1">
        <f t="shared" si="7"/>
        <v>807</v>
      </c>
      <c r="B272" s="1">
        <v>8</v>
      </c>
      <c r="C272" s="1">
        <v>7</v>
      </c>
      <c r="D272" s="1">
        <f ca="1">OFFSET(控制台!$C$4617,MATCH(B272,控制台!$B$4617:$B$4629,0)-2,0)*控制台!$C$4610</f>
        <v>50000</v>
      </c>
      <c r="E272" s="1">
        <f ca="1">OFFSET(控制台!$C$4617,MATCH(B272,控制台!$B$4617:$B$4629,0)-1,0)*控制台!$C$4610</f>
        <v>60000</v>
      </c>
      <c r="F272" s="1">
        <f>(_xlfn.FLOOR.MATH((C272-1)/8)+1)/5</f>
        <v>0.2</v>
      </c>
      <c r="G272" s="4">
        <f ca="1">Lerp_dyy(D272,E272,F272)</f>
        <v>52000</v>
      </c>
      <c r="H272" s="1">
        <f ca="1">OFFSET(控制台!$E$4617,MATCH(B272,控制台!$B$4617:$B$4629,0)-2,0)*控制台!$C$4611</f>
        <v>60</v>
      </c>
      <c r="I272" s="1">
        <f ca="1">OFFSET(控制台!$E$4617,MATCH(B272,控制台!$B$4617:$B$4629,0)-1,0)*控制台!$C$4611</f>
        <v>60</v>
      </c>
      <c r="J272" s="1">
        <f>(_xlfn.FLOOR.MATH((C272-1)/20)+1)/2</f>
        <v>0.5</v>
      </c>
      <c r="K272" s="4">
        <f ca="1">IF(MOD(C272,4)=0,0,Lerp_dyy(H272,I272,J272))</f>
        <v>60</v>
      </c>
      <c r="L272" s="1">
        <f ca="1">OFFSET(控制台!$G$4617,MATCH(B272,控制台!$B$4617:$B$4629,0)-2,0)*控制台!$C$4612</f>
        <v>16</v>
      </c>
      <c r="M272" s="1">
        <f ca="1">OFFSET(控制台!$G$4617,MATCH(B272,控制台!$B$4617:$B$4629,0)-1,0)*控制台!$C$4612</f>
        <v>16</v>
      </c>
      <c r="N272" s="1">
        <v>1</v>
      </c>
      <c r="O272" s="4">
        <f ca="1">IF(MOD(C272,4)=0,Lerp_dyy(L272,M272,N272),0)</f>
        <v>0</v>
      </c>
    </row>
    <row r="273" spans="1:15">
      <c r="A273" s="1">
        <f t="shared" si="7"/>
        <v>808</v>
      </c>
      <c r="B273" s="1">
        <v>8</v>
      </c>
      <c r="C273" s="1">
        <v>8</v>
      </c>
      <c r="D273" s="1">
        <f ca="1">OFFSET(控制台!$C$4617,MATCH(B273,控制台!$B$4617:$B$4629,0)-2,0)*控制台!$C$4610</f>
        <v>50000</v>
      </c>
      <c r="E273" s="1">
        <f ca="1">OFFSET(控制台!$C$4617,MATCH(B273,控制台!$B$4617:$B$4629,0)-1,0)*控制台!$C$4610</f>
        <v>60000</v>
      </c>
      <c r="F273" s="1">
        <f>(_xlfn.FLOOR.MATH((C273-1)/8)+1)/5</f>
        <v>0.2</v>
      </c>
      <c r="G273" s="4">
        <f ca="1">Lerp_dyy(D273,E273,F273)</f>
        <v>52000</v>
      </c>
      <c r="H273" s="1">
        <f ca="1">OFFSET(控制台!$E$4617,MATCH(B273,控制台!$B$4617:$B$4629,0)-2,0)*控制台!$C$4611</f>
        <v>60</v>
      </c>
      <c r="I273" s="1">
        <f ca="1">OFFSET(控制台!$E$4617,MATCH(B273,控制台!$B$4617:$B$4629,0)-1,0)*控制台!$C$4611</f>
        <v>60</v>
      </c>
      <c r="J273" s="1">
        <f>(_xlfn.FLOOR.MATH((C273-1)/20)+1)/2</f>
        <v>0.5</v>
      </c>
      <c r="K273" s="4">
        <f ca="1">IF(MOD(C273,4)=0,0,Lerp_dyy(H273,I273,J273))</f>
        <v>0</v>
      </c>
      <c r="L273" s="1">
        <f ca="1">OFFSET(控制台!$G$4617,MATCH(B273,控制台!$B$4617:$B$4629,0)-2,0)*控制台!$C$4612</f>
        <v>16</v>
      </c>
      <c r="M273" s="1">
        <f ca="1">OFFSET(控制台!$G$4617,MATCH(B273,控制台!$B$4617:$B$4629,0)-1,0)*控制台!$C$4612</f>
        <v>16</v>
      </c>
      <c r="N273" s="1">
        <v>1</v>
      </c>
      <c r="O273" s="4">
        <f ca="1">IF(MOD(C273,4)=0,Lerp_dyy(L273,M273,N273),0)</f>
        <v>16</v>
      </c>
    </row>
    <row r="274" spans="1:15">
      <c r="A274" s="1">
        <f t="shared" si="7"/>
        <v>809</v>
      </c>
      <c r="B274" s="1">
        <v>8</v>
      </c>
      <c r="C274" s="1">
        <v>9</v>
      </c>
      <c r="D274" s="1">
        <f ca="1">OFFSET(控制台!$C$4617,MATCH(B274,控制台!$B$4617:$B$4629,0)-2,0)*控制台!$C$4610</f>
        <v>50000</v>
      </c>
      <c r="E274" s="1">
        <f ca="1">OFFSET(控制台!$C$4617,MATCH(B274,控制台!$B$4617:$B$4629,0)-1,0)*控制台!$C$4610</f>
        <v>60000</v>
      </c>
      <c r="F274" s="1">
        <f>(_xlfn.FLOOR.MATH((C274-1)/8)+1)/5</f>
        <v>0.4</v>
      </c>
      <c r="G274" s="4">
        <f ca="1">Lerp_dyy(D274,E274,F274)</f>
        <v>54000</v>
      </c>
      <c r="H274" s="1">
        <f ca="1">OFFSET(控制台!$E$4617,MATCH(B274,控制台!$B$4617:$B$4629,0)-2,0)*控制台!$C$4611</f>
        <v>60</v>
      </c>
      <c r="I274" s="1">
        <f ca="1">OFFSET(控制台!$E$4617,MATCH(B274,控制台!$B$4617:$B$4629,0)-1,0)*控制台!$C$4611</f>
        <v>60</v>
      </c>
      <c r="J274" s="1">
        <f>(_xlfn.FLOOR.MATH((C274-1)/20)+1)/2</f>
        <v>0.5</v>
      </c>
      <c r="K274" s="4">
        <f ca="1">IF(MOD(C274,4)=0,0,Lerp_dyy(H274,I274,J274))</f>
        <v>60</v>
      </c>
      <c r="L274" s="1">
        <f ca="1">OFFSET(控制台!$G$4617,MATCH(B274,控制台!$B$4617:$B$4629,0)-2,0)*控制台!$C$4612</f>
        <v>16</v>
      </c>
      <c r="M274" s="1">
        <f ca="1">OFFSET(控制台!$G$4617,MATCH(B274,控制台!$B$4617:$B$4629,0)-1,0)*控制台!$C$4612</f>
        <v>16</v>
      </c>
      <c r="N274" s="1">
        <v>1</v>
      </c>
      <c r="O274" s="4">
        <f ca="1">IF(MOD(C274,4)=0,Lerp_dyy(L274,M274,N274),0)</f>
        <v>0</v>
      </c>
    </row>
    <row r="275" spans="1:15">
      <c r="A275" s="1">
        <f t="shared" si="7"/>
        <v>810</v>
      </c>
      <c r="B275" s="1">
        <v>8</v>
      </c>
      <c r="C275" s="1">
        <v>10</v>
      </c>
      <c r="D275" s="1">
        <f ca="1">OFFSET(控制台!$C$4617,MATCH(B275,控制台!$B$4617:$B$4629,0)-2,0)*控制台!$C$4610</f>
        <v>50000</v>
      </c>
      <c r="E275" s="1">
        <f ca="1">OFFSET(控制台!$C$4617,MATCH(B275,控制台!$B$4617:$B$4629,0)-1,0)*控制台!$C$4610</f>
        <v>60000</v>
      </c>
      <c r="F275" s="1">
        <f>(_xlfn.FLOOR.MATH((C275-1)/8)+1)/5</f>
        <v>0.4</v>
      </c>
      <c r="G275" s="4">
        <f ca="1">Lerp_dyy(D275,E275,F275)</f>
        <v>54000</v>
      </c>
      <c r="H275" s="1">
        <f ca="1">OFFSET(控制台!$E$4617,MATCH(B275,控制台!$B$4617:$B$4629,0)-2,0)*控制台!$C$4611</f>
        <v>60</v>
      </c>
      <c r="I275" s="1">
        <f ca="1">OFFSET(控制台!$E$4617,MATCH(B275,控制台!$B$4617:$B$4629,0)-1,0)*控制台!$C$4611</f>
        <v>60</v>
      </c>
      <c r="J275" s="1">
        <f>(_xlfn.FLOOR.MATH((C275-1)/20)+1)/2</f>
        <v>0.5</v>
      </c>
      <c r="K275" s="4">
        <f ca="1">IF(MOD(C275,4)=0,0,Lerp_dyy(H275,I275,J275))</f>
        <v>60</v>
      </c>
      <c r="L275" s="1">
        <f ca="1">OFFSET(控制台!$G$4617,MATCH(B275,控制台!$B$4617:$B$4629,0)-2,0)*控制台!$C$4612</f>
        <v>16</v>
      </c>
      <c r="M275" s="1">
        <f ca="1">OFFSET(控制台!$G$4617,MATCH(B275,控制台!$B$4617:$B$4629,0)-1,0)*控制台!$C$4612</f>
        <v>16</v>
      </c>
      <c r="N275" s="1">
        <v>1</v>
      </c>
      <c r="O275" s="4">
        <f ca="1">IF(MOD(C275,4)=0,Lerp_dyy(L275,M275,N275),0)</f>
        <v>0</v>
      </c>
    </row>
    <row r="276" spans="1:15">
      <c r="A276" s="1">
        <f t="shared" si="7"/>
        <v>811</v>
      </c>
      <c r="B276" s="1">
        <v>8</v>
      </c>
      <c r="C276" s="1">
        <v>11</v>
      </c>
      <c r="D276" s="1">
        <f ca="1">OFFSET(控制台!$C$4617,MATCH(B276,控制台!$B$4617:$B$4629,0)-2,0)*控制台!$C$4610</f>
        <v>50000</v>
      </c>
      <c r="E276" s="1">
        <f ca="1">OFFSET(控制台!$C$4617,MATCH(B276,控制台!$B$4617:$B$4629,0)-1,0)*控制台!$C$4610</f>
        <v>60000</v>
      </c>
      <c r="F276" s="1">
        <f>(_xlfn.FLOOR.MATH((C276-1)/8)+1)/5</f>
        <v>0.4</v>
      </c>
      <c r="G276" s="4">
        <f ca="1">Lerp_dyy(D276,E276,F276)</f>
        <v>54000</v>
      </c>
      <c r="H276" s="1">
        <f ca="1">OFFSET(控制台!$E$4617,MATCH(B276,控制台!$B$4617:$B$4629,0)-2,0)*控制台!$C$4611</f>
        <v>60</v>
      </c>
      <c r="I276" s="1">
        <f ca="1">OFFSET(控制台!$E$4617,MATCH(B276,控制台!$B$4617:$B$4629,0)-1,0)*控制台!$C$4611</f>
        <v>60</v>
      </c>
      <c r="J276" s="1">
        <f>(_xlfn.FLOOR.MATH((C276-1)/20)+1)/2</f>
        <v>0.5</v>
      </c>
      <c r="K276" s="4">
        <f ca="1">IF(MOD(C276,4)=0,0,Lerp_dyy(H276,I276,J276))</f>
        <v>60</v>
      </c>
      <c r="L276" s="1">
        <f ca="1">OFFSET(控制台!$G$4617,MATCH(B276,控制台!$B$4617:$B$4629,0)-2,0)*控制台!$C$4612</f>
        <v>16</v>
      </c>
      <c r="M276" s="1">
        <f ca="1">OFFSET(控制台!$G$4617,MATCH(B276,控制台!$B$4617:$B$4629,0)-1,0)*控制台!$C$4612</f>
        <v>16</v>
      </c>
      <c r="N276" s="1">
        <v>1</v>
      </c>
      <c r="O276" s="4">
        <f ca="1">IF(MOD(C276,4)=0,Lerp_dyy(L276,M276,N276),0)</f>
        <v>0</v>
      </c>
    </row>
    <row r="277" spans="1:15">
      <c r="A277" s="1">
        <f t="shared" si="7"/>
        <v>812</v>
      </c>
      <c r="B277" s="1">
        <v>8</v>
      </c>
      <c r="C277" s="1">
        <v>12</v>
      </c>
      <c r="D277" s="1">
        <f ca="1">OFFSET(控制台!$C$4617,MATCH(B277,控制台!$B$4617:$B$4629,0)-2,0)*控制台!$C$4610</f>
        <v>50000</v>
      </c>
      <c r="E277" s="1">
        <f ca="1">OFFSET(控制台!$C$4617,MATCH(B277,控制台!$B$4617:$B$4629,0)-1,0)*控制台!$C$4610</f>
        <v>60000</v>
      </c>
      <c r="F277" s="1">
        <f>(_xlfn.FLOOR.MATH((C277-1)/8)+1)/5</f>
        <v>0.4</v>
      </c>
      <c r="G277" s="4">
        <f ca="1">Lerp_dyy(D277,E277,F277)</f>
        <v>54000</v>
      </c>
      <c r="H277" s="1">
        <f ca="1">OFFSET(控制台!$E$4617,MATCH(B277,控制台!$B$4617:$B$4629,0)-2,0)*控制台!$C$4611</f>
        <v>60</v>
      </c>
      <c r="I277" s="1">
        <f ca="1">OFFSET(控制台!$E$4617,MATCH(B277,控制台!$B$4617:$B$4629,0)-1,0)*控制台!$C$4611</f>
        <v>60</v>
      </c>
      <c r="J277" s="1">
        <f>(_xlfn.FLOOR.MATH((C277-1)/20)+1)/2</f>
        <v>0.5</v>
      </c>
      <c r="K277" s="4">
        <f ca="1">IF(MOD(C277,4)=0,0,Lerp_dyy(H277,I277,J277))</f>
        <v>0</v>
      </c>
      <c r="L277" s="1">
        <f ca="1">OFFSET(控制台!$G$4617,MATCH(B277,控制台!$B$4617:$B$4629,0)-2,0)*控制台!$C$4612</f>
        <v>16</v>
      </c>
      <c r="M277" s="1">
        <f ca="1">OFFSET(控制台!$G$4617,MATCH(B277,控制台!$B$4617:$B$4629,0)-1,0)*控制台!$C$4612</f>
        <v>16</v>
      </c>
      <c r="N277" s="1">
        <v>1</v>
      </c>
      <c r="O277" s="4">
        <f ca="1">IF(MOD(C277,4)=0,Lerp_dyy(L277,M277,N277),0)</f>
        <v>16</v>
      </c>
    </row>
    <row r="278" spans="1:15">
      <c r="A278" s="1">
        <f t="shared" si="7"/>
        <v>813</v>
      </c>
      <c r="B278" s="1">
        <v>8</v>
      </c>
      <c r="C278" s="1">
        <v>13</v>
      </c>
      <c r="D278" s="1">
        <f ca="1">OFFSET(控制台!$C$4617,MATCH(B278,控制台!$B$4617:$B$4629,0)-2,0)*控制台!$C$4610</f>
        <v>50000</v>
      </c>
      <c r="E278" s="1">
        <f ca="1">OFFSET(控制台!$C$4617,MATCH(B278,控制台!$B$4617:$B$4629,0)-1,0)*控制台!$C$4610</f>
        <v>60000</v>
      </c>
      <c r="F278" s="1">
        <f>(_xlfn.FLOOR.MATH((C278-1)/8)+1)/5</f>
        <v>0.4</v>
      </c>
      <c r="G278" s="4">
        <f ca="1">Lerp_dyy(D278,E278,F278)</f>
        <v>54000</v>
      </c>
      <c r="H278" s="1">
        <f ca="1">OFFSET(控制台!$E$4617,MATCH(B278,控制台!$B$4617:$B$4629,0)-2,0)*控制台!$C$4611</f>
        <v>60</v>
      </c>
      <c r="I278" s="1">
        <f ca="1">OFFSET(控制台!$E$4617,MATCH(B278,控制台!$B$4617:$B$4629,0)-1,0)*控制台!$C$4611</f>
        <v>60</v>
      </c>
      <c r="J278" s="1">
        <f>(_xlfn.FLOOR.MATH((C278-1)/20)+1)/2</f>
        <v>0.5</v>
      </c>
      <c r="K278" s="4">
        <f ca="1">IF(MOD(C278,4)=0,0,Lerp_dyy(H278,I278,J278))</f>
        <v>60</v>
      </c>
      <c r="L278" s="1">
        <f ca="1">OFFSET(控制台!$G$4617,MATCH(B278,控制台!$B$4617:$B$4629,0)-2,0)*控制台!$C$4612</f>
        <v>16</v>
      </c>
      <c r="M278" s="1">
        <f ca="1">OFFSET(控制台!$G$4617,MATCH(B278,控制台!$B$4617:$B$4629,0)-1,0)*控制台!$C$4612</f>
        <v>16</v>
      </c>
      <c r="N278" s="1">
        <v>1</v>
      </c>
      <c r="O278" s="4">
        <f ca="1">IF(MOD(C278,4)=0,Lerp_dyy(L278,M278,N278),0)</f>
        <v>0</v>
      </c>
    </row>
    <row r="279" spans="1:15">
      <c r="A279" s="1">
        <f t="shared" si="7"/>
        <v>814</v>
      </c>
      <c r="B279" s="1">
        <v>8</v>
      </c>
      <c r="C279" s="1">
        <v>14</v>
      </c>
      <c r="D279" s="1">
        <f ca="1">OFFSET(控制台!$C$4617,MATCH(B279,控制台!$B$4617:$B$4629,0)-2,0)*控制台!$C$4610</f>
        <v>50000</v>
      </c>
      <c r="E279" s="1">
        <f ca="1">OFFSET(控制台!$C$4617,MATCH(B279,控制台!$B$4617:$B$4629,0)-1,0)*控制台!$C$4610</f>
        <v>60000</v>
      </c>
      <c r="F279" s="1">
        <f>(_xlfn.FLOOR.MATH((C279-1)/8)+1)/5</f>
        <v>0.4</v>
      </c>
      <c r="G279" s="4">
        <f ca="1">Lerp_dyy(D279,E279,F279)</f>
        <v>54000</v>
      </c>
      <c r="H279" s="1">
        <f ca="1">OFFSET(控制台!$E$4617,MATCH(B279,控制台!$B$4617:$B$4629,0)-2,0)*控制台!$C$4611</f>
        <v>60</v>
      </c>
      <c r="I279" s="1">
        <f ca="1">OFFSET(控制台!$E$4617,MATCH(B279,控制台!$B$4617:$B$4629,0)-1,0)*控制台!$C$4611</f>
        <v>60</v>
      </c>
      <c r="J279" s="1">
        <f>(_xlfn.FLOOR.MATH((C279-1)/20)+1)/2</f>
        <v>0.5</v>
      </c>
      <c r="K279" s="4">
        <f ca="1">IF(MOD(C279,4)=0,0,Lerp_dyy(H279,I279,J279))</f>
        <v>60</v>
      </c>
      <c r="L279" s="1">
        <f ca="1">OFFSET(控制台!$G$4617,MATCH(B279,控制台!$B$4617:$B$4629,0)-2,0)*控制台!$C$4612</f>
        <v>16</v>
      </c>
      <c r="M279" s="1">
        <f ca="1">OFFSET(控制台!$G$4617,MATCH(B279,控制台!$B$4617:$B$4629,0)-1,0)*控制台!$C$4612</f>
        <v>16</v>
      </c>
      <c r="N279" s="1">
        <v>1</v>
      </c>
      <c r="O279" s="4">
        <f ca="1">IF(MOD(C279,4)=0,Lerp_dyy(L279,M279,N279),0)</f>
        <v>0</v>
      </c>
    </row>
    <row r="280" spans="1:15">
      <c r="A280" s="1">
        <f t="shared" si="7"/>
        <v>815</v>
      </c>
      <c r="B280" s="1">
        <v>8</v>
      </c>
      <c r="C280" s="1">
        <v>15</v>
      </c>
      <c r="D280" s="1">
        <f ca="1">OFFSET(控制台!$C$4617,MATCH(B280,控制台!$B$4617:$B$4629,0)-2,0)*控制台!$C$4610</f>
        <v>50000</v>
      </c>
      <c r="E280" s="1">
        <f ca="1">OFFSET(控制台!$C$4617,MATCH(B280,控制台!$B$4617:$B$4629,0)-1,0)*控制台!$C$4610</f>
        <v>60000</v>
      </c>
      <c r="F280" s="1">
        <f>(_xlfn.FLOOR.MATH((C280-1)/8)+1)/5</f>
        <v>0.4</v>
      </c>
      <c r="G280" s="4">
        <f ca="1">Lerp_dyy(D280,E280,F280)</f>
        <v>54000</v>
      </c>
      <c r="H280" s="1">
        <f ca="1">OFFSET(控制台!$E$4617,MATCH(B280,控制台!$B$4617:$B$4629,0)-2,0)*控制台!$C$4611</f>
        <v>60</v>
      </c>
      <c r="I280" s="1">
        <f ca="1">OFFSET(控制台!$E$4617,MATCH(B280,控制台!$B$4617:$B$4629,0)-1,0)*控制台!$C$4611</f>
        <v>60</v>
      </c>
      <c r="J280" s="1">
        <f>(_xlfn.FLOOR.MATH((C280-1)/20)+1)/2</f>
        <v>0.5</v>
      </c>
      <c r="K280" s="4">
        <f ca="1">IF(MOD(C280,4)=0,0,Lerp_dyy(H280,I280,J280))</f>
        <v>60</v>
      </c>
      <c r="L280" s="1">
        <f ca="1">OFFSET(控制台!$G$4617,MATCH(B280,控制台!$B$4617:$B$4629,0)-2,0)*控制台!$C$4612</f>
        <v>16</v>
      </c>
      <c r="M280" s="1">
        <f ca="1">OFFSET(控制台!$G$4617,MATCH(B280,控制台!$B$4617:$B$4629,0)-1,0)*控制台!$C$4612</f>
        <v>16</v>
      </c>
      <c r="N280" s="1">
        <v>1</v>
      </c>
      <c r="O280" s="4">
        <f ca="1">IF(MOD(C280,4)=0,Lerp_dyy(L280,M280,N280),0)</f>
        <v>0</v>
      </c>
    </row>
    <row r="281" spans="1:15">
      <c r="A281" s="1">
        <f t="shared" si="7"/>
        <v>816</v>
      </c>
      <c r="B281" s="1">
        <v>8</v>
      </c>
      <c r="C281" s="1">
        <v>16</v>
      </c>
      <c r="D281" s="1">
        <f ca="1">OFFSET(控制台!$C$4617,MATCH(B281,控制台!$B$4617:$B$4629,0)-2,0)*控制台!$C$4610</f>
        <v>50000</v>
      </c>
      <c r="E281" s="1">
        <f ca="1">OFFSET(控制台!$C$4617,MATCH(B281,控制台!$B$4617:$B$4629,0)-1,0)*控制台!$C$4610</f>
        <v>60000</v>
      </c>
      <c r="F281" s="1">
        <f>(_xlfn.FLOOR.MATH((C281-1)/8)+1)/5</f>
        <v>0.4</v>
      </c>
      <c r="G281" s="4">
        <f ca="1">Lerp_dyy(D281,E281,F281)</f>
        <v>54000</v>
      </c>
      <c r="H281" s="1">
        <f ca="1">OFFSET(控制台!$E$4617,MATCH(B281,控制台!$B$4617:$B$4629,0)-2,0)*控制台!$C$4611</f>
        <v>60</v>
      </c>
      <c r="I281" s="1">
        <f ca="1">OFFSET(控制台!$E$4617,MATCH(B281,控制台!$B$4617:$B$4629,0)-1,0)*控制台!$C$4611</f>
        <v>60</v>
      </c>
      <c r="J281" s="1">
        <f>(_xlfn.FLOOR.MATH((C281-1)/20)+1)/2</f>
        <v>0.5</v>
      </c>
      <c r="K281" s="4">
        <f ca="1">IF(MOD(C281,4)=0,0,Lerp_dyy(H281,I281,J281))</f>
        <v>0</v>
      </c>
      <c r="L281" s="1">
        <f ca="1">OFFSET(控制台!$G$4617,MATCH(B281,控制台!$B$4617:$B$4629,0)-2,0)*控制台!$C$4612</f>
        <v>16</v>
      </c>
      <c r="M281" s="1">
        <f ca="1">OFFSET(控制台!$G$4617,MATCH(B281,控制台!$B$4617:$B$4629,0)-1,0)*控制台!$C$4612</f>
        <v>16</v>
      </c>
      <c r="N281" s="1">
        <v>1</v>
      </c>
      <c r="O281" s="4">
        <f ca="1">IF(MOD(C281,4)=0,Lerp_dyy(L281,M281,N281),0)</f>
        <v>16</v>
      </c>
    </row>
    <row r="282" spans="1:15">
      <c r="A282" s="1">
        <f t="shared" si="7"/>
        <v>817</v>
      </c>
      <c r="B282" s="1">
        <v>8</v>
      </c>
      <c r="C282" s="1">
        <v>17</v>
      </c>
      <c r="D282" s="1">
        <f ca="1">OFFSET(控制台!$C$4617,MATCH(B282,控制台!$B$4617:$B$4629,0)-2,0)*控制台!$C$4610</f>
        <v>50000</v>
      </c>
      <c r="E282" s="1">
        <f ca="1">OFFSET(控制台!$C$4617,MATCH(B282,控制台!$B$4617:$B$4629,0)-1,0)*控制台!$C$4610</f>
        <v>60000</v>
      </c>
      <c r="F282" s="1">
        <f>(_xlfn.FLOOR.MATH((C282-1)/8)+1)/5</f>
        <v>0.6</v>
      </c>
      <c r="G282" s="4">
        <f ca="1">Lerp_dyy(D282,E282,F282)</f>
        <v>56000</v>
      </c>
      <c r="H282" s="1">
        <f ca="1">OFFSET(控制台!$E$4617,MATCH(B282,控制台!$B$4617:$B$4629,0)-2,0)*控制台!$C$4611</f>
        <v>60</v>
      </c>
      <c r="I282" s="1">
        <f ca="1">OFFSET(控制台!$E$4617,MATCH(B282,控制台!$B$4617:$B$4629,0)-1,0)*控制台!$C$4611</f>
        <v>60</v>
      </c>
      <c r="J282" s="1">
        <f>(_xlfn.FLOOR.MATH((C282-1)/20)+1)/2</f>
        <v>0.5</v>
      </c>
      <c r="K282" s="4">
        <f ca="1">IF(MOD(C282,4)=0,0,Lerp_dyy(H282,I282,J282))</f>
        <v>60</v>
      </c>
      <c r="L282" s="1">
        <f ca="1">OFFSET(控制台!$G$4617,MATCH(B282,控制台!$B$4617:$B$4629,0)-2,0)*控制台!$C$4612</f>
        <v>16</v>
      </c>
      <c r="M282" s="1">
        <f ca="1">OFFSET(控制台!$G$4617,MATCH(B282,控制台!$B$4617:$B$4629,0)-1,0)*控制台!$C$4612</f>
        <v>16</v>
      </c>
      <c r="N282" s="1">
        <v>1</v>
      </c>
      <c r="O282" s="4">
        <f ca="1">IF(MOD(C282,4)=0,Lerp_dyy(L282,M282,N282),0)</f>
        <v>0</v>
      </c>
    </row>
    <row r="283" spans="1:15">
      <c r="A283" s="1">
        <f t="shared" si="7"/>
        <v>818</v>
      </c>
      <c r="B283" s="1">
        <v>8</v>
      </c>
      <c r="C283" s="1">
        <v>18</v>
      </c>
      <c r="D283" s="1">
        <f ca="1">OFFSET(控制台!$C$4617,MATCH(B283,控制台!$B$4617:$B$4629,0)-2,0)*控制台!$C$4610</f>
        <v>50000</v>
      </c>
      <c r="E283" s="1">
        <f ca="1">OFFSET(控制台!$C$4617,MATCH(B283,控制台!$B$4617:$B$4629,0)-1,0)*控制台!$C$4610</f>
        <v>60000</v>
      </c>
      <c r="F283" s="1">
        <f>(_xlfn.FLOOR.MATH((C283-1)/8)+1)/5</f>
        <v>0.6</v>
      </c>
      <c r="G283" s="4">
        <f ca="1">Lerp_dyy(D283,E283,F283)</f>
        <v>56000</v>
      </c>
      <c r="H283" s="1">
        <f ca="1">OFFSET(控制台!$E$4617,MATCH(B283,控制台!$B$4617:$B$4629,0)-2,0)*控制台!$C$4611</f>
        <v>60</v>
      </c>
      <c r="I283" s="1">
        <f ca="1">OFFSET(控制台!$E$4617,MATCH(B283,控制台!$B$4617:$B$4629,0)-1,0)*控制台!$C$4611</f>
        <v>60</v>
      </c>
      <c r="J283" s="1">
        <f>(_xlfn.FLOOR.MATH((C283-1)/20)+1)/2</f>
        <v>0.5</v>
      </c>
      <c r="K283" s="4">
        <f ca="1">IF(MOD(C283,4)=0,0,Lerp_dyy(H283,I283,J283))</f>
        <v>60</v>
      </c>
      <c r="L283" s="1">
        <f ca="1">OFFSET(控制台!$G$4617,MATCH(B283,控制台!$B$4617:$B$4629,0)-2,0)*控制台!$C$4612</f>
        <v>16</v>
      </c>
      <c r="M283" s="1">
        <f ca="1">OFFSET(控制台!$G$4617,MATCH(B283,控制台!$B$4617:$B$4629,0)-1,0)*控制台!$C$4612</f>
        <v>16</v>
      </c>
      <c r="N283" s="1">
        <v>1</v>
      </c>
      <c r="O283" s="4">
        <f ca="1">IF(MOD(C283,4)=0,Lerp_dyy(L283,M283,N283),0)</f>
        <v>0</v>
      </c>
    </row>
    <row r="284" spans="1:15">
      <c r="A284" s="1">
        <f t="shared" si="7"/>
        <v>819</v>
      </c>
      <c r="B284" s="1">
        <v>8</v>
      </c>
      <c r="C284" s="1">
        <v>19</v>
      </c>
      <c r="D284" s="1">
        <f ca="1">OFFSET(控制台!$C$4617,MATCH(B284,控制台!$B$4617:$B$4629,0)-2,0)*控制台!$C$4610</f>
        <v>50000</v>
      </c>
      <c r="E284" s="1">
        <f ca="1">OFFSET(控制台!$C$4617,MATCH(B284,控制台!$B$4617:$B$4629,0)-1,0)*控制台!$C$4610</f>
        <v>60000</v>
      </c>
      <c r="F284" s="1">
        <f>(_xlfn.FLOOR.MATH((C284-1)/8)+1)/5</f>
        <v>0.6</v>
      </c>
      <c r="G284" s="4">
        <f ca="1">Lerp_dyy(D284,E284,F284)</f>
        <v>56000</v>
      </c>
      <c r="H284" s="1">
        <f ca="1">OFFSET(控制台!$E$4617,MATCH(B284,控制台!$B$4617:$B$4629,0)-2,0)*控制台!$C$4611</f>
        <v>60</v>
      </c>
      <c r="I284" s="1">
        <f ca="1">OFFSET(控制台!$E$4617,MATCH(B284,控制台!$B$4617:$B$4629,0)-1,0)*控制台!$C$4611</f>
        <v>60</v>
      </c>
      <c r="J284" s="1">
        <f>(_xlfn.FLOOR.MATH((C284-1)/20)+1)/2</f>
        <v>0.5</v>
      </c>
      <c r="K284" s="4">
        <f ca="1">IF(MOD(C284,4)=0,0,Lerp_dyy(H284,I284,J284))</f>
        <v>60</v>
      </c>
      <c r="L284" s="1">
        <f ca="1">OFFSET(控制台!$G$4617,MATCH(B284,控制台!$B$4617:$B$4629,0)-2,0)*控制台!$C$4612</f>
        <v>16</v>
      </c>
      <c r="M284" s="1">
        <f ca="1">OFFSET(控制台!$G$4617,MATCH(B284,控制台!$B$4617:$B$4629,0)-1,0)*控制台!$C$4612</f>
        <v>16</v>
      </c>
      <c r="N284" s="1">
        <v>1</v>
      </c>
      <c r="O284" s="4">
        <f ca="1">IF(MOD(C284,4)=0,Lerp_dyy(L284,M284,N284),0)</f>
        <v>0</v>
      </c>
    </row>
    <row r="285" spans="1:15">
      <c r="A285" s="1">
        <f t="shared" si="7"/>
        <v>820</v>
      </c>
      <c r="B285" s="1">
        <v>8</v>
      </c>
      <c r="C285" s="1">
        <v>20</v>
      </c>
      <c r="D285" s="1">
        <f ca="1">OFFSET(控制台!$C$4617,MATCH(B285,控制台!$B$4617:$B$4629,0)-2,0)*控制台!$C$4610</f>
        <v>50000</v>
      </c>
      <c r="E285" s="1">
        <f ca="1">OFFSET(控制台!$C$4617,MATCH(B285,控制台!$B$4617:$B$4629,0)-1,0)*控制台!$C$4610</f>
        <v>60000</v>
      </c>
      <c r="F285" s="1">
        <f>(_xlfn.FLOOR.MATH((C285-1)/8)+1)/5</f>
        <v>0.6</v>
      </c>
      <c r="G285" s="4">
        <f ca="1">Lerp_dyy(D285,E285,F285)</f>
        <v>56000</v>
      </c>
      <c r="H285" s="1">
        <f ca="1">OFFSET(控制台!$E$4617,MATCH(B285,控制台!$B$4617:$B$4629,0)-2,0)*控制台!$C$4611</f>
        <v>60</v>
      </c>
      <c r="I285" s="1">
        <f ca="1">OFFSET(控制台!$E$4617,MATCH(B285,控制台!$B$4617:$B$4629,0)-1,0)*控制台!$C$4611</f>
        <v>60</v>
      </c>
      <c r="J285" s="1">
        <f>(_xlfn.FLOOR.MATH((C285-1)/20)+1)/2</f>
        <v>0.5</v>
      </c>
      <c r="K285" s="4">
        <f ca="1">IF(MOD(C285,4)=0,0,Lerp_dyy(H285,I285,J285))</f>
        <v>0</v>
      </c>
      <c r="L285" s="1">
        <f ca="1">OFFSET(控制台!$G$4617,MATCH(B285,控制台!$B$4617:$B$4629,0)-2,0)*控制台!$C$4612</f>
        <v>16</v>
      </c>
      <c r="M285" s="1">
        <f ca="1">OFFSET(控制台!$G$4617,MATCH(B285,控制台!$B$4617:$B$4629,0)-1,0)*控制台!$C$4612</f>
        <v>16</v>
      </c>
      <c r="N285" s="1">
        <v>1</v>
      </c>
      <c r="O285" s="4">
        <f ca="1">IF(MOD(C285,4)=0,Lerp_dyy(L285,M285,N285),0)</f>
        <v>16</v>
      </c>
    </row>
    <row r="286" spans="1:15">
      <c r="A286" s="1">
        <f t="shared" ref="A286:A295" si="8">B286*100+C286</f>
        <v>821</v>
      </c>
      <c r="B286" s="1">
        <v>8</v>
      </c>
      <c r="C286" s="1">
        <v>21</v>
      </c>
      <c r="D286" s="1">
        <f ca="1">OFFSET(控制台!$C$4617,MATCH(B286,控制台!$B$4617:$B$4629,0)-2,0)*控制台!$C$4610</f>
        <v>50000</v>
      </c>
      <c r="E286" s="1">
        <f ca="1">OFFSET(控制台!$C$4617,MATCH(B286,控制台!$B$4617:$B$4629,0)-1,0)*控制台!$C$4610</f>
        <v>60000</v>
      </c>
      <c r="F286" s="1">
        <f>(_xlfn.FLOOR.MATH((C286-1)/8)+1)/5</f>
        <v>0.6</v>
      </c>
      <c r="G286" s="4">
        <f ca="1">Lerp_dyy(D286,E286,F286)</f>
        <v>56000</v>
      </c>
      <c r="H286" s="1">
        <f ca="1">OFFSET(控制台!$E$4617,MATCH(B286,控制台!$B$4617:$B$4629,0)-2,0)*控制台!$C$4611</f>
        <v>60</v>
      </c>
      <c r="I286" s="1">
        <f ca="1">OFFSET(控制台!$E$4617,MATCH(B286,控制台!$B$4617:$B$4629,0)-1,0)*控制台!$C$4611</f>
        <v>60</v>
      </c>
      <c r="J286" s="1">
        <f>(_xlfn.FLOOR.MATH((C286-1)/20)+1)/2</f>
        <v>1</v>
      </c>
      <c r="K286" s="4">
        <f ca="1">IF(MOD(C286,4)=0,0,Lerp_dyy(H286,I286,J286))</f>
        <v>60</v>
      </c>
      <c r="L286" s="1">
        <f ca="1">OFFSET(控制台!$G$4617,MATCH(B286,控制台!$B$4617:$B$4629,0)-2,0)*控制台!$C$4612</f>
        <v>16</v>
      </c>
      <c r="M286" s="1">
        <f ca="1">OFFSET(控制台!$G$4617,MATCH(B286,控制台!$B$4617:$B$4629,0)-1,0)*控制台!$C$4612</f>
        <v>16</v>
      </c>
      <c r="N286" s="1">
        <v>1</v>
      </c>
      <c r="O286" s="4">
        <f ca="1">IF(MOD(C286,4)=0,Lerp_dyy(L286,M286,N286),0)</f>
        <v>0</v>
      </c>
    </row>
    <row r="287" spans="1:15">
      <c r="A287" s="1">
        <f t="shared" si="8"/>
        <v>822</v>
      </c>
      <c r="B287" s="1">
        <v>8</v>
      </c>
      <c r="C287" s="1">
        <v>22</v>
      </c>
      <c r="D287" s="1">
        <f ca="1">OFFSET(控制台!$C$4617,MATCH(B287,控制台!$B$4617:$B$4629,0)-2,0)*控制台!$C$4610</f>
        <v>50000</v>
      </c>
      <c r="E287" s="1">
        <f ca="1">OFFSET(控制台!$C$4617,MATCH(B287,控制台!$B$4617:$B$4629,0)-1,0)*控制台!$C$4610</f>
        <v>60000</v>
      </c>
      <c r="F287" s="1">
        <f>(_xlfn.FLOOR.MATH((C287-1)/8)+1)/5</f>
        <v>0.6</v>
      </c>
      <c r="G287" s="4">
        <f ca="1">Lerp_dyy(D287,E287,F287)</f>
        <v>56000</v>
      </c>
      <c r="H287" s="1">
        <f ca="1">OFFSET(控制台!$E$4617,MATCH(B287,控制台!$B$4617:$B$4629,0)-2,0)*控制台!$C$4611</f>
        <v>60</v>
      </c>
      <c r="I287" s="1">
        <f ca="1">OFFSET(控制台!$E$4617,MATCH(B287,控制台!$B$4617:$B$4629,0)-1,0)*控制台!$C$4611</f>
        <v>60</v>
      </c>
      <c r="J287" s="1">
        <f>(_xlfn.FLOOR.MATH((C287-1)/20)+1)/2</f>
        <v>1</v>
      </c>
      <c r="K287" s="4">
        <f ca="1">IF(MOD(C287,4)=0,0,Lerp_dyy(H287,I287,J287))</f>
        <v>60</v>
      </c>
      <c r="L287" s="1">
        <f ca="1">OFFSET(控制台!$G$4617,MATCH(B287,控制台!$B$4617:$B$4629,0)-2,0)*控制台!$C$4612</f>
        <v>16</v>
      </c>
      <c r="M287" s="1">
        <f ca="1">OFFSET(控制台!$G$4617,MATCH(B287,控制台!$B$4617:$B$4629,0)-1,0)*控制台!$C$4612</f>
        <v>16</v>
      </c>
      <c r="N287" s="1">
        <v>1</v>
      </c>
      <c r="O287" s="4">
        <f ca="1">IF(MOD(C287,4)=0,Lerp_dyy(L287,M287,N287),0)</f>
        <v>0</v>
      </c>
    </row>
    <row r="288" spans="1:15">
      <c r="A288" s="1">
        <f t="shared" si="8"/>
        <v>823</v>
      </c>
      <c r="B288" s="1">
        <v>8</v>
      </c>
      <c r="C288" s="1">
        <v>23</v>
      </c>
      <c r="D288" s="1">
        <f ca="1">OFFSET(控制台!$C$4617,MATCH(B288,控制台!$B$4617:$B$4629,0)-2,0)*控制台!$C$4610</f>
        <v>50000</v>
      </c>
      <c r="E288" s="1">
        <f ca="1">OFFSET(控制台!$C$4617,MATCH(B288,控制台!$B$4617:$B$4629,0)-1,0)*控制台!$C$4610</f>
        <v>60000</v>
      </c>
      <c r="F288" s="1">
        <f>(_xlfn.FLOOR.MATH((C288-1)/8)+1)/5</f>
        <v>0.6</v>
      </c>
      <c r="G288" s="4">
        <f ca="1">Lerp_dyy(D288,E288,F288)</f>
        <v>56000</v>
      </c>
      <c r="H288" s="1">
        <f ca="1">OFFSET(控制台!$E$4617,MATCH(B288,控制台!$B$4617:$B$4629,0)-2,0)*控制台!$C$4611</f>
        <v>60</v>
      </c>
      <c r="I288" s="1">
        <f ca="1">OFFSET(控制台!$E$4617,MATCH(B288,控制台!$B$4617:$B$4629,0)-1,0)*控制台!$C$4611</f>
        <v>60</v>
      </c>
      <c r="J288" s="1">
        <f>(_xlfn.FLOOR.MATH((C288-1)/20)+1)/2</f>
        <v>1</v>
      </c>
      <c r="K288" s="4">
        <f ca="1">IF(MOD(C288,4)=0,0,Lerp_dyy(H288,I288,J288))</f>
        <v>60</v>
      </c>
      <c r="L288" s="1">
        <f ca="1">OFFSET(控制台!$G$4617,MATCH(B288,控制台!$B$4617:$B$4629,0)-2,0)*控制台!$C$4612</f>
        <v>16</v>
      </c>
      <c r="M288" s="1">
        <f ca="1">OFFSET(控制台!$G$4617,MATCH(B288,控制台!$B$4617:$B$4629,0)-1,0)*控制台!$C$4612</f>
        <v>16</v>
      </c>
      <c r="N288" s="1">
        <v>1</v>
      </c>
      <c r="O288" s="4">
        <f ca="1">IF(MOD(C288,4)=0,Lerp_dyy(L288,M288,N288),0)</f>
        <v>0</v>
      </c>
    </row>
    <row r="289" spans="1:15">
      <c r="A289" s="1">
        <f t="shared" si="8"/>
        <v>824</v>
      </c>
      <c r="B289" s="1">
        <v>8</v>
      </c>
      <c r="C289" s="1">
        <v>24</v>
      </c>
      <c r="D289" s="1">
        <f ca="1">OFFSET(控制台!$C$4617,MATCH(B289,控制台!$B$4617:$B$4629,0)-2,0)*控制台!$C$4610</f>
        <v>50000</v>
      </c>
      <c r="E289" s="1">
        <f ca="1">OFFSET(控制台!$C$4617,MATCH(B289,控制台!$B$4617:$B$4629,0)-1,0)*控制台!$C$4610</f>
        <v>60000</v>
      </c>
      <c r="F289" s="1">
        <f>(_xlfn.FLOOR.MATH((C289-1)/8)+1)/5</f>
        <v>0.6</v>
      </c>
      <c r="G289" s="4">
        <f ca="1">Lerp_dyy(D289,E289,F289)</f>
        <v>56000</v>
      </c>
      <c r="H289" s="1">
        <f ca="1">OFFSET(控制台!$E$4617,MATCH(B289,控制台!$B$4617:$B$4629,0)-2,0)*控制台!$C$4611</f>
        <v>60</v>
      </c>
      <c r="I289" s="1">
        <f ca="1">OFFSET(控制台!$E$4617,MATCH(B289,控制台!$B$4617:$B$4629,0)-1,0)*控制台!$C$4611</f>
        <v>60</v>
      </c>
      <c r="J289" s="1">
        <f>(_xlfn.FLOOR.MATH((C289-1)/20)+1)/2</f>
        <v>1</v>
      </c>
      <c r="K289" s="4">
        <f ca="1">IF(MOD(C289,4)=0,0,Lerp_dyy(H289,I289,J289))</f>
        <v>0</v>
      </c>
      <c r="L289" s="1">
        <f ca="1">OFFSET(控制台!$G$4617,MATCH(B289,控制台!$B$4617:$B$4629,0)-2,0)*控制台!$C$4612</f>
        <v>16</v>
      </c>
      <c r="M289" s="1">
        <f ca="1">OFFSET(控制台!$G$4617,MATCH(B289,控制台!$B$4617:$B$4629,0)-1,0)*控制台!$C$4612</f>
        <v>16</v>
      </c>
      <c r="N289" s="1">
        <v>1</v>
      </c>
      <c r="O289" s="4">
        <f ca="1">IF(MOD(C289,4)=0,Lerp_dyy(L289,M289,N289),0)</f>
        <v>16</v>
      </c>
    </row>
    <row r="290" spans="1:15">
      <c r="A290" s="1">
        <f t="shared" si="8"/>
        <v>825</v>
      </c>
      <c r="B290" s="1">
        <v>8</v>
      </c>
      <c r="C290" s="1">
        <v>25</v>
      </c>
      <c r="D290" s="1">
        <f ca="1">OFFSET(控制台!$C$4617,MATCH(B290,控制台!$B$4617:$B$4629,0)-2,0)*控制台!$C$4610</f>
        <v>50000</v>
      </c>
      <c r="E290" s="1">
        <f ca="1">OFFSET(控制台!$C$4617,MATCH(B290,控制台!$B$4617:$B$4629,0)-1,0)*控制台!$C$4610</f>
        <v>60000</v>
      </c>
      <c r="F290" s="1">
        <f>(_xlfn.FLOOR.MATH((C290-1)/8)+1)/5</f>
        <v>0.8</v>
      </c>
      <c r="G290" s="4">
        <f ca="1">Lerp_dyy(D290,E290,F290)</f>
        <v>58000</v>
      </c>
      <c r="H290" s="1">
        <f ca="1">OFFSET(控制台!$E$4617,MATCH(B290,控制台!$B$4617:$B$4629,0)-2,0)*控制台!$C$4611</f>
        <v>60</v>
      </c>
      <c r="I290" s="1">
        <f ca="1">OFFSET(控制台!$E$4617,MATCH(B290,控制台!$B$4617:$B$4629,0)-1,0)*控制台!$C$4611</f>
        <v>60</v>
      </c>
      <c r="J290" s="1">
        <f>(_xlfn.FLOOR.MATH((C290-1)/20)+1)/2</f>
        <v>1</v>
      </c>
      <c r="K290" s="4">
        <f ca="1">IF(MOD(C290,4)=0,0,Lerp_dyy(H290,I290,J290))</f>
        <v>60</v>
      </c>
      <c r="L290" s="1">
        <f ca="1">OFFSET(控制台!$G$4617,MATCH(B290,控制台!$B$4617:$B$4629,0)-2,0)*控制台!$C$4612</f>
        <v>16</v>
      </c>
      <c r="M290" s="1">
        <f ca="1">OFFSET(控制台!$G$4617,MATCH(B290,控制台!$B$4617:$B$4629,0)-1,0)*控制台!$C$4612</f>
        <v>16</v>
      </c>
      <c r="N290" s="1">
        <v>1</v>
      </c>
      <c r="O290" s="4">
        <f ca="1">IF(MOD(C290,4)=0,Lerp_dyy(L290,M290,N290),0)</f>
        <v>0</v>
      </c>
    </row>
    <row r="291" spans="1:15">
      <c r="A291" s="1">
        <f t="shared" si="8"/>
        <v>826</v>
      </c>
      <c r="B291" s="1">
        <v>8</v>
      </c>
      <c r="C291" s="1">
        <v>26</v>
      </c>
      <c r="D291" s="1">
        <f ca="1">OFFSET(控制台!$C$4617,MATCH(B291,控制台!$B$4617:$B$4629,0)-2,0)*控制台!$C$4610</f>
        <v>50000</v>
      </c>
      <c r="E291" s="1">
        <f ca="1">OFFSET(控制台!$C$4617,MATCH(B291,控制台!$B$4617:$B$4629,0)-1,0)*控制台!$C$4610</f>
        <v>60000</v>
      </c>
      <c r="F291" s="1">
        <f>(_xlfn.FLOOR.MATH((C291-1)/8)+1)/5</f>
        <v>0.8</v>
      </c>
      <c r="G291" s="4">
        <f ca="1">Lerp_dyy(D291,E291,F291)</f>
        <v>58000</v>
      </c>
      <c r="H291" s="1">
        <f ca="1">OFFSET(控制台!$E$4617,MATCH(B291,控制台!$B$4617:$B$4629,0)-2,0)*控制台!$C$4611</f>
        <v>60</v>
      </c>
      <c r="I291" s="1">
        <f ca="1">OFFSET(控制台!$E$4617,MATCH(B291,控制台!$B$4617:$B$4629,0)-1,0)*控制台!$C$4611</f>
        <v>60</v>
      </c>
      <c r="J291" s="1">
        <f>(_xlfn.FLOOR.MATH((C291-1)/20)+1)/2</f>
        <v>1</v>
      </c>
      <c r="K291" s="4">
        <f ca="1">IF(MOD(C291,4)=0,0,Lerp_dyy(H291,I291,J291))</f>
        <v>60</v>
      </c>
      <c r="L291" s="1">
        <f ca="1">OFFSET(控制台!$G$4617,MATCH(B291,控制台!$B$4617:$B$4629,0)-2,0)*控制台!$C$4612</f>
        <v>16</v>
      </c>
      <c r="M291" s="1">
        <f ca="1">OFFSET(控制台!$G$4617,MATCH(B291,控制台!$B$4617:$B$4629,0)-1,0)*控制台!$C$4612</f>
        <v>16</v>
      </c>
      <c r="N291" s="1">
        <v>1</v>
      </c>
      <c r="O291" s="4">
        <f ca="1">IF(MOD(C291,4)=0,Lerp_dyy(L291,M291,N291),0)</f>
        <v>0</v>
      </c>
    </row>
    <row r="292" spans="1:15">
      <c r="A292" s="1">
        <f t="shared" si="8"/>
        <v>827</v>
      </c>
      <c r="B292" s="1">
        <v>8</v>
      </c>
      <c r="C292" s="1">
        <v>27</v>
      </c>
      <c r="D292" s="1">
        <f ca="1">OFFSET(控制台!$C$4617,MATCH(B292,控制台!$B$4617:$B$4629,0)-2,0)*控制台!$C$4610</f>
        <v>50000</v>
      </c>
      <c r="E292" s="1">
        <f ca="1">OFFSET(控制台!$C$4617,MATCH(B292,控制台!$B$4617:$B$4629,0)-1,0)*控制台!$C$4610</f>
        <v>60000</v>
      </c>
      <c r="F292" s="1">
        <f>(_xlfn.FLOOR.MATH((C292-1)/8)+1)/5</f>
        <v>0.8</v>
      </c>
      <c r="G292" s="4">
        <f ca="1">Lerp_dyy(D292,E292,F292)</f>
        <v>58000</v>
      </c>
      <c r="H292" s="1">
        <f ca="1">OFFSET(控制台!$E$4617,MATCH(B292,控制台!$B$4617:$B$4629,0)-2,0)*控制台!$C$4611</f>
        <v>60</v>
      </c>
      <c r="I292" s="1">
        <f ca="1">OFFSET(控制台!$E$4617,MATCH(B292,控制台!$B$4617:$B$4629,0)-1,0)*控制台!$C$4611</f>
        <v>60</v>
      </c>
      <c r="J292" s="1">
        <f>(_xlfn.FLOOR.MATH((C292-1)/20)+1)/2</f>
        <v>1</v>
      </c>
      <c r="K292" s="4">
        <f ca="1">IF(MOD(C292,4)=0,0,Lerp_dyy(H292,I292,J292))</f>
        <v>60</v>
      </c>
      <c r="L292" s="1">
        <f ca="1">OFFSET(控制台!$G$4617,MATCH(B292,控制台!$B$4617:$B$4629,0)-2,0)*控制台!$C$4612</f>
        <v>16</v>
      </c>
      <c r="M292" s="1">
        <f ca="1">OFFSET(控制台!$G$4617,MATCH(B292,控制台!$B$4617:$B$4629,0)-1,0)*控制台!$C$4612</f>
        <v>16</v>
      </c>
      <c r="N292" s="1">
        <v>1</v>
      </c>
      <c r="O292" s="4">
        <f ca="1">IF(MOD(C292,4)=0,Lerp_dyy(L292,M292,N292),0)</f>
        <v>0</v>
      </c>
    </row>
    <row r="293" spans="1:15">
      <c r="A293" s="1">
        <f t="shared" si="8"/>
        <v>828</v>
      </c>
      <c r="B293" s="1">
        <v>8</v>
      </c>
      <c r="C293" s="1">
        <v>28</v>
      </c>
      <c r="D293" s="1">
        <f ca="1">OFFSET(控制台!$C$4617,MATCH(B293,控制台!$B$4617:$B$4629,0)-2,0)*控制台!$C$4610</f>
        <v>50000</v>
      </c>
      <c r="E293" s="1">
        <f ca="1">OFFSET(控制台!$C$4617,MATCH(B293,控制台!$B$4617:$B$4629,0)-1,0)*控制台!$C$4610</f>
        <v>60000</v>
      </c>
      <c r="F293" s="1">
        <f>(_xlfn.FLOOR.MATH((C293-1)/8)+1)/5</f>
        <v>0.8</v>
      </c>
      <c r="G293" s="4">
        <f ca="1">Lerp_dyy(D293,E293,F293)</f>
        <v>58000</v>
      </c>
      <c r="H293" s="1">
        <f ca="1">OFFSET(控制台!$E$4617,MATCH(B293,控制台!$B$4617:$B$4629,0)-2,0)*控制台!$C$4611</f>
        <v>60</v>
      </c>
      <c r="I293" s="1">
        <f ca="1">OFFSET(控制台!$E$4617,MATCH(B293,控制台!$B$4617:$B$4629,0)-1,0)*控制台!$C$4611</f>
        <v>60</v>
      </c>
      <c r="J293" s="1">
        <f>(_xlfn.FLOOR.MATH((C293-1)/20)+1)/2</f>
        <v>1</v>
      </c>
      <c r="K293" s="4">
        <f ca="1">IF(MOD(C293,4)=0,0,Lerp_dyy(H293,I293,J293))</f>
        <v>0</v>
      </c>
      <c r="L293" s="1">
        <f ca="1">OFFSET(控制台!$G$4617,MATCH(B293,控制台!$B$4617:$B$4629,0)-2,0)*控制台!$C$4612</f>
        <v>16</v>
      </c>
      <c r="M293" s="1">
        <f ca="1">OFFSET(控制台!$G$4617,MATCH(B293,控制台!$B$4617:$B$4629,0)-1,0)*控制台!$C$4612</f>
        <v>16</v>
      </c>
      <c r="N293" s="1">
        <v>1</v>
      </c>
      <c r="O293" s="4">
        <f ca="1">IF(MOD(C293,4)=0,Lerp_dyy(L293,M293,N293),0)</f>
        <v>16</v>
      </c>
    </row>
    <row r="294" spans="1:15">
      <c r="A294" s="1">
        <f t="shared" si="8"/>
        <v>829</v>
      </c>
      <c r="B294" s="1">
        <v>8</v>
      </c>
      <c r="C294" s="1">
        <v>29</v>
      </c>
      <c r="D294" s="1">
        <f ca="1">OFFSET(控制台!$C$4617,MATCH(B294,控制台!$B$4617:$B$4629,0)-2,0)*控制台!$C$4610</f>
        <v>50000</v>
      </c>
      <c r="E294" s="1">
        <f ca="1">OFFSET(控制台!$C$4617,MATCH(B294,控制台!$B$4617:$B$4629,0)-1,0)*控制台!$C$4610</f>
        <v>60000</v>
      </c>
      <c r="F294" s="1">
        <f>(_xlfn.FLOOR.MATH((C294-1)/8)+1)/5</f>
        <v>0.8</v>
      </c>
      <c r="G294" s="4">
        <f ca="1">Lerp_dyy(D294,E294,F294)</f>
        <v>58000</v>
      </c>
      <c r="H294" s="1">
        <f ca="1">OFFSET(控制台!$E$4617,MATCH(B294,控制台!$B$4617:$B$4629,0)-2,0)*控制台!$C$4611</f>
        <v>60</v>
      </c>
      <c r="I294" s="1">
        <f ca="1">OFFSET(控制台!$E$4617,MATCH(B294,控制台!$B$4617:$B$4629,0)-1,0)*控制台!$C$4611</f>
        <v>60</v>
      </c>
      <c r="J294" s="1">
        <f>(_xlfn.FLOOR.MATH((C294-1)/20)+1)/2</f>
        <v>1</v>
      </c>
      <c r="K294" s="4">
        <f ca="1">IF(MOD(C294,4)=0,0,Lerp_dyy(H294,I294,J294))</f>
        <v>60</v>
      </c>
      <c r="L294" s="1">
        <f ca="1">OFFSET(控制台!$G$4617,MATCH(B294,控制台!$B$4617:$B$4629,0)-2,0)*控制台!$C$4612</f>
        <v>16</v>
      </c>
      <c r="M294" s="1">
        <f ca="1">OFFSET(控制台!$G$4617,MATCH(B294,控制台!$B$4617:$B$4629,0)-1,0)*控制台!$C$4612</f>
        <v>16</v>
      </c>
      <c r="N294" s="1">
        <v>1</v>
      </c>
      <c r="O294" s="4">
        <f ca="1">IF(MOD(C294,4)=0,Lerp_dyy(L294,M294,N294),0)</f>
        <v>0</v>
      </c>
    </row>
    <row r="295" spans="1:15">
      <c r="A295" s="1">
        <f t="shared" si="8"/>
        <v>830</v>
      </c>
      <c r="B295" s="1">
        <v>8</v>
      </c>
      <c r="C295" s="1">
        <v>30</v>
      </c>
      <c r="D295" s="1">
        <f ca="1">OFFSET(控制台!$C$4617,MATCH(B295,控制台!$B$4617:$B$4629,0)-2,0)*控制台!$C$4610</f>
        <v>50000</v>
      </c>
      <c r="E295" s="1">
        <f ca="1">OFFSET(控制台!$C$4617,MATCH(B295,控制台!$B$4617:$B$4629,0)-1,0)*控制台!$C$4610</f>
        <v>60000</v>
      </c>
      <c r="F295" s="1">
        <f>(_xlfn.FLOOR.MATH((C295-1)/8)+1)/5</f>
        <v>0.8</v>
      </c>
      <c r="G295" s="4">
        <f ca="1">Lerp_dyy(D295,E295,F295)</f>
        <v>58000</v>
      </c>
      <c r="H295" s="1">
        <f ca="1">OFFSET(控制台!$E$4617,MATCH(B295,控制台!$B$4617:$B$4629,0)-2,0)*控制台!$C$4611</f>
        <v>60</v>
      </c>
      <c r="I295" s="1">
        <f ca="1">OFFSET(控制台!$E$4617,MATCH(B295,控制台!$B$4617:$B$4629,0)-1,0)*控制台!$C$4611</f>
        <v>60</v>
      </c>
      <c r="J295" s="1">
        <f>(_xlfn.FLOOR.MATH((C295-1)/20)+1)/2</f>
        <v>1</v>
      </c>
      <c r="K295" s="4">
        <f ca="1">IF(MOD(C295,4)=0,0,Lerp_dyy(H295,I295,J295))</f>
        <v>60</v>
      </c>
      <c r="L295" s="1">
        <f ca="1">OFFSET(控制台!$G$4617,MATCH(B295,控制台!$B$4617:$B$4629,0)-2,0)*控制台!$C$4612</f>
        <v>16</v>
      </c>
      <c r="M295" s="1">
        <f ca="1">OFFSET(控制台!$G$4617,MATCH(B295,控制台!$B$4617:$B$4629,0)-1,0)*控制台!$C$4612</f>
        <v>16</v>
      </c>
      <c r="N295" s="1">
        <v>1</v>
      </c>
      <c r="O295" s="4">
        <f ca="1">IF(MOD(C295,4)=0,Lerp_dyy(L295,M295,N295),0)</f>
        <v>0</v>
      </c>
    </row>
    <row r="296" spans="1:15">
      <c r="A296" s="1">
        <f t="shared" ref="A296:A305" si="9">B296*100+C296</f>
        <v>831</v>
      </c>
      <c r="B296" s="1">
        <v>8</v>
      </c>
      <c r="C296" s="1">
        <v>31</v>
      </c>
      <c r="D296" s="1">
        <f ca="1">OFFSET(控制台!$C$4617,MATCH(B296,控制台!$B$4617:$B$4629,0)-2,0)*控制台!$C$4610</f>
        <v>50000</v>
      </c>
      <c r="E296" s="1">
        <f ca="1">OFFSET(控制台!$C$4617,MATCH(B296,控制台!$B$4617:$B$4629,0)-1,0)*控制台!$C$4610</f>
        <v>60000</v>
      </c>
      <c r="F296" s="1">
        <f>(_xlfn.FLOOR.MATH((C296-1)/8)+1)/5</f>
        <v>0.8</v>
      </c>
      <c r="G296" s="4">
        <f ca="1">Lerp_dyy(D296,E296,F296)</f>
        <v>58000</v>
      </c>
      <c r="H296" s="1">
        <f ca="1">OFFSET(控制台!$E$4617,MATCH(B296,控制台!$B$4617:$B$4629,0)-2,0)*控制台!$C$4611</f>
        <v>60</v>
      </c>
      <c r="I296" s="1">
        <f ca="1">OFFSET(控制台!$E$4617,MATCH(B296,控制台!$B$4617:$B$4629,0)-1,0)*控制台!$C$4611</f>
        <v>60</v>
      </c>
      <c r="J296" s="1">
        <f>(_xlfn.FLOOR.MATH((C296-1)/20)+1)/2</f>
        <v>1</v>
      </c>
      <c r="K296" s="4">
        <f ca="1">IF(MOD(C296,4)=0,0,Lerp_dyy(H296,I296,J296))</f>
        <v>60</v>
      </c>
      <c r="L296" s="1">
        <f ca="1">OFFSET(控制台!$G$4617,MATCH(B296,控制台!$B$4617:$B$4629,0)-2,0)*控制台!$C$4612</f>
        <v>16</v>
      </c>
      <c r="M296" s="1">
        <f ca="1">OFFSET(控制台!$G$4617,MATCH(B296,控制台!$B$4617:$B$4629,0)-1,0)*控制台!$C$4612</f>
        <v>16</v>
      </c>
      <c r="N296" s="1">
        <v>1</v>
      </c>
      <c r="O296" s="4">
        <f ca="1">IF(MOD(C296,4)=0,Lerp_dyy(L296,M296,N296),0)</f>
        <v>0</v>
      </c>
    </row>
    <row r="297" spans="1:15">
      <c r="A297" s="1">
        <f t="shared" si="9"/>
        <v>832</v>
      </c>
      <c r="B297" s="1">
        <v>8</v>
      </c>
      <c r="C297" s="1">
        <v>32</v>
      </c>
      <c r="D297" s="1">
        <f ca="1">OFFSET(控制台!$C$4617,MATCH(B297,控制台!$B$4617:$B$4629,0)-2,0)*控制台!$C$4610</f>
        <v>50000</v>
      </c>
      <c r="E297" s="1">
        <f ca="1">OFFSET(控制台!$C$4617,MATCH(B297,控制台!$B$4617:$B$4629,0)-1,0)*控制台!$C$4610</f>
        <v>60000</v>
      </c>
      <c r="F297" s="1">
        <f>(_xlfn.FLOOR.MATH((C297-1)/8)+1)/5</f>
        <v>0.8</v>
      </c>
      <c r="G297" s="4">
        <f ca="1">Lerp_dyy(D297,E297,F297)</f>
        <v>58000</v>
      </c>
      <c r="H297" s="1">
        <f ca="1">OFFSET(控制台!$E$4617,MATCH(B297,控制台!$B$4617:$B$4629,0)-2,0)*控制台!$C$4611</f>
        <v>60</v>
      </c>
      <c r="I297" s="1">
        <f ca="1">OFFSET(控制台!$E$4617,MATCH(B297,控制台!$B$4617:$B$4629,0)-1,0)*控制台!$C$4611</f>
        <v>60</v>
      </c>
      <c r="J297" s="1">
        <f>(_xlfn.FLOOR.MATH((C297-1)/20)+1)/2</f>
        <v>1</v>
      </c>
      <c r="K297" s="4">
        <f ca="1">IF(MOD(C297,4)=0,0,Lerp_dyy(H297,I297,J297))</f>
        <v>0</v>
      </c>
      <c r="L297" s="1">
        <f ca="1">OFFSET(控制台!$G$4617,MATCH(B297,控制台!$B$4617:$B$4629,0)-2,0)*控制台!$C$4612</f>
        <v>16</v>
      </c>
      <c r="M297" s="1">
        <f ca="1">OFFSET(控制台!$G$4617,MATCH(B297,控制台!$B$4617:$B$4629,0)-1,0)*控制台!$C$4612</f>
        <v>16</v>
      </c>
      <c r="N297" s="1">
        <v>1</v>
      </c>
      <c r="O297" s="4">
        <f ca="1">IF(MOD(C297,4)=0,Lerp_dyy(L297,M297,N297),0)</f>
        <v>16</v>
      </c>
    </row>
    <row r="298" spans="1:15">
      <c r="A298" s="1">
        <f t="shared" si="9"/>
        <v>833</v>
      </c>
      <c r="B298" s="1">
        <v>8</v>
      </c>
      <c r="C298" s="1">
        <v>33</v>
      </c>
      <c r="D298" s="1">
        <f ca="1">OFFSET(控制台!$C$4617,MATCH(B298,控制台!$B$4617:$B$4629,0)-2,0)*控制台!$C$4610</f>
        <v>50000</v>
      </c>
      <c r="E298" s="1">
        <f ca="1">OFFSET(控制台!$C$4617,MATCH(B298,控制台!$B$4617:$B$4629,0)-1,0)*控制台!$C$4610</f>
        <v>60000</v>
      </c>
      <c r="F298" s="1">
        <f>(_xlfn.FLOOR.MATH((C298-1)/8)+1)/5</f>
        <v>1</v>
      </c>
      <c r="G298" s="4">
        <f ca="1">Lerp_dyy(D298,E298,F298)</f>
        <v>60000</v>
      </c>
      <c r="H298" s="1">
        <f ca="1">OFFSET(控制台!$E$4617,MATCH(B298,控制台!$B$4617:$B$4629,0)-2,0)*控制台!$C$4611</f>
        <v>60</v>
      </c>
      <c r="I298" s="1">
        <f ca="1">OFFSET(控制台!$E$4617,MATCH(B298,控制台!$B$4617:$B$4629,0)-1,0)*控制台!$C$4611</f>
        <v>60</v>
      </c>
      <c r="J298" s="1">
        <f>(_xlfn.FLOOR.MATH((C298-1)/20)+1)/2</f>
        <v>1</v>
      </c>
      <c r="K298" s="4">
        <f ca="1">IF(MOD(C298,4)=0,0,Lerp_dyy(H298,I298,J298))</f>
        <v>60</v>
      </c>
      <c r="L298" s="1">
        <f ca="1">OFFSET(控制台!$G$4617,MATCH(B298,控制台!$B$4617:$B$4629,0)-2,0)*控制台!$C$4612</f>
        <v>16</v>
      </c>
      <c r="M298" s="1">
        <f ca="1">OFFSET(控制台!$G$4617,MATCH(B298,控制台!$B$4617:$B$4629,0)-1,0)*控制台!$C$4612</f>
        <v>16</v>
      </c>
      <c r="N298" s="1">
        <v>1</v>
      </c>
      <c r="O298" s="4">
        <f ca="1">IF(MOD(C298,4)=0,Lerp_dyy(L298,M298,N298),0)</f>
        <v>0</v>
      </c>
    </row>
    <row r="299" spans="1:15">
      <c r="A299" s="1">
        <f t="shared" si="9"/>
        <v>834</v>
      </c>
      <c r="B299" s="1">
        <v>8</v>
      </c>
      <c r="C299" s="1">
        <v>34</v>
      </c>
      <c r="D299" s="1">
        <f ca="1">OFFSET(控制台!$C$4617,MATCH(B299,控制台!$B$4617:$B$4629,0)-2,0)*控制台!$C$4610</f>
        <v>50000</v>
      </c>
      <c r="E299" s="1">
        <f ca="1">OFFSET(控制台!$C$4617,MATCH(B299,控制台!$B$4617:$B$4629,0)-1,0)*控制台!$C$4610</f>
        <v>60000</v>
      </c>
      <c r="F299" s="1">
        <f>(_xlfn.FLOOR.MATH((C299-1)/8)+1)/5</f>
        <v>1</v>
      </c>
      <c r="G299" s="4">
        <f ca="1">Lerp_dyy(D299,E299,F299)</f>
        <v>60000</v>
      </c>
      <c r="H299" s="1">
        <f ca="1">OFFSET(控制台!$E$4617,MATCH(B299,控制台!$B$4617:$B$4629,0)-2,0)*控制台!$C$4611</f>
        <v>60</v>
      </c>
      <c r="I299" s="1">
        <f ca="1">OFFSET(控制台!$E$4617,MATCH(B299,控制台!$B$4617:$B$4629,0)-1,0)*控制台!$C$4611</f>
        <v>60</v>
      </c>
      <c r="J299" s="1">
        <f>(_xlfn.FLOOR.MATH((C299-1)/20)+1)/2</f>
        <v>1</v>
      </c>
      <c r="K299" s="4">
        <f ca="1">IF(MOD(C299,4)=0,0,Lerp_dyy(H299,I299,J299))</f>
        <v>60</v>
      </c>
      <c r="L299" s="1">
        <f ca="1">OFFSET(控制台!$G$4617,MATCH(B299,控制台!$B$4617:$B$4629,0)-2,0)*控制台!$C$4612</f>
        <v>16</v>
      </c>
      <c r="M299" s="1">
        <f ca="1">OFFSET(控制台!$G$4617,MATCH(B299,控制台!$B$4617:$B$4629,0)-1,0)*控制台!$C$4612</f>
        <v>16</v>
      </c>
      <c r="N299" s="1">
        <v>1</v>
      </c>
      <c r="O299" s="4">
        <f ca="1">IF(MOD(C299,4)=0,Lerp_dyy(L299,M299,N299),0)</f>
        <v>0</v>
      </c>
    </row>
    <row r="300" spans="1:15">
      <c r="A300" s="1">
        <f t="shared" si="9"/>
        <v>835</v>
      </c>
      <c r="B300" s="1">
        <v>8</v>
      </c>
      <c r="C300" s="1">
        <v>35</v>
      </c>
      <c r="D300" s="1">
        <f ca="1">OFFSET(控制台!$C$4617,MATCH(B300,控制台!$B$4617:$B$4629,0)-2,0)*控制台!$C$4610</f>
        <v>50000</v>
      </c>
      <c r="E300" s="1">
        <f ca="1">OFFSET(控制台!$C$4617,MATCH(B300,控制台!$B$4617:$B$4629,0)-1,0)*控制台!$C$4610</f>
        <v>60000</v>
      </c>
      <c r="F300" s="1">
        <f>(_xlfn.FLOOR.MATH((C300-1)/8)+1)/5</f>
        <v>1</v>
      </c>
      <c r="G300" s="4">
        <f ca="1">Lerp_dyy(D300,E300,F300)</f>
        <v>60000</v>
      </c>
      <c r="H300" s="1">
        <f ca="1">OFFSET(控制台!$E$4617,MATCH(B300,控制台!$B$4617:$B$4629,0)-2,0)*控制台!$C$4611</f>
        <v>60</v>
      </c>
      <c r="I300" s="1">
        <f ca="1">OFFSET(控制台!$E$4617,MATCH(B300,控制台!$B$4617:$B$4629,0)-1,0)*控制台!$C$4611</f>
        <v>60</v>
      </c>
      <c r="J300" s="1">
        <f>(_xlfn.FLOOR.MATH((C300-1)/20)+1)/2</f>
        <v>1</v>
      </c>
      <c r="K300" s="4">
        <f ca="1">IF(MOD(C300,4)=0,0,Lerp_dyy(H300,I300,J300))</f>
        <v>60</v>
      </c>
      <c r="L300" s="1">
        <f ca="1">OFFSET(控制台!$G$4617,MATCH(B300,控制台!$B$4617:$B$4629,0)-2,0)*控制台!$C$4612</f>
        <v>16</v>
      </c>
      <c r="M300" s="1">
        <f ca="1">OFFSET(控制台!$G$4617,MATCH(B300,控制台!$B$4617:$B$4629,0)-1,0)*控制台!$C$4612</f>
        <v>16</v>
      </c>
      <c r="N300" s="1">
        <v>1</v>
      </c>
      <c r="O300" s="4">
        <f ca="1">IF(MOD(C300,4)=0,Lerp_dyy(L300,M300,N300),0)</f>
        <v>0</v>
      </c>
    </row>
    <row r="301" spans="1:15">
      <c r="A301" s="1">
        <f t="shared" si="9"/>
        <v>836</v>
      </c>
      <c r="B301" s="1">
        <v>8</v>
      </c>
      <c r="C301" s="1">
        <v>36</v>
      </c>
      <c r="D301" s="1">
        <f ca="1">OFFSET(控制台!$C$4617,MATCH(B301,控制台!$B$4617:$B$4629,0)-2,0)*控制台!$C$4610</f>
        <v>50000</v>
      </c>
      <c r="E301" s="1">
        <f ca="1">OFFSET(控制台!$C$4617,MATCH(B301,控制台!$B$4617:$B$4629,0)-1,0)*控制台!$C$4610</f>
        <v>60000</v>
      </c>
      <c r="F301" s="1">
        <f>(_xlfn.FLOOR.MATH((C301-1)/8)+1)/5</f>
        <v>1</v>
      </c>
      <c r="G301" s="4">
        <f ca="1">Lerp_dyy(D301,E301,F301)</f>
        <v>60000</v>
      </c>
      <c r="H301" s="1">
        <f ca="1">OFFSET(控制台!$E$4617,MATCH(B301,控制台!$B$4617:$B$4629,0)-2,0)*控制台!$C$4611</f>
        <v>60</v>
      </c>
      <c r="I301" s="1">
        <f ca="1">OFFSET(控制台!$E$4617,MATCH(B301,控制台!$B$4617:$B$4629,0)-1,0)*控制台!$C$4611</f>
        <v>60</v>
      </c>
      <c r="J301" s="1">
        <f>(_xlfn.FLOOR.MATH((C301-1)/20)+1)/2</f>
        <v>1</v>
      </c>
      <c r="K301" s="4">
        <f ca="1">IF(MOD(C301,4)=0,0,Lerp_dyy(H301,I301,J301))</f>
        <v>0</v>
      </c>
      <c r="L301" s="1">
        <f ca="1">OFFSET(控制台!$G$4617,MATCH(B301,控制台!$B$4617:$B$4629,0)-2,0)*控制台!$C$4612</f>
        <v>16</v>
      </c>
      <c r="M301" s="1">
        <f ca="1">OFFSET(控制台!$G$4617,MATCH(B301,控制台!$B$4617:$B$4629,0)-1,0)*控制台!$C$4612</f>
        <v>16</v>
      </c>
      <c r="N301" s="1">
        <v>1</v>
      </c>
      <c r="O301" s="4">
        <f ca="1">IF(MOD(C301,4)=0,Lerp_dyy(L301,M301,N301),0)</f>
        <v>16</v>
      </c>
    </row>
    <row r="302" spans="1:15">
      <c r="A302" s="1">
        <f t="shared" si="9"/>
        <v>837</v>
      </c>
      <c r="B302" s="1">
        <v>8</v>
      </c>
      <c r="C302" s="1">
        <v>37</v>
      </c>
      <c r="D302" s="1">
        <f ca="1">OFFSET(控制台!$C$4617,MATCH(B302,控制台!$B$4617:$B$4629,0)-2,0)*控制台!$C$4610</f>
        <v>50000</v>
      </c>
      <c r="E302" s="1">
        <f ca="1">OFFSET(控制台!$C$4617,MATCH(B302,控制台!$B$4617:$B$4629,0)-1,0)*控制台!$C$4610</f>
        <v>60000</v>
      </c>
      <c r="F302" s="1">
        <f>(_xlfn.FLOOR.MATH((C302-1)/8)+1)/5</f>
        <v>1</v>
      </c>
      <c r="G302" s="4">
        <f ca="1">Lerp_dyy(D302,E302,F302)</f>
        <v>60000</v>
      </c>
      <c r="H302" s="1">
        <f ca="1">OFFSET(控制台!$E$4617,MATCH(B302,控制台!$B$4617:$B$4629,0)-2,0)*控制台!$C$4611</f>
        <v>60</v>
      </c>
      <c r="I302" s="1">
        <f ca="1">OFFSET(控制台!$E$4617,MATCH(B302,控制台!$B$4617:$B$4629,0)-1,0)*控制台!$C$4611</f>
        <v>60</v>
      </c>
      <c r="J302" s="1">
        <f>(_xlfn.FLOOR.MATH((C302-1)/20)+1)/2</f>
        <v>1</v>
      </c>
      <c r="K302" s="4">
        <f ca="1">IF(MOD(C302,4)=0,0,Lerp_dyy(H302,I302,J302))</f>
        <v>60</v>
      </c>
      <c r="L302" s="1">
        <f ca="1">OFFSET(控制台!$G$4617,MATCH(B302,控制台!$B$4617:$B$4629,0)-2,0)*控制台!$C$4612</f>
        <v>16</v>
      </c>
      <c r="M302" s="1">
        <f ca="1">OFFSET(控制台!$G$4617,MATCH(B302,控制台!$B$4617:$B$4629,0)-1,0)*控制台!$C$4612</f>
        <v>16</v>
      </c>
      <c r="N302" s="1">
        <v>1</v>
      </c>
      <c r="O302" s="4">
        <f ca="1">IF(MOD(C302,4)=0,Lerp_dyy(L302,M302,N302),0)</f>
        <v>0</v>
      </c>
    </row>
    <row r="303" spans="1:15">
      <c r="A303" s="1">
        <f t="shared" si="9"/>
        <v>838</v>
      </c>
      <c r="B303" s="1">
        <v>8</v>
      </c>
      <c r="C303" s="1">
        <v>38</v>
      </c>
      <c r="D303" s="1">
        <f ca="1">OFFSET(控制台!$C$4617,MATCH(B303,控制台!$B$4617:$B$4629,0)-2,0)*控制台!$C$4610</f>
        <v>50000</v>
      </c>
      <c r="E303" s="1">
        <f ca="1">OFFSET(控制台!$C$4617,MATCH(B303,控制台!$B$4617:$B$4629,0)-1,0)*控制台!$C$4610</f>
        <v>60000</v>
      </c>
      <c r="F303" s="1">
        <f>(_xlfn.FLOOR.MATH((C303-1)/8)+1)/5</f>
        <v>1</v>
      </c>
      <c r="G303" s="4">
        <f ca="1">Lerp_dyy(D303,E303,F303)</f>
        <v>60000</v>
      </c>
      <c r="H303" s="1">
        <f ca="1">OFFSET(控制台!$E$4617,MATCH(B303,控制台!$B$4617:$B$4629,0)-2,0)*控制台!$C$4611</f>
        <v>60</v>
      </c>
      <c r="I303" s="1">
        <f ca="1">OFFSET(控制台!$E$4617,MATCH(B303,控制台!$B$4617:$B$4629,0)-1,0)*控制台!$C$4611</f>
        <v>60</v>
      </c>
      <c r="J303" s="1">
        <f>(_xlfn.FLOOR.MATH((C303-1)/20)+1)/2</f>
        <v>1</v>
      </c>
      <c r="K303" s="4">
        <f ca="1">IF(MOD(C303,4)=0,0,Lerp_dyy(H303,I303,J303))</f>
        <v>60</v>
      </c>
      <c r="L303" s="1">
        <f ca="1">OFFSET(控制台!$G$4617,MATCH(B303,控制台!$B$4617:$B$4629,0)-2,0)*控制台!$C$4612</f>
        <v>16</v>
      </c>
      <c r="M303" s="1">
        <f ca="1">OFFSET(控制台!$G$4617,MATCH(B303,控制台!$B$4617:$B$4629,0)-1,0)*控制台!$C$4612</f>
        <v>16</v>
      </c>
      <c r="N303" s="1">
        <v>1</v>
      </c>
      <c r="O303" s="4">
        <f ca="1">IF(MOD(C303,4)=0,Lerp_dyy(L303,M303,N303),0)</f>
        <v>0</v>
      </c>
    </row>
    <row r="304" spans="1:15">
      <c r="A304" s="1">
        <f t="shared" si="9"/>
        <v>839</v>
      </c>
      <c r="B304" s="1">
        <v>8</v>
      </c>
      <c r="C304" s="1">
        <v>39</v>
      </c>
      <c r="D304" s="1">
        <f ca="1">OFFSET(控制台!$C$4617,MATCH(B304,控制台!$B$4617:$B$4629,0)-2,0)*控制台!$C$4610</f>
        <v>50000</v>
      </c>
      <c r="E304" s="1">
        <f ca="1">OFFSET(控制台!$C$4617,MATCH(B304,控制台!$B$4617:$B$4629,0)-1,0)*控制台!$C$4610</f>
        <v>60000</v>
      </c>
      <c r="F304" s="1">
        <f>(_xlfn.FLOOR.MATH((C304-1)/8)+1)/5</f>
        <v>1</v>
      </c>
      <c r="G304" s="4">
        <f ca="1">Lerp_dyy(D304,E304,F304)</f>
        <v>60000</v>
      </c>
      <c r="H304" s="1">
        <f ca="1">OFFSET(控制台!$E$4617,MATCH(B304,控制台!$B$4617:$B$4629,0)-2,0)*控制台!$C$4611</f>
        <v>60</v>
      </c>
      <c r="I304" s="1">
        <f ca="1">OFFSET(控制台!$E$4617,MATCH(B304,控制台!$B$4617:$B$4629,0)-1,0)*控制台!$C$4611</f>
        <v>60</v>
      </c>
      <c r="J304" s="1">
        <f>(_xlfn.FLOOR.MATH((C304-1)/20)+1)/2</f>
        <v>1</v>
      </c>
      <c r="K304" s="4">
        <f ca="1">IF(MOD(C304,4)=0,0,Lerp_dyy(H304,I304,J304))</f>
        <v>60</v>
      </c>
      <c r="L304" s="1">
        <f ca="1">OFFSET(控制台!$G$4617,MATCH(B304,控制台!$B$4617:$B$4629,0)-2,0)*控制台!$C$4612</f>
        <v>16</v>
      </c>
      <c r="M304" s="1">
        <f ca="1">OFFSET(控制台!$G$4617,MATCH(B304,控制台!$B$4617:$B$4629,0)-1,0)*控制台!$C$4612</f>
        <v>16</v>
      </c>
      <c r="N304" s="1">
        <v>1</v>
      </c>
      <c r="O304" s="4">
        <f ca="1">IF(MOD(C304,4)=0,Lerp_dyy(L304,M304,N304),0)</f>
        <v>0</v>
      </c>
    </row>
    <row r="305" spans="1:15">
      <c r="A305" s="1">
        <f t="shared" si="9"/>
        <v>840</v>
      </c>
      <c r="B305" s="1">
        <v>8</v>
      </c>
      <c r="C305" s="1">
        <v>40</v>
      </c>
      <c r="D305" s="1">
        <f ca="1">OFFSET(控制台!$C$4617,MATCH(B305,控制台!$B$4617:$B$4629,0)-2,0)*控制台!$C$4610</f>
        <v>50000</v>
      </c>
      <c r="E305" s="1">
        <f ca="1">OFFSET(控制台!$C$4617,MATCH(B305,控制台!$B$4617:$B$4629,0)-1,0)*控制台!$C$4610</f>
        <v>60000</v>
      </c>
      <c r="F305" s="1">
        <f>(_xlfn.FLOOR.MATH((C305-1)/8)+1)/5</f>
        <v>1</v>
      </c>
      <c r="G305" s="4">
        <f ca="1">Lerp_dyy(D305,E305,F305)</f>
        <v>60000</v>
      </c>
      <c r="H305" s="1">
        <f ca="1">OFFSET(控制台!$E$4617,MATCH(B305,控制台!$B$4617:$B$4629,0)-2,0)*控制台!$C$4611</f>
        <v>60</v>
      </c>
      <c r="I305" s="1">
        <f ca="1">OFFSET(控制台!$E$4617,MATCH(B305,控制台!$B$4617:$B$4629,0)-1,0)*控制台!$C$4611</f>
        <v>60</v>
      </c>
      <c r="J305" s="1">
        <f>(_xlfn.FLOOR.MATH((C305-1)/20)+1)/2</f>
        <v>1</v>
      </c>
      <c r="K305" s="4">
        <f ca="1">IF(MOD(C305,4)=0,0,Lerp_dyy(H305,I305,J305))</f>
        <v>0</v>
      </c>
      <c r="L305" s="1">
        <f ca="1">OFFSET(控制台!$G$4617,MATCH(B305,控制台!$B$4617:$B$4629,0)-2,0)*控制台!$C$4612</f>
        <v>16</v>
      </c>
      <c r="M305" s="1">
        <f ca="1">OFFSET(控制台!$G$4617,MATCH(B305,控制台!$B$4617:$B$4629,0)-1,0)*控制台!$C$4612</f>
        <v>16</v>
      </c>
      <c r="N305" s="1">
        <v>1</v>
      </c>
      <c r="O305" s="4">
        <f ca="1">IF(MOD(C305,4)=0,Lerp_dyy(L305,M305,N305),0)</f>
        <v>16</v>
      </c>
    </row>
    <row r="306" spans="1:15">
      <c r="A306" s="1">
        <f t="shared" ref="A306:A315" si="10">B306*100+C306</f>
        <v>901</v>
      </c>
      <c r="B306" s="1">
        <v>9</v>
      </c>
      <c r="C306" s="1">
        <v>1</v>
      </c>
      <c r="D306" s="1">
        <f ca="1">OFFSET(控制台!$C$4617,MATCH(B306,控制台!$B$4617:$B$4629,0)-2,0)*控制台!$C$4610</f>
        <v>60000</v>
      </c>
      <c r="E306" s="1">
        <f ca="1">OFFSET(控制台!$C$4617,MATCH(B306,控制台!$B$4617:$B$4629,0)-1,0)*控制台!$C$4610</f>
        <v>70000</v>
      </c>
      <c r="F306" s="1">
        <f>(_xlfn.FLOOR.MATH((C306-1)/8)+1)/5</f>
        <v>0.2</v>
      </c>
      <c r="G306" s="4">
        <f ca="1">Lerp_dyy(D306,E306,F306)</f>
        <v>62000</v>
      </c>
      <c r="H306" s="1">
        <f ca="1">OFFSET(控制台!$E$4617,MATCH(B306,控制台!$B$4617:$B$4629,0)-2,0)*控制台!$C$4611</f>
        <v>60</v>
      </c>
      <c r="I306" s="1">
        <f ca="1">OFFSET(控制台!$E$4617,MATCH(B306,控制台!$B$4617:$B$4629,0)-1,0)*控制台!$C$4611</f>
        <v>80</v>
      </c>
      <c r="J306" s="1">
        <f>(_xlfn.FLOOR.MATH((C306-1)/20)+1)/2</f>
        <v>0.5</v>
      </c>
      <c r="K306" s="4">
        <f ca="1">IF(MOD(C306,4)=0,0,Lerp_dyy(H306,I306,J306))</f>
        <v>70</v>
      </c>
      <c r="L306" s="1">
        <f ca="1">OFFSET(控制台!$G$4617,MATCH(B306,控制台!$B$4617:$B$4629,0)-2,0)*控制台!$C$4612</f>
        <v>16</v>
      </c>
      <c r="M306" s="1">
        <f ca="1">OFFSET(控制台!$G$4617,MATCH(B306,控制台!$B$4617:$B$4629,0)-1,0)*控制台!$C$4612</f>
        <v>18</v>
      </c>
      <c r="N306" s="1">
        <v>1</v>
      </c>
      <c r="O306" s="4">
        <f ca="1">IF(MOD(C306,4)=0,Lerp_dyy(L306,M306,N306),0)</f>
        <v>0</v>
      </c>
    </row>
    <row r="307" spans="1:15">
      <c r="A307" s="1">
        <f t="shared" si="10"/>
        <v>902</v>
      </c>
      <c r="B307" s="1">
        <v>9</v>
      </c>
      <c r="C307" s="1">
        <v>2</v>
      </c>
      <c r="D307" s="1">
        <f ca="1">OFFSET(控制台!$C$4617,MATCH(B307,控制台!$B$4617:$B$4629,0)-2,0)*控制台!$C$4610</f>
        <v>60000</v>
      </c>
      <c r="E307" s="1">
        <f ca="1">OFFSET(控制台!$C$4617,MATCH(B307,控制台!$B$4617:$B$4629,0)-1,0)*控制台!$C$4610</f>
        <v>70000</v>
      </c>
      <c r="F307" s="1">
        <f>(_xlfn.FLOOR.MATH((C307-1)/8)+1)/5</f>
        <v>0.2</v>
      </c>
      <c r="G307" s="4">
        <f ca="1">Lerp_dyy(D307,E307,F307)</f>
        <v>62000</v>
      </c>
      <c r="H307" s="1">
        <f ca="1">OFFSET(控制台!$E$4617,MATCH(B307,控制台!$B$4617:$B$4629,0)-2,0)*控制台!$C$4611</f>
        <v>60</v>
      </c>
      <c r="I307" s="1">
        <f ca="1">OFFSET(控制台!$E$4617,MATCH(B307,控制台!$B$4617:$B$4629,0)-1,0)*控制台!$C$4611</f>
        <v>80</v>
      </c>
      <c r="J307" s="1">
        <f>(_xlfn.FLOOR.MATH((C307-1)/20)+1)/2</f>
        <v>0.5</v>
      </c>
      <c r="K307" s="4">
        <f ca="1">IF(MOD(C307,4)=0,0,Lerp_dyy(H307,I307,J307))</f>
        <v>70</v>
      </c>
      <c r="L307" s="1">
        <f ca="1">OFFSET(控制台!$G$4617,MATCH(B307,控制台!$B$4617:$B$4629,0)-2,0)*控制台!$C$4612</f>
        <v>16</v>
      </c>
      <c r="M307" s="1">
        <f ca="1">OFFSET(控制台!$G$4617,MATCH(B307,控制台!$B$4617:$B$4629,0)-1,0)*控制台!$C$4612</f>
        <v>18</v>
      </c>
      <c r="N307" s="1">
        <v>1</v>
      </c>
      <c r="O307" s="4">
        <f ca="1">IF(MOD(C307,4)=0,Lerp_dyy(L307,M307,N307),0)</f>
        <v>0</v>
      </c>
    </row>
    <row r="308" spans="1:15">
      <c r="A308" s="1">
        <f t="shared" si="10"/>
        <v>903</v>
      </c>
      <c r="B308" s="1">
        <v>9</v>
      </c>
      <c r="C308" s="1">
        <v>3</v>
      </c>
      <c r="D308" s="1">
        <f ca="1">OFFSET(控制台!$C$4617,MATCH(B308,控制台!$B$4617:$B$4629,0)-2,0)*控制台!$C$4610</f>
        <v>60000</v>
      </c>
      <c r="E308" s="1">
        <f ca="1">OFFSET(控制台!$C$4617,MATCH(B308,控制台!$B$4617:$B$4629,0)-1,0)*控制台!$C$4610</f>
        <v>70000</v>
      </c>
      <c r="F308" s="1">
        <f>(_xlfn.FLOOR.MATH((C308-1)/8)+1)/5</f>
        <v>0.2</v>
      </c>
      <c r="G308" s="4">
        <f ca="1">Lerp_dyy(D308,E308,F308)</f>
        <v>62000</v>
      </c>
      <c r="H308" s="1">
        <f ca="1">OFFSET(控制台!$E$4617,MATCH(B308,控制台!$B$4617:$B$4629,0)-2,0)*控制台!$C$4611</f>
        <v>60</v>
      </c>
      <c r="I308" s="1">
        <f ca="1">OFFSET(控制台!$E$4617,MATCH(B308,控制台!$B$4617:$B$4629,0)-1,0)*控制台!$C$4611</f>
        <v>80</v>
      </c>
      <c r="J308" s="1">
        <f>(_xlfn.FLOOR.MATH((C308-1)/20)+1)/2</f>
        <v>0.5</v>
      </c>
      <c r="K308" s="4">
        <f ca="1">IF(MOD(C308,4)=0,0,Lerp_dyy(H308,I308,J308))</f>
        <v>70</v>
      </c>
      <c r="L308" s="1">
        <f ca="1">OFFSET(控制台!$G$4617,MATCH(B308,控制台!$B$4617:$B$4629,0)-2,0)*控制台!$C$4612</f>
        <v>16</v>
      </c>
      <c r="M308" s="1">
        <f ca="1">OFFSET(控制台!$G$4617,MATCH(B308,控制台!$B$4617:$B$4629,0)-1,0)*控制台!$C$4612</f>
        <v>18</v>
      </c>
      <c r="N308" s="1">
        <v>1</v>
      </c>
      <c r="O308" s="4">
        <f ca="1">IF(MOD(C308,4)=0,Lerp_dyy(L308,M308,N308),0)</f>
        <v>0</v>
      </c>
    </row>
    <row r="309" spans="1:15">
      <c r="A309" s="1">
        <f t="shared" si="10"/>
        <v>904</v>
      </c>
      <c r="B309" s="1">
        <v>9</v>
      </c>
      <c r="C309" s="1">
        <v>4</v>
      </c>
      <c r="D309" s="1">
        <f ca="1">OFFSET(控制台!$C$4617,MATCH(B309,控制台!$B$4617:$B$4629,0)-2,0)*控制台!$C$4610</f>
        <v>60000</v>
      </c>
      <c r="E309" s="1">
        <f ca="1">OFFSET(控制台!$C$4617,MATCH(B309,控制台!$B$4617:$B$4629,0)-1,0)*控制台!$C$4610</f>
        <v>70000</v>
      </c>
      <c r="F309" s="1">
        <f>(_xlfn.FLOOR.MATH((C309-1)/8)+1)/5</f>
        <v>0.2</v>
      </c>
      <c r="G309" s="4">
        <f ca="1">Lerp_dyy(D309,E309,F309)</f>
        <v>62000</v>
      </c>
      <c r="H309" s="1">
        <f ca="1">OFFSET(控制台!$E$4617,MATCH(B309,控制台!$B$4617:$B$4629,0)-2,0)*控制台!$C$4611</f>
        <v>60</v>
      </c>
      <c r="I309" s="1">
        <f ca="1">OFFSET(控制台!$E$4617,MATCH(B309,控制台!$B$4617:$B$4629,0)-1,0)*控制台!$C$4611</f>
        <v>80</v>
      </c>
      <c r="J309" s="1">
        <f>(_xlfn.FLOOR.MATH((C309-1)/20)+1)/2</f>
        <v>0.5</v>
      </c>
      <c r="K309" s="4">
        <f ca="1">IF(MOD(C309,4)=0,0,Lerp_dyy(H309,I309,J309))</f>
        <v>0</v>
      </c>
      <c r="L309" s="1">
        <f ca="1">OFFSET(控制台!$G$4617,MATCH(B309,控制台!$B$4617:$B$4629,0)-2,0)*控制台!$C$4612</f>
        <v>16</v>
      </c>
      <c r="M309" s="1">
        <f ca="1">OFFSET(控制台!$G$4617,MATCH(B309,控制台!$B$4617:$B$4629,0)-1,0)*控制台!$C$4612</f>
        <v>18</v>
      </c>
      <c r="N309" s="1">
        <v>1</v>
      </c>
      <c r="O309" s="4">
        <f ca="1">IF(MOD(C309,4)=0,Lerp_dyy(L309,M309,N309),0)</f>
        <v>18</v>
      </c>
    </row>
    <row r="310" spans="1:15">
      <c r="A310" s="1">
        <f t="shared" si="10"/>
        <v>905</v>
      </c>
      <c r="B310" s="1">
        <v>9</v>
      </c>
      <c r="C310" s="1">
        <v>5</v>
      </c>
      <c r="D310" s="1">
        <f ca="1">OFFSET(控制台!$C$4617,MATCH(B310,控制台!$B$4617:$B$4629,0)-2,0)*控制台!$C$4610</f>
        <v>60000</v>
      </c>
      <c r="E310" s="1">
        <f ca="1">OFFSET(控制台!$C$4617,MATCH(B310,控制台!$B$4617:$B$4629,0)-1,0)*控制台!$C$4610</f>
        <v>70000</v>
      </c>
      <c r="F310" s="1">
        <f>(_xlfn.FLOOR.MATH((C310-1)/8)+1)/5</f>
        <v>0.2</v>
      </c>
      <c r="G310" s="4">
        <f ca="1">Lerp_dyy(D310,E310,F310)</f>
        <v>62000</v>
      </c>
      <c r="H310" s="1">
        <f ca="1">OFFSET(控制台!$E$4617,MATCH(B310,控制台!$B$4617:$B$4629,0)-2,0)*控制台!$C$4611</f>
        <v>60</v>
      </c>
      <c r="I310" s="1">
        <f ca="1">OFFSET(控制台!$E$4617,MATCH(B310,控制台!$B$4617:$B$4629,0)-1,0)*控制台!$C$4611</f>
        <v>80</v>
      </c>
      <c r="J310" s="1">
        <f>(_xlfn.FLOOR.MATH((C310-1)/20)+1)/2</f>
        <v>0.5</v>
      </c>
      <c r="K310" s="4">
        <f ca="1">IF(MOD(C310,4)=0,0,Lerp_dyy(H310,I310,J310))</f>
        <v>70</v>
      </c>
      <c r="L310" s="1">
        <f ca="1">OFFSET(控制台!$G$4617,MATCH(B310,控制台!$B$4617:$B$4629,0)-2,0)*控制台!$C$4612</f>
        <v>16</v>
      </c>
      <c r="M310" s="1">
        <f ca="1">OFFSET(控制台!$G$4617,MATCH(B310,控制台!$B$4617:$B$4629,0)-1,0)*控制台!$C$4612</f>
        <v>18</v>
      </c>
      <c r="N310" s="1">
        <v>1</v>
      </c>
      <c r="O310" s="4">
        <f ca="1">IF(MOD(C310,4)=0,Lerp_dyy(L310,M310,N310),0)</f>
        <v>0</v>
      </c>
    </row>
    <row r="311" spans="1:15">
      <c r="A311" s="1">
        <f t="shared" si="10"/>
        <v>906</v>
      </c>
      <c r="B311" s="1">
        <v>9</v>
      </c>
      <c r="C311" s="1">
        <v>6</v>
      </c>
      <c r="D311" s="1">
        <f ca="1">OFFSET(控制台!$C$4617,MATCH(B311,控制台!$B$4617:$B$4629,0)-2,0)*控制台!$C$4610</f>
        <v>60000</v>
      </c>
      <c r="E311" s="1">
        <f ca="1">OFFSET(控制台!$C$4617,MATCH(B311,控制台!$B$4617:$B$4629,0)-1,0)*控制台!$C$4610</f>
        <v>70000</v>
      </c>
      <c r="F311" s="1">
        <f>(_xlfn.FLOOR.MATH((C311-1)/8)+1)/5</f>
        <v>0.2</v>
      </c>
      <c r="G311" s="4">
        <f ca="1">Lerp_dyy(D311,E311,F311)</f>
        <v>62000</v>
      </c>
      <c r="H311" s="1">
        <f ca="1">OFFSET(控制台!$E$4617,MATCH(B311,控制台!$B$4617:$B$4629,0)-2,0)*控制台!$C$4611</f>
        <v>60</v>
      </c>
      <c r="I311" s="1">
        <f ca="1">OFFSET(控制台!$E$4617,MATCH(B311,控制台!$B$4617:$B$4629,0)-1,0)*控制台!$C$4611</f>
        <v>80</v>
      </c>
      <c r="J311" s="1">
        <f>(_xlfn.FLOOR.MATH((C311-1)/20)+1)/2</f>
        <v>0.5</v>
      </c>
      <c r="K311" s="4">
        <f ca="1">IF(MOD(C311,4)=0,0,Lerp_dyy(H311,I311,J311))</f>
        <v>70</v>
      </c>
      <c r="L311" s="1">
        <f ca="1">OFFSET(控制台!$G$4617,MATCH(B311,控制台!$B$4617:$B$4629,0)-2,0)*控制台!$C$4612</f>
        <v>16</v>
      </c>
      <c r="M311" s="1">
        <f ca="1">OFFSET(控制台!$G$4617,MATCH(B311,控制台!$B$4617:$B$4629,0)-1,0)*控制台!$C$4612</f>
        <v>18</v>
      </c>
      <c r="N311" s="1">
        <v>1</v>
      </c>
      <c r="O311" s="4">
        <f ca="1">IF(MOD(C311,4)=0,Lerp_dyy(L311,M311,N311),0)</f>
        <v>0</v>
      </c>
    </row>
    <row r="312" spans="1:15">
      <c r="A312" s="1">
        <f t="shared" si="10"/>
        <v>907</v>
      </c>
      <c r="B312" s="1">
        <v>9</v>
      </c>
      <c r="C312" s="1">
        <v>7</v>
      </c>
      <c r="D312" s="1">
        <f ca="1">OFFSET(控制台!$C$4617,MATCH(B312,控制台!$B$4617:$B$4629,0)-2,0)*控制台!$C$4610</f>
        <v>60000</v>
      </c>
      <c r="E312" s="1">
        <f ca="1">OFFSET(控制台!$C$4617,MATCH(B312,控制台!$B$4617:$B$4629,0)-1,0)*控制台!$C$4610</f>
        <v>70000</v>
      </c>
      <c r="F312" s="1">
        <f>(_xlfn.FLOOR.MATH((C312-1)/8)+1)/5</f>
        <v>0.2</v>
      </c>
      <c r="G312" s="4">
        <f ca="1">Lerp_dyy(D312,E312,F312)</f>
        <v>62000</v>
      </c>
      <c r="H312" s="1">
        <f ca="1">OFFSET(控制台!$E$4617,MATCH(B312,控制台!$B$4617:$B$4629,0)-2,0)*控制台!$C$4611</f>
        <v>60</v>
      </c>
      <c r="I312" s="1">
        <f ca="1">OFFSET(控制台!$E$4617,MATCH(B312,控制台!$B$4617:$B$4629,0)-1,0)*控制台!$C$4611</f>
        <v>80</v>
      </c>
      <c r="J312" s="1">
        <f>(_xlfn.FLOOR.MATH((C312-1)/20)+1)/2</f>
        <v>0.5</v>
      </c>
      <c r="K312" s="4">
        <f ca="1">IF(MOD(C312,4)=0,0,Lerp_dyy(H312,I312,J312))</f>
        <v>70</v>
      </c>
      <c r="L312" s="1">
        <f ca="1">OFFSET(控制台!$G$4617,MATCH(B312,控制台!$B$4617:$B$4629,0)-2,0)*控制台!$C$4612</f>
        <v>16</v>
      </c>
      <c r="M312" s="1">
        <f ca="1">OFFSET(控制台!$G$4617,MATCH(B312,控制台!$B$4617:$B$4629,0)-1,0)*控制台!$C$4612</f>
        <v>18</v>
      </c>
      <c r="N312" s="1">
        <v>1</v>
      </c>
      <c r="O312" s="4">
        <f ca="1">IF(MOD(C312,4)=0,Lerp_dyy(L312,M312,N312),0)</f>
        <v>0</v>
      </c>
    </row>
    <row r="313" spans="1:15">
      <c r="A313" s="1">
        <f t="shared" si="10"/>
        <v>908</v>
      </c>
      <c r="B313" s="1">
        <v>9</v>
      </c>
      <c r="C313" s="1">
        <v>8</v>
      </c>
      <c r="D313" s="1">
        <f ca="1">OFFSET(控制台!$C$4617,MATCH(B313,控制台!$B$4617:$B$4629,0)-2,0)*控制台!$C$4610</f>
        <v>60000</v>
      </c>
      <c r="E313" s="1">
        <f ca="1">OFFSET(控制台!$C$4617,MATCH(B313,控制台!$B$4617:$B$4629,0)-1,0)*控制台!$C$4610</f>
        <v>70000</v>
      </c>
      <c r="F313" s="1">
        <f>(_xlfn.FLOOR.MATH((C313-1)/8)+1)/5</f>
        <v>0.2</v>
      </c>
      <c r="G313" s="4">
        <f ca="1">Lerp_dyy(D313,E313,F313)</f>
        <v>62000</v>
      </c>
      <c r="H313" s="1">
        <f ca="1">OFFSET(控制台!$E$4617,MATCH(B313,控制台!$B$4617:$B$4629,0)-2,0)*控制台!$C$4611</f>
        <v>60</v>
      </c>
      <c r="I313" s="1">
        <f ca="1">OFFSET(控制台!$E$4617,MATCH(B313,控制台!$B$4617:$B$4629,0)-1,0)*控制台!$C$4611</f>
        <v>80</v>
      </c>
      <c r="J313" s="1">
        <f>(_xlfn.FLOOR.MATH((C313-1)/20)+1)/2</f>
        <v>0.5</v>
      </c>
      <c r="K313" s="4">
        <f ca="1">IF(MOD(C313,4)=0,0,Lerp_dyy(H313,I313,J313))</f>
        <v>0</v>
      </c>
      <c r="L313" s="1">
        <f ca="1">OFFSET(控制台!$G$4617,MATCH(B313,控制台!$B$4617:$B$4629,0)-2,0)*控制台!$C$4612</f>
        <v>16</v>
      </c>
      <c r="M313" s="1">
        <f ca="1">OFFSET(控制台!$G$4617,MATCH(B313,控制台!$B$4617:$B$4629,0)-1,0)*控制台!$C$4612</f>
        <v>18</v>
      </c>
      <c r="N313" s="1">
        <v>1</v>
      </c>
      <c r="O313" s="4">
        <f ca="1">IF(MOD(C313,4)=0,Lerp_dyy(L313,M313,N313),0)</f>
        <v>18</v>
      </c>
    </row>
    <row r="314" spans="1:15">
      <c r="A314" s="1">
        <f t="shared" si="10"/>
        <v>909</v>
      </c>
      <c r="B314" s="1">
        <v>9</v>
      </c>
      <c r="C314" s="1">
        <v>9</v>
      </c>
      <c r="D314" s="1">
        <f ca="1">OFFSET(控制台!$C$4617,MATCH(B314,控制台!$B$4617:$B$4629,0)-2,0)*控制台!$C$4610</f>
        <v>60000</v>
      </c>
      <c r="E314" s="1">
        <f ca="1">OFFSET(控制台!$C$4617,MATCH(B314,控制台!$B$4617:$B$4629,0)-1,0)*控制台!$C$4610</f>
        <v>70000</v>
      </c>
      <c r="F314" s="1">
        <f>(_xlfn.FLOOR.MATH((C314-1)/8)+1)/5</f>
        <v>0.4</v>
      </c>
      <c r="G314" s="4">
        <f ca="1">Lerp_dyy(D314,E314,F314)</f>
        <v>64000</v>
      </c>
      <c r="H314" s="1">
        <f ca="1">OFFSET(控制台!$E$4617,MATCH(B314,控制台!$B$4617:$B$4629,0)-2,0)*控制台!$C$4611</f>
        <v>60</v>
      </c>
      <c r="I314" s="1">
        <f ca="1">OFFSET(控制台!$E$4617,MATCH(B314,控制台!$B$4617:$B$4629,0)-1,0)*控制台!$C$4611</f>
        <v>80</v>
      </c>
      <c r="J314" s="1">
        <f>(_xlfn.FLOOR.MATH((C314-1)/20)+1)/2</f>
        <v>0.5</v>
      </c>
      <c r="K314" s="4">
        <f ca="1">IF(MOD(C314,4)=0,0,Lerp_dyy(H314,I314,J314))</f>
        <v>70</v>
      </c>
      <c r="L314" s="1">
        <f ca="1">OFFSET(控制台!$G$4617,MATCH(B314,控制台!$B$4617:$B$4629,0)-2,0)*控制台!$C$4612</f>
        <v>16</v>
      </c>
      <c r="M314" s="1">
        <f ca="1">OFFSET(控制台!$G$4617,MATCH(B314,控制台!$B$4617:$B$4629,0)-1,0)*控制台!$C$4612</f>
        <v>18</v>
      </c>
      <c r="N314" s="1">
        <v>1</v>
      </c>
      <c r="O314" s="4">
        <f ca="1">IF(MOD(C314,4)=0,Lerp_dyy(L314,M314,N314),0)</f>
        <v>0</v>
      </c>
    </row>
    <row r="315" spans="1:15">
      <c r="A315" s="1">
        <f t="shared" si="10"/>
        <v>910</v>
      </c>
      <c r="B315" s="1">
        <v>9</v>
      </c>
      <c r="C315" s="1">
        <v>10</v>
      </c>
      <c r="D315" s="1">
        <f ca="1">OFFSET(控制台!$C$4617,MATCH(B315,控制台!$B$4617:$B$4629,0)-2,0)*控制台!$C$4610</f>
        <v>60000</v>
      </c>
      <c r="E315" s="1">
        <f ca="1">OFFSET(控制台!$C$4617,MATCH(B315,控制台!$B$4617:$B$4629,0)-1,0)*控制台!$C$4610</f>
        <v>70000</v>
      </c>
      <c r="F315" s="1">
        <f>(_xlfn.FLOOR.MATH((C315-1)/8)+1)/5</f>
        <v>0.4</v>
      </c>
      <c r="G315" s="4">
        <f ca="1">Lerp_dyy(D315,E315,F315)</f>
        <v>64000</v>
      </c>
      <c r="H315" s="1">
        <f ca="1">OFFSET(控制台!$E$4617,MATCH(B315,控制台!$B$4617:$B$4629,0)-2,0)*控制台!$C$4611</f>
        <v>60</v>
      </c>
      <c r="I315" s="1">
        <f ca="1">OFFSET(控制台!$E$4617,MATCH(B315,控制台!$B$4617:$B$4629,0)-1,0)*控制台!$C$4611</f>
        <v>80</v>
      </c>
      <c r="J315" s="1">
        <f>(_xlfn.FLOOR.MATH((C315-1)/20)+1)/2</f>
        <v>0.5</v>
      </c>
      <c r="K315" s="4">
        <f ca="1">IF(MOD(C315,4)=0,0,Lerp_dyy(H315,I315,J315))</f>
        <v>70</v>
      </c>
      <c r="L315" s="1">
        <f ca="1">OFFSET(控制台!$G$4617,MATCH(B315,控制台!$B$4617:$B$4629,0)-2,0)*控制台!$C$4612</f>
        <v>16</v>
      </c>
      <c r="M315" s="1">
        <f ca="1">OFFSET(控制台!$G$4617,MATCH(B315,控制台!$B$4617:$B$4629,0)-1,0)*控制台!$C$4612</f>
        <v>18</v>
      </c>
      <c r="N315" s="1">
        <v>1</v>
      </c>
      <c r="O315" s="4">
        <f ca="1">IF(MOD(C315,4)=0,Lerp_dyy(L315,M315,N315),0)</f>
        <v>0</v>
      </c>
    </row>
    <row r="316" spans="1:15">
      <c r="A316" s="1">
        <f t="shared" ref="A316:A379" si="11">B316*100+C316</f>
        <v>911</v>
      </c>
      <c r="B316" s="1">
        <v>9</v>
      </c>
      <c r="C316" s="1">
        <v>11</v>
      </c>
      <c r="D316" s="1">
        <f ca="1">OFFSET(控制台!$C$4617,MATCH(B316,控制台!$B$4617:$B$4629,0)-2,0)*控制台!$C$4610</f>
        <v>60000</v>
      </c>
      <c r="E316" s="1">
        <f ca="1">OFFSET(控制台!$C$4617,MATCH(B316,控制台!$B$4617:$B$4629,0)-1,0)*控制台!$C$4610</f>
        <v>70000</v>
      </c>
      <c r="F316" s="1">
        <f>(_xlfn.FLOOR.MATH((C316-1)/8)+1)/5</f>
        <v>0.4</v>
      </c>
      <c r="G316" s="4">
        <f ca="1">Lerp_dyy(D316,E316,F316)</f>
        <v>64000</v>
      </c>
      <c r="H316" s="1">
        <f ca="1">OFFSET(控制台!$E$4617,MATCH(B316,控制台!$B$4617:$B$4629,0)-2,0)*控制台!$C$4611</f>
        <v>60</v>
      </c>
      <c r="I316" s="1">
        <f ca="1">OFFSET(控制台!$E$4617,MATCH(B316,控制台!$B$4617:$B$4629,0)-1,0)*控制台!$C$4611</f>
        <v>80</v>
      </c>
      <c r="J316" s="1">
        <f>(_xlfn.FLOOR.MATH((C316-1)/20)+1)/2</f>
        <v>0.5</v>
      </c>
      <c r="K316" s="4">
        <f ca="1">IF(MOD(C316,4)=0,0,Lerp_dyy(H316,I316,J316))</f>
        <v>70</v>
      </c>
      <c r="L316" s="1">
        <f ca="1">OFFSET(控制台!$G$4617,MATCH(B316,控制台!$B$4617:$B$4629,0)-2,0)*控制台!$C$4612</f>
        <v>16</v>
      </c>
      <c r="M316" s="1">
        <f ca="1">OFFSET(控制台!$G$4617,MATCH(B316,控制台!$B$4617:$B$4629,0)-1,0)*控制台!$C$4612</f>
        <v>18</v>
      </c>
      <c r="N316" s="1">
        <v>1</v>
      </c>
      <c r="O316" s="4">
        <f ca="1">IF(MOD(C316,4)=0,Lerp_dyy(L316,M316,N316),0)</f>
        <v>0</v>
      </c>
    </row>
    <row r="317" spans="1:15">
      <c r="A317" s="1">
        <f t="shared" si="11"/>
        <v>912</v>
      </c>
      <c r="B317" s="1">
        <v>9</v>
      </c>
      <c r="C317" s="1">
        <v>12</v>
      </c>
      <c r="D317" s="1">
        <f ca="1">OFFSET(控制台!$C$4617,MATCH(B317,控制台!$B$4617:$B$4629,0)-2,0)*控制台!$C$4610</f>
        <v>60000</v>
      </c>
      <c r="E317" s="1">
        <f ca="1">OFFSET(控制台!$C$4617,MATCH(B317,控制台!$B$4617:$B$4629,0)-1,0)*控制台!$C$4610</f>
        <v>70000</v>
      </c>
      <c r="F317" s="1">
        <f>(_xlfn.FLOOR.MATH((C317-1)/8)+1)/5</f>
        <v>0.4</v>
      </c>
      <c r="G317" s="4">
        <f ca="1">Lerp_dyy(D317,E317,F317)</f>
        <v>64000</v>
      </c>
      <c r="H317" s="1">
        <f ca="1">OFFSET(控制台!$E$4617,MATCH(B317,控制台!$B$4617:$B$4629,0)-2,0)*控制台!$C$4611</f>
        <v>60</v>
      </c>
      <c r="I317" s="1">
        <f ca="1">OFFSET(控制台!$E$4617,MATCH(B317,控制台!$B$4617:$B$4629,0)-1,0)*控制台!$C$4611</f>
        <v>80</v>
      </c>
      <c r="J317" s="1">
        <f>(_xlfn.FLOOR.MATH((C317-1)/20)+1)/2</f>
        <v>0.5</v>
      </c>
      <c r="K317" s="4">
        <f ca="1">IF(MOD(C317,4)=0,0,Lerp_dyy(H317,I317,J317))</f>
        <v>0</v>
      </c>
      <c r="L317" s="1">
        <f ca="1">OFFSET(控制台!$G$4617,MATCH(B317,控制台!$B$4617:$B$4629,0)-2,0)*控制台!$C$4612</f>
        <v>16</v>
      </c>
      <c r="M317" s="1">
        <f ca="1">OFFSET(控制台!$G$4617,MATCH(B317,控制台!$B$4617:$B$4629,0)-1,0)*控制台!$C$4612</f>
        <v>18</v>
      </c>
      <c r="N317" s="1">
        <v>1</v>
      </c>
      <c r="O317" s="4">
        <f ca="1">IF(MOD(C317,4)=0,Lerp_dyy(L317,M317,N317),0)</f>
        <v>18</v>
      </c>
    </row>
    <row r="318" spans="1:15">
      <c r="A318" s="1">
        <f t="shared" si="11"/>
        <v>913</v>
      </c>
      <c r="B318" s="1">
        <v>9</v>
      </c>
      <c r="C318" s="1">
        <v>13</v>
      </c>
      <c r="D318" s="1">
        <f ca="1">OFFSET(控制台!$C$4617,MATCH(B318,控制台!$B$4617:$B$4629,0)-2,0)*控制台!$C$4610</f>
        <v>60000</v>
      </c>
      <c r="E318" s="1">
        <f ca="1">OFFSET(控制台!$C$4617,MATCH(B318,控制台!$B$4617:$B$4629,0)-1,0)*控制台!$C$4610</f>
        <v>70000</v>
      </c>
      <c r="F318" s="1">
        <f>(_xlfn.FLOOR.MATH((C318-1)/8)+1)/5</f>
        <v>0.4</v>
      </c>
      <c r="G318" s="4">
        <f ca="1">Lerp_dyy(D318,E318,F318)</f>
        <v>64000</v>
      </c>
      <c r="H318" s="1">
        <f ca="1">OFFSET(控制台!$E$4617,MATCH(B318,控制台!$B$4617:$B$4629,0)-2,0)*控制台!$C$4611</f>
        <v>60</v>
      </c>
      <c r="I318" s="1">
        <f ca="1">OFFSET(控制台!$E$4617,MATCH(B318,控制台!$B$4617:$B$4629,0)-1,0)*控制台!$C$4611</f>
        <v>80</v>
      </c>
      <c r="J318" s="1">
        <f>(_xlfn.FLOOR.MATH((C318-1)/20)+1)/2</f>
        <v>0.5</v>
      </c>
      <c r="K318" s="4">
        <f ca="1">IF(MOD(C318,4)=0,0,Lerp_dyy(H318,I318,J318))</f>
        <v>70</v>
      </c>
      <c r="L318" s="1">
        <f ca="1">OFFSET(控制台!$G$4617,MATCH(B318,控制台!$B$4617:$B$4629,0)-2,0)*控制台!$C$4612</f>
        <v>16</v>
      </c>
      <c r="M318" s="1">
        <f ca="1">OFFSET(控制台!$G$4617,MATCH(B318,控制台!$B$4617:$B$4629,0)-1,0)*控制台!$C$4612</f>
        <v>18</v>
      </c>
      <c r="N318" s="1">
        <v>1</v>
      </c>
      <c r="O318" s="4">
        <f ca="1">IF(MOD(C318,4)=0,Lerp_dyy(L318,M318,N318),0)</f>
        <v>0</v>
      </c>
    </row>
    <row r="319" spans="1:15">
      <c r="A319" s="1">
        <f t="shared" si="11"/>
        <v>914</v>
      </c>
      <c r="B319" s="1">
        <v>9</v>
      </c>
      <c r="C319" s="1">
        <v>14</v>
      </c>
      <c r="D319" s="1">
        <f ca="1">OFFSET(控制台!$C$4617,MATCH(B319,控制台!$B$4617:$B$4629,0)-2,0)*控制台!$C$4610</f>
        <v>60000</v>
      </c>
      <c r="E319" s="1">
        <f ca="1">OFFSET(控制台!$C$4617,MATCH(B319,控制台!$B$4617:$B$4629,0)-1,0)*控制台!$C$4610</f>
        <v>70000</v>
      </c>
      <c r="F319" s="1">
        <f>(_xlfn.FLOOR.MATH((C319-1)/8)+1)/5</f>
        <v>0.4</v>
      </c>
      <c r="G319" s="4">
        <f ca="1">Lerp_dyy(D319,E319,F319)</f>
        <v>64000</v>
      </c>
      <c r="H319" s="1">
        <f ca="1">OFFSET(控制台!$E$4617,MATCH(B319,控制台!$B$4617:$B$4629,0)-2,0)*控制台!$C$4611</f>
        <v>60</v>
      </c>
      <c r="I319" s="1">
        <f ca="1">OFFSET(控制台!$E$4617,MATCH(B319,控制台!$B$4617:$B$4629,0)-1,0)*控制台!$C$4611</f>
        <v>80</v>
      </c>
      <c r="J319" s="1">
        <f>(_xlfn.FLOOR.MATH((C319-1)/20)+1)/2</f>
        <v>0.5</v>
      </c>
      <c r="K319" s="4">
        <f ca="1">IF(MOD(C319,4)=0,0,Lerp_dyy(H319,I319,J319))</f>
        <v>70</v>
      </c>
      <c r="L319" s="1">
        <f ca="1">OFFSET(控制台!$G$4617,MATCH(B319,控制台!$B$4617:$B$4629,0)-2,0)*控制台!$C$4612</f>
        <v>16</v>
      </c>
      <c r="M319" s="1">
        <f ca="1">OFFSET(控制台!$G$4617,MATCH(B319,控制台!$B$4617:$B$4629,0)-1,0)*控制台!$C$4612</f>
        <v>18</v>
      </c>
      <c r="N319" s="1">
        <v>1</v>
      </c>
      <c r="O319" s="4">
        <f ca="1">IF(MOD(C319,4)=0,Lerp_dyy(L319,M319,N319),0)</f>
        <v>0</v>
      </c>
    </row>
    <row r="320" spans="1:15">
      <c r="A320" s="1">
        <f t="shared" si="11"/>
        <v>915</v>
      </c>
      <c r="B320" s="1">
        <v>9</v>
      </c>
      <c r="C320" s="1">
        <v>15</v>
      </c>
      <c r="D320" s="1">
        <f ca="1">OFFSET(控制台!$C$4617,MATCH(B320,控制台!$B$4617:$B$4629,0)-2,0)*控制台!$C$4610</f>
        <v>60000</v>
      </c>
      <c r="E320" s="1">
        <f ca="1">OFFSET(控制台!$C$4617,MATCH(B320,控制台!$B$4617:$B$4629,0)-1,0)*控制台!$C$4610</f>
        <v>70000</v>
      </c>
      <c r="F320" s="1">
        <f>(_xlfn.FLOOR.MATH((C320-1)/8)+1)/5</f>
        <v>0.4</v>
      </c>
      <c r="G320" s="4">
        <f ca="1">Lerp_dyy(D320,E320,F320)</f>
        <v>64000</v>
      </c>
      <c r="H320" s="1">
        <f ca="1">OFFSET(控制台!$E$4617,MATCH(B320,控制台!$B$4617:$B$4629,0)-2,0)*控制台!$C$4611</f>
        <v>60</v>
      </c>
      <c r="I320" s="1">
        <f ca="1">OFFSET(控制台!$E$4617,MATCH(B320,控制台!$B$4617:$B$4629,0)-1,0)*控制台!$C$4611</f>
        <v>80</v>
      </c>
      <c r="J320" s="1">
        <f>(_xlfn.FLOOR.MATH((C320-1)/20)+1)/2</f>
        <v>0.5</v>
      </c>
      <c r="K320" s="4">
        <f ca="1">IF(MOD(C320,4)=0,0,Lerp_dyy(H320,I320,J320))</f>
        <v>70</v>
      </c>
      <c r="L320" s="1">
        <f ca="1">OFFSET(控制台!$G$4617,MATCH(B320,控制台!$B$4617:$B$4629,0)-2,0)*控制台!$C$4612</f>
        <v>16</v>
      </c>
      <c r="M320" s="1">
        <f ca="1">OFFSET(控制台!$G$4617,MATCH(B320,控制台!$B$4617:$B$4629,0)-1,0)*控制台!$C$4612</f>
        <v>18</v>
      </c>
      <c r="N320" s="1">
        <v>1</v>
      </c>
      <c r="O320" s="4">
        <f ca="1">IF(MOD(C320,4)=0,Lerp_dyy(L320,M320,N320),0)</f>
        <v>0</v>
      </c>
    </row>
    <row r="321" spans="1:15">
      <c r="A321" s="1">
        <f t="shared" si="11"/>
        <v>916</v>
      </c>
      <c r="B321" s="1">
        <v>9</v>
      </c>
      <c r="C321" s="1">
        <v>16</v>
      </c>
      <c r="D321" s="1">
        <f ca="1">OFFSET(控制台!$C$4617,MATCH(B321,控制台!$B$4617:$B$4629,0)-2,0)*控制台!$C$4610</f>
        <v>60000</v>
      </c>
      <c r="E321" s="1">
        <f ca="1">OFFSET(控制台!$C$4617,MATCH(B321,控制台!$B$4617:$B$4629,0)-1,0)*控制台!$C$4610</f>
        <v>70000</v>
      </c>
      <c r="F321" s="1">
        <f>(_xlfn.FLOOR.MATH((C321-1)/8)+1)/5</f>
        <v>0.4</v>
      </c>
      <c r="G321" s="4">
        <f ca="1">Lerp_dyy(D321,E321,F321)</f>
        <v>64000</v>
      </c>
      <c r="H321" s="1">
        <f ca="1">OFFSET(控制台!$E$4617,MATCH(B321,控制台!$B$4617:$B$4629,0)-2,0)*控制台!$C$4611</f>
        <v>60</v>
      </c>
      <c r="I321" s="1">
        <f ca="1">OFFSET(控制台!$E$4617,MATCH(B321,控制台!$B$4617:$B$4629,0)-1,0)*控制台!$C$4611</f>
        <v>80</v>
      </c>
      <c r="J321" s="1">
        <f>(_xlfn.FLOOR.MATH((C321-1)/20)+1)/2</f>
        <v>0.5</v>
      </c>
      <c r="K321" s="4">
        <f ca="1">IF(MOD(C321,4)=0,0,Lerp_dyy(H321,I321,J321))</f>
        <v>0</v>
      </c>
      <c r="L321" s="1">
        <f ca="1">OFFSET(控制台!$G$4617,MATCH(B321,控制台!$B$4617:$B$4629,0)-2,0)*控制台!$C$4612</f>
        <v>16</v>
      </c>
      <c r="M321" s="1">
        <f ca="1">OFFSET(控制台!$G$4617,MATCH(B321,控制台!$B$4617:$B$4629,0)-1,0)*控制台!$C$4612</f>
        <v>18</v>
      </c>
      <c r="N321" s="1">
        <v>1</v>
      </c>
      <c r="O321" s="4">
        <f ca="1">IF(MOD(C321,4)=0,Lerp_dyy(L321,M321,N321),0)</f>
        <v>18</v>
      </c>
    </row>
    <row r="322" spans="1:15">
      <c r="A322" s="1">
        <f t="shared" si="11"/>
        <v>917</v>
      </c>
      <c r="B322" s="1">
        <v>9</v>
      </c>
      <c r="C322" s="1">
        <v>17</v>
      </c>
      <c r="D322" s="1">
        <f ca="1">OFFSET(控制台!$C$4617,MATCH(B322,控制台!$B$4617:$B$4629,0)-2,0)*控制台!$C$4610</f>
        <v>60000</v>
      </c>
      <c r="E322" s="1">
        <f ca="1">OFFSET(控制台!$C$4617,MATCH(B322,控制台!$B$4617:$B$4629,0)-1,0)*控制台!$C$4610</f>
        <v>70000</v>
      </c>
      <c r="F322" s="1">
        <f>(_xlfn.FLOOR.MATH((C322-1)/8)+1)/5</f>
        <v>0.6</v>
      </c>
      <c r="G322" s="4">
        <f ca="1">Lerp_dyy(D322,E322,F322)</f>
        <v>66000</v>
      </c>
      <c r="H322" s="1">
        <f ca="1">OFFSET(控制台!$E$4617,MATCH(B322,控制台!$B$4617:$B$4629,0)-2,0)*控制台!$C$4611</f>
        <v>60</v>
      </c>
      <c r="I322" s="1">
        <f ca="1">OFFSET(控制台!$E$4617,MATCH(B322,控制台!$B$4617:$B$4629,0)-1,0)*控制台!$C$4611</f>
        <v>80</v>
      </c>
      <c r="J322" s="1">
        <f>(_xlfn.FLOOR.MATH((C322-1)/20)+1)/2</f>
        <v>0.5</v>
      </c>
      <c r="K322" s="4">
        <f ca="1">IF(MOD(C322,4)=0,0,Lerp_dyy(H322,I322,J322))</f>
        <v>70</v>
      </c>
      <c r="L322" s="1">
        <f ca="1">OFFSET(控制台!$G$4617,MATCH(B322,控制台!$B$4617:$B$4629,0)-2,0)*控制台!$C$4612</f>
        <v>16</v>
      </c>
      <c r="M322" s="1">
        <f ca="1">OFFSET(控制台!$G$4617,MATCH(B322,控制台!$B$4617:$B$4629,0)-1,0)*控制台!$C$4612</f>
        <v>18</v>
      </c>
      <c r="N322" s="1">
        <v>1</v>
      </c>
      <c r="O322" s="4">
        <f ca="1">IF(MOD(C322,4)=0,Lerp_dyy(L322,M322,N322),0)</f>
        <v>0</v>
      </c>
    </row>
    <row r="323" spans="1:15">
      <c r="A323" s="1">
        <f t="shared" si="11"/>
        <v>918</v>
      </c>
      <c r="B323" s="1">
        <v>9</v>
      </c>
      <c r="C323" s="1">
        <v>18</v>
      </c>
      <c r="D323" s="1">
        <f ca="1">OFFSET(控制台!$C$4617,MATCH(B323,控制台!$B$4617:$B$4629,0)-2,0)*控制台!$C$4610</f>
        <v>60000</v>
      </c>
      <c r="E323" s="1">
        <f ca="1">OFFSET(控制台!$C$4617,MATCH(B323,控制台!$B$4617:$B$4629,0)-1,0)*控制台!$C$4610</f>
        <v>70000</v>
      </c>
      <c r="F323" s="1">
        <f>(_xlfn.FLOOR.MATH((C323-1)/8)+1)/5</f>
        <v>0.6</v>
      </c>
      <c r="G323" s="4">
        <f ca="1">Lerp_dyy(D323,E323,F323)</f>
        <v>66000</v>
      </c>
      <c r="H323" s="1">
        <f ca="1">OFFSET(控制台!$E$4617,MATCH(B323,控制台!$B$4617:$B$4629,0)-2,0)*控制台!$C$4611</f>
        <v>60</v>
      </c>
      <c r="I323" s="1">
        <f ca="1">OFFSET(控制台!$E$4617,MATCH(B323,控制台!$B$4617:$B$4629,0)-1,0)*控制台!$C$4611</f>
        <v>80</v>
      </c>
      <c r="J323" s="1">
        <f>(_xlfn.FLOOR.MATH((C323-1)/20)+1)/2</f>
        <v>0.5</v>
      </c>
      <c r="K323" s="4">
        <f ca="1">IF(MOD(C323,4)=0,0,Lerp_dyy(H323,I323,J323))</f>
        <v>70</v>
      </c>
      <c r="L323" s="1">
        <f ca="1">OFFSET(控制台!$G$4617,MATCH(B323,控制台!$B$4617:$B$4629,0)-2,0)*控制台!$C$4612</f>
        <v>16</v>
      </c>
      <c r="M323" s="1">
        <f ca="1">OFFSET(控制台!$G$4617,MATCH(B323,控制台!$B$4617:$B$4629,0)-1,0)*控制台!$C$4612</f>
        <v>18</v>
      </c>
      <c r="N323" s="1">
        <v>1</v>
      </c>
      <c r="O323" s="4">
        <f ca="1">IF(MOD(C323,4)=0,Lerp_dyy(L323,M323,N323),0)</f>
        <v>0</v>
      </c>
    </row>
    <row r="324" spans="1:15">
      <c r="A324" s="1">
        <f t="shared" si="11"/>
        <v>919</v>
      </c>
      <c r="B324" s="1">
        <v>9</v>
      </c>
      <c r="C324" s="1">
        <v>19</v>
      </c>
      <c r="D324" s="1">
        <f ca="1">OFFSET(控制台!$C$4617,MATCH(B324,控制台!$B$4617:$B$4629,0)-2,0)*控制台!$C$4610</f>
        <v>60000</v>
      </c>
      <c r="E324" s="1">
        <f ca="1">OFFSET(控制台!$C$4617,MATCH(B324,控制台!$B$4617:$B$4629,0)-1,0)*控制台!$C$4610</f>
        <v>70000</v>
      </c>
      <c r="F324" s="1">
        <f>(_xlfn.FLOOR.MATH((C324-1)/8)+1)/5</f>
        <v>0.6</v>
      </c>
      <c r="G324" s="4">
        <f ca="1">Lerp_dyy(D324,E324,F324)</f>
        <v>66000</v>
      </c>
      <c r="H324" s="1">
        <f ca="1">OFFSET(控制台!$E$4617,MATCH(B324,控制台!$B$4617:$B$4629,0)-2,0)*控制台!$C$4611</f>
        <v>60</v>
      </c>
      <c r="I324" s="1">
        <f ca="1">OFFSET(控制台!$E$4617,MATCH(B324,控制台!$B$4617:$B$4629,0)-1,0)*控制台!$C$4611</f>
        <v>80</v>
      </c>
      <c r="J324" s="1">
        <f>(_xlfn.FLOOR.MATH((C324-1)/20)+1)/2</f>
        <v>0.5</v>
      </c>
      <c r="K324" s="4">
        <f ca="1">IF(MOD(C324,4)=0,0,Lerp_dyy(H324,I324,J324))</f>
        <v>70</v>
      </c>
      <c r="L324" s="1">
        <f ca="1">OFFSET(控制台!$G$4617,MATCH(B324,控制台!$B$4617:$B$4629,0)-2,0)*控制台!$C$4612</f>
        <v>16</v>
      </c>
      <c r="M324" s="1">
        <f ca="1">OFFSET(控制台!$G$4617,MATCH(B324,控制台!$B$4617:$B$4629,0)-1,0)*控制台!$C$4612</f>
        <v>18</v>
      </c>
      <c r="N324" s="1">
        <v>1</v>
      </c>
      <c r="O324" s="4">
        <f ca="1">IF(MOD(C324,4)=0,Lerp_dyy(L324,M324,N324),0)</f>
        <v>0</v>
      </c>
    </row>
    <row r="325" spans="1:15">
      <c r="A325" s="1">
        <f t="shared" si="11"/>
        <v>920</v>
      </c>
      <c r="B325" s="1">
        <v>9</v>
      </c>
      <c r="C325" s="1">
        <v>20</v>
      </c>
      <c r="D325" s="1">
        <f ca="1">OFFSET(控制台!$C$4617,MATCH(B325,控制台!$B$4617:$B$4629,0)-2,0)*控制台!$C$4610</f>
        <v>60000</v>
      </c>
      <c r="E325" s="1">
        <f ca="1">OFFSET(控制台!$C$4617,MATCH(B325,控制台!$B$4617:$B$4629,0)-1,0)*控制台!$C$4610</f>
        <v>70000</v>
      </c>
      <c r="F325" s="1">
        <f>(_xlfn.FLOOR.MATH((C325-1)/8)+1)/5</f>
        <v>0.6</v>
      </c>
      <c r="G325" s="4">
        <f ca="1">Lerp_dyy(D325,E325,F325)</f>
        <v>66000</v>
      </c>
      <c r="H325" s="1">
        <f ca="1">OFFSET(控制台!$E$4617,MATCH(B325,控制台!$B$4617:$B$4629,0)-2,0)*控制台!$C$4611</f>
        <v>60</v>
      </c>
      <c r="I325" s="1">
        <f ca="1">OFFSET(控制台!$E$4617,MATCH(B325,控制台!$B$4617:$B$4629,0)-1,0)*控制台!$C$4611</f>
        <v>80</v>
      </c>
      <c r="J325" s="1">
        <f>(_xlfn.FLOOR.MATH((C325-1)/20)+1)/2</f>
        <v>0.5</v>
      </c>
      <c r="K325" s="4">
        <f ca="1">IF(MOD(C325,4)=0,0,Lerp_dyy(H325,I325,J325))</f>
        <v>0</v>
      </c>
      <c r="L325" s="1">
        <f ca="1">OFFSET(控制台!$G$4617,MATCH(B325,控制台!$B$4617:$B$4629,0)-2,0)*控制台!$C$4612</f>
        <v>16</v>
      </c>
      <c r="M325" s="1">
        <f ca="1">OFFSET(控制台!$G$4617,MATCH(B325,控制台!$B$4617:$B$4629,0)-1,0)*控制台!$C$4612</f>
        <v>18</v>
      </c>
      <c r="N325" s="1">
        <v>1</v>
      </c>
      <c r="O325" s="4">
        <f ca="1">IF(MOD(C325,4)=0,Lerp_dyy(L325,M325,N325),0)</f>
        <v>18</v>
      </c>
    </row>
    <row r="326" spans="1:15">
      <c r="A326" s="1">
        <f t="shared" si="11"/>
        <v>921</v>
      </c>
      <c r="B326" s="1">
        <v>9</v>
      </c>
      <c r="C326" s="1">
        <v>21</v>
      </c>
      <c r="D326" s="1">
        <f ca="1">OFFSET(控制台!$C$4617,MATCH(B326,控制台!$B$4617:$B$4629,0)-2,0)*控制台!$C$4610</f>
        <v>60000</v>
      </c>
      <c r="E326" s="1">
        <f ca="1">OFFSET(控制台!$C$4617,MATCH(B326,控制台!$B$4617:$B$4629,0)-1,0)*控制台!$C$4610</f>
        <v>70000</v>
      </c>
      <c r="F326" s="1">
        <f>(_xlfn.FLOOR.MATH((C326-1)/8)+1)/5</f>
        <v>0.6</v>
      </c>
      <c r="G326" s="4">
        <f ca="1">Lerp_dyy(D326,E326,F326)</f>
        <v>66000</v>
      </c>
      <c r="H326" s="1">
        <f ca="1">OFFSET(控制台!$E$4617,MATCH(B326,控制台!$B$4617:$B$4629,0)-2,0)*控制台!$C$4611</f>
        <v>60</v>
      </c>
      <c r="I326" s="1">
        <f ca="1">OFFSET(控制台!$E$4617,MATCH(B326,控制台!$B$4617:$B$4629,0)-1,0)*控制台!$C$4611</f>
        <v>80</v>
      </c>
      <c r="J326" s="1">
        <f>(_xlfn.FLOOR.MATH((C326-1)/20)+1)/2</f>
        <v>1</v>
      </c>
      <c r="K326" s="4">
        <f ca="1">IF(MOD(C326,4)=0,0,Lerp_dyy(H326,I326,J326))</f>
        <v>80</v>
      </c>
      <c r="L326" s="1">
        <f ca="1">OFFSET(控制台!$G$4617,MATCH(B326,控制台!$B$4617:$B$4629,0)-2,0)*控制台!$C$4612</f>
        <v>16</v>
      </c>
      <c r="M326" s="1">
        <f ca="1">OFFSET(控制台!$G$4617,MATCH(B326,控制台!$B$4617:$B$4629,0)-1,0)*控制台!$C$4612</f>
        <v>18</v>
      </c>
      <c r="N326" s="1">
        <v>1</v>
      </c>
      <c r="O326" s="4">
        <f ca="1">IF(MOD(C326,4)=0,Lerp_dyy(L326,M326,N326),0)</f>
        <v>0</v>
      </c>
    </row>
    <row r="327" spans="1:15">
      <c r="A327" s="1">
        <f t="shared" si="11"/>
        <v>922</v>
      </c>
      <c r="B327" s="1">
        <v>9</v>
      </c>
      <c r="C327" s="1">
        <v>22</v>
      </c>
      <c r="D327" s="1">
        <f ca="1">OFFSET(控制台!$C$4617,MATCH(B327,控制台!$B$4617:$B$4629,0)-2,0)*控制台!$C$4610</f>
        <v>60000</v>
      </c>
      <c r="E327" s="1">
        <f ca="1">OFFSET(控制台!$C$4617,MATCH(B327,控制台!$B$4617:$B$4629,0)-1,0)*控制台!$C$4610</f>
        <v>70000</v>
      </c>
      <c r="F327" s="1">
        <f>(_xlfn.FLOOR.MATH((C327-1)/8)+1)/5</f>
        <v>0.6</v>
      </c>
      <c r="G327" s="4">
        <f ca="1">Lerp_dyy(D327,E327,F327)</f>
        <v>66000</v>
      </c>
      <c r="H327" s="1">
        <f ca="1">OFFSET(控制台!$E$4617,MATCH(B327,控制台!$B$4617:$B$4629,0)-2,0)*控制台!$C$4611</f>
        <v>60</v>
      </c>
      <c r="I327" s="1">
        <f ca="1">OFFSET(控制台!$E$4617,MATCH(B327,控制台!$B$4617:$B$4629,0)-1,0)*控制台!$C$4611</f>
        <v>80</v>
      </c>
      <c r="J327" s="1">
        <f>(_xlfn.FLOOR.MATH((C327-1)/20)+1)/2</f>
        <v>1</v>
      </c>
      <c r="K327" s="4">
        <f ca="1">IF(MOD(C327,4)=0,0,Lerp_dyy(H327,I327,J327))</f>
        <v>80</v>
      </c>
      <c r="L327" s="1">
        <f ca="1">OFFSET(控制台!$G$4617,MATCH(B327,控制台!$B$4617:$B$4629,0)-2,0)*控制台!$C$4612</f>
        <v>16</v>
      </c>
      <c r="M327" s="1">
        <f ca="1">OFFSET(控制台!$G$4617,MATCH(B327,控制台!$B$4617:$B$4629,0)-1,0)*控制台!$C$4612</f>
        <v>18</v>
      </c>
      <c r="N327" s="1">
        <v>1</v>
      </c>
      <c r="O327" s="4">
        <f ca="1">IF(MOD(C327,4)=0,Lerp_dyy(L327,M327,N327),0)</f>
        <v>0</v>
      </c>
    </row>
    <row r="328" spans="1:15">
      <c r="A328" s="1">
        <f t="shared" si="11"/>
        <v>923</v>
      </c>
      <c r="B328" s="1">
        <v>9</v>
      </c>
      <c r="C328" s="1">
        <v>23</v>
      </c>
      <c r="D328" s="1">
        <f ca="1">OFFSET(控制台!$C$4617,MATCH(B328,控制台!$B$4617:$B$4629,0)-2,0)*控制台!$C$4610</f>
        <v>60000</v>
      </c>
      <c r="E328" s="1">
        <f ca="1">OFFSET(控制台!$C$4617,MATCH(B328,控制台!$B$4617:$B$4629,0)-1,0)*控制台!$C$4610</f>
        <v>70000</v>
      </c>
      <c r="F328" s="1">
        <f>(_xlfn.FLOOR.MATH((C328-1)/8)+1)/5</f>
        <v>0.6</v>
      </c>
      <c r="G328" s="4">
        <f ca="1">Lerp_dyy(D328,E328,F328)</f>
        <v>66000</v>
      </c>
      <c r="H328" s="1">
        <f ca="1">OFFSET(控制台!$E$4617,MATCH(B328,控制台!$B$4617:$B$4629,0)-2,0)*控制台!$C$4611</f>
        <v>60</v>
      </c>
      <c r="I328" s="1">
        <f ca="1">OFFSET(控制台!$E$4617,MATCH(B328,控制台!$B$4617:$B$4629,0)-1,0)*控制台!$C$4611</f>
        <v>80</v>
      </c>
      <c r="J328" s="1">
        <f>(_xlfn.FLOOR.MATH((C328-1)/20)+1)/2</f>
        <v>1</v>
      </c>
      <c r="K328" s="4">
        <f ca="1">IF(MOD(C328,4)=0,0,Lerp_dyy(H328,I328,J328))</f>
        <v>80</v>
      </c>
      <c r="L328" s="1">
        <f ca="1">OFFSET(控制台!$G$4617,MATCH(B328,控制台!$B$4617:$B$4629,0)-2,0)*控制台!$C$4612</f>
        <v>16</v>
      </c>
      <c r="M328" s="1">
        <f ca="1">OFFSET(控制台!$G$4617,MATCH(B328,控制台!$B$4617:$B$4629,0)-1,0)*控制台!$C$4612</f>
        <v>18</v>
      </c>
      <c r="N328" s="1">
        <v>1</v>
      </c>
      <c r="O328" s="4">
        <f ca="1">IF(MOD(C328,4)=0,Lerp_dyy(L328,M328,N328),0)</f>
        <v>0</v>
      </c>
    </row>
    <row r="329" spans="1:15">
      <c r="A329" s="1">
        <f t="shared" si="11"/>
        <v>924</v>
      </c>
      <c r="B329" s="1">
        <v>9</v>
      </c>
      <c r="C329" s="1">
        <v>24</v>
      </c>
      <c r="D329" s="1">
        <f ca="1">OFFSET(控制台!$C$4617,MATCH(B329,控制台!$B$4617:$B$4629,0)-2,0)*控制台!$C$4610</f>
        <v>60000</v>
      </c>
      <c r="E329" s="1">
        <f ca="1">OFFSET(控制台!$C$4617,MATCH(B329,控制台!$B$4617:$B$4629,0)-1,0)*控制台!$C$4610</f>
        <v>70000</v>
      </c>
      <c r="F329" s="1">
        <f>(_xlfn.FLOOR.MATH((C329-1)/8)+1)/5</f>
        <v>0.6</v>
      </c>
      <c r="G329" s="4">
        <f ca="1">Lerp_dyy(D329,E329,F329)</f>
        <v>66000</v>
      </c>
      <c r="H329" s="1">
        <f ca="1">OFFSET(控制台!$E$4617,MATCH(B329,控制台!$B$4617:$B$4629,0)-2,0)*控制台!$C$4611</f>
        <v>60</v>
      </c>
      <c r="I329" s="1">
        <f ca="1">OFFSET(控制台!$E$4617,MATCH(B329,控制台!$B$4617:$B$4629,0)-1,0)*控制台!$C$4611</f>
        <v>80</v>
      </c>
      <c r="J329" s="1">
        <f>(_xlfn.FLOOR.MATH((C329-1)/20)+1)/2</f>
        <v>1</v>
      </c>
      <c r="K329" s="4">
        <f ca="1">IF(MOD(C329,4)=0,0,Lerp_dyy(H329,I329,J329))</f>
        <v>0</v>
      </c>
      <c r="L329" s="1">
        <f ca="1">OFFSET(控制台!$G$4617,MATCH(B329,控制台!$B$4617:$B$4629,0)-2,0)*控制台!$C$4612</f>
        <v>16</v>
      </c>
      <c r="M329" s="1">
        <f ca="1">OFFSET(控制台!$G$4617,MATCH(B329,控制台!$B$4617:$B$4629,0)-1,0)*控制台!$C$4612</f>
        <v>18</v>
      </c>
      <c r="N329" s="1">
        <v>1</v>
      </c>
      <c r="O329" s="4">
        <f ca="1">IF(MOD(C329,4)=0,Lerp_dyy(L329,M329,N329),0)</f>
        <v>18</v>
      </c>
    </row>
    <row r="330" spans="1:15">
      <c r="A330" s="1">
        <f t="shared" si="11"/>
        <v>925</v>
      </c>
      <c r="B330" s="1">
        <v>9</v>
      </c>
      <c r="C330" s="1">
        <v>25</v>
      </c>
      <c r="D330" s="1">
        <f ca="1">OFFSET(控制台!$C$4617,MATCH(B330,控制台!$B$4617:$B$4629,0)-2,0)*控制台!$C$4610</f>
        <v>60000</v>
      </c>
      <c r="E330" s="1">
        <f ca="1">OFFSET(控制台!$C$4617,MATCH(B330,控制台!$B$4617:$B$4629,0)-1,0)*控制台!$C$4610</f>
        <v>70000</v>
      </c>
      <c r="F330" s="1">
        <f>(_xlfn.FLOOR.MATH((C330-1)/8)+1)/5</f>
        <v>0.8</v>
      </c>
      <c r="G330" s="4">
        <f ca="1">Lerp_dyy(D330,E330,F330)</f>
        <v>68000</v>
      </c>
      <c r="H330" s="1">
        <f ca="1">OFFSET(控制台!$E$4617,MATCH(B330,控制台!$B$4617:$B$4629,0)-2,0)*控制台!$C$4611</f>
        <v>60</v>
      </c>
      <c r="I330" s="1">
        <f ca="1">OFFSET(控制台!$E$4617,MATCH(B330,控制台!$B$4617:$B$4629,0)-1,0)*控制台!$C$4611</f>
        <v>80</v>
      </c>
      <c r="J330" s="1">
        <f>(_xlfn.FLOOR.MATH((C330-1)/20)+1)/2</f>
        <v>1</v>
      </c>
      <c r="K330" s="4">
        <f ca="1">IF(MOD(C330,4)=0,0,Lerp_dyy(H330,I330,J330))</f>
        <v>80</v>
      </c>
      <c r="L330" s="1">
        <f ca="1">OFFSET(控制台!$G$4617,MATCH(B330,控制台!$B$4617:$B$4629,0)-2,0)*控制台!$C$4612</f>
        <v>16</v>
      </c>
      <c r="M330" s="1">
        <f ca="1">OFFSET(控制台!$G$4617,MATCH(B330,控制台!$B$4617:$B$4629,0)-1,0)*控制台!$C$4612</f>
        <v>18</v>
      </c>
      <c r="N330" s="1">
        <v>1</v>
      </c>
      <c r="O330" s="4">
        <f ca="1">IF(MOD(C330,4)=0,Lerp_dyy(L330,M330,N330),0)</f>
        <v>0</v>
      </c>
    </row>
    <row r="331" spans="1:15">
      <c r="A331" s="1">
        <f t="shared" si="11"/>
        <v>926</v>
      </c>
      <c r="B331" s="1">
        <v>9</v>
      </c>
      <c r="C331" s="1">
        <v>26</v>
      </c>
      <c r="D331" s="1">
        <f ca="1">OFFSET(控制台!$C$4617,MATCH(B331,控制台!$B$4617:$B$4629,0)-2,0)*控制台!$C$4610</f>
        <v>60000</v>
      </c>
      <c r="E331" s="1">
        <f ca="1">OFFSET(控制台!$C$4617,MATCH(B331,控制台!$B$4617:$B$4629,0)-1,0)*控制台!$C$4610</f>
        <v>70000</v>
      </c>
      <c r="F331" s="1">
        <f>(_xlfn.FLOOR.MATH((C331-1)/8)+1)/5</f>
        <v>0.8</v>
      </c>
      <c r="G331" s="4">
        <f ca="1">Lerp_dyy(D331,E331,F331)</f>
        <v>68000</v>
      </c>
      <c r="H331" s="1">
        <f ca="1">OFFSET(控制台!$E$4617,MATCH(B331,控制台!$B$4617:$B$4629,0)-2,0)*控制台!$C$4611</f>
        <v>60</v>
      </c>
      <c r="I331" s="1">
        <f ca="1">OFFSET(控制台!$E$4617,MATCH(B331,控制台!$B$4617:$B$4629,0)-1,0)*控制台!$C$4611</f>
        <v>80</v>
      </c>
      <c r="J331" s="1">
        <f>(_xlfn.FLOOR.MATH((C331-1)/20)+1)/2</f>
        <v>1</v>
      </c>
      <c r="K331" s="4">
        <f ca="1">IF(MOD(C331,4)=0,0,Lerp_dyy(H331,I331,J331))</f>
        <v>80</v>
      </c>
      <c r="L331" s="1">
        <f ca="1">OFFSET(控制台!$G$4617,MATCH(B331,控制台!$B$4617:$B$4629,0)-2,0)*控制台!$C$4612</f>
        <v>16</v>
      </c>
      <c r="M331" s="1">
        <f ca="1">OFFSET(控制台!$G$4617,MATCH(B331,控制台!$B$4617:$B$4629,0)-1,0)*控制台!$C$4612</f>
        <v>18</v>
      </c>
      <c r="N331" s="1">
        <v>1</v>
      </c>
      <c r="O331" s="4">
        <f ca="1">IF(MOD(C331,4)=0,Lerp_dyy(L331,M331,N331),0)</f>
        <v>0</v>
      </c>
    </row>
    <row r="332" spans="1:15">
      <c r="A332" s="1">
        <f t="shared" si="11"/>
        <v>927</v>
      </c>
      <c r="B332" s="1">
        <v>9</v>
      </c>
      <c r="C332" s="1">
        <v>27</v>
      </c>
      <c r="D332" s="1">
        <f ca="1">OFFSET(控制台!$C$4617,MATCH(B332,控制台!$B$4617:$B$4629,0)-2,0)*控制台!$C$4610</f>
        <v>60000</v>
      </c>
      <c r="E332" s="1">
        <f ca="1">OFFSET(控制台!$C$4617,MATCH(B332,控制台!$B$4617:$B$4629,0)-1,0)*控制台!$C$4610</f>
        <v>70000</v>
      </c>
      <c r="F332" s="1">
        <f>(_xlfn.FLOOR.MATH((C332-1)/8)+1)/5</f>
        <v>0.8</v>
      </c>
      <c r="G332" s="4">
        <f ca="1">Lerp_dyy(D332,E332,F332)</f>
        <v>68000</v>
      </c>
      <c r="H332" s="1">
        <f ca="1">OFFSET(控制台!$E$4617,MATCH(B332,控制台!$B$4617:$B$4629,0)-2,0)*控制台!$C$4611</f>
        <v>60</v>
      </c>
      <c r="I332" s="1">
        <f ca="1">OFFSET(控制台!$E$4617,MATCH(B332,控制台!$B$4617:$B$4629,0)-1,0)*控制台!$C$4611</f>
        <v>80</v>
      </c>
      <c r="J332" s="1">
        <f>(_xlfn.FLOOR.MATH((C332-1)/20)+1)/2</f>
        <v>1</v>
      </c>
      <c r="K332" s="4">
        <f ca="1">IF(MOD(C332,4)=0,0,Lerp_dyy(H332,I332,J332))</f>
        <v>80</v>
      </c>
      <c r="L332" s="1">
        <f ca="1">OFFSET(控制台!$G$4617,MATCH(B332,控制台!$B$4617:$B$4629,0)-2,0)*控制台!$C$4612</f>
        <v>16</v>
      </c>
      <c r="M332" s="1">
        <f ca="1">OFFSET(控制台!$G$4617,MATCH(B332,控制台!$B$4617:$B$4629,0)-1,0)*控制台!$C$4612</f>
        <v>18</v>
      </c>
      <c r="N332" s="1">
        <v>1</v>
      </c>
      <c r="O332" s="4">
        <f ca="1">IF(MOD(C332,4)=0,Lerp_dyy(L332,M332,N332),0)</f>
        <v>0</v>
      </c>
    </row>
    <row r="333" spans="1:15">
      <c r="A333" s="1">
        <f t="shared" si="11"/>
        <v>928</v>
      </c>
      <c r="B333" s="1">
        <v>9</v>
      </c>
      <c r="C333" s="1">
        <v>28</v>
      </c>
      <c r="D333" s="1">
        <f ca="1">OFFSET(控制台!$C$4617,MATCH(B333,控制台!$B$4617:$B$4629,0)-2,0)*控制台!$C$4610</f>
        <v>60000</v>
      </c>
      <c r="E333" s="1">
        <f ca="1">OFFSET(控制台!$C$4617,MATCH(B333,控制台!$B$4617:$B$4629,0)-1,0)*控制台!$C$4610</f>
        <v>70000</v>
      </c>
      <c r="F333" s="1">
        <f>(_xlfn.FLOOR.MATH((C333-1)/8)+1)/5</f>
        <v>0.8</v>
      </c>
      <c r="G333" s="4">
        <f ca="1">Lerp_dyy(D333,E333,F333)</f>
        <v>68000</v>
      </c>
      <c r="H333" s="1">
        <f ca="1">OFFSET(控制台!$E$4617,MATCH(B333,控制台!$B$4617:$B$4629,0)-2,0)*控制台!$C$4611</f>
        <v>60</v>
      </c>
      <c r="I333" s="1">
        <f ca="1">OFFSET(控制台!$E$4617,MATCH(B333,控制台!$B$4617:$B$4629,0)-1,0)*控制台!$C$4611</f>
        <v>80</v>
      </c>
      <c r="J333" s="1">
        <f>(_xlfn.FLOOR.MATH((C333-1)/20)+1)/2</f>
        <v>1</v>
      </c>
      <c r="K333" s="4">
        <f ca="1">IF(MOD(C333,4)=0,0,Lerp_dyy(H333,I333,J333))</f>
        <v>0</v>
      </c>
      <c r="L333" s="1">
        <f ca="1">OFFSET(控制台!$G$4617,MATCH(B333,控制台!$B$4617:$B$4629,0)-2,0)*控制台!$C$4612</f>
        <v>16</v>
      </c>
      <c r="M333" s="1">
        <f ca="1">OFFSET(控制台!$G$4617,MATCH(B333,控制台!$B$4617:$B$4629,0)-1,0)*控制台!$C$4612</f>
        <v>18</v>
      </c>
      <c r="N333" s="1">
        <v>1</v>
      </c>
      <c r="O333" s="4">
        <f ca="1">IF(MOD(C333,4)=0,Lerp_dyy(L333,M333,N333),0)</f>
        <v>18</v>
      </c>
    </row>
    <row r="334" spans="1:15">
      <c r="A334" s="1">
        <f t="shared" si="11"/>
        <v>929</v>
      </c>
      <c r="B334" s="1">
        <v>9</v>
      </c>
      <c r="C334" s="1">
        <v>29</v>
      </c>
      <c r="D334" s="1">
        <f ca="1">OFFSET(控制台!$C$4617,MATCH(B334,控制台!$B$4617:$B$4629,0)-2,0)*控制台!$C$4610</f>
        <v>60000</v>
      </c>
      <c r="E334" s="1">
        <f ca="1">OFFSET(控制台!$C$4617,MATCH(B334,控制台!$B$4617:$B$4629,0)-1,0)*控制台!$C$4610</f>
        <v>70000</v>
      </c>
      <c r="F334" s="1">
        <f>(_xlfn.FLOOR.MATH((C334-1)/8)+1)/5</f>
        <v>0.8</v>
      </c>
      <c r="G334" s="4">
        <f ca="1">Lerp_dyy(D334,E334,F334)</f>
        <v>68000</v>
      </c>
      <c r="H334" s="1">
        <f ca="1">OFFSET(控制台!$E$4617,MATCH(B334,控制台!$B$4617:$B$4629,0)-2,0)*控制台!$C$4611</f>
        <v>60</v>
      </c>
      <c r="I334" s="1">
        <f ca="1">OFFSET(控制台!$E$4617,MATCH(B334,控制台!$B$4617:$B$4629,0)-1,0)*控制台!$C$4611</f>
        <v>80</v>
      </c>
      <c r="J334" s="1">
        <f>(_xlfn.FLOOR.MATH((C334-1)/20)+1)/2</f>
        <v>1</v>
      </c>
      <c r="K334" s="4">
        <f ca="1">IF(MOD(C334,4)=0,0,Lerp_dyy(H334,I334,J334))</f>
        <v>80</v>
      </c>
      <c r="L334" s="1">
        <f ca="1">OFFSET(控制台!$G$4617,MATCH(B334,控制台!$B$4617:$B$4629,0)-2,0)*控制台!$C$4612</f>
        <v>16</v>
      </c>
      <c r="M334" s="1">
        <f ca="1">OFFSET(控制台!$G$4617,MATCH(B334,控制台!$B$4617:$B$4629,0)-1,0)*控制台!$C$4612</f>
        <v>18</v>
      </c>
      <c r="N334" s="1">
        <v>1</v>
      </c>
      <c r="O334" s="4">
        <f ca="1">IF(MOD(C334,4)=0,Lerp_dyy(L334,M334,N334),0)</f>
        <v>0</v>
      </c>
    </row>
    <row r="335" spans="1:15">
      <c r="A335" s="1">
        <f t="shared" si="11"/>
        <v>930</v>
      </c>
      <c r="B335" s="1">
        <v>9</v>
      </c>
      <c r="C335" s="1">
        <v>30</v>
      </c>
      <c r="D335" s="1">
        <f ca="1">OFFSET(控制台!$C$4617,MATCH(B335,控制台!$B$4617:$B$4629,0)-2,0)*控制台!$C$4610</f>
        <v>60000</v>
      </c>
      <c r="E335" s="1">
        <f ca="1">OFFSET(控制台!$C$4617,MATCH(B335,控制台!$B$4617:$B$4629,0)-1,0)*控制台!$C$4610</f>
        <v>70000</v>
      </c>
      <c r="F335" s="1">
        <f>(_xlfn.FLOOR.MATH((C335-1)/8)+1)/5</f>
        <v>0.8</v>
      </c>
      <c r="G335" s="4">
        <f ca="1">Lerp_dyy(D335,E335,F335)</f>
        <v>68000</v>
      </c>
      <c r="H335" s="1">
        <f ca="1">OFFSET(控制台!$E$4617,MATCH(B335,控制台!$B$4617:$B$4629,0)-2,0)*控制台!$C$4611</f>
        <v>60</v>
      </c>
      <c r="I335" s="1">
        <f ca="1">OFFSET(控制台!$E$4617,MATCH(B335,控制台!$B$4617:$B$4629,0)-1,0)*控制台!$C$4611</f>
        <v>80</v>
      </c>
      <c r="J335" s="1">
        <f>(_xlfn.FLOOR.MATH((C335-1)/20)+1)/2</f>
        <v>1</v>
      </c>
      <c r="K335" s="4">
        <f ca="1">IF(MOD(C335,4)=0,0,Lerp_dyy(H335,I335,J335))</f>
        <v>80</v>
      </c>
      <c r="L335" s="1">
        <f ca="1">OFFSET(控制台!$G$4617,MATCH(B335,控制台!$B$4617:$B$4629,0)-2,0)*控制台!$C$4612</f>
        <v>16</v>
      </c>
      <c r="M335" s="1">
        <f ca="1">OFFSET(控制台!$G$4617,MATCH(B335,控制台!$B$4617:$B$4629,0)-1,0)*控制台!$C$4612</f>
        <v>18</v>
      </c>
      <c r="N335" s="1">
        <v>1</v>
      </c>
      <c r="O335" s="4">
        <f ca="1">IF(MOD(C335,4)=0,Lerp_dyy(L335,M335,N335),0)</f>
        <v>0</v>
      </c>
    </row>
    <row r="336" spans="1:15">
      <c r="A336" s="1">
        <f t="shared" si="11"/>
        <v>931</v>
      </c>
      <c r="B336" s="1">
        <v>9</v>
      </c>
      <c r="C336" s="1">
        <v>31</v>
      </c>
      <c r="D336" s="1">
        <f ca="1">OFFSET(控制台!$C$4617,MATCH(B336,控制台!$B$4617:$B$4629,0)-2,0)*控制台!$C$4610</f>
        <v>60000</v>
      </c>
      <c r="E336" s="1">
        <f ca="1">OFFSET(控制台!$C$4617,MATCH(B336,控制台!$B$4617:$B$4629,0)-1,0)*控制台!$C$4610</f>
        <v>70000</v>
      </c>
      <c r="F336" s="1">
        <f>(_xlfn.FLOOR.MATH((C336-1)/8)+1)/5</f>
        <v>0.8</v>
      </c>
      <c r="G336" s="4">
        <f ca="1">Lerp_dyy(D336,E336,F336)</f>
        <v>68000</v>
      </c>
      <c r="H336" s="1">
        <f ca="1">OFFSET(控制台!$E$4617,MATCH(B336,控制台!$B$4617:$B$4629,0)-2,0)*控制台!$C$4611</f>
        <v>60</v>
      </c>
      <c r="I336" s="1">
        <f ca="1">OFFSET(控制台!$E$4617,MATCH(B336,控制台!$B$4617:$B$4629,0)-1,0)*控制台!$C$4611</f>
        <v>80</v>
      </c>
      <c r="J336" s="1">
        <f>(_xlfn.FLOOR.MATH((C336-1)/20)+1)/2</f>
        <v>1</v>
      </c>
      <c r="K336" s="4">
        <f ca="1">IF(MOD(C336,4)=0,0,Lerp_dyy(H336,I336,J336))</f>
        <v>80</v>
      </c>
      <c r="L336" s="1">
        <f ca="1">OFFSET(控制台!$G$4617,MATCH(B336,控制台!$B$4617:$B$4629,0)-2,0)*控制台!$C$4612</f>
        <v>16</v>
      </c>
      <c r="M336" s="1">
        <f ca="1">OFFSET(控制台!$G$4617,MATCH(B336,控制台!$B$4617:$B$4629,0)-1,0)*控制台!$C$4612</f>
        <v>18</v>
      </c>
      <c r="N336" s="1">
        <v>1</v>
      </c>
      <c r="O336" s="4">
        <f ca="1">IF(MOD(C336,4)=0,Lerp_dyy(L336,M336,N336),0)</f>
        <v>0</v>
      </c>
    </row>
    <row r="337" spans="1:15">
      <c r="A337" s="1">
        <f t="shared" si="11"/>
        <v>932</v>
      </c>
      <c r="B337" s="1">
        <v>9</v>
      </c>
      <c r="C337" s="1">
        <v>32</v>
      </c>
      <c r="D337" s="1">
        <f ca="1">OFFSET(控制台!$C$4617,MATCH(B337,控制台!$B$4617:$B$4629,0)-2,0)*控制台!$C$4610</f>
        <v>60000</v>
      </c>
      <c r="E337" s="1">
        <f ca="1">OFFSET(控制台!$C$4617,MATCH(B337,控制台!$B$4617:$B$4629,0)-1,0)*控制台!$C$4610</f>
        <v>70000</v>
      </c>
      <c r="F337" s="1">
        <f>(_xlfn.FLOOR.MATH((C337-1)/8)+1)/5</f>
        <v>0.8</v>
      </c>
      <c r="G337" s="4">
        <f ca="1">Lerp_dyy(D337,E337,F337)</f>
        <v>68000</v>
      </c>
      <c r="H337" s="1">
        <f ca="1">OFFSET(控制台!$E$4617,MATCH(B337,控制台!$B$4617:$B$4629,0)-2,0)*控制台!$C$4611</f>
        <v>60</v>
      </c>
      <c r="I337" s="1">
        <f ca="1">OFFSET(控制台!$E$4617,MATCH(B337,控制台!$B$4617:$B$4629,0)-1,0)*控制台!$C$4611</f>
        <v>80</v>
      </c>
      <c r="J337" s="1">
        <f>(_xlfn.FLOOR.MATH((C337-1)/20)+1)/2</f>
        <v>1</v>
      </c>
      <c r="K337" s="4">
        <f ca="1">IF(MOD(C337,4)=0,0,Lerp_dyy(H337,I337,J337))</f>
        <v>0</v>
      </c>
      <c r="L337" s="1">
        <f ca="1">OFFSET(控制台!$G$4617,MATCH(B337,控制台!$B$4617:$B$4629,0)-2,0)*控制台!$C$4612</f>
        <v>16</v>
      </c>
      <c r="M337" s="1">
        <f ca="1">OFFSET(控制台!$G$4617,MATCH(B337,控制台!$B$4617:$B$4629,0)-1,0)*控制台!$C$4612</f>
        <v>18</v>
      </c>
      <c r="N337" s="1">
        <v>1</v>
      </c>
      <c r="O337" s="4">
        <f ca="1">IF(MOD(C337,4)=0,Lerp_dyy(L337,M337,N337),0)</f>
        <v>18</v>
      </c>
    </row>
    <row r="338" spans="1:15">
      <c r="A338" s="1">
        <f t="shared" si="11"/>
        <v>933</v>
      </c>
      <c r="B338" s="1">
        <v>9</v>
      </c>
      <c r="C338" s="1">
        <v>33</v>
      </c>
      <c r="D338" s="1">
        <f ca="1">OFFSET(控制台!$C$4617,MATCH(B338,控制台!$B$4617:$B$4629,0)-2,0)*控制台!$C$4610</f>
        <v>60000</v>
      </c>
      <c r="E338" s="1">
        <f ca="1">OFFSET(控制台!$C$4617,MATCH(B338,控制台!$B$4617:$B$4629,0)-1,0)*控制台!$C$4610</f>
        <v>70000</v>
      </c>
      <c r="F338" s="1">
        <f>(_xlfn.FLOOR.MATH((C338-1)/8)+1)/5</f>
        <v>1</v>
      </c>
      <c r="G338" s="4">
        <f ca="1">Lerp_dyy(D338,E338,F338)</f>
        <v>70000</v>
      </c>
      <c r="H338" s="1">
        <f ca="1">OFFSET(控制台!$E$4617,MATCH(B338,控制台!$B$4617:$B$4629,0)-2,0)*控制台!$C$4611</f>
        <v>60</v>
      </c>
      <c r="I338" s="1">
        <f ca="1">OFFSET(控制台!$E$4617,MATCH(B338,控制台!$B$4617:$B$4629,0)-1,0)*控制台!$C$4611</f>
        <v>80</v>
      </c>
      <c r="J338" s="1">
        <f>(_xlfn.FLOOR.MATH((C338-1)/20)+1)/2</f>
        <v>1</v>
      </c>
      <c r="K338" s="4">
        <f ca="1">IF(MOD(C338,4)=0,0,Lerp_dyy(H338,I338,J338))</f>
        <v>80</v>
      </c>
      <c r="L338" s="1">
        <f ca="1">OFFSET(控制台!$G$4617,MATCH(B338,控制台!$B$4617:$B$4629,0)-2,0)*控制台!$C$4612</f>
        <v>16</v>
      </c>
      <c r="M338" s="1">
        <f ca="1">OFFSET(控制台!$G$4617,MATCH(B338,控制台!$B$4617:$B$4629,0)-1,0)*控制台!$C$4612</f>
        <v>18</v>
      </c>
      <c r="N338" s="1">
        <v>1</v>
      </c>
      <c r="O338" s="4">
        <f ca="1">IF(MOD(C338,4)=0,Lerp_dyy(L338,M338,N338),0)</f>
        <v>0</v>
      </c>
    </row>
    <row r="339" spans="1:15">
      <c r="A339" s="1">
        <f t="shared" si="11"/>
        <v>934</v>
      </c>
      <c r="B339" s="1">
        <v>9</v>
      </c>
      <c r="C339" s="1">
        <v>34</v>
      </c>
      <c r="D339" s="1">
        <f ca="1">OFFSET(控制台!$C$4617,MATCH(B339,控制台!$B$4617:$B$4629,0)-2,0)*控制台!$C$4610</f>
        <v>60000</v>
      </c>
      <c r="E339" s="1">
        <f ca="1">OFFSET(控制台!$C$4617,MATCH(B339,控制台!$B$4617:$B$4629,0)-1,0)*控制台!$C$4610</f>
        <v>70000</v>
      </c>
      <c r="F339" s="1">
        <f>(_xlfn.FLOOR.MATH((C339-1)/8)+1)/5</f>
        <v>1</v>
      </c>
      <c r="G339" s="4">
        <f ca="1">Lerp_dyy(D339,E339,F339)</f>
        <v>70000</v>
      </c>
      <c r="H339" s="1">
        <f ca="1">OFFSET(控制台!$E$4617,MATCH(B339,控制台!$B$4617:$B$4629,0)-2,0)*控制台!$C$4611</f>
        <v>60</v>
      </c>
      <c r="I339" s="1">
        <f ca="1">OFFSET(控制台!$E$4617,MATCH(B339,控制台!$B$4617:$B$4629,0)-1,0)*控制台!$C$4611</f>
        <v>80</v>
      </c>
      <c r="J339" s="1">
        <f>(_xlfn.FLOOR.MATH((C339-1)/20)+1)/2</f>
        <v>1</v>
      </c>
      <c r="K339" s="4">
        <f ca="1">IF(MOD(C339,4)=0,0,Lerp_dyy(H339,I339,J339))</f>
        <v>80</v>
      </c>
      <c r="L339" s="1">
        <f ca="1">OFFSET(控制台!$G$4617,MATCH(B339,控制台!$B$4617:$B$4629,0)-2,0)*控制台!$C$4612</f>
        <v>16</v>
      </c>
      <c r="M339" s="1">
        <f ca="1">OFFSET(控制台!$G$4617,MATCH(B339,控制台!$B$4617:$B$4629,0)-1,0)*控制台!$C$4612</f>
        <v>18</v>
      </c>
      <c r="N339" s="1">
        <v>1</v>
      </c>
      <c r="O339" s="4">
        <f ca="1">IF(MOD(C339,4)=0,Lerp_dyy(L339,M339,N339),0)</f>
        <v>0</v>
      </c>
    </row>
    <row r="340" spans="1:15">
      <c r="A340" s="1">
        <f t="shared" si="11"/>
        <v>935</v>
      </c>
      <c r="B340" s="1">
        <v>9</v>
      </c>
      <c r="C340" s="1">
        <v>35</v>
      </c>
      <c r="D340" s="1">
        <f ca="1">OFFSET(控制台!$C$4617,MATCH(B340,控制台!$B$4617:$B$4629,0)-2,0)*控制台!$C$4610</f>
        <v>60000</v>
      </c>
      <c r="E340" s="1">
        <f ca="1">OFFSET(控制台!$C$4617,MATCH(B340,控制台!$B$4617:$B$4629,0)-1,0)*控制台!$C$4610</f>
        <v>70000</v>
      </c>
      <c r="F340" s="1">
        <f>(_xlfn.FLOOR.MATH((C340-1)/8)+1)/5</f>
        <v>1</v>
      </c>
      <c r="G340" s="4">
        <f ca="1">Lerp_dyy(D340,E340,F340)</f>
        <v>70000</v>
      </c>
      <c r="H340" s="1">
        <f ca="1">OFFSET(控制台!$E$4617,MATCH(B340,控制台!$B$4617:$B$4629,0)-2,0)*控制台!$C$4611</f>
        <v>60</v>
      </c>
      <c r="I340" s="1">
        <f ca="1">OFFSET(控制台!$E$4617,MATCH(B340,控制台!$B$4617:$B$4629,0)-1,0)*控制台!$C$4611</f>
        <v>80</v>
      </c>
      <c r="J340" s="1">
        <f>(_xlfn.FLOOR.MATH((C340-1)/20)+1)/2</f>
        <v>1</v>
      </c>
      <c r="K340" s="4">
        <f ca="1">IF(MOD(C340,4)=0,0,Lerp_dyy(H340,I340,J340))</f>
        <v>80</v>
      </c>
      <c r="L340" s="1">
        <f ca="1">OFFSET(控制台!$G$4617,MATCH(B340,控制台!$B$4617:$B$4629,0)-2,0)*控制台!$C$4612</f>
        <v>16</v>
      </c>
      <c r="M340" s="1">
        <f ca="1">OFFSET(控制台!$G$4617,MATCH(B340,控制台!$B$4617:$B$4629,0)-1,0)*控制台!$C$4612</f>
        <v>18</v>
      </c>
      <c r="N340" s="1">
        <v>1</v>
      </c>
      <c r="O340" s="4">
        <f ca="1">IF(MOD(C340,4)=0,Lerp_dyy(L340,M340,N340),0)</f>
        <v>0</v>
      </c>
    </row>
    <row r="341" spans="1:15">
      <c r="A341" s="1">
        <f t="shared" si="11"/>
        <v>936</v>
      </c>
      <c r="B341" s="1">
        <v>9</v>
      </c>
      <c r="C341" s="1">
        <v>36</v>
      </c>
      <c r="D341" s="1">
        <f ca="1">OFFSET(控制台!$C$4617,MATCH(B341,控制台!$B$4617:$B$4629,0)-2,0)*控制台!$C$4610</f>
        <v>60000</v>
      </c>
      <c r="E341" s="1">
        <f ca="1">OFFSET(控制台!$C$4617,MATCH(B341,控制台!$B$4617:$B$4629,0)-1,0)*控制台!$C$4610</f>
        <v>70000</v>
      </c>
      <c r="F341" s="1">
        <f>(_xlfn.FLOOR.MATH((C341-1)/8)+1)/5</f>
        <v>1</v>
      </c>
      <c r="G341" s="4">
        <f ca="1">Lerp_dyy(D341,E341,F341)</f>
        <v>70000</v>
      </c>
      <c r="H341" s="1">
        <f ca="1">OFFSET(控制台!$E$4617,MATCH(B341,控制台!$B$4617:$B$4629,0)-2,0)*控制台!$C$4611</f>
        <v>60</v>
      </c>
      <c r="I341" s="1">
        <f ca="1">OFFSET(控制台!$E$4617,MATCH(B341,控制台!$B$4617:$B$4629,0)-1,0)*控制台!$C$4611</f>
        <v>80</v>
      </c>
      <c r="J341" s="1">
        <f>(_xlfn.FLOOR.MATH((C341-1)/20)+1)/2</f>
        <v>1</v>
      </c>
      <c r="K341" s="4">
        <f ca="1">IF(MOD(C341,4)=0,0,Lerp_dyy(H341,I341,J341))</f>
        <v>0</v>
      </c>
      <c r="L341" s="1">
        <f ca="1">OFFSET(控制台!$G$4617,MATCH(B341,控制台!$B$4617:$B$4629,0)-2,0)*控制台!$C$4612</f>
        <v>16</v>
      </c>
      <c r="M341" s="1">
        <f ca="1">OFFSET(控制台!$G$4617,MATCH(B341,控制台!$B$4617:$B$4629,0)-1,0)*控制台!$C$4612</f>
        <v>18</v>
      </c>
      <c r="N341" s="1">
        <v>1</v>
      </c>
      <c r="O341" s="4">
        <f ca="1">IF(MOD(C341,4)=0,Lerp_dyy(L341,M341,N341),0)</f>
        <v>18</v>
      </c>
    </row>
    <row r="342" spans="1:15">
      <c r="A342" s="1">
        <f t="shared" si="11"/>
        <v>937</v>
      </c>
      <c r="B342" s="1">
        <v>9</v>
      </c>
      <c r="C342" s="1">
        <v>37</v>
      </c>
      <c r="D342" s="1">
        <f ca="1">OFFSET(控制台!$C$4617,MATCH(B342,控制台!$B$4617:$B$4629,0)-2,0)*控制台!$C$4610</f>
        <v>60000</v>
      </c>
      <c r="E342" s="1">
        <f ca="1">OFFSET(控制台!$C$4617,MATCH(B342,控制台!$B$4617:$B$4629,0)-1,0)*控制台!$C$4610</f>
        <v>70000</v>
      </c>
      <c r="F342" s="1">
        <f>(_xlfn.FLOOR.MATH((C342-1)/8)+1)/5</f>
        <v>1</v>
      </c>
      <c r="G342" s="4">
        <f ca="1">Lerp_dyy(D342,E342,F342)</f>
        <v>70000</v>
      </c>
      <c r="H342" s="1">
        <f ca="1">OFFSET(控制台!$E$4617,MATCH(B342,控制台!$B$4617:$B$4629,0)-2,0)*控制台!$C$4611</f>
        <v>60</v>
      </c>
      <c r="I342" s="1">
        <f ca="1">OFFSET(控制台!$E$4617,MATCH(B342,控制台!$B$4617:$B$4629,0)-1,0)*控制台!$C$4611</f>
        <v>80</v>
      </c>
      <c r="J342" s="1">
        <f>(_xlfn.FLOOR.MATH((C342-1)/20)+1)/2</f>
        <v>1</v>
      </c>
      <c r="K342" s="4">
        <f ca="1">IF(MOD(C342,4)=0,0,Lerp_dyy(H342,I342,J342))</f>
        <v>80</v>
      </c>
      <c r="L342" s="1">
        <f ca="1">OFFSET(控制台!$G$4617,MATCH(B342,控制台!$B$4617:$B$4629,0)-2,0)*控制台!$C$4612</f>
        <v>16</v>
      </c>
      <c r="M342" s="1">
        <f ca="1">OFFSET(控制台!$G$4617,MATCH(B342,控制台!$B$4617:$B$4629,0)-1,0)*控制台!$C$4612</f>
        <v>18</v>
      </c>
      <c r="N342" s="1">
        <v>1</v>
      </c>
      <c r="O342" s="4">
        <f ca="1">IF(MOD(C342,4)=0,Lerp_dyy(L342,M342,N342),0)</f>
        <v>0</v>
      </c>
    </row>
    <row r="343" spans="1:15">
      <c r="A343" s="1">
        <f t="shared" si="11"/>
        <v>938</v>
      </c>
      <c r="B343" s="1">
        <v>9</v>
      </c>
      <c r="C343" s="1">
        <v>38</v>
      </c>
      <c r="D343" s="1">
        <f ca="1">OFFSET(控制台!$C$4617,MATCH(B343,控制台!$B$4617:$B$4629,0)-2,0)*控制台!$C$4610</f>
        <v>60000</v>
      </c>
      <c r="E343" s="1">
        <f ca="1">OFFSET(控制台!$C$4617,MATCH(B343,控制台!$B$4617:$B$4629,0)-1,0)*控制台!$C$4610</f>
        <v>70000</v>
      </c>
      <c r="F343" s="1">
        <f>(_xlfn.FLOOR.MATH((C343-1)/8)+1)/5</f>
        <v>1</v>
      </c>
      <c r="G343" s="4">
        <f ca="1">Lerp_dyy(D343,E343,F343)</f>
        <v>70000</v>
      </c>
      <c r="H343" s="1">
        <f ca="1">OFFSET(控制台!$E$4617,MATCH(B343,控制台!$B$4617:$B$4629,0)-2,0)*控制台!$C$4611</f>
        <v>60</v>
      </c>
      <c r="I343" s="1">
        <f ca="1">OFFSET(控制台!$E$4617,MATCH(B343,控制台!$B$4617:$B$4629,0)-1,0)*控制台!$C$4611</f>
        <v>80</v>
      </c>
      <c r="J343" s="1">
        <f>(_xlfn.FLOOR.MATH((C343-1)/20)+1)/2</f>
        <v>1</v>
      </c>
      <c r="K343" s="4">
        <f ca="1">IF(MOD(C343,4)=0,0,Lerp_dyy(H343,I343,J343))</f>
        <v>80</v>
      </c>
      <c r="L343" s="1">
        <f ca="1">OFFSET(控制台!$G$4617,MATCH(B343,控制台!$B$4617:$B$4629,0)-2,0)*控制台!$C$4612</f>
        <v>16</v>
      </c>
      <c r="M343" s="1">
        <f ca="1">OFFSET(控制台!$G$4617,MATCH(B343,控制台!$B$4617:$B$4629,0)-1,0)*控制台!$C$4612</f>
        <v>18</v>
      </c>
      <c r="N343" s="1">
        <v>1</v>
      </c>
      <c r="O343" s="4">
        <f ca="1">IF(MOD(C343,4)=0,Lerp_dyy(L343,M343,N343),0)</f>
        <v>0</v>
      </c>
    </row>
    <row r="344" spans="1:15">
      <c r="A344" s="1">
        <f t="shared" si="11"/>
        <v>939</v>
      </c>
      <c r="B344" s="1">
        <v>9</v>
      </c>
      <c r="C344" s="1">
        <v>39</v>
      </c>
      <c r="D344" s="1">
        <f ca="1">OFFSET(控制台!$C$4617,MATCH(B344,控制台!$B$4617:$B$4629,0)-2,0)*控制台!$C$4610</f>
        <v>60000</v>
      </c>
      <c r="E344" s="1">
        <f ca="1">OFFSET(控制台!$C$4617,MATCH(B344,控制台!$B$4617:$B$4629,0)-1,0)*控制台!$C$4610</f>
        <v>70000</v>
      </c>
      <c r="F344" s="1">
        <f>(_xlfn.FLOOR.MATH((C344-1)/8)+1)/5</f>
        <v>1</v>
      </c>
      <c r="G344" s="4">
        <f ca="1">Lerp_dyy(D344,E344,F344)</f>
        <v>70000</v>
      </c>
      <c r="H344" s="1">
        <f ca="1">OFFSET(控制台!$E$4617,MATCH(B344,控制台!$B$4617:$B$4629,0)-2,0)*控制台!$C$4611</f>
        <v>60</v>
      </c>
      <c r="I344" s="1">
        <f ca="1">OFFSET(控制台!$E$4617,MATCH(B344,控制台!$B$4617:$B$4629,0)-1,0)*控制台!$C$4611</f>
        <v>80</v>
      </c>
      <c r="J344" s="1">
        <f>(_xlfn.FLOOR.MATH((C344-1)/20)+1)/2</f>
        <v>1</v>
      </c>
      <c r="K344" s="4">
        <f ca="1">IF(MOD(C344,4)=0,0,Lerp_dyy(H344,I344,J344))</f>
        <v>80</v>
      </c>
      <c r="L344" s="1">
        <f ca="1">OFFSET(控制台!$G$4617,MATCH(B344,控制台!$B$4617:$B$4629,0)-2,0)*控制台!$C$4612</f>
        <v>16</v>
      </c>
      <c r="M344" s="1">
        <f ca="1">OFFSET(控制台!$G$4617,MATCH(B344,控制台!$B$4617:$B$4629,0)-1,0)*控制台!$C$4612</f>
        <v>18</v>
      </c>
      <c r="N344" s="1">
        <v>1</v>
      </c>
      <c r="O344" s="4">
        <f ca="1">IF(MOD(C344,4)=0,Lerp_dyy(L344,M344,N344),0)</f>
        <v>0</v>
      </c>
    </row>
    <row r="345" spans="1:15">
      <c r="A345" s="1">
        <f t="shared" si="11"/>
        <v>940</v>
      </c>
      <c r="B345" s="1">
        <v>9</v>
      </c>
      <c r="C345" s="1">
        <v>40</v>
      </c>
      <c r="D345" s="1">
        <f ca="1">OFFSET(控制台!$C$4617,MATCH(B345,控制台!$B$4617:$B$4629,0)-2,0)*控制台!$C$4610</f>
        <v>60000</v>
      </c>
      <c r="E345" s="1">
        <f ca="1">OFFSET(控制台!$C$4617,MATCH(B345,控制台!$B$4617:$B$4629,0)-1,0)*控制台!$C$4610</f>
        <v>70000</v>
      </c>
      <c r="F345" s="1">
        <f>(_xlfn.FLOOR.MATH((C345-1)/8)+1)/5</f>
        <v>1</v>
      </c>
      <c r="G345" s="4">
        <f ca="1">Lerp_dyy(D345,E345,F345)</f>
        <v>70000</v>
      </c>
      <c r="H345" s="1">
        <f ca="1">OFFSET(控制台!$E$4617,MATCH(B345,控制台!$B$4617:$B$4629,0)-2,0)*控制台!$C$4611</f>
        <v>60</v>
      </c>
      <c r="I345" s="1">
        <f ca="1">OFFSET(控制台!$E$4617,MATCH(B345,控制台!$B$4617:$B$4629,0)-1,0)*控制台!$C$4611</f>
        <v>80</v>
      </c>
      <c r="J345" s="1">
        <f>(_xlfn.FLOOR.MATH((C345-1)/20)+1)/2</f>
        <v>1</v>
      </c>
      <c r="K345" s="4">
        <f ca="1">IF(MOD(C345,4)=0,0,Lerp_dyy(H345,I345,J345))</f>
        <v>0</v>
      </c>
      <c r="L345" s="1">
        <f ca="1">OFFSET(控制台!$G$4617,MATCH(B345,控制台!$B$4617:$B$4629,0)-2,0)*控制台!$C$4612</f>
        <v>16</v>
      </c>
      <c r="M345" s="1">
        <f ca="1">OFFSET(控制台!$G$4617,MATCH(B345,控制台!$B$4617:$B$4629,0)-1,0)*控制台!$C$4612</f>
        <v>18</v>
      </c>
      <c r="N345" s="1">
        <v>1</v>
      </c>
      <c r="O345" s="4">
        <f ca="1">IF(MOD(C345,4)=0,Lerp_dyy(L345,M345,N345),0)</f>
        <v>18</v>
      </c>
    </row>
    <row r="346" spans="1:15">
      <c r="A346" s="1">
        <f t="shared" si="11"/>
        <v>1001</v>
      </c>
      <c r="B346" s="1">
        <v>10</v>
      </c>
      <c r="C346" s="1">
        <v>1</v>
      </c>
      <c r="D346" s="1">
        <f ca="1">OFFSET(控制台!$C$4617,MATCH(B346,控制台!$B$4617:$B$4629,0)-2,0)*控制台!$C$4610</f>
        <v>70000</v>
      </c>
      <c r="E346" s="1">
        <f ca="1">OFFSET(控制台!$C$4617,MATCH(B346,控制台!$B$4617:$B$4629,0)-1,0)*控制台!$C$4610</f>
        <v>80000</v>
      </c>
      <c r="F346" s="1">
        <f>(_xlfn.FLOOR.MATH((C346-1)/8)+1)/5</f>
        <v>0.2</v>
      </c>
      <c r="G346" s="4">
        <f ca="1">Lerp_dyy(D346,E346,F346)</f>
        <v>72000</v>
      </c>
      <c r="H346" s="1">
        <f ca="1">OFFSET(控制台!$E$4617,MATCH(B346,控制台!$B$4617:$B$4629,0)-2,0)*控制台!$C$4611</f>
        <v>80</v>
      </c>
      <c r="I346" s="1">
        <f ca="1">OFFSET(控制台!$E$4617,MATCH(B346,控制台!$B$4617:$B$4629,0)-1,0)*控制台!$C$4611</f>
        <v>80</v>
      </c>
      <c r="J346" s="1">
        <f>(_xlfn.FLOOR.MATH((C346-1)/20)+1)/2</f>
        <v>0.5</v>
      </c>
      <c r="K346" s="4">
        <f ca="1">IF(MOD(C346,4)=0,0,Lerp_dyy(H346,I346,J346))</f>
        <v>80</v>
      </c>
      <c r="L346" s="1">
        <f ca="1">OFFSET(控制台!$G$4617,MATCH(B346,控制台!$B$4617:$B$4629,0)-2,0)*控制台!$C$4612</f>
        <v>18</v>
      </c>
      <c r="M346" s="1">
        <f ca="1">OFFSET(控制台!$G$4617,MATCH(B346,控制台!$B$4617:$B$4629,0)-1,0)*控制台!$C$4612</f>
        <v>18</v>
      </c>
      <c r="N346" s="1">
        <v>1</v>
      </c>
      <c r="O346" s="4">
        <f ca="1">IF(MOD(C346,4)=0,Lerp_dyy(L346,M346,N346),0)</f>
        <v>0</v>
      </c>
    </row>
    <row r="347" spans="1:15">
      <c r="A347" s="1">
        <f t="shared" si="11"/>
        <v>1002</v>
      </c>
      <c r="B347" s="1">
        <v>10</v>
      </c>
      <c r="C347" s="1">
        <v>2</v>
      </c>
      <c r="D347" s="1">
        <f ca="1">OFFSET(控制台!$C$4617,MATCH(B347,控制台!$B$4617:$B$4629,0)-2,0)*控制台!$C$4610</f>
        <v>70000</v>
      </c>
      <c r="E347" s="1">
        <f ca="1">OFFSET(控制台!$C$4617,MATCH(B347,控制台!$B$4617:$B$4629,0)-1,0)*控制台!$C$4610</f>
        <v>80000</v>
      </c>
      <c r="F347" s="1">
        <f>(_xlfn.FLOOR.MATH((C347-1)/8)+1)/5</f>
        <v>0.2</v>
      </c>
      <c r="G347" s="4">
        <f ca="1">Lerp_dyy(D347,E347,F347)</f>
        <v>72000</v>
      </c>
      <c r="H347" s="1">
        <f ca="1">OFFSET(控制台!$E$4617,MATCH(B347,控制台!$B$4617:$B$4629,0)-2,0)*控制台!$C$4611</f>
        <v>80</v>
      </c>
      <c r="I347" s="1">
        <f ca="1">OFFSET(控制台!$E$4617,MATCH(B347,控制台!$B$4617:$B$4629,0)-1,0)*控制台!$C$4611</f>
        <v>80</v>
      </c>
      <c r="J347" s="1">
        <f>(_xlfn.FLOOR.MATH((C347-1)/20)+1)/2</f>
        <v>0.5</v>
      </c>
      <c r="K347" s="4">
        <f ca="1">IF(MOD(C347,4)=0,0,Lerp_dyy(H347,I347,J347))</f>
        <v>80</v>
      </c>
      <c r="L347" s="1">
        <f ca="1">OFFSET(控制台!$G$4617,MATCH(B347,控制台!$B$4617:$B$4629,0)-2,0)*控制台!$C$4612</f>
        <v>18</v>
      </c>
      <c r="M347" s="1">
        <f ca="1">OFFSET(控制台!$G$4617,MATCH(B347,控制台!$B$4617:$B$4629,0)-1,0)*控制台!$C$4612</f>
        <v>18</v>
      </c>
      <c r="N347" s="1">
        <v>1</v>
      </c>
      <c r="O347" s="4">
        <f ca="1">IF(MOD(C347,4)=0,Lerp_dyy(L347,M347,N347),0)</f>
        <v>0</v>
      </c>
    </row>
    <row r="348" spans="1:15">
      <c r="A348" s="1">
        <f t="shared" si="11"/>
        <v>1003</v>
      </c>
      <c r="B348" s="1">
        <v>10</v>
      </c>
      <c r="C348" s="1">
        <v>3</v>
      </c>
      <c r="D348" s="1">
        <f ca="1">OFFSET(控制台!$C$4617,MATCH(B348,控制台!$B$4617:$B$4629,0)-2,0)*控制台!$C$4610</f>
        <v>70000</v>
      </c>
      <c r="E348" s="1">
        <f ca="1">OFFSET(控制台!$C$4617,MATCH(B348,控制台!$B$4617:$B$4629,0)-1,0)*控制台!$C$4610</f>
        <v>80000</v>
      </c>
      <c r="F348" s="1">
        <f>(_xlfn.FLOOR.MATH((C348-1)/8)+1)/5</f>
        <v>0.2</v>
      </c>
      <c r="G348" s="4">
        <f ca="1">Lerp_dyy(D348,E348,F348)</f>
        <v>72000</v>
      </c>
      <c r="H348" s="1">
        <f ca="1">OFFSET(控制台!$E$4617,MATCH(B348,控制台!$B$4617:$B$4629,0)-2,0)*控制台!$C$4611</f>
        <v>80</v>
      </c>
      <c r="I348" s="1">
        <f ca="1">OFFSET(控制台!$E$4617,MATCH(B348,控制台!$B$4617:$B$4629,0)-1,0)*控制台!$C$4611</f>
        <v>80</v>
      </c>
      <c r="J348" s="1">
        <f>(_xlfn.FLOOR.MATH((C348-1)/20)+1)/2</f>
        <v>0.5</v>
      </c>
      <c r="K348" s="4">
        <f ca="1">IF(MOD(C348,4)=0,0,Lerp_dyy(H348,I348,J348))</f>
        <v>80</v>
      </c>
      <c r="L348" s="1">
        <f ca="1">OFFSET(控制台!$G$4617,MATCH(B348,控制台!$B$4617:$B$4629,0)-2,0)*控制台!$C$4612</f>
        <v>18</v>
      </c>
      <c r="M348" s="1">
        <f ca="1">OFFSET(控制台!$G$4617,MATCH(B348,控制台!$B$4617:$B$4629,0)-1,0)*控制台!$C$4612</f>
        <v>18</v>
      </c>
      <c r="N348" s="1">
        <v>1</v>
      </c>
      <c r="O348" s="4">
        <f ca="1">IF(MOD(C348,4)=0,Lerp_dyy(L348,M348,N348),0)</f>
        <v>0</v>
      </c>
    </row>
    <row r="349" spans="1:15">
      <c r="A349" s="1">
        <f t="shared" si="11"/>
        <v>1004</v>
      </c>
      <c r="B349" s="1">
        <v>10</v>
      </c>
      <c r="C349" s="1">
        <v>4</v>
      </c>
      <c r="D349" s="1">
        <f ca="1">OFFSET(控制台!$C$4617,MATCH(B349,控制台!$B$4617:$B$4629,0)-2,0)*控制台!$C$4610</f>
        <v>70000</v>
      </c>
      <c r="E349" s="1">
        <f ca="1">OFFSET(控制台!$C$4617,MATCH(B349,控制台!$B$4617:$B$4629,0)-1,0)*控制台!$C$4610</f>
        <v>80000</v>
      </c>
      <c r="F349" s="1">
        <f>(_xlfn.FLOOR.MATH((C349-1)/8)+1)/5</f>
        <v>0.2</v>
      </c>
      <c r="G349" s="4">
        <f ca="1">Lerp_dyy(D349,E349,F349)</f>
        <v>72000</v>
      </c>
      <c r="H349" s="1">
        <f ca="1">OFFSET(控制台!$E$4617,MATCH(B349,控制台!$B$4617:$B$4629,0)-2,0)*控制台!$C$4611</f>
        <v>80</v>
      </c>
      <c r="I349" s="1">
        <f ca="1">OFFSET(控制台!$E$4617,MATCH(B349,控制台!$B$4617:$B$4629,0)-1,0)*控制台!$C$4611</f>
        <v>80</v>
      </c>
      <c r="J349" s="1">
        <f>(_xlfn.FLOOR.MATH((C349-1)/20)+1)/2</f>
        <v>0.5</v>
      </c>
      <c r="K349" s="4">
        <f ca="1">IF(MOD(C349,4)=0,0,Lerp_dyy(H349,I349,J349))</f>
        <v>0</v>
      </c>
      <c r="L349" s="1">
        <f ca="1">OFFSET(控制台!$G$4617,MATCH(B349,控制台!$B$4617:$B$4629,0)-2,0)*控制台!$C$4612</f>
        <v>18</v>
      </c>
      <c r="M349" s="1">
        <f ca="1">OFFSET(控制台!$G$4617,MATCH(B349,控制台!$B$4617:$B$4629,0)-1,0)*控制台!$C$4612</f>
        <v>18</v>
      </c>
      <c r="N349" s="1">
        <v>1</v>
      </c>
      <c r="O349" s="4">
        <f ca="1">IF(MOD(C349,4)=0,Lerp_dyy(L349,M349,N349),0)</f>
        <v>18</v>
      </c>
    </row>
    <row r="350" spans="1:15">
      <c r="A350" s="1">
        <f t="shared" si="11"/>
        <v>1005</v>
      </c>
      <c r="B350" s="1">
        <v>10</v>
      </c>
      <c r="C350" s="1">
        <v>5</v>
      </c>
      <c r="D350" s="1">
        <f ca="1">OFFSET(控制台!$C$4617,MATCH(B350,控制台!$B$4617:$B$4629,0)-2,0)*控制台!$C$4610</f>
        <v>70000</v>
      </c>
      <c r="E350" s="1">
        <f ca="1">OFFSET(控制台!$C$4617,MATCH(B350,控制台!$B$4617:$B$4629,0)-1,0)*控制台!$C$4610</f>
        <v>80000</v>
      </c>
      <c r="F350" s="1">
        <f>(_xlfn.FLOOR.MATH((C350-1)/8)+1)/5</f>
        <v>0.2</v>
      </c>
      <c r="G350" s="4">
        <f ca="1">Lerp_dyy(D350,E350,F350)</f>
        <v>72000</v>
      </c>
      <c r="H350" s="1">
        <f ca="1">OFFSET(控制台!$E$4617,MATCH(B350,控制台!$B$4617:$B$4629,0)-2,0)*控制台!$C$4611</f>
        <v>80</v>
      </c>
      <c r="I350" s="1">
        <f ca="1">OFFSET(控制台!$E$4617,MATCH(B350,控制台!$B$4617:$B$4629,0)-1,0)*控制台!$C$4611</f>
        <v>80</v>
      </c>
      <c r="J350" s="1">
        <f>(_xlfn.FLOOR.MATH((C350-1)/20)+1)/2</f>
        <v>0.5</v>
      </c>
      <c r="K350" s="4">
        <f ca="1">IF(MOD(C350,4)=0,0,Lerp_dyy(H350,I350,J350))</f>
        <v>80</v>
      </c>
      <c r="L350" s="1">
        <f ca="1">OFFSET(控制台!$G$4617,MATCH(B350,控制台!$B$4617:$B$4629,0)-2,0)*控制台!$C$4612</f>
        <v>18</v>
      </c>
      <c r="M350" s="1">
        <f ca="1">OFFSET(控制台!$G$4617,MATCH(B350,控制台!$B$4617:$B$4629,0)-1,0)*控制台!$C$4612</f>
        <v>18</v>
      </c>
      <c r="N350" s="1">
        <v>1</v>
      </c>
      <c r="O350" s="4">
        <f ca="1">IF(MOD(C350,4)=0,Lerp_dyy(L350,M350,N350),0)</f>
        <v>0</v>
      </c>
    </row>
    <row r="351" spans="1:15">
      <c r="A351" s="1">
        <f t="shared" si="11"/>
        <v>1006</v>
      </c>
      <c r="B351" s="1">
        <v>10</v>
      </c>
      <c r="C351" s="1">
        <v>6</v>
      </c>
      <c r="D351" s="1">
        <f ca="1">OFFSET(控制台!$C$4617,MATCH(B351,控制台!$B$4617:$B$4629,0)-2,0)*控制台!$C$4610</f>
        <v>70000</v>
      </c>
      <c r="E351" s="1">
        <f ca="1">OFFSET(控制台!$C$4617,MATCH(B351,控制台!$B$4617:$B$4629,0)-1,0)*控制台!$C$4610</f>
        <v>80000</v>
      </c>
      <c r="F351" s="1">
        <f>(_xlfn.FLOOR.MATH((C351-1)/8)+1)/5</f>
        <v>0.2</v>
      </c>
      <c r="G351" s="4">
        <f ca="1">Lerp_dyy(D351,E351,F351)</f>
        <v>72000</v>
      </c>
      <c r="H351" s="1">
        <f ca="1">OFFSET(控制台!$E$4617,MATCH(B351,控制台!$B$4617:$B$4629,0)-2,0)*控制台!$C$4611</f>
        <v>80</v>
      </c>
      <c r="I351" s="1">
        <f ca="1">OFFSET(控制台!$E$4617,MATCH(B351,控制台!$B$4617:$B$4629,0)-1,0)*控制台!$C$4611</f>
        <v>80</v>
      </c>
      <c r="J351" s="1">
        <f>(_xlfn.FLOOR.MATH((C351-1)/20)+1)/2</f>
        <v>0.5</v>
      </c>
      <c r="K351" s="4">
        <f ca="1">IF(MOD(C351,4)=0,0,Lerp_dyy(H351,I351,J351))</f>
        <v>80</v>
      </c>
      <c r="L351" s="1">
        <f ca="1">OFFSET(控制台!$G$4617,MATCH(B351,控制台!$B$4617:$B$4629,0)-2,0)*控制台!$C$4612</f>
        <v>18</v>
      </c>
      <c r="M351" s="1">
        <f ca="1">OFFSET(控制台!$G$4617,MATCH(B351,控制台!$B$4617:$B$4629,0)-1,0)*控制台!$C$4612</f>
        <v>18</v>
      </c>
      <c r="N351" s="1">
        <v>1</v>
      </c>
      <c r="O351" s="4">
        <f ca="1">IF(MOD(C351,4)=0,Lerp_dyy(L351,M351,N351),0)</f>
        <v>0</v>
      </c>
    </row>
    <row r="352" spans="1:15">
      <c r="A352" s="1">
        <f t="shared" si="11"/>
        <v>1007</v>
      </c>
      <c r="B352" s="1">
        <v>10</v>
      </c>
      <c r="C352" s="1">
        <v>7</v>
      </c>
      <c r="D352" s="1">
        <f ca="1">OFFSET(控制台!$C$4617,MATCH(B352,控制台!$B$4617:$B$4629,0)-2,0)*控制台!$C$4610</f>
        <v>70000</v>
      </c>
      <c r="E352" s="1">
        <f ca="1">OFFSET(控制台!$C$4617,MATCH(B352,控制台!$B$4617:$B$4629,0)-1,0)*控制台!$C$4610</f>
        <v>80000</v>
      </c>
      <c r="F352" s="1">
        <f>(_xlfn.FLOOR.MATH((C352-1)/8)+1)/5</f>
        <v>0.2</v>
      </c>
      <c r="G352" s="4">
        <f ca="1">Lerp_dyy(D352,E352,F352)</f>
        <v>72000</v>
      </c>
      <c r="H352" s="1">
        <f ca="1">OFFSET(控制台!$E$4617,MATCH(B352,控制台!$B$4617:$B$4629,0)-2,0)*控制台!$C$4611</f>
        <v>80</v>
      </c>
      <c r="I352" s="1">
        <f ca="1">OFFSET(控制台!$E$4617,MATCH(B352,控制台!$B$4617:$B$4629,0)-1,0)*控制台!$C$4611</f>
        <v>80</v>
      </c>
      <c r="J352" s="1">
        <f>(_xlfn.FLOOR.MATH((C352-1)/20)+1)/2</f>
        <v>0.5</v>
      </c>
      <c r="K352" s="4">
        <f ca="1">IF(MOD(C352,4)=0,0,Lerp_dyy(H352,I352,J352))</f>
        <v>80</v>
      </c>
      <c r="L352" s="1">
        <f ca="1">OFFSET(控制台!$G$4617,MATCH(B352,控制台!$B$4617:$B$4629,0)-2,0)*控制台!$C$4612</f>
        <v>18</v>
      </c>
      <c r="M352" s="1">
        <f ca="1">OFFSET(控制台!$G$4617,MATCH(B352,控制台!$B$4617:$B$4629,0)-1,0)*控制台!$C$4612</f>
        <v>18</v>
      </c>
      <c r="N352" s="1">
        <v>1</v>
      </c>
      <c r="O352" s="4">
        <f ca="1">IF(MOD(C352,4)=0,Lerp_dyy(L352,M352,N352),0)</f>
        <v>0</v>
      </c>
    </row>
    <row r="353" spans="1:15">
      <c r="A353" s="1">
        <f t="shared" si="11"/>
        <v>1008</v>
      </c>
      <c r="B353" s="1">
        <v>10</v>
      </c>
      <c r="C353" s="1">
        <v>8</v>
      </c>
      <c r="D353" s="1">
        <f ca="1">OFFSET(控制台!$C$4617,MATCH(B353,控制台!$B$4617:$B$4629,0)-2,0)*控制台!$C$4610</f>
        <v>70000</v>
      </c>
      <c r="E353" s="1">
        <f ca="1">OFFSET(控制台!$C$4617,MATCH(B353,控制台!$B$4617:$B$4629,0)-1,0)*控制台!$C$4610</f>
        <v>80000</v>
      </c>
      <c r="F353" s="1">
        <f>(_xlfn.FLOOR.MATH((C353-1)/8)+1)/5</f>
        <v>0.2</v>
      </c>
      <c r="G353" s="4">
        <f ca="1">Lerp_dyy(D353,E353,F353)</f>
        <v>72000</v>
      </c>
      <c r="H353" s="1">
        <f ca="1">OFFSET(控制台!$E$4617,MATCH(B353,控制台!$B$4617:$B$4629,0)-2,0)*控制台!$C$4611</f>
        <v>80</v>
      </c>
      <c r="I353" s="1">
        <f ca="1">OFFSET(控制台!$E$4617,MATCH(B353,控制台!$B$4617:$B$4629,0)-1,0)*控制台!$C$4611</f>
        <v>80</v>
      </c>
      <c r="J353" s="1">
        <f>(_xlfn.FLOOR.MATH((C353-1)/20)+1)/2</f>
        <v>0.5</v>
      </c>
      <c r="K353" s="4">
        <f ca="1">IF(MOD(C353,4)=0,0,Lerp_dyy(H353,I353,J353))</f>
        <v>0</v>
      </c>
      <c r="L353" s="1">
        <f ca="1">OFFSET(控制台!$G$4617,MATCH(B353,控制台!$B$4617:$B$4629,0)-2,0)*控制台!$C$4612</f>
        <v>18</v>
      </c>
      <c r="M353" s="1">
        <f ca="1">OFFSET(控制台!$G$4617,MATCH(B353,控制台!$B$4617:$B$4629,0)-1,0)*控制台!$C$4612</f>
        <v>18</v>
      </c>
      <c r="N353" s="1">
        <v>1</v>
      </c>
      <c r="O353" s="4">
        <f ca="1">IF(MOD(C353,4)=0,Lerp_dyy(L353,M353,N353),0)</f>
        <v>18</v>
      </c>
    </row>
    <row r="354" spans="1:15">
      <c r="A354" s="1">
        <f t="shared" si="11"/>
        <v>1009</v>
      </c>
      <c r="B354" s="1">
        <v>10</v>
      </c>
      <c r="C354" s="1">
        <v>9</v>
      </c>
      <c r="D354" s="1">
        <f ca="1">OFFSET(控制台!$C$4617,MATCH(B354,控制台!$B$4617:$B$4629,0)-2,0)*控制台!$C$4610</f>
        <v>70000</v>
      </c>
      <c r="E354" s="1">
        <f ca="1">OFFSET(控制台!$C$4617,MATCH(B354,控制台!$B$4617:$B$4629,0)-1,0)*控制台!$C$4610</f>
        <v>80000</v>
      </c>
      <c r="F354" s="1">
        <f>(_xlfn.FLOOR.MATH((C354-1)/8)+1)/5</f>
        <v>0.4</v>
      </c>
      <c r="G354" s="4">
        <f ca="1">Lerp_dyy(D354,E354,F354)</f>
        <v>74000</v>
      </c>
      <c r="H354" s="1">
        <f ca="1">OFFSET(控制台!$E$4617,MATCH(B354,控制台!$B$4617:$B$4629,0)-2,0)*控制台!$C$4611</f>
        <v>80</v>
      </c>
      <c r="I354" s="1">
        <f ca="1">OFFSET(控制台!$E$4617,MATCH(B354,控制台!$B$4617:$B$4629,0)-1,0)*控制台!$C$4611</f>
        <v>80</v>
      </c>
      <c r="J354" s="1">
        <f>(_xlfn.FLOOR.MATH((C354-1)/20)+1)/2</f>
        <v>0.5</v>
      </c>
      <c r="K354" s="4">
        <f ca="1">IF(MOD(C354,4)=0,0,Lerp_dyy(H354,I354,J354))</f>
        <v>80</v>
      </c>
      <c r="L354" s="1">
        <f ca="1">OFFSET(控制台!$G$4617,MATCH(B354,控制台!$B$4617:$B$4629,0)-2,0)*控制台!$C$4612</f>
        <v>18</v>
      </c>
      <c r="M354" s="1">
        <f ca="1">OFFSET(控制台!$G$4617,MATCH(B354,控制台!$B$4617:$B$4629,0)-1,0)*控制台!$C$4612</f>
        <v>18</v>
      </c>
      <c r="N354" s="1">
        <v>1</v>
      </c>
      <c r="O354" s="4">
        <f ca="1">IF(MOD(C354,4)=0,Lerp_dyy(L354,M354,N354),0)</f>
        <v>0</v>
      </c>
    </row>
    <row r="355" spans="1:15">
      <c r="A355" s="1">
        <f t="shared" si="11"/>
        <v>1010</v>
      </c>
      <c r="B355" s="1">
        <v>10</v>
      </c>
      <c r="C355" s="1">
        <v>10</v>
      </c>
      <c r="D355" s="1">
        <f ca="1">OFFSET(控制台!$C$4617,MATCH(B355,控制台!$B$4617:$B$4629,0)-2,0)*控制台!$C$4610</f>
        <v>70000</v>
      </c>
      <c r="E355" s="1">
        <f ca="1">OFFSET(控制台!$C$4617,MATCH(B355,控制台!$B$4617:$B$4629,0)-1,0)*控制台!$C$4610</f>
        <v>80000</v>
      </c>
      <c r="F355" s="1">
        <f>(_xlfn.FLOOR.MATH((C355-1)/8)+1)/5</f>
        <v>0.4</v>
      </c>
      <c r="G355" s="4">
        <f ca="1">Lerp_dyy(D355,E355,F355)</f>
        <v>74000</v>
      </c>
      <c r="H355" s="1">
        <f ca="1">OFFSET(控制台!$E$4617,MATCH(B355,控制台!$B$4617:$B$4629,0)-2,0)*控制台!$C$4611</f>
        <v>80</v>
      </c>
      <c r="I355" s="1">
        <f ca="1">OFFSET(控制台!$E$4617,MATCH(B355,控制台!$B$4617:$B$4629,0)-1,0)*控制台!$C$4611</f>
        <v>80</v>
      </c>
      <c r="J355" s="1">
        <f>(_xlfn.FLOOR.MATH((C355-1)/20)+1)/2</f>
        <v>0.5</v>
      </c>
      <c r="K355" s="4">
        <f ca="1">IF(MOD(C355,4)=0,0,Lerp_dyy(H355,I355,J355))</f>
        <v>80</v>
      </c>
      <c r="L355" s="1">
        <f ca="1">OFFSET(控制台!$G$4617,MATCH(B355,控制台!$B$4617:$B$4629,0)-2,0)*控制台!$C$4612</f>
        <v>18</v>
      </c>
      <c r="M355" s="1">
        <f ca="1">OFFSET(控制台!$G$4617,MATCH(B355,控制台!$B$4617:$B$4629,0)-1,0)*控制台!$C$4612</f>
        <v>18</v>
      </c>
      <c r="N355" s="1">
        <v>1</v>
      </c>
      <c r="O355" s="4">
        <f ca="1">IF(MOD(C355,4)=0,Lerp_dyy(L355,M355,N355),0)</f>
        <v>0</v>
      </c>
    </row>
    <row r="356" spans="1:15">
      <c r="A356" s="1">
        <f t="shared" si="11"/>
        <v>1011</v>
      </c>
      <c r="B356" s="1">
        <v>10</v>
      </c>
      <c r="C356" s="1">
        <v>11</v>
      </c>
      <c r="D356" s="1">
        <f ca="1">OFFSET(控制台!$C$4617,MATCH(B356,控制台!$B$4617:$B$4629,0)-2,0)*控制台!$C$4610</f>
        <v>70000</v>
      </c>
      <c r="E356" s="1">
        <f ca="1">OFFSET(控制台!$C$4617,MATCH(B356,控制台!$B$4617:$B$4629,0)-1,0)*控制台!$C$4610</f>
        <v>80000</v>
      </c>
      <c r="F356" s="1">
        <f>(_xlfn.FLOOR.MATH((C356-1)/8)+1)/5</f>
        <v>0.4</v>
      </c>
      <c r="G356" s="4">
        <f ca="1">Lerp_dyy(D356,E356,F356)</f>
        <v>74000</v>
      </c>
      <c r="H356" s="1">
        <f ca="1">OFFSET(控制台!$E$4617,MATCH(B356,控制台!$B$4617:$B$4629,0)-2,0)*控制台!$C$4611</f>
        <v>80</v>
      </c>
      <c r="I356" s="1">
        <f ca="1">OFFSET(控制台!$E$4617,MATCH(B356,控制台!$B$4617:$B$4629,0)-1,0)*控制台!$C$4611</f>
        <v>80</v>
      </c>
      <c r="J356" s="1">
        <f>(_xlfn.FLOOR.MATH((C356-1)/20)+1)/2</f>
        <v>0.5</v>
      </c>
      <c r="K356" s="4">
        <f ca="1">IF(MOD(C356,4)=0,0,Lerp_dyy(H356,I356,J356))</f>
        <v>80</v>
      </c>
      <c r="L356" s="1">
        <f ca="1">OFFSET(控制台!$G$4617,MATCH(B356,控制台!$B$4617:$B$4629,0)-2,0)*控制台!$C$4612</f>
        <v>18</v>
      </c>
      <c r="M356" s="1">
        <f ca="1">OFFSET(控制台!$G$4617,MATCH(B356,控制台!$B$4617:$B$4629,0)-1,0)*控制台!$C$4612</f>
        <v>18</v>
      </c>
      <c r="N356" s="1">
        <v>1</v>
      </c>
      <c r="O356" s="4">
        <f ca="1">IF(MOD(C356,4)=0,Lerp_dyy(L356,M356,N356),0)</f>
        <v>0</v>
      </c>
    </row>
    <row r="357" spans="1:15">
      <c r="A357" s="1">
        <f t="shared" si="11"/>
        <v>1012</v>
      </c>
      <c r="B357" s="1">
        <v>10</v>
      </c>
      <c r="C357" s="1">
        <v>12</v>
      </c>
      <c r="D357" s="1">
        <f ca="1">OFFSET(控制台!$C$4617,MATCH(B357,控制台!$B$4617:$B$4629,0)-2,0)*控制台!$C$4610</f>
        <v>70000</v>
      </c>
      <c r="E357" s="1">
        <f ca="1">OFFSET(控制台!$C$4617,MATCH(B357,控制台!$B$4617:$B$4629,0)-1,0)*控制台!$C$4610</f>
        <v>80000</v>
      </c>
      <c r="F357" s="1">
        <f>(_xlfn.FLOOR.MATH((C357-1)/8)+1)/5</f>
        <v>0.4</v>
      </c>
      <c r="G357" s="4">
        <f ca="1">Lerp_dyy(D357,E357,F357)</f>
        <v>74000</v>
      </c>
      <c r="H357" s="1">
        <f ca="1">OFFSET(控制台!$E$4617,MATCH(B357,控制台!$B$4617:$B$4629,0)-2,0)*控制台!$C$4611</f>
        <v>80</v>
      </c>
      <c r="I357" s="1">
        <f ca="1">OFFSET(控制台!$E$4617,MATCH(B357,控制台!$B$4617:$B$4629,0)-1,0)*控制台!$C$4611</f>
        <v>80</v>
      </c>
      <c r="J357" s="1">
        <f>(_xlfn.FLOOR.MATH((C357-1)/20)+1)/2</f>
        <v>0.5</v>
      </c>
      <c r="K357" s="4">
        <f ca="1">IF(MOD(C357,4)=0,0,Lerp_dyy(H357,I357,J357))</f>
        <v>0</v>
      </c>
      <c r="L357" s="1">
        <f ca="1">OFFSET(控制台!$G$4617,MATCH(B357,控制台!$B$4617:$B$4629,0)-2,0)*控制台!$C$4612</f>
        <v>18</v>
      </c>
      <c r="M357" s="1">
        <f ca="1">OFFSET(控制台!$G$4617,MATCH(B357,控制台!$B$4617:$B$4629,0)-1,0)*控制台!$C$4612</f>
        <v>18</v>
      </c>
      <c r="N357" s="1">
        <v>1</v>
      </c>
      <c r="O357" s="4">
        <f ca="1">IF(MOD(C357,4)=0,Lerp_dyy(L357,M357,N357),0)</f>
        <v>18</v>
      </c>
    </row>
    <row r="358" spans="1:15">
      <c r="A358" s="1">
        <f t="shared" si="11"/>
        <v>1013</v>
      </c>
      <c r="B358" s="1">
        <v>10</v>
      </c>
      <c r="C358" s="1">
        <v>13</v>
      </c>
      <c r="D358" s="1">
        <f ca="1">OFFSET(控制台!$C$4617,MATCH(B358,控制台!$B$4617:$B$4629,0)-2,0)*控制台!$C$4610</f>
        <v>70000</v>
      </c>
      <c r="E358" s="1">
        <f ca="1">OFFSET(控制台!$C$4617,MATCH(B358,控制台!$B$4617:$B$4629,0)-1,0)*控制台!$C$4610</f>
        <v>80000</v>
      </c>
      <c r="F358" s="1">
        <f>(_xlfn.FLOOR.MATH((C358-1)/8)+1)/5</f>
        <v>0.4</v>
      </c>
      <c r="G358" s="4">
        <f ca="1">Lerp_dyy(D358,E358,F358)</f>
        <v>74000</v>
      </c>
      <c r="H358" s="1">
        <f ca="1">OFFSET(控制台!$E$4617,MATCH(B358,控制台!$B$4617:$B$4629,0)-2,0)*控制台!$C$4611</f>
        <v>80</v>
      </c>
      <c r="I358" s="1">
        <f ca="1">OFFSET(控制台!$E$4617,MATCH(B358,控制台!$B$4617:$B$4629,0)-1,0)*控制台!$C$4611</f>
        <v>80</v>
      </c>
      <c r="J358" s="1">
        <f>(_xlfn.FLOOR.MATH((C358-1)/20)+1)/2</f>
        <v>0.5</v>
      </c>
      <c r="K358" s="4">
        <f ca="1">IF(MOD(C358,4)=0,0,Lerp_dyy(H358,I358,J358))</f>
        <v>80</v>
      </c>
      <c r="L358" s="1">
        <f ca="1">OFFSET(控制台!$G$4617,MATCH(B358,控制台!$B$4617:$B$4629,0)-2,0)*控制台!$C$4612</f>
        <v>18</v>
      </c>
      <c r="M358" s="1">
        <f ca="1">OFFSET(控制台!$G$4617,MATCH(B358,控制台!$B$4617:$B$4629,0)-1,0)*控制台!$C$4612</f>
        <v>18</v>
      </c>
      <c r="N358" s="1">
        <v>1</v>
      </c>
      <c r="O358" s="4">
        <f ca="1">IF(MOD(C358,4)=0,Lerp_dyy(L358,M358,N358),0)</f>
        <v>0</v>
      </c>
    </row>
    <row r="359" spans="1:15">
      <c r="A359" s="1">
        <f t="shared" si="11"/>
        <v>1014</v>
      </c>
      <c r="B359" s="1">
        <v>10</v>
      </c>
      <c r="C359" s="1">
        <v>14</v>
      </c>
      <c r="D359" s="1">
        <f ca="1">OFFSET(控制台!$C$4617,MATCH(B359,控制台!$B$4617:$B$4629,0)-2,0)*控制台!$C$4610</f>
        <v>70000</v>
      </c>
      <c r="E359" s="1">
        <f ca="1">OFFSET(控制台!$C$4617,MATCH(B359,控制台!$B$4617:$B$4629,0)-1,0)*控制台!$C$4610</f>
        <v>80000</v>
      </c>
      <c r="F359" s="1">
        <f>(_xlfn.FLOOR.MATH((C359-1)/8)+1)/5</f>
        <v>0.4</v>
      </c>
      <c r="G359" s="4">
        <f ca="1">Lerp_dyy(D359,E359,F359)</f>
        <v>74000</v>
      </c>
      <c r="H359" s="1">
        <f ca="1">OFFSET(控制台!$E$4617,MATCH(B359,控制台!$B$4617:$B$4629,0)-2,0)*控制台!$C$4611</f>
        <v>80</v>
      </c>
      <c r="I359" s="1">
        <f ca="1">OFFSET(控制台!$E$4617,MATCH(B359,控制台!$B$4617:$B$4629,0)-1,0)*控制台!$C$4611</f>
        <v>80</v>
      </c>
      <c r="J359" s="1">
        <f>(_xlfn.FLOOR.MATH((C359-1)/20)+1)/2</f>
        <v>0.5</v>
      </c>
      <c r="K359" s="4">
        <f ca="1">IF(MOD(C359,4)=0,0,Lerp_dyy(H359,I359,J359))</f>
        <v>80</v>
      </c>
      <c r="L359" s="1">
        <f ca="1">OFFSET(控制台!$G$4617,MATCH(B359,控制台!$B$4617:$B$4629,0)-2,0)*控制台!$C$4612</f>
        <v>18</v>
      </c>
      <c r="M359" s="1">
        <f ca="1">OFFSET(控制台!$G$4617,MATCH(B359,控制台!$B$4617:$B$4629,0)-1,0)*控制台!$C$4612</f>
        <v>18</v>
      </c>
      <c r="N359" s="1">
        <v>1</v>
      </c>
      <c r="O359" s="4">
        <f ca="1">IF(MOD(C359,4)=0,Lerp_dyy(L359,M359,N359),0)</f>
        <v>0</v>
      </c>
    </row>
    <row r="360" spans="1:15">
      <c r="A360" s="1">
        <f t="shared" si="11"/>
        <v>1015</v>
      </c>
      <c r="B360" s="1">
        <v>10</v>
      </c>
      <c r="C360" s="1">
        <v>15</v>
      </c>
      <c r="D360" s="1">
        <f ca="1">OFFSET(控制台!$C$4617,MATCH(B360,控制台!$B$4617:$B$4629,0)-2,0)*控制台!$C$4610</f>
        <v>70000</v>
      </c>
      <c r="E360" s="1">
        <f ca="1">OFFSET(控制台!$C$4617,MATCH(B360,控制台!$B$4617:$B$4629,0)-1,0)*控制台!$C$4610</f>
        <v>80000</v>
      </c>
      <c r="F360" s="1">
        <f>(_xlfn.FLOOR.MATH((C360-1)/8)+1)/5</f>
        <v>0.4</v>
      </c>
      <c r="G360" s="4">
        <f ca="1">Lerp_dyy(D360,E360,F360)</f>
        <v>74000</v>
      </c>
      <c r="H360" s="1">
        <f ca="1">OFFSET(控制台!$E$4617,MATCH(B360,控制台!$B$4617:$B$4629,0)-2,0)*控制台!$C$4611</f>
        <v>80</v>
      </c>
      <c r="I360" s="1">
        <f ca="1">OFFSET(控制台!$E$4617,MATCH(B360,控制台!$B$4617:$B$4629,0)-1,0)*控制台!$C$4611</f>
        <v>80</v>
      </c>
      <c r="J360" s="1">
        <f>(_xlfn.FLOOR.MATH((C360-1)/20)+1)/2</f>
        <v>0.5</v>
      </c>
      <c r="K360" s="4">
        <f ca="1">IF(MOD(C360,4)=0,0,Lerp_dyy(H360,I360,J360))</f>
        <v>80</v>
      </c>
      <c r="L360" s="1">
        <f ca="1">OFFSET(控制台!$G$4617,MATCH(B360,控制台!$B$4617:$B$4629,0)-2,0)*控制台!$C$4612</f>
        <v>18</v>
      </c>
      <c r="M360" s="1">
        <f ca="1">OFFSET(控制台!$G$4617,MATCH(B360,控制台!$B$4617:$B$4629,0)-1,0)*控制台!$C$4612</f>
        <v>18</v>
      </c>
      <c r="N360" s="1">
        <v>1</v>
      </c>
      <c r="O360" s="4">
        <f ca="1">IF(MOD(C360,4)=0,Lerp_dyy(L360,M360,N360),0)</f>
        <v>0</v>
      </c>
    </row>
    <row r="361" spans="1:15">
      <c r="A361" s="1">
        <f t="shared" si="11"/>
        <v>1016</v>
      </c>
      <c r="B361" s="1">
        <v>10</v>
      </c>
      <c r="C361" s="1">
        <v>16</v>
      </c>
      <c r="D361" s="1">
        <f ca="1">OFFSET(控制台!$C$4617,MATCH(B361,控制台!$B$4617:$B$4629,0)-2,0)*控制台!$C$4610</f>
        <v>70000</v>
      </c>
      <c r="E361" s="1">
        <f ca="1">OFFSET(控制台!$C$4617,MATCH(B361,控制台!$B$4617:$B$4629,0)-1,0)*控制台!$C$4610</f>
        <v>80000</v>
      </c>
      <c r="F361" s="1">
        <f>(_xlfn.FLOOR.MATH((C361-1)/8)+1)/5</f>
        <v>0.4</v>
      </c>
      <c r="G361" s="4">
        <f ca="1">Lerp_dyy(D361,E361,F361)</f>
        <v>74000</v>
      </c>
      <c r="H361" s="1">
        <f ca="1">OFFSET(控制台!$E$4617,MATCH(B361,控制台!$B$4617:$B$4629,0)-2,0)*控制台!$C$4611</f>
        <v>80</v>
      </c>
      <c r="I361" s="1">
        <f ca="1">OFFSET(控制台!$E$4617,MATCH(B361,控制台!$B$4617:$B$4629,0)-1,0)*控制台!$C$4611</f>
        <v>80</v>
      </c>
      <c r="J361" s="1">
        <f>(_xlfn.FLOOR.MATH((C361-1)/20)+1)/2</f>
        <v>0.5</v>
      </c>
      <c r="K361" s="4">
        <f ca="1">IF(MOD(C361,4)=0,0,Lerp_dyy(H361,I361,J361))</f>
        <v>0</v>
      </c>
      <c r="L361" s="1">
        <f ca="1">OFFSET(控制台!$G$4617,MATCH(B361,控制台!$B$4617:$B$4629,0)-2,0)*控制台!$C$4612</f>
        <v>18</v>
      </c>
      <c r="M361" s="1">
        <f ca="1">OFFSET(控制台!$G$4617,MATCH(B361,控制台!$B$4617:$B$4629,0)-1,0)*控制台!$C$4612</f>
        <v>18</v>
      </c>
      <c r="N361" s="1">
        <v>1</v>
      </c>
      <c r="O361" s="4">
        <f ca="1">IF(MOD(C361,4)=0,Lerp_dyy(L361,M361,N361),0)</f>
        <v>18</v>
      </c>
    </row>
    <row r="362" spans="1:15">
      <c r="A362" s="1">
        <f t="shared" si="11"/>
        <v>1017</v>
      </c>
      <c r="B362" s="1">
        <v>10</v>
      </c>
      <c r="C362" s="1">
        <v>17</v>
      </c>
      <c r="D362" s="1">
        <f ca="1">OFFSET(控制台!$C$4617,MATCH(B362,控制台!$B$4617:$B$4629,0)-2,0)*控制台!$C$4610</f>
        <v>70000</v>
      </c>
      <c r="E362" s="1">
        <f ca="1">OFFSET(控制台!$C$4617,MATCH(B362,控制台!$B$4617:$B$4629,0)-1,0)*控制台!$C$4610</f>
        <v>80000</v>
      </c>
      <c r="F362" s="1">
        <f>(_xlfn.FLOOR.MATH((C362-1)/8)+1)/5</f>
        <v>0.6</v>
      </c>
      <c r="G362" s="4">
        <f ca="1">Lerp_dyy(D362,E362,F362)</f>
        <v>76000</v>
      </c>
      <c r="H362" s="1">
        <f ca="1">OFFSET(控制台!$E$4617,MATCH(B362,控制台!$B$4617:$B$4629,0)-2,0)*控制台!$C$4611</f>
        <v>80</v>
      </c>
      <c r="I362" s="1">
        <f ca="1">OFFSET(控制台!$E$4617,MATCH(B362,控制台!$B$4617:$B$4629,0)-1,0)*控制台!$C$4611</f>
        <v>80</v>
      </c>
      <c r="J362" s="1">
        <f>(_xlfn.FLOOR.MATH((C362-1)/20)+1)/2</f>
        <v>0.5</v>
      </c>
      <c r="K362" s="4">
        <f ca="1">IF(MOD(C362,4)=0,0,Lerp_dyy(H362,I362,J362))</f>
        <v>80</v>
      </c>
      <c r="L362" s="1">
        <f ca="1">OFFSET(控制台!$G$4617,MATCH(B362,控制台!$B$4617:$B$4629,0)-2,0)*控制台!$C$4612</f>
        <v>18</v>
      </c>
      <c r="M362" s="1">
        <f ca="1">OFFSET(控制台!$G$4617,MATCH(B362,控制台!$B$4617:$B$4629,0)-1,0)*控制台!$C$4612</f>
        <v>18</v>
      </c>
      <c r="N362" s="1">
        <v>1</v>
      </c>
      <c r="O362" s="4">
        <f ca="1">IF(MOD(C362,4)=0,Lerp_dyy(L362,M362,N362),0)</f>
        <v>0</v>
      </c>
    </row>
    <row r="363" spans="1:15">
      <c r="A363" s="1">
        <f t="shared" si="11"/>
        <v>1018</v>
      </c>
      <c r="B363" s="1">
        <v>10</v>
      </c>
      <c r="C363" s="1">
        <v>18</v>
      </c>
      <c r="D363" s="1">
        <f ca="1">OFFSET(控制台!$C$4617,MATCH(B363,控制台!$B$4617:$B$4629,0)-2,0)*控制台!$C$4610</f>
        <v>70000</v>
      </c>
      <c r="E363" s="1">
        <f ca="1">OFFSET(控制台!$C$4617,MATCH(B363,控制台!$B$4617:$B$4629,0)-1,0)*控制台!$C$4610</f>
        <v>80000</v>
      </c>
      <c r="F363" s="1">
        <f>(_xlfn.FLOOR.MATH((C363-1)/8)+1)/5</f>
        <v>0.6</v>
      </c>
      <c r="G363" s="4">
        <f ca="1">Lerp_dyy(D363,E363,F363)</f>
        <v>76000</v>
      </c>
      <c r="H363" s="1">
        <f ca="1">OFFSET(控制台!$E$4617,MATCH(B363,控制台!$B$4617:$B$4629,0)-2,0)*控制台!$C$4611</f>
        <v>80</v>
      </c>
      <c r="I363" s="1">
        <f ca="1">OFFSET(控制台!$E$4617,MATCH(B363,控制台!$B$4617:$B$4629,0)-1,0)*控制台!$C$4611</f>
        <v>80</v>
      </c>
      <c r="J363" s="1">
        <f>(_xlfn.FLOOR.MATH((C363-1)/20)+1)/2</f>
        <v>0.5</v>
      </c>
      <c r="K363" s="4">
        <f ca="1">IF(MOD(C363,4)=0,0,Lerp_dyy(H363,I363,J363))</f>
        <v>80</v>
      </c>
      <c r="L363" s="1">
        <f ca="1">OFFSET(控制台!$G$4617,MATCH(B363,控制台!$B$4617:$B$4629,0)-2,0)*控制台!$C$4612</f>
        <v>18</v>
      </c>
      <c r="M363" s="1">
        <f ca="1">OFFSET(控制台!$G$4617,MATCH(B363,控制台!$B$4617:$B$4629,0)-1,0)*控制台!$C$4612</f>
        <v>18</v>
      </c>
      <c r="N363" s="1">
        <v>1</v>
      </c>
      <c r="O363" s="4">
        <f ca="1">IF(MOD(C363,4)=0,Lerp_dyy(L363,M363,N363),0)</f>
        <v>0</v>
      </c>
    </row>
    <row r="364" spans="1:15">
      <c r="A364" s="1">
        <f t="shared" si="11"/>
        <v>1019</v>
      </c>
      <c r="B364" s="1">
        <v>10</v>
      </c>
      <c r="C364" s="1">
        <v>19</v>
      </c>
      <c r="D364" s="1">
        <f ca="1">OFFSET(控制台!$C$4617,MATCH(B364,控制台!$B$4617:$B$4629,0)-2,0)*控制台!$C$4610</f>
        <v>70000</v>
      </c>
      <c r="E364" s="1">
        <f ca="1">OFFSET(控制台!$C$4617,MATCH(B364,控制台!$B$4617:$B$4629,0)-1,0)*控制台!$C$4610</f>
        <v>80000</v>
      </c>
      <c r="F364" s="1">
        <f>(_xlfn.FLOOR.MATH((C364-1)/8)+1)/5</f>
        <v>0.6</v>
      </c>
      <c r="G364" s="4">
        <f ca="1">Lerp_dyy(D364,E364,F364)</f>
        <v>76000</v>
      </c>
      <c r="H364" s="1">
        <f ca="1">OFFSET(控制台!$E$4617,MATCH(B364,控制台!$B$4617:$B$4629,0)-2,0)*控制台!$C$4611</f>
        <v>80</v>
      </c>
      <c r="I364" s="1">
        <f ca="1">OFFSET(控制台!$E$4617,MATCH(B364,控制台!$B$4617:$B$4629,0)-1,0)*控制台!$C$4611</f>
        <v>80</v>
      </c>
      <c r="J364" s="1">
        <f>(_xlfn.FLOOR.MATH((C364-1)/20)+1)/2</f>
        <v>0.5</v>
      </c>
      <c r="K364" s="4">
        <f ca="1">IF(MOD(C364,4)=0,0,Lerp_dyy(H364,I364,J364))</f>
        <v>80</v>
      </c>
      <c r="L364" s="1">
        <f ca="1">OFFSET(控制台!$G$4617,MATCH(B364,控制台!$B$4617:$B$4629,0)-2,0)*控制台!$C$4612</f>
        <v>18</v>
      </c>
      <c r="M364" s="1">
        <f ca="1">OFFSET(控制台!$G$4617,MATCH(B364,控制台!$B$4617:$B$4629,0)-1,0)*控制台!$C$4612</f>
        <v>18</v>
      </c>
      <c r="N364" s="1">
        <v>1</v>
      </c>
      <c r="O364" s="4">
        <f ca="1">IF(MOD(C364,4)=0,Lerp_dyy(L364,M364,N364),0)</f>
        <v>0</v>
      </c>
    </row>
    <row r="365" spans="1:15">
      <c r="A365" s="1">
        <f t="shared" si="11"/>
        <v>1020</v>
      </c>
      <c r="B365" s="1">
        <v>10</v>
      </c>
      <c r="C365" s="1">
        <v>20</v>
      </c>
      <c r="D365" s="1">
        <f ca="1">OFFSET(控制台!$C$4617,MATCH(B365,控制台!$B$4617:$B$4629,0)-2,0)*控制台!$C$4610</f>
        <v>70000</v>
      </c>
      <c r="E365" s="1">
        <f ca="1">OFFSET(控制台!$C$4617,MATCH(B365,控制台!$B$4617:$B$4629,0)-1,0)*控制台!$C$4610</f>
        <v>80000</v>
      </c>
      <c r="F365" s="1">
        <f>(_xlfn.FLOOR.MATH((C365-1)/8)+1)/5</f>
        <v>0.6</v>
      </c>
      <c r="G365" s="4">
        <f ca="1">Lerp_dyy(D365,E365,F365)</f>
        <v>76000</v>
      </c>
      <c r="H365" s="1">
        <f ca="1">OFFSET(控制台!$E$4617,MATCH(B365,控制台!$B$4617:$B$4629,0)-2,0)*控制台!$C$4611</f>
        <v>80</v>
      </c>
      <c r="I365" s="1">
        <f ca="1">OFFSET(控制台!$E$4617,MATCH(B365,控制台!$B$4617:$B$4629,0)-1,0)*控制台!$C$4611</f>
        <v>80</v>
      </c>
      <c r="J365" s="1">
        <f>(_xlfn.FLOOR.MATH((C365-1)/20)+1)/2</f>
        <v>0.5</v>
      </c>
      <c r="K365" s="4">
        <f ca="1">IF(MOD(C365,4)=0,0,Lerp_dyy(H365,I365,J365))</f>
        <v>0</v>
      </c>
      <c r="L365" s="1">
        <f ca="1">OFFSET(控制台!$G$4617,MATCH(B365,控制台!$B$4617:$B$4629,0)-2,0)*控制台!$C$4612</f>
        <v>18</v>
      </c>
      <c r="M365" s="1">
        <f ca="1">OFFSET(控制台!$G$4617,MATCH(B365,控制台!$B$4617:$B$4629,0)-1,0)*控制台!$C$4612</f>
        <v>18</v>
      </c>
      <c r="N365" s="1">
        <v>1</v>
      </c>
      <c r="O365" s="4">
        <f ca="1">IF(MOD(C365,4)=0,Lerp_dyy(L365,M365,N365),0)</f>
        <v>18</v>
      </c>
    </row>
    <row r="366" spans="1:15">
      <c r="A366" s="1">
        <f t="shared" si="11"/>
        <v>1021</v>
      </c>
      <c r="B366" s="1">
        <v>10</v>
      </c>
      <c r="C366" s="1">
        <v>21</v>
      </c>
      <c r="D366" s="1">
        <f ca="1">OFFSET(控制台!$C$4617,MATCH(B366,控制台!$B$4617:$B$4629,0)-2,0)*控制台!$C$4610</f>
        <v>70000</v>
      </c>
      <c r="E366" s="1">
        <f ca="1">OFFSET(控制台!$C$4617,MATCH(B366,控制台!$B$4617:$B$4629,0)-1,0)*控制台!$C$4610</f>
        <v>80000</v>
      </c>
      <c r="F366" s="1">
        <f>(_xlfn.FLOOR.MATH((C366-1)/8)+1)/5</f>
        <v>0.6</v>
      </c>
      <c r="G366" s="4">
        <f ca="1">Lerp_dyy(D366,E366,F366)</f>
        <v>76000</v>
      </c>
      <c r="H366" s="1">
        <f ca="1">OFFSET(控制台!$E$4617,MATCH(B366,控制台!$B$4617:$B$4629,0)-2,0)*控制台!$C$4611</f>
        <v>80</v>
      </c>
      <c r="I366" s="1">
        <f ca="1">OFFSET(控制台!$E$4617,MATCH(B366,控制台!$B$4617:$B$4629,0)-1,0)*控制台!$C$4611</f>
        <v>80</v>
      </c>
      <c r="J366" s="1">
        <f>(_xlfn.FLOOR.MATH((C366-1)/20)+1)/2</f>
        <v>1</v>
      </c>
      <c r="K366" s="4">
        <f ca="1">IF(MOD(C366,4)=0,0,Lerp_dyy(H366,I366,J366))</f>
        <v>80</v>
      </c>
      <c r="L366" s="1">
        <f ca="1">OFFSET(控制台!$G$4617,MATCH(B366,控制台!$B$4617:$B$4629,0)-2,0)*控制台!$C$4612</f>
        <v>18</v>
      </c>
      <c r="M366" s="1">
        <f ca="1">OFFSET(控制台!$G$4617,MATCH(B366,控制台!$B$4617:$B$4629,0)-1,0)*控制台!$C$4612</f>
        <v>18</v>
      </c>
      <c r="N366" s="1">
        <v>1</v>
      </c>
      <c r="O366" s="4">
        <f ca="1">IF(MOD(C366,4)=0,Lerp_dyy(L366,M366,N366),0)</f>
        <v>0</v>
      </c>
    </row>
    <row r="367" spans="1:15">
      <c r="A367" s="1">
        <f t="shared" si="11"/>
        <v>1022</v>
      </c>
      <c r="B367" s="1">
        <v>10</v>
      </c>
      <c r="C367" s="1">
        <v>22</v>
      </c>
      <c r="D367" s="1">
        <f ca="1">OFFSET(控制台!$C$4617,MATCH(B367,控制台!$B$4617:$B$4629,0)-2,0)*控制台!$C$4610</f>
        <v>70000</v>
      </c>
      <c r="E367" s="1">
        <f ca="1">OFFSET(控制台!$C$4617,MATCH(B367,控制台!$B$4617:$B$4629,0)-1,0)*控制台!$C$4610</f>
        <v>80000</v>
      </c>
      <c r="F367" s="1">
        <f>(_xlfn.FLOOR.MATH((C367-1)/8)+1)/5</f>
        <v>0.6</v>
      </c>
      <c r="G367" s="4">
        <f ca="1">Lerp_dyy(D367,E367,F367)</f>
        <v>76000</v>
      </c>
      <c r="H367" s="1">
        <f ca="1">OFFSET(控制台!$E$4617,MATCH(B367,控制台!$B$4617:$B$4629,0)-2,0)*控制台!$C$4611</f>
        <v>80</v>
      </c>
      <c r="I367" s="1">
        <f ca="1">OFFSET(控制台!$E$4617,MATCH(B367,控制台!$B$4617:$B$4629,0)-1,0)*控制台!$C$4611</f>
        <v>80</v>
      </c>
      <c r="J367" s="1">
        <f>(_xlfn.FLOOR.MATH((C367-1)/20)+1)/2</f>
        <v>1</v>
      </c>
      <c r="K367" s="4">
        <f ca="1">IF(MOD(C367,4)=0,0,Lerp_dyy(H367,I367,J367))</f>
        <v>80</v>
      </c>
      <c r="L367" s="1">
        <f ca="1">OFFSET(控制台!$G$4617,MATCH(B367,控制台!$B$4617:$B$4629,0)-2,0)*控制台!$C$4612</f>
        <v>18</v>
      </c>
      <c r="M367" s="1">
        <f ca="1">OFFSET(控制台!$G$4617,MATCH(B367,控制台!$B$4617:$B$4629,0)-1,0)*控制台!$C$4612</f>
        <v>18</v>
      </c>
      <c r="N367" s="1">
        <v>1</v>
      </c>
      <c r="O367" s="4">
        <f ca="1">IF(MOD(C367,4)=0,Lerp_dyy(L367,M367,N367),0)</f>
        <v>0</v>
      </c>
    </row>
    <row r="368" spans="1:15">
      <c r="A368" s="1">
        <f t="shared" si="11"/>
        <v>1023</v>
      </c>
      <c r="B368" s="1">
        <v>10</v>
      </c>
      <c r="C368" s="1">
        <v>23</v>
      </c>
      <c r="D368" s="1">
        <f ca="1">OFFSET(控制台!$C$4617,MATCH(B368,控制台!$B$4617:$B$4629,0)-2,0)*控制台!$C$4610</f>
        <v>70000</v>
      </c>
      <c r="E368" s="1">
        <f ca="1">OFFSET(控制台!$C$4617,MATCH(B368,控制台!$B$4617:$B$4629,0)-1,0)*控制台!$C$4610</f>
        <v>80000</v>
      </c>
      <c r="F368" s="1">
        <f>(_xlfn.FLOOR.MATH((C368-1)/8)+1)/5</f>
        <v>0.6</v>
      </c>
      <c r="G368" s="4">
        <f ca="1">Lerp_dyy(D368,E368,F368)</f>
        <v>76000</v>
      </c>
      <c r="H368" s="1">
        <f ca="1">OFFSET(控制台!$E$4617,MATCH(B368,控制台!$B$4617:$B$4629,0)-2,0)*控制台!$C$4611</f>
        <v>80</v>
      </c>
      <c r="I368" s="1">
        <f ca="1">OFFSET(控制台!$E$4617,MATCH(B368,控制台!$B$4617:$B$4629,0)-1,0)*控制台!$C$4611</f>
        <v>80</v>
      </c>
      <c r="J368" s="1">
        <f>(_xlfn.FLOOR.MATH((C368-1)/20)+1)/2</f>
        <v>1</v>
      </c>
      <c r="K368" s="4">
        <f ca="1">IF(MOD(C368,4)=0,0,Lerp_dyy(H368,I368,J368))</f>
        <v>80</v>
      </c>
      <c r="L368" s="1">
        <f ca="1">OFFSET(控制台!$G$4617,MATCH(B368,控制台!$B$4617:$B$4629,0)-2,0)*控制台!$C$4612</f>
        <v>18</v>
      </c>
      <c r="M368" s="1">
        <f ca="1">OFFSET(控制台!$G$4617,MATCH(B368,控制台!$B$4617:$B$4629,0)-1,0)*控制台!$C$4612</f>
        <v>18</v>
      </c>
      <c r="N368" s="1">
        <v>1</v>
      </c>
      <c r="O368" s="4">
        <f ca="1">IF(MOD(C368,4)=0,Lerp_dyy(L368,M368,N368),0)</f>
        <v>0</v>
      </c>
    </row>
    <row r="369" spans="1:15">
      <c r="A369" s="1">
        <f t="shared" si="11"/>
        <v>1024</v>
      </c>
      <c r="B369" s="1">
        <v>10</v>
      </c>
      <c r="C369" s="1">
        <v>24</v>
      </c>
      <c r="D369" s="1">
        <f ca="1">OFFSET(控制台!$C$4617,MATCH(B369,控制台!$B$4617:$B$4629,0)-2,0)*控制台!$C$4610</f>
        <v>70000</v>
      </c>
      <c r="E369" s="1">
        <f ca="1">OFFSET(控制台!$C$4617,MATCH(B369,控制台!$B$4617:$B$4629,0)-1,0)*控制台!$C$4610</f>
        <v>80000</v>
      </c>
      <c r="F369" s="1">
        <f>(_xlfn.FLOOR.MATH((C369-1)/8)+1)/5</f>
        <v>0.6</v>
      </c>
      <c r="G369" s="4">
        <f ca="1">Lerp_dyy(D369,E369,F369)</f>
        <v>76000</v>
      </c>
      <c r="H369" s="1">
        <f ca="1">OFFSET(控制台!$E$4617,MATCH(B369,控制台!$B$4617:$B$4629,0)-2,0)*控制台!$C$4611</f>
        <v>80</v>
      </c>
      <c r="I369" s="1">
        <f ca="1">OFFSET(控制台!$E$4617,MATCH(B369,控制台!$B$4617:$B$4629,0)-1,0)*控制台!$C$4611</f>
        <v>80</v>
      </c>
      <c r="J369" s="1">
        <f>(_xlfn.FLOOR.MATH((C369-1)/20)+1)/2</f>
        <v>1</v>
      </c>
      <c r="K369" s="4">
        <f ca="1">IF(MOD(C369,4)=0,0,Lerp_dyy(H369,I369,J369))</f>
        <v>0</v>
      </c>
      <c r="L369" s="1">
        <f ca="1">OFFSET(控制台!$G$4617,MATCH(B369,控制台!$B$4617:$B$4629,0)-2,0)*控制台!$C$4612</f>
        <v>18</v>
      </c>
      <c r="M369" s="1">
        <f ca="1">OFFSET(控制台!$G$4617,MATCH(B369,控制台!$B$4617:$B$4629,0)-1,0)*控制台!$C$4612</f>
        <v>18</v>
      </c>
      <c r="N369" s="1">
        <v>1</v>
      </c>
      <c r="O369" s="4">
        <f ca="1">IF(MOD(C369,4)=0,Lerp_dyy(L369,M369,N369),0)</f>
        <v>18</v>
      </c>
    </row>
    <row r="370" spans="1:15">
      <c r="A370" s="1">
        <f t="shared" si="11"/>
        <v>1025</v>
      </c>
      <c r="B370" s="1">
        <v>10</v>
      </c>
      <c r="C370" s="1">
        <v>25</v>
      </c>
      <c r="D370" s="1">
        <f ca="1">OFFSET(控制台!$C$4617,MATCH(B370,控制台!$B$4617:$B$4629,0)-2,0)*控制台!$C$4610</f>
        <v>70000</v>
      </c>
      <c r="E370" s="1">
        <f ca="1">OFFSET(控制台!$C$4617,MATCH(B370,控制台!$B$4617:$B$4629,0)-1,0)*控制台!$C$4610</f>
        <v>80000</v>
      </c>
      <c r="F370" s="1">
        <f>(_xlfn.FLOOR.MATH((C370-1)/8)+1)/5</f>
        <v>0.8</v>
      </c>
      <c r="G370" s="4">
        <f ca="1">Lerp_dyy(D370,E370,F370)</f>
        <v>78000</v>
      </c>
      <c r="H370" s="1">
        <f ca="1">OFFSET(控制台!$E$4617,MATCH(B370,控制台!$B$4617:$B$4629,0)-2,0)*控制台!$C$4611</f>
        <v>80</v>
      </c>
      <c r="I370" s="1">
        <f ca="1">OFFSET(控制台!$E$4617,MATCH(B370,控制台!$B$4617:$B$4629,0)-1,0)*控制台!$C$4611</f>
        <v>80</v>
      </c>
      <c r="J370" s="1">
        <f>(_xlfn.FLOOR.MATH((C370-1)/20)+1)/2</f>
        <v>1</v>
      </c>
      <c r="K370" s="4">
        <f ca="1">IF(MOD(C370,4)=0,0,Lerp_dyy(H370,I370,J370))</f>
        <v>80</v>
      </c>
      <c r="L370" s="1">
        <f ca="1">OFFSET(控制台!$G$4617,MATCH(B370,控制台!$B$4617:$B$4629,0)-2,0)*控制台!$C$4612</f>
        <v>18</v>
      </c>
      <c r="M370" s="1">
        <f ca="1">OFFSET(控制台!$G$4617,MATCH(B370,控制台!$B$4617:$B$4629,0)-1,0)*控制台!$C$4612</f>
        <v>18</v>
      </c>
      <c r="N370" s="1">
        <v>1</v>
      </c>
      <c r="O370" s="4">
        <f ca="1">IF(MOD(C370,4)=0,Lerp_dyy(L370,M370,N370),0)</f>
        <v>0</v>
      </c>
    </row>
    <row r="371" spans="1:15">
      <c r="A371" s="1">
        <f t="shared" si="11"/>
        <v>1026</v>
      </c>
      <c r="B371" s="1">
        <v>10</v>
      </c>
      <c r="C371" s="1">
        <v>26</v>
      </c>
      <c r="D371" s="1">
        <f ca="1">OFFSET(控制台!$C$4617,MATCH(B371,控制台!$B$4617:$B$4629,0)-2,0)*控制台!$C$4610</f>
        <v>70000</v>
      </c>
      <c r="E371" s="1">
        <f ca="1">OFFSET(控制台!$C$4617,MATCH(B371,控制台!$B$4617:$B$4629,0)-1,0)*控制台!$C$4610</f>
        <v>80000</v>
      </c>
      <c r="F371" s="1">
        <f>(_xlfn.FLOOR.MATH((C371-1)/8)+1)/5</f>
        <v>0.8</v>
      </c>
      <c r="G371" s="4">
        <f ca="1">Lerp_dyy(D371,E371,F371)</f>
        <v>78000</v>
      </c>
      <c r="H371" s="1">
        <f ca="1">OFFSET(控制台!$E$4617,MATCH(B371,控制台!$B$4617:$B$4629,0)-2,0)*控制台!$C$4611</f>
        <v>80</v>
      </c>
      <c r="I371" s="1">
        <f ca="1">OFFSET(控制台!$E$4617,MATCH(B371,控制台!$B$4617:$B$4629,0)-1,0)*控制台!$C$4611</f>
        <v>80</v>
      </c>
      <c r="J371" s="1">
        <f>(_xlfn.FLOOR.MATH((C371-1)/20)+1)/2</f>
        <v>1</v>
      </c>
      <c r="K371" s="4">
        <f ca="1">IF(MOD(C371,4)=0,0,Lerp_dyy(H371,I371,J371))</f>
        <v>80</v>
      </c>
      <c r="L371" s="1">
        <f ca="1">OFFSET(控制台!$G$4617,MATCH(B371,控制台!$B$4617:$B$4629,0)-2,0)*控制台!$C$4612</f>
        <v>18</v>
      </c>
      <c r="M371" s="1">
        <f ca="1">OFFSET(控制台!$G$4617,MATCH(B371,控制台!$B$4617:$B$4629,0)-1,0)*控制台!$C$4612</f>
        <v>18</v>
      </c>
      <c r="N371" s="1">
        <v>1</v>
      </c>
      <c r="O371" s="4">
        <f ca="1">IF(MOD(C371,4)=0,Lerp_dyy(L371,M371,N371),0)</f>
        <v>0</v>
      </c>
    </row>
    <row r="372" spans="1:15">
      <c r="A372" s="1">
        <f t="shared" si="11"/>
        <v>1027</v>
      </c>
      <c r="B372" s="1">
        <v>10</v>
      </c>
      <c r="C372" s="1">
        <v>27</v>
      </c>
      <c r="D372" s="1">
        <f ca="1">OFFSET(控制台!$C$4617,MATCH(B372,控制台!$B$4617:$B$4629,0)-2,0)*控制台!$C$4610</f>
        <v>70000</v>
      </c>
      <c r="E372" s="1">
        <f ca="1">OFFSET(控制台!$C$4617,MATCH(B372,控制台!$B$4617:$B$4629,0)-1,0)*控制台!$C$4610</f>
        <v>80000</v>
      </c>
      <c r="F372" s="1">
        <f>(_xlfn.FLOOR.MATH((C372-1)/8)+1)/5</f>
        <v>0.8</v>
      </c>
      <c r="G372" s="4">
        <f ca="1">Lerp_dyy(D372,E372,F372)</f>
        <v>78000</v>
      </c>
      <c r="H372" s="1">
        <f ca="1">OFFSET(控制台!$E$4617,MATCH(B372,控制台!$B$4617:$B$4629,0)-2,0)*控制台!$C$4611</f>
        <v>80</v>
      </c>
      <c r="I372" s="1">
        <f ca="1">OFFSET(控制台!$E$4617,MATCH(B372,控制台!$B$4617:$B$4629,0)-1,0)*控制台!$C$4611</f>
        <v>80</v>
      </c>
      <c r="J372" s="1">
        <f>(_xlfn.FLOOR.MATH((C372-1)/20)+1)/2</f>
        <v>1</v>
      </c>
      <c r="K372" s="4">
        <f ca="1">IF(MOD(C372,4)=0,0,Lerp_dyy(H372,I372,J372))</f>
        <v>80</v>
      </c>
      <c r="L372" s="1">
        <f ca="1">OFFSET(控制台!$G$4617,MATCH(B372,控制台!$B$4617:$B$4629,0)-2,0)*控制台!$C$4612</f>
        <v>18</v>
      </c>
      <c r="M372" s="1">
        <f ca="1">OFFSET(控制台!$G$4617,MATCH(B372,控制台!$B$4617:$B$4629,0)-1,0)*控制台!$C$4612</f>
        <v>18</v>
      </c>
      <c r="N372" s="1">
        <v>1</v>
      </c>
      <c r="O372" s="4">
        <f ca="1">IF(MOD(C372,4)=0,Lerp_dyy(L372,M372,N372),0)</f>
        <v>0</v>
      </c>
    </row>
    <row r="373" spans="1:15">
      <c r="A373" s="1">
        <f t="shared" si="11"/>
        <v>1028</v>
      </c>
      <c r="B373" s="1">
        <v>10</v>
      </c>
      <c r="C373" s="1">
        <v>28</v>
      </c>
      <c r="D373" s="1">
        <f ca="1">OFFSET(控制台!$C$4617,MATCH(B373,控制台!$B$4617:$B$4629,0)-2,0)*控制台!$C$4610</f>
        <v>70000</v>
      </c>
      <c r="E373" s="1">
        <f ca="1">OFFSET(控制台!$C$4617,MATCH(B373,控制台!$B$4617:$B$4629,0)-1,0)*控制台!$C$4610</f>
        <v>80000</v>
      </c>
      <c r="F373" s="1">
        <f>(_xlfn.FLOOR.MATH((C373-1)/8)+1)/5</f>
        <v>0.8</v>
      </c>
      <c r="G373" s="4">
        <f ca="1">Lerp_dyy(D373,E373,F373)</f>
        <v>78000</v>
      </c>
      <c r="H373" s="1">
        <f ca="1">OFFSET(控制台!$E$4617,MATCH(B373,控制台!$B$4617:$B$4629,0)-2,0)*控制台!$C$4611</f>
        <v>80</v>
      </c>
      <c r="I373" s="1">
        <f ca="1">OFFSET(控制台!$E$4617,MATCH(B373,控制台!$B$4617:$B$4629,0)-1,0)*控制台!$C$4611</f>
        <v>80</v>
      </c>
      <c r="J373" s="1">
        <f>(_xlfn.FLOOR.MATH((C373-1)/20)+1)/2</f>
        <v>1</v>
      </c>
      <c r="K373" s="4">
        <f ca="1">IF(MOD(C373,4)=0,0,Lerp_dyy(H373,I373,J373))</f>
        <v>0</v>
      </c>
      <c r="L373" s="1">
        <f ca="1">OFFSET(控制台!$G$4617,MATCH(B373,控制台!$B$4617:$B$4629,0)-2,0)*控制台!$C$4612</f>
        <v>18</v>
      </c>
      <c r="M373" s="1">
        <f ca="1">OFFSET(控制台!$G$4617,MATCH(B373,控制台!$B$4617:$B$4629,0)-1,0)*控制台!$C$4612</f>
        <v>18</v>
      </c>
      <c r="N373" s="1">
        <v>1</v>
      </c>
      <c r="O373" s="4">
        <f ca="1">IF(MOD(C373,4)=0,Lerp_dyy(L373,M373,N373),0)</f>
        <v>18</v>
      </c>
    </row>
    <row r="374" spans="1:15">
      <c r="A374" s="1">
        <f t="shared" si="11"/>
        <v>1029</v>
      </c>
      <c r="B374" s="1">
        <v>10</v>
      </c>
      <c r="C374" s="1">
        <v>29</v>
      </c>
      <c r="D374" s="1">
        <f ca="1">OFFSET(控制台!$C$4617,MATCH(B374,控制台!$B$4617:$B$4629,0)-2,0)*控制台!$C$4610</f>
        <v>70000</v>
      </c>
      <c r="E374" s="1">
        <f ca="1">OFFSET(控制台!$C$4617,MATCH(B374,控制台!$B$4617:$B$4629,0)-1,0)*控制台!$C$4610</f>
        <v>80000</v>
      </c>
      <c r="F374" s="1">
        <f>(_xlfn.FLOOR.MATH((C374-1)/8)+1)/5</f>
        <v>0.8</v>
      </c>
      <c r="G374" s="4">
        <f ca="1">Lerp_dyy(D374,E374,F374)</f>
        <v>78000</v>
      </c>
      <c r="H374" s="1">
        <f ca="1">OFFSET(控制台!$E$4617,MATCH(B374,控制台!$B$4617:$B$4629,0)-2,0)*控制台!$C$4611</f>
        <v>80</v>
      </c>
      <c r="I374" s="1">
        <f ca="1">OFFSET(控制台!$E$4617,MATCH(B374,控制台!$B$4617:$B$4629,0)-1,0)*控制台!$C$4611</f>
        <v>80</v>
      </c>
      <c r="J374" s="1">
        <f>(_xlfn.FLOOR.MATH((C374-1)/20)+1)/2</f>
        <v>1</v>
      </c>
      <c r="K374" s="4">
        <f ca="1">IF(MOD(C374,4)=0,0,Lerp_dyy(H374,I374,J374))</f>
        <v>80</v>
      </c>
      <c r="L374" s="1">
        <f ca="1">OFFSET(控制台!$G$4617,MATCH(B374,控制台!$B$4617:$B$4629,0)-2,0)*控制台!$C$4612</f>
        <v>18</v>
      </c>
      <c r="M374" s="1">
        <f ca="1">OFFSET(控制台!$G$4617,MATCH(B374,控制台!$B$4617:$B$4629,0)-1,0)*控制台!$C$4612</f>
        <v>18</v>
      </c>
      <c r="N374" s="1">
        <v>1</v>
      </c>
      <c r="O374" s="4">
        <f ca="1">IF(MOD(C374,4)=0,Lerp_dyy(L374,M374,N374),0)</f>
        <v>0</v>
      </c>
    </row>
    <row r="375" spans="1:15">
      <c r="A375" s="1">
        <f t="shared" si="11"/>
        <v>1030</v>
      </c>
      <c r="B375" s="1">
        <v>10</v>
      </c>
      <c r="C375" s="1">
        <v>30</v>
      </c>
      <c r="D375" s="1">
        <f ca="1">OFFSET(控制台!$C$4617,MATCH(B375,控制台!$B$4617:$B$4629,0)-2,0)*控制台!$C$4610</f>
        <v>70000</v>
      </c>
      <c r="E375" s="1">
        <f ca="1">OFFSET(控制台!$C$4617,MATCH(B375,控制台!$B$4617:$B$4629,0)-1,0)*控制台!$C$4610</f>
        <v>80000</v>
      </c>
      <c r="F375" s="1">
        <f>(_xlfn.FLOOR.MATH((C375-1)/8)+1)/5</f>
        <v>0.8</v>
      </c>
      <c r="G375" s="4">
        <f ca="1">Lerp_dyy(D375,E375,F375)</f>
        <v>78000</v>
      </c>
      <c r="H375" s="1">
        <f ca="1">OFFSET(控制台!$E$4617,MATCH(B375,控制台!$B$4617:$B$4629,0)-2,0)*控制台!$C$4611</f>
        <v>80</v>
      </c>
      <c r="I375" s="1">
        <f ca="1">OFFSET(控制台!$E$4617,MATCH(B375,控制台!$B$4617:$B$4629,0)-1,0)*控制台!$C$4611</f>
        <v>80</v>
      </c>
      <c r="J375" s="1">
        <f>(_xlfn.FLOOR.MATH((C375-1)/20)+1)/2</f>
        <v>1</v>
      </c>
      <c r="K375" s="4">
        <f ca="1">IF(MOD(C375,4)=0,0,Lerp_dyy(H375,I375,J375))</f>
        <v>80</v>
      </c>
      <c r="L375" s="1">
        <f ca="1">OFFSET(控制台!$G$4617,MATCH(B375,控制台!$B$4617:$B$4629,0)-2,0)*控制台!$C$4612</f>
        <v>18</v>
      </c>
      <c r="M375" s="1">
        <f ca="1">OFFSET(控制台!$G$4617,MATCH(B375,控制台!$B$4617:$B$4629,0)-1,0)*控制台!$C$4612</f>
        <v>18</v>
      </c>
      <c r="N375" s="1">
        <v>1</v>
      </c>
      <c r="O375" s="4">
        <f ca="1">IF(MOD(C375,4)=0,Lerp_dyy(L375,M375,N375),0)</f>
        <v>0</v>
      </c>
    </row>
    <row r="376" spans="1:15">
      <c r="A376" s="1">
        <f t="shared" si="11"/>
        <v>1031</v>
      </c>
      <c r="B376" s="1">
        <v>10</v>
      </c>
      <c r="C376" s="1">
        <v>31</v>
      </c>
      <c r="D376" s="1">
        <f ca="1">OFFSET(控制台!$C$4617,MATCH(B376,控制台!$B$4617:$B$4629,0)-2,0)*控制台!$C$4610</f>
        <v>70000</v>
      </c>
      <c r="E376" s="1">
        <f ca="1">OFFSET(控制台!$C$4617,MATCH(B376,控制台!$B$4617:$B$4629,0)-1,0)*控制台!$C$4610</f>
        <v>80000</v>
      </c>
      <c r="F376" s="1">
        <f>(_xlfn.FLOOR.MATH((C376-1)/8)+1)/5</f>
        <v>0.8</v>
      </c>
      <c r="G376" s="4">
        <f ca="1">Lerp_dyy(D376,E376,F376)</f>
        <v>78000</v>
      </c>
      <c r="H376" s="1">
        <f ca="1">OFFSET(控制台!$E$4617,MATCH(B376,控制台!$B$4617:$B$4629,0)-2,0)*控制台!$C$4611</f>
        <v>80</v>
      </c>
      <c r="I376" s="1">
        <f ca="1">OFFSET(控制台!$E$4617,MATCH(B376,控制台!$B$4617:$B$4629,0)-1,0)*控制台!$C$4611</f>
        <v>80</v>
      </c>
      <c r="J376" s="1">
        <f>(_xlfn.FLOOR.MATH((C376-1)/20)+1)/2</f>
        <v>1</v>
      </c>
      <c r="K376" s="4">
        <f ca="1">IF(MOD(C376,4)=0,0,Lerp_dyy(H376,I376,J376))</f>
        <v>80</v>
      </c>
      <c r="L376" s="1">
        <f ca="1">OFFSET(控制台!$G$4617,MATCH(B376,控制台!$B$4617:$B$4629,0)-2,0)*控制台!$C$4612</f>
        <v>18</v>
      </c>
      <c r="M376" s="1">
        <f ca="1">OFFSET(控制台!$G$4617,MATCH(B376,控制台!$B$4617:$B$4629,0)-1,0)*控制台!$C$4612</f>
        <v>18</v>
      </c>
      <c r="N376" s="1">
        <v>1</v>
      </c>
      <c r="O376" s="4">
        <f ca="1">IF(MOD(C376,4)=0,Lerp_dyy(L376,M376,N376),0)</f>
        <v>0</v>
      </c>
    </row>
    <row r="377" spans="1:15">
      <c r="A377" s="1">
        <f t="shared" si="11"/>
        <v>1032</v>
      </c>
      <c r="B377" s="1">
        <v>10</v>
      </c>
      <c r="C377" s="1">
        <v>32</v>
      </c>
      <c r="D377" s="1">
        <f ca="1">OFFSET(控制台!$C$4617,MATCH(B377,控制台!$B$4617:$B$4629,0)-2,0)*控制台!$C$4610</f>
        <v>70000</v>
      </c>
      <c r="E377" s="1">
        <f ca="1">OFFSET(控制台!$C$4617,MATCH(B377,控制台!$B$4617:$B$4629,0)-1,0)*控制台!$C$4610</f>
        <v>80000</v>
      </c>
      <c r="F377" s="1">
        <f>(_xlfn.FLOOR.MATH((C377-1)/8)+1)/5</f>
        <v>0.8</v>
      </c>
      <c r="G377" s="4">
        <f ca="1">Lerp_dyy(D377,E377,F377)</f>
        <v>78000</v>
      </c>
      <c r="H377" s="1">
        <f ca="1">OFFSET(控制台!$E$4617,MATCH(B377,控制台!$B$4617:$B$4629,0)-2,0)*控制台!$C$4611</f>
        <v>80</v>
      </c>
      <c r="I377" s="1">
        <f ca="1">OFFSET(控制台!$E$4617,MATCH(B377,控制台!$B$4617:$B$4629,0)-1,0)*控制台!$C$4611</f>
        <v>80</v>
      </c>
      <c r="J377" s="1">
        <f>(_xlfn.FLOOR.MATH((C377-1)/20)+1)/2</f>
        <v>1</v>
      </c>
      <c r="K377" s="4">
        <f ca="1">IF(MOD(C377,4)=0,0,Lerp_dyy(H377,I377,J377))</f>
        <v>0</v>
      </c>
      <c r="L377" s="1">
        <f ca="1">OFFSET(控制台!$G$4617,MATCH(B377,控制台!$B$4617:$B$4629,0)-2,0)*控制台!$C$4612</f>
        <v>18</v>
      </c>
      <c r="M377" s="1">
        <f ca="1">OFFSET(控制台!$G$4617,MATCH(B377,控制台!$B$4617:$B$4629,0)-1,0)*控制台!$C$4612</f>
        <v>18</v>
      </c>
      <c r="N377" s="1">
        <v>1</v>
      </c>
      <c r="O377" s="4">
        <f ca="1">IF(MOD(C377,4)=0,Lerp_dyy(L377,M377,N377),0)</f>
        <v>18</v>
      </c>
    </row>
    <row r="378" spans="1:15">
      <c r="A378" s="1">
        <f t="shared" si="11"/>
        <v>1033</v>
      </c>
      <c r="B378" s="1">
        <v>10</v>
      </c>
      <c r="C378" s="1">
        <v>33</v>
      </c>
      <c r="D378" s="1">
        <f ca="1">OFFSET(控制台!$C$4617,MATCH(B378,控制台!$B$4617:$B$4629,0)-2,0)*控制台!$C$4610</f>
        <v>70000</v>
      </c>
      <c r="E378" s="1">
        <f ca="1">OFFSET(控制台!$C$4617,MATCH(B378,控制台!$B$4617:$B$4629,0)-1,0)*控制台!$C$4610</f>
        <v>80000</v>
      </c>
      <c r="F378" s="1">
        <f>(_xlfn.FLOOR.MATH((C378-1)/8)+1)/5</f>
        <v>1</v>
      </c>
      <c r="G378" s="4">
        <f ca="1">Lerp_dyy(D378,E378,F378)</f>
        <v>80000</v>
      </c>
      <c r="H378" s="1">
        <f ca="1">OFFSET(控制台!$E$4617,MATCH(B378,控制台!$B$4617:$B$4629,0)-2,0)*控制台!$C$4611</f>
        <v>80</v>
      </c>
      <c r="I378" s="1">
        <f ca="1">OFFSET(控制台!$E$4617,MATCH(B378,控制台!$B$4617:$B$4629,0)-1,0)*控制台!$C$4611</f>
        <v>80</v>
      </c>
      <c r="J378" s="1">
        <f>(_xlfn.FLOOR.MATH((C378-1)/20)+1)/2</f>
        <v>1</v>
      </c>
      <c r="K378" s="4">
        <f ca="1">IF(MOD(C378,4)=0,0,Lerp_dyy(H378,I378,J378))</f>
        <v>80</v>
      </c>
      <c r="L378" s="1">
        <f ca="1">OFFSET(控制台!$G$4617,MATCH(B378,控制台!$B$4617:$B$4629,0)-2,0)*控制台!$C$4612</f>
        <v>18</v>
      </c>
      <c r="M378" s="1">
        <f ca="1">OFFSET(控制台!$G$4617,MATCH(B378,控制台!$B$4617:$B$4629,0)-1,0)*控制台!$C$4612</f>
        <v>18</v>
      </c>
      <c r="N378" s="1">
        <v>1</v>
      </c>
      <c r="O378" s="4">
        <f ca="1">IF(MOD(C378,4)=0,Lerp_dyy(L378,M378,N378),0)</f>
        <v>0</v>
      </c>
    </row>
    <row r="379" spans="1:15">
      <c r="A379" s="1">
        <f t="shared" si="11"/>
        <v>1034</v>
      </c>
      <c r="B379" s="1">
        <v>10</v>
      </c>
      <c r="C379" s="1">
        <v>34</v>
      </c>
      <c r="D379" s="1">
        <f ca="1">OFFSET(控制台!$C$4617,MATCH(B379,控制台!$B$4617:$B$4629,0)-2,0)*控制台!$C$4610</f>
        <v>70000</v>
      </c>
      <c r="E379" s="1">
        <f ca="1">OFFSET(控制台!$C$4617,MATCH(B379,控制台!$B$4617:$B$4629,0)-1,0)*控制台!$C$4610</f>
        <v>80000</v>
      </c>
      <c r="F379" s="1">
        <f>(_xlfn.FLOOR.MATH((C379-1)/8)+1)/5</f>
        <v>1</v>
      </c>
      <c r="G379" s="4">
        <f ca="1">Lerp_dyy(D379,E379,F379)</f>
        <v>80000</v>
      </c>
      <c r="H379" s="1">
        <f ca="1">OFFSET(控制台!$E$4617,MATCH(B379,控制台!$B$4617:$B$4629,0)-2,0)*控制台!$C$4611</f>
        <v>80</v>
      </c>
      <c r="I379" s="1">
        <f ca="1">OFFSET(控制台!$E$4617,MATCH(B379,控制台!$B$4617:$B$4629,0)-1,0)*控制台!$C$4611</f>
        <v>80</v>
      </c>
      <c r="J379" s="1">
        <f>(_xlfn.FLOOR.MATH((C379-1)/20)+1)/2</f>
        <v>1</v>
      </c>
      <c r="K379" s="4">
        <f ca="1">IF(MOD(C379,4)=0,0,Lerp_dyy(H379,I379,J379))</f>
        <v>80</v>
      </c>
      <c r="L379" s="1">
        <f ca="1">OFFSET(控制台!$G$4617,MATCH(B379,控制台!$B$4617:$B$4629,0)-2,0)*控制台!$C$4612</f>
        <v>18</v>
      </c>
      <c r="M379" s="1">
        <f ca="1">OFFSET(控制台!$G$4617,MATCH(B379,控制台!$B$4617:$B$4629,0)-1,0)*控制台!$C$4612</f>
        <v>18</v>
      </c>
      <c r="N379" s="1">
        <v>1</v>
      </c>
      <c r="O379" s="4">
        <f ca="1">IF(MOD(C379,4)=0,Lerp_dyy(L379,M379,N379),0)</f>
        <v>0</v>
      </c>
    </row>
    <row r="380" spans="1:15">
      <c r="A380" s="1">
        <f t="shared" ref="A380:A434" si="12">B380*100+C380</f>
        <v>1035</v>
      </c>
      <c r="B380" s="1">
        <v>10</v>
      </c>
      <c r="C380" s="1">
        <v>35</v>
      </c>
      <c r="D380" s="1">
        <f ca="1">OFFSET(控制台!$C$4617,MATCH(B380,控制台!$B$4617:$B$4629,0)-2,0)*控制台!$C$4610</f>
        <v>70000</v>
      </c>
      <c r="E380" s="1">
        <f ca="1">OFFSET(控制台!$C$4617,MATCH(B380,控制台!$B$4617:$B$4629,0)-1,0)*控制台!$C$4610</f>
        <v>80000</v>
      </c>
      <c r="F380" s="1">
        <f>(_xlfn.FLOOR.MATH((C380-1)/8)+1)/5</f>
        <v>1</v>
      </c>
      <c r="G380" s="4">
        <f ca="1">Lerp_dyy(D380,E380,F380)</f>
        <v>80000</v>
      </c>
      <c r="H380" s="1">
        <f ca="1">OFFSET(控制台!$E$4617,MATCH(B380,控制台!$B$4617:$B$4629,0)-2,0)*控制台!$C$4611</f>
        <v>80</v>
      </c>
      <c r="I380" s="1">
        <f ca="1">OFFSET(控制台!$E$4617,MATCH(B380,控制台!$B$4617:$B$4629,0)-1,0)*控制台!$C$4611</f>
        <v>80</v>
      </c>
      <c r="J380" s="1">
        <f>(_xlfn.FLOOR.MATH((C380-1)/20)+1)/2</f>
        <v>1</v>
      </c>
      <c r="K380" s="4">
        <f ca="1">IF(MOD(C380,4)=0,0,Lerp_dyy(H380,I380,J380))</f>
        <v>80</v>
      </c>
      <c r="L380" s="1">
        <f ca="1">OFFSET(控制台!$G$4617,MATCH(B380,控制台!$B$4617:$B$4629,0)-2,0)*控制台!$C$4612</f>
        <v>18</v>
      </c>
      <c r="M380" s="1">
        <f ca="1">OFFSET(控制台!$G$4617,MATCH(B380,控制台!$B$4617:$B$4629,0)-1,0)*控制台!$C$4612</f>
        <v>18</v>
      </c>
      <c r="N380" s="1">
        <v>1</v>
      </c>
      <c r="O380" s="4">
        <f ca="1">IF(MOD(C380,4)=0,Lerp_dyy(L380,M380,N380),0)</f>
        <v>0</v>
      </c>
    </row>
    <row r="381" spans="1:15">
      <c r="A381" s="1">
        <f t="shared" si="12"/>
        <v>1036</v>
      </c>
      <c r="B381" s="1">
        <v>10</v>
      </c>
      <c r="C381" s="1">
        <v>36</v>
      </c>
      <c r="D381" s="1">
        <f ca="1">OFFSET(控制台!$C$4617,MATCH(B381,控制台!$B$4617:$B$4629,0)-2,0)*控制台!$C$4610</f>
        <v>70000</v>
      </c>
      <c r="E381" s="1">
        <f ca="1">OFFSET(控制台!$C$4617,MATCH(B381,控制台!$B$4617:$B$4629,0)-1,0)*控制台!$C$4610</f>
        <v>80000</v>
      </c>
      <c r="F381" s="1">
        <f>(_xlfn.FLOOR.MATH((C381-1)/8)+1)/5</f>
        <v>1</v>
      </c>
      <c r="G381" s="4">
        <f ca="1">Lerp_dyy(D381,E381,F381)</f>
        <v>80000</v>
      </c>
      <c r="H381" s="1">
        <f ca="1">OFFSET(控制台!$E$4617,MATCH(B381,控制台!$B$4617:$B$4629,0)-2,0)*控制台!$C$4611</f>
        <v>80</v>
      </c>
      <c r="I381" s="1">
        <f ca="1">OFFSET(控制台!$E$4617,MATCH(B381,控制台!$B$4617:$B$4629,0)-1,0)*控制台!$C$4611</f>
        <v>80</v>
      </c>
      <c r="J381" s="1">
        <f>(_xlfn.FLOOR.MATH((C381-1)/20)+1)/2</f>
        <v>1</v>
      </c>
      <c r="K381" s="4">
        <f ca="1">IF(MOD(C381,4)=0,0,Lerp_dyy(H381,I381,J381))</f>
        <v>0</v>
      </c>
      <c r="L381" s="1">
        <f ca="1">OFFSET(控制台!$G$4617,MATCH(B381,控制台!$B$4617:$B$4629,0)-2,0)*控制台!$C$4612</f>
        <v>18</v>
      </c>
      <c r="M381" s="1">
        <f ca="1">OFFSET(控制台!$G$4617,MATCH(B381,控制台!$B$4617:$B$4629,0)-1,0)*控制台!$C$4612</f>
        <v>18</v>
      </c>
      <c r="N381" s="1">
        <v>1</v>
      </c>
      <c r="O381" s="4">
        <f ca="1">IF(MOD(C381,4)=0,Lerp_dyy(L381,M381,N381),0)</f>
        <v>18</v>
      </c>
    </row>
    <row r="382" spans="1:15">
      <c r="A382" s="1">
        <f t="shared" si="12"/>
        <v>1037</v>
      </c>
      <c r="B382" s="1">
        <v>10</v>
      </c>
      <c r="C382" s="1">
        <v>37</v>
      </c>
      <c r="D382" s="1">
        <f ca="1">OFFSET(控制台!$C$4617,MATCH(B382,控制台!$B$4617:$B$4629,0)-2,0)*控制台!$C$4610</f>
        <v>70000</v>
      </c>
      <c r="E382" s="1">
        <f ca="1">OFFSET(控制台!$C$4617,MATCH(B382,控制台!$B$4617:$B$4629,0)-1,0)*控制台!$C$4610</f>
        <v>80000</v>
      </c>
      <c r="F382" s="1">
        <f>(_xlfn.FLOOR.MATH((C382-1)/8)+1)/5</f>
        <v>1</v>
      </c>
      <c r="G382" s="4">
        <f ca="1">Lerp_dyy(D382,E382,F382)</f>
        <v>80000</v>
      </c>
      <c r="H382" s="1">
        <f ca="1">OFFSET(控制台!$E$4617,MATCH(B382,控制台!$B$4617:$B$4629,0)-2,0)*控制台!$C$4611</f>
        <v>80</v>
      </c>
      <c r="I382" s="1">
        <f ca="1">OFFSET(控制台!$E$4617,MATCH(B382,控制台!$B$4617:$B$4629,0)-1,0)*控制台!$C$4611</f>
        <v>80</v>
      </c>
      <c r="J382" s="1">
        <f>(_xlfn.FLOOR.MATH((C382-1)/20)+1)/2</f>
        <v>1</v>
      </c>
      <c r="K382" s="4">
        <f ca="1">IF(MOD(C382,4)=0,0,Lerp_dyy(H382,I382,J382))</f>
        <v>80</v>
      </c>
      <c r="L382" s="1">
        <f ca="1">OFFSET(控制台!$G$4617,MATCH(B382,控制台!$B$4617:$B$4629,0)-2,0)*控制台!$C$4612</f>
        <v>18</v>
      </c>
      <c r="M382" s="1">
        <f ca="1">OFFSET(控制台!$G$4617,MATCH(B382,控制台!$B$4617:$B$4629,0)-1,0)*控制台!$C$4612</f>
        <v>18</v>
      </c>
      <c r="N382" s="1">
        <v>1</v>
      </c>
      <c r="O382" s="4">
        <f ca="1">IF(MOD(C382,4)=0,Lerp_dyy(L382,M382,N382),0)</f>
        <v>0</v>
      </c>
    </row>
    <row r="383" spans="1:15">
      <c r="A383" s="1">
        <f t="shared" si="12"/>
        <v>1038</v>
      </c>
      <c r="B383" s="1">
        <v>10</v>
      </c>
      <c r="C383" s="1">
        <v>38</v>
      </c>
      <c r="D383" s="1">
        <f ca="1">OFFSET(控制台!$C$4617,MATCH(B383,控制台!$B$4617:$B$4629,0)-2,0)*控制台!$C$4610</f>
        <v>70000</v>
      </c>
      <c r="E383" s="1">
        <f ca="1">OFFSET(控制台!$C$4617,MATCH(B383,控制台!$B$4617:$B$4629,0)-1,0)*控制台!$C$4610</f>
        <v>80000</v>
      </c>
      <c r="F383" s="1">
        <f>(_xlfn.FLOOR.MATH((C383-1)/8)+1)/5</f>
        <v>1</v>
      </c>
      <c r="G383" s="4">
        <f ca="1">Lerp_dyy(D383,E383,F383)</f>
        <v>80000</v>
      </c>
      <c r="H383" s="1">
        <f ca="1">OFFSET(控制台!$E$4617,MATCH(B383,控制台!$B$4617:$B$4629,0)-2,0)*控制台!$C$4611</f>
        <v>80</v>
      </c>
      <c r="I383" s="1">
        <f ca="1">OFFSET(控制台!$E$4617,MATCH(B383,控制台!$B$4617:$B$4629,0)-1,0)*控制台!$C$4611</f>
        <v>80</v>
      </c>
      <c r="J383" s="1">
        <f>(_xlfn.FLOOR.MATH((C383-1)/20)+1)/2</f>
        <v>1</v>
      </c>
      <c r="K383" s="4">
        <f ca="1">IF(MOD(C383,4)=0,0,Lerp_dyy(H383,I383,J383))</f>
        <v>80</v>
      </c>
      <c r="L383" s="1">
        <f ca="1">OFFSET(控制台!$G$4617,MATCH(B383,控制台!$B$4617:$B$4629,0)-2,0)*控制台!$C$4612</f>
        <v>18</v>
      </c>
      <c r="M383" s="1">
        <f ca="1">OFFSET(控制台!$G$4617,MATCH(B383,控制台!$B$4617:$B$4629,0)-1,0)*控制台!$C$4612</f>
        <v>18</v>
      </c>
      <c r="N383" s="1">
        <v>1</v>
      </c>
      <c r="O383" s="4">
        <f ca="1">IF(MOD(C383,4)=0,Lerp_dyy(L383,M383,N383),0)</f>
        <v>0</v>
      </c>
    </row>
    <row r="384" spans="1:15">
      <c r="A384" s="1">
        <f t="shared" si="12"/>
        <v>1039</v>
      </c>
      <c r="B384" s="1">
        <v>10</v>
      </c>
      <c r="C384" s="1">
        <v>39</v>
      </c>
      <c r="D384" s="1">
        <f ca="1">OFFSET(控制台!$C$4617,MATCH(B384,控制台!$B$4617:$B$4629,0)-2,0)*控制台!$C$4610</f>
        <v>70000</v>
      </c>
      <c r="E384" s="1">
        <f ca="1">OFFSET(控制台!$C$4617,MATCH(B384,控制台!$B$4617:$B$4629,0)-1,0)*控制台!$C$4610</f>
        <v>80000</v>
      </c>
      <c r="F384" s="1">
        <f>(_xlfn.FLOOR.MATH((C384-1)/8)+1)/5</f>
        <v>1</v>
      </c>
      <c r="G384" s="4">
        <f ca="1">Lerp_dyy(D384,E384,F384)</f>
        <v>80000</v>
      </c>
      <c r="H384" s="1">
        <f ca="1">OFFSET(控制台!$E$4617,MATCH(B384,控制台!$B$4617:$B$4629,0)-2,0)*控制台!$C$4611</f>
        <v>80</v>
      </c>
      <c r="I384" s="1">
        <f ca="1">OFFSET(控制台!$E$4617,MATCH(B384,控制台!$B$4617:$B$4629,0)-1,0)*控制台!$C$4611</f>
        <v>80</v>
      </c>
      <c r="J384" s="1">
        <f>(_xlfn.FLOOR.MATH((C384-1)/20)+1)/2</f>
        <v>1</v>
      </c>
      <c r="K384" s="4">
        <f ca="1">IF(MOD(C384,4)=0,0,Lerp_dyy(H384,I384,J384))</f>
        <v>80</v>
      </c>
      <c r="L384" s="1">
        <f ca="1">OFFSET(控制台!$G$4617,MATCH(B384,控制台!$B$4617:$B$4629,0)-2,0)*控制台!$C$4612</f>
        <v>18</v>
      </c>
      <c r="M384" s="1">
        <f ca="1">OFFSET(控制台!$G$4617,MATCH(B384,控制台!$B$4617:$B$4629,0)-1,0)*控制台!$C$4612</f>
        <v>18</v>
      </c>
      <c r="N384" s="1">
        <v>1</v>
      </c>
      <c r="O384" s="4">
        <f ca="1">IF(MOD(C384,4)=0,Lerp_dyy(L384,M384,N384),0)</f>
        <v>0</v>
      </c>
    </row>
    <row r="385" spans="1:15">
      <c r="A385" s="1">
        <f t="shared" si="12"/>
        <v>1040</v>
      </c>
      <c r="B385" s="1">
        <v>10</v>
      </c>
      <c r="C385" s="1">
        <v>40</v>
      </c>
      <c r="D385" s="1">
        <f ca="1">OFFSET(控制台!$C$4617,MATCH(B385,控制台!$B$4617:$B$4629,0)-2,0)*控制台!$C$4610</f>
        <v>70000</v>
      </c>
      <c r="E385" s="1">
        <f ca="1">OFFSET(控制台!$C$4617,MATCH(B385,控制台!$B$4617:$B$4629,0)-1,0)*控制台!$C$4610</f>
        <v>80000</v>
      </c>
      <c r="F385" s="1">
        <f>(_xlfn.FLOOR.MATH((C385-1)/8)+1)/5</f>
        <v>1</v>
      </c>
      <c r="G385" s="4">
        <f ca="1">Lerp_dyy(D385,E385,F385)</f>
        <v>80000</v>
      </c>
      <c r="H385" s="1">
        <f ca="1">OFFSET(控制台!$E$4617,MATCH(B385,控制台!$B$4617:$B$4629,0)-2,0)*控制台!$C$4611</f>
        <v>80</v>
      </c>
      <c r="I385" s="1">
        <f ca="1">OFFSET(控制台!$E$4617,MATCH(B385,控制台!$B$4617:$B$4629,0)-1,0)*控制台!$C$4611</f>
        <v>80</v>
      </c>
      <c r="J385" s="1">
        <f>(_xlfn.FLOOR.MATH((C385-1)/20)+1)/2</f>
        <v>1</v>
      </c>
      <c r="K385" s="4">
        <f ca="1">IF(MOD(C385,4)=0,0,Lerp_dyy(H385,I385,J385))</f>
        <v>0</v>
      </c>
      <c r="L385" s="1">
        <f ca="1">OFFSET(控制台!$G$4617,MATCH(B385,控制台!$B$4617:$B$4629,0)-2,0)*控制台!$C$4612</f>
        <v>18</v>
      </c>
      <c r="M385" s="1">
        <f ca="1">OFFSET(控制台!$G$4617,MATCH(B385,控制台!$B$4617:$B$4629,0)-1,0)*控制台!$C$4612</f>
        <v>18</v>
      </c>
      <c r="N385" s="1">
        <v>1</v>
      </c>
      <c r="O385" s="4">
        <f ca="1">IF(MOD(C385,4)=0,Lerp_dyy(L385,M385,N385),0)</f>
        <v>18</v>
      </c>
    </row>
    <row r="386" spans="1:15">
      <c r="A386" s="1">
        <f t="shared" si="12"/>
        <v>1101</v>
      </c>
      <c r="B386" s="1">
        <v>11</v>
      </c>
      <c r="C386" s="1">
        <v>1</v>
      </c>
      <c r="D386" s="1">
        <f ca="1">OFFSET(控制台!$C$4617,MATCH(B386,控制台!$B$4617:$B$4629,0)-2,0)*控制台!$C$4610</f>
        <v>80000</v>
      </c>
      <c r="E386" s="1">
        <f ca="1">OFFSET(控制台!$C$4617,MATCH(B386,控制台!$B$4617:$B$4629,0)-1,0)*控制台!$C$4610</f>
        <v>90000</v>
      </c>
      <c r="F386" s="1">
        <f>(_xlfn.FLOOR.MATH((C386-1)/8)+1)/5</f>
        <v>0.2</v>
      </c>
      <c r="G386" s="4">
        <f ca="1">Lerp_dyy(D386,E386,F386)</f>
        <v>82000</v>
      </c>
      <c r="H386" s="1">
        <f ca="1">OFFSET(控制台!$E$4617,MATCH(B386,控制台!$B$4617:$B$4629,0)-2,0)*控制台!$C$4611</f>
        <v>80</v>
      </c>
      <c r="I386" s="1">
        <f ca="1">OFFSET(控制台!$E$4617,MATCH(B386,控制台!$B$4617:$B$4629,0)-1,0)*控制台!$C$4611</f>
        <v>100</v>
      </c>
      <c r="J386" s="1">
        <f>(_xlfn.FLOOR.MATH((C386-1)/20)+1)/2</f>
        <v>0.5</v>
      </c>
      <c r="K386" s="4">
        <f ca="1">IF(MOD(C386,4)=0,0,Lerp_dyy(H386,I386,J386))</f>
        <v>90</v>
      </c>
      <c r="L386" s="1">
        <f ca="1">OFFSET(控制台!$G$4617,MATCH(B386,控制台!$B$4617:$B$4629,0)-2,0)*控制台!$C$4612</f>
        <v>18</v>
      </c>
      <c r="M386" s="1">
        <f ca="1">OFFSET(控制台!$G$4617,MATCH(B386,控制台!$B$4617:$B$4629,0)-1,0)*控制台!$C$4612</f>
        <v>20</v>
      </c>
      <c r="N386" s="1">
        <v>1</v>
      </c>
      <c r="O386" s="4">
        <f ca="1">IF(MOD(C386,4)=0,Lerp_dyy(L386,M386,N386),0)</f>
        <v>0</v>
      </c>
    </row>
    <row r="387" spans="1:15">
      <c r="A387" s="1">
        <f t="shared" si="12"/>
        <v>1102</v>
      </c>
      <c r="B387" s="1">
        <v>11</v>
      </c>
      <c r="C387" s="1">
        <v>2</v>
      </c>
      <c r="D387" s="1">
        <f ca="1">OFFSET(控制台!$C$4617,MATCH(B387,控制台!$B$4617:$B$4629,0)-2,0)*控制台!$C$4610</f>
        <v>80000</v>
      </c>
      <c r="E387" s="1">
        <f ca="1">OFFSET(控制台!$C$4617,MATCH(B387,控制台!$B$4617:$B$4629,0)-1,0)*控制台!$C$4610</f>
        <v>90000</v>
      </c>
      <c r="F387" s="1">
        <f>(_xlfn.FLOOR.MATH((C387-1)/8)+1)/5</f>
        <v>0.2</v>
      </c>
      <c r="G387" s="4">
        <f ca="1">Lerp_dyy(D387,E387,F387)</f>
        <v>82000</v>
      </c>
      <c r="H387" s="1">
        <f ca="1">OFFSET(控制台!$E$4617,MATCH(B387,控制台!$B$4617:$B$4629,0)-2,0)*控制台!$C$4611</f>
        <v>80</v>
      </c>
      <c r="I387" s="1">
        <f ca="1">OFFSET(控制台!$E$4617,MATCH(B387,控制台!$B$4617:$B$4629,0)-1,0)*控制台!$C$4611</f>
        <v>100</v>
      </c>
      <c r="J387" s="1">
        <f>(_xlfn.FLOOR.MATH((C387-1)/20)+1)/2</f>
        <v>0.5</v>
      </c>
      <c r="K387" s="4">
        <f ca="1">IF(MOD(C387,4)=0,0,Lerp_dyy(H387,I387,J387))</f>
        <v>90</v>
      </c>
      <c r="L387" s="1">
        <f ca="1">OFFSET(控制台!$G$4617,MATCH(B387,控制台!$B$4617:$B$4629,0)-2,0)*控制台!$C$4612</f>
        <v>18</v>
      </c>
      <c r="M387" s="1">
        <f ca="1">OFFSET(控制台!$G$4617,MATCH(B387,控制台!$B$4617:$B$4629,0)-1,0)*控制台!$C$4612</f>
        <v>20</v>
      </c>
      <c r="N387" s="1">
        <v>1</v>
      </c>
      <c r="O387" s="4">
        <f ca="1">IF(MOD(C387,4)=0,Lerp_dyy(L387,M387,N387),0)</f>
        <v>0</v>
      </c>
    </row>
    <row r="388" spans="1:15">
      <c r="A388" s="1">
        <f t="shared" si="12"/>
        <v>1103</v>
      </c>
      <c r="B388" s="1">
        <v>11</v>
      </c>
      <c r="C388" s="1">
        <v>3</v>
      </c>
      <c r="D388" s="1">
        <f ca="1">OFFSET(控制台!$C$4617,MATCH(B388,控制台!$B$4617:$B$4629,0)-2,0)*控制台!$C$4610</f>
        <v>80000</v>
      </c>
      <c r="E388" s="1">
        <f ca="1">OFFSET(控制台!$C$4617,MATCH(B388,控制台!$B$4617:$B$4629,0)-1,0)*控制台!$C$4610</f>
        <v>90000</v>
      </c>
      <c r="F388" s="1">
        <f>(_xlfn.FLOOR.MATH((C388-1)/8)+1)/5</f>
        <v>0.2</v>
      </c>
      <c r="G388" s="4">
        <f ca="1">Lerp_dyy(D388,E388,F388)</f>
        <v>82000</v>
      </c>
      <c r="H388" s="1">
        <f ca="1">OFFSET(控制台!$E$4617,MATCH(B388,控制台!$B$4617:$B$4629,0)-2,0)*控制台!$C$4611</f>
        <v>80</v>
      </c>
      <c r="I388" s="1">
        <f ca="1">OFFSET(控制台!$E$4617,MATCH(B388,控制台!$B$4617:$B$4629,0)-1,0)*控制台!$C$4611</f>
        <v>100</v>
      </c>
      <c r="J388" s="1">
        <f>(_xlfn.FLOOR.MATH((C388-1)/20)+1)/2</f>
        <v>0.5</v>
      </c>
      <c r="K388" s="4">
        <f ca="1">IF(MOD(C388,4)=0,0,Lerp_dyy(H388,I388,J388))</f>
        <v>90</v>
      </c>
      <c r="L388" s="1">
        <f ca="1">OFFSET(控制台!$G$4617,MATCH(B388,控制台!$B$4617:$B$4629,0)-2,0)*控制台!$C$4612</f>
        <v>18</v>
      </c>
      <c r="M388" s="1">
        <f ca="1">OFFSET(控制台!$G$4617,MATCH(B388,控制台!$B$4617:$B$4629,0)-1,0)*控制台!$C$4612</f>
        <v>20</v>
      </c>
      <c r="N388" s="1">
        <v>1</v>
      </c>
      <c r="O388" s="4">
        <f ca="1">IF(MOD(C388,4)=0,Lerp_dyy(L388,M388,N388),0)</f>
        <v>0</v>
      </c>
    </row>
    <row r="389" spans="1:15">
      <c r="A389" s="1">
        <f t="shared" si="12"/>
        <v>1104</v>
      </c>
      <c r="B389" s="1">
        <v>11</v>
      </c>
      <c r="C389" s="1">
        <v>4</v>
      </c>
      <c r="D389" s="1">
        <f ca="1">OFFSET(控制台!$C$4617,MATCH(B389,控制台!$B$4617:$B$4629,0)-2,0)*控制台!$C$4610</f>
        <v>80000</v>
      </c>
      <c r="E389" s="1">
        <f ca="1">OFFSET(控制台!$C$4617,MATCH(B389,控制台!$B$4617:$B$4629,0)-1,0)*控制台!$C$4610</f>
        <v>90000</v>
      </c>
      <c r="F389" s="1">
        <f>(_xlfn.FLOOR.MATH((C389-1)/8)+1)/5</f>
        <v>0.2</v>
      </c>
      <c r="G389" s="4">
        <f ca="1">Lerp_dyy(D389,E389,F389)</f>
        <v>82000</v>
      </c>
      <c r="H389" s="1">
        <f ca="1">OFFSET(控制台!$E$4617,MATCH(B389,控制台!$B$4617:$B$4629,0)-2,0)*控制台!$C$4611</f>
        <v>80</v>
      </c>
      <c r="I389" s="1">
        <f ca="1">OFFSET(控制台!$E$4617,MATCH(B389,控制台!$B$4617:$B$4629,0)-1,0)*控制台!$C$4611</f>
        <v>100</v>
      </c>
      <c r="J389" s="1">
        <f>(_xlfn.FLOOR.MATH((C389-1)/20)+1)/2</f>
        <v>0.5</v>
      </c>
      <c r="K389" s="4">
        <f ca="1">IF(MOD(C389,4)=0,0,Lerp_dyy(H389,I389,J389))</f>
        <v>0</v>
      </c>
      <c r="L389" s="1">
        <f ca="1">OFFSET(控制台!$G$4617,MATCH(B389,控制台!$B$4617:$B$4629,0)-2,0)*控制台!$C$4612</f>
        <v>18</v>
      </c>
      <c r="M389" s="1">
        <f ca="1">OFFSET(控制台!$G$4617,MATCH(B389,控制台!$B$4617:$B$4629,0)-1,0)*控制台!$C$4612</f>
        <v>20</v>
      </c>
      <c r="N389" s="1">
        <v>1</v>
      </c>
      <c r="O389" s="4">
        <f ca="1">IF(MOD(C389,4)=0,Lerp_dyy(L389,M389,N389),0)</f>
        <v>20</v>
      </c>
    </row>
    <row r="390" spans="1:15">
      <c r="A390" s="1">
        <f t="shared" si="12"/>
        <v>1105</v>
      </c>
      <c r="B390" s="1">
        <v>11</v>
      </c>
      <c r="C390" s="1">
        <v>5</v>
      </c>
      <c r="D390" s="1">
        <f ca="1">OFFSET(控制台!$C$4617,MATCH(B390,控制台!$B$4617:$B$4629,0)-2,0)*控制台!$C$4610</f>
        <v>80000</v>
      </c>
      <c r="E390" s="1">
        <f ca="1">OFFSET(控制台!$C$4617,MATCH(B390,控制台!$B$4617:$B$4629,0)-1,0)*控制台!$C$4610</f>
        <v>90000</v>
      </c>
      <c r="F390" s="1">
        <f>(_xlfn.FLOOR.MATH((C390-1)/8)+1)/5</f>
        <v>0.2</v>
      </c>
      <c r="G390" s="4">
        <f ca="1">Lerp_dyy(D390,E390,F390)</f>
        <v>82000</v>
      </c>
      <c r="H390" s="1">
        <f ca="1">OFFSET(控制台!$E$4617,MATCH(B390,控制台!$B$4617:$B$4629,0)-2,0)*控制台!$C$4611</f>
        <v>80</v>
      </c>
      <c r="I390" s="1">
        <f ca="1">OFFSET(控制台!$E$4617,MATCH(B390,控制台!$B$4617:$B$4629,0)-1,0)*控制台!$C$4611</f>
        <v>100</v>
      </c>
      <c r="J390" s="1">
        <f>(_xlfn.FLOOR.MATH((C390-1)/20)+1)/2</f>
        <v>0.5</v>
      </c>
      <c r="K390" s="4">
        <f ca="1">IF(MOD(C390,4)=0,0,Lerp_dyy(H390,I390,J390))</f>
        <v>90</v>
      </c>
      <c r="L390" s="1">
        <f ca="1">OFFSET(控制台!$G$4617,MATCH(B390,控制台!$B$4617:$B$4629,0)-2,0)*控制台!$C$4612</f>
        <v>18</v>
      </c>
      <c r="M390" s="1">
        <f ca="1">OFFSET(控制台!$G$4617,MATCH(B390,控制台!$B$4617:$B$4629,0)-1,0)*控制台!$C$4612</f>
        <v>20</v>
      </c>
      <c r="N390" s="1">
        <v>1</v>
      </c>
      <c r="O390" s="4">
        <f ca="1">IF(MOD(C390,4)=0,Lerp_dyy(L390,M390,N390),0)</f>
        <v>0</v>
      </c>
    </row>
    <row r="391" spans="1:15">
      <c r="A391" s="1">
        <f t="shared" si="12"/>
        <v>1106</v>
      </c>
      <c r="B391" s="1">
        <v>11</v>
      </c>
      <c r="C391" s="1">
        <v>6</v>
      </c>
      <c r="D391" s="1">
        <f ca="1">OFFSET(控制台!$C$4617,MATCH(B391,控制台!$B$4617:$B$4629,0)-2,0)*控制台!$C$4610</f>
        <v>80000</v>
      </c>
      <c r="E391" s="1">
        <f ca="1">OFFSET(控制台!$C$4617,MATCH(B391,控制台!$B$4617:$B$4629,0)-1,0)*控制台!$C$4610</f>
        <v>90000</v>
      </c>
      <c r="F391" s="1">
        <f>(_xlfn.FLOOR.MATH((C391-1)/8)+1)/5</f>
        <v>0.2</v>
      </c>
      <c r="G391" s="4">
        <f ca="1">Lerp_dyy(D391,E391,F391)</f>
        <v>82000</v>
      </c>
      <c r="H391" s="1">
        <f ca="1">OFFSET(控制台!$E$4617,MATCH(B391,控制台!$B$4617:$B$4629,0)-2,0)*控制台!$C$4611</f>
        <v>80</v>
      </c>
      <c r="I391" s="1">
        <f ca="1">OFFSET(控制台!$E$4617,MATCH(B391,控制台!$B$4617:$B$4629,0)-1,0)*控制台!$C$4611</f>
        <v>100</v>
      </c>
      <c r="J391" s="1">
        <f>(_xlfn.FLOOR.MATH((C391-1)/20)+1)/2</f>
        <v>0.5</v>
      </c>
      <c r="K391" s="4">
        <f ca="1">IF(MOD(C391,4)=0,0,Lerp_dyy(H391,I391,J391))</f>
        <v>90</v>
      </c>
      <c r="L391" s="1">
        <f ca="1">OFFSET(控制台!$G$4617,MATCH(B391,控制台!$B$4617:$B$4629,0)-2,0)*控制台!$C$4612</f>
        <v>18</v>
      </c>
      <c r="M391" s="1">
        <f ca="1">OFFSET(控制台!$G$4617,MATCH(B391,控制台!$B$4617:$B$4629,0)-1,0)*控制台!$C$4612</f>
        <v>20</v>
      </c>
      <c r="N391" s="1">
        <v>1</v>
      </c>
      <c r="O391" s="4">
        <f ca="1">IF(MOD(C391,4)=0,Lerp_dyy(L391,M391,N391),0)</f>
        <v>0</v>
      </c>
    </row>
    <row r="392" spans="1:15">
      <c r="A392" s="1">
        <f t="shared" si="12"/>
        <v>1107</v>
      </c>
      <c r="B392" s="1">
        <v>11</v>
      </c>
      <c r="C392" s="1">
        <v>7</v>
      </c>
      <c r="D392" s="1">
        <f ca="1">OFFSET(控制台!$C$4617,MATCH(B392,控制台!$B$4617:$B$4629,0)-2,0)*控制台!$C$4610</f>
        <v>80000</v>
      </c>
      <c r="E392" s="1">
        <f ca="1">OFFSET(控制台!$C$4617,MATCH(B392,控制台!$B$4617:$B$4629,0)-1,0)*控制台!$C$4610</f>
        <v>90000</v>
      </c>
      <c r="F392" s="1">
        <f>(_xlfn.FLOOR.MATH((C392-1)/8)+1)/5</f>
        <v>0.2</v>
      </c>
      <c r="G392" s="4">
        <f ca="1">Lerp_dyy(D392,E392,F392)</f>
        <v>82000</v>
      </c>
      <c r="H392" s="1">
        <f ca="1">OFFSET(控制台!$E$4617,MATCH(B392,控制台!$B$4617:$B$4629,0)-2,0)*控制台!$C$4611</f>
        <v>80</v>
      </c>
      <c r="I392" s="1">
        <f ca="1">OFFSET(控制台!$E$4617,MATCH(B392,控制台!$B$4617:$B$4629,0)-1,0)*控制台!$C$4611</f>
        <v>100</v>
      </c>
      <c r="J392" s="1">
        <f>(_xlfn.FLOOR.MATH((C392-1)/20)+1)/2</f>
        <v>0.5</v>
      </c>
      <c r="K392" s="4">
        <f ca="1">IF(MOD(C392,4)=0,0,Lerp_dyy(H392,I392,J392))</f>
        <v>90</v>
      </c>
      <c r="L392" s="1">
        <f ca="1">OFFSET(控制台!$G$4617,MATCH(B392,控制台!$B$4617:$B$4629,0)-2,0)*控制台!$C$4612</f>
        <v>18</v>
      </c>
      <c r="M392" s="1">
        <f ca="1">OFFSET(控制台!$G$4617,MATCH(B392,控制台!$B$4617:$B$4629,0)-1,0)*控制台!$C$4612</f>
        <v>20</v>
      </c>
      <c r="N392" s="1">
        <v>1</v>
      </c>
      <c r="O392" s="4">
        <f ca="1">IF(MOD(C392,4)=0,Lerp_dyy(L392,M392,N392),0)</f>
        <v>0</v>
      </c>
    </row>
    <row r="393" spans="1:15">
      <c r="A393" s="1">
        <f t="shared" si="12"/>
        <v>1108</v>
      </c>
      <c r="B393" s="1">
        <v>11</v>
      </c>
      <c r="C393" s="1">
        <v>8</v>
      </c>
      <c r="D393" s="1">
        <f ca="1">OFFSET(控制台!$C$4617,MATCH(B393,控制台!$B$4617:$B$4629,0)-2,0)*控制台!$C$4610</f>
        <v>80000</v>
      </c>
      <c r="E393" s="1">
        <f ca="1">OFFSET(控制台!$C$4617,MATCH(B393,控制台!$B$4617:$B$4629,0)-1,0)*控制台!$C$4610</f>
        <v>90000</v>
      </c>
      <c r="F393" s="1">
        <f>(_xlfn.FLOOR.MATH((C393-1)/8)+1)/5</f>
        <v>0.2</v>
      </c>
      <c r="G393" s="4">
        <f ca="1">Lerp_dyy(D393,E393,F393)</f>
        <v>82000</v>
      </c>
      <c r="H393" s="1">
        <f ca="1">OFFSET(控制台!$E$4617,MATCH(B393,控制台!$B$4617:$B$4629,0)-2,0)*控制台!$C$4611</f>
        <v>80</v>
      </c>
      <c r="I393" s="1">
        <f ca="1">OFFSET(控制台!$E$4617,MATCH(B393,控制台!$B$4617:$B$4629,0)-1,0)*控制台!$C$4611</f>
        <v>100</v>
      </c>
      <c r="J393" s="1">
        <f>(_xlfn.FLOOR.MATH((C393-1)/20)+1)/2</f>
        <v>0.5</v>
      </c>
      <c r="K393" s="4">
        <f ca="1">IF(MOD(C393,4)=0,0,Lerp_dyy(H393,I393,J393))</f>
        <v>0</v>
      </c>
      <c r="L393" s="1">
        <f ca="1">OFFSET(控制台!$G$4617,MATCH(B393,控制台!$B$4617:$B$4629,0)-2,0)*控制台!$C$4612</f>
        <v>18</v>
      </c>
      <c r="M393" s="1">
        <f ca="1">OFFSET(控制台!$G$4617,MATCH(B393,控制台!$B$4617:$B$4629,0)-1,0)*控制台!$C$4612</f>
        <v>20</v>
      </c>
      <c r="N393" s="1">
        <v>1</v>
      </c>
      <c r="O393" s="4">
        <f ca="1">IF(MOD(C393,4)=0,Lerp_dyy(L393,M393,N393),0)</f>
        <v>20</v>
      </c>
    </row>
    <row r="394" spans="1:15">
      <c r="A394" s="1">
        <f t="shared" si="12"/>
        <v>1109</v>
      </c>
      <c r="B394" s="1">
        <v>11</v>
      </c>
      <c r="C394" s="1">
        <v>9</v>
      </c>
      <c r="D394" s="1">
        <f ca="1">OFFSET(控制台!$C$4617,MATCH(B394,控制台!$B$4617:$B$4629,0)-2,0)*控制台!$C$4610</f>
        <v>80000</v>
      </c>
      <c r="E394" s="1">
        <f ca="1">OFFSET(控制台!$C$4617,MATCH(B394,控制台!$B$4617:$B$4629,0)-1,0)*控制台!$C$4610</f>
        <v>90000</v>
      </c>
      <c r="F394" s="1">
        <f>(_xlfn.FLOOR.MATH((C394-1)/8)+1)/5</f>
        <v>0.4</v>
      </c>
      <c r="G394" s="4">
        <f ca="1">Lerp_dyy(D394,E394,F394)</f>
        <v>84000</v>
      </c>
      <c r="H394" s="1">
        <f ca="1">OFFSET(控制台!$E$4617,MATCH(B394,控制台!$B$4617:$B$4629,0)-2,0)*控制台!$C$4611</f>
        <v>80</v>
      </c>
      <c r="I394" s="1">
        <f ca="1">OFFSET(控制台!$E$4617,MATCH(B394,控制台!$B$4617:$B$4629,0)-1,0)*控制台!$C$4611</f>
        <v>100</v>
      </c>
      <c r="J394" s="1">
        <f>(_xlfn.FLOOR.MATH((C394-1)/20)+1)/2</f>
        <v>0.5</v>
      </c>
      <c r="K394" s="4">
        <f ca="1">IF(MOD(C394,4)=0,0,Lerp_dyy(H394,I394,J394))</f>
        <v>90</v>
      </c>
      <c r="L394" s="1">
        <f ca="1">OFFSET(控制台!$G$4617,MATCH(B394,控制台!$B$4617:$B$4629,0)-2,0)*控制台!$C$4612</f>
        <v>18</v>
      </c>
      <c r="M394" s="1">
        <f ca="1">OFFSET(控制台!$G$4617,MATCH(B394,控制台!$B$4617:$B$4629,0)-1,0)*控制台!$C$4612</f>
        <v>20</v>
      </c>
      <c r="N394" s="1">
        <v>1</v>
      </c>
      <c r="O394" s="4">
        <f ca="1">IF(MOD(C394,4)=0,Lerp_dyy(L394,M394,N394),0)</f>
        <v>0</v>
      </c>
    </row>
    <row r="395" spans="1:15">
      <c r="A395" s="1">
        <f t="shared" si="12"/>
        <v>1110</v>
      </c>
      <c r="B395" s="1">
        <v>11</v>
      </c>
      <c r="C395" s="1">
        <v>10</v>
      </c>
      <c r="D395" s="1">
        <f ca="1">OFFSET(控制台!$C$4617,MATCH(B395,控制台!$B$4617:$B$4629,0)-2,0)*控制台!$C$4610</f>
        <v>80000</v>
      </c>
      <c r="E395" s="1">
        <f ca="1">OFFSET(控制台!$C$4617,MATCH(B395,控制台!$B$4617:$B$4629,0)-1,0)*控制台!$C$4610</f>
        <v>90000</v>
      </c>
      <c r="F395" s="1">
        <f>(_xlfn.FLOOR.MATH((C395-1)/8)+1)/5</f>
        <v>0.4</v>
      </c>
      <c r="G395" s="4">
        <f ca="1">Lerp_dyy(D395,E395,F395)</f>
        <v>84000</v>
      </c>
      <c r="H395" s="1">
        <f ca="1">OFFSET(控制台!$E$4617,MATCH(B395,控制台!$B$4617:$B$4629,0)-2,0)*控制台!$C$4611</f>
        <v>80</v>
      </c>
      <c r="I395" s="1">
        <f ca="1">OFFSET(控制台!$E$4617,MATCH(B395,控制台!$B$4617:$B$4629,0)-1,0)*控制台!$C$4611</f>
        <v>100</v>
      </c>
      <c r="J395" s="1">
        <f>(_xlfn.FLOOR.MATH((C395-1)/20)+1)/2</f>
        <v>0.5</v>
      </c>
      <c r="K395" s="4">
        <f ca="1">IF(MOD(C395,4)=0,0,Lerp_dyy(H395,I395,J395))</f>
        <v>90</v>
      </c>
      <c r="L395" s="1">
        <f ca="1">OFFSET(控制台!$G$4617,MATCH(B395,控制台!$B$4617:$B$4629,0)-2,0)*控制台!$C$4612</f>
        <v>18</v>
      </c>
      <c r="M395" s="1">
        <f ca="1">OFFSET(控制台!$G$4617,MATCH(B395,控制台!$B$4617:$B$4629,0)-1,0)*控制台!$C$4612</f>
        <v>20</v>
      </c>
      <c r="N395" s="1">
        <v>1</v>
      </c>
      <c r="O395" s="4">
        <f ca="1">IF(MOD(C395,4)=0,Lerp_dyy(L395,M395,N395),0)</f>
        <v>0</v>
      </c>
    </row>
    <row r="396" spans="1:15">
      <c r="A396" s="1">
        <f t="shared" si="12"/>
        <v>1111</v>
      </c>
      <c r="B396" s="1">
        <v>11</v>
      </c>
      <c r="C396" s="1">
        <v>11</v>
      </c>
      <c r="D396" s="1">
        <f ca="1">OFFSET(控制台!$C$4617,MATCH(B396,控制台!$B$4617:$B$4629,0)-2,0)*控制台!$C$4610</f>
        <v>80000</v>
      </c>
      <c r="E396" s="1">
        <f ca="1">OFFSET(控制台!$C$4617,MATCH(B396,控制台!$B$4617:$B$4629,0)-1,0)*控制台!$C$4610</f>
        <v>90000</v>
      </c>
      <c r="F396" s="1">
        <f>(_xlfn.FLOOR.MATH((C396-1)/8)+1)/5</f>
        <v>0.4</v>
      </c>
      <c r="G396" s="4">
        <f ca="1">Lerp_dyy(D396,E396,F396)</f>
        <v>84000</v>
      </c>
      <c r="H396" s="1">
        <f ca="1">OFFSET(控制台!$E$4617,MATCH(B396,控制台!$B$4617:$B$4629,0)-2,0)*控制台!$C$4611</f>
        <v>80</v>
      </c>
      <c r="I396" s="1">
        <f ca="1">OFFSET(控制台!$E$4617,MATCH(B396,控制台!$B$4617:$B$4629,0)-1,0)*控制台!$C$4611</f>
        <v>100</v>
      </c>
      <c r="J396" s="1">
        <f>(_xlfn.FLOOR.MATH((C396-1)/20)+1)/2</f>
        <v>0.5</v>
      </c>
      <c r="K396" s="4">
        <f ca="1">IF(MOD(C396,4)=0,0,Lerp_dyy(H396,I396,J396))</f>
        <v>90</v>
      </c>
      <c r="L396" s="1">
        <f ca="1">OFFSET(控制台!$G$4617,MATCH(B396,控制台!$B$4617:$B$4629,0)-2,0)*控制台!$C$4612</f>
        <v>18</v>
      </c>
      <c r="M396" s="1">
        <f ca="1">OFFSET(控制台!$G$4617,MATCH(B396,控制台!$B$4617:$B$4629,0)-1,0)*控制台!$C$4612</f>
        <v>20</v>
      </c>
      <c r="N396" s="1">
        <v>1</v>
      </c>
      <c r="O396" s="4">
        <f ca="1">IF(MOD(C396,4)=0,Lerp_dyy(L396,M396,N396),0)</f>
        <v>0</v>
      </c>
    </row>
    <row r="397" spans="1:15">
      <c r="A397" s="1">
        <f t="shared" si="12"/>
        <v>1112</v>
      </c>
      <c r="B397" s="1">
        <v>11</v>
      </c>
      <c r="C397" s="1">
        <v>12</v>
      </c>
      <c r="D397" s="1">
        <f ca="1">OFFSET(控制台!$C$4617,MATCH(B397,控制台!$B$4617:$B$4629,0)-2,0)*控制台!$C$4610</f>
        <v>80000</v>
      </c>
      <c r="E397" s="1">
        <f ca="1">OFFSET(控制台!$C$4617,MATCH(B397,控制台!$B$4617:$B$4629,0)-1,0)*控制台!$C$4610</f>
        <v>90000</v>
      </c>
      <c r="F397" s="1">
        <f>(_xlfn.FLOOR.MATH((C397-1)/8)+1)/5</f>
        <v>0.4</v>
      </c>
      <c r="G397" s="4">
        <f ca="1">Lerp_dyy(D397,E397,F397)</f>
        <v>84000</v>
      </c>
      <c r="H397" s="1">
        <f ca="1">OFFSET(控制台!$E$4617,MATCH(B397,控制台!$B$4617:$B$4629,0)-2,0)*控制台!$C$4611</f>
        <v>80</v>
      </c>
      <c r="I397" s="1">
        <f ca="1">OFFSET(控制台!$E$4617,MATCH(B397,控制台!$B$4617:$B$4629,0)-1,0)*控制台!$C$4611</f>
        <v>100</v>
      </c>
      <c r="J397" s="1">
        <f>(_xlfn.FLOOR.MATH((C397-1)/20)+1)/2</f>
        <v>0.5</v>
      </c>
      <c r="K397" s="4">
        <f ca="1">IF(MOD(C397,4)=0,0,Lerp_dyy(H397,I397,J397))</f>
        <v>0</v>
      </c>
      <c r="L397" s="1">
        <f ca="1">OFFSET(控制台!$G$4617,MATCH(B397,控制台!$B$4617:$B$4629,0)-2,0)*控制台!$C$4612</f>
        <v>18</v>
      </c>
      <c r="M397" s="1">
        <f ca="1">OFFSET(控制台!$G$4617,MATCH(B397,控制台!$B$4617:$B$4629,0)-1,0)*控制台!$C$4612</f>
        <v>20</v>
      </c>
      <c r="N397" s="1">
        <v>1</v>
      </c>
      <c r="O397" s="4">
        <f ca="1">IF(MOD(C397,4)=0,Lerp_dyy(L397,M397,N397),0)</f>
        <v>20</v>
      </c>
    </row>
    <row r="398" spans="1:15">
      <c r="A398" s="1">
        <f t="shared" si="12"/>
        <v>1113</v>
      </c>
      <c r="B398" s="1">
        <v>11</v>
      </c>
      <c r="C398" s="1">
        <v>13</v>
      </c>
      <c r="D398" s="1">
        <f ca="1">OFFSET(控制台!$C$4617,MATCH(B398,控制台!$B$4617:$B$4629,0)-2,0)*控制台!$C$4610</f>
        <v>80000</v>
      </c>
      <c r="E398" s="1">
        <f ca="1">OFFSET(控制台!$C$4617,MATCH(B398,控制台!$B$4617:$B$4629,0)-1,0)*控制台!$C$4610</f>
        <v>90000</v>
      </c>
      <c r="F398" s="1">
        <f>(_xlfn.FLOOR.MATH((C398-1)/8)+1)/5</f>
        <v>0.4</v>
      </c>
      <c r="G398" s="4">
        <f ca="1">Lerp_dyy(D398,E398,F398)</f>
        <v>84000</v>
      </c>
      <c r="H398" s="1">
        <f ca="1">OFFSET(控制台!$E$4617,MATCH(B398,控制台!$B$4617:$B$4629,0)-2,0)*控制台!$C$4611</f>
        <v>80</v>
      </c>
      <c r="I398" s="1">
        <f ca="1">OFFSET(控制台!$E$4617,MATCH(B398,控制台!$B$4617:$B$4629,0)-1,0)*控制台!$C$4611</f>
        <v>100</v>
      </c>
      <c r="J398" s="1">
        <f>(_xlfn.FLOOR.MATH((C398-1)/20)+1)/2</f>
        <v>0.5</v>
      </c>
      <c r="K398" s="4">
        <f ca="1">IF(MOD(C398,4)=0,0,Lerp_dyy(H398,I398,J398))</f>
        <v>90</v>
      </c>
      <c r="L398" s="1">
        <f ca="1">OFFSET(控制台!$G$4617,MATCH(B398,控制台!$B$4617:$B$4629,0)-2,0)*控制台!$C$4612</f>
        <v>18</v>
      </c>
      <c r="M398" s="1">
        <f ca="1">OFFSET(控制台!$G$4617,MATCH(B398,控制台!$B$4617:$B$4629,0)-1,0)*控制台!$C$4612</f>
        <v>20</v>
      </c>
      <c r="N398" s="1">
        <v>1</v>
      </c>
      <c r="O398" s="4">
        <f ca="1">IF(MOD(C398,4)=0,Lerp_dyy(L398,M398,N398),0)</f>
        <v>0</v>
      </c>
    </row>
    <row r="399" spans="1:15">
      <c r="A399" s="1">
        <f t="shared" si="12"/>
        <v>1114</v>
      </c>
      <c r="B399" s="1">
        <v>11</v>
      </c>
      <c r="C399" s="1">
        <v>14</v>
      </c>
      <c r="D399" s="1">
        <f ca="1">OFFSET(控制台!$C$4617,MATCH(B399,控制台!$B$4617:$B$4629,0)-2,0)*控制台!$C$4610</f>
        <v>80000</v>
      </c>
      <c r="E399" s="1">
        <f ca="1">OFFSET(控制台!$C$4617,MATCH(B399,控制台!$B$4617:$B$4629,0)-1,0)*控制台!$C$4610</f>
        <v>90000</v>
      </c>
      <c r="F399" s="1">
        <f>(_xlfn.FLOOR.MATH((C399-1)/8)+1)/5</f>
        <v>0.4</v>
      </c>
      <c r="G399" s="4">
        <f ca="1">Lerp_dyy(D399,E399,F399)</f>
        <v>84000</v>
      </c>
      <c r="H399" s="1">
        <f ca="1">OFFSET(控制台!$E$4617,MATCH(B399,控制台!$B$4617:$B$4629,0)-2,0)*控制台!$C$4611</f>
        <v>80</v>
      </c>
      <c r="I399" s="1">
        <f ca="1">OFFSET(控制台!$E$4617,MATCH(B399,控制台!$B$4617:$B$4629,0)-1,0)*控制台!$C$4611</f>
        <v>100</v>
      </c>
      <c r="J399" s="1">
        <f>(_xlfn.FLOOR.MATH((C399-1)/20)+1)/2</f>
        <v>0.5</v>
      </c>
      <c r="K399" s="4">
        <f ca="1">IF(MOD(C399,4)=0,0,Lerp_dyy(H399,I399,J399))</f>
        <v>90</v>
      </c>
      <c r="L399" s="1">
        <f ca="1">OFFSET(控制台!$G$4617,MATCH(B399,控制台!$B$4617:$B$4629,0)-2,0)*控制台!$C$4612</f>
        <v>18</v>
      </c>
      <c r="M399" s="1">
        <f ca="1">OFFSET(控制台!$G$4617,MATCH(B399,控制台!$B$4617:$B$4629,0)-1,0)*控制台!$C$4612</f>
        <v>20</v>
      </c>
      <c r="N399" s="1">
        <v>1</v>
      </c>
      <c r="O399" s="4">
        <f ca="1">IF(MOD(C399,4)=0,Lerp_dyy(L399,M399,N399),0)</f>
        <v>0</v>
      </c>
    </row>
    <row r="400" spans="1:15">
      <c r="A400" s="1">
        <f t="shared" si="12"/>
        <v>1115</v>
      </c>
      <c r="B400" s="1">
        <v>11</v>
      </c>
      <c r="C400" s="1">
        <v>15</v>
      </c>
      <c r="D400" s="1">
        <f ca="1">OFFSET(控制台!$C$4617,MATCH(B400,控制台!$B$4617:$B$4629,0)-2,0)*控制台!$C$4610</f>
        <v>80000</v>
      </c>
      <c r="E400" s="1">
        <f ca="1">OFFSET(控制台!$C$4617,MATCH(B400,控制台!$B$4617:$B$4629,0)-1,0)*控制台!$C$4610</f>
        <v>90000</v>
      </c>
      <c r="F400" s="1">
        <f>(_xlfn.FLOOR.MATH((C400-1)/8)+1)/5</f>
        <v>0.4</v>
      </c>
      <c r="G400" s="4">
        <f ca="1">Lerp_dyy(D400,E400,F400)</f>
        <v>84000</v>
      </c>
      <c r="H400" s="1">
        <f ca="1">OFFSET(控制台!$E$4617,MATCH(B400,控制台!$B$4617:$B$4629,0)-2,0)*控制台!$C$4611</f>
        <v>80</v>
      </c>
      <c r="I400" s="1">
        <f ca="1">OFFSET(控制台!$E$4617,MATCH(B400,控制台!$B$4617:$B$4629,0)-1,0)*控制台!$C$4611</f>
        <v>100</v>
      </c>
      <c r="J400" s="1">
        <f>(_xlfn.FLOOR.MATH((C400-1)/20)+1)/2</f>
        <v>0.5</v>
      </c>
      <c r="K400" s="4">
        <f ca="1">IF(MOD(C400,4)=0,0,Lerp_dyy(H400,I400,J400))</f>
        <v>90</v>
      </c>
      <c r="L400" s="1">
        <f ca="1">OFFSET(控制台!$G$4617,MATCH(B400,控制台!$B$4617:$B$4629,0)-2,0)*控制台!$C$4612</f>
        <v>18</v>
      </c>
      <c r="M400" s="1">
        <f ca="1">OFFSET(控制台!$G$4617,MATCH(B400,控制台!$B$4617:$B$4629,0)-1,0)*控制台!$C$4612</f>
        <v>20</v>
      </c>
      <c r="N400" s="1">
        <v>1</v>
      </c>
      <c r="O400" s="4">
        <f ca="1">IF(MOD(C400,4)=0,Lerp_dyy(L400,M400,N400),0)</f>
        <v>0</v>
      </c>
    </row>
    <row r="401" spans="1:15">
      <c r="A401" s="1">
        <f t="shared" si="12"/>
        <v>1116</v>
      </c>
      <c r="B401" s="1">
        <v>11</v>
      </c>
      <c r="C401" s="1">
        <v>16</v>
      </c>
      <c r="D401" s="1">
        <f ca="1">OFFSET(控制台!$C$4617,MATCH(B401,控制台!$B$4617:$B$4629,0)-2,0)*控制台!$C$4610</f>
        <v>80000</v>
      </c>
      <c r="E401" s="1">
        <f ca="1">OFFSET(控制台!$C$4617,MATCH(B401,控制台!$B$4617:$B$4629,0)-1,0)*控制台!$C$4610</f>
        <v>90000</v>
      </c>
      <c r="F401" s="1">
        <f>(_xlfn.FLOOR.MATH((C401-1)/8)+1)/5</f>
        <v>0.4</v>
      </c>
      <c r="G401" s="4">
        <f ca="1">Lerp_dyy(D401,E401,F401)</f>
        <v>84000</v>
      </c>
      <c r="H401" s="1">
        <f ca="1">OFFSET(控制台!$E$4617,MATCH(B401,控制台!$B$4617:$B$4629,0)-2,0)*控制台!$C$4611</f>
        <v>80</v>
      </c>
      <c r="I401" s="1">
        <f ca="1">OFFSET(控制台!$E$4617,MATCH(B401,控制台!$B$4617:$B$4629,0)-1,0)*控制台!$C$4611</f>
        <v>100</v>
      </c>
      <c r="J401" s="1">
        <f>(_xlfn.FLOOR.MATH((C401-1)/20)+1)/2</f>
        <v>0.5</v>
      </c>
      <c r="K401" s="4">
        <f ca="1">IF(MOD(C401,4)=0,0,Lerp_dyy(H401,I401,J401))</f>
        <v>0</v>
      </c>
      <c r="L401" s="1">
        <f ca="1">OFFSET(控制台!$G$4617,MATCH(B401,控制台!$B$4617:$B$4629,0)-2,0)*控制台!$C$4612</f>
        <v>18</v>
      </c>
      <c r="M401" s="1">
        <f ca="1">OFFSET(控制台!$G$4617,MATCH(B401,控制台!$B$4617:$B$4629,0)-1,0)*控制台!$C$4612</f>
        <v>20</v>
      </c>
      <c r="N401" s="1">
        <v>1</v>
      </c>
      <c r="O401" s="4">
        <f ca="1">IF(MOD(C401,4)=0,Lerp_dyy(L401,M401,N401),0)</f>
        <v>20</v>
      </c>
    </row>
    <row r="402" spans="1:15">
      <c r="A402" s="1">
        <f t="shared" si="12"/>
        <v>1117</v>
      </c>
      <c r="B402" s="1">
        <v>11</v>
      </c>
      <c r="C402" s="1">
        <v>17</v>
      </c>
      <c r="D402" s="1">
        <f ca="1">OFFSET(控制台!$C$4617,MATCH(B402,控制台!$B$4617:$B$4629,0)-2,0)*控制台!$C$4610</f>
        <v>80000</v>
      </c>
      <c r="E402" s="1">
        <f ca="1">OFFSET(控制台!$C$4617,MATCH(B402,控制台!$B$4617:$B$4629,0)-1,0)*控制台!$C$4610</f>
        <v>90000</v>
      </c>
      <c r="F402" s="1">
        <f>(_xlfn.FLOOR.MATH((C402-1)/8)+1)/5</f>
        <v>0.6</v>
      </c>
      <c r="G402" s="4">
        <f ca="1">Lerp_dyy(D402,E402,F402)</f>
        <v>86000</v>
      </c>
      <c r="H402" s="1">
        <f ca="1">OFFSET(控制台!$E$4617,MATCH(B402,控制台!$B$4617:$B$4629,0)-2,0)*控制台!$C$4611</f>
        <v>80</v>
      </c>
      <c r="I402" s="1">
        <f ca="1">OFFSET(控制台!$E$4617,MATCH(B402,控制台!$B$4617:$B$4629,0)-1,0)*控制台!$C$4611</f>
        <v>100</v>
      </c>
      <c r="J402" s="1">
        <f>(_xlfn.FLOOR.MATH((C402-1)/20)+1)/2</f>
        <v>0.5</v>
      </c>
      <c r="K402" s="4">
        <f ca="1">IF(MOD(C402,4)=0,0,Lerp_dyy(H402,I402,J402))</f>
        <v>90</v>
      </c>
      <c r="L402" s="1">
        <f ca="1">OFFSET(控制台!$G$4617,MATCH(B402,控制台!$B$4617:$B$4629,0)-2,0)*控制台!$C$4612</f>
        <v>18</v>
      </c>
      <c r="M402" s="1">
        <f ca="1">OFFSET(控制台!$G$4617,MATCH(B402,控制台!$B$4617:$B$4629,0)-1,0)*控制台!$C$4612</f>
        <v>20</v>
      </c>
      <c r="N402" s="1">
        <v>1</v>
      </c>
      <c r="O402" s="4">
        <f ca="1">IF(MOD(C402,4)=0,Lerp_dyy(L402,M402,N402),0)</f>
        <v>0</v>
      </c>
    </row>
    <row r="403" spans="1:15">
      <c r="A403" s="1">
        <f t="shared" si="12"/>
        <v>1118</v>
      </c>
      <c r="B403" s="1">
        <v>11</v>
      </c>
      <c r="C403" s="1">
        <v>18</v>
      </c>
      <c r="D403" s="1">
        <f ca="1">OFFSET(控制台!$C$4617,MATCH(B403,控制台!$B$4617:$B$4629,0)-2,0)*控制台!$C$4610</f>
        <v>80000</v>
      </c>
      <c r="E403" s="1">
        <f ca="1">OFFSET(控制台!$C$4617,MATCH(B403,控制台!$B$4617:$B$4629,0)-1,0)*控制台!$C$4610</f>
        <v>90000</v>
      </c>
      <c r="F403" s="1">
        <f>(_xlfn.FLOOR.MATH((C403-1)/8)+1)/5</f>
        <v>0.6</v>
      </c>
      <c r="G403" s="4">
        <f ca="1">Lerp_dyy(D403,E403,F403)</f>
        <v>86000</v>
      </c>
      <c r="H403" s="1">
        <f ca="1">OFFSET(控制台!$E$4617,MATCH(B403,控制台!$B$4617:$B$4629,0)-2,0)*控制台!$C$4611</f>
        <v>80</v>
      </c>
      <c r="I403" s="1">
        <f ca="1">OFFSET(控制台!$E$4617,MATCH(B403,控制台!$B$4617:$B$4629,0)-1,0)*控制台!$C$4611</f>
        <v>100</v>
      </c>
      <c r="J403" s="1">
        <f>(_xlfn.FLOOR.MATH((C403-1)/20)+1)/2</f>
        <v>0.5</v>
      </c>
      <c r="K403" s="4">
        <f ca="1">IF(MOD(C403,4)=0,0,Lerp_dyy(H403,I403,J403))</f>
        <v>90</v>
      </c>
      <c r="L403" s="1">
        <f ca="1">OFFSET(控制台!$G$4617,MATCH(B403,控制台!$B$4617:$B$4629,0)-2,0)*控制台!$C$4612</f>
        <v>18</v>
      </c>
      <c r="M403" s="1">
        <f ca="1">OFFSET(控制台!$G$4617,MATCH(B403,控制台!$B$4617:$B$4629,0)-1,0)*控制台!$C$4612</f>
        <v>20</v>
      </c>
      <c r="N403" s="1">
        <v>1</v>
      </c>
      <c r="O403" s="4">
        <f ca="1">IF(MOD(C403,4)=0,Lerp_dyy(L403,M403,N403),0)</f>
        <v>0</v>
      </c>
    </row>
    <row r="404" spans="1:15">
      <c r="A404" s="1">
        <f t="shared" si="12"/>
        <v>1119</v>
      </c>
      <c r="B404" s="1">
        <v>11</v>
      </c>
      <c r="C404" s="1">
        <v>19</v>
      </c>
      <c r="D404" s="1">
        <f ca="1">OFFSET(控制台!$C$4617,MATCH(B404,控制台!$B$4617:$B$4629,0)-2,0)*控制台!$C$4610</f>
        <v>80000</v>
      </c>
      <c r="E404" s="1">
        <f ca="1">OFFSET(控制台!$C$4617,MATCH(B404,控制台!$B$4617:$B$4629,0)-1,0)*控制台!$C$4610</f>
        <v>90000</v>
      </c>
      <c r="F404" s="1">
        <f>(_xlfn.FLOOR.MATH((C404-1)/8)+1)/5</f>
        <v>0.6</v>
      </c>
      <c r="G404" s="4">
        <f ca="1">Lerp_dyy(D404,E404,F404)</f>
        <v>86000</v>
      </c>
      <c r="H404" s="1">
        <f ca="1">OFFSET(控制台!$E$4617,MATCH(B404,控制台!$B$4617:$B$4629,0)-2,0)*控制台!$C$4611</f>
        <v>80</v>
      </c>
      <c r="I404" s="1">
        <f ca="1">OFFSET(控制台!$E$4617,MATCH(B404,控制台!$B$4617:$B$4629,0)-1,0)*控制台!$C$4611</f>
        <v>100</v>
      </c>
      <c r="J404" s="1">
        <f>(_xlfn.FLOOR.MATH((C404-1)/20)+1)/2</f>
        <v>0.5</v>
      </c>
      <c r="K404" s="4">
        <f ca="1">IF(MOD(C404,4)=0,0,Lerp_dyy(H404,I404,J404))</f>
        <v>90</v>
      </c>
      <c r="L404" s="1">
        <f ca="1">OFFSET(控制台!$G$4617,MATCH(B404,控制台!$B$4617:$B$4629,0)-2,0)*控制台!$C$4612</f>
        <v>18</v>
      </c>
      <c r="M404" s="1">
        <f ca="1">OFFSET(控制台!$G$4617,MATCH(B404,控制台!$B$4617:$B$4629,0)-1,0)*控制台!$C$4612</f>
        <v>20</v>
      </c>
      <c r="N404" s="1">
        <v>1</v>
      </c>
      <c r="O404" s="4">
        <f ca="1">IF(MOD(C404,4)=0,Lerp_dyy(L404,M404,N404),0)</f>
        <v>0</v>
      </c>
    </row>
    <row r="405" spans="1:15">
      <c r="A405" s="1">
        <f t="shared" si="12"/>
        <v>1120</v>
      </c>
      <c r="B405" s="1">
        <v>11</v>
      </c>
      <c r="C405" s="1">
        <v>20</v>
      </c>
      <c r="D405" s="1">
        <f ca="1">OFFSET(控制台!$C$4617,MATCH(B405,控制台!$B$4617:$B$4629,0)-2,0)*控制台!$C$4610</f>
        <v>80000</v>
      </c>
      <c r="E405" s="1">
        <f ca="1">OFFSET(控制台!$C$4617,MATCH(B405,控制台!$B$4617:$B$4629,0)-1,0)*控制台!$C$4610</f>
        <v>90000</v>
      </c>
      <c r="F405" s="1">
        <f>(_xlfn.FLOOR.MATH((C405-1)/8)+1)/5</f>
        <v>0.6</v>
      </c>
      <c r="G405" s="4">
        <f ca="1">Lerp_dyy(D405,E405,F405)</f>
        <v>86000</v>
      </c>
      <c r="H405" s="1">
        <f ca="1">OFFSET(控制台!$E$4617,MATCH(B405,控制台!$B$4617:$B$4629,0)-2,0)*控制台!$C$4611</f>
        <v>80</v>
      </c>
      <c r="I405" s="1">
        <f ca="1">OFFSET(控制台!$E$4617,MATCH(B405,控制台!$B$4617:$B$4629,0)-1,0)*控制台!$C$4611</f>
        <v>100</v>
      </c>
      <c r="J405" s="1">
        <f>(_xlfn.FLOOR.MATH((C405-1)/20)+1)/2</f>
        <v>0.5</v>
      </c>
      <c r="K405" s="4">
        <f ca="1">IF(MOD(C405,4)=0,0,Lerp_dyy(H405,I405,J405))</f>
        <v>0</v>
      </c>
      <c r="L405" s="1">
        <f ca="1">OFFSET(控制台!$G$4617,MATCH(B405,控制台!$B$4617:$B$4629,0)-2,0)*控制台!$C$4612</f>
        <v>18</v>
      </c>
      <c r="M405" s="1">
        <f ca="1">OFFSET(控制台!$G$4617,MATCH(B405,控制台!$B$4617:$B$4629,0)-1,0)*控制台!$C$4612</f>
        <v>20</v>
      </c>
      <c r="N405" s="1">
        <v>1</v>
      </c>
      <c r="O405" s="4">
        <f ca="1">IF(MOD(C405,4)=0,Lerp_dyy(L405,M405,N405),0)</f>
        <v>20</v>
      </c>
    </row>
    <row r="406" spans="1:15">
      <c r="A406" s="1">
        <f t="shared" si="12"/>
        <v>1121</v>
      </c>
      <c r="B406" s="1">
        <v>11</v>
      </c>
      <c r="C406" s="1">
        <v>21</v>
      </c>
      <c r="D406" s="1">
        <f ca="1">OFFSET(控制台!$C$4617,MATCH(B406,控制台!$B$4617:$B$4629,0)-2,0)*控制台!$C$4610</f>
        <v>80000</v>
      </c>
      <c r="E406" s="1">
        <f ca="1">OFFSET(控制台!$C$4617,MATCH(B406,控制台!$B$4617:$B$4629,0)-1,0)*控制台!$C$4610</f>
        <v>90000</v>
      </c>
      <c r="F406" s="1">
        <f>(_xlfn.FLOOR.MATH((C406-1)/8)+1)/5</f>
        <v>0.6</v>
      </c>
      <c r="G406" s="4">
        <f ca="1">Lerp_dyy(D406,E406,F406)</f>
        <v>86000</v>
      </c>
      <c r="H406" s="1">
        <f ca="1">OFFSET(控制台!$E$4617,MATCH(B406,控制台!$B$4617:$B$4629,0)-2,0)*控制台!$C$4611</f>
        <v>80</v>
      </c>
      <c r="I406" s="1">
        <f ca="1">OFFSET(控制台!$E$4617,MATCH(B406,控制台!$B$4617:$B$4629,0)-1,0)*控制台!$C$4611</f>
        <v>100</v>
      </c>
      <c r="J406" s="1">
        <f>(_xlfn.FLOOR.MATH((C406-1)/20)+1)/2</f>
        <v>1</v>
      </c>
      <c r="K406" s="4">
        <f ca="1">IF(MOD(C406,4)=0,0,Lerp_dyy(H406,I406,J406))</f>
        <v>100</v>
      </c>
      <c r="L406" s="1">
        <f ca="1">OFFSET(控制台!$G$4617,MATCH(B406,控制台!$B$4617:$B$4629,0)-2,0)*控制台!$C$4612</f>
        <v>18</v>
      </c>
      <c r="M406" s="1">
        <f ca="1">OFFSET(控制台!$G$4617,MATCH(B406,控制台!$B$4617:$B$4629,0)-1,0)*控制台!$C$4612</f>
        <v>20</v>
      </c>
      <c r="N406" s="1">
        <v>1</v>
      </c>
      <c r="O406" s="4">
        <f ca="1">IF(MOD(C406,4)=0,Lerp_dyy(L406,M406,N406),0)</f>
        <v>0</v>
      </c>
    </row>
    <row r="407" spans="1:15">
      <c r="A407" s="1">
        <f t="shared" si="12"/>
        <v>1122</v>
      </c>
      <c r="B407" s="1">
        <v>11</v>
      </c>
      <c r="C407" s="1">
        <v>22</v>
      </c>
      <c r="D407" s="1">
        <f ca="1">OFFSET(控制台!$C$4617,MATCH(B407,控制台!$B$4617:$B$4629,0)-2,0)*控制台!$C$4610</f>
        <v>80000</v>
      </c>
      <c r="E407" s="1">
        <f ca="1">OFFSET(控制台!$C$4617,MATCH(B407,控制台!$B$4617:$B$4629,0)-1,0)*控制台!$C$4610</f>
        <v>90000</v>
      </c>
      <c r="F407" s="1">
        <f>(_xlfn.FLOOR.MATH((C407-1)/8)+1)/5</f>
        <v>0.6</v>
      </c>
      <c r="G407" s="4">
        <f ca="1">Lerp_dyy(D407,E407,F407)</f>
        <v>86000</v>
      </c>
      <c r="H407" s="1">
        <f ca="1">OFFSET(控制台!$E$4617,MATCH(B407,控制台!$B$4617:$B$4629,0)-2,0)*控制台!$C$4611</f>
        <v>80</v>
      </c>
      <c r="I407" s="1">
        <f ca="1">OFFSET(控制台!$E$4617,MATCH(B407,控制台!$B$4617:$B$4629,0)-1,0)*控制台!$C$4611</f>
        <v>100</v>
      </c>
      <c r="J407" s="1">
        <f>(_xlfn.FLOOR.MATH((C407-1)/20)+1)/2</f>
        <v>1</v>
      </c>
      <c r="K407" s="4">
        <f ca="1">IF(MOD(C407,4)=0,0,Lerp_dyy(H407,I407,J407))</f>
        <v>100</v>
      </c>
      <c r="L407" s="1">
        <f ca="1">OFFSET(控制台!$G$4617,MATCH(B407,控制台!$B$4617:$B$4629,0)-2,0)*控制台!$C$4612</f>
        <v>18</v>
      </c>
      <c r="M407" s="1">
        <f ca="1">OFFSET(控制台!$G$4617,MATCH(B407,控制台!$B$4617:$B$4629,0)-1,0)*控制台!$C$4612</f>
        <v>20</v>
      </c>
      <c r="N407" s="1">
        <v>1</v>
      </c>
      <c r="O407" s="4">
        <f ca="1">IF(MOD(C407,4)=0,Lerp_dyy(L407,M407,N407),0)</f>
        <v>0</v>
      </c>
    </row>
    <row r="408" spans="1:15">
      <c r="A408" s="1">
        <f t="shared" si="12"/>
        <v>1123</v>
      </c>
      <c r="B408" s="1">
        <v>11</v>
      </c>
      <c r="C408" s="1">
        <v>23</v>
      </c>
      <c r="D408" s="1">
        <f ca="1">OFFSET(控制台!$C$4617,MATCH(B408,控制台!$B$4617:$B$4629,0)-2,0)*控制台!$C$4610</f>
        <v>80000</v>
      </c>
      <c r="E408" s="1">
        <f ca="1">OFFSET(控制台!$C$4617,MATCH(B408,控制台!$B$4617:$B$4629,0)-1,0)*控制台!$C$4610</f>
        <v>90000</v>
      </c>
      <c r="F408" s="1">
        <f>(_xlfn.FLOOR.MATH((C408-1)/8)+1)/5</f>
        <v>0.6</v>
      </c>
      <c r="G408" s="4">
        <f ca="1">Lerp_dyy(D408,E408,F408)</f>
        <v>86000</v>
      </c>
      <c r="H408" s="1">
        <f ca="1">OFFSET(控制台!$E$4617,MATCH(B408,控制台!$B$4617:$B$4629,0)-2,0)*控制台!$C$4611</f>
        <v>80</v>
      </c>
      <c r="I408" s="1">
        <f ca="1">OFFSET(控制台!$E$4617,MATCH(B408,控制台!$B$4617:$B$4629,0)-1,0)*控制台!$C$4611</f>
        <v>100</v>
      </c>
      <c r="J408" s="1">
        <f>(_xlfn.FLOOR.MATH((C408-1)/20)+1)/2</f>
        <v>1</v>
      </c>
      <c r="K408" s="4">
        <f ca="1">IF(MOD(C408,4)=0,0,Lerp_dyy(H408,I408,J408))</f>
        <v>100</v>
      </c>
      <c r="L408" s="1">
        <f ca="1">OFFSET(控制台!$G$4617,MATCH(B408,控制台!$B$4617:$B$4629,0)-2,0)*控制台!$C$4612</f>
        <v>18</v>
      </c>
      <c r="M408" s="1">
        <f ca="1">OFFSET(控制台!$G$4617,MATCH(B408,控制台!$B$4617:$B$4629,0)-1,0)*控制台!$C$4612</f>
        <v>20</v>
      </c>
      <c r="N408" s="1">
        <v>1</v>
      </c>
      <c r="O408" s="4">
        <f ca="1">IF(MOD(C408,4)=0,Lerp_dyy(L408,M408,N408),0)</f>
        <v>0</v>
      </c>
    </row>
    <row r="409" spans="1:15">
      <c r="A409" s="1">
        <f t="shared" si="12"/>
        <v>1124</v>
      </c>
      <c r="B409" s="1">
        <v>11</v>
      </c>
      <c r="C409" s="1">
        <v>24</v>
      </c>
      <c r="D409" s="1">
        <f ca="1">OFFSET(控制台!$C$4617,MATCH(B409,控制台!$B$4617:$B$4629,0)-2,0)*控制台!$C$4610</f>
        <v>80000</v>
      </c>
      <c r="E409" s="1">
        <f ca="1">OFFSET(控制台!$C$4617,MATCH(B409,控制台!$B$4617:$B$4629,0)-1,0)*控制台!$C$4610</f>
        <v>90000</v>
      </c>
      <c r="F409" s="1">
        <f>(_xlfn.FLOOR.MATH((C409-1)/8)+1)/5</f>
        <v>0.6</v>
      </c>
      <c r="G409" s="4">
        <f ca="1">Lerp_dyy(D409,E409,F409)</f>
        <v>86000</v>
      </c>
      <c r="H409" s="1">
        <f ca="1">OFFSET(控制台!$E$4617,MATCH(B409,控制台!$B$4617:$B$4629,0)-2,0)*控制台!$C$4611</f>
        <v>80</v>
      </c>
      <c r="I409" s="1">
        <f ca="1">OFFSET(控制台!$E$4617,MATCH(B409,控制台!$B$4617:$B$4629,0)-1,0)*控制台!$C$4611</f>
        <v>100</v>
      </c>
      <c r="J409" s="1">
        <f>(_xlfn.FLOOR.MATH((C409-1)/20)+1)/2</f>
        <v>1</v>
      </c>
      <c r="K409" s="4">
        <f ca="1">IF(MOD(C409,4)=0,0,Lerp_dyy(H409,I409,J409))</f>
        <v>0</v>
      </c>
      <c r="L409" s="1">
        <f ca="1">OFFSET(控制台!$G$4617,MATCH(B409,控制台!$B$4617:$B$4629,0)-2,0)*控制台!$C$4612</f>
        <v>18</v>
      </c>
      <c r="M409" s="1">
        <f ca="1">OFFSET(控制台!$G$4617,MATCH(B409,控制台!$B$4617:$B$4629,0)-1,0)*控制台!$C$4612</f>
        <v>20</v>
      </c>
      <c r="N409" s="1">
        <v>1</v>
      </c>
      <c r="O409" s="4">
        <f ca="1">IF(MOD(C409,4)=0,Lerp_dyy(L409,M409,N409),0)</f>
        <v>20</v>
      </c>
    </row>
    <row r="410" spans="1:15">
      <c r="A410" s="1">
        <f t="shared" si="12"/>
        <v>1125</v>
      </c>
      <c r="B410" s="1">
        <v>11</v>
      </c>
      <c r="C410" s="1">
        <v>25</v>
      </c>
      <c r="D410" s="1">
        <f ca="1">OFFSET(控制台!$C$4617,MATCH(B410,控制台!$B$4617:$B$4629,0)-2,0)*控制台!$C$4610</f>
        <v>80000</v>
      </c>
      <c r="E410" s="1">
        <f ca="1">OFFSET(控制台!$C$4617,MATCH(B410,控制台!$B$4617:$B$4629,0)-1,0)*控制台!$C$4610</f>
        <v>90000</v>
      </c>
      <c r="F410" s="1">
        <f>(_xlfn.FLOOR.MATH((C410-1)/8)+1)/5</f>
        <v>0.8</v>
      </c>
      <c r="G410" s="4">
        <f ca="1">Lerp_dyy(D410,E410,F410)</f>
        <v>88000</v>
      </c>
      <c r="H410" s="1">
        <f ca="1">OFFSET(控制台!$E$4617,MATCH(B410,控制台!$B$4617:$B$4629,0)-2,0)*控制台!$C$4611</f>
        <v>80</v>
      </c>
      <c r="I410" s="1">
        <f ca="1">OFFSET(控制台!$E$4617,MATCH(B410,控制台!$B$4617:$B$4629,0)-1,0)*控制台!$C$4611</f>
        <v>100</v>
      </c>
      <c r="J410" s="1">
        <f>(_xlfn.FLOOR.MATH((C410-1)/20)+1)/2</f>
        <v>1</v>
      </c>
      <c r="K410" s="4">
        <f ca="1">IF(MOD(C410,4)=0,0,Lerp_dyy(H410,I410,J410))</f>
        <v>100</v>
      </c>
      <c r="L410" s="1">
        <f ca="1">OFFSET(控制台!$G$4617,MATCH(B410,控制台!$B$4617:$B$4629,0)-2,0)*控制台!$C$4612</f>
        <v>18</v>
      </c>
      <c r="M410" s="1">
        <f ca="1">OFFSET(控制台!$G$4617,MATCH(B410,控制台!$B$4617:$B$4629,0)-1,0)*控制台!$C$4612</f>
        <v>20</v>
      </c>
      <c r="N410" s="1">
        <v>1</v>
      </c>
      <c r="O410" s="4">
        <f ca="1">IF(MOD(C410,4)=0,Lerp_dyy(L410,M410,N410),0)</f>
        <v>0</v>
      </c>
    </row>
    <row r="411" spans="1:15">
      <c r="A411" s="1">
        <f t="shared" si="12"/>
        <v>1126</v>
      </c>
      <c r="B411" s="1">
        <v>11</v>
      </c>
      <c r="C411" s="1">
        <v>26</v>
      </c>
      <c r="D411" s="1">
        <f ca="1">OFFSET(控制台!$C$4617,MATCH(B411,控制台!$B$4617:$B$4629,0)-2,0)*控制台!$C$4610</f>
        <v>80000</v>
      </c>
      <c r="E411" s="1">
        <f ca="1">OFFSET(控制台!$C$4617,MATCH(B411,控制台!$B$4617:$B$4629,0)-1,0)*控制台!$C$4610</f>
        <v>90000</v>
      </c>
      <c r="F411" s="1">
        <f>(_xlfn.FLOOR.MATH((C411-1)/8)+1)/5</f>
        <v>0.8</v>
      </c>
      <c r="G411" s="4">
        <f ca="1">Lerp_dyy(D411,E411,F411)</f>
        <v>88000</v>
      </c>
      <c r="H411" s="1">
        <f ca="1">OFFSET(控制台!$E$4617,MATCH(B411,控制台!$B$4617:$B$4629,0)-2,0)*控制台!$C$4611</f>
        <v>80</v>
      </c>
      <c r="I411" s="1">
        <f ca="1">OFFSET(控制台!$E$4617,MATCH(B411,控制台!$B$4617:$B$4629,0)-1,0)*控制台!$C$4611</f>
        <v>100</v>
      </c>
      <c r="J411" s="1">
        <f>(_xlfn.FLOOR.MATH((C411-1)/20)+1)/2</f>
        <v>1</v>
      </c>
      <c r="K411" s="4">
        <f ca="1">IF(MOD(C411,4)=0,0,Lerp_dyy(H411,I411,J411))</f>
        <v>100</v>
      </c>
      <c r="L411" s="1">
        <f ca="1">OFFSET(控制台!$G$4617,MATCH(B411,控制台!$B$4617:$B$4629,0)-2,0)*控制台!$C$4612</f>
        <v>18</v>
      </c>
      <c r="M411" s="1">
        <f ca="1">OFFSET(控制台!$G$4617,MATCH(B411,控制台!$B$4617:$B$4629,0)-1,0)*控制台!$C$4612</f>
        <v>20</v>
      </c>
      <c r="N411" s="1">
        <v>1</v>
      </c>
      <c r="O411" s="4">
        <f ca="1">IF(MOD(C411,4)=0,Lerp_dyy(L411,M411,N411),0)</f>
        <v>0</v>
      </c>
    </row>
    <row r="412" spans="1:15">
      <c r="A412" s="1">
        <f t="shared" si="12"/>
        <v>1127</v>
      </c>
      <c r="B412" s="1">
        <v>11</v>
      </c>
      <c r="C412" s="1">
        <v>27</v>
      </c>
      <c r="D412" s="1">
        <f ca="1">OFFSET(控制台!$C$4617,MATCH(B412,控制台!$B$4617:$B$4629,0)-2,0)*控制台!$C$4610</f>
        <v>80000</v>
      </c>
      <c r="E412" s="1">
        <f ca="1">OFFSET(控制台!$C$4617,MATCH(B412,控制台!$B$4617:$B$4629,0)-1,0)*控制台!$C$4610</f>
        <v>90000</v>
      </c>
      <c r="F412" s="1">
        <f>(_xlfn.FLOOR.MATH((C412-1)/8)+1)/5</f>
        <v>0.8</v>
      </c>
      <c r="G412" s="4">
        <f ca="1">Lerp_dyy(D412,E412,F412)</f>
        <v>88000</v>
      </c>
      <c r="H412" s="1">
        <f ca="1">OFFSET(控制台!$E$4617,MATCH(B412,控制台!$B$4617:$B$4629,0)-2,0)*控制台!$C$4611</f>
        <v>80</v>
      </c>
      <c r="I412" s="1">
        <f ca="1">OFFSET(控制台!$E$4617,MATCH(B412,控制台!$B$4617:$B$4629,0)-1,0)*控制台!$C$4611</f>
        <v>100</v>
      </c>
      <c r="J412" s="1">
        <f>(_xlfn.FLOOR.MATH((C412-1)/20)+1)/2</f>
        <v>1</v>
      </c>
      <c r="K412" s="4">
        <f ca="1">IF(MOD(C412,4)=0,0,Lerp_dyy(H412,I412,J412))</f>
        <v>100</v>
      </c>
      <c r="L412" s="1">
        <f ca="1">OFFSET(控制台!$G$4617,MATCH(B412,控制台!$B$4617:$B$4629,0)-2,0)*控制台!$C$4612</f>
        <v>18</v>
      </c>
      <c r="M412" s="1">
        <f ca="1">OFFSET(控制台!$G$4617,MATCH(B412,控制台!$B$4617:$B$4629,0)-1,0)*控制台!$C$4612</f>
        <v>20</v>
      </c>
      <c r="N412" s="1">
        <v>1</v>
      </c>
      <c r="O412" s="4">
        <f ca="1">IF(MOD(C412,4)=0,Lerp_dyy(L412,M412,N412),0)</f>
        <v>0</v>
      </c>
    </row>
    <row r="413" spans="1:15">
      <c r="A413" s="1">
        <f t="shared" si="12"/>
        <v>1128</v>
      </c>
      <c r="B413" s="1">
        <v>11</v>
      </c>
      <c r="C413" s="1">
        <v>28</v>
      </c>
      <c r="D413" s="1">
        <f ca="1">OFFSET(控制台!$C$4617,MATCH(B413,控制台!$B$4617:$B$4629,0)-2,0)*控制台!$C$4610</f>
        <v>80000</v>
      </c>
      <c r="E413" s="1">
        <f ca="1">OFFSET(控制台!$C$4617,MATCH(B413,控制台!$B$4617:$B$4629,0)-1,0)*控制台!$C$4610</f>
        <v>90000</v>
      </c>
      <c r="F413" s="1">
        <f>(_xlfn.FLOOR.MATH((C413-1)/8)+1)/5</f>
        <v>0.8</v>
      </c>
      <c r="G413" s="4">
        <f ca="1">Lerp_dyy(D413,E413,F413)</f>
        <v>88000</v>
      </c>
      <c r="H413" s="1">
        <f ca="1">OFFSET(控制台!$E$4617,MATCH(B413,控制台!$B$4617:$B$4629,0)-2,0)*控制台!$C$4611</f>
        <v>80</v>
      </c>
      <c r="I413" s="1">
        <f ca="1">OFFSET(控制台!$E$4617,MATCH(B413,控制台!$B$4617:$B$4629,0)-1,0)*控制台!$C$4611</f>
        <v>100</v>
      </c>
      <c r="J413" s="1">
        <f>(_xlfn.FLOOR.MATH((C413-1)/20)+1)/2</f>
        <v>1</v>
      </c>
      <c r="K413" s="4">
        <f ca="1">IF(MOD(C413,4)=0,0,Lerp_dyy(H413,I413,J413))</f>
        <v>0</v>
      </c>
      <c r="L413" s="1">
        <f ca="1">OFFSET(控制台!$G$4617,MATCH(B413,控制台!$B$4617:$B$4629,0)-2,0)*控制台!$C$4612</f>
        <v>18</v>
      </c>
      <c r="M413" s="1">
        <f ca="1">OFFSET(控制台!$G$4617,MATCH(B413,控制台!$B$4617:$B$4629,0)-1,0)*控制台!$C$4612</f>
        <v>20</v>
      </c>
      <c r="N413" s="1">
        <v>1</v>
      </c>
      <c r="O413" s="4">
        <f ca="1">IF(MOD(C413,4)=0,Lerp_dyy(L413,M413,N413),0)</f>
        <v>20</v>
      </c>
    </row>
    <row r="414" spans="1:15">
      <c r="A414" s="1">
        <f t="shared" si="12"/>
        <v>1129</v>
      </c>
      <c r="B414" s="1">
        <v>11</v>
      </c>
      <c r="C414" s="1">
        <v>29</v>
      </c>
      <c r="D414" s="1">
        <f ca="1">OFFSET(控制台!$C$4617,MATCH(B414,控制台!$B$4617:$B$4629,0)-2,0)*控制台!$C$4610</f>
        <v>80000</v>
      </c>
      <c r="E414" s="1">
        <f ca="1">OFFSET(控制台!$C$4617,MATCH(B414,控制台!$B$4617:$B$4629,0)-1,0)*控制台!$C$4610</f>
        <v>90000</v>
      </c>
      <c r="F414" s="1">
        <f>(_xlfn.FLOOR.MATH((C414-1)/8)+1)/5</f>
        <v>0.8</v>
      </c>
      <c r="G414" s="4">
        <f ca="1">Lerp_dyy(D414,E414,F414)</f>
        <v>88000</v>
      </c>
      <c r="H414" s="1">
        <f ca="1">OFFSET(控制台!$E$4617,MATCH(B414,控制台!$B$4617:$B$4629,0)-2,0)*控制台!$C$4611</f>
        <v>80</v>
      </c>
      <c r="I414" s="1">
        <f ca="1">OFFSET(控制台!$E$4617,MATCH(B414,控制台!$B$4617:$B$4629,0)-1,0)*控制台!$C$4611</f>
        <v>100</v>
      </c>
      <c r="J414" s="1">
        <f>(_xlfn.FLOOR.MATH((C414-1)/20)+1)/2</f>
        <v>1</v>
      </c>
      <c r="K414" s="4">
        <f ca="1">IF(MOD(C414,4)=0,0,Lerp_dyy(H414,I414,J414))</f>
        <v>100</v>
      </c>
      <c r="L414" s="1">
        <f ca="1">OFFSET(控制台!$G$4617,MATCH(B414,控制台!$B$4617:$B$4629,0)-2,0)*控制台!$C$4612</f>
        <v>18</v>
      </c>
      <c r="M414" s="1">
        <f ca="1">OFFSET(控制台!$G$4617,MATCH(B414,控制台!$B$4617:$B$4629,0)-1,0)*控制台!$C$4612</f>
        <v>20</v>
      </c>
      <c r="N414" s="1">
        <v>1</v>
      </c>
      <c r="O414" s="4">
        <f ca="1">IF(MOD(C414,4)=0,Lerp_dyy(L414,M414,N414),0)</f>
        <v>0</v>
      </c>
    </row>
    <row r="415" spans="1:15">
      <c r="A415" s="1">
        <f t="shared" si="12"/>
        <v>1130</v>
      </c>
      <c r="B415" s="1">
        <v>11</v>
      </c>
      <c r="C415" s="1">
        <v>30</v>
      </c>
      <c r="D415" s="1">
        <f ca="1">OFFSET(控制台!$C$4617,MATCH(B415,控制台!$B$4617:$B$4629,0)-2,0)*控制台!$C$4610</f>
        <v>80000</v>
      </c>
      <c r="E415" s="1">
        <f ca="1">OFFSET(控制台!$C$4617,MATCH(B415,控制台!$B$4617:$B$4629,0)-1,0)*控制台!$C$4610</f>
        <v>90000</v>
      </c>
      <c r="F415" s="1">
        <f>(_xlfn.FLOOR.MATH((C415-1)/8)+1)/5</f>
        <v>0.8</v>
      </c>
      <c r="G415" s="4">
        <f ca="1">Lerp_dyy(D415,E415,F415)</f>
        <v>88000</v>
      </c>
      <c r="H415" s="1">
        <f ca="1">OFFSET(控制台!$E$4617,MATCH(B415,控制台!$B$4617:$B$4629,0)-2,0)*控制台!$C$4611</f>
        <v>80</v>
      </c>
      <c r="I415" s="1">
        <f ca="1">OFFSET(控制台!$E$4617,MATCH(B415,控制台!$B$4617:$B$4629,0)-1,0)*控制台!$C$4611</f>
        <v>100</v>
      </c>
      <c r="J415" s="1">
        <f>(_xlfn.FLOOR.MATH((C415-1)/20)+1)/2</f>
        <v>1</v>
      </c>
      <c r="K415" s="4">
        <f ca="1">IF(MOD(C415,4)=0,0,Lerp_dyy(H415,I415,J415))</f>
        <v>100</v>
      </c>
      <c r="L415" s="1">
        <f ca="1">OFFSET(控制台!$G$4617,MATCH(B415,控制台!$B$4617:$B$4629,0)-2,0)*控制台!$C$4612</f>
        <v>18</v>
      </c>
      <c r="M415" s="1">
        <f ca="1">OFFSET(控制台!$G$4617,MATCH(B415,控制台!$B$4617:$B$4629,0)-1,0)*控制台!$C$4612</f>
        <v>20</v>
      </c>
      <c r="N415" s="1">
        <v>1</v>
      </c>
      <c r="O415" s="4">
        <f ca="1">IF(MOD(C415,4)=0,Lerp_dyy(L415,M415,N415),0)</f>
        <v>0</v>
      </c>
    </row>
    <row r="416" spans="1:15">
      <c r="A416" s="1">
        <f t="shared" si="12"/>
        <v>1131</v>
      </c>
      <c r="B416" s="1">
        <v>11</v>
      </c>
      <c r="C416" s="1">
        <v>31</v>
      </c>
      <c r="D416" s="1">
        <f ca="1">OFFSET(控制台!$C$4617,MATCH(B416,控制台!$B$4617:$B$4629,0)-2,0)*控制台!$C$4610</f>
        <v>80000</v>
      </c>
      <c r="E416" s="1">
        <f ca="1">OFFSET(控制台!$C$4617,MATCH(B416,控制台!$B$4617:$B$4629,0)-1,0)*控制台!$C$4610</f>
        <v>90000</v>
      </c>
      <c r="F416" s="1">
        <f>(_xlfn.FLOOR.MATH((C416-1)/8)+1)/5</f>
        <v>0.8</v>
      </c>
      <c r="G416" s="4">
        <f ca="1">Lerp_dyy(D416,E416,F416)</f>
        <v>88000</v>
      </c>
      <c r="H416" s="1">
        <f ca="1">OFFSET(控制台!$E$4617,MATCH(B416,控制台!$B$4617:$B$4629,0)-2,0)*控制台!$C$4611</f>
        <v>80</v>
      </c>
      <c r="I416" s="1">
        <f ca="1">OFFSET(控制台!$E$4617,MATCH(B416,控制台!$B$4617:$B$4629,0)-1,0)*控制台!$C$4611</f>
        <v>100</v>
      </c>
      <c r="J416" s="1">
        <f>(_xlfn.FLOOR.MATH((C416-1)/20)+1)/2</f>
        <v>1</v>
      </c>
      <c r="K416" s="4">
        <f ca="1">IF(MOD(C416,4)=0,0,Lerp_dyy(H416,I416,J416))</f>
        <v>100</v>
      </c>
      <c r="L416" s="1">
        <f ca="1">OFFSET(控制台!$G$4617,MATCH(B416,控制台!$B$4617:$B$4629,0)-2,0)*控制台!$C$4612</f>
        <v>18</v>
      </c>
      <c r="M416" s="1">
        <f ca="1">OFFSET(控制台!$G$4617,MATCH(B416,控制台!$B$4617:$B$4629,0)-1,0)*控制台!$C$4612</f>
        <v>20</v>
      </c>
      <c r="N416" s="1">
        <v>1</v>
      </c>
      <c r="O416" s="4">
        <f ca="1">IF(MOD(C416,4)=0,Lerp_dyy(L416,M416,N416),0)</f>
        <v>0</v>
      </c>
    </row>
    <row r="417" spans="1:15">
      <c r="A417" s="1">
        <f t="shared" si="12"/>
        <v>1132</v>
      </c>
      <c r="B417" s="1">
        <v>11</v>
      </c>
      <c r="C417" s="1">
        <v>32</v>
      </c>
      <c r="D417" s="1">
        <f ca="1">OFFSET(控制台!$C$4617,MATCH(B417,控制台!$B$4617:$B$4629,0)-2,0)*控制台!$C$4610</f>
        <v>80000</v>
      </c>
      <c r="E417" s="1">
        <f ca="1">OFFSET(控制台!$C$4617,MATCH(B417,控制台!$B$4617:$B$4629,0)-1,0)*控制台!$C$4610</f>
        <v>90000</v>
      </c>
      <c r="F417" s="1">
        <f>(_xlfn.FLOOR.MATH((C417-1)/8)+1)/5</f>
        <v>0.8</v>
      </c>
      <c r="G417" s="4">
        <f ca="1">Lerp_dyy(D417,E417,F417)</f>
        <v>88000</v>
      </c>
      <c r="H417" s="1">
        <f ca="1">OFFSET(控制台!$E$4617,MATCH(B417,控制台!$B$4617:$B$4629,0)-2,0)*控制台!$C$4611</f>
        <v>80</v>
      </c>
      <c r="I417" s="1">
        <f ca="1">OFFSET(控制台!$E$4617,MATCH(B417,控制台!$B$4617:$B$4629,0)-1,0)*控制台!$C$4611</f>
        <v>100</v>
      </c>
      <c r="J417" s="1">
        <f>(_xlfn.FLOOR.MATH((C417-1)/20)+1)/2</f>
        <v>1</v>
      </c>
      <c r="K417" s="4">
        <f ca="1">IF(MOD(C417,4)=0,0,Lerp_dyy(H417,I417,J417))</f>
        <v>0</v>
      </c>
      <c r="L417" s="1">
        <f ca="1">OFFSET(控制台!$G$4617,MATCH(B417,控制台!$B$4617:$B$4629,0)-2,0)*控制台!$C$4612</f>
        <v>18</v>
      </c>
      <c r="M417" s="1">
        <f ca="1">OFFSET(控制台!$G$4617,MATCH(B417,控制台!$B$4617:$B$4629,0)-1,0)*控制台!$C$4612</f>
        <v>20</v>
      </c>
      <c r="N417" s="1">
        <v>1</v>
      </c>
      <c r="O417" s="4">
        <f ca="1">IF(MOD(C417,4)=0,Lerp_dyy(L417,M417,N417),0)</f>
        <v>20</v>
      </c>
    </row>
    <row r="418" spans="1:15">
      <c r="A418" s="1">
        <f t="shared" si="12"/>
        <v>1133</v>
      </c>
      <c r="B418" s="1">
        <v>11</v>
      </c>
      <c r="C418" s="1">
        <v>33</v>
      </c>
      <c r="D418" s="1">
        <f ca="1">OFFSET(控制台!$C$4617,MATCH(B418,控制台!$B$4617:$B$4629,0)-2,0)*控制台!$C$4610</f>
        <v>80000</v>
      </c>
      <c r="E418" s="1">
        <f ca="1">OFFSET(控制台!$C$4617,MATCH(B418,控制台!$B$4617:$B$4629,0)-1,0)*控制台!$C$4610</f>
        <v>90000</v>
      </c>
      <c r="F418" s="1">
        <f>(_xlfn.FLOOR.MATH((C418-1)/8)+1)/5</f>
        <v>1</v>
      </c>
      <c r="G418" s="4">
        <f ca="1">Lerp_dyy(D418,E418,F418)</f>
        <v>90000</v>
      </c>
      <c r="H418" s="1">
        <f ca="1">OFFSET(控制台!$E$4617,MATCH(B418,控制台!$B$4617:$B$4629,0)-2,0)*控制台!$C$4611</f>
        <v>80</v>
      </c>
      <c r="I418" s="1">
        <f ca="1">OFFSET(控制台!$E$4617,MATCH(B418,控制台!$B$4617:$B$4629,0)-1,0)*控制台!$C$4611</f>
        <v>100</v>
      </c>
      <c r="J418" s="1">
        <f>(_xlfn.FLOOR.MATH((C418-1)/20)+1)/2</f>
        <v>1</v>
      </c>
      <c r="K418" s="4">
        <f ca="1">IF(MOD(C418,4)=0,0,Lerp_dyy(H418,I418,J418))</f>
        <v>100</v>
      </c>
      <c r="L418" s="1">
        <f ca="1">OFFSET(控制台!$G$4617,MATCH(B418,控制台!$B$4617:$B$4629,0)-2,0)*控制台!$C$4612</f>
        <v>18</v>
      </c>
      <c r="M418" s="1">
        <f ca="1">OFFSET(控制台!$G$4617,MATCH(B418,控制台!$B$4617:$B$4629,0)-1,0)*控制台!$C$4612</f>
        <v>20</v>
      </c>
      <c r="N418" s="1">
        <v>1</v>
      </c>
      <c r="O418" s="4">
        <f ca="1">IF(MOD(C418,4)=0,Lerp_dyy(L418,M418,N418),0)</f>
        <v>0</v>
      </c>
    </row>
    <row r="419" spans="1:15">
      <c r="A419" s="1">
        <f t="shared" si="12"/>
        <v>1134</v>
      </c>
      <c r="B419" s="1">
        <v>11</v>
      </c>
      <c r="C419" s="1">
        <v>34</v>
      </c>
      <c r="D419" s="1">
        <f ca="1">OFFSET(控制台!$C$4617,MATCH(B419,控制台!$B$4617:$B$4629,0)-2,0)*控制台!$C$4610</f>
        <v>80000</v>
      </c>
      <c r="E419" s="1">
        <f ca="1">OFFSET(控制台!$C$4617,MATCH(B419,控制台!$B$4617:$B$4629,0)-1,0)*控制台!$C$4610</f>
        <v>90000</v>
      </c>
      <c r="F419" s="1">
        <f>(_xlfn.FLOOR.MATH((C419-1)/8)+1)/5</f>
        <v>1</v>
      </c>
      <c r="G419" s="4">
        <f ca="1">Lerp_dyy(D419,E419,F419)</f>
        <v>90000</v>
      </c>
      <c r="H419" s="1">
        <f ca="1">OFFSET(控制台!$E$4617,MATCH(B419,控制台!$B$4617:$B$4629,0)-2,0)*控制台!$C$4611</f>
        <v>80</v>
      </c>
      <c r="I419" s="1">
        <f ca="1">OFFSET(控制台!$E$4617,MATCH(B419,控制台!$B$4617:$B$4629,0)-1,0)*控制台!$C$4611</f>
        <v>100</v>
      </c>
      <c r="J419" s="1">
        <f>(_xlfn.FLOOR.MATH((C419-1)/20)+1)/2</f>
        <v>1</v>
      </c>
      <c r="K419" s="4">
        <f ca="1">IF(MOD(C419,4)=0,0,Lerp_dyy(H419,I419,J419))</f>
        <v>100</v>
      </c>
      <c r="L419" s="1">
        <f ca="1">OFFSET(控制台!$G$4617,MATCH(B419,控制台!$B$4617:$B$4629,0)-2,0)*控制台!$C$4612</f>
        <v>18</v>
      </c>
      <c r="M419" s="1">
        <f ca="1">OFFSET(控制台!$G$4617,MATCH(B419,控制台!$B$4617:$B$4629,0)-1,0)*控制台!$C$4612</f>
        <v>20</v>
      </c>
      <c r="N419" s="1">
        <v>1</v>
      </c>
      <c r="O419" s="4">
        <f ca="1">IF(MOD(C419,4)=0,Lerp_dyy(L419,M419,N419),0)</f>
        <v>0</v>
      </c>
    </row>
    <row r="420" spans="1:15">
      <c r="A420" s="1">
        <f t="shared" si="12"/>
        <v>1135</v>
      </c>
      <c r="B420" s="1">
        <v>11</v>
      </c>
      <c r="C420" s="1">
        <v>35</v>
      </c>
      <c r="D420" s="1">
        <f ca="1">OFFSET(控制台!$C$4617,MATCH(B420,控制台!$B$4617:$B$4629,0)-2,0)*控制台!$C$4610</f>
        <v>80000</v>
      </c>
      <c r="E420" s="1">
        <f ca="1">OFFSET(控制台!$C$4617,MATCH(B420,控制台!$B$4617:$B$4629,0)-1,0)*控制台!$C$4610</f>
        <v>90000</v>
      </c>
      <c r="F420" s="1">
        <f>(_xlfn.FLOOR.MATH((C420-1)/8)+1)/5</f>
        <v>1</v>
      </c>
      <c r="G420" s="4">
        <f ca="1">Lerp_dyy(D420,E420,F420)</f>
        <v>90000</v>
      </c>
      <c r="H420" s="1">
        <f ca="1">OFFSET(控制台!$E$4617,MATCH(B420,控制台!$B$4617:$B$4629,0)-2,0)*控制台!$C$4611</f>
        <v>80</v>
      </c>
      <c r="I420" s="1">
        <f ca="1">OFFSET(控制台!$E$4617,MATCH(B420,控制台!$B$4617:$B$4629,0)-1,0)*控制台!$C$4611</f>
        <v>100</v>
      </c>
      <c r="J420" s="1">
        <f>(_xlfn.FLOOR.MATH((C420-1)/20)+1)/2</f>
        <v>1</v>
      </c>
      <c r="K420" s="4">
        <f ca="1">IF(MOD(C420,4)=0,0,Lerp_dyy(H420,I420,J420))</f>
        <v>100</v>
      </c>
      <c r="L420" s="1">
        <f ca="1">OFFSET(控制台!$G$4617,MATCH(B420,控制台!$B$4617:$B$4629,0)-2,0)*控制台!$C$4612</f>
        <v>18</v>
      </c>
      <c r="M420" s="1">
        <f ca="1">OFFSET(控制台!$G$4617,MATCH(B420,控制台!$B$4617:$B$4629,0)-1,0)*控制台!$C$4612</f>
        <v>20</v>
      </c>
      <c r="N420" s="1">
        <v>1</v>
      </c>
      <c r="O420" s="4">
        <f ca="1">IF(MOD(C420,4)=0,Lerp_dyy(L420,M420,N420),0)</f>
        <v>0</v>
      </c>
    </row>
    <row r="421" spans="1:15">
      <c r="A421" s="1">
        <f t="shared" si="12"/>
        <v>1136</v>
      </c>
      <c r="B421" s="1">
        <v>11</v>
      </c>
      <c r="C421" s="1">
        <v>36</v>
      </c>
      <c r="D421" s="1">
        <f ca="1">OFFSET(控制台!$C$4617,MATCH(B421,控制台!$B$4617:$B$4629,0)-2,0)*控制台!$C$4610</f>
        <v>80000</v>
      </c>
      <c r="E421" s="1">
        <f ca="1">OFFSET(控制台!$C$4617,MATCH(B421,控制台!$B$4617:$B$4629,0)-1,0)*控制台!$C$4610</f>
        <v>90000</v>
      </c>
      <c r="F421" s="1">
        <f>(_xlfn.FLOOR.MATH((C421-1)/8)+1)/5</f>
        <v>1</v>
      </c>
      <c r="G421" s="4">
        <f ca="1">Lerp_dyy(D421,E421,F421)</f>
        <v>90000</v>
      </c>
      <c r="H421" s="1">
        <f ca="1">OFFSET(控制台!$E$4617,MATCH(B421,控制台!$B$4617:$B$4629,0)-2,0)*控制台!$C$4611</f>
        <v>80</v>
      </c>
      <c r="I421" s="1">
        <f ca="1">OFFSET(控制台!$E$4617,MATCH(B421,控制台!$B$4617:$B$4629,0)-1,0)*控制台!$C$4611</f>
        <v>100</v>
      </c>
      <c r="J421" s="1">
        <f>(_xlfn.FLOOR.MATH((C421-1)/20)+1)/2</f>
        <v>1</v>
      </c>
      <c r="K421" s="4">
        <f ca="1">IF(MOD(C421,4)=0,0,Lerp_dyy(H421,I421,J421))</f>
        <v>0</v>
      </c>
      <c r="L421" s="1">
        <f ca="1">OFFSET(控制台!$G$4617,MATCH(B421,控制台!$B$4617:$B$4629,0)-2,0)*控制台!$C$4612</f>
        <v>18</v>
      </c>
      <c r="M421" s="1">
        <f ca="1">OFFSET(控制台!$G$4617,MATCH(B421,控制台!$B$4617:$B$4629,0)-1,0)*控制台!$C$4612</f>
        <v>20</v>
      </c>
      <c r="N421" s="1">
        <v>1</v>
      </c>
      <c r="O421" s="4">
        <f ca="1">IF(MOD(C421,4)=0,Lerp_dyy(L421,M421,N421),0)</f>
        <v>20</v>
      </c>
    </row>
    <row r="422" spans="1:15">
      <c r="A422" s="1">
        <f t="shared" si="12"/>
        <v>1137</v>
      </c>
      <c r="B422" s="1">
        <v>11</v>
      </c>
      <c r="C422" s="1">
        <v>37</v>
      </c>
      <c r="D422" s="1">
        <f ca="1">OFFSET(控制台!$C$4617,MATCH(B422,控制台!$B$4617:$B$4629,0)-2,0)*控制台!$C$4610</f>
        <v>80000</v>
      </c>
      <c r="E422" s="1">
        <f ca="1">OFFSET(控制台!$C$4617,MATCH(B422,控制台!$B$4617:$B$4629,0)-1,0)*控制台!$C$4610</f>
        <v>90000</v>
      </c>
      <c r="F422" s="1">
        <f>(_xlfn.FLOOR.MATH((C422-1)/8)+1)/5</f>
        <v>1</v>
      </c>
      <c r="G422" s="4">
        <f ca="1">Lerp_dyy(D422,E422,F422)</f>
        <v>90000</v>
      </c>
      <c r="H422" s="1">
        <f ca="1">OFFSET(控制台!$E$4617,MATCH(B422,控制台!$B$4617:$B$4629,0)-2,0)*控制台!$C$4611</f>
        <v>80</v>
      </c>
      <c r="I422" s="1">
        <f ca="1">OFFSET(控制台!$E$4617,MATCH(B422,控制台!$B$4617:$B$4629,0)-1,0)*控制台!$C$4611</f>
        <v>100</v>
      </c>
      <c r="J422" s="1">
        <f>(_xlfn.FLOOR.MATH((C422-1)/20)+1)/2</f>
        <v>1</v>
      </c>
      <c r="K422" s="4">
        <f ca="1">IF(MOD(C422,4)=0,0,Lerp_dyy(H422,I422,J422))</f>
        <v>100</v>
      </c>
      <c r="L422" s="1">
        <f ca="1">OFFSET(控制台!$G$4617,MATCH(B422,控制台!$B$4617:$B$4629,0)-2,0)*控制台!$C$4612</f>
        <v>18</v>
      </c>
      <c r="M422" s="1">
        <f ca="1">OFFSET(控制台!$G$4617,MATCH(B422,控制台!$B$4617:$B$4629,0)-1,0)*控制台!$C$4612</f>
        <v>20</v>
      </c>
      <c r="N422" s="1">
        <v>1</v>
      </c>
      <c r="O422" s="4">
        <f ca="1">IF(MOD(C422,4)=0,Lerp_dyy(L422,M422,N422),0)</f>
        <v>0</v>
      </c>
    </row>
    <row r="423" spans="1:15">
      <c r="A423" s="1">
        <f t="shared" si="12"/>
        <v>1138</v>
      </c>
      <c r="B423" s="1">
        <v>11</v>
      </c>
      <c r="C423" s="1">
        <v>38</v>
      </c>
      <c r="D423" s="1">
        <f ca="1">OFFSET(控制台!$C$4617,MATCH(B423,控制台!$B$4617:$B$4629,0)-2,0)*控制台!$C$4610</f>
        <v>80000</v>
      </c>
      <c r="E423" s="1">
        <f ca="1">OFFSET(控制台!$C$4617,MATCH(B423,控制台!$B$4617:$B$4629,0)-1,0)*控制台!$C$4610</f>
        <v>90000</v>
      </c>
      <c r="F423" s="1">
        <f>(_xlfn.FLOOR.MATH((C423-1)/8)+1)/5</f>
        <v>1</v>
      </c>
      <c r="G423" s="4">
        <f ca="1">Lerp_dyy(D423,E423,F423)</f>
        <v>90000</v>
      </c>
      <c r="H423" s="1">
        <f ca="1">OFFSET(控制台!$E$4617,MATCH(B423,控制台!$B$4617:$B$4629,0)-2,0)*控制台!$C$4611</f>
        <v>80</v>
      </c>
      <c r="I423" s="1">
        <f ca="1">OFFSET(控制台!$E$4617,MATCH(B423,控制台!$B$4617:$B$4629,0)-1,0)*控制台!$C$4611</f>
        <v>100</v>
      </c>
      <c r="J423" s="1">
        <f>(_xlfn.FLOOR.MATH((C423-1)/20)+1)/2</f>
        <v>1</v>
      </c>
      <c r="K423" s="4">
        <f ca="1">IF(MOD(C423,4)=0,0,Lerp_dyy(H423,I423,J423))</f>
        <v>100</v>
      </c>
      <c r="L423" s="1">
        <f ca="1">OFFSET(控制台!$G$4617,MATCH(B423,控制台!$B$4617:$B$4629,0)-2,0)*控制台!$C$4612</f>
        <v>18</v>
      </c>
      <c r="M423" s="1">
        <f ca="1">OFFSET(控制台!$G$4617,MATCH(B423,控制台!$B$4617:$B$4629,0)-1,0)*控制台!$C$4612</f>
        <v>20</v>
      </c>
      <c r="N423" s="1">
        <v>1</v>
      </c>
      <c r="O423" s="4">
        <f ca="1">IF(MOD(C423,4)=0,Lerp_dyy(L423,M423,N423),0)</f>
        <v>0</v>
      </c>
    </row>
    <row r="424" spans="1:15">
      <c r="A424" s="1">
        <f t="shared" si="12"/>
        <v>1139</v>
      </c>
      <c r="B424" s="1">
        <v>11</v>
      </c>
      <c r="C424" s="1">
        <v>39</v>
      </c>
      <c r="D424" s="1">
        <f ca="1">OFFSET(控制台!$C$4617,MATCH(B424,控制台!$B$4617:$B$4629,0)-2,0)*控制台!$C$4610</f>
        <v>80000</v>
      </c>
      <c r="E424" s="1">
        <f ca="1">OFFSET(控制台!$C$4617,MATCH(B424,控制台!$B$4617:$B$4629,0)-1,0)*控制台!$C$4610</f>
        <v>90000</v>
      </c>
      <c r="F424" s="1">
        <f>(_xlfn.FLOOR.MATH((C424-1)/8)+1)/5</f>
        <v>1</v>
      </c>
      <c r="G424" s="4">
        <f ca="1">Lerp_dyy(D424,E424,F424)</f>
        <v>90000</v>
      </c>
      <c r="H424" s="1">
        <f ca="1">OFFSET(控制台!$E$4617,MATCH(B424,控制台!$B$4617:$B$4629,0)-2,0)*控制台!$C$4611</f>
        <v>80</v>
      </c>
      <c r="I424" s="1">
        <f ca="1">OFFSET(控制台!$E$4617,MATCH(B424,控制台!$B$4617:$B$4629,0)-1,0)*控制台!$C$4611</f>
        <v>100</v>
      </c>
      <c r="J424" s="1">
        <f>(_xlfn.FLOOR.MATH((C424-1)/20)+1)/2</f>
        <v>1</v>
      </c>
      <c r="K424" s="4">
        <f ca="1">IF(MOD(C424,4)=0,0,Lerp_dyy(H424,I424,J424))</f>
        <v>100</v>
      </c>
      <c r="L424" s="1">
        <f ca="1">OFFSET(控制台!$G$4617,MATCH(B424,控制台!$B$4617:$B$4629,0)-2,0)*控制台!$C$4612</f>
        <v>18</v>
      </c>
      <c r="M424" s="1">
        <f ca="1">OFFSET(控制台!$G$4617,MATCH(B424,控制台!$B$4617:$B$4629,0)-1,0)*控制台!$C$4612</f>
        <v>20</v>
      </c>
      <c r="N424" s="1">
        <v>1</v>
      </c>
      <c r="O424" s="4">
        <f ca="1">IF(MOD(C424,4)=0,Lerp_dyy(L424,M424,N424),0)</f>
        <v>0</v>
      </c>
    </row>
    <row r="425" spans="1:15">
      <c r="A425" s="1">
        <f t="shared" si="12"/>
        <v>1140</v>
      </c>
      <c r="B425" s="1">
        <v>11</v>
      </c>
      <c r="C425" s="1">
        <v>40</v>
      </c>
      <c r="D425" s="1">
        <f ca="1">OFFSET(控制台!$C$4617,MATCH(B425,控制台!$B$4617:$B$4629,0)-2,0)*控制台!$C$4610</f>
        <v>80000</v>
      </c>
      <c r="E425" s="1">
        <f ca="1">OFFSET(控制台!$C$4617,MATCH(B425,控制台!$B$4617:$B$4629,0)-1,0)*控制台!$C$4610</f>
        <v>90000</v>
      </c>
      <c r="F425" s="1">
        <f>(_xlfn.FLOOR.MATH((C425-1)/8)+1)/5</f>
        <v>1</v>
      </c>
      <c r="G425" s="4">
        <f ca="1">Lerp_dyy(D425,E425,F425)</f>
        <v>90000</v>
      </c>
      <c r="H425" s="1">
        <f ca="1">OFFSET(控制台!$E$4617,MATCH(B425,控制台!$B$4617:$B$4629,0)-2,0)*控制台!$C$4611</f>
        <v>80</v>
      </c>
      <c r="I425" s="1">
        <f ca="1">OFFSET(控制台!$E$4617,MATCH(B425,控制台!$B$4617:$B$4629,0)-1,0)*控制台!$C$4611</f>
        <v>100</v>
      </c>
      <c r="J425" s="1">
        <f>(_xlfn.FLOOR.MATH((C425-1)/20)+1)/2</f>
        <v>1</v>
      </c>
      <c r="K425" s="4">
        <f ca="1">IF(MOD(C425,4)=0,0,Lerp_dyy(H425,I425,J425))</f>
        <v>0</v>
      </c>
      <c r="L425" s="1">
        <f ca="1">OFFSET(控制台!$G$4617,MATCH(B425,控制台!$B$4617:$B$4629,0)-2,0)*控制台!$C$4612</f>
        <v>18</v>
      </c>
      <c r="M425" s="1">
        <f ca="1">OFFSET(控制台!$G$4617,MATCH(B425,控制台!$B$4617:$B$4629,0)-1,0)*控制台!$C$4612</f>
        <v>20</v>
      </c>
      <c r="N425" s="1">
        <v>1</v>
      </c>
      <c r="O425" s="4">
        <f ca="1">IF(MOD(C425,4)=0,Lerp_dyy(L425,M425,N425),0)</f>
        <v>20</v>
      </c>
    </row>
    <row r="426" spans="1:15">
      <c r="A426" s="1">
        <f t="shared" si="12"/>
        <v>1201</v>
      </c>
      <c r="B426" s="1">
        <v>12</v>
      </c>
      <c r="C426" s="1">
        <v>1</v>
      </c>
      <c r="D426" s="1">
        <f ca="1">OFFSET(控制台!$C$4617,MATCH(B426,控制台!$B$4617:$B$4629,0)-2,0)*控制台!$C$4610</f>
        <v>90000</v>
      </c>
      <c r="E426" s="1">
        <f ca="1">OFFSET(控制台!$C$4617,MATCH(B426,控制台!$B$4617:$B$4629,0)-1,0)*控制台!$C$4610</f>
        <v>100000</v>
      </c>
      <c r="F426" s="1">
        <f>(_xlfn.FLOOR.MATH((C426-1)/8)+1)/5</f>
        <v>0.2</v>
      </c>
      <c r="G426" s="4">
        <f ca="1">Lerp_dyy(D426,E426,F426)</f>
        <v>92000</v>
      </c>
      <c r="H426" s="1">
        <f ca="1">OFFSET(控制台!$E$4617,MATCH(B426,控制台!$B$4617:$B$4629,0)-2,0)*控制台!$C$4611</f>
        <v>100</v>
      </c>
      <c r="I426" s="1">
        <f ca="1">OFFSET(控制台!$E$4617,MATCH(B426,控制台!$B$4617:$B$4629,0)-1,0)*控制台!$C$4611</f>
        <v>100</v>
      </c>
      <c r="J426" s="1">
        <f>(_xlfn.FLOOR.MATH((C426-1)/20)+1)/2</f>
        <v>0.5</v>
      </c>
      <c r="K426" s="4">
        <f ca="1">IF(MOD(C426,4)=0,0,Lerp_dyy(H426,I426,J426))</f>
        <v>100</v>
      </c>
      <c r="L426" s="1">
        <f ca="1">OFFSET(控制台!$G$4617,MATCH(B426,控制台!$B$4617:$B$4629,0)-2,0)*控制台!$C$4612</f>
        <v>20</v>
      </c>
      <c r="M426" s="1">
        <f ca="1">OFFSET(控制台!$G$4617,MATCH(B426,控制台!$B$4617:$B$4629,0)-1,0)*控制台!$C$4612</f>
        <v>20</v>
      </c>
      <c r="N426" s="1">
        <v>1</v>
      </c>
      <c r="O426" s="4">
        <f ca="1">IF(MOD(C426,4)=0,Lerp_dyy(L426,M426,N426),0)</f>
        <v>0</v>
      </c>
    </row>
    <row r="427" spans="1:15">
      <c r="A427" s="1">
        <f t="shared" si="12"/>
        <v>1202</v>
      </c>
      <c r="B427" s="1">
        <v>12</v>
      </c>
      <c r="C427" s="1">
        <v>2</v>
      </c>
      <c r="D427" s="1">
        <f ca="1">OFFSET(控制台!$C$4617,MATCH(B427,控制台!$B$4617:$B$4629,0)-2,0)*控制台!$C$4610</f>
        <v>90000</v>
      </c>
      <c r="E427" s="1">
        <f ca="1">OFFSET(控制台!$C$4617,MATCH(B427,控制台!$B$4617:$B$4629,0)-1,0)*控制台!$C$4610</f>
        <v>100000</v>
      </c>
      <c r="F427" s="1">
        <f>(_xlfn.FLOOR.MATH((C427-1)/8)+1)/5</f>
        <v>0.2</v>
      </c>
      <c r="G427" s="4">
        <f ca="1">Lerp_dyy(D427,E427,F427)</f>
        <v>92000</v>
      </c>
      <c r="H427" s="1">
        <f ca="1">OFFSET(控制台!$E$4617,MATCH(B427,控制台!$B$4617:$B$4629,0)-2,0)*控制台!$C$4611</f>
        <v>100</v>
      </c>
      <c r="I427" s="1">
        <f ca="1">OFFSET(控制台!$E$4617,MATCH(B427,控制台!$B$4617:$B$4629,0)-1,0)*控制台!$C$4611</f>
        <v>100</v>
      </c>
      <c r="J427" s="1">
        <f>(_xlfn.FLOOR.MATH((C427-1)/20)+1)/2</f>
        <v>0.5</v>
      </c>
      <c r="K427" s="4">
        <f ca="1">IF(MOD(C427,4)=0,0,Lerp_dyy(H427,I427,J427))</f>
        <v>100</v>
      </c>
      <c r="L427" s="1">
        <f ca="1">OFFSET(控制台!$G$4617,MATCH(B427,控制台!$B$4617:$B$4629,0)-2,0)*控制台!$C$4612</f>
        <v>20</v>
      </c>
      <c r="M427" s="1">
        <f ca="1">OFFSET(控制台!$G$4617,MATCH(B427,控制台!$B$4617:$B$4629,0)-1,0)*控制台!$C$4612</f>
        <v>20</v>
      </c>
      <c r="N427" s="1">
        <v>1</v>
      </c>
      <c r="O427" s="4">
        <f ca="1">IF(MOD(C427,4)=0,Lerp_dyy(L427,M427,N427),0)</f>
        <v>0</v>
      </c>
    </row>
    <row r="428" spans="1:15">
      <c r="A428" s="1">
        <f t="shared" si="12"/>
        <v>1203</v>
      </c>
      <c r="B428" s="1">
        <v>12</v>
      </c>
      <c r="C428" s="1">
        <v>3</v>
      </c>
      <c r="D428" s="1">
        <f ca="1">OFFSET(控制台!$C$4617,MATCH(B428,控制台!$B$4617:$B$4629,0)-2,0)*控制台!$C$4610</f>
        <v>90000</v>
      </c>
      <c r="E428" s="1">
        <f ca="1">OFFSET(控制台!$C$4617,MATCH(B428,控制台!$B$4617:$B$4629,0)-1,0)*控制台!$C$4610</f>
        <v>100000</v>
      </c>
      <c r="F428" s="1">
        <f>(_xlfn.FLOOR.MATH((C428-1)/8)+1)/5</f>
        <v>0.2</v>
      </c>
      <c r="G428" s="4">
        <f ca="1">Lerp_dyy(D428,E428,F428)</f>
        <v>92000</v>
      </c>
      <c r="H428" s="1">
        <f ca="1">OFFSET(控制台!$E$4617,MATCH(B428,控制台!$B$4617:$B$4629,0)-2,0)*控制台!$C$4611</f>
        <v>100</v>
      </c>
      <c r="I428" s="1">
        <f ca="1">OFFSET(控制台!$E$4617,MATCH(B428,控制台!$B$4617:$B$4629,0)-1,0)*控制台!$C$4611</f>
        <v>100</v>
      </c>
      <c r="J428" s="1">
        <f>(_xlfn.FLOOR.MATH((C428-1)/20)+1)/2</f>
        <v>0.5</v>
      </c>
      <c r="K428" s="4">
        <f ca="1">IF(MOD(C428,4)=0,0,Lerp_dyy(H428,I428,J428))</f>
        <v>100</v>
      </c>
      <c r="L428" s="1">
        <f ca="1">OFFSET(控制台!$G$4617,MATCH(B428,控制台!$B$4617:$B$4629,0)-2,0)*控制台!$C$4612</f>
        <v>20</v>
      </c>
      <c r="M428" s="1">
        <f ca="1">OFFSET(控制台!$G$4617,MATCH(B428,控制台!$B$4617:$B$4629,0)-1,0)*控制台!$C$4612</f>
        <v>20</v>
      </c>
      <c r="N428" s="1">
        <v>1</v>
      </c>
      <c r="O428" s="4">
        <f ca="1">IF(MOD(C428,4)=0,Lerp_dyy(L428,M428,N428),0)</f>
        <v>0</v>
      </c>
    </row>
    <row r="429" spans="1:15">
      <c r="A429" s="1">
        <f t="shared" si="12"/>
        <v>1204</v>
      </c>
      <c r="B429" s="1">
        <v>12</v>
      </c>
      <c r="C429" s="1">
        <v>4</v>
      </c>
      <c r="D429" s="1">
        <f ca="1">OFFSET(控制台!$C$4617,MATCH(B429,控制台!$B$4617:$B$4629,0)-2,0)*控制台!$C$4610</f>
        <v>90000</v>
      </c>
      <c r="E429" s="1">
        <f ca="1">OFFSET(控制台!$C$4617,MATCH(B429,控制台!$B$4617:$B$4629,0)-1,0)*控制台!$C$4610</f>
        <v>100000</v>
      </c>
      <c r="F429" s="1">
        <f>(_xlfn.FLOOR.MATH((C429-1)/8)+1)/5</f>
        <v>0.2</v>
      </c>
      <c r="G429" s="4">
        <f ca="1">Lerp_dyy(D429,E429,F429)</f>
        <v>92000</v>
      </c>
      <c r="H429" s="1">
        <f ca="1">OFFSET(控制台!$E$4617,MATCH(B429,控制台!$B$4617:$B$4629,0)-2,0)*控制台!$C$4611</f>
        <v>100</v>
      </c>
      <c r="I429" s="1">
        <f ca="1">OFFSET(控制台!$E$4617,MATCH(B429,控制台!$B$4617:$B$4629,0)-1,0)*控制台!$C$4611</f>
        <v>100</v>
      </c>
      <c r="J429" s="1">
        <f>(_xlfn.FLOOR.MATH((C429-1)/20)+1)/2</f>
        <v>0.5</v>
      </c>
      <c r="K429" s="4">
        <f ca="1">IF(MOD(C429,4)=0,0,Lerp_dyy(H429,I429,J429))</f>
        <v>0</v>
      </c>
      <c r="L429" s="1">
        <f ca="1">OFFSET(控制台!$G$4617,MATCH(B429,控制台!$B$4617:$B$4629,0)-2,0)*控制台!$C$4612</f>
        <v>20</v>
      </c>
      <c r="M429" s="1">
        <f ca="1">OFFSET(控制台!$G$4617,MATCH(B429,控制台!$B$4617:$B$4629,0)-1,0)*控制台!$C$4612</f>
        <v>20</v>
      </c>
      <c r="N429" s="1">
        <v>1</v>
      </c>
      <c r="O429" s="4">
        <f ca="1">IF(MOD(C429,4)=0,Lerp_dyy(L429,M429,N429),0)</f>
        <v>20</v>
      </c>
    </row>
    <row r="430" spans="1:15">
      <c r="A430" s="1">
        <f t="shared" si="12"/>
        <v>1205</v>
      </c>
      <c r="B430" s="1">
        <v>12</v>
      </c>
      <c r="C430" s="1">
        <v>5</v>
      </c>
      <c r="D430" s="1">
        <f ca="1">OFFSET(控制台!$C$4617,MATCH(B430,控制台!$B$4617:$B$4629,0)-2,0)*控制台!$C$4610</f>
        <v>90000</v>
      </c>
      <c r="E430" s="1">
        <f ca="1">OFFSET(控制台!$C$4617,MATCH(B430,控制台!$B$4617:$B$4629,0)-1,0)*控制台!$C$4610</f>
        <v>100000</v>
      </c>
      <c r="F430" s="1">
        <f>(_xlfn.FLOOR.MATH((C430-1)/8)+1)/5</f>
        <v>0.2</v>
      </c>
      <c r="G430" s="4">
        <f ca="1">Lerp_dyy(D430,E430,F430)</f>
        <v>92000</v>
      </c>
      <c r="H430" s="1">
        <f ca="1">OFFSET(控制台!$E$4617,MATCH(B430,控制台!$B$4617:$B$4629,0)-2,0)*控制台!$C$4611</f>
        <v>100</v>
      </c>
      <c r="I430" s="1">
        <f ca="1">OFFSET(控制台!$E$4617,MATCH(B430,控制台!$B$4617:$B$4629,0)-1,0)*控制台!$C$4611</f>
        <v>100</v>
      </c>
      <c r="J430" s="1">
        <f>(_xlfn.FLOOR.MATH((C430-1)/20)+1)/2</f>
        <v>0.5</v>
      </c>
      <c r="K430" s="4">
        <f ca="1">IF(MOD(C430,4)=0,0,Lerp_dyy(H430,I430,J430))</f>
        <v>100</v>
      </c>
      <c r="L430" s="1">
        <f ca="1">OFFSET(控制台!$G$4617,MATCH(B430,控制台!$B$4617:$B$4629,0)-2,0)*控制台!$C$4612</f>
        <v>20</v>
      </c>
      <c r="M430" s="1">
        <f ca="1">OFFSET(控制台!$G$4617,MATCH(B430,控制台!$B$4617:$B$4629,0)-1,0)*控制台!$C$4612</f>
        <v>20</v>
      </c>
      <c r="N430" s="1">
        <v>1</v>
      </c>
      <c r="O430" s="4">
        <f ca="1">IF(MOD(C430,4)=0,Lerp_dyy(L430,M430,N430),0)</f>
        <v>0</v>
      </c>
    </row>
    <row r="431" spans="1:15">
      <c r="A431" s="1">
        <f t="shared" si="12"/>
        <v>1206</v>
      </c>
      <c r="B431" s="1">
        <v>12</v>
      </c>
      <c r="C431" s="1">
        <v>6</v>
      </c>
      <c r="D431" s="1">
        <f ca="1">OFFSET(控制台!$C$4617,MATCH(B431,控制台!$B$4617:$B$4629,0)-2,0)*控制台!$C$4610</f>
        <v>90000</v>
      </c>
      <c r="E431" s="1">
        <f ca="1">OFFSET(控制台!$C$4617,MATCH(B431,控制台!$B$4617:$B$4629,0)-1,0)*控制台!$C$4610</f>
        <v>100000</v>
      </c>
      <c r="F431" s="1">
        <f>(_xlfn.FLOOR.MATH((C431-1)/8)+1)/5</f>
        <v>0.2</v>
      </c>
      <c r="G431" s="4">
        <f ca="1">Lerp_dyy(D431,E431,F431)</f>
        <v>92000</v>
      </c>
      <c r="H431" s="1">
        <f ca="1">OFFSET(控制台!$E$4617,MATCH(B431,控制台!$B$4617:$B$4629,0)-2,0)*控制台!$C$4611</f>
        <v>100</v>
      </c>
      <c r="I431" s="1">
        <f ca="1">OFFSET(控制台!$E$4617,MATCH(B431,控制台!$B$4617:$B$4629,0)-1,0)*控制台!$C$4611</f>
        <v>100</v>
      </c>
      <c r="J431" s="1">
        <f>(_xlfn.FLOOR.MATH((C431-1)/20)+1)/2</f>
        <v>0.5</v>
      </c>
      <c r="K431" s="4">
        <f ca="1">IF(MOD(C431,4)=0,0,Lerp_dyy(H431,I431,J431))</f>
        <v>100</v>
      </c>
      <c r="L431" s="1">
        <f ca="1">OFFSET(控制台!$G$4617,MATCH(B431,控制台!$B$4617:$B$4629,0)-2,0)*控制台!$C$4612</f>
        <v>20</v>
      </c>
      <c r="M431" s="1">
        <f ca="1">OFFSET(控制台!$G$4617,MATCH(B431,控制台!$B$4617:$B$4629,0)-1,0)*控制台!$C$4612</f>
        <v>20</v>
      </c>
      <c r="N431" s="1">
        <v>1</v>
      </c>
      <c r="O431" s="4">
        <f ca="1">IF(MOD(C431,4)=0,Lerp_dyy(L431,M431,N431),0)</f>
        <v>0</v>
      </c>
    </row>
    <row r="432" spans="1:15">
      <c r="A432" s="1">
        <f t="shared" si="12"/>
        <v>1207</v>
      </c>
      <c r="B432" s="1">
        <v>12</v>
      </c>
      <c r="C432" s="1">
        <v>7</v>
      </c>
      <c r="D432" s="1">
        <f ca="1">OFFSET(控制台!$C$4617,MATCH(B432,控制台!$B$4617:$B$4629,0)-2,0)*控制台!$C$4610</f>
        <v>90000</v>
      </c>
      <c r="E432" s="1">
        <f ca="1">OFFSET(控制台!$C$4617,MATCH(B432,控制台!$B$4617:$B$4629,0)-1,0)*控制台!$C$4610</f>
        <v>100000</v>
      </c>
      <c r="F432" s="1">
        <f>(_xlfn.FLOOR.MATH((C432-1)/8)+1)/5</f>
        <v>0.2</v>
      </c>
      <c r="G432" s="4">
        <f ca="1">Lerp_dyy(D432,E432,F432)</f>
        <v>92000</v>
      </c>
      <c r="H432" s="1">
        <f ca="1">OFFSET(控制台!$E$4617,MATCH(B432,控制台!$B$4617:$B$4629,0)-2,0)*控制台!$C$4611</f>
        <v>100</v>
      </c>
      <c r="I432" s="1">
        <f ca="1">OFFSET(控制台!$E$4617,MATCH(B432,控制台!$B$4617:$B$4629,0)-1,0)*控制台!$C$4611</f>
        <v>100</v>
      </c>
      <c r="J432" s="1">
        <f>(_xlfn.FLOOR.MATH((C432-1)/20)+1)/2</f>
        <v>0.5</v>
      </c>
      <c r="K432" s="4">
        <f ca="1">IF(MOD(C432,4)=0,0,Lerp_dyy(H432,I432,J432))</f>
        <v>100</v>
      </c>
      <c r="L432" s="1">
        <f ca="1">OFFSET(控制台!$G$4617,MATCH(B432,控制台!$B$4617:$B$4629,0)-2,0)*控制台!$C$4612</f>
        <v>20</v>
      </c>
      <c r="M432" s="1">
        <f ca="1">OFFSET(控制台!$G$4617,MATCH(B432,控制台!$B$4617:$B$4629,0)-1,0)*控制台!$C$4612</f>
        <v>20</v>
      </c>
      <c r="N432" s="1">
        <v>1</v>
      </c>
      <c r="O432" s="4">
        <f ca="1">IF(MOD(C432,4)=0,Lerp_dyy(L432,M432,N432),0)</f>
        <v>0</v>
      </c>
    </row>
    <row r="433" spans="1:15">
      <c r="A433" s="1">
        <f t="shared" si="12"/>
        <v>1208</v>
      </c>
      <c r="B433" s="1">
        <v>12</v>
      </c>
      <c r="C433" s="1">
        <v>8</v>
      </c>
      <c r="D433" s="1">
        <f ca="1">OFFSET(控制台!$C$4617,MATCH(B433,控制台!$B$4617:$B$4629,0)-2,0)*控制台!$C$4610</f>
        <v>90000</v>
      </c>
      <c r="E433" s="1">
        <f ca="1">OFFSET(控制台!$C$4617,MATCH(B433,控制台!$B$4617:$B$4629,0)-1,0)*控制台!$C$4610</f>
        <v>100000</v>
      </c>
      <c r="F433" s="1">
        <f>(_xlfn.FLOOR.MATH((C433-1)/8)+1)/5</f>
        <v>0.2</v>
      </c>
      <c r="G433" s="4">
        <f ca="1">Lerp_dyy(D433,E433,F433)</f>
        <v>92000</v>
      </c>
      <c r="H433" s="1">
        <f ca="1">OFFSET(控制台!$E$4617,MATCH(B433,控制台!$B$4617:$B$4629,0)-2,0)*控制台!$C$4611</f>
        <v>100</v>
      </c>
      <c r="I433" s="1">
        <f ca="1">OFFSET(控制台!$E$4617,MATCH(B433,控制台!$B$4617:$B$4629,0)-1,0)*控制台!$C$4611</f>
        <v>100</v>
      </c>
      <c r="J433" s="1">
        <f>(_xlfn.FLOOR.MATH((C433-1)/20)+1)/2</f>
        <v>0.5</v>
      </c>
      <c r="K433" s="4">
        <f ca="1">IF(MOD(C433,4)=0,0,Lerp_dyy(H433,I433,J433))</f>
        <v>0</v>
      </c>
      <c r="L433" s="1">
        <f ca="1">OFFSET(控制台!$G$4617,MATCH(B433,控制台!$B$4617:$B$4629,0)-2,0)*控制台!$C$4612</f>
        <v>20</v>
      </c>
      <c r="M433" s="1">
        <f ca="1">OFFSET(控制台!$G$4617,MATCH(B433,控制台!$B$4617:$B$4629,0)-1,0)*控制台!$C$4612</f>
        <v>20</v>
      </c>
      <c r="N433" s="1">
        <v>1</v>
      </c>
      <c r="O433" s="4">
        <f ca="1">IF(MOD(C433,4)=0,Lerp_dyy(L433,M433,N433),0)</f>
        <v>20</v>
      </c>
    </row>
    <row r="434" spans="1:15">
      <c r="A434" s="1">
        <f t="shared" si="12"/>
        <v>1209</v>
      </c>
      <c r="B434" s="1">
        <v>12</v>
      </c>
      <c r="C434" s="1">
        <v>9</v>
      </c>
      <c r="D434" s="1">
        <f ca="1">OFFSET(控制台!$C$4617,MATCH(B434,控制台!$B$4617:$B$4629,0)-2,0)*控制台!$C$4610</f>
        <v>90000</v>
      </c>
      <c r="E434" s="1">
        <f ca="1">OFFSET(控制台!$C$4617,MATCH(B434,控制台!$B$4617:$B$4629,0)-1,0)*控制台!$C$4610</f>
        <v>100000</v>
      </c>
      <c r="F434" s="1">
        <f>(_xlfn.FLOOR.MATH((C434-1)/8)+1)/5</f>
        <v>0.4</v>
      </c>
      <c r="G434" s="4">
        <f ca="1">Lerp_dyy(D434,E434,F434)</f>
        <v>94000</v>
      </c>
      <c r="H434" s="1">
        <f ca="1">OFFSET(控制台!$E$4617,MATCH(B434,控制台!$B$4617:$B$4629,0)-2,0)*控制台!$C$4611</f>
        <v>100</v>
      </c>
      <c r="I434" s="1">
        <f ca="1">OFFSET(控制台!$E$4617,MATCH(B434,控制台!$B$4617:$B$4629,0)-1,0)*控制台!$C$4611</f>
        <v>100</v>
      </c>
      <c r="J434" s="1">
        <f>(_xlfn.FLOOR.MATH((C434-1)/20)+1)/2</f>
        <v>0.5</v>
      </c>
      <c r="K434" s="4">
        <f ca="1">IF(MOD(C434,4)=0,0,Lerp_dyy(H434,I434,J434))</f>
        <v>100</v>
      </c>
      <c r="L434" s="1">
        <f ca="1">OFFSET(控制台!$G$4617,MATCH(B434,控制台!$B$4617:$B$4629,0)-2,0)*控制台!$C$4612</f>
        <v>20</v>
      </c>
      <c r="M434" s="1">
        <f ca="1">OFFSET(控制台!$G$4617,MATCH(B434,控制台!$B$4617:$B$4629,0)-1,0)*控制台!$C$4612</f>
        <v>20</v>
      </c>
      <c r="N434" s="1">
        <v>1</v>
      </c>
      <c r="O434" s="4">
        <f ca="1">IF(MOD(C434,4)=0,Lerp_dyy(L434,M434,N434),0)</f>
        <v>0</v>
      </c>
    </row>
    <row r="435" spans="1:15">
      <c r="A435" s="1">
        <f t="shared" ref="A435:A444" si="13">B435*100+C435</f>
        <v>1210</v>
      </c>
      <c r="B435" s="1">
        <v>12</v>
      </c>
      <c r="C435" s="1">
        <v>10</v>
      </c>
      <c r="D435" s="1">
        <f ca="1">OFFSET(控制台!$C$4617,MATCH(B435,控制台!$B$4617:$B$4629,0)-2,0)*控制台!$C$4610</f>
        <v>90000</v>
      </c>
      <c r="E435" s="1">
        <f ca="1">OFFSET(控制台!$C$4617,MATCH(B435,控制台!$B$4617:$B$4629,0)-1,0)*控制台!$C$4610</f>
        <v>100000</v>
      </c>
      <c r="F435" s="1">
        <f>(_xlfn.FLOOR.MATH((C435-1)/8)+1)/5</f>
        <v>0.4</v>
      </c>
      <c r="G435" s="4">
        <f ca="1">Lerp_dyy(D435,E435,F435)</f>
        <v>94000</v>
      </c>
      <c r="H435" s="1">
        <f ca="1">OFFSET(控制台!$E$4617,MATCH(B435,控制台!$B$4617:$B$4629,0)-2,0)*控制台!$C$4611</f>
        <v>100</v>
      </c>
      <c r="I435" s="1">
        <f ca="1">OFFSET(控制台!$E$4617,MATCH(B435,控制台!$B$4617:$B$4629,0)-1,0)*控制台!$C$4611</f>
        <v>100</v>
      </c>
      <c r="J435" s="1">
        <f>(_xlfn.FLOOR.MATH((C435-1)/20)+1)/2</f>
        <v>0.5</v>
      </c>
      <c r="K435" s="4">
        <f ca="1">IF(MOD(C435,4)=0,0,Lerp_dyy(H435,I435,J435))</f>
        <v>100</v>
      </c>
      <c r="L435" s="1">
        <f ca="1">OFFSET(控制台!$G$4617,MATCH(B435,控制台!$B$4617:$B$4629,0)-2,0)*控制台!$C$4612</f>
        <v>20</v>
      </c>
      <c r="M435" s="1">
        <f ca="1">OFFSET(控制台!$G$4617,MATCH(B435,控制台!$B$4617:$B$4629,0)-1,0)*控制台!$C$4612</f>
        <v>20</v>
      </c>
      <c r="N435" s="1">
        <v>1</v>
      </c>
      <c r="O435" s="4">
        <f ca="1">IF(MOD(C435,4)=0,Lerp_dyy(L435,M435,N435),0)</f>
        <v>0</v>
      </c>
    </row>
    <row r="436" spans="1:15">
      <c r="A436" s="1">
        <f t="shared" si="13"/>
        <v>1211</v>
      </c>
      <c r="B436" s="1">
        <v>12</v>
      </c>
      <c r="C436" s="1">
        <v>11</v>
      </c>
      <c r="D436" s="1">
        <f ca="1">OFFSET(控制台!$C$4617,MATCH(B436,控制台!$B$4617:$B$4629,0)-2,0)*控制台!$C$4610</f>
        <v>90000</v>
      </c>
      <c r="E436" s="1">
        <f ca="1">OFFSET(控制台!$C$4617,MATCH(B436,控制台!$B$4617:$B$4629,0)-1,0)*控制台!$C$4610</f>
        <v>100000</v>
      </c>
      <c r="F436" s="1">
        <f>(_xlfn.FLOOR.MATH((C436-1)/8)+1)/5</f>
        <v>0.4</v>
      </c>
      <c r="G436" s="4">
        <f ca="1">Lerp_dyy(D436,E436,F436)</f>
        <v>94000</v>
      </c>
      <c r="H436" s="1">
        <f ca="1">OFFSET(控制台!$E$4617,MATCH(B436,控制台!$B$4617:$B$4629,0)-2,0)*控制台!$C$4611</f>
        <v>100</v>
      </c>
      <c r="I436" s="1">
        <f ca="1">OFFSET(控制台!$E$4617,MATCH(B436,控制台!$B$4617:$B$4629,0)-1,0)*控制台!$C$4611</f>
        <v>100</v>
      </c>
      <c r="J436" s="1">
        <f>(_xlfn.FLOOR.MATH((C436-1)/20)+1)/2</f>
        <v>0.5</v>
      </c>
      <c r="K436" s="4">
        <f ca="1">IF(MOD(C436,4)=0,0,Lerp_dyy(H436,I436,J436))</f>
        <v>100</v>
      </c>
      <c r="L436" s="1">
        <f ca="1">OFFSET(控制台!$G$4617,MATCH(B436,控制台!$B$4617:$B$4629,0)-2,0)*控制台!$C$4612</f>
        <v>20</v>
      </c>
      <c r="M436" s="1">
        <f ca="1">OFFSET(控制台!$G$4617,MATCH(B436,控制台!$B$4617:$B$4629,0)-1,0)*控制台!$C$4612</f>
        <v>20</v>
      </c>
      <c r="N436" s="1">
        <v>1</v>
      </c>
      <c r="O436" s="4">
        <f ca="1">IF(MOD(C436,4)=0,Lerp_dyy(L436,M436,N436),0)</f>
        <v>0</v>
      </c>
    </row>
    <row r="437" spans="1:15">
      <c r="A437" s="1">
        <f t="shared" si="13"/>
        <v>1212</v>
      </c>
      <c r="B437" s="1">
        <v>12</v>
      </c>
      <c r="C437" s="1">
        <v>12</v>
      </c>
      <c r="D437" s="1">
        <f ca="1">OFFSET(控制台!$C$4617,MATCH(B437,控制台!$B$4617:$B$4629,0)-2,0)*控制台!$C$4610</f>
        <v>90000</v>
      </c>
      <c r="E437" s="1">
        <f ca="1">OFFSET(控制台!$C$4617,MATCH(B437,控制台!$B$4617:$B$4629,0)-1,0)*控制台!$C$4610</f>
        <v>100000</v>
      </c>
      <c r="F437" s="1">
        <f>(_xlfn.FLOOR.MATH((C437-1)/8)+1)/5</f>
        <v>0.4</v>
      </c>
      <c r="G437" s="4">
        <f ca="1">Lerp_dyy(D437,E437,F437)</f>
        <v>94000</v>
      </c>
      <c r="H437" s="1">
        <f ca="1">OFFSET(控制台!$E$4617,MATCH(B437,控制台!$B$4617:$B$4629,0)-2,0)*控制台!$C$4611</f>
        <v>100</v>
      </c>
      <c r="I437" s="1">
        <f ca="1">OFFSET(控制台!$E$4617,MATCH(B437,控制台!$B$4617:$B$4629,0)-1,0)*控制台!$C$4611</f>
        <v>100</v>
      </c>
      <c r="J437" s="1">
        <f>(_xlfn.FLOOR.MATH((C437-1)/20)+1)/2</f>
        <v>0.5</v>
      </c>
      <c r="K437" s="4">
        <f ca="1">IF(MOD(C437,4)=0,0,Lerp_dyy(H437,I437,J437))</f>
        <v>0</v>
      </c>
      <c r="L437" s="1">
        <f ca="1">OFFSET(控制台!$G$4617,MATCH(B437,控制台!$B$4617:$B$4629,0)-2,0)*控制台!$C$4612</f>
        <v>20</v>
      </c>
      <c r="M437" s="1">
        <f ca="1">OFFSET(控制台!$G$4617,MATCH(B437,控制台!$B$4617:$B$4629,0)-1,0)*控制台!$C$4612</f>
        <v>20</v>
      </c>
      <c r="N437" s="1">
        <v>1</v>
      </c>
      <c r="O437" s="4">
        <f ca="1">IF(MOD(C437,4)=0,Lerp_dyy(L437,M437,N437),0)</f>
        <v>20</v>
      </c>
    </row>
    <row r="438" spans="1:15">
      <c r="A438" s="1">
        <f t="shared" si="13"/>
        <v>1213</v>
      </c>
      <c r="B438" s="1">
        <v>12</v>
      </c>
      <c r="C438" s="1">
        <v>13</v>
      </c>
      <c r="D438" s="1">
        <f ca="1">OFFSET(控制台!$C$4617,MATCH(B438,控制台!$B$4617:$B$4629,0)-2,0)*控制台!$C$4610</f>
        <v>90000</v>
      </c>
      <c r="E438" s="1">
        <f ca="1">OFFSET(控制台!$C$4617,MATCH(B438,控制台!$B$4617:$B$4629,0)-1,0)*控制台!$C$4610</f>
        <v>100000</v>
      </c>
      <c r="F438" s="1">
        <f>(_xlfn.FLOOR.MATH((C438-1)/8)+1)/5</f>
        <v>0.4</v>
      </c>
      <c r="G438" s="4">
        <f ca="1">Lerp_dyy(D438,E438,F438)</f>
        <v>94000</v>
      </c>
      <c r="H438" s="1">
        <f ca="1">OFFSET(控制台!$E$4617,MATCH(B438,控制台!$B$4617:$B$4629,0)-2,0)*控制台!$C$4611</f>
        <v>100</v>
      </c>
      <c r="I438" s="1">
        <f ca="1">OFFSET(控制台!$E$4617,MATCH(B438,控制台!$B$4617:$B$4629,0)-1,0)*控制台!$C$4611</f>
        <v>100</v>
      </c>
      <c r="J438" s="1">
        <f>(_xlfn.FLOOR.MATH((C438-1)/20)+1)/2</f>
        <v>0.5</v>
      </c>
      <c r="K438" s="4">
        <f ca="1">IF(MOD(C438,4)=0,0,Lerp_dyy(H438,I438,J438))</f>
        <v>100</v>
      </c>
      <c r="L438" s="1">
        <f ca="1">OFFSET(控制台!$G$4617,MATCH(B438,控制台!$B$4617:$B$4629,0)-2,0)*控制台!$C$4612</f>
        <v>20</v>
      </c>
      <c r="M438" s="1">
        <f ca="1">OFFSET(控制台!$G$4617,MATCH(B438,控制台!$B$4617:$B$4629,0)-1,0)*控制台!$C$4612</f>
        <v>20</v>
      </c>
      <c r="N438" s="1">
        <v>1</v>
      </c>
      <c r="O438" s="4">
        <f ca="1">IF(MOD(C438,4)=0,Lerp_dyy(L438,M438,N438),0)</f>
        <v>0</v>
      </c>
    </row>
    <row r="439" spans="1:15">
      <c r="A439" s="1">
        <f t="shared" si="13"/>
        <v>1214</v>
      </c>
      <c r="B439" s="1">
        <v>12</v>
      </c>
      <c r="C439" s="1">
        <v>14</v>
      </c>
      <c r="D439" s="1">
        <f ca="1">OFFSET(控制台!$C$4617,MATCH(B439,控制台!$B$4617:$B$4629,0)-2,0)*控制台!$C$4610</f>
        <v>90000</v>
      </c>
      <c r="E439" s="1">
        <f ca="1">OFFSET(控制台!$C$4617,MATCH(B439,控制台!$B$4617:$B$4629,0)-1,0)*控制台!$C$4610</f>
        <v>100000</v>
      </c>
      <c r="F439" s="1">
        <f>(_xlfn.FLOOR.MATH((C439-1)/8)+1)/5</f>
        <v>0.4</v>
      </c>
      <c r="G439" s="4">
        <f ca="1">Lerp_dyy(D439,E439,F439)</f>
        <v>94000</v>
      </c>
      <c r="H439" s="1">
        <f ca="1">OFFSET(控制台!$E$4617,MATCH(B439,控制台!$B$4617:$B$4629,0)-2,0)*控制台!$C$4611</f>
        <v>100</v>
      </c>
      <c r="I439" s="1">
        <f ca="1">OFFSET(控制台!$E$4617,MATCH(B439,控制台!$B$4617:$B$4629,0)-1,0)*控制台!$C$4611</f>
        <v>100</v>
      </c>
      <c r="J439" s="1">
        <f>(_xlfn.FLOOR.MATH((C439-1)/20)+1)/2</f>
        <v>0.5</v>
      </c>
      <c r="K439" s="4">
        <f ca="1">IF(MOD(C439,4)=0,0,Lerp_dyy(H439,I439,J439))</f>
        <v>100</v>
      </c>
      <c r="L439" s="1">
        <f ca="1">OFFSET(控制台!$G$4617,MATCH(B439,控制台!$B$4617:$B$4629,0)-2,0)*控制台!$C$4612</f>
        <v>20</v>
      </c>
      <c r="M439" s="1">
        <f ca="1">OFFSET(控制台!$G$4617,MATCH(B439,控制台!$B$4617:$B$4629,0)-1,0)*控制台!$C$4612</f>
        <v>20</v>
      </c>
      <c r="N439" s="1">
        <v>1</v>
      </c>
      <c r="O439" s="4">
        <f ca="1">IF(MOD(C439,4)=0,Lerp_dyy(L439,M439,N439),0)</f>
        <v>0</v>
      </c>
    </row>
    <row r="440" spans="1:15">
      <c r="A440" s="1">
        <f t="shared" si="13"/>
        <v>1215</v>
      </c>
      <c r="B440" s="1">
        <v>12</v>
      </c>
      <c r="C440" s="1">
        <v>15</v>
      </c>
      <c r="D440" s="1">
        <f ca="1">OFFSET(控制台!$C$4617,MATCH(B440,控制台!$B$4617:$B$4629,0)-2,0)*控制台!$C$4610</f>
        <v>90000</v>
      </c>
      <c r="E440" s="1">
        <f ca="1">OFFSET(控制台!$C$4617,MATCH(B440,控制台!$B$4617:$B$4629,0)-1,0)*控制台!$C$4610</f>
        <v>100000</v>
      </c>
      <c r="F440" s="1">
        <f>(_xlfn.FLOOR.MATH((C440-1)/8)+1)/5</f>
        <v>0.4</v>
      </c>
      <c r="G440" s="4">
        <f ca="1">Lerp_dyy(D440,E440,F440)</f>
        <v>94000</v>
      </c>
      <c r="H440" s="1">
        <f ca="1">OFFSET(控制台!$E$4617,MATCH(B440,控制台!$B$4617:$B$4629,0)-2,0)*控制台!$C$4611</f>
        <v>100</v>
      </c>
      <c r="I440" s="1">
        <f ca="1">OFFSET(控制台!$E$4617,MATCH(B440,控制台!$B$4617:$B$4629,0)-1,0)*控制台!$C$4611</f>
        <v>100</v>
      </c>
      <c r="J440" s="1">
        <f>(_xlfn.FLOOR.MATH((C440-1)/20)+1)/2</f>
        <v>0.5</v>
      </c>
      <c r="K440" s="4">
        <f ca="1">IF(MOD(C440,4)=0,0,Lerp_dyy(H440,I440,J440))</f>
        <v>100</v>
      </c>
      <c r="L440" s="1">
        <f ca="1">OFFSET(控制台!$G$4617,MATCH(B440,控制台!$B$4617:$B$4629,0)-2,0)*控制台!$C$4612</f>
        <v>20</v>
      </c>
      <c r="M440" s="1">
        <f ca="1">OFFSET(控制台!$G$4617,MATCH(B440,控制台!$B$4617:$B$4629,0)-1,0)*控制台!$C$4612</f>
        <v>20</v>
      </c>
      <c r="N440" s="1">
        <v>1</v>
      </c>
      <c r="O440" s="4">
        <f ca="1">IF(MOD(C440,4)=0,Lerp_dyy(L440,M440,N440),0)</f>
        <v>0</v>
      </c>
    </row>
    <row r="441" spans="1:15">
      <c r="A441" s="1">
        <f t="shared" si="13"/>
        <v>1216</v>
      </c>
      <c r="B441" s="1">
        <v>12</v>
      </c>
      <c r="C441" s="1">
        <v>16</v>
      </c>
      <c r="D441" s="1">
        <f ca="1">OFFSET(控制台!$C$4617,MATCH(B441,控制台!$B$4617:$B$4629,0)-2,0)*控制台!$C$4610</f>
        <v>90000</v>
      </c>
      <c r="E441" s="1">
        <f ca="1">OFFSET(控制台!$C$4617,MATCH(B441,控制台!$B$4617:$B$4629,0)-1,0)*控制台!$C$4610</f>
        <v>100000</v>
      </c>
      <c r="F441" s="1">
        <f>(_xlfn.FLOOR.MATH((C441-1)/8)+1)/5</f>
        <v>0.4</v>
      </c>
      <c r="G441" s="4">
        <f ca="1">Lerp_dyy(D441,E441,F441)</f>
        <v>94000</v>
      </c>
      <c r="H441" s="1">
        <f ca="1">OFFSET(控制台!$E$4617,MATCH(B441,控制台!$B$4617:$B$4629,0)-2,0)*控制台!$C$4611</f>
        <v>100</v>
      </c>
      <c r="I441" s="1">
        <f ca="1">OFFSET(控制台!$E$4617,MATCH(B441,控制台!$B$4617:$B$4629,0)-1,0)*控制台!$C$4611</f>
        <v>100</v>
      </c>
      <c r="J441" s="1">
        <f>(_xlfn.FLOOR.MATH((C441-1)/20)+1)/2</f>
        <v>0.5</v>
      </c>
      <c r="K441" s="4">
        <f ca="1">IF(MOD(C441,4)=0,0,Lerp_dyy(H441,I441,J441))</f>
        <v>0</v>
      </c>
      <c r="L441" s="1">
        <f ca="1">OFFSET(控制台!$G$4617,MATCH(B441,控制台!$B$4617:$B$4629,0)-2,0)*控制台!$C$4612</f>
        <v>20</v>
      </c>
      <c r="M441" s="1">
        <f ca="1">OFFSET(控制台!$G$4617,MATCH(B441,控制台!$B$4617:$B$4629,0)-1,0)*控制台!$C$4612</f>
        <v>20</v>
      </c>
      <c r="N441" s="1">
        <v>1</v>
      </c>
      <c r="O441" s="4">
        <f ca="1">IF(MOD(C441,4)=0,Lerp_dyy(L441,M441,N441),0)</f>
        <v>20</v>
      </c>
    </row>
    <row r="442" spans="1:15">
      <c r="A442" s="1">
        <f t="shared" si="13"/>
        <v>1217</v>
      </c>
      <c r="B442" s="1">
        <v>12</v>
      </c>
      <c r="C442" s="1">
        <v>17</v>
      </c>
      <c r="D442" s="1">
        <f ca="1">OFFSET(控制台!$C$4617,MATCH(B442,控制台!$B$4617:$B$4629,0)-2,0)*控制台!$C$4610</f>
        <v>90000</v>
      </c>
      <c r="E442" s="1">
        <f ca="1">OFFSET(控制台!$C$4617,MATCH(B442,控制台!$B$4617:$B$4629,0)-1,0)*控制台!$C$4610</f>
        <v>100000</v>
      </c>
      <c r="F442" s="1">
        <f>(_xlfn.FLOOR.MATH((C442-1)/8)+1)/5</f>
        <v>0.6</v>
      </c>
      <c r="G442" s="4">
        <f ca="1">Lerp_dyy(D442,E442,F442)</f>
        <v>96000</v>
      </c>
      <c r="H442" s="1">
        <f ca="1">OFFSET(控制台!$E$4617,MATCH(B442,控制台!$B$4617:$B$4629,0)-2,0)*控制台!$C$4611</f>
        <v>100</v>
      </c>
      <c r="I442" s="1">
        <f ca="1">OFFSET(控制台!$E$4617,MATCH(B442,控制台!$B$4617:$B$4629,0)-1,0)*控制台!$C$4611</f>
        <v>100</v>
      </c>
      <c r="J442" s="1">
        <f>(_xlfn.FLOOR.MATH((C442-1)/20)+1)/2</f>
        <v>0.5</v>
      </c>
      <c r="K442" s="4">
        <f ca="1">IF(MOD(C442,4)=0,0,Lerp_dyy(H442,I442,J442))</f>
        <v>100</v>
      </c>
      <c r="L442" s="1">
        <f ca="1">OFFSET(控制台!$G$4617,MATCH(B442,控制台!$B$4617:$B$4629,0)-2,0)*控制台!$C$4612</f>
        <v>20</v>
      </c>
      <c r="M442" s="1">
        <f ca="1">OFFSET(控制台!$G$4617,MATCH(B442,控制台!$B$4617:$B$4629,0)-1,0)*控制台!$C$4612</f>
        <v>20</v>
      </c>
      <c r="N442" s="1">
        <v>1</v>
      </c>
      <c r="O442" s="4">
        <f ca="1">IF(MOD(C442,4)=0,Lerp_dyy(L442,M442,N442),0)</f>
        <v>0</v>
      </c>
    </row>
    <row r="443" spans="1:15">
      <c r="A443" s="1">
        <f t="shared" si="13"/>
        <v>1218</v>
      </c>
      <c r="B443" s="1">
        <v>12</v>
      </c>
      <c r="C443" s="1">
        <v>18</v>
      </c>
      <c r="D443" s="1">
        <f ca="1">OFFSET(控制台!$C$4617,MATCH(B443,控制台!$B$4617:$B$4629,0)-2,0)*控制台!$C$4610</f>
        <v>90000</v>
      </c>
      <c r="E443" s="1">
        <f ca="1">OFFSET(控制台!$C$4617,MATCH(B443,控制台!$B$4617:$B$4629,0)-1,0)*控制台!$C$4610</f>
        <v>100000</v>
      </c>
      <c r="F443" s="1">
        <f>(_xlfn.FLOOR.MATH((C443-1)/8)+1)/5</f>
        <v>0.6</v>
      </c>
      <c r="G443" s="4">
        <f ca="1">Lerp_dyy(D443,E443,F443)</f>
        <v>96000</v>
      </c>
      <c r="H443" s="1">
        <f ca="1">OFFSET(控制台!$E$4617,MATCH(B443,控制台!$B$4617:$B$4629,0)-2,0)*控制台!$C$4611</f>
        <v>100</v>
      </c>
      <c r="I443" s="1">
        <f ca="1">OFFSET(控制台!$E$4617,MATCH(B443,控制台!$B$4617:$B$4629,0)-1,0)*控制台!$C$4611</f>
        <v>100</v>
      </c>
      <c r="J443" s="1">
        <f>(_xlfn.FLOOR.MATH((C443-1)/20)+1)/2</f>
        <v>0.5</v>
      </c>
      <c r="K443" s="4">
        <f ca="1">IF(MOD(C443,4)=0,0,Lerp_dyy(H443,I443,J443))</f>
        <v>100</v>
      </c>
      <c r="L443" s="1">
        <f ca="1">OFFSET(控制台!$G$4617,MATCH(B443,控制台!$B$4617:$B$4629,0)-2,0)*控制台!$C$4612</f>
        <v>20</v>
      </c>
      <c r="M443" s="1">
        <f ca="1">OFFSET(控制台!$G$4617,MATCH(B443,控制台!$B$4617:$B$4629,0)-1,0)*控制台!$C$4612</f>
        <v>20</v>
      </c>
      <c r="N443" s="1">
        <v>1</v>
      </c>
      <c r="O443" s="4">
        <f ca="1">IF(MOD(C443,4)=0,Lerp_dyy(L443,M443,N443),0)</f>
        <v>0</v>
      </c>
    </row>
    <row r="444" spans="1:15">
      <c r="A444" s="1">
        <f t="shared" si="13"/>
        <v>1219</v>
      </c>
      <c r="B444" s="1">
        <v>12</v>
      </c>
      <c r="C444" s="1">
        <v>19</v>
      </c>
      <c r="D444" s="1">
        <f ca="1">OFFSET(控制台!$C$4617,MATCH(B444,控制台!$B$4617:$B$4629,0)-2,0)*控制台!$C$4610</f>
        <v>90000</v>
      </c>
      <c r="E444" s="1">
        <f ca="1">OFFSET(控制台!$C$4617,MATCH(B444,控制台!$B$4617:$B$4629,0)-1,0)*控制台!$C$4610</f>
        <v>100000</v>
      </c>
      <c r="F444" s="1">
        <f>(_xlfn.FLOOR.MATH((C444-1)/8)+1)/5</f>
        <v>0.6</v>
      </c>
      <c r="G444" s="4">
        <f ca="1">Lerp_dyy(D444,E444,F444)</f>
        <v>96000</v>
      </c>
      <c r="H444" s="1">
        <f ca="1">OFFSET(控制台!$E$4617,MATCH(B444,控制台!$B$4617:$B$4629,0)-2,0)*控制台!$C$4611</f>
        <v>100</v>
      </c>
      <c r="I444" s="1">
        <f ca="1">OFFSET(控制台!$E$4617,MATCH(B444,控制台!$B$4617:$B$4629,0)-1,0)*控制台!$C$4611</f>
        <v>100</v>
      </c>
      <c r="J444" s="1">
        <f>(_xlfn.FLOOR.MATH((C444-1)/20)+1)/2</f>
        <v>0.5</v>
      </c>
      <c r="K444" s="4">
        <f ca="1">IF(MOD(C444,4)=0,0,Lerp_dyy(H444,I444,J444))</f>
        <v>100</v>
      </c>
      <c r="L444" s="1">
        <f ca="1">OFFSET(控制台!$G$4617,MATCH(B444,控制台!$B$4617:$B$4629,0)-2,0)*控制台!$C$4612</f>
        <v>20</v>
      </c>
      <c r="M444" s="1">
        <f ca="1">OFFSET(控制台!$G$4617,MATCH(B444,控制台!$B$4617:$B$4629,0)-1,0)*控制台!$C$4612</f>
        <v>20</v>
      </c>
      <c r="N444" s="1">
        <v>1</v>
      </c>
      <c r="O444" s="4">
        <f ca="1">IF(MOD(C444,4)=0,Lerp_dyy(L444,M444,N444),0)</f>
        <v>0</v>
      </c>
    </row>
    <row r="445" spans="1:15">
      <c r="A445" s="1">
        <f t="shared" ref="A445:A454" si="14">B445*100+C445</f>
        <v>1220</v>
      </c>
      <c r="B445" s="1">
        <v>12</v>
      </c>
      <c r="C445" s="1">
        <v>20</v>
      </c>
      <c r="D445" s="1">
        <f ca="1">OFFSET(控制台!$C$4617,MATCH(B445,控制台!$B$4617:$B$4629,0)-2,0)*控制台!$C$4610</f>
        <v>90000</v>
      </c>
      <c r="E445" s="1">
        <f ca="1">OFFSET(控制台!$C$4617,MATCH(B445,控制台!$B$4617:$B$4629,0)-1,0)*控制台!$C$4610</f>
        <v>100000</v>
      </c>
      <c r="F445" s="1">
        <f>(_xlfn.FLOOR.MATH((C445-1)/8)+1)/5</f>
        <v>0.6</v>
      </c>
      <c r="G445" s="4">
        <f ca="1">Lerp_dyy(D445,E445,F445)</f>
        <v>96000</v>
      </c>
      <c r="H445" s="1">
        <f ca="1">OFFSET(控制台!$E$4617,MATCH(B445,控制台!$B$4617:$B$4629,0)-2,0)*控制台!$C$4611</f>
        <v>100</v>
      </c>
      <c r="I445" s="1">
        <f ca="1">OFFSET(控制台!$E$4617,MATCH(B445,控制台!$B$4617:$B$4629,0)-1,0)*控制台!$C$4611</f>
        <v>100</v>
      </c>
      <c r="J445" s="1">
        <f>(_xlfn.FLOOR.MATH((C445-1)/20)+1)/2</f>
        <v>0.5</v>
      </c>
      <c r="K445" s="4">
        <f ca="1">IF(MOD(C445,4)=0,0,Lerp_dyy(H445,I445,J445))</f>
        <v>0</v>
      </c>
      <c r="L445" s="1">
        <f ca="1">OFFSET(控制台!$G$4617,MATCH(B445,控制台!$B$4617:$B$4629,0)-2,0)*控制台!$C$4612</f>
        <v>20</v>
      </c>
      <c r="M445" s="1">
        <f ca="1">OFFSET(控制台!$G$4617,MATCH(B445,控制台!$B$4617:$B$4629,0)-1,0)*控制台!$C$4612</f>
        <v>20</v>
      </c>
      <c r="N445" s="1">
        <v>1</v>
      </c>
      <c r="O445" s="4">
        <f ca="1">IF(MOD(C445,4)=0,Lerp_dyy(L445,M445,N445),0)</f>
        <v>20</v>
      </c>
    </row>
    <row r="446" spans="1:15">
      <c r="A446" s="1">
        <f t="shared" si="14"/>
        <v>1221</v>
      </c>
      <c r="B446" s="1">
        <v>12</v>
      </c>
      <c r="C446" s="1">
        <v>21</v>
      </c>
      <c r="D446" s="1">
        <f ca="1">OFFSET(控制台!$C$4617,MATCH(B446,控制台!$B$4617:$B$4629,0)-2,0)*控制台!$C$4610</f>
        <v>90000</v>
      </c>
      <c r="E446" s="1">
        <f ca="1">OFFSET(控制台!$C$4617,MATCH(B446,控制台!$B$4617:$B$4629,0)-1,0)*控制台!$C$4610</f>
        <v>100000</v>
      </c>
      <c r="F446" s="1">
        <f>(_xlfn.FLOOR.MATH((C446-1)/8)+1)/5</f>
        <v>0.6</v>
      </c>
      <c r="G446" s="4">
        <f ca="1">Lerp_dyy(D446,E446,F446)</f>
        <v>96000</v>
      </c>
      <c r="H446" s="1">
        <f ca="1">OFFSET(控制台!$E$4617,MATCH(B446,控制台!$B$4617:$B$4629,0)-2,0)*控制台!$C$4611</f>
        <v>100</v>
      </c>
      <c r="I446" s="1">
        <f ca="1">OFFSET(控制台!$E$4617,MATCH(B446,控制台!$B$4617:$B$4629,0)-1,0)*控制台!$C$4611</f>
        <v>100</v>
      </c>
      <c r="J446" s="1">
        <f>(_xlfn.FLOOR.MATH((C446-1)/20)+1)/2</f>
        <v>1</v>
      </c>
      <c r="K446" s="4">
        <f ca="1">IF(MOD(C446,4)=0,0,Lerp_dyy(H446,I446,J446))</f>
        <v>100</v>
      </c>
      <c r="L446" s="1">
        <f ca="1">OFFSET(控制台!$G$4617,MATCH(B446,控制台!$B$4617:$B$4629,0)-2,0)*控制台!$C$4612</f>
        <v>20</v>
      </c>
      <c r="M446" s="1">
        <f ca="1">OFFSET(控制台!$G$4617,MATCH(B446,控制台!$B$4617:$B$4629,0)-1,0)*控制台!$C$4612</f>
        <v>20</v>
      </c>
      <c r="N446" s="1">
        <v>1</v>
      </c>
      <c r="O446" s="4">
        <f ca="1">IF(MOD(C446,4)=0,Lerp_dyy(L446,M446,N446),0)</f>
        <v>0</v>
      </c>
    </row>
    <row r="447" spans="1:15">
      <c r="A447" s="1">
        <f t="shared" si="14"/>
        <v>1222</v>
      </c>
      <c r="B447" s="1">
        <v>12</v>
      </c>
      <c r="C447" s="1">
        <v>22</v>
      </c>
      <c r="D447" s="1">
        <f ca="1">OFFSET(控制台!$C$4617,MATCH(B447,控制台!$B$4617:$B$4629,0)-2,0)*控制台!$C$4610</f>
        <v>90000</v>
      </c>
      <c r="E447" s="1">
        <f ca="1">OFFSET(控制台!$C$4617,MATCH(B447,控制台!$B$4617:$B$4629,0)-1,0)*控制台!$C$4610</f>
        <v>100000</v>
      </c>
      <c r="F447" s="1">
        <f>(_xlfn.FLOOR.MATH((C447-1)/8)+1)/5</f>
        <v>0.6</v>
      </c>
      <c r="G447" s="4">
        <f ca="1">Lerp_dyy(D447,E447,F447)</f>
        <v>96000</v>
      </c>
      <c r="H447" s="1">
        <f ca="1">OFFSET(控制台!$E$4617,MATCH(B447,控制台!$B$4617:$B$4629,0)-2,0)*控制台!$C$4611</f>
        <v>100</v>
      </c>
      <c r="I447" s="1">
        <f ca="1">OFFSET(控制台!$E$4617,MATCH(B447,控制台!$B$4617:$B$4629,0)-1,0)*控制台!$C$4611</f>
        <v>100</v>
      </c>
      <c r="J447" s="1">
        <f>(_xlfn.FLOOR.MATH((C447-1)/20)+1)/2</f>
        <v>1</v>
      </c>
      <c r="K447" s="4">
        <f ca="1">IF(MOD(C447,4)=0,0,Lerp_dyy(H447,I447,J447))</f>
        <v>100</v>
      </c>
      <c r="L447" s="1">
        <f ca="1">OFFSET(控制台!$G$4617,MATCH(B447,控制台!$B$4617:$B$4629,0)-2,0)*控制台!$C$4612</f>
        <v>20</v>
      </c>
      <c r="M447" s="1">
        <f ca="1">OFFSET(控制台!$G$4617,MATCH(B447,控制台!$B$4617:$B$4629,0)-1,0)*控制台!$C$4612</f>
        <v>20</v>
      </c>
      <c r="N447" s="1">
        <v>1</v>
      </c>
      <c r="O447" s="4">
        <f ca="1">IF(MOD(C447,4)=0,Lerp_dyy(L447,M447,N447),0)</f>
        <v>0</v>
      </c>
    </row>
    <row r="448" spans="1:15">
      <c r="A448" s="1">
        <f t="shared" si="14"/>
        <v>1223</v>
      </c>
      <c r="B448" s="1">
        <v>12</v>
      </c>
      <c r="C448" s="1">
        <v>23</v>
      </c>
      <c r="D448" s="1">
        <f ca="1">OFFSET(控制台!$C$4617,MATCH(B448,控制台!$B$4617:$B$4629,0)-2,0)*控制台!$C$4610</f>
        <v>90000</v>
      </c>
      <c r="E448" s="1">
        <f ca="1">OFFSET(控制台!$C$4617,MATCH(B448,控制台!$B$4617:$B$4629,0)-1,0)*控制台!$C$4610</f>
        <v>100000</v>
      </c>
      <c r="F448" s="1">
        <f>(_xlfn.FLOOR.MATH((C448-1)/8)+1)/5</f>
        <v>0.6</v>
      </c>
      <c r="G448" s="4">
        <f ca="1">Lerp_dyy(D448,E448,F448)</f>
        <v>96000</v>
      </c>
      <c r="H448" s="1">
        <f ca="1">OFFSET(控制台!$E$4617,MATCH(B448,控制台!$B$4617:$B$4629,0)-2,0)*控制台!$C$4611</f>
        <v>100</v>
      </c>
      <c r="I448" s="1">
        <f ca="1">OFFSET(控制台!$E$4617,MATCH(B448,控制台!$B$4617:$B$4629,0)-1,0)*控制台!$C$4611</f>
        <v>100</v>
      </c>
      <c r="J448" s="1">
        <f>(_xlfn.FLOOR.MATH((C448-1)/20)+1)/2</f>
        <v>1</v>
      </c>
      <c r="K448" s="4">
        <f ca="1">IF(MOD(C448,4)=0,0,Lerp_dyy(H448,I448,J448))</f>
        <v>100</v>
      </c>
      <c r="L448" s="1">
        <f ca="1">OFFSET(控制台!$G$4617,MATCH(B448,控制台!$B$4617:$B$4629,0)-2,0)*控制台!$C$4612</f>
        <v>20</v>
      </c>
      <c r="M448" s="1">
        <f ca="1">OFFSET(控制台!$G$4617,MATCH(B448,控制台!$B$4617:$B$4629,0)-1,0)*控制台!$C$4612</f>
        <v>20</v>
      </c>
      <c r="N448" s="1">
        <v>1</v>
      </c>
      <c r="O448" s="4">
        <f ca="1">IF(MOD(C448,4)=0,Lerp_dyy(L448,M448,N448),0)</f>
        <v>0</v>
      </c>
    </row>
    <row r="449" spans="1:15">
      <c r="A449" s="1">
        <f t="shared" si="14"/>
        <v>1224</v>
      </c>
      <c r="B449" s="1">
        <v>12</v>
      </c>
      <c r="C449" s="1">
        <v>24</v>
      </c>
      <c r="D449" s="1">
        <f ca="1">OFFSET(控制台!$C$4617,MATCH(B449,控制台!$B$4617:$B$4629,0)-2,0)*控制台!$C$4610</f>
        <v>90000</v>
      </c>
      <c r="E449" s="1">
        <f ca="1">OFFSET(控制台!$C$4617,MATCH(B449,控制台!$B$4617:$B$4629,0)-1,0)*控制台!$C$4610</f>
        <v>100000</v>
      </c>
      <c r="F449" s="1">
        <f>(_xlfn.FLOOR.MATH((C449-1)/8)+1)/5</f>
        <v>0.6</v>
      </c>
      <c r="G449" s="4">
        <f ca="1">Lerp_dyy(D449,E449,F449)</f>
        <v>96000</v>
      </c>
      <c r="H449" s="1">
        <f ca="1">OFFSET(控制台!$E$4617,MATCH(B449,控制台!$B$4617:$B$4629,0)-2,0)*控制台!$C$4611</f>
        <v>100</v>
      </c>
      <c r="I449" s="1">
        <f ca="1">OFFSET(控制台!$E$4617,MATCH(B449,控制台!$B$4617:$B$4629,0)-1,0)*控制台!$C$4611</f>
        <v>100</v>
      </c>
      <c r="J449" s="1">
        <f>(_xlfn.FLOOR.MATH((C449-1)/20)+1)/2</f>
        <v>1</v>
      </c>
      <c r="K449" s="4">
        <f ca="1">IF(MOD(C449,4)=0,0,Lerp_dyy(H449,I449,J449))</f>
        <v>0</v>
      </c>
      <c r="L449" s="1">
        <f ca="1">OFFSET(控制台!$G$4617,MATCH(B449,控制台!$B$4617:$B$4629,0)-2,0)*控制台!$C$4612</f>
        <v>20</v>
      </c>
      <c r="M449" s="1">
        <f ca="1">OFFSET(控制台!$G$4617,MATCH(B449,控制台!$B$4617:$B$4629,0)-1,0)*控制台!$C$4612</f>
        <v>20</v>
      </c>
      <c r="N449" s="1">
        <v>1</v>
      </c>
      <c r="O449" s="4">
        <f ca="1">IF(MOD(C449,4)=0,Lerp_dyy(L449,M449,N449),0)</f>
        <v>20</v>
      </c>
    </row>
    <row r="450" spans="1:15">
      <c r="A450" s="1">
        <f t="shared" si="14"/>
        <v>1225</v>
      </c>
      <c r="B450" s="1">
        <v>12</v>
      </c>
      <c r="C450" s="1">
        <v>25</v>
      </c>
      <c r="D450" s="1">
        <f ca="1">OFFSET(控制台!$C$4617,MATCH(B450,控制台!$B$4617:$B$4629,0)-2,0)*控制台!$C$4610</f>
        <v>90000</v>
      </c>
      <c r="E450" s="1">
        <f ca="1">OFFSET(控制台!$C$4617,MATCH(B450,控制台!$B$4617:$B$4629,0)-1,0)*控制台!$C$4610</f>
        <v>100000</v>
      </c>
      <c r="F450" s="1">
        <f>(_xlfn.FLOOR.MATH((C450-1)/8)+1)/5</f>
        <v>0.8</v>
      </c>
      <c r="G450" s="4">
        <f ca="1">Lerp_dyy(D450,E450,F450)</f>
        <v>98000</v>
      </c>
      <c r="H450" s="1">
        <f ca="1">OFFSET(控制台!$E$4617,MATCH(B450,控制台!$B$4617:$B$4629,0)-2,0)*控制台!$C$4611</f>
        <v>100</v>
      </c>
      <c r="I450" s="1">
        <f ca="1">OFFSET(控制台!$E$4617,MATCH(B450,控制台!$B$4617:$B$4629,0)-1,0)*控制台!$C$4611</f>
        <v>100</v>
      </c>
      <c r="J450" s="1">
        <f>(_xlfn.FLOOR.MATH((C450-1)/20)+1)/2</f>
        <v>1</v>
      </c>
      <c r="K450" s="4">
        <f ca="1">IF(MOD(C450,4)=0,0,Lerp_dyy(H450,I450,J450))</f>
        <v>100</v>
      </c>
      <c r="L450" s="1">
        <f ca="1">OFFSET(控制台!$G$4617,MATCH(B450,控制台!$B$4617:$B$4629,0)-2,0)*控制台!$C$4612</f>
        <v>20</v>
      </c>
      <c r="M450" s="1">
        <f ca="1">OFFSET(控制台!$G$4617,MATCH(B450,控制台!$B$4617:$B$4629,0)-1,0)*控制台!$C$4612</f>
        <v>20</v>
      </c>
      <c r="N450" s="1">
        <v>1</v>
      </c>
      <c r="O450" s="4">
        <f ca="1">IF(MOD(C450,4)=0,Lerp_dyy(L450,M450,N450),0)</f>
        <v>0</v>
      </c>
    </row>
    <row r="451" spans="1:15">
      <c r="A451" s="1">
        <f t="shared" si="14"/>
        <v>1226</v>
      </c>
      <c r="B451" s="1">
        <v>12</v>
      </c>
      <c r="C451" s="1">
        <v>26</v>
      </c>
      <c r="D451" s="1">
        <f ca="1">OFFSET(控制台!$C$4617,MATCH(B451,控制台!$B$4617:$B$4629,0)-2,0)*控制台!$C$4610</f>
        <v>90000</v>
      </c>
      <c r="E451" s="1">
        <f ca="1">OFFSET(控制台!$C$4617,MATCH(B451,控制台!$B$4617:$B$4629,0)-1,0)*控制台!$C$4610</f>
        <v>100000</v>
      </c>
      <c r="F451" s="1">
        <f>(_xlfn.FLOOR.MATH((C451-1)/8)+1)/5</f>
        <v>0.8</v>
      </c>
      <c r="G451" s="4">
        <f ca="1">Lerp_dyy(D451,E451,F451)</f>
        <v>98000</v>
      </c>
      <c r="H451" s="1">
        <f ca="1">OFFSET(控制台!$E$4617,MATCH(B451,控制台!$B$4617:$B$4629,0)-2,0)*控制台!$C$4611</f>
        <v>100</v>
      </c>
      <c r="I451" s="1">
        <f ca="1">OFFSET(控制台!$E$4617,MATCH(B451,控制台!$B$4617:$B$4629,0)-1,0)*控制台!$C$4611</f>
        <v>100</v>
      </c>
      <c r="J451" s="1">
        <f>(_xlfn.FLOOR.MATH((C451-1)/20)+1)/2</f>
        <v>1</v>
      </c>
      <c r="K451" s="4">
        <f ca="1">IF(MOD(C451,4)=0,0,Lerp_dyy(H451,I451,J451))</f>
        <v>100</v>
      </c>
      <c r="L451" s="1">
        <f ca="1">OFFSET(控制台!$G$4617,MATCH(B451,控制台!$B$4617:$B$4629,0)-2,0)*控制台!$C$4612</f>
        <v>20</v>
      </c>
      <c r="M451" s="1">
        <f ca="1">OFFSET(控制台!$G$4617,MATCH(B451,控制台!$B$4617:$B$4629,0)-1,0)*控制台!$C$4612</f>
        <v>20</v>
      </c>
      <c r="N451" s="1">
        <v>1</v>
      </c>
      <c r="O451" s="4">
        <f ca="1">IF(MOD(C451,4)=0,Lerp_dyy(L451,M451,N451),0)</f>
        <v>0</v>
      </c>
    </row>
    <row r="452" spans="1:15">
      <c r="A452" s="1">
        <f t="shared" si="14"/>
        <v>1227</v>
      </c>
      <c r="B452" s="1">
        <v>12</v>
      </c>
      <c r="C452" s="1">
        <v>27</v>
      </c>
      <c r="D452" s="1">
        <f ca="1">OFFSET(控制台!$C$4617,MATCH(B452,控制台!$B$4617:$B$4629,0)-2,0)*控制台!$C$4610</f>
        <v>90000</v>
      </c>
      <c r="E452" s="1">
        <f ca="1">OFFSET(控制台!$C$4617,MATCH(B452,控制台!$B$4617:$B$4629,0)-1,0)*控制台!$C$4610</f>
        <v>100000</v>
      </c>
      <c r="F452" s="1">
        <f>(_xlfn.FLOOR.MATH((C452-1)/8)+1)/5</f>
        <v>0.8</v>
      </c>
      <c r="G452" s="4">
        <f ca="1">Lerp_dyy(D452,E452,F452)</f>
        <v>98000</v>
      </c>
      <c r="H452" s="1">
        <f ca="1">OFFSET(控制台!$E$4617,MATCH(B452,控制台!$B$4617:$B$4629,0)-2,0)*控制台!$C$4611</f>
        <v>100</v>
      </c>
      <c r="I452" s="1">
        <f ca="1">OFFSET(控制台!$E$4617,MATCH(B452,控制台!$B$4617:$B$4629,0)-1,0)*控制台!$C$4611</f>
        <v>100</v>
      </c>
      <c r="J452" s="1">
        <f>(_xlfn.FLOOR.MATH((C452-1)/20)+1)/2</f>
        <v>1</v>
      </c>
      <c r="K452" s="4">
        <f ca="1">IF(MOD(C452,4)=0,0,Lerp_dyy(H452,I452,J452))</f>
        <v>100</v>
      </c>
      <c r="L452" s="1">
        <f ca="1">OFFSET(控制台!$G$4617,MATCH(B452,控制台!$B$4617:$B$4629,0)-2,0)*控制台!$C$4612</f>
        <v>20</v>
      </c>
      <c r="M452" s="1">
        <f ca="1">OFFSET(控制台!$G$4617,MATCH(B452,控制台!$B$4617:$B$4629,0)-1,0)*控制台!$C$4612</f>
        <v>20</v>
      </c>
      <c r="N452" s="1">
        <v>1</v>
      </c>
      <c r="O452" s="4">
        <f ca="1">IF(MOD(C452,4)=0,Lerp_dyy(L452,M452,N452),0)</f>
        <v>0</v>
      </c>
    </row>
    <row r="453" spans="1:15">
      <c r="A453" s="1">
        <f t="shared" si="14"/>
        <v>1228</v>
      </c>
      <c r="B453" s="1">
        <v>12</v>
      </c>
      <c r="C453" s="1">
        <v>28</v>
      </c>
      <c r="D453" s="1">
        <f ca="1">OFFSET(控制台!$C$4617,MATCH(B453,控制台!$B$4617:$B$4629,0)-2,0)*控制台!$C$4610</f>
        <v>90000</v>
      </c>
      <c r="E453" s="1">
        <f ca="1">OFFSET(控制台!$C$4617,MATCH(B453,控制台!$B$4617:$B$4629,0)-1,0)*控制台!$C$4610</f>
        <v>100000</v>
      </c>
      <c r="F453" s="1">
        <f>(_xlfn.FLOOR.MATH((C453-1)/8)+1)/5</f>
        <v>0.8</v>
      </c>
      <c r="G453" s="4">
        <f ca="1">Lerp_dyy(D453,E453,F453)</f>
        <v>98000</v>
      </c>
      <c r="H453" s="1">
        <f ca="1">OFFSET(控制台!$E$4617,MATCH(B453,控制台!$B$4617:$B$4629,0)-2,0)*控制台!$C$4611</f>
        <v>100</v>
      </c>
      <c r="I453" s="1">
        <f ca="1">OFFSET(控制台!$E$4617,MATCH(B453,控制台!$B$4617:$B$4629,0)-1,0)*控制台!$C$4611</f>
        <v>100</v>
      </c>
      <c r="J453" s="1">
        <f>(_xlfn.FLOOR.MATH((C453-1)/20)+1)/2</f>
        <v>1</v>
      </c>
      <c r="K453" s="4">
        <f ca="1">IF(MOD(C453,4)=0,0,Lerp_dyy(H453,I453,J453))</f>
        <v>0</v>
      </c>
      <c r="L453" s="1">
        <f ca="1">OFFSET(控制台!$G$4617,MATCH(B453,控制台!$B$4617:$B$4629,0)-2,0)*控制台!$C$4612</f>
        <v>20</v>
      </c>
      <c r="M453" s="1">
        <f ca="1">OFFSET(控制台!$G$4617,MATCH(B453,控制台!$B$4617:$B$4629,0)-1,0)*控制台!$C$4612</f>
        <v>20</v>
      </c>
      <c r="N453" s="1">
        <v>1</v>
      </c>
      <c r="O453" s="4">
        <f ca="1">IF(MOD(C453,4)=0,Lerp_dyy(L453,M453,N453),0)</f>
        <v>20</v>
      </c>
    </row>
    <row r="454" spans="1:15">
      <c r="A454" s="1">
        <f t="shared" si="14"/>
        <v>1229</v>
      </c>
      <c r="B454" s="1">
        <v>12</v>
      </c>
      <c r="C454" s="1">
        <v>29</v>
      </c>
      <c r="D454" s="1">
        <f ca="1">OFFSET(控制台!$C$4617,MATCH(B454,控制台!$B$4617:$B$4629,0)-2,0)*控制台!$C$4610</f>
        <v>90000</v>
      </c>
      <c r="E454" s="1">
        <f ca="1">OFFSET(控制台!$C$4617,MATCH(B454,控制台!$B$4617:$B$4629,0)-1,0)*控制台!$C$4610</f>
        <v>100000</v>
      </c>
      <c r="F454" s="1">
        <f>(_xlfn.FLOOR.MATH((C454-1)/8)+1)/5</f>
        <v>0.8</v>
      </c>
      <c r="G454" s="4">
        <f ca="1">Lerp_dyy(D454,E454,F454)</f>
        <v>98000</v>
      </c>
      <c r="H454" s="1">
        <f ca="1">OFFSET(控制台!$E$4617,MATCH(B454,控制台!$B$4617:$B$4629,0)-2,0)*控制台!$C$4611</f>
        <v>100</v>
      </c>
      <c r="I454" s="1">
        <f ca="1">OFFSET(控制台!$E$4617,MATCH(B454,控制台!$B$4617:$B$4629,0)-1,0)*控制台!$C$4611</f>
        <v>100</v>
      </c>
      <c r="J454" s="1">
        <f>(_xlfn.FLOOR.MATH((C454-1)/20)+1)/2</f>
        <v>1</v>
      </c>
      <c r="K454" s="4">
        <f ca="1">IF(MOD(C454,4)=0,0,Lerp_dyy(H454,I454,J454))</f>
        <v>100</v>
      </c>
      <c r="L454" s="1">
        <f ca="1">OFFSET(控制台!$G$4617,MATCH(B454,控制台!$B$4617:$B$4629,0)-2,0)*控制台!$C$4612</f>
        <v>20</v>
      </c>
      <c r="M454" s="1">
        <f ca="1">OFFSET(控制台!$G$4617,MATCH(B454,控制台!$B$4617:$B$4629,0)-1,0)*控制台!$C$4612</f>
        <v>20</v>
      </c>
      <c r="N454" s="1">
        <v>1</v>
      </c>
      <c r="O454" s="4">
        <f ca="1">IF(MOD(C454,4)=0,Lerp_dyy(L454,M454,N454),0)</f>
        <v>0</v>
      </c>
    </row>
    <row r="455" spans="1:15">
      <c r="A455" s="1">
        <f t="shared" ref="A455:A465" si="15">B455*100+C455</f>
        <v>1230</v>
      </c>
      <c r="B455" s="1">
        <v>12</v>
      </c>
      <c r="C455" s="1">
        <v>30</v>
      </c>
      <c r="D455" s="1">
        <f ca="1">OFFSET(控制台!$C$4617,MATCH(B455,控制台!$B$4617:$B$4629,0)-2,0)*控制台!$C$4610</f>
        <v>90000</v>
      </c>
      <c r="E455" s="1">
        <f ca="1">OFFSET(控制台!$C$4617,MATCH(B455,控制台!$B$4617:$B$4629,0)-1,0)*控制台!$C$4610</f>
        <v>100000</v>
      </c>
      <c r="F455" s="1">
        <f>(_xlfn.FLOOR.MATH((C455-1)/8)+1)/5</f>
        <v>0.8</v>
      </c>
      <c r="G455" s="4">
        <f ca="1">Lerp_dyy(D455,E455,F455)</f>
        <v>98000</v>
      </c>
      <c r="H455" s="1">
        <f ca="1">OFFSET(控制台!$E$4617,MATCH(B455,控制台!$B$4617:$B$4629,0)-2,0)*控制台!$C$4611</f>
        <v>100</v>
      </c>
      <c r="I455" s="1">
        <f ca="1">OFFSET(控制台!$E$4617,MATCH(B455,控制台!$B$4617:$B$4629,0)-1,0)*控制台!$C$4611</f>
        <v>100</v>
      </c>
      <c r="J455" s="1">
        <f>(_xlfn.FLOOR.MATH((C455-1)/20)+1)/2</f>
        <v>1</v>
      </c>
      <c r="K455" s="4">
        <f ca="1">IF(MOD(C455,4)=0,0,Lerp_dyy(H455,I455,J455))</f>
        <v>100</v>
      </c>
      <c r="L455" s="1">
        <f ca="1">OFFSET(控制台!$G$4617,MATCH(B455,控制台!$B$4617:$B$4629,0)-2,0)*控制台!$C$4612</f>
        <v>20</v>
      </c>
      <c r="M455" s="1">
        <f ca="1">OFFSET(控制台!$G$4617,MATCH(B455,控制台!$B$4617:$B$4629,0)-1,0)*控制台!$C$4612</f>
        <v>20</v>
      </c>
      <c r="N455" s="1">
        <v>1</v>
      </c>
      <c r="O455" s="4">
        <f ca="1">IF(MOD(C455,4)=0,Lerp_dyy(L455,M455,N455),0)</f>
        <v>0</v>
      </c>
    </row>
    <row r="456" spans="1:15">
      <c r="A456" s="1">
        <f t="shared" si="15"/>
        <v>1231</v>
      </c>
      <c r="B456" s="1">
        <v>12</v>
      </c>
      <c r="C456" s="1">
        <v>31</v>
      </c>
      <c r="D456" s="1">
        <f ca="1">OFFSET(控制台!$C$4617,MATCH(B456,控制台!$B$4617:$B$4629,0)-2,0)*控制台!$C$4610</f>
        <v>90000</v>
      </c>
      <c r="E456" s="1">
        <f ca="1">OFFSET(控制台!$C$4617,MATCH(B456,控制台!$B$4617:$B$4629,0)-1,0)*控制台!$C$4610</f>
        <v>100000</v>
      </c>
      <c r="F456" s="1">
        <f>(_xlfn.FLOOR.MATH((C456-1)/8)+1)/5</f>
        <v>0.8</v>
      </c>
      <c r="G456" s="4">
        <f ca="1">Lerp_dyy(D456,E456,F456)</f>
        <v>98000</v>
      </c>
      <c r="H456" s="1">
        <f ca="1">OFFSET(控制台!$E$4617,MATCH(B456,控制台!$B$4617:$B$4629,0)-2,0)*控制台!$C$4611</f>
        <v>100</v>
      </c>
      <c r="I456" s="1">
        <f ca="1">OFFSET(控制台!$E$4617,MATCH(B456,控制台!$B$4617:$B$4629,0)-1,0)*控制台!$C$4611</f>
        <v>100</v>
      </c>
      <c r="J456" s="1">
        <f>(_xlfn.FLOOR.MATH((C456-1)/20)+1)/2</f>
        <v>1</v>
      </c>
      <c r="K456" s="4">
        <f ca="1">IF(MOD(C456,4)=0,0,Lerp_dyy(H456,I456,J456))</f>
        <v>100</v>
      </c>
      <c r="L456" s="1">
        <f ca="1">OFFSET(控制台!$G$4617,MATCH(B456,控制台!$B$4617:$B$4629,0)-2,0)*控制台!$C$4612</f>
        <v>20</v>
      </c>
      <c r="M456" s="1">
        <f ca="1">OFFSET(控制台!$G$4617,MATCH(B456,控制台!$B$4617:$B$4629,0)-1,0)*控制台!$C$4612</f>
        <v>20</v>
      </c>
      <c r="N456" s="1">
        <v>1</v>
      </c>
      <c r="O456" s="4">
        <f ca="1">IF(MOD(C456,4)=0,Lerp_dyy(L456,M456,N456),0)</f>
        <v>0</v>
      </c>
    </row>
    <row r="457" spans="1:15">
      <c r="A457" s="1">
        <f t="shared" si="15"/>
        <v>1232</v>
      </c>
      <c r="B457" s="1">
        <v>12</v>
      </c>
      <c r="C457" s="1">
        <v>32</v>
      </c>
      <c r="D457" s="1">
        <f ca="1">OFFSET(控制台!$C$4617,MATCH(B457,控制台!$B$4617:$B$4629,0)-2,0)*控制台!$C$4610</f>
        <v>90000</v>
      </c>
      <c r="E457" s="1">
        <f ca="1">OFFSET(控制台!$C$4617,MATCH(B457,控制台!$B$4617:$B$4629,0)-1,0)*控制台!$C$4610</f>
        <v>100000</v>
      </c>
      <c r="F457" s="1">
        <f>(_xlfn.FLOOR.MATH((C457-1)/8)+1)/5</f>
        <v>0.8</v>
      </c>
      <c r="G457" s="4">
        <f ca="1">Lerp_dyy(D457,E457,F457)</f>
        <v>98000</v>
      </c>
      <c r="H457" s="1">
        <f ca="1">OFFSET(控制台!$E$4617,MATCH(B457,控制台!$B$4617:$B$4629,0)-2,0)*控制台!$C$4611</f>
        <v>100</v>
      </c>
      <c r="I457" s="1">
        <f ca="1">OFFSET(控制台!$E$4617,MATCH(B457,控制台!$B$4617:$B$4629,0)-1,0)*控制台!$C$4611</f>
        <v>100</v>
      </c>
      <c r="J457" s="1">
        <f>(_xlfn.FLOOR.MATH((C457-1)/20)+1)/2</f>
        <v>1</v>
      </c>
      <c r="K457" s="4">
        <f ca="1">IF(MOD(C457,4)=0,0,Lerp_dyy(H457,I457,J457))</f>
        <v>0</v>
      </c>
      <c r="L457" s="1">
        <f ca="1">OFFSET(控制台!$G$4617,MATCH(B457,控制台!$B$4617:$B$4629,0)-2,0)*控制台!$C$4612</f>
        <v>20</v>
      </c>
      <c r="M457" s="1">
        <f ca="1">OFFSET(控制台!$G$4617,MATCH(B457,控制台!$B$4617:$B$4629,0)-1,0)*控制台!$C$4612</f>
        <v>20</v>
      </c>
      <c r="N457" s="1">
        <v>1</v>
      </c>
      <c r="O457" s="4">
        <f ca="1">IF(MOD(C457,4)=0,Lerp_dyy(L457,M457,N457),0)</f>
        <v>20</v>
      </c>
    </row>
    <row r="458" spans="1:15">
      <c r="A458" s="1">
        <f t="shared" si="15"/>
        <v>1233</v>
      </c>
      <c r="B458" s="1">
        <v>12</v>
      </c>
      <c r="C458" s="1">
        <v>33</v>
      </c>
      <c r="D458" s="1">
        <f ca="1">OFFSET(控制台!$C$4617,MATCH(B458,控制台!$B$4617:$B$4629,0)-2,0)*控制台!$C$4610</f>
        <v>90000</v>
      </c>
      <c r="E458" s="1">
        <f ca="1">OFFSET(控制台!$C$4617,MATCH(B458,控制台!$B$4617:$B$4629,0)-1,0)*控制台!$C$4610</f>
        <v>100000</v>
      </c>
      <c r="F458" s="1">
        <f>(_xlfn.FLOOR.MATH((C458-1)/8)+1)/5</f>
        <v>1</v>
      </c>
      <c r="G458" s="4">
        <f ca="1">Lerp_dyy(D458,E458,F458)</f>
        <v>100000</v>
      </c>
      <c r="H458" s="1">
        <f ca="1">OFFSET(控制台!$E$4617,MATCH(B458,控制台!$B$4617:$B$4629,0)-2,0)*控制台!$C$4611</f>
        <v>100</v>
      </c>
      <c r="I458" s="1">
        <f ca="1">OFFSET(控制台!$E$4617,MATCH(B458,控制台!$B$4617:$B$4629,0)-1,0)*控制台!$C$4611</f>
        <v>100</v>
      </c>
      <c r="J458" s="1">
        <f>(_xlfn.FLOOR.MATH((C458-1)/20)+1)/2</f>
        <v>1</v>
      </c>
      <c r="K458" s="4">
        <f ca="1">IF(MOD(C458,4)=0,0,Lerp_dyy(H458,I458,J458))</f>
        <v>100</v>
      </c>
      <c r="L458" s="1">
        <f ca="1">OFFSET(控制台!$G$4617,MATCH(B458,控制台!$B$4617:$B$4629,0)-2,0)*控制台!$C$4612</f>
        <v>20</v>
      </c>
      <c r="M458" s="1">
        <f ca="1">OFFSET(控制台!$G$4617,MATCH(B458,控制台!$B$4617:$B$4629,0)-1,0)*控制台!$C$4612</f>
        <v>20</v>
      </c>
      <c r="N458" s="1">
        <v>1</v>
      </c>
      <c r="O458" s="4">
        <f ca="1">IF(MOD(C458,4)=0,Lerp_dyy(L458,M458,N458),0)</f>
        <v>0</v>
      </c>
    </row>
    <row r="459" spans="1:15">
      <c r="A459" s="1">
        <f t="shared" si="15"/>
        <v>1234</v>
      </c>
      <c r="B459" s="1">
        <v>12</v>
      </c>
      <c r="C459" s="1">
        <v>34</v>
      </c>
      <c r="D459" s="1">
        <f ca="1">OFFSET(控制台!$C$4617,MATCH(B459,控制台!$B$4617:$B$4629,0)-2,0)*控制台!$C$4610</f>
        <v>90000</v>
      </c>
      <c r="E459" s="1">
        <f ca="1">OFFSET(控制台!$C$4617,MATCH(B459,控制台!$B$4617:$B$4629,0)-1,0)*控制台!$C$4610</f>
        <v>100000</v>
      </c>
      <c r="F459" s="1">
        <f>(_xlfn.FLOOR.MATH((C459-1)/8)+1)/5</f>
        <v>1</v>
      </c>
      <c r="G459" s="4">
        <f ca="1">Lerp_dyy(D459,E459,F459)</f>
        <v>100000</v>
      </c>
      <c r="H459" s="1">
        <f ca="1">OFFSET(控制台!$E$4617,MATCH(B459,控制台!$B$4617:$B$4629,0)-2,0)*控制台!$C$4611</f>
        <v>100</v>
      </c>
      <c r="I459" s="1">
        <f ca="1">OFFSET(控制台!$E$4617,MATCH(B459,控制台!$B$4617:$B$4629,0)-1,0)*控制台!$C$4611</f>
        <v>100</v>
      </c>
      <c r="J459" s="1">
        <f>(_xlfn.FLOOR.MATH((C459-1)/20)+1)/2</f>
        <v>1</v>
      </c>
      <c r="K459" s="4">
        <f ca="1">IF(MOD(C459,4)=0,0,Lerp_dyy(H459,I459,J459))</f>
        <v>100</v>
      </c>
      <c r="L459" s="1">
        <f ca="1">OFFSET(控制台!$G$4617,MATCH(B459,控制台!$B$4617:$B$4629,0)-2,0)*控制台!$C$4612</f>
        <v>20</v>
      </c>
      <c r="M459" s="1">
        <f ca="1">OFFSET(控制台!$G$4617,MATCH(B459,控制台!$B$4617:$B$4629,0)-1,0)*控制台!$C$4612</f>
        <v>20</v>
      </c>
      <c r="N459" s="1">
        <v>1</v>
      </c>
      <c r="O459" s="4">
        <f ca="1">IF(MOD(C459,4)=0,Lerp_dyy(L459,M459,N459),0)</f>
        <v>0</v>
      </c>
    </row>
    <row r="460" spans="1:15">
      <c r="A460" s="1">
        <f t="shared" si="15"/>
        <v>1235</v>
      </c>
      <c r="B460" s="1">
        <v>12</v>
      </c>
      <c r="C460" s="1">
        <v>35</v>
      </c>
      <c r="D460" s="1">
        <f ca="1">OFFSET(控制台!$C$4617,MATCH(B460,控制台!$B$4617:$B$4629,0)-2,0)*控制台!$C$4610</f>
        <v>90000</v>
      </c>
      <c r="E460" s="1">
        <f ca="1">OFFSET(控制台!$C$4617,MATCH(B460,控制台!$B$4617:$B$4629,0)-1,0)*控制台!$C$4610</f>
        <v>100000</v>
      </c>
      <c r="F460" s="1">
        <f>(_xlfn.FLOOR.MATH((C460-1)/8)+1)/5</f>
        <v>1</v>
      </c>
      <c r="G460" s="4">
        <f ca="1">Lerp_dyy(D460,E460,F460)</f>
        <v>100000</v>
      </c>
      <c r="H460" s="1">
        <f ca="1">OFFSET(控制台!$E$4617,MATCH(B460,控制台!$B$4617:$B$4629,0)-2,0)*控制台!$C$4611</f>
        <v>100</v>
      </c>
      <c r="I460" s="1">
        <f ca="1">OFFSET(控制台!$E$4617,MATCH(B460,控制台!$B$4617:$B$4629,0)-1,0)*控制台!$C$4611</f>
        <v>100</v>
      </c>
      <c r="J460" s="1">
        <f>(_xlfn.FLOOR.MATH((C460-1)/20)+1)/2</f>
        <v>1</v>
      </c>
      <c r="K460" s="4">
        <f ca="1">IF(MOD(C460,4)=0,0,Lerp_dyy(H460,I460,J460))</f>
        <v>100</v>
      </c>
      <c r="L460" s="1">
        <f ca="1">OFFSET(控制台!$G$4617,MATCH(B460,控制台!$B$4617:$B$4629,0)-2,0)*控制台!$C$4612</f>
        <v>20</v>
      </c>
      <c r="M460" s="1">
        <f ca="1">OFFSET(控制台!$G$4617,MATCH(B460,控制台!$B$4617:$B$4629,0)-1,0)*控制台!$C$4612</f>
        <v>20</v>
      </c>
      <c r="N460" s="1">
        <v>1</v>
      </c>
      <c r="O460" s="4">
        <f ca="1">IF(MOD(C460,4)=0,Lerp_dyy(L460,M460,N460),0)</f>
        <v>0</v>
      </c>
    </row>
    <row r="461" spans="1:15">
      <c r="A461" s="1">
        <f t="shared" si="15"/>
        <v>1236</v>
      </c>
      <c r="B461" s="1">
        <v>12</v>
      </c>
      <c r="C461" s="1">
        <v>36</v>
      </c>
      <c r="D461" s="1">
        <f ca="1">OFFSET(控制台!$C$4617,MATCH(B461,控制台!$B$4617:$B$4629,0)-2,0)*控制台!$C$4610</f>
        <v>90000</v>
      </c>
      <c r="E461" s="1">
        <f ca="1">OFFSET(控制台!$C$4617,MATCH(B461,控制台!$B$4617:$B$4629,0)-1,0)*控制台!$C$4610</f>
        <v>100000</v>
      </c>
      <c r="F461" s="1">
        <f>(_xlfn.FLOOR.MATH((C461-1)/8)+1)/5</f>
        <v>1</v>
      </c>
      <c r="G461" s="4">
        <f ca="1">Lerp_dyy(D461,E461,F461)</f>
        <v>100000</v>
      </c>
      <c r="H461" s="1">
        <f ca="1">OFFSET(控制台!$E$4617,MATCH(B461,控制台!$B$4617:$B$4629,0)-2,0)*控制台!$C$4611</f>
        <v>100</v>
      </c>
      <c r="I461" s="1">
        <f ca="1">OFFSET(控制台!$E$4617,MATCH(B461,控制台!$B$4617:$B$4629,0)-1,0)*控制台!$C$4611</f>
        <v>100</v>
      </c>
      <c r="J461" s="1">
        <f>(_xlfn.FLOOR.MATH((C461-1)/20)+1)/2</f>
        <v>1</v>
      </c>
      <c r="K461" s="4">
        <f ca="1">IF(MOD(C461,4)=0,0,Lerp_dyy(H461,I461,J461))</f>
        <v>0</v>
      </c>
      <c r="L461" s="1">
        <f ca="1">OFFSET(控制台!$G$4617,MATCH(B461,控制台!$B$4617:$B$4629,0)-2,0)*控制台!$C$4612</f>
        <v>20</v>
      </c>
      <c r="M461" s="1">
        <f ca="1">OFFSET(控制台!$G$4617,MATCH(B461,控制台!$B$4617:$B$4629,0)-1,0)*控制台!$C$4612</f>
        <v>20</v>
      </c>
      <c r="N461" s="1">
        <v>1</v>
      </c>
      <c r="O461" s="4">
        <f ca="1">IF(MOD(C461,4)=0,Lerp_dyy(L461,M461,N461),0)</f>
        <v>20</v>
      </c>
    </row>
    <row r="462" spans="1:15">
      <c r="A462" s="1">
        <f t="shared" si="15"/>
        <v>1237</v>
      </c>
      <c r="B462" s="1">
        <v>12</v>
      </c>
      <c r="C462" s="1">
        <v>37</v>
      </c>
      <c r="D462" s="1">
        <f ca="1">OFFSET(控制台!$C$4617,MATCH(B462,控制台!$B$4617:$B$4629,0)-2,0)*控制台!$C$4610</f>
        <v>90000</v>
      </c>
      <c r="E462" s="1">
        <f ca="1">OFFSET(控制台!$C$4617,MATCH(B462,控制台!$B$4617:$B$4629,0)-1,0)*控制台!$C$4610</f>
        <v>100000</v>
      </c>
      <c r="F462" s="1">
        <f>(_xlfn.FLOOR.MATH((C462-1)/8)+1)/5</f>
        <v>1</v>
      </c>
      <c r="G462" s="4">
        <f ca="1">Lerp_dyy(D462,E462,F462)</f>
        <v>100000</v>
      </c>
      <c r="H462" s="1">
        <f ca="1">OFFSET(控制台!$E$4617,MATCH(B462,控制台!$B$4617:$B$4629,0)-2,0)*控制台!$C$4611</f>
        <v>100</v>
      </c>
      <c r="I462" s="1">
        <f ca="1">OFFSET(控制台!$E$4617,MATCH(B462,控制台!$B$4617:$B$4629,0)-1,0)*控制台!$C$4611</f>
        <v>100</v>
      </c>
      <c r="J462" s="1">
        <f>(_xlfn.FLOOR.MATH((C462-1)/20)+1)/2</f>
        <v>1</v>
      </c>
      <c r="K462" s="4">
        <f ca="1">IF(MOD(C462,4)=0,0,Lerp_dyy(H462,I462,J462))</f>
        <v>100</v>
      </c>
      <c r="L462" s="1">
        <f ca="1">OFFSET(控制台!$G$4617,MATCH(B462,控制台!$B$4617:$B$4629,0)-2,0)*控制台!$C$4612</f>
        <v>20</v>
      </c>
      <c r="M462" s="1">
        <f ca="1">OFFSET(控制台!$G$4617,MATCH(B462,控制台!$B$4617:$B$4629,0)-1,0)*控制台!$C$4612</f>
        <v>20</v>
      </c>
      <c r="N462" s="1">
        <v>1</v>
      </c>
      <c r="O462" s="4">
        <f ca="1">IF(MOD(C462,4)=0,Lerp_dyy(L462,M462,N462),0)</f>
        <v>0</v>
      </c>
    </row>
    <row r="463" spans="1:15">
      <c r="A463" s="1">
        <f t="shared" si="15"/>
        <v>1238</v>
      </c>
      <c r="B463" s="1">
        <v>12</v>
      </c>
      <c r="C463" s="1">
        <v>38</v>
      </c>
      <c r="D463" s="1">
        <f ca="1">OFFSET(控制台!$C$4617,MATCH(B463,控制台!$B$4617:$B$4629,0)-2,0)*控制台!$C$4610</f>
        <v>90000</v>
      </c>
      <c r="E463" s="1">
        <f ca="1">OFFSET(控制台!$C$4617,MATCH(B463,控制台!$B$4617:$B$4629,0)-1,0)*控制台!$C$4610</f>
        <v>100000</v>
      </c>
      <c r="F463" s="1">
        <f>(_xlfn.FLOOR.MATH((C463-1)/8)+1)/5</f>
        <v>1</v>
      </c>
      <c r="G463" s="4">
        <f ca="1">Lerp_dyy(D463,E463,F463)</f>
        <v>100000</v>
      </c>
      <c r="H463" s="1">
        <f ca="1">OFFSET(控制台!$E$4617,MATCH(B463,控制台!$B$4617:$B$4629,0)-2,0)*控制台!$C$4611</f>
        <v>100</v>
      </c>
      <c r="I463" s="1">
        <f ca="1">OFFSET(控制台!$E$4617,MATCH(B463,控制台!$B$4617:$B$4629,0)-1,0)*控制台!$C$4611</f>
        <v>100</v>
      </c>
      <c r="J463" s="1">
        <f>(_xlfn.FLOOR.MATH((C463-1)/20)+1)/2</f>
        <v>1</v>
      </c>
      <c r="K463" s="4">
        <f ca="1">IF(MOD(C463,4)=0,0,Lerp_dyy(H463,I463,J463))</f>
        <v>100</v>
      </c>
      <c r="L463" s="1">
        <f ca="1">OFFSET(控制台!$G$4617,MATCH(B463,控制台!$B$4617:$B$4629,0)-2,0)*控制台!$C$4612</f>
        <v>20</v>
      </c>
      <c r="M463" s="1">
        <f ca="1">OFFSET(控制台!$G$4617,MATCH(B463,控制台!$B$4617:$B$4629,0)-1,0)*控制台!$C$4612</f>
        <v>20</v>
      </c>
      <c r="N463" s="1">
        <v>1</v>
      </c>
      <c r="O463" s="4">
        <f ca="1">IF(MOD(C463,4)=0,Lerp_dyy(L463,M463,N463),0)</f>
        <v>0</v>
      </c>
    </row>
    <row r="464" spans="1:15">
      <c r="A464" s="1">
        <f t="shared" si="15"/>
        <v>1239</v>
      </c>
      <c r="B464" s="1">
        <v>12</v>
      </c>
      <c r="C464" s="1">
        <v>39</v>
      </c>
      <c r="D464" s="1">
        <f ca="1">OFFSET(控制台!$C$4617,MATCH(B464,控制台!$B$4617:$B$4629,0)-2,0)*控制台!$C$4610</f>
        <v>90000</v>
      </c>
      <c r="E464" s="1">
        <f ca="1">OFFSET(控制台!$C$4617,MATCH(B464,控制台!$B$4617:$B$4629,0)-1,0)*控制台!$C$4610</f>
        <v>100000</v>
      </c>
      <c r="F464" s="1">
        <f>(_xlfn.FLOOR.MATH((C464-1)/8)+1)/5</f>
        <v>1</v>
      </c>
      <c r="G464" s="4">
        <f ca="1">Lerp_dyy(D464,E464,F464)</f>
        <v>100000</v>
      </c>
      <c r="H464" s="1">
        <f ca="1">OFFSET(控制台!$E$4617,MATCH(B464,控制台!$B$4617:$B$4629,0)-2,0)*控制台!$C$4611</f>
        <v>100</v>
      </c>
      <c r="I464" s="1">
        <f ca="1">OFFSET(控制台!$E$4617,MATCH(B464,控制台!$B$4617:$B$4629,0)-1,0)*控制台!$C$4611</f>
        <v>100</v>
      </c>
      <c r="J464" s="1">
        <f>(_xlfn.FLOOR.MATH((C464-1)/20)+1)/2</f>
        <v>1</v>
      </c>
      <c r="K464" s="4">
        <f ca="1">IF(MOD(C464,4)=0,0,Lerp_dyy(H464,I464,J464))</f>
        <v>100</v>
      </c>
      <c r="L464" s="1">
        <f ca="1">OFFSET(控制台!$G$4617,MATCH(B464,控制台!$B$4617:$B$4629,0)-2,0)*控制台!$C$4612</f>
        <v>20</v>
      </c>
      <c r="M464" s="1">
        <f ca="1">OFFSET(控制台!$G$4617,MATCH(B464,控制台!$B$4617:$B$4629,0)-1,0)*控制台!$C$4612</f>
        <v>20</v>
      </c>
      <c r="N464" s="1">
        <v>1</v>
      </c>
      <c r="O464" s="4">
        <f ca="1">IF(MOD(C464,4)=0,Lerp_dyy(L464,M464,N464),0)</f>
        <v>0</v>
      </c>
    </row>
    <row r="465" spans="1:15">
      <c r="A465" s="1">
        <f t="shared" si="15"/>
        <v>1240</v>
      </c>
      <c r="B465" s="1">
        <v>12</v>
      </c>
      <c r="C465" s="1">
        <v>40</v>
      </c>
      <c r="D465" s="1">
        <f ca="1">OFFSET(控制台!$C$4617,MATCH(B465,控制台!$B$4617:$B$4629,0)-2,0)*控制台!$C$4610</f>
        <v>90000</v>
      </c>
      <c r="E465" s="1">
        <f ca="1">OFFSET(控制台!$C$4617,MATCH(B465,控制台!$B$4617:$B$4629,0)-1,0)*控制台!$C$4610</f>
        <v>100000</v>
      </c>
      <c r="F465" s="1">
        <f>(_xlfn.FLOOR.MATH((C465-1)/8)+1)/5</f>
        <v>1</v>
      </c>
      <c r="G465" s="4">
        <f ca="1">Lerp_dyy(D465,E465,F465)</f>
        <v>100000</v>
      </c>
      <c r="H465" s="1">
        <f ca="1">OFFSET(控制台!$E$4617,MATCH(B465,控制台!$B$4617:$B$4629,0)-2,0)*控制台!$C$4611</f>
        <v>100</v>
      </c>
      <c r="I465" s="1">
        <f ca="1">OFFSET(控制台!$E$4617,MATCH(B465,控制台!$B$4617:$B$4629,0)-1,0)*控制台!$C$4611</f>
        <v>100</v>
      </c>
      <c r="J465" s="1">
        <f>(_xlfn.FLOOR.MATH((C465-1)/20)+1)/2</f>
        <v>1</v>
      </c>
      <c r="K465" s="4">
        <f ca="1">IF(MOD(C465,4)=0,0,Lerp_dyy(H465,I465,J465))</f>
        <v>0</v>
      </c>
      <c r="L465" s="1">
        <f ca="1">OFFSET(控制台!$G$4617,MATCH(B465,控制台!$B$4617:$B$4629,0)-2,0)*控制台!$C$4612</f>
        <v>20</v>
      </c>
      <c r="M465" s="1">
        <f ca="1">OFFSET(控制台!$G$4617,MATCH(B465,控制台!$B$4617:$B$4629,0)-1,0)*控制台!$C$4612</f>
        <v>20</v>
      </c>
      <c r="N465" s="1">
        <v>1</v>
      </c>
      <c r="O465" s="4">
        <f ca="1">IF(MOD(C465,4)=0,Lerp_dyy(L465,M465,N465),0)</f>
        <v>20</v>
      </c>
    </row>
  </sheetData>
  <hyperlinks>
    <hyperlink ref="A1" location="控制台_308_挂机首通" display="返回控制台_挂机首通"/>
  </hyperlinks>
  <pageMargins left="0.699305555555556" right="0.699305555555556" top="0.75" bottom="0.75" header="0.3" footer="0.3"/>
  <pageSetup paperSize="9" orientation="portrait"/>
  <headerFooter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02">
    <tabColor theme="9" tint="0.599993896298105"/>
  </sheetPr>
  <dimension ref="A1:K506"/>
  <sheetViews>
    <sheetView workbookViewId="0">
      <selection activeCell="A5" sqref="A5:D505"/>
    </sheetView>
  </sheetViews>
  <sheetFormatPr defaultColWidth="8.70967741935484" defaultRowHeight="13.1"/>
  <cols>
    <col min="1" max="3" width="9.62903225806452" style="1"/>
    <col min="4" max="4" width="10.3790322580645" style="1" customWidth="1"/>
    <col min="5" max="16384" width="9.62903225806452" style="1"/>
  </cols>
  <sheetData>
    <row r="1" spans="1:11">
      <c r="A1" s="3" t="s">
        <v>3004</v>
      </c>
      <c r="E1" s="4"/>
      <c r="F1" s="5"/>
      <c r="G1" s="4"/>
      <c r="H1" s="5"/>
      <c r="K1" s="5"/>
    </row>
    <row r="2" spans="5:11">
      <c r="E2" s="4"/>
      <c r="F2" s="5"/>
      <c r="G2" s="4"/>
      <c r="H2" s="5"/>
      <c r="K2" s="5"/>
    </row>
    <row r="3" s="2" customFormat="1" spans="1:1">
      <c r="A3" s="2" t="s">
        <v>2885</v>
      </c>
    </row>
    <row r="4" spans="5:11">
      <c r="E4" s="4"/>
      <c r="F4" s="5"/>
      <c r="G4" s="4"/>
      <c r="H4" s="5"/>
      <c r="K4" s="5"/>
    </row>
    <row r="5" spans="1:6">
      <c r="A5" s="1" t="s">
        <v>346</v>
      </c>
      <c r="B5" s="1" t="s">
        <v>3005</v>
      </c>
      <c r="C5" s="1" t="s">
        <v>2403</v>
      </c>
      <c r="D5" s="4" t="s">
        <v>3006</v>
      </c>
      <c r="E5" s="1" t="s">
        <v>3007</v>
      </c>
      <c r="F5" s="1" t="s">
        <v>3008</v>
      </c>
    </row>
    <row r="6" spans="1:6">
      <c r="A6" s="1">
        <v>1</v>
      </c>
      <c r="B6" s="1">
        <f>A6*控制台!$E$4959</f>
        <v>3600</v>
      </c>
      <c r="C6" s="1">
        <f ca="1">OFFSET(控制台!$C$4968,MATCH(A6,控制台!$B$4968:$B$4976,1)-1,0)</f>
        <v>1</v>
      </c>
      <c r="D6" s="4">
        <f>控制台!E4963</f>
        <v>1800</v>
      </c>
      <c r="E6" s="1">
        <f ca="1">C6</f>
        <v>1</v>
      </c>
      <c r="F6" s="1">
        <f ca="1">_xlfn.FLOOR.MATH(E6/24)</f>
        <v>0</v>
      </c>
    </row>
    <row r="7" spans="1:6">
      <c r="A7" s="1">
        <v>2</v>
      </c>
      <c r="B7" s="1">
        <f>A7*控制台!$E$4959</f>
        <v>7200</v>
      </c>
      <c r="C7" s="1">
        <f ca="1">OFFSET(控制台!$C$4968,MATCH(A7,控制台!$B$4968:$B$4976,1)-1,0)</f>
        <v>1</v>
      </c>
      <c r="D7" s="4">
        <f ca="1">ROUND(C7*B6,1-INT(LOG10(C7*B6)))</f>
        <v>3600</v>
      </c>
      <c r="E7" s="1">
        <f ca="1">E6+C7</f>
        <v>2</v>
      </c>
      <c r="F7" s="1">
        <f ca="1">_xlfn.FLOOR.MATH(E7/24)</f>
        <v>0</v>
      </c>
    </row>
    <row r="8" spans="1:6">
      <c r="A8" s="1">
        <v>3</v>
      </c>
      <c r="B8" s="1">
        <f>A8*控制台!$E$4959</f>
        <v>10800</v>
      </c>
      <c r="C8" s="1">
        <f ca="1">OFFSET(控制台!$C$4968,MATCH(A8,控制台!$B$4968:$B$4976,1)-1,0)</f>
        <v>1</v>
      </c>
      <c r="D8" s="4">
        <f ca="1" t="shared" ref="D8:D71" si="0">ROUND(C8*B7,1-INT(LOG10(C8*B7)))</f>
        <v>7200</v>
      </c>
      <c r="E8" s="1">
        <f ca="1" t="shared" ref="E8:E71" si="1">E7+C8</f>
        <v>3</v>
      </c>
      <c r="F8" s="1">
        <f ca="1">_xlfn.FLOOR.MATH(E8/24)</f>
        <v>0</v>
      </c>
    </row>
    <row r="9" spans="1:6">
      <c r="A9" s="1">
        <v>4</v>
      </c>
      <c r="B9" s="1">
        <f>A9*控制台!$E$4959</f>
        <v>14400</v>
      </c>
      <c r="C9" s="1">
        <f ca="1">OFFSET(控制台!$C$4968,MATCH(A9,控制台!$B$4968:$B$4976,1)-1,0)</f>
        <v>1</v>
      </c>
      <c r="D9" s="4">
        <f ca="1" t="shared" si="0"/>
        <v>11000</v>
      </c>
      <c r="E9" s="1">
        <f ca="1" t="shared" si="1"/>
        <v>4</v>
      </c>
      <c r="F9" s="1">
        <f ca="1">_xlfn.FLOOR.MATH(E9/24)</f>
        <v>0</v>
      </c>
    </row>
    <row r="10" spans="1:6">
      <c r="A10" s="1">
        <v>5</v>
      </c>
      <c r="B10" s="1">
        <f>A10*控制台!$E$4959</f>
        <v>18000</v>
      </c>
      <c r="C10" s="1">
        <f ca="1">OFFSET(控制台!$C$4968,MATCH(A10,控制台!$B$4968:$B$4976,1)-1,0)</f>
        <v>1</v>
      </c>
      <c r="D10" s="4">
        <f ca="1" t="shared" si="0"/>
        <v>14000</v>
      </c>
      <c r="E10" s="1">
        <f ca="1" t="shared" si="1"/>
        <v>5</v>
      </c>
      <c r="F10" s="1">
        <f ca="1">_xlfn.FLOOR.MATH(E10/24)</f>
        <v>0</v>
      </c>
    </row>
    <row r="11" spans="1:6">
      <c r="A11" s="1">
        <v>6</v>
      </c>
      <c r="B11" s="1">
        <f>A11*控制台!$E$4959</f>
        <v>21600</v>
      </c>
      <c r="C11" s="1">
        <f ca="1">OFFSET(控制台!$C$4968,MATCH(A11,控制台!$B$4968:$B$4976,1)-1,0)</f>
        <v>1</v>
      </c>
      <c r="D11" s="4">
        <f ca="1" t="shared" si="0"/>
        <v>18000</v>
      </c>
      <c r="E11" s="1">
        <f ca="1" t="shared" si="1"/>
        <v>6</v>
      </c>
      <c r="F11" s="1">
        <f ca="1">_xlfn.FLOOR.MATH(E11/24)</f>
        <v>0</v>
      </c>
    </row>
    <row r="12" spans="1:6">
      <c r="A12" s="1">
        <v>7</v>
      </c>
      <c r="B12" s="1">
        <f>A12*控制台!$E$4959</f>
        <v>25200</v>
      </c>
      <c r="C12" s="1">
        <f ca="1">OFFSET(控制台!$C$4968,MATCH(A12,控制台!$B$4968:$B$4976,1)-1,0)</f>
        <v>1</v>
      </c>
      <c r="D12" s="4">
        <f ca="1" t="shared" si="0"/>
        <v>22000</v>
      </c>
      <c r="E12" s="1">
        <f ca="1" t="shared" si="1"/>
        <v>7</v>
      </c>
      <c r="F12" s="1">
        <f ca="1">_xlfn.FLOOR.MATH(E12/24)</f>
        <v>0</v>
      </c>
    </row>
    <row r="13" spans="1:6">
      <c r="A13" s="1">
        <v>8</v>
      </c>
      <c r="B13" s="1">
        <f>A13*控制台!$E$4959</f>
        <v>28800</v>
      </c>
      <c r="C13" s="1">
        <f ca="1">OFFSET(控制台!$C$4968,MATCH(A13,控制台!$B$4968:$B$4976,1)-1,0)</f>
        <v>1</v>
      </c>
      <c r="D13" s="4">
        <f ca="1" t="shared" si="0"/>
        <v>25000</v>
      </c>
      <c r="E13" s="1">
        <f ca="1" t="shared" si="1"/>
        <v>8</v>
      </c>
      <c r="F13" s="1">
        <f ca="1">_xlfn.FLOOR.MATH(E13/24)</f>
        <v>0</v>
      </c>
    </row>
    <row r="14" spans="1:6">
      <c r="A14" s="1">
        <v>9</v>
      </c>
      <c r="B14" s="1">
        <f>A14*控制台!$E$4959</f>
        <v>32400</v>
      </c>
      <c r="C14" s="1">
        <f ca="1">OFFSET(控制台!$C$4968,MATCH(A14,控制台!$B$4968:$B$4976,1)-1,0)</f>
        <v>1</v>
      </c>
      <c r="D14" s="4">
        <f ca="1" t="shared" si="0"/>
        <v>29000</v>
      </c>
      <c r="E14" s="1">
        <f ca="1" t="shared" si="1"/>
        <v>9</v>
      </c>
      <c r="F14" s="1">
        <f ca="1">_xlfn.FLOOR.MATH(E14/24)</f>
        <v>0</v>
      </c>
    </row>
    <row r="15" spans="1:6">
      <c r="A15" s="1">
        <v>10</v>
      </c>
      <c r="B15" s="1">
        <f>A15*控制台!$E$4959</f>
        <v>36000</v>
      </c>
      <c r="C15" s="1">
        <f ca="1">OFFSET(控制台!$C$4968,MATCH(A15,控制台!$B$4968:$B$4976,1)-1,0)</f>
        <v>1</v>
      </c>
      <c r="D15" s="4">
        <f ca="1" t="shared" si="0"/>
        <v>32000</v>
      </c>
      <c r="E15" s="1">
        <f ca="1" t="shared" si="1"/>
        <v>10</v>
      </c>
      <c r="F15" s="1">
        <f ca="1">_xlfn.FLOOR.MATH(E15/24)</f>
        <v>0</v>
      </c>
    </row>
    <row r="16" spans="1:6">
      <c r="A16" s="1">
        <v>11</v>
      </c>
      <c r="B16" s="1">
        <f>A16*控制台!$E$4959</f>
        <v>39600</v>
      </c>
      <c r="C16" s="1">
        <f ca="1">OFFSET(控制台!$C$4968,MATCH(A16,控制台!$B$4968:$B$4976,1)-1,0)</f>
        <v>1</v>
      </c>
      <c r="D16" s="4">
        <f ca="1" t="shared" si="0"/>
        <v>36000</v>
      </c>
      <c r="E16" s="1">
        <f ca="1" t="shared" si="1"/>
        <v>11</v>
      </c>
      <c r="F16" s="1">
        <f ca="1">_xlfn.FLOOR.MATH(E16/24)</f>
        <v>0</v>
      </c>
    </row>
    <row r="17" spans="1:6">
      <c r="A17" s="1">
        <v>12</v>
      </c>
      <c r="B17" s="1">
        <f>A17*控制台!$E$4959</f>
        <v>43200</v>
      </c>
      <c r="C17" s="1">
        <f ca="1">OFFSET(控制台!$C$4968,MATCH(A17,控制台!$B$4968:$B$4976,1)-1,0)</f>
        <v>1</v>
      </c>
      <c r="D17" s="4">
        <f ca="1" t="shared" si="0"/>
        <v>40000</v>
      </c>
      <c r="E17" s="1">
        <f ca="1" t="shared" si="1"/>
        <v>12</v>
      </c>
      <c r="F17" s="1">
        <f ca="1">_xlfn.FLOOR.MATH(E17/24)</f>
        <v>0</v>
      </c>
    </row>
    <row r="18" spans="1:6">
      <c r="A18" s="1">
        <v>13</v>
      </c>
      <c r="B18" s="1">
        <f>A18*控制台!$E$4959</f>
        <v>46800</v>
      </c>
      <c r="C18" s="1">
        <f ca="1">OFFSET(控制台!$C$4968,MATCH(A18,控制台!$B$4968:$B$4976,1)-1,0)</f>
        <v>1</v>
      </c>
      <c r="D18" s="4">
        <f ca="1" t="shared" si="0"/>
        <v>43000</v>
      </c>
      <c r="E18" s="1">
        <f ca="1" t="shared" si="1"/>
        <v>13</v>
      </c>
      <c r="F18" s="1">
        <f ca="1">_xlfn.FLOOR.MATH(E18/24)</f>
        <v>0</v>
      </c>
    </row>
    <row r="19" spans="1:6">
      <c r="A19" s="1">
        <v>14</v>
      </c>
      <c r="B19" s="1">
        <f>A19*控制台!$E$4959</f>
        <v>50400</v>
      </c>
      <c r="C19" s="1">
        <f ca="1">OFFSET(控制台!$C$4968,MATCH(A19,控制台!$B$4968:$B$4976,1)-1,0)</f>
        <v>1</v>
      </c>
      <c r="D19" s="4">
        <f ca="1" t="shared" si="0"/>
        <v>47000</v>
      </c>
      <c r="E19" s="1">
        <f ca="1" t="shared" si="1"/>
        <v>14</v>
      </c>
      <c r="F19" s="1">
        <f ca="1">_xlfn.FLOOR.MATH(E19/24)</f>
        <v>0</v>
      </c>
    </row>
    <row r="20" spans="1:6">
      <c r="A20" s="1">
        <v>15</v>
      </c>
      <c r="B20" s="1">
        <f>A20*控制台!$E$4959</f>
        <v>54000</v>
      </c>
      <c r="C20" s="1">
        <f ca="1">OFFSET(控制台!$C$4968,MATCH(A20,控制台!$B$4968:$B$4976,1)-1,0)</f>
        <v>1</v>
      </c>
      <c r="D20" s="4">
        <f ca="1" t="shared" si="0"/>
        <v>50000</v>
      </c>
      <c r="E20" s="1">
        <f ca="1" t="shared" si="1"/>
        <v>15</v>
      </c>
      <c r="F20" s="1">
        <f ca="1">_xlfn.FLOOR.MATH(E20/24)</f>
        <v>0</v>
      </c>
    </row>
    <row r="21" spans="1:6">
      <c r="A21" s="1">
        <v>16</v>
      </c>
      <c r="B21" s="1">
        <f>A21*控制台!$E$4959</f>
        <v>57600</v>
      </c>
      <c r="C21" s="1">
        <f ca="1">OFFSET(控制台!$C$4968,MATCH(A21,控制台!$B$4968:$B$4976,1)-1,0)</f>
        <v>1</v>
      </c>
      <c r="D21" s="4">
        <f ca="1" t="shared" si="0"/>
        <v>54000</v>
      </c>
      <c r="E21" s="1">
        <f ca="1" t="shared" si="1"/>
        <v>16</v>
      </c>
      <c r="F21" s="1">
        <f ca="1">_xlfn.FLOOR.MATH(E21/24)</f>
        <v>0</v>
      </c>
    </row>
    <row r="22" spans="1:6">
      <c r="A22" s="1">
        <v>17</v>
      </c>
      <c r="B22" s="1">
        <f>A22*控制台!$E$4959</f>
        <v>61200</v>
      </c>
      <c r="C22" s="1">
        <f ca="1">OFFSET(控制台!$C$4968,MATCH(A22,控制台!$B$4968:$B$4976,1)-1,0)</f>
        <v>1</v>
      </c>
      <c r="D22" s="4">
        <f ca="1" t="shared" si="0"/>
        <v>58000</v>
      </c>
      <c r="E22" s="1">
        <f ca="1" t="shared" si="1"/>
        <v>17</v>
      </c>
      <c r="F22" s="1">
        <f ca="1">_xlfn.FLOOR.MATH(E22/24)</f>
        <v>0</v>
      </c>
    </row>
    <row r="23" spans="1:6">
      <c r="A23" s="1">
        <v>18</v>
      </c>
      <c r="B23" s="1">
        <f>A23*控制台!$E$4959</f>
        <v>64800</v>
      </c>
      <c r="C23" s="1">
        <f ca="1">OFFSET(控制台!$C$4968,MATCH(A23,控制台!$B$4968:$B$4976,1)-1,0)</f>
        <v>1</v>
      </c>
      <c r="D23" s="4">
        <f ca="1" t="shared" si="0"/>
        <v>61000</v>
      </c>
      <c r="E23" s="1">
        <f ca="1" t="shared" si="1"/>
        <v>18</v>
      </c>
      <c r="F23" s="1">
        <f ca="1">_xlfn.FLOOR.MATH(E23/24)</f>
        <v>0</v>
      </c>
    </row>
    <row r="24" spans="1:6">
      <c r="A24" s="1">
        <v>19</v>
      </c>
      <c r="B24" s="1">
        <f>A24*控制台!$E$4959</f>
        <v>68400</v>
      </c>
      <c r="C24" s="1">
        <f ca="1">OFFSET(控制台!$C$4968,MATCH(A24,控制台!$B$4968:$B$4976,1)-1,0)</f>
        <v>1</v>
      </c>
      <c r="D24" s="4">
        <f ca="1" t="shared" si="0"/>
        <v>65000</v>
      </c>
      <c r="E24" s="1">
        <f ca="1" t="shared" si="1"/>
        <v>19</v>
      </c>
      <c r="F24" s="1">
        <f ca="1">_xlfn.FLOOR.MATH(E24/24)</f>
        <v>0</v>
      </c>
    </row>
    <row r="25" spans="1:6">
      <c r="A25" s="1">
        <v>20</v>
      </c>
      <c r="B25" s="1">
        <f>A25*控制台!$E$4959</f>
        <v>72000</v>
      </c>
      <c r="C25" s="1">
        <f ca="1">OFFSET(控制台!$C$4968,MATCH(A25,控制台!$B$4968:$B$4976,1)-1,0)</f>
        <v>1</v>
      </c>
      <c r="D25" s="4">
        <f ca="1" t="shared" si="0"/>
        <v>68000</v>
      </c>
      <c r="E25" s="1">
        <f ca="1" t="shared" si="1"/>
        <v>20</v>
      </c>
      <c r="F25" s="1">
        <f ca="1">_xlfn.FLOOR.MATH(E25/24)</f>
        <v>0</v>
      </c>
    </row>
    <row r="26" spans="1:6">
      <c r="A26" s="1">
        <v>21</v>
      </c>
      <c r="B26" s="1">
        <f>A26*控制台!$E$4959</f>
        <v>75600</v>
      </c>
      <c r="C26" s="1">
        <f ca="1">OFFSET(控制台!$C$4968,MATCH(A26,控制台!$B$4968:$B$4976,1)-1,0)</f>
        <v>1.5</v>
      </c>
      <c r="D26" s="4">
        <f ca="1" t="shared" si="0"/>
        <v>110000</v>
      </c>
      <c r="E26" s="1">
        <f ca="1" t="shared" si="1"/>
        <v>21.5</v>
      </c>
      <c r="F26" s="1">
        <f ca="1">_xlfn.FLOOR.MATH(E26/24)</f>
        <v>0</v>
      </c>
    </row>
    <row r="27" spans="1:6">
      <c r="A27" s="1">
        <v>22</v>
      </c>
      <c r="B27" s="1">
        <f>A27*控制台!$E$4959</f>
        <v>79200</v>
      </c>
      <c r="C27" s="1">
        <f ca="1">OFFSET(控制台!$C$4968,MATCH(A27,控制台!$B$4968:$B$4976,1)-1,0)</f>
        <v>1.5</v>
      </c>
      <c r="D27" s="4">
        <f ca="1" t="shared" si="0"/>
        <v>110000</v>
      </c>
      <c r="E27" s="1">
        <f ca="1" t="shared" si="1"/>
        <v>23</v>
      </c>
      <c r="F27" s="1">
        <f ca="1">_xlfn.FLOOR.MATH(E27/24)</f>
        <v>0</v>
      </c>
    </row>
    <row r="28" spans="1:6">
      <c r="A28" s="1">
        <v>23</v>
      </c>
      <c r="B28" s="1">
        <f>A28*控制台!$E$4959</f>
        <v>82800</v>
      </c>
      <c r="C28" s="1">
        <f ca="1">OFFSET(控制台!$C$4968,MATCH(A28,控制台!$B$4968:$B$4976,1)-1,0)</f>
        <v>1.5</v>
      </c>
      <c r="D28" s="4">
        <f ca="1" t="shared" si="0"/>
        <v>120000</v>
      </c>
      <c r="E28" s="1">
        <f ca="1" t="shared" si="1"/>
        <v>24.5</v>
      </c>
      <c r="F28" s="1">
        <f ca="1">_xlfn.FLOOR.MATH(E28/24)</f>
        <v>1</v>
      </c>
    </row>
    <row r="29" spans="1:6">
      <c r="A29" s="1">
        <v>24</v>
      </c>
      <c r="B29" s="1">
        <f>A29*控制台!$E$4959</f>
        <v>86400</v>
      </c>
      <c r="C29" s="1">
        <f ca="1">OFFSET(控制台!$C$4968,MATCH(A29,控制台!$B$4968:$B$4976,1)-1,0)</f>
        <v>1.5</v>
      </c>
      <c r="D29" s="4">
        <f ca="1" t="shared" si="0"/>
        <v>120000</v>
      </c>
      <c r="E29" s="1">
        <f ca="1" t="shared" si="1"/>
        <v>26</v>
      </c>
      <c r="F29" s="1">
        <f ca="1">_xlfn.FLOOR.MATH(E29/24)</f>
        <v>1</v>
      </c>
    </row>
    <row r="30" spans="1:6">
      <c r="A30" s="1">
        <v>25</v>
      </c>
      <c r="B30" s="1">
        <f>A30*控制台!$E$4959</f>
        <v>90000</v>
      </c>
      <c r="C30" s="1">
        <f ca="1">OFFSET(控制台!$C$4968,MATCH(A30,控制台!$B$4968:$B$4976,1)-1,0)</f>
        <v>1.5</v>
      </c>
      <c r="D30" s="4">
        <f ca="1" t="shared" si="0"/>
        <v>130000</v>
      </c>
      <c r="E30" s="1">
        <f ca="1" t="shared" si="1"/>
        <v>27.5</v>
      </c>
      <c r="F30" s="1">
        <f ca="1">_xlfn.FLOOR.MATH(E30/24)</f>
        <v>1</v>
      </c>
    </row>
    <row r="31" spans="1:6">
      <c r="A31" s="1">
        <v>26</v>
      </c>
      <c r="B31" s="1">
        <f>A31*控制台!$E$4959</f>
        <v>93600</v>
      </c>
      <c r="C31" s="1">
        <f ca="1">OFFSET(控制台!$C$4968,MATCH(A31,控制台!$B$4968:$B$4976,1)-1,0)</f>
        <v>1.5</v>
      </c>
      <c r="D31" s="4">
        <f ca="1" t="shared" si="0"/>
        <v>140000</v>
      </c>
      <c r="E31" s="1">
        <f ca="1" t="shared" si="1"/>
        <v>29</v>
      </c>
      <c r="F31" s="1">
        <f ca="1">_xlfn.FLOOR.MATH(E31/24)</f>
        <v>1</v>
      </c>
    </row>
    <row r="32" spans="1:6">
      <c r="A32" s="1">
        <v>27</v>
      </c>
      <c r="B32" s="1">
        <f>A32*控制台!$E$4959</f>
        <v>97200</v>
      </c>
      <c r="C32" s="1">
        <f ca="1">OFFSET(控制台!$C$4968,MATCH(A32,控制台!$B$4968:$B$4976,1)-1,0)</f>
        <v>1.5</v>
      </c>
      <c r="D32" s="4">
        <f ca="1" t="shared" si="0"/>
        <v>140000</v>
      </c>
      <c r="E32" s="1">
        <f ca="1" t="shared" si="1"/>
        <v>30.5</v>
      </c>
      <c r="F32" s="1">
        <f ca="1">_xlfn.FLOOR.MATH(E32/24)</f>
        <v>1</v>
      </c>
    </row>
    <row r="33" spans="1:6">
      <c r="A33" s="1">
        <v>28</v>
      </c>
      <c r="B33" s="1">
        <f>A33*控制台!$E$4959</f>
        <v>100800</v>
      </c>
      <c r="C33" s="1">
        <f ca="1">OFFSET(控制台!$C$4968,MATCH(A33,控制台!$B$4968:$B$4976,1)-1,0)</f>
        <v>1.5</v>
      </c>
      <c r="D33" s="4">
        <f ca="1" t="shared" si="0"/>
        <v>150000</v>
      </c>
      <c r="E33" s="1">
        <f ca="1" t="shared" si="1"/>
        <v>32</v>
      </c>
      <c r="F33" s="1">
        <f ca="1">_xlfn.FLOOR.MATH(E33/24)</f>
        <v>1</v>
      </c>
    </row>
    <row r="34" spans="1:6">
      <c r="A34" s="1">
        <v>29</v>
      </c>
      <c r="B34" s="1">
        <f>A34*控制台!$E$4959</f>
        <v>104400</v>
      </c>
      <c r="C34" s="1">
        <f ca="1">OFFSET(控制台!$C$4968,MATCH(A34,控制台!$B$4968:$B$4976,1)-1,0)</f>
        <v>1.5</v>
      </c>
      <c r="D34" s="4">
        <f ca="1" t="shared" si="0"/>
        <v>150000</v>
      </c>
      <c r="E34" s="1">
        <f ca="1" t="shared" si="1"/>
        <v>33.5</v>
      </c>
      <c r="F34" s="1">
        <f ca="1">_xlfn.FLOOR.MATH(E34/24)</f>
        <v>1</v>
      </c>
    </row>
    <row r="35" spans="1:6">
      <c r="A35" s="1">
        <v>30</v>
      </c>
      <c r="B35" s="1">
        <f>A35*控制台!$E$4959</f>
        <v>108000</v>
      </c>
      <c r="C35" s="1">
        <f ca="1">OFFSET(控制台!$C$4968,MATCH(A35,控制台!$B$4968:$B$4976,1)-1,0)</f>
        <v>1.5</v>
      </c>
      <c r="D35" s="4">
        <f ca="1" t="shared" si="0"/>
        <v>160000</v>
      </c>
      <c r="E35" s="1">
        <f ca="1" t="shared" si="1"/>
        <v>35</v>
      </c>
      <c r="F35" s="1">
        <f ca="1">_xlfn.FLOOR.MATH(E35/24)</f>
        <v>1</v>
      </c>
    </row>
    <row r="36" spans="1:6">
      <c r="A36" s="1">
        <v>31</v>
      </c>
      <c r="B36" s="1">
        <f>A36*控制台!$E$4959</f>
        <v>111600</v>
      </c>
      <c r="C36" s="1">
        <f ca="1">OFFSET(控制台!$C$4968,MATCH(A36,控制台!$B$4968:$B$4976,1)-1,0)</f>
        <v>1.5</v>
      </c>
      <c r="D36" s="4">
        <f ca="1" t="shared" si="0"/>
        <v>160000</v>
      </c>
      <c r="E36" s="1">
        <f ca="1" t="shared" si="1"/>
        <v>36.5</v>
      </c>
      <c r="F36" s="1">
        <f ca="1">_xlfn.FLOOR.MATH(E36/24)</f>
        <v>1</v>
      </c>
    </row>
    <row r="37" spans="1:6">
      <c r="A37" s="1">
        <v>32</v>
      </c>
      <c r="B37" s="1">
        <f>A37*控制台!$E$4959</f>
        <v>115200</v>
      </c>
      <c r="C37" s="1">
        <f ca="1">OFFSET(控制台!$C$4968,MATCH(A37,控制台!$B$4968:$B$4976,1)-1,0)</f>
        <v>1.5</v>
      </c>
      <c r="D37" s="4">
        <f ca="1" t="shared" si="0"/>
        <v>170000</v>
      </c>
      <c r="E37" s="1">
        <f ca="1" t="shared" si="1"/>
        <v>38</v>
      </c>
      <c r="F37" s="1">
        <f ca="1">_xlfn.FLOOR.MATH(E37/24)</f>
        <v>1</v>
      </c>
    </row>
    <row r="38" spans="1:6">
      <c r="A38" s="1">
        <v>33</v>
      </c>
      <c r="B38" s="1">
        <f>A38*控制台!$E$4959</f>
        <v>118800</v>
      </c>
      <c r="C38" s="1">
        <f ca="1">OFFSET(控制台!$C$4968,MATCH(A38,控制台!$B$4968:$B$4976,1)-1,0)</f>
        <v>1.5</v>
      </c>
      <c r="D38" s="4">
        <f ca="1" t="shared" si="0"/>
        <v>170000</v>
      </c>
      <c r="E38" s="1">
        <f ca="1" t="shared" si="1"/>
        <v>39.5</v>
      </c>
      <c r="F38" s="1">
        <f ca="1">_xlfn.FLOOR.MATH(E38/24)</f>
        <v>1</v>
      </c>
    </row>
    <row r="39" spans="1:6">
      <c r="A39" s="1">
        <v>34</v>
      </c>
      <c r="B39" s="1">
        <f>A39*控制台!$E$4959</f>
        <v>122400</v>
      </c>
      <c r="C39" s="1">
        <f ca="1">OFFSET(控制台!$C$4968,MATCH(A39,控制台!$B$4968:$B$4976,1)-1,0)</f>
        <v>1.5</v>
      </c>
      <c r="D39" s="4">
        <f ca="1" t="shared" si="0"/>
        <v>180000</v>
      </c>
      <c r="E39" s="1">
        <f ca="1" t="shared" si="1"/>
        <v>41</v>
      </c>
      <c r="F39" s="1">
        <f ca="1">_xlfn.FLOOR.MATH(E39/24)</f>
        <v>1</v>
      </c>
    </row>
    <row r="40" spans="1:6">
      <c r="A40" s="1">
        <v>35</v>
      </c>
      <c r="B40" s="1">
        <f>A40*控制台!$E$4959</f>
        <v>126000</v>
      </c>
      <c r="C40" s="1">
        <f ca="1">OFFSET(控制台!$C$4968,MATCH(A40,控制台!$B$4968:$B$4976,1)-1,0)</f>
        <v>1.5</v>
      </c>
      <c r="D40" s="4">
        <f ca="1" t="shared" si="0"/>
        <v>180000</v>
      </c>
      <c r="E40" s="1">
        <f ca="1" t="shared" si="1"/>
        <v>42.5</v>
      </c>
      <c r="F40" s="1">
        <f ca="1">_xlfn.FLOOR.MATH(E40/24)</f>
        <v>1</v>
      </c>
    </row>
    <row r="41" spans="1:6">
      <c r="A41" s="1">
        <v>36</v>
      </c>
      <c r="B41" s="1">
        <f>A41*控制台!$E$4959</f>
        <v>129600</v>
      </c>
      <c r="C41" s="1">
        <f ca="1">OFFSET(控制台!$C$4968,MATCH(A41,控制台!$B$4968:$B$4976,1)-1,0)</f>
        <v>1.5</v>
      </c>
      <c r="D41" s="4">
        <f ca="1" t="shared" si="0"/>
        <v>190000</v>
      </c>
      <c r="E41" s="1">
        <f ca="1" t="shared" si="1"/>
        <v>44</v>
      </c>
      <c r="F41" s="1">
        <f ca="1">_xlfn.FLOOR.MATH(E41/24)</f>
        <v>1</v>
      </c>
    </row>
    <row r="42" spans="1:6">
      <c r="A42" s="1">
        <v>37</v>
      </c>
      <c r="B42" s="1">
        <f>A42*控制台!$E$4959</f>
        <v>133200</v>
      </c>
      <c r="C42" s="1">
        <f ca="1">OFFSET(控制台!$C$4968,MATCH(A42,控制台!$B$4968:$B$4976,1)-1,0)</f>
        <v>1.5</v>
      </c>
      <c r="D42" s="4">
        <f ca="1" t="shared" si="0"/>
        <v>190000</v>
      </c>
      <c r="E42" s="1">
        <f ca="1" t="shared" si="1"/>
        <v>45.5</v>
      </c>
      <c r="F42" s="1">
        <f ca="1">_xlfn.FLOOR.MATH(E42/24)</f>
        <v>1</v>
      </c>
    </row>
    <row r="43" spans="1:6">
      <c r="A43" s="1">
        <v>38</v>
      </c>
      <c r="B43" s="1">
        <f>A43*控制台!$E$4959</f>
        <v>136800</v>
      </c>
      <c r="C43" s="1">
        <f ca="1">OFFSET(控制台!$C$4968,MATCH(A43,控制台!$B$4968:$B$4976,1)-1,0)</f>
        <v>1.5</v>
      </c>
      <c r="D43" s="4">
        <f ca="1" t="shared" si="0"/>
        <v>200000</v>
      </c>
      <c r="E43" s="1">
        <f ca="1" t="shared" si="1"/>
        <v>47</v>
      </c>
      <c r="F43" s="1">
        <f ca="1">_xlfn.FLOOR.MATH(E43/24)</f>
        <v>1</v>
      </c>
    </row>
    <row r="44" spans="1:6">
      <c r="A44" s="1">
        <v>39</v>
      </c>
      <c r="B44" s="1">
        <f>A44*控制台!$E$4959</f>
        <v>140400</v>
      </c>
      <c r="C44" s="1">
        <f ca="1">OFFSET(控制台!$C$4968,MATCH(A44,控制台!$B$4968:$B$4976,1)-1,0)</f>
        <v>1.5</v>
      </c>
      <c r="D44" s="4">
        <f ca="1" t="shared" si="0"/>
        <v>210000</v>
      </c>
      <c r="E44" s="1">
        <f ca="1" t="shared" si="1"/>
        <v>48.5</v>
      </c>
      <c r="F44" s="1">
        <f ca="1">_xlfn.FLOOR.MATH(E44/24)</f>
        <v>2</v>
      </c>
    </row>
    <row r="45" spans="1:6">
      <c r="A45" s="1">
        <v>40</v>
      </c>
      <c r="B45" s="1">
        <f>A45*控制台!$E$4959</f>
        <v>144000</v>
      </c>
      <c r="C45" s="1">
        <f ca="1">OFFSET(控制台!$C$4968,MATCH(A45,控制台!$B$4968:$B$4976,1)-1,0)</f>
        <v>1.5</v>
      </c>
      <c r="D45" s="4">
        <f ca="1" t="shared" si="0"/>
        <v>210000</v>
      </c>
      <c r="E45" s="1">
        <f ca="1" t="shared" si="1"/>
        <v>50</v>
      </c>
      <c r="F45" s="1">
        <f ca="1">_xlfn.FLOOR.MATH(E45/24)</f>
        <v>2</v>
      </c>
    </row>
    <row r="46" spans="1:6">
      <c r="A46" s="1">
        <v>41</v>
      </c>
      <c r="B46" s="1">
        <f>A46*控制台!$E$4959</f>
        <v>147600</v>
      </c>
      <c r="C46" s="1">
        <f ca="1">OFFSET(控制台!$C$4968,MATCH(A46,控制台!$B$4968:$B$4976,1)-1,0)</f>
        <v>1.5</v>
      </c>
      <c r="D46" s="4">
        <f ca="1" t="shared" si="0"/>
        <v>220000</v>
      </c>
      <c r="E46" s="1">
        <f ca="1" t="shared" si="1"/>
        <v>51.5</v>
      </c>
      <c r="F46" s="1">
        <f ca="1">_xlfn.FLOOR.MATH(E46/24)</f>
        <v>2</v>
      </c>
    </row>
    <row r="47" spans="1:6">
      <c r="A47" s="1">
        <v>42</v>
      </c>
      <c r="B47" s="1">
        <f>A47*控制台!$E$4959</f>
        <v>151200</v>
      </c>
      <c r="C47" s="1">
        <f ca="1">OFFSET(控制台!$C$4968,MATCH(A47,控制台!$B$4968:$B$4976,1)-1,0)</f>
        <v>1.5</v>
      </c>
      <c r="D47" s="4">
        <f ca="1" t="shared" si="0"/>
        <v>220000</v>
      </c>
      <c r="E47" s="1">
        <f ca="1" t="shared" si="1"/>
        <v>53</v>
      </c>
      <c r="F47" s="1">
        <f ca="1">_xlfn.FLOOR.MATH(E47/24)</f>
        <v>2</v>
      </c>
    </row>
    <row r="48" spans="1:6">
      <c r="A48" s="1">
        <v>43</v>
      </c>
      <c r="B48" s="1">
        <f>A48*控制台!$E$4959</f>
        <v>154800</v>
      </c>
      <c r="C48" s="1">
        <f ca="1">OFFSET(控制台!$C$4968,MATCH(A48,控制台!$B$4968:$B$4976,1)-1,0)</f>
        <v>1.5</v>
      </c>
      <c r="D48" s="4">
        <f ca="1" t="shared" si="0"/>
        <v>230000</v>
      </c>
      <c r="E48" s="1">
        <f ca="1" t="shared" si="1"/>
        <v>54.5</v>
      </c>
      <c r="F48" s="1">
        <f ca="1">_xlfn.FLOOR.MATH(E48/24)</f>
        <v>2</v>
      </c>
    </row>
    <row r="49" spans="1:6">
      <c r="A49" s="1">
        <v>44</v>
      </c>
      <c r="B49" s="1">
        <f>A49*控制台!$E$4959</f>
        <v>158400</v>
      </c>
      <c r="C49" s="1">
        <f ca="1">OFFSET(控制台!$C$4968,MATCH(A49,控制台!$B$4968:$B$4976,1)-1,0)</f>
        <v>1.5</v>
      </c>
      <c r="D49" s="4">
        <f ca="1" t="shared" si="0"/>
        <v>230000</v>
      </c>
      <c r="E49" s="1">
        <f ca="1" t="shared" si="1"/>
        <v>56</v>
      </c>
      <c r="F49" s="1">
        <f ca="1">_xlfn.FLOOR.MATH(E49/24)</f>
        <v>2</v>
      </c>
    </row>
    <row r="50" spans="1:6">
      <c r="A50" s="1">
        <v>45</v>
      </c>
      <c r="B50" s="1">
        <f>A50*控制台!$E$4959</f>
        <v>162000</v>
      </c>
      <c r="C50" s="1">
        <f ca="1">OFFSET(控制台!$C$4968,MATCH(A50,控制台!$B$4968:$B$4976,1)-1,0)</f>
        <v>1.5</v>
      </c>
      <c r="D50" s="4">
        <f ca="1" t="shared" si="0"/>
        <v>240000</v>
      </c>
      <c r="E50" s="1">
        <f ca="1" t="shared" si="1"/>
        <v>57.5</v>
      </c>
      <c r="F50" s="1">
        <f ca="1">_xlfn.FLOOR.MATH(E50/24)</f>
        <v>2</v>
      </c>
    </row>
    <row r="51" spans="1:6">
      <c r="A51" s="1">
        <v>46</v>
      </c>
      <c r="B51" s="1">
        <f>A51*控制台!$E$4959</f>
        <v>165600</v>
      </c>
      <c r="C51" s="1">
        <f ca="1">OFFSET(控制台!$C$4968,MATCH(A51,控制台!$B$4968:$B$4976,1)-1,0)</f>
        <v>1.5</v>
      </c>
      <c r="D51" s="4">
        <f ca="1" t="shared" si="0"/>
        <v>240000</v>
      </c>
      <c r="E51" s="1">
        <f ca="1" t="shared" si="1"/>
        <v>59</v>
      </c>
      <c r="F51" s="1">
        <f ca="1">_xlfn.FLOOR.MATH(E51/24)</f>
        <v>2</v>
      </c>
    </row>
    <row r="52" spans="1:6">
      <c r="A52" s="1">
        <v>47</v>
      </c>
      <c r="B52" s="1">
        <f>A52*控制台!$E$4959</f>
        <v>169200</v>
      </c>
      <c r="C52" s="1">
        <f ca="1">OFFSET(控制台!$C$4968,MATCH(A52,控制台!$B$4968:$B$4976,1)-1,0)</f>
        <v>1.5</v>
      </c>
      <c r="D52" s="4">
        <f ca="1" t="shared" si="0"/>
        <v>250000</v>
      </c>
      <c r="E52" s="1">
        <f ca="1" t="shared" si="1"/>
        <v>60.5</v>
      </c>
      <c r="F52" s="1">
        <f ca="1">_xlfn.FLOOR.MATH(E52/24)</f>
        <v>2</v>
      </c>
    </row>
    <row r="53" spans="1:6">
      <c r="A53" s="1">
        <v>48</v>
      </c>
      <c r="B53" s="1">
        <f>A53*控制台!$E$4959</f>
        <v>172800</v>
      </c>
      <c r="C53" s="1">
        <f ca="1">OFFSET(控制台!$C$4968,MATCH(A53,控制台!$B$4968:$B$4976,1)-1,0)</f>
        <v>1.5</v>
      </c>
      <c r="D53" s="4">
        <f ca="1" t="shared" si="0"/>
        <v>250000</v>
      </c>
      <c r="E53" s="1">
        <f ca="1" t="shared" si="1"/>
        <v>62</v>
      </c>
      <c r="F53" s="1">
        <f ca="1">_xlfn.FLOOR.MATH(E53/24)</f>
        <v>2</v>
      </c>
    </row>
    <row r="54" spans="1:6">
      <c r="A54" s="1">
        <v>49</v>
      </c>
      <c r="B54" s="1">
        <f>A54*控制台!$E$4959</f>
        <v>176400</v>
      </c>
      <c r="C54" s="1">
        <f ca="1">OFFSET(控制台!$C$4968,MATCH(A54,控制台!$B$4968:$B$4976,1)-1,0)</f>
        <v>1.5</v>
      </c>
      <c r="D54" s="4">
        <f ca="1" t="shared" si="0"/>
        <v>260000</v>
      </c>
      <c r="E54" s="1">
        <f ca="1" t="shared" si="1"/>
        <v>63.5</v>
      </c>
      <c r="F54" s="1">
        <f ca="1">_xlfn.FLOOR.MATH(E54/24)</f>
        <v>2</v>
      </c>
    </row>
    <row r="55" spans="1:6">
      <c r="A55" s="1">
        <v>50</v>
      </c>
      <c r="B55" s="1">
        <f>A55*控制台!$E$4959</f>
        <v>180000</v>
      </c>
      <c r="C55" s="1">
        <f ca="1">OFFSET(控制台!$C$4968,MATCH(A55,控制台!$B$4968:$B$4976,1)-1,0)</f>
        <v>1.5</v>
      </c>
      <c r="D55" s="4">
        <f ca="1" t="shared" si="0"/>
        <v>260000</v>
      </c>
      <c r="E55" s="1">
        <f ca="1" t="shared" si="1"/>
        <v>65</v>
      </c>
      <c r="F55" s="1">
        <f ca="1">_xlfn.FLOOR.MATH(E55/24)</f>
        <v>2</v>
      </c>
    </row>
    <row r="56" spans="1:6">
      <c r="A56" s="1">
        <v>51</v>
      </c>
      <c r="B56" s="1">
        <f>A56*控制台!$E$4959</f>
        <v>183600</v>
      </c>
      <c r="C56" s="1">
        <f ca="1">OFFSET(控制台!$C$4968,MATCH(A56,控制台!$B$4968:$B$4976,1)-1,0)</f>
        <v>2</v>
      </c>
      <c r="D56" s="4">
        <f ca="1" t="shared" si="0"/>
        <v>360000</v>
      </c>
      <c r="E56" s="1">
        <f ca="1" t="shared" si="1"/>
        <v>67</v>
      </c>
      <c r="F56" s="1">
        <f ca="1">_xlfn.FLOOR.MATH(E56/24)</f>
        <v>2</v>
      </c>
    </row>
    <row r="57" spans="1:6">
      <c r="A57" s="1">
        <v>52</v>
      </c>
      <c r="B57" s="1">
        <f>A57*控制台!$E$4959</f>
        <v>187200</v>
      </c>
      <c r="C57" s="1">
        <f ca="1">OFFSET(控制台!$C$4968,MATCH(A57,控制台!$B$4968:$B$4976,1)-1,0)</f>
        <v>2</v>
      </c>
      <c r="D57" s="4">
        <f ca="1" t="shared" si="0"/>
        <v>370000</v>
      </c>
      <c r="E57" s="1">
        <f ca="1" t="shared" si="1"/>
        <v>69</v>
      </c>
      <c r="F57" s="1">
        <f ca="1">_xlfn.FLOOR.MATH(E57/24)</f>
        <v>2</v>
      </c>
    </row>
    <row r="58" spans="1:6">
      <c r="A58" s="1">
        <v>53</v>
      </c>
      <c r="B58" s="1">
        <f>A58*控制台!$E$4959</f>
        <v>190800</v>
      </c>
      <c r="C58" s="1">
        <f ca="1">OFFSET(控制台!$C$4968,MATCH(A58,控制台!$B$4968:$B$4976,1)-1,0)</f>
        <v>2</v>
      </c>
      <c r="D58" s="4">
        <f ca="1" t="shared" si="0"/>
        <v>370000</v>
      </c>
      <c r="E58" s="1">
        <f ca="1" t="shared" si="1"/>
        <v>71</v>
      </c>
      <c r="F58" s="1">
        <f ca="1">_xlfn.FLOOR.MATH(E58/24)</f>
        <v>2</v>
      </c>
    </row>
    <row r="59" spans="1:6">
      <c r="A59" s="1">
        <v>54</v>
      </c>
      <c r="B59" s="1">
        <f>A59*控制台!$E$4959</f>
        <v>194400</v>
      </c>
      <c r="C59" s="1">
        <f ca="1">OFFSET(控制台!$C$4968,MATCH(A59,控制台!$B$4968:$B$4976,1)-1,0)</f>
        <v>2</v>
      </c>
      <c r="D59" s="4">
        <f ca="1" t="shared" si="0"/>
        <v>380000</v>
      </c>
      <c r="E59" s="1">
        <f ca="1" t="shared" si="1"/>
        <v>73</v>
      </c>
      <c r="F59" s="1">
        <f ca="1">_xlfn.FLOOR.MATH(E59/24)</f>
        <v>3</v>
      </c>
    </row>
    <row r="60" spans="1:6">
      <c r="A60" s="1">
        <v>55</v>
      </c>
      <c r="B60" s="1">
        <f>A60*控制台!$E$4959</f>
        <v>198000</v>
      </c>
      <c r="C60" s="1">
        <f ca="1">OFFSET(控制台!$C$4968,MATCH(A60,控制台!$B$4968:$B$4976,1)-1,0)</f>
        <v>2</v>
      </c>
      <c r="D60" s="4">
        <f ca="1" t="shared" si="0"/>
        <v>390000</v>
      </c>
      <c r="E60" s="1">
        <f ca="1" t="shared" si="1"/>
        <v>75</v>
      </c>
      <c r="F60" s="1">
        <f ca="1">_xlfn.FLOOR.MATH(E60/24)</f>
        <v>3</v>
      </c>
    </row>
    <row r="61" spans="1:6">
      <c r="A61" s="1">
        <v>56</v>
      </c>
      <c r="B61" s="1">
        <f>A61*控制台!$E$4959</f>
        <v>201600</v>
      </c>
      <c r="C61" s="1">
        <f ca="1">OFFSET(控制台!$C$4968,MATCH(A61,控制台!$B$4968:$B$4976,1)-1,0)</f>
        <v>2</v>
      </c>
      <c r="D61" s="4">
        <f ca="1" t="shared" si="0"/>
        <v>400000</v>
      </c>
      <c r="E61" s="1">
        <f ca="1" t="shared" si="1"/>
        <v>77</v>
      </c>
      <c r="F61" s="1">
        <f ca="1">_xlfn.FLOOR.MATH(E61/24)</f>
        <v>3</v>
      </c>
    </row>
    <row r="62" spans="1:6">
      <c r="A62" s="1">
        <v>57</v>
      </c>
      <c r="B62" s="1">
        <f>A62*控制台!$E$4959</f>
        <v>205200</v>
      </c>
      <c r="C62" s="1">
        <f ca="1">OFFSET(控制台!$C$4968,MATCH(A62,控制台!$B$4968:$B$4976,1)-1,0)</f>
        <v>2</v>
      </c>
      <c r="D62" s="4">
        <f ca="1" t="shared" si="0"/>
        <v>400000</v>
      </c>
      <c r="E62" s="1">
        <f ca="1" t="shared" si="1"/>
        <v>79</v>
      </c>
      <c r="F62" s="1">
        <f ca="1">_xlfn.FLOOR.MATH(E62/24)</f>
        <v>3</v>
      </c>
    </row>
    <row r="63" spans="1:6">
      <c r="A63" s="1">
        <v>58</v>
      </c>
      <c r="B63" s="1">
        <f>A63*控制台!$E$4959</f>
        <v>208800</v>
      </c>
      <c r="C63" s="1">
        <f ca="1">OFFSET(控制台!$C$4968,MATCH(A63,控制台!$B$4968:$B$4976,1)-1,0)</f>
        <v>2</v>
      </c>
      <c r="D63" s="4">
        <f ca="1" t="shared" si="0"/>
        <v>410000</v>
      </c>
      <c r="E63" s="1">
        <f ca="1" t="shared" si="1"/>
        <v>81</v>
      </c>
      <c r="F63" s="1">
        <f ca="1">_xlfn.FLOOR.MATH(E63/24)</f>
        <v>3</v>
      </c>
    </row>
    <row r="64" spans="1:6">
      <c r="A64" s="1">
        <v>59</v>
      </c>
      <c r="B64" s="1">
        <f>A64*控制台!$E$4959</f>
        <v>212400</v>
      </c>
      <c r="C64" s="1">
        <f ca="1">OFFSET(控制台!$C$4968,MATCH(A64,控制台!$B$4968:$B$4976,1)-1,0)</f>
        <v>2</v>
      </c>
      <c r="D64" s="4">
        <f ca="1" t="shared" si="0"/>
        <v>420000</v>
      </c>
      <c r="E64" s="1">
        <f ca="1" t="shared" si="1"/>
        <v>83</v>
      </c>
      <c r="F64" s="1">
        <f ca="1">_xlfn.FLOOR.MATH(E64/24)</f>
        <v>3</v>
      </c>
    </row>
    <row r="65" spans="1:6">
      <c r="A65" s="1">
        <v>60</v>
      </c>
      <c r="B65" s="1">
        <f>A65*控制台!$E$4959</f>
        <v>216000</v>
      </c>
      <c r="C65" s="1">
        <f ca="1">OFFSET(控制台!$C$4968,MATCH(A65,控制台!$B$4968:$B$4976,1)-1,0)</f>
        <v>2</v>
      </c>
      <c r="D65" s="4">
        <f ca="1" t="shared" si="0"/>
        <v>420000</v>
      </c>
      <c r="E65" s="1">
        <f ca="1" t="shared" si="1"/>
        <v>85</v>
      </c>
      <c r="F65" s="1">
        <f ca="1">_xlfn.FLOOR.MATH(E65/24)</f>
        <v>3</v>
      </c>
    </row>
    <row r="66" spans="1:6">
      <c r="A66" s="1">
        <v>61</v>
      </c>
      <c r="B66" s="1">
        <f>A66*控制台!$E$4959</f>
        <v>219600</v>
      </c>
      <c r="C66" s="1">
        <f ca="1">OFFSET(控制台!$C$4968,MATCH(A66,控制台!$B$4968:$B$4976,1)-1,0)</f>
        <v>2</v>
      </c>
      <c r="D66" s="4">
        <f ca="1" t="shared" si="0"/>
        <v>430000</v>
      </c>
      <c r="E66" s="1">
        <f ca="1" t="shared" si="1"/>
        <v>87</v>
      </c>
      <c r="F66" s="1">
        <f ca="1">_xlfn.FLOOR.MATH(E66/24)</f>
        <v>3</v>
      </c>
    </row>
    <row r="67" spans="1:6">
      <c r="A67" s="1">
        <v>62</v>
      </c>
      <c r="B67" s="1">
        <f>A67*控制台!$E$4959</f>
        <v>223200</v>
      </c>
      <c r="C67" s="1">
        <f ca="1">OFFSET(控制台!$C$4968,MATCH(A67,控制台!$B$4968:$B$4976,1)-1,0)</f>
        <v>2</v>
      </c>
      <c r="D67" s="4">
        <f ca="1" t="shared" si="0"/>
        <v>440000</v>
      </c>
      <c r="E67" s="1">
        <f ca="1" t="shared" si="1"/>
        <v>89</v>
      </c>
      <c r="F67" s="1">
        <f ca="1">_xlfn.FLOOR.MATH(E67/24)</f>
        <v>3</v>
      </c>
    </row>
    <row r="68" spans="1:6">
      <c r="A68" s="1">
        <v>63</v>
      </c>
      <c r="B68" s="1">
        <f>A68*控制台!$E$4959</f>
        <v>226800</v>
      </c>
      <c r="C68" s="1">
        <f ca="1">OFFSET(控制台!$C$4968,MATCH(A68,控制台!$B$4968:$B$4976,1)-1,0)</f>
        <v>2</v>
      </c>
      <c r="D68" s="4">
        <f ca="1" t="shared" si="0"/>
        <v>450000</v>
      </c>
      <c r="E68" s="1">
        <f ca="1" t="shared" si="1"/>
        <v>91</v>
      </c>
      <c r="F68" s="1">
        <f ca="1">_xlfn.FLOOR.MATH(E68/24)</f>
        <v>3</v>
      </c>
    </row>
    <row r="69" spans="1:6">
      <c r="A69" s="1">
        <v>64</v>
      </c>
      <c r="B69" s="1">
        <f>A69*控制台!$E$4959</f>
        <v>230400</v>
      </c>
      <c r="C69" s="1">
        <f ca="1">OFFSET(控制台!$C$4968,MATCH(A69,控制台!$B$4968:$B$4976,1)-1,0)</f>
        <v>2</v>
      </c>
      <c r="D69" s="4">
        <f ca="1" t="shared" si="0"/>
        <v>450000</v>
      </c>
      <c r="E69" s="1">
        <f ca="1" t="shared" si="1"/>
        <v>93</v>
      </c>
      <c r="F69" s="1">
        <f ca="1">_xlfn.FLOOR.MATH(E69/24)</f>
        <v>3</v>
      </c>
    </row>
    <row r="70" spans="1:6">
      <c r="A70" s="1">
        <v>65</v>
      </c>
      <c r="B70" s="1">
        <f>A70*控制台!$E$4959</f>
        <v>234000</v>
      </c>
      <c r="C70" s="1">
        <f ca="1">OFFSET(控制台!$C$4968,MATCH(A70,控制台!$B$4968:$B$4976,1)-1,0)</f>
        <v>2</v>
      </c>
      <c r="D70" s="4">
        <f ca="1" t="shared" si="0"/>
        <v>460000</v>
      </c>
      <c r="E70" s="1">
        <f ca="1" t="shared" si="1"/>
        <v>95</v>
      </c>
      <c r="F70" s="1">
        <f ca="1">_xlfn.FLOOR.MATH(E70/24)</f>
        <v>3</v>
      </c>
    </row>
    <row r="71" spans="1:6">
      <c r="A71" s="1">
        <v>66</v>
      </c>
      <c r="B71" s="1">
        <f>A71*控制台!$E$4959</f>
        <v>237600</v>
      </c>
      <c r="C71" s="1">
        <f ca="1">OFFSET(控制台!$C$4968,MATCH(A71,控制台!$B$4968:$B$4976,1)-1,0)</f>
        <v>2</v>
      </c>
      <c r="D71" s="4">
        <f ca="1" t="shared" si="0"/>
        <v>470000</v>
      </c>
      <c r="E71" s="1">
        <f ca="1" t="shared" si="1"/>
        <v>97</v>
      </c>
      <c r="F71" s="1">
        <f ca="1">_xlfn.FLOOR.MATH(E71/24)</f>
        <v>4</v>
      </c>
    </row>
    <row r="72" spans="1:6">
      <c r="A72" s="1">
        <v>67</v>
      </c>
      <c r="B72" s="1">
        <f>A72*控制台!$E$4959</f>
        <v>241200</v>
      </c>
      <c r="C72" s="1">
        <f ca="1">OFFSET(控制台!$C$4968,MATCH(A72,控制台!$B$4968:$B$4976,1)-1,0)</f>
        <v>2</v>
      </c>
      <c r="D72" s="4">
        <f ca="1" t="shared" ref="D72:D135" si="2">ROUND(C72*B71,1-INT(LOG10(C72*B71)))</f>
        <v>480000</v>
      </c>
      <c r="E72" s="1">
        <f ca="1" t="shared" ref="E72:E135" si="3">E71+C72</f>
        <v>99</v>
      </c>
      <c r="F72" s="1">
        <f ca="1">_xlfn.FLOOR.MATH(E72/24)</f>
        <v>4</v>
      </c>
    </row>
    <row r="73" spans="1:6">
      <c r="A73" s="1">
        <v>68</v>
      </c>
      <c r="B73" s="1">
        <f>A73*控制台!$E$4959</f>
        <v>244800</v>
      </c>
      <c r="C73" s="1">
        <f ca="1">OFFSET(控制台!$C$4968,MATCH(A73,控制台!$B$4968:$B$4976,1)-1,0)</f>
        <v>2</v>
      </c>
      <c r="D73" s="4">
        <f ca="1" t="shared" si="2"/>
        <v>480000</v>
      </c>
      <c r="E73" s="1">
        <f ca="1" t="shared" si="3"/>
        <v>101</v>
      </c>
      <c r="F73" s="1">
        <f ca="1">_xlfn.FLOOR.MATH(E73/24)</f>
        <v>4</v>
      </c>
    </row>
    <row r="74" spans="1:6">
      <c r="A74" s="1">
        <v>69</v>
      </c>
      <c r="B74" s="1">
        <f>A74*控制台!$E$4959</f>
        <v>248400</v>
      </c>
      <c r="C74" s="1">
        <f ca="1">OFFSET(控制台!$C$4968,MATCH(A74,控制台!$B$4968:$B$4976,1)-1,0)</f>
        <v>2</v>
      </c>
      <c r="D74" s="4">
        <f ca="1" t="shared" si="2"/>
        <v>490000</v>
      </c>
      <c r="E74" s="1">
        <f ca="1" t="shared" si="3"/>
        <v>103</v>
      </c>
      <c r="F74" s="1">
        <f ca="1">_xlfn.FLOOR.MATH(E74/24)</f>
        <v>4</v>
      </c>
    </row>
    <row r="75" spans="1:6">
      <c r="A75" s="1">
        <v>70</v>
      </c>
      <c r="B75" s="1">
        <f>A75*控制台!$E$4959</f>
        <v>252000</v>
      </c>
      <c r="C75" s="1">
        <f ca="1">OFFSET(控制台!$C$4968,MATCH(A75,控制台!$B$4968:$B$4976,1)-1,0)</f>
        <v>2</v>
      </c>
      <c r="D75" s="4">
        <f ca="1" t="shared" si="2"/>
        <v>500000</v>
      </c>
      <c r="E75" s="1">
        <f ca="1" t="shared" si="3"/>
        <v>105</v>
      </c>
      <c r="F75" s="1">
        <f ca="1">_xlfn.FLOOR.MATH(E75/24)</f>
        <v>4</v>
      </c>
    </row>
    <row r="76" spans="1:6">
      <c r="A76" s="1">
        <v>71</v>
      </c>
      <c r="B76" s="1">
        <f>A76*控制台!$E$4959</f>
        <v>255600</v>
      </c>
      <c r="C76" s="1">
        <f ca="1">OFFSET(控制台!$C$4968,MATCH(A76,控制台!$B$4968:$B$4976,1)-1,0)</f>
        <v>2</v>
      </c>
      <c r="D76" s="4">
        <f ca="1" t="shared" si="2"/>
        <v>500000</v>
      </c>
      <c r="E76" s="1">
        <f ca="1" t="shared" si="3"/>
        <v>107</v>
      </c>
      <c r="F76" s="1">
        <f ca="1">_xlfn.FLOOR.MATH(E76/24)</f>
        <v>4</v>
      </c>
    </row>
    <row r="77" spans="1:6">
      <c r="A77" s="1">
        <v>72</v>
      </c>
      <c r="B77" s="1">
        <f>A77*控制台!$E$4959</f>
        <v>259200</v>
      </c>
      <c r="C77" s="1">
        <f ca="1">OFFSET(控制台!$C$4968,MATCH(A77,控制台!$B$4968:$B$4976,1)-1,0)</f>
        <v>2</v>
      </c>
      <c r="D77" s="4">
        <f ca="1" t="shared" si="2"/>
        <v>510000</v>
      </c>
      <c r="E77" s="1">
        <f ca="1" t="shared" si="3"/>
        <v>109</v>
      </c>
      <c r="F77" s="1">
        <f ca="1">_xlfn.FLOOR.MATH(E77/24)</f>
        <v>4</v>
      </c>
    </row>
    <row r="78" spans="1:6">
      <c r="A78" s="1">
        <v>73</v>
      </c>
      <c r="B78" s="1">
        <f>A78*控制台!$E$4959</f>
        <v>262800</v>
      </c>
      <c r="C78" s="1">
        <f ca="1">OFFSET(控制台!$C$4968,MATCH(A78,控制台!$B$4968:$B$4976,1)-1,0)</f>
        <v>2</v>
      </c>
      <c r="D78" s="4">
        <f ca="1" t="shared" si="2"/>
        <v>520000</v>
      </c>
      <c r="E78" s="1">
        <f ca="1" t="shared" si="3"/>
        <v>111</v>
      </c>
      <c r="F78" s="1">
        <f ca="1">_xlfn.FLOOR.MATH(E78/24)</f>
        <v>4</v>
      </c>
    </row>
    <row r="79" spans="1:6">
      <c r="A79" s="1">
        <v>74</v>
      </c>
      <c r="B79" s="1">
        <f>A79*控制台!$E$4959</f>
        <v>266400</v>
      </c>
      <c r="C79" s="1">
        <f ca="1">OFFSET(控制台!$C$4968,MATCH(A79,控制台!$B$4968:$B$4976,1)-1,0)</f>
        <v>2</v>
      </c>
      <c r="D79" s="4">
        <f ca="1" t="shared" si="2"/>
        <v>530000</v>
      </c>
      <c r="E79" s="1">
        <f ca="1" t="shared" si="3"/>
        <v>113</v>
      </c>
      <c r="F79" s="1">
        <f ca="1">_xlfn.FLOOR.MATH(E79/24)</f>
        <v>4</v>
      </c>
    </row>
    <row r="80" spans="1:6">
      <c r="A80" s="1">
        <v>75</v>
      </c>
      <c r="B80" s="1">
        <f>A80*控制台!$E$4959</f>
        <v>270000</v>
      </c>
      <c r="C80" s="1">
        <f ca="1">OFFSET(控制台!$C$4968,MATCH(A80,控制台!$B$4968:$B$4976,1)-1,0)</f>
        <v>2</v>
      </c>
      <c r="D80" s="4">
        <f ca="1" t="shared" si="2"/>
        <v>530000</v>
      </c>
      <c r="E80" s="1">
        <f ca="1" t="shared" si="3"/>
        <v>115</v>
      </c>
      <c r="F80" s="1">
        <f ca="1">_xlfn.FLOOR.MATH(E80/24)</f>
        <v>4</v>
      </c>
    </row>
    <row r="81" spans="1:6">
      <c r="A81" s="1">
        <v>76</v>
      </c>
      <c r="B81" s="1">
        <f>A81*控制台!$E$4959</f>
        <v>273600</v>
      </c>
      <c r="C81" s="1">
        <f ca="1">OFFSET(控制台!$C$4968,MATCH(A81,控制台!$B$4968:$B$4976,1)-1,0)</f>
        <v>2</v>
      </c>
      <c r="D81" s="4">
        <f ca="1" t="shared" si="2"/>
        <v>540000</v>
      </c>
      <c r="E81" s="1">
        <f ca="1" t="shared" si="3"/>
        <v>117</v>
      </c>
      <c r="F81" s="1">
        <f ca="1">_xlfn.FLOOR.MATH(E81/24)</f>
        <v>4</v>
      </c>
    </row>
    <row r="82" spans="1:6">
      <c r="A82" s="1">
        <v>77</v>
      </c>
      <c r="B82" s="1">
        <f>A82*控制台!$E$4959</f>
        <v>277200</v>
      </c>
      <c r="C82" s="1">
        <f ca="1">OFFSET(控制台!$C$4968,MATCH(A82,控制台!$B$4968:$B$4976,1)-1,0)</f>
        <v>2</v>
      </c>
      <c r="D82" s="4">
        <f ca="1" t="shared" si="2"/>
        <v>550000</v>
      </c>
      <c r="E82" s="1">
        <f ca="1" t="shared" si="3"/>
        <v>119</v>
      </c>
      <c r="F82" s="1">
        <f ca="1">_xlfn.FLOOR.MATH(E82/24)</f>
        <v>4</v>
      </c>
    </row>
    <row r="83" spans="1:6">
      <c r="A83" s="1">
        <v>78</v>
      </c>
      <c r="B83" s="1">
        <f>A83*控制台!$E$4959</f>
        <v>280800</v>
      </c>
      <c r="C83" s="1">
        <f ca="1">OFFSET(控制台!$C$4968,MATCH(A83,控制台!$B$4968:$B$4976,1)-1,0)</f>
        <v>2</v>
      </c>
      <c r="D83" s="4">
        <f ca="1" t="shared" si="2"/>
        <v>550000</v>
      </c>
      <c r="E83" s="1">
        <f ca="1" t="shared" si="3"/>
        <v>121</v>
      </c>
      <c r="F83" s="1">
        <f ca="1">_xlfn.FLOOR.MATH(E83/24)</f>
        <v>5</v>
      </c>
    </row>
    <row r="84" spans="1:6">
      <c r="A84" s="1">
        <v>79</v>
      </c>
      <c r="B84" s="1">
        <f>A84*控制台!$E$4959</f>
        <v>284400</v>
      </c>
      <c r="C84" s="1">
        <f ca="1">OFFSET(控制台!$C$4968,MATCH(A84,控制台!$B$4968:$B$4976,1)-1,0)</f>
        <v>2</v>
      </c>
      <c r="D84" s="4">
        <f ca="1" t="shared" si="2"/>
        <v>560000</v>
      </c>
      <c r="E84" s="1">
        <f ca="1" t="shared" si="3"/>
        <v>123</v>
      </c>
      <c r="F84" s="1">
        <f ca="1">_xlfn.FLOOR.MATH(E84/24)</f>
        <v>5</v>
      </c>
    </row>
    <row r="85" spans="1:6">
      <c r="A85" s="1">
        <v>80</v>
      </c>
      <c r="B85" s="1">
        <f>A85*控制台!$E$4959</f>
        <v>288000</v>
      </c>
      <c r="C85" s="1">
        <f ca="1">OFFSET(控制台!$C$4968,MATCH(A85,控制台!$B$4968:$B$4976,1)-1,0)</f>
        <v>2</v>
      </c>
      <c r="D85" s="4">
        <f ca="1" t="shared" si="2"/>
        <v>570000</v>
      </c>
      <c r="E85" s="1">
        <f ca="1" t="shared" si="3"/>
        <v>125</v>
      </c>
      <c r="F85" s="1">
        <f ca="1">_xlfn.FLOOR.MATH(E85/24)</f>
        <v>5</v>
      </c>
    </row>
    <row r="86" spans="1:6">
      <c r="A86" s="1">
        <v>81</v>
      </c>
      <c r="B86" s="1">
        <f>A86*控制台!$E$4959</f>
        <v>291600</v>
      </c>
      <c r="C86" s="1">
        <f ca="1">OFFSET(控制台!$C$4968,MATCH(A86,控制台!$B$4968:$B$4976,1)-1,0)</f>
        <v>2</v>
      </c>
      <c r="D86" s="4">
        <f ca="1" t="shared" si="2"/>
        <v>580000</v>
      </c>
      <c r="E86" s="1">
        <f ca="1" t="shared" si="3"/>
        <v>127</v>
      </c>
      <c r="F86" s="1">
        <f ca="1">_xlfn.FLOOR.MATH(E86/24)</f>
        <v>5</v>
      </c>
    </row>
    <row r="87" spans="1:6">
      <c r="A87" s="1">
        <v>82</v>
      </c>
      <c r="B87" s="1">
        <f>A87*控制台!$E$4959</f>
        <v>295200</v>
      </c>
      <c r="C87" s="1">
        <f ca="1">OFFSET(控制台!$C$4968,MATCH(A87,控制台!$B$4968:$B$4976,1)-1,0)</f>
        <v>2</v>
      </c>
      <c r="D87" s="4">
        <f ca="1" t="shared" si="2"/>
        <v>580000</v>
      </c>
      <c r="E87" s="1">
        <f ca="1" t="shared" si="3"/>
        <v>129</v>
      </c>
      <c r="F87" s="1">
        <f ca="1">_xlfn.FLOOR.MATH(E87/24)</f>
        <v>5</v>
      </c>
    </row>
    <row r="88" spans="1:6">
      <c r="A88" s="1">
        <v>83</v>
      </c>
      <c r="B88" s="1">
        <f>A88*控制台!$E$4959</f>
        <v>298800</v>
      </c>
      <c r="C88" s="1">
        <f ca="1">OFFSET(控制台!$C$4968,MATCH(A88,控制台!$B$4968:$B$4976,1)-1,0)</f>
        <v>2</v>
      </c>
      <c r="D88" s="4">
        <f ca="1" t="shared" si="2"/>
        <v>590000</v>
      </c>
      <c r="E88" s="1">
        <f ca="1" t="shared" si="3"/>
        <v>131</v>
      </c>
      <c r="F88" s="1">
        <f ca="1">_xlfn.FLOOR.MATH(E88/24)</f>
        <v>5</v>
      </c>
    </row>
    <row r="89" spans="1:6">
      <c r="A89" s="1">
        <v>84</v>
      </c>
      <c r="B89" s="1">
        <f>A89*控制台!$E$4959</f>
        <v>302400</v>
      </c>
      <c r="C89" s="1">
        <f ca="1">OFFSET(控制台!$C$4968,MATCH(A89,控制台!$B$4968:$B$4976,1)-1,0)</f>
        <v>2</v>
      </c>
      <c r="D89" s="4">
        <f ca="1" t="shared" si="2"/>
        <v>600000</v>
      </c>
      <c r="E89" s="1">
        <f ca="1" t="shared" si="3"/>
        <v>133</v>
      </c>
      <c r="F89" s="1">
        <f ca="1">_xlfn.FLOOR.MATH(E89/24)</f>
        <v>5</v>
      </c>
    </row>
    <row r="90" spans="1:6">
      <c r="A90" s="1">
        <v>85</v>
      </c>
      <c r="B90" s="1">
        <f>A90*控制台!$E$4959</f>
        <v>306000</v>
      </c>
      <c r="C90" s="1">
        <f ca="1">OFFSET(控制台!$C$4968,MATCH(A90,控制台!$B$4968:$B$4976,1)-1,0)</f>
        <v>2</v>
      </c>
      <c r="D90" s="4">
        <f ca="1" t="shared" si="2"/>
        <v>600000</v>
      </c>
      <c r="E90" s="1">
        <f ca="1" t="shared" si="3"/>
        <v>135</v>
      </c>
      <c r="F90" s="1">
        <f ca="1">_xlfn.FLOOR.MATH(E90/24)</f>
        <v>5</v>
      </c>
    </row>
    <row r="91" spans="1:6">
      <c r="A91" s="1">
        <v>86</v>
      </c>
      <c r="B91" s="1">
        <f>A91*控制台!$E$4959</f>
        <v>309600</v>
      </c>
      <c r="C91" s="1">
        <f ca="1">OFFSET(控制台!$C$4968,MATCH(A91,控制台!$B$4968:$B$4976,1)-1,0)</f>
        <v>2</v>
      </c>
      <c r="D91" s="4">
        <f ca="1" t="shared" si="2"/>
        <v>610000</v>
      </c>
      <c r="E91" s="1">
        <f ca="1" t="shared" si="3"/>
        <v>137</v>
      </c>
      <c r="F91" s="1">
        <f ca="1">_xlfn.FLOOR.MATH(E91/24)</f>
        <v>5</v>
      </c>
    </row>
    <row r="92" spans="1:6">
      <c r="A92" s="1">
        <v>87</v>
      </c>
      <c r="B92" s="1">
        <f>A92*控制台!$E$4959</f>
        <v>313200</v>
      </c>
      <c r="C92" s="1">
        <f ca="1">OFFSET(控制台!$C$4968,MATCH(A92,控制台!$B$4968:$B$4976,1)-1,0)</f>
        <v>2</v>
      </c>
      <c r="D92" s="4">
        <f ca="1" t="shared" si="2"/>
        <v>620000</v>
      </c>
      <c r="E92" s="1">
        <f ca="1" t="shared" si="3"/>
        <v>139</v>
      </c>
      <c r="F92" s="1">
        <f ca="1">_xlfn.FLOOR.MATH(E92/24)</f>
        <v>5</v>
      </c>
    </row>
    <row r="93" spans="1:6">
      <c r="A93" s="1">
        <v>88</v>
      </c>
      <c r="B93" s="1">
        <f>A93*控制台!$E$4959</f>
        <v>316800</v>
      </c>
      <c r="C93" s="1">
        <f ca="1">OFFSET(控制台!$C$4968,MATCH(A93,控制台!$B$4968:$B$4976,1)-1,0)</f>
        <v>2</v>
      </c>
      <c r="D93" s="4">
        <f ca="1" t="shared" si="2"/>
        <v>630000</v>
      </c>
      <c r="E93" s="1">
        <f ca="1" t="shared" si="3"/>
        <v>141</v>
      </c>
      <c r="F93" s="1">
        <f ca="1">_xlfn.FLOOR.MATH(E93/24)</f>
        <v>5</v>
      </c>
    </row>
    <row r="94" spans="1:6">
      <c r="A94" s="1">
        <v>89</v>
      </c>
      <c r="B94" s="1">
        <f>A94*控制台!$E$4959</f>
        <v>320400</v>
      </c>
      <c r="C94" s="1">
        <f ca="1">OFFSET(控制台!$C$4968,MATCH(A94,控制台!$B$4968:$B$4976,1)-1,0)</f>
        <v>2</v>
      </c>
      <c r="D94" s="4">
        <f ca="1" t="shared" si="2"/>
        <v>630000</v>
      </c>
      <c r="E94" s="1">
        <f ca="1" t="shared" si="3"/>
        <v>143</v>
      </c>
      <c r="F94" s="1">
        <f ca="1">_xlfn.FLOOR.MATH(E94/24)</f>
        <v>5</v>
      </c>
    </row>
    <row r="95" spans="1:6">
      <c r="A95" s="1">
        <v>90</v>
      </c>
      <c r="B95" s="1">
        <f>A95*控制台!$E$4959</f>
        <v>324000</v>
      </c>
      <c r="C95" s="1">
        <f ca="1">OFFSET(控制台!$C$4968,MATCH(A95,控制台!$B$4968:$B$4976,1)-1,0)</f>
        <v>2</v>
      </c>
      <c r="D95" s="4">
        <f ca="1" t="shared" si="2"/>
        <v>640000</v>
      </c>
      <c r="E95" s="1">
        <f ca="1" t="shared" si="3"/>
        <v>145</v>
      </c>
      <c r="F95" s="1">
        <f ca="1">_xlfn.FLOOR.MATH(E95/24)</f>
        <v>6</v>
      </c>
    </row>
    <row r="96" spans="1:6">
      <c r="A96" s="1">
        <v>91</v>
      </c>
      <c r="B96" s="1">
        <f>A96*控制台!$E$4959</f>
        <v>327600</v>
      </c>
      <c r="C96" s="1">
        <f ca="1">OFFSET(控制台!$C$4968,MATCH(A96,控制台!$B$4968:$B$4976,1)-1,0)</f>
        <v>2</v>
      </c>
      <c r="D96" s="4">
        <f ca="1" t="shared" si="2"/>
        <v>650000</v>
      </c>
      <c r="E96" s="1">
        <f ca="1" t="shared" si="3"/>
        <v>147</v>
      </c>
      <c r="F96" s="1">
        <f ca="1">_xlfn.FLOOR.MATH(E96/24)</f>
        <v>6</v>
      </c>
    </row>
    <row r="97" spans="1:6">
      <c r="A97" s="1">
        <v>92</v>
      </c>
      <c r="B97" s="1">
        <f>A97*控制台!$E$4959</f>
        <v>331200</v>
      </c>
      <c r="C97" s="1">
        <f ca="1">OFFSET(控制台!$C$4968,MATCH(A97,控制台!$B$4968:$B$4976,1)-1,0)</f>
        <v>2</v>
      </c>
      <c r="D97" s="4">
        <f ca="1" t="shared" si="2"/>
        <v>660000</v>
      </c>
      <c r="E97" s="1">
        <f ca="1" t="shared" si="3"/>
        <v>149</v>
      </c>
      <c r="F97" s="1">
        <f ca="1">_xlfn.FLOOR.MATH(E97/24)</f>
        <v>6</v>
      </c>
    </row>
    <row r="98" spans="1:6">
      <c r="A98" s="1">
        <v>93</v>
      </c>
      <c r="B98" s="1">
        <f>A98*控制台!$E$4959</f>
        <v>334800</v>
      </c>
      <c r="C98" s="1">
        <f ca="1">OFFSET(控制台!$C$4968,MATCH(A98,控制台!$B$4968:$B$4976,1)-1,0)</f>
        <v>2</v>
      </c>
      <c r="D98" s="4">
        <f ca="1" t="shared" si="2"/>
        <v>660000</v>
      </c>
      <c r="E98" s="1">
        <f ca="1" t="shared" si="3"/>
        <v>151</v>
      </c>
      <c r="F98" s="1">
        <f ca="1">_xlfn.FLOOR.MATH(E98/24)</f>
        <v>6</v>
      </c>
    </row>
    <row r="99" spans="1:6">
      <c r="A99" s="1">
        <v>94</v>
      </c>
      <c r="B99" s="1">
        <f>A99*控制台!$E$4959</f>
        <v>338400</v>
      </c>
      <c r="C99" s="1">
        <f ca="1">OFFSET(控制台!$C$4968,MATCH(A99,控制台!$B$4968:$B$4976,1)-1,0)</f>
        <v>2</v>
      </c>
      <c r="D99" s="4">
        <f ca="1" t="shared" si="2"/>
        <v>670000</v>
      </c>
      <c r="E99" s="1">
        <f ca="1" t="shared" si="3"/>
        <v>153</v>
      </c>
      <c r="F99" s="1">
        <f ca="1">_xlfn.FLOOR.MATH(E99/24)</f>
        <v>6</v>
      </c>
    </row>
    <row r="100" spans="1:6">
      <c r="A100" s="1">
        <v>95</v>
      </c>
      <c r="B100" s="1">
        <f>A100*控制台!$E$4959</f>
        <v>342000</v>
      </c>
      <c r="C100" s="1">
        <f ca="1">OFFSET(控制台!$C$4968,MATCH(A100,控制台!$B$4968:$B$4976,1)-1,0)</f>
        <v>2</v>
      </c>
      <c r="D100" s="4">
        <f ca="1" t="shared" si="2"/>
        <v>680000</v>
      </c>
      <c r="E100" s="1">
        <f ca="1" t="shared" si="3"/>
        <v>155</v>
      </c>
      <c r="F100" s="1">
        <f ca="1">_xlfn.FLOOR.MATH(E100/24)</f>
        <v>6</v>
      </c>
    </row>
    <row r="101" spans="1:6">
      <c r="A101" s="1">
        <v>96</v>
      </c>
      <c r="B101" s="1">
        <f>A101*控制台!$E$4959</f>
        <v>345600</v>
      </c>
      <c r="C101" s="1">
        <f ca="1">OFFSET(控制台!$C$4968,MATCH(A101,控制台!$B$4968:$B$4976,1)-1,0)</f>
        <v>2</v>
      </c>
      <c r="D101" s="4">
        <f ca="1" t="shared" si="2"/>
        <v>680000</v>
      </c>
      <c r="E101" s="1">
        <f ca="1" t="shared" si="3"/>
        <v>157</v>
      </c>
      <c r="F101" s="1">
        <f ca="1">_xlfn.FLOOR.MATH(E101/24)</f>
        <v>6</v>
      </c>
    </row>
    <row r="102" spans="1:6">
      <c r="A102" s="1">
        <v>97</v>
      </c>
      <c r="B102" s="1">
        <f>A102*控制台!$E$4959</f>
        <v>349200</v>
      </c>
      <c r="C102" s="1">
        <f ca="1">OFFSET(控制台!$C$4968,MATCH(A102,控制台!$B$4968:$B$4976,1)-1,0)</f>
        <v>2</v>
      </c>
      <c r="D102" s="4">
        <f ca="1" t="shared" si="2"/>
        <v>690000</v>
      </c>
      <c r="E102" s="1">
        <f ca="1" t="shared" si="3"/>
        <v>159</v>
      </c>
      <c r="F102" s="1">
        <f ca="1">_xlfn.FLOOR.MATH(E102/24)</f>
        <v>6</v>
      </c>
    </row>
    <row r="103" spans="1:6">
      <c r="A103" s="1">
        <v>98</v>
      </c>
      <c r="B103" s="1">
        <f>A103*控制台!$E$4959</f>
        <v>352800</v>
      </c>
      <c r="C103" s="1">
        <f ca="1">OFFSET(控制台!$C$4968,MATCH(A103,控制台!$B$4968:$B$4976,1)-1,0)</f>
        <v>2</v>
      </c>
      <c r="D103" s="4">
        <f ca="1" t="shared" si="2"/>
        <v>700000</v>
      </c>
      <c r="E103" s="1">
        <f ca="1" t="shared" si="3"/>
        <v>161</v>
      </c>
      <c r="F103" s="1">
        <f ca="1">_xlfn.FLOOR.MATH(E103/24)</f>
        <v>6</v>
      </c>
    </row>
    <row r="104" spans="1:6">
      <c r="A104" s="1">
        <v>99</v>
      </c>
      <c r="B104" s="1">
        <f>A104*控制台!$E$4959</f>
        <v>356400</v>
      </c>
      <c r="C104" s="1">
        <f ca="1">OFFSET(控制台!$C$4968,MATCH(A104,控制台!$B$4968:$B$4976,1)-1,0)</f>
        <v>2</v>
      </c>
      <c r="D104" s="4">
        <f ca="1" t="shared" si="2"/>
        <v>710000</v>
      </c>
      <c r="E104" s="1">
        <f ca="1" t="shared" si="3"/>
        <v>163</v>
      </c>
      <c r="F104" s="1">
        <f ca="1">_xlfn.FLOOR.MATH(E104/24)</f>
        <v>6</v>
      </c>
    </row>
    <row r="105" spans="1:6">
      <c r="A105" s="1">
        <v>100</v>
      </c>
      <c r="B105" s="1">
        <f>A105*控制台!$E$4959</f>
        <v>360000</v>
      </c>
      <c r="C105" s="1">
        <f ca="1">OFFSET(控制台!$C$4968,MATCH(A105,控制台!$B$4968:$B$4976,1)-1,0)</f>
        <v>2</v>
      </c>
      <c r="D105" s="4">
        <f ca="1" t="shared" si="2"/>
        <v>710000</v>
      </c>
      <c r="E105" s="1">
        <f ca="1" t="shared" si="3"/>
        <v>165</v>
      </c>
      <c r="F105" s="1">
        <f ca="1">_xlfn.FLOOR.MATH(E105/24)</f>
        <v>6</v>
      </c>
    </row>
    <row r="106" spans="1:6">
      <c r="A106" s="1">
        <v>101</v>
      </c>
      <c r="B106" s="1">
        <f>A106*控制台!$E$4959</f>
        <v>363600</v>
      </c>
      <c r="C106" s="1">
        <f ca="1">OFFSET(控制台!$C$4968,MATCH(A106,控制台!$B$4968:$B$4976,1)-1,0)</f>
        <v>3</v>
      </c>
      <c r="D106" s="4">
        <f ca="1" t="shared" si="2"/>
        <v>1100000</v>
      </c>
      <c r="E106" s="1">
        <f ca="1" t="shared" si="3"/>
        <v>168</v>
      </c>
      <c r="F106" s="1">
        <f ca="1">_xlfn.FLOOR.MATH(E106/24)</f>
        <v>7</v>
      </c>
    </row>
    <row r="107" spans="1:6">
      <c r="A107" s="1">
        <v>102</v>
      </c>
      <c r="B107" s="1">
        <f>A107*控制台!$E$4959</f>
        <v>367200</v>
      </c>
      <c r="C107" s="1">
        <f ca="1">OFFSET(控制台!$C$4968,MATCH(A107,控制台!$B$4968:$B$4976,1)-1,0)</f>
        <v>3</v>
      </c>
      <c r="D107" s="4">
        <f ca="1" t="shared" si="2"/>
        <v>1100000</v>
      </c>
      <c r="E107" s="1">
        <f ca="1" t="shared" si="3"/>
        <v>171</v>
      </c>
      <c r="F107" s="1">
        <f ca="1">_xlfn.FLOOR.MATH(E107/24)</f>
        <v>7</v>
      </c>
    </row>
    <row r="108" spans="1:6">
      <c r="A108" s="1">
        <v>103</v>
      </c>
      <c r="B108" s="1">
        <f>A108*控制台!$E$4959</f>
        <v>370800</v>
      </c>
      <c r="C108" s="1">
        <f ca="1">OFFSET(控制台!$C$4968,MATCH(A108,控制台!$B$4968:$B$4976,1)-1,0)</f>
        <v>3</v>
      </c>
      <c r="D108" s="4">
        <f ca="1" t="shared" si="2"/>
        <v>1100000</v>
      </c>
      <c r="E108" s="1">
        <f ca="1" t="shared" si="3"/>
        <v>174</v>
      </c>
      <c r="F108" s="1">
        <f ca="1">_xlfn.FLOOR.MATH(E108/24)</f>
        <v>7</v>
      </c>
    </row>
    <row r="109" spans="1:6">
      <c r="A109" s="1">
        <v>104</v>
      </c>
      <c r="B109" s="1">
        <f>A109*控制台!$E$4959</f>
        <v>374400</v>
      </c>
      <c r="C109" s="1">
        <f ca="1">OFFSET(控制台!$C$4968,MATCH(A109,控制台!$B$4968:$B$4976,1)-1,0)</f>
        <v>3</v>
      </c>
      <c r="D109" s="4">
        <f ca="1" t="shared" si="2"/>
        <v>1100000</v>
      </c>
      <c r="E109" s="1">
        <f ca="1" t="shared" si="3"/>
        <v>177</v>
      </c>
      <c r="F109" s="1">
        <f ca="1">_xlfn.FLOOR.MATH(E109/24)</f>
        <v>7</v>
      </c>
    </row>
    <row r="110" spans="1:6">
      <c r="A110" s="1">
        <v>105</v>
      </c>
      <c r="B110" s="1">
        <f>A110*控制台!$E$4959</f>
        <v>378000</v>
      </c>
      <c r="C110" s="1">
        <f ca="1">OFFSET(控制台!$C$4968,MATCH(A110,控制台!$B$4968:$B$4976,1)-1,0)</f>
        <v>3</v>
      </c>
      <c r="D110" s="4">
        <f ca="1" t="shared" si="2"/>
        <v>1100000</v>
      </c>
      <c r="E110" s="1">
        <f ca="1" t="shared" si="3"/>
        <v>180</v>
      </c>
      <c r="F110" s="1">
        <f ca="1">_xlfn.FLOOR.MATH(E110/24)</f>
        <v>7</v>
      </c>
    </row>
    <row r="111" spans="1:6">
      <c r="A111" s="1">
        <v>106</v>
      </c>
      <c r="B111" s="1">
        <f>A111*控制台!$E$4959</f>
        <v>381600</v>
      </c>
      <c r="C111" s="1">
        <f ca="1">OFFSET(控制台!$C$4968,MATCH(A111,控制台!$B$4968:$B$4976,1)-1,0)</f>
        <v>3</v>
      </c>
      <c r="D111" s="4">
        <f ca="1" t="shared" si="2"/>
        <v>1100000</v>
      </c>
      <c r="E111" s="1">
        <f ca="1" t="shared" si="3"/>
        <v>183</v>
      </c>
      <c r="F111" s="1">
        <f ca="1">_xlfn.FLOOR.MATH(E111/24)</f>
        <v>7</v>
      </c>
    </row>
    <row r="112" spans="1:6">
      <c r="A112" s="1">
        <v>107</v>
      </c>
      <c r="B112" s="1">
        <f>A112*控制台!$E$4959</f>
        <v>385200</v>
      </c>
      <c r="C112" s="1">
        <f ca="1">OFFSET(控制台!$C$4968,MATCH(A112,控制台!$B$4968:$B$4976,1)-1,0)</f>
        <v>3</v>
      </c>
      <c r="D112" s="4">
        <f ca="1" t="shared" si="2"/>
        <v>1100000</v>
      </c>
      <c r="E112" s="1">
        <f ca="1" t="shared" si="3"/>
        <v>186</v>
      </c>
      <c r="F112" s="1">
        <f ca="1">_xlfn.FLOOR.MATH(E112/24)</f>
        <v>7</v>
      </c>
    </row>
    <row r="113" spans="1:6">
      <c r="A113" s="1">
        <v>108</v>
      </c>
      <c r="B113" s="1">
        <f>A113*控制台!$E$4959</f>
        <v>388800</v>
      </c>
      <c r="C113" s="1">
        <f ca="1">OFFSET(控制台!$C$4968,MATCH(A113,控制台!$B$4968:$B$4976,1)-1,0)</f>
        <v>3</v>
      </c>
      <c r="D113" s="4">
        <f ca="1" t="shared" si="2"/>
        <v>1200000</v>
      </c>
      <c r="E113" s="1">
        <f ca="1" t="shared" si="3"/>
        <v>189</v>
      </c>
      <c r="F113" s="1">
        <f ca="1">_xlfn.FLOOR.MATH(E113/24)</f>
        <v>7</v>
      </c>
    </row>
    <row r="114" spans="1:6">
      <c r="A114" s="1">
        <v>109</v>
      </c>
      <c r="B114" s="1">
        <f>A114*控制台!$E$4959</f>
        <v>392400</v>
      </c>
      <c r="C114" s="1">
        <f ca="1">OFFSET(控制台!$C$4968,MATCH(A114,控制台!$B$4968:$B$4976,1)-1,0)</f>
        <v>3</v>
      </c>
      <c r="D114" s="4">
        <f ca="1" t="shared" si="2"/>
        <v>1200000</v>
      </c>
      <c r="E114" s="1">
        <f ca="1" t="shared" si="3"/>
        <v>192</v>
      </c>
      <c r="F114" s="1">
        <f ca="1">_xlfn.FLOOR.MATH(E114/24)</f>
        <v>8</v>
      </c>
    </row>
    <row r="115" spans="1:6">
      <c r="A115" s="1">
        <v>110</v>
      </c>
      <c r="B115" s="1">
        <f>A115*控制台!$E$4959</f>
        <v>396000</v>
      </c>
      <c r="C115" s="1">
        <f ca="1">OFFSET(控制台!$C$4968,MATCH(A115,控制台!$B$4968:$B$4976,1)-1,0)</f>
        <v>3</v>
      </c>
      <c r="D115" s="4">
        <f ca="1" t="shared" si="2"/>
        <v>1200000</v>
      </c>
      <c r="E115" s="1">
        <f ca="1" t="shared" si="3"/>
        <v>195</v>
      </c>
      <c r="F115" s="1">
        <f ca="1">_xlfn.FLOOR.MATH(E115/24)</f>
        <v>8</v>
      </c>
    </row>
    <row r="116" spans="1:6">
      <c r="A116" s="1">
        <v>111</v>
      </c>
      <c r="B116" s="1">
        <f>A116*控制台!$E$4959</f>
        <v>399600</v>
      </c>
      <c r="C116" s="1">
        <f ca="1">OFFSET(控制台!$C$4968,MATCH(A116,控制台!$B$4968:$B$4976,1)-1,0)</f>
        <v>3</v>
      </c>
      <c r="D116" s="4">
        <f ca="1" t="shared" si="2"/>
        <v>1200000</v>
      </c>
      <c r="E116" s="1">
        <f ca="1" t="shared" si="3"/>
        <v>198</v>
      </c>
      <c r="F116" s="1">
        <f ca="1">_xlfn.FLOOR.MATH(E116/24)</f>
        <v>8</v>
      </c>
    </row>
    <row r="117" spans="1:6">
      <c r="A117" s="1">
        <v>112</v>
      </c>
      <c r="B117" s="1">
        <f>A117*控制台!$E$4959</f>
        <v>403200</v>
      </c>
      <c r="C117" s="1">
        <f ca="1">OFFSET(控制台!$C$4968,MATCH(A117,控制台!$B$4968:$B$4976,1)-1,0)</f>
        <v>3</v>
      </c>
      <c r="D117" s="4">
        <f ca="1" t="shared" si="2"/>
        <v>1200000</v>
      </c>
      <c r="E117" s="1">
        <f ca="1" t="shared" si="3"/>
        <v>201</v>
      </c>
      <c r="F117" s="1">
        <f ca="1">_xlfn.FLOOR.MATH(E117/24)</f>
        <v>8</v>
      </c>
    </row>
    <row r="118" spans="1:6">
      <c r="A118" s="1">
        <v>113</v>
      </c>
      <c r="B118" s="1">
        <f>A118*控制台!$E$4959</f>
        <v>406800</v>
      </c>
      <c r="C118" s="1">
        <f ca="1">OFFSET(控制台!$C$4968,MATCH(A118,控制台!$B$4968:$B$4976,1)-1,0)</f>
        <v>3</v>
      </c>
      <c r="D118" s="4">
        <f ca="1" t="shared" si="2"/>
        <v>1200000</v>
      </c>
      <c r="E118" s="1">
        <f ca="1" t="shared" si="3"/>
        <v>204</v>
      </c>
      <c r="F118" s="1">
        <f ca="1">_xlfn.FLOOR.MATH(E118/24)</f>
        <v>8</v>
      </c>
    </row>
    <row r="119" spans="1:6">
      <c r="A119" s="1">
        <v>114</v>
      </c>
      <c r="B119" s="1">
        <f>A119*控制台!$E$4959</f>
        <v>410400</v>
      </c>
      <c r="C119" s="1">
        <f ca="1">OFFSET(控制台!$C$4968,MATCH(A119,控制台!$B$4968:$B$4976,1)-1,0)</f>
        <v>3</v>
      </c>
      <c r="D119" s="4">
        <f ca="1" t="shared" si="2"/>
        <v>1200000</v>
      </c>
      <c r="E119" s="1">
        <f ca="1" t="shared" si="3"/>
        <v>207</v>
      </c>
      <c r="F119" s="1">
        <f ca="1">_xlfn.FLOOR.MATH(E119/24)</f>
        <v>8</v>
      </c>
    </row>
    <row r="120" spans="1:6">
      <c r="A120" s="1">
        <v>115</v>
      </c>
      <c r="B120" s="1">
        <f>A120*控制台!$E$4959</f>
        <v>414000</v>
      </c>
      <c r="C120" s="1">
        <f ca="1">OFFSET(控制台!$C$4968,MATCH(A120,控制台!$B$4968:$B$4976,1)-1,0)</f>
        <v>3</v>
      </c>
      <c r="D120" s="4">
        <f ca="1" t="shared" si="2"/>
        <v>1200000</v>
      </c>
      <c r="E120" s="1">
        <f ca="1" t="shared" si="3"/>
        <v>210</v>
      </c>
      <c r="F120" s="1">
        <f ca="1">_xlfn.FLOOR.MATH(E120/24)</f>
        <v>8</v>
      </c>
    </row>
    <row r="121" spans="1:6">
      <c r="A121" s="1">
        <v>116</v>
      </c>
      <c r="B121" s="1">
        <f>A121*控制台!$E$4959</f>
        <v>417600</v>
      </c>
      <c r="C121" s="1">
        <f ca="1">OFFSET(控制台!$C$4968,MATCH(A121,控制台!$B$4968:$B$4976,1)-1,0)</f>
        <v>3</v>
      </c>
      <c r="D121" s="4">
        <f ca="1" t="shared" si="2"/>
        <v>1200000</v>
      </c>
      <c r="E121" s="1">
        <f ca="1" t="shared" si="3"/>
        <v>213</v>
      </c>
      <c r="F121" s="1">
        <f ca="1">_xlfn.FLOOR.MATH(E121/24)</f>
        <v>8</v>
      </c>
    </row>
    <row r="122" spans="1:6">
      <c r="A122" s="1">
        <v>117</v>
      </c>
      <c r="B122" s="1">
        <f>A122*控制台!$E$4959</f>
        <v>421200</v>
      </c>
      <c r="C122" s="1">
        <f ca="1">OFFSET(控制台!$C$4968,MATCH(A122,控制台!$B$4968:$B$4976,1)-1,0)</f>
        <v>3</v>
      </c>
      <c r="D122" s="4">
        <f ca="1" t="shared" si="2"/>
        <v>1300000</v>
      </c>
      <c r="E122" s="1">
        <f ca="1" t="shared" si="3"/>
        <v>216</v>
      </c>
      <c r="F122" s="1">
        <f ca="1">_xlfn.FLOOR.MATH(E122/24)</f>
        <v>9</v>
      </c>
    </row>
    <row r="123" spans="1:6">
      <c r="A123" s="1">
        <v>118</v>
      </c>
      <c r="B123" s="1">
        <f>A123*控制台!$E$4959</f>
        <v>424800</v>
      </c>
      <c r="C123" s="1">
        <f ca="1">OFFSET(控制台!$C$4968,MATCH(A123,控制台!$B$4968:$B$4976,1)-1,0)</f>
        <v>3</v>
      </c>
      <c r="D123" s="4">
        <f ca="1" t="shared" si="2"/>
        <v>1300000</v>
      </c>
      <c r="E123" s="1">
        <f ca="1" t="shared" si="3"/>
        <v>219</v>
      </c>
      <c r="F123" s="1">
        <f ca="1">_xlfn.FLOOR.MATH(E123/24)</f>
        <v>9</v>
      </c>
    </row>
    <row r="124" spans="1:6">
      <c r="A124" s="1">
        <v>119</v>
      </c>
      <c r="B124" s="1">
        <f>A124*控制台!$E$4959</f>
        <v>428400</v>
      </c>
      <c r="C124" s="1">
        <f ca="1">OFFSET(控制台!$C$4968,MATCH(A124,控制台!$B$4968:$B$4976,1)-1,0)</f>
        <v>3</v>
      </c>
      <c r="D124" s="4">
        <f ca="1" t="shared" si="2"/>
        <v>1300000</v>
      </c>
      <c r="E124" s="1">
        <f ca="1" t="shared" si="3"/>
        <v>222</v>
      </c>
      <c r="F124" s="1">
        <f ca="1">_xlfn.FLOOR.MATH(E124/24)</f>
        <v>9</v>
      </c>
    </row>
    <row r="125" spans="1:6">
      <c r="A125" s="1">
        <v>120</v>
      </c>
      <c r="B125" s="1">
        <f>A125*控制台!$E$4959</f>
        <v>432000</v>
      </c>
      <c r="C125" s="1">
        <f ca="1">OFFSET(控制台!$C$4968,MATCH(A125,控制台!$B$4968:$B$4976,1)-1,0)</f>
        <v>3</v>
      </c>
      <c r="D125" s="4">
        <f ca="1" t="shared" si="2"/>
        <v>1300000</v>
      </c>
      <c r="E125" s="1">
        <f ca="1" t="shared" si="3"/>
        <v>225</v>
      </c>
      <c r="F125" s="1">
        <f ca="1">_xlfn.FLOOR.MATH(E125/24)</f>
        <v>9</v>
      </c>
    </row>
    <row r="126" spans="1:6">
      <c r="A126" s="1">
        <v>121</v>
      </c>
      <c r="B126" s="1">
        <f>A126*控制台!$E$4959</f>
        <v>435600</v>
      </c>
      <c r="C126" s="1">
        <f ca="1">OFFSET(控制台!$C$4968,MATCH(A126,控制台!$B$4968:$B$4976,1)-1,0)</f>
        <v>3</v>
      </c>
      <c r="D126" s="4">
        <f ca="1" t="shared" si="2"/>
        <v>1300000</v>
      </c>
      <c r="E126" s="1">
        <f ca="1" t="shared" si="3"/>
        <v>228</v>
      </c>
      <c r="F126" s="1">
        <f ca="1">_xlfn.FLOOR.MATH(E126/24)</f>
        <v>9</v>
      </c>
    </row>
    <row r="127" spans="1:6">
      <c r="A127" s="1">
        <v>122</v>
      </c>
      <c r="B127" s="1">
        <f>A127*控制台!$E$4959</f>
        <v>439200</v>
      </c>
      <c r="C127" s="1">
        <f ca="1">OFFSET(控制台!$C$4968,MATCH(A127,控制台!$B$4968:$B$4976,1)-1,0)</f>
        <v>3</v>
      </c>
      <c r="D127" s="4">
        <f ca="1" t="shared" si="2"/>
        <v>1300000</v>
      </c>
      <c r="E127" s="1">
        <f ca="1" t="shared" si="3"/>
        <v>231</v>
      </c>
      <c r="F127" s="1">
        <f ca="1">_xlfn.FLOOR.MATH(E127/24)</f>
        <v>9</v>
      </c>
    </row>
    <row r="128" spans="1:6">
      <c r="A128" s="1">
        <v>123</v>
      </c>
      <c r="B128" s="1">
        <f>A128*控制台!$E$4959</f>
        <v>442800</v>
      </c>
      <c r="C128" s="1">
        <f ca="1">OFFSET(控制台!$C$4968,MATCH(A128,控制台!$B$4968:$B$4976,1)-1,0)</f>
        <v>3</v>
      </c>
      <c r="D128" s="4">
        <f ca="1" t="shared" si="2"/>
        <v>1300000</v>
      </c>
      <c r="E128" s="1">
        <f ca="1" t="shared" si="3"/>
        <v>234</v>
      </c>
      <c r="F128" s="1">
        <f ca="1">_xlfn.FLOOR.MATH(E128/24)</f>
        <v>9</v>
      </c>
    </row>
    <row r="129" spans="1:6">
      <c r="A129" s="1">
        <v>124</v>
      </c>
      <c r="B129" s="1">
        <f>A129*控制台!$E$4959</f>
        <v>446400</v>
      </c>
      <c r="C129" s="1">
        <f ca="1">OFFSET(控制台!$C$4968,MATCH(A129,控制台!$B$4968:$B$4976,1)-1,0)</f>
        <v>3</v>
      </c>
      <c r="D129" s="4">
        <f ca="1" t="shared" si="2"/>
        <v>1300000</v>
      </c>
      <c r="E129" s="1">
        <f ca="1" t="shared" si="3"/>
        <v>237</v>
      </c>
      <c r="F129" s="1">
        <f ca="1">_xlfn.FLOOR.MATH(E129/24)</f>
        <v>9</v>
      </c>
    </row>
    <row r="130" spans="1:6">
      <c r="A130" s="1">
        <v>125</v>
      </c>
      <c r="B130" s="1">
        <f>A130*控制台!$E$4959</f>
        <v>450000</v>
      </c>
      <c r="C130" s="1">
        <f ca="1">OFFSET(控制台!$C$4968,MATCH(A130,控制台!$B$4968:$B$4976,1)-1,0)</f>
        <v>3</v>
      </c>
      <c r="D130" s="4">
        <f ca="1" t="shared" si="2"/>
        <v>1300000</v>
      </c>
      <c r="E130" s="1">
        <f ca="1" t="shared" si="3"/>
        <v>240</v>
      </c>
      <c r="F130" s="1">
        <f ca="1">_xlfn.FLOOR.MATH(E130/24)</f>
        <v>10</v>
      </c>
    </row>
    <row r="131" spans="1:6">
      <c r="A131" s="1">
        <v>126</v>
      </c>
      <c r="B131" s="1">
        <f>A131*控制台!$E$4959</f>
        <v>453600</v>
      </c>
      <c r="C131" s="1">
        <f ca="1">OFFSET(控制台!$C$4968,MATCH(A131,控制台!$B$4968:$B$4976,1)-1,0)</f>
        <v>3</v>
      </c>
      <c r="D131" s="4">
        <f ca="1" t="shared" si="2"/>
        <v>1400000</v>
      </c>
      <c r="E131" s="1">
        <f ca="1" t="shared" si="3"/>
        <v>243</v>
      </c>
      <c r="F131" s="1">
        <f ca="1">_xlfn.FLOOR.MATH(E131/24)</f>
        <v>10</v>
      </c>
    </row>
    <row r="132" spans="1:6">
      <c r="A132" s="1">
        <v>127</v>
      </c>
      <c r="B132" s="1">
        <f>A132*控制台!$E$4959</f>
        <v>457200</v>
      </c>
      <c r="C132" s="1">
        <f ca="1">OFFSET(控制台!$C$4968,MATCH(A132,控制台!$B$4968:$B$4976,1)-1,0)</f>
        <v>3</v>
      </c>
      <c r="D132" s="4">
        <f ca="1" t="shared" si="2"/>
        <v>1400000</v>
      </c>
      <c r="E132" s="1">
        <f ca="1" t="shared" si="3"/>
        <v>246</v>
      </c>
      <c r="F132" s="1">
        <f ca="1">_xlfn.FLOOR.MATH(E132/24)</f>
        <v>10</v>
      </c>
    </row>
    <row r="133" spans="1:6">
      <c r="A133" s="1">
        <v>128</v>
      </c>
      <c r="B133" s="1">
        <f>A133*控制台!$E$4959</f>
        <v>460800</v>
      </c>
      <c r="C133" s="1">
        <f ca="1">OFFSET(控制台!$C$4968,MATCH(A133,控制台!$B$4968:$B$4976,1)-1,0)</f>
        <v>3</v>
      </c>
      <c r="D133" s="4">
        <f ca="1" t="shared" si="2"/>
        <v>1400000</v>
      </c>
      <c r="E133" s="1">
        <f ca="1" t="shared" si="3"/>
        <v>249</v>
      </c>
      <c r="F133" s="1">
        <f ca="1">_xlfn.FLOOR.MATH(E133/24)</f>
        <v>10</v>
      </c>
    </row>
    <row r="134" spans="1:6">
      <c r="A134" s="1">
        <v>129</v>
      </c>
      <c r="B134" s="1">
        <f>A134*控制台!$E$4959</f>
        <v>464400</v>
      </c>
      <c r="C134" s="1">
        <f ca="1">OFFSET(控制台!$C$4968,MATCH(A134,控制台!$B$4968:$B$4976,1)-1,0)</f>
        <v>3</v>
      </c>
      <c r="D134" s="4">
        <f ca="1" t="shared" si="2"/>
        <v>1400000</v>
      </c>
      <c r="E134" s="1">
        <f ca="1" t="shared" si="3"/>
        <v>252</v>
      </c>
      <c r="F134" s="1">
        <f ca="1">_xlfn.FLOOR.MATH(E134/24)</f>
        <v>10</v>
      </c>
    </row>
    <row r="135" spans="1:6">
      <c r="A135" s="1">
        <v>130</v>
      </c>
      <c r="B135" s="1">
        <f>A135*控制台!$E$4959</f>
        <v>468000</v>
      </c>
      <c r="C135" s="1">
        <f ca="1">OFFSET(控制台!$C$4968,MATCH(A135,控制台!$B$4968:$B$4976,1)-1,0)</f>
        <v>3</v>
      </c>
      <c r="D135" s="4">
        <f ca="1" t="shared" si="2"/>
        <v>1400000</v>
      </c>
      <c r="E135" s="1">
        <f ca="1" t="shared" si="3"/>
        <v>255</v>
      </c>
      <c r="F135" s="1">
        <f ca="1">_xlfn.FLOOR.MATH(E135/24)</f>
        <v>10</v>
      </c>
    </row>
    <row r="136" spans="1:6">
      <c r="A136" s="1">
        <v>131</v>
      </c>
      <c r="B136" s="1">
        <f>A136*控制台!$E$4959</f>
        <v>471600</v>
      </c>
      <c r="C136" s="1">
        <f ca="1">OFFSET(控制台!$C$4968,MATCH(A136,控制台!$B$4968:$B$4976,1)-1,0)</f>
        <v>3</v>
      </c>
      <c r="D136" s="4">
        <f ca="1" t="shared" ref="D136:D199" si="4">ROUND(C136*B135,1-INT(LOG10(C136*B135)))</f>
        <v>1400000</v>
      </c>
      <c r="E136" s="1">
        <f ca="1" t="shared" ref="E136:E199" si="5">E135+C136</f>
        <v>258</v>
      </c>
      <c r="F136" s="1">
        <f ca="1">_xlfn.FLOOR.MATH(E136/24)</f>
        <v>10</v>
      </c>
    </row>
    <row r="137" spans="1:6">
      <c r="A137" s="1">
        <v>132</v>
      </c>
      <c r="B137" s="1">
        <f>A137*控制台!$E$4959</f>
        <v>475200</v>
      </c>
      <c r="C137" s="1">
        <f ca="1">OFFSET(控制台!$C$4968,MATCH(A137,控制台!$B$4968:$B$4976,1)-1,0)</f>
        <v>3</v>
      </c>
      <c r="D137" s="4">
        <f ca="1" t="shared" si="4"/>
        <v>1400000</v>
      </c>
      <c r="E137" s="1">
        <f ca="1" t="shared" si="5"/>
        <v>261</v>
      </c>
      <c r="F137" s="1">
        <f ca="1">_xlfn.FLOOR.MATH(E137/24)</f>
        <v>10</v>
      </c>
    </row>
    <row r="138" spans="1:6">
      <c r="A138" s="1">
        <v>133</v>
      </c>
      <c r="B138" s="1">
        <f>A138*控制台!$E$4959</f>
        <v>478800</v>
      </c>
      <c r="C138" s="1">
        <f ca="1">OFFSET(控制台!$C$4968,MATCH(A138,控制台!$B$4968:$B$4976,1)-1,0)</f>
        <v>3</v>
      </c>
      <c r="D138" s="4">
        <f ca="1" t="shared" si="4"/>
        <v>1400000</v>
      </c>
      <c r="E138" s="1">
        <f ca="1" t="shared" si="5"/>
        <v>264</v>
      </c>
      <c r="F138" s="1">
        <f ca="1">_xlfn.FLOOR.MATH(E138/24)</f>
        <v>11</v>
      </c>
    </row>
    <row r="139" spans="1:6">
      <c r="A139" s="1">
        <v>134</v>
      </c>
      <c r="B139" s="1">
        <f>A139*控制台!$E$4959</f>
        <v>482400</v>
      </c>
      <c r="C139" s="1">
        <f ca="1">OFFSET(控制台!$C$4968,MATCH(A139,控制台!$B$4968:$B$4976,1)-1,0)</f>
        <v>3</v>
      </c>
      <c r="D139" s="4">
        <f ca="1" t="shared" si="4"/>
        <v>1400000</v>
      </c>
      <c r="E139" s="1">
        <f ca="1" t="shared" si="5"/>
        <v>267</v>
      </c>
      <c r="F139" s="1">
        <f ca="1">_xlfn.FLOOR.MATH(E139/24)</f>
        <v>11</v>
      </c>
    </row>
    <row r="140" spans="1:6">
      <c r="A140" s="1">
        <v>135</v>
      </c>
      <c r="B140" s="1">
        <f>A140*控制台!$E$4959</f>
        <v>486000</v>
      </c>
      <c r="C140" s="1">
        <f ca="1">OFFSET(控制台!$C$4968,MATCH(A140,控制台!$B$4968:$B$4976,1)-1,0)</f>
        <v>3</v>
      </c>
      <c r="D140" s="4">
        <f ca="1" t="shared" si="4"/>
        <v>1400000</v>
      </c>
      <c r="E140" s="1">
        <f ca="1" t="shared" si="5"/>
        <v>270</v>
      </c>
      <c r="F140" s="1">
        <f ca="1">_xlfn.FLOOR.MATH(E140/24)</f>
        <v>11</v>
      </c>
    </row>
    <row r="141" spans="1:6">
      <c r="A141" s="1">
        <v>136</v>
      </c>
      <c r="B141" s="1">
        <f>A141*控制台!$E$4959</f>
        <v>489600</v>
      </c>
      <c r="C141" s="1">
        <f ca="1">OFFSET(控制台!$C$4968,MATCH(A141,控制台!$B$4968:$B$4976,1)-1,0)</f>
        <v>3</v>
      </c>
      <c r="D141" s="4">
        <f ca="1" t="shared" si="4"/>
        <v>1500000</v>
      </c>
      <c r="E141" s="1">
        <f ca="1" t="shared" si="5"/>
        <v>273</v>
      </c>
      <c r="F141" s="1">
        <f ca="1">_xlfn.FLOOR.MATH(E141/24)</f>
        <v>11</v>
      </c>
    </row>
    <row r="142" spans="1:6">
      <c r="A142" s="1">
        <v>137</v>
      </c>
      <c r="B142" s="1">
        <f>A142*控制台!$E$4959</f>
        <v>493200</v>
      </c>
      <c r="C142" s="1">
        <f ca="1">OFFSET(控制台!$C$4968,MATCH(A142,控制台!$B$4968:$B$4976,1)-1,0)</f>
        <v>3</v>
      </c>
      <c r="D142" s="4">
        <f ca="1" t="shared" si="4"/>
        <v>1500000</v>
      </c>
      <c r="E142" s="1">
        <f ca="1" t="shared" si="5"/>
        <v>276</v>
      </c>
      <c r="F142" s="1">
        <f ca="1">_xlfn.FLOOR.MATH(E142/24)</f>
        <v>11</v>
      </c>
    </row>
    <row r="143" spans="1:6">
      <c r="A143" s="1">
        <v>138</v>
      </c>
      <c r="B143" s="1">
        <f>A143*控制台!$E$4959</f>
        <v>496800</v>
      </c>
      <c r="C143" s="1">
        <f ca="1">OFFSET(控制台!$C$4968,MATCH(A143,控制台!$B$4968:$B$4976,1)-1,0)</f>
        <v>3</v>
      </c>
      <c r="D143" s="4">
        <f ca="1" t="shared" si="4"/>
        <v>1500000</v>
      </c>
      <c r="E143" s="1">
        <f ca="1" t="shared" si="5"/>
        <v>279</v>
      </c>
      <c r="F143" s="1">
        <f ca="1">_xlfn.FLOOR.MATH(E143/24)</f>
        <v>11</v>
      </c>
    </row>
    <row r="144" spans="1:6">
      <c r="A144" s="1">
        <v>139</v>
      </c>
      <c r="B144" s="1">
        <f>A144*控制台!$E$4959</f>
        <v>500400</v>
      </c>
      <c r="C144" s="1">
        <f ca="1">OFFSET(控制台!$C$4968,MATCH(A144,控制台!$B$4968:$B$4976,1)-1,0)</f>
        <v>3</v>
      </c>
      <c r="D144" s="4">
        <f ca="1" t="shared" si="4"/>
        <v>1500000</v>
      </c>
      <c r="E144" s="1">
        <f ca="1" t="shared" si="5"/>
        <v>282</v>
      </c>
      <c r="F144" s="1">
        <f ca="1">_xlfn.FLOOR.MATH(E144/24)</f>
        <v>11</v>
      </c>
    </row>
    <row r="145" spans="1:6">
      <c r="A145" s="1">
        <v>140</v>
      </c>
      <c r="B145" s="1">
        <f>A145*控制台!$E$4959</f>
        <v>504000</v>
      </c>
      <c r="C145" s="1">
        <f ca="1">OFFSET(控制台!$C$4968,MATCH(A145,控制台!$B$4968:$B$4976,1)-1,0)</f>
        <v>3</v>
      </c>
      <c r="D145" s="4">
        <f ca="1" t="shared" si="4"/>
        <v>1500000</v>
      </c>
      <c r="E145" s="1">
        <f ca="1" t="shared" si="5"/>
        <v>285</v>
      </c>
      <c r="F145" s="1">
        <f ca="1">_xlfn.FLOOR.MATH(E145/24)</f>
        <v>11</v>
      </c>
    </row>
    <row r="146" spans="1:6">
      <c r="A146" s="1">
        <v>141</v>
      </c>
      <c r="B146" s="1">
        <f>A146*控制台!$E$4959</f>
        <v>507600</v>
      </c>
      <c r="C146" s="1">
        <f ca="1">OFFSET(控制台!$C$4968,MATCH(A146,控制台!$B$4968:$B$4976,1)-1,0)</f>
        <v>3</v>
      </c>
      <c r="D146" s="4">
        <f ca="1" t="shared" si="4"/>
        <v>1500000</v>
      </c>
      <c r="E146" s="1">
        <f ca="1" t="shared" si="5"/>
        <v>288</v>
      </c>
      <c r="F146" s="1">
        <f ca="1">_xlfn.FLOOR.MATH(E146/24)</f>
        <v>12</v>
      </c>
    </row>
    <row r="147" spans="1:6">
      <c r="A147" s="1">
        <v>142</v>
      </c>
      <c r="B147" s="1">
        <f>A147*控制台!$E$4959</f>
        <v>511200</v>
      </c>
      <c r="C147" s="1">
        <f ca="1">OFFSET(控制台!$C$4968,MATCH(A147,控制台!$B$4968:$B$4976,1)-1,0)</f>
        <v>3</v>
      </c>
      <c r="D147" s="4">
        <f ca="1" t="shared" si="4"/>
        <v>1500000</v>
      </c>
      <c r="E147" s="1">
        <f ca="1" t="shared" si="5"/>
        <v>291</v>
      </c>
      <c r="F147" s="1">
        <f ca="1">_xlfn.FLOOR.MATH(E147/24)</f>
        <v>12</v>
      </c>
    </row>
    <row r="148" spans="1:6">
      <c r="A148" s="1">
        <v>143</v>
      </c>
      <c r="B148" s="1">
        <f>A148*控制台!$E$4959</f>
        <v>514800</v>
      </c>
      <c r="C148" s="1">
        <f ca="1">OFFSET(控制台!$C$4968,MATCH(A148,控制台!$B$4968:$B$4976,1)-1,0)</f>
        <v>3</v>
      </c>
      <c r="D148" s="4">
        <f ca="1" t="shared" si="4"/>
        <v>1500000</v>
      </c>
      <c r="E148" s="1">
        <f ca="1" t="shared" si="5"/>
        <v>294</v>
      </c>
      <c r="F148" s="1">
        <f ca="1">_xlfn.FLOOR.MATH(E148/24)</f>
        <v>12</v>
      </c>
    </row>
    <row r="149" spans="1:6">
      <c r="A149" s="1">
        <v>144</v>
      </c>
      <c r="B149" s="1">
        <f>A149*控制台!$E$4959</f>
        <v>518400</v>
      </c>
      <c r="C149" s="1">
        <f ca="1">OFFSET(控制台!$C$4968,MATCH(A149,控制台!$B$4968:$B$4976,1)-1,0)</f>
        <v>3</v>
      </c>
      <c r="D149" s="4">
        <f ca="1" t="shared" si="4"/>
        <v>1500000</v>
      </c>
      <c r="E149" s="1">
        <f ca="1" t="shared" si="5"/>
        <v>297</v>
      </c>
      <c r="F149" s="1">
        <f ca="1">_xlfn.FLOOR.MATH(E149/24)</f>
        <v>12</v>
      </c>
    </row>
    <row r="150" spans="1:6">
      <c r="A150" s="1">
        <v>145</v>
      </c>
      <c r="B150" s="1">
        <f>A150*控制台!$E$4959</f>
        <v>522000</v>
      </c>
      <c r="C150" s="1">
        <f ca="1">OFFSET(控制台!$C$4968,MATCH(A150,控制台!$B$4968:$B$4976,1)-1,0)</f>
        <v>3</v>
      </c>
      <c r="D150" s="4">
        <f ca="1" t="shared" si="4"/>
        <v>1600000</v>
      </c>
      <c r="E150" s="1">
        <f ca="1" t="shared" si="5"/>
        <v>300</v>
      </c>
      <c r="F150" s="1">
        <f ca="1">_xlfn.FLOOR.MATH(E150/24)</f>
        <v>12</v>
      </c>
    </row>
    <row r="151" spans="1:6">
      <c r="A151" s="1">
        <v>146</v>
      </c>
      <c r="B151" s="1">
        <f>A151*控制台!$E$4959</f>
        <v>525600</v>
      </c>
      <c r="C151" s="1">
        <f ca="1">OFFSET(控制台!$C$4968,MATCH(A151,控制台!$B$4968:$B$4976,1)-1,0)</f>
        <v>3</v>
      </c>
      <c r="D151" s="4">
        <f ca="1" t="shared" si="4"/>
        <v>1600000</v>
      </c>
      <c r="E151" s="1">
        <f ca="1" t="shared" si="5"/>
        <v>303</v>
      </c>
      <c r="F151" s="1">
        <f ca="1">_xlfn.FLOOR.MATH(E151/24)</f>
        <v>12</v>
      </c>
    </row>
    <row r="152" spans="1:6">
      <c r="A152" s="1">
        <v>147</v>
      </c>
      <c r="B152" s="1">
        <f>A152*控制台!$E$4959</f>
        <v>529200</v>
      </c>
      <c r="C152" s="1">
        <f ca="1">OFFSET(控制台!$C$4968,MATCH(A152,控制台!$B$4968:$B$4976,1)-1,0)</f>
        <v>3</v>
      </c>
      <c r="D152" s="4">
        <f ca="1" t="shared" si="4"/>
        <v>1600000</v>
      </c>
      <c r="E152" s="1">
        <f ca="1" t="shared" si="5"/>
        <v>306</v>
      </c>
      <c r="F152" s="1">
        <f ca="1">_xlfn.FLOOR.MATH(E152/24)</f>
        <v>12</v>
      </c>
    </row>
    <row r="153" spans="1:6">
      <c r="A153" s="1">
        <v>148</v>
      </c>
      <c r="B153" s="1">
        <f>A153*控制台!$E$4959</f>
        <v>532800</v>
      </c>
      <c r="C153" s="1">
        <f ca="1">OFFSET(控制台!$C$4968,MATCH(A153,控制台!$B$4968:$B$4976,1)-1,0)</f>
        <v>3</v>
      </c>
      <c r="D153" s="4">
        <f ca="1" t="shared" si="4"/>
        <v>1600000</v>
      </c>
      <c r="E153" s="1">
        <f ca="1" t="shared" si="5"/>
        <v>309</v>
      </c>
      <c r="F153" s="1">
        <f ca="1">_xlfn.FLOOR.MATH(E153/24)</f>
        <v>12</v>
      </c>
    </row>
    <row r="154" spans="1:6">
      <c r="A154" s="1">
        <v>149</v>
      </c>
      <c r="B154" s="1">
        <f>A154*控制台!$E$4959</f>
        <v>536400</v>
      </c>
      <c r="C154" s="1">
        <f ca="1">OFFSET(控制台!$C$4968,MATCH(A154,控制台!$B$4968:$B$4976,1)-1,0)</f>
        <v>3</v>
      </c>
      <c r="D154" s="4">
        <f ca="1" t="shared" si="4"/>
        <v>1600000</v>
      </c>
      <c r="E154" s="1">
        <f ca="1" t="shared" si="5"/>
        <v>312</v>
      </c>
      <c r="F154" s="1">
        <f ca="1">_xlfn.FLOOR.MATH(E154/24)</f>
        <v>13</v>
      </c>
    </row>
    <row r="155" spans="1:6">
      <c r="A155" s="1">
        <v>150</v>
      </c>
      <c r="B155" s="1">
        <f>A155*控制台!$E$4959</f>
        <v>540000</v>
      </c>
      <c r="C155" s="1">
        <f ca="1">OFFSET(控制台!$C$4968,MATCH(A155,控制台!$B$4968:$B$4976,1)-1,0)</f>
        <v>3</v>
      </c>
      <c r="D155" s="4">
        <f ca="1" t="shared" si="4"/>
        <v>1600000</v>
      </c>
      <c r="E155" s="1">
        <f ca="1" t="shared" si="5"/>
        <v>315</v>
      </c>
      <c r="F155" s="1">
        <f ca="1">_xlfn.FLOOR.MATH(E155/24)</f>
        <v>13</v>
      </c>
    </row>
    <row r="156" spans="1:6">
      <c r="A156" s="1">
        <v>151</v>
      </c>
      <c r="B156" s="1">
        <f>A156*控制台!$E$4959</f>
        <v>543600</v>
      </c>
      <c r="C156" s="1">
        <f ca="1">OFFSET(控制台!$C$4968,MATCH(A156,控制台!$B$4968:$B$4976,1)-1,0)</f>
        <v>4</v>
      </c>
      <c r="D156" s="4">
        <f ca="1" t="shared" si="4"/>
        <v>2200000</v>
      </c>
      <c r="E156" s="1">
        <f ca="1" t="shared" si="5"/>
        <v>319</v>
      </c>
      <c r="F156" s="1">
        <f ca="1">_xlfn.FLOOR.MATH(E156/24)</f>
        <v>13</v>
      </c>
    </row>
    <row r="157" spans="1:6">
      <c r="A157" s="1">
        <v>152</v>
      </c>
      <c r="B157" s="1">
        <f>A157*控制台!$E$4959</f>
        <v>547200</v>
      </c>
      <c r="C157" s="1">
        <f ca="1">OFFSET(控制台!$C$4968,MATCH(A157,控制台!$B$4968:$B$4976,1)-1,0)</f>
        <v>4</v>
      </c>
      <c r="D157" s="4">
        <f ca="1" t="shared" si="4"/>
        <v>2200000</v>
      </c>
      <c r="E157" s="1">
        <f ca="1" t="shared" si="5"/>
        <v>323</v>
      </c>
      <c r="F157" s="1">
        <f ca="1">_xlfn.FLOOR.MATH(E157/24)</f>
        <v>13</v>
      </c>
    </row>
    <row r="158" spans="1:6">
      <c r="A158" s="1">
        <v>153</v>
      </c>
      <c r="B158" s="1">
        <f>A158*控制台!$E$4959</f>
        <v>550800</v>
      </c>
      <c r="C158" s="1">
        <f ca="1">OFFSET(控制台!$C$4968,MATCH(A158,控制台!$B$4968:$B$4976,1)-1,0)</f>
        <v>4</v>
      </c>
      <c r="D158" s="4">
        <f ca="1" t="shared" si="4"/>
        <v>2200000</v>
      </c>
      <c r="E158" s="1">
        <f ca="1" t="shared" si="5"/>
        <v>327</v>
      </c>
      <c r="F158" s="1">
        <f ca="1">_xlfn.FLOOR.MATH(E158/24)</f>
        <v>13</v>
      </c>
    </row>
    <row r="159" spans="1:6">
      <c r="A159" s="1">
        <v>154</v>
      </c>
      <c r="B159" s="1">
        <f>A159*控制台!$E$4959</f>
        <v>554400</v>
      </c>
      <c r="C159" s="1">
        <f ca="1">OFFSET(控制台!$C$4968,MATCH(A159,控制台!$B$4968:$B$4976,1)-1,0)</f>
        <v>4</v>
      </c>
      <c r="D159" s="4">
        <f ca="1" t="shared" si="4"/>
        <v>2200000</v>
      </c>
      <c r="E159" s="1">
        <f ca="1" t="shared" si="5"/>
        <v>331</v>
      </c>
      <c r="F159" s="1">
        <f ca="1">_xlfn.FLOOR.MATH(E159/24)</f>
        <v>13</v>
      </c>
    </row>
    <row r="160" spans="1:6">
      <c r="A160" s="1">
        <v>155</v>
      </c>
      <c r="B160" s="1">
        <f>A160*控制台!$E$4959</f>
        <v>558000</v>
      </c>
      <c r="C160" s="1">
        <f ca="1">OFFSET(控制台!$C$4968,MATCH(A160,控制台!$B$4968:$B$4976,1)-1,0)</f>
        <v>4</v>
      </c>
      <c r="D160" s="4">
        <f ca="1" t="shared" si="4"/>
        <v>2200000</v>
      </c>
      <c r="E160" s="1">
        <f ca="1" t="shared" si="5"/>
        <v>335</v>
      </c>
      <c r="F160" s="1">
        <f ca="1">_xlfn.FLOOR.MATH(E160/24)</f>
        <v>13</v>
      </c>
    </row>
    <row r="161" spans="1:6">
      <c r="A161" s="1">
        <v>156</v>
      </c>
      <c r="B161" s="1">
        <f>A161*控制台!$E$4959</f>
        <v>561600</v>
      </c>
      <c r="C161" s="1">
        <f ca="1">OFFSET(控制台!$C$4968,MATCH(A161,控制台!$B$4968:$B$4976,1)-1,0)</f>
        <v>4</v>
      </c>
      <c r="D161" s="4">
        <f ca="1" t="shared" si="4"/>
        <v>2200000</v>
      </c>
      <c r="E161" s="1">
        <f ca="1" t="shared" si="5"/>
        <v>339</v>
      </c>
      <c r="F161" s="1">
        <f ca="1">_xlfn.FLOOR.MATH(E161/24)</f>
        <v>14</v>
      </c>
    </row>
    <row r="162" spans="1:6">
      <c r="A162" s="1">
        <v>157</v>
      </c>
      <c r="B162" s="1">
        <f>A162*控制台!$E$4959</f>
        <v>565200</v>
      </c>
      <c r="C162" s="1">
        <f ca="1">OFFSET(控制台!$C$4968,MATCH(A162,控制台!$B$4968:$B$4976,1)-1,0)</f>
        <v>4</v>
      </c>
      <c r="D162" s="4">
        <f ca="1" t="shared" si="4"/>
        <v>2200000</v>
      </c>
      <c r="E162" s="1">
        <f ca="1" t="shared" si="5"/>
        <v>343</v>
      </c>
      <c r="F162" s="1">
        <f ca="1">_xlfn.FLOOR.MATH(E162/24)</f>
        <v>14</v>
      </c>
    </row>
    <row r="163" spans="1:6">
      <c r="A163" s="1">
        <v>158</v>
      </c>
      <c r="B163" s="1">
        <f>A163*控制台!$E$4959</f>
        <v>568800</v>
      </c>
      <c r="C163" s="1">
        <f ca="1">OFFSET(控制台!$C$4968,MATCH(A163,控制台!$B$4968:$B$4976,1)-1,0)</f>
        <v>4</v>
      </c>
      <c r="D163" s="4">
        <f ca="1" t="shared" si="4"/>
        <v>2300000</v>
      </c>
      <c r="E163" s="1">
        <f ca="1" t="shared" si="5"/>
        <v>347</v>
      </c>
      <c r="F163" s="1">
        <f ca="1">_xlfn.FLOOR.MATH(E163/24)</f>
        <v>14</v>
      </c>
    </row>
    <row r="164" spans="1:6">
      <c r="A164" s="1">
        <v>159</v>
      </c>
      <c r="B164" s="1">
        <f>A164*控制台!$E$4959</f>
        <v>572400</v>
      </c>
      <c r="C164" s="1">
        <f ca="1">OFFSET(控制台!$C$4968,MATCH(A164,控制台!$B$4968:$B$4976,1)-1,0)</f>
        <v>4</v>
      </c>
      <c r="D164" s="4">
        <f ca="1" t="shared" si="4"/>
        <v>2300000</v>
      </c>
      <c r="E164" s="1">
        <f ca="1" t="shared" si="5"/>
        <v>351</v>
      </c>
      <c r="F164" s="1">
        <f ca="1">_xlfn.FLOOR.MATH(E164/24)</f>
        <v>14</v>
      </c>
    </row>
    <row r="165" spans="1:6">
      <c r="A165" s="1">
        <v>160</v>
      </c>
      <c r="B165" s="1">
        <f>A165*控制台!$E$4959</f>
        <v>576000</v>
      </c>
      <c r="C165" s="1">
        <f ca="1">OFFSET(控制台!$C$4968,MATCH(A165,控制台!$B$4968:$B$4976,1)-1,0)</f>
        <v>4</v>
      </c>
      <c r="D165" s="4">
        <f ca="1" t="shared" si="4"/>
        <v>2300000</v>
      </c>
      <c r="E165" s="1">
        <f ca="1" t="shared" si="5"/>
        <v>355</v>
      </c>
      <c r="F165" s="1">
        <f ca="1">_xlfn.FLOOR.MATH(E165/24)</f>
        <v>14</v>
      </c>
    </row>
    <row r="166" spans="1:6">
      <c r="A166" s="1">
        <v>161</v>
      </c>
      <c r="B166" s="1">
        <f>A166*控制台!$E$4959</f>
        <v>579600</v>
      </c>
      <c r="C166" s="1">
        <f ca="1">OFFSET(控制台!$C$4968,MATCH(A166,控制台!$B$4968:$B$4976,1)-1,0)</f>
        <v>4</v>
      </c>
      <c r="D166" s="4">
        <f ca="1" t="shared" si="4"/>
        <v>2300000</v>
      </c>
      <c r="E166" s="1">
        <f ca="1" t="shared" si="5"/>
        <v>359</v>
      </c>
      <c r="F166" s="1">
        <f ca="1">_xlfn.FLOOR.MATH(E166/24)</f>
        <v>14</v>
      </c>
    </row>
    <row r="167" spans="1:6">
      <c r="A167" s="1">
        <v>162</v>
      </c>
      <c r="B167" s="1">
        <f>A167*控制台!$E$4959</f>
        <v>583200</v>
      </c>
      <c r="C167" s="1">
        <f ca="1">OFFSET(控制台!$C$4968,MATCH(A167,控制台!$B$4968:$B$4976,1)-1,0)</f>
        <v>4</v>
      </c>
      <c r="D167" s="4">
        <f ca="1" t="shared" si="4"/>
        <v>2300000</v>
      </c>
      <c r="E167" s="1">
        <f ca="1" t="shared" si="5"/>
        <v>363</v>
      </c>
      <c r="F167" s="1">
        <f ca="1">_xlfn.FLOOR.MATH(E167/24)</f>
        <v>15</v>
      </c>
    </row>
    <row r="168" spans="1:6">
      <c r="A168" s="1">
        <v>163</v>
      </c>
      <c r="B168" s="1">
        <f>A168*控制台!$E$4959</f>
        <v>586800</v>
      </c>
      <c r="C168" s="1">
        <f ca="1">OFFSET(控制台!$C$4968,MATCH(A168,控制台!$B$4968:$B$4976,1)-1,0)</f>
        <v>4</v>
      </c>
      <c r="D168" s="4">
        <f ca="1" t="shared" si="4"/>
        <v>2300000</v>
      </c>
      <c r="E168" s="1">
        <f ca="1" t="shared" si="5"/>
        <v>367</v>
      </c>
      <c r="F168" s="1">
        <f ca="1">_xlfn.FLOOR.MATH(E168/24)</f>
        <v>15</v>
      </c>
    </row>
    <row r="169" spans="1:6">
      <c r="A169" s="1">
        <v>164</v>
      </c>
      <c r="B169" s="1">
        <f>A169*控制台!$E$4959</f>
        <v>590400</v>
      </c>
      <c r="C169" s="1">
        <f ca="1">OFFSET(控制台!$C$4968,MATCH(A169,控制台!$B$4968:$B$4976,1)-1,0)</f>
        <v>4</v>
      </c>
      <c r="D169" s="4">
        <f ca="1" t="shared" si="4"/>
        <v>2300000</v>
      </c>
      <c r="E169" s="1">
        <f ca="1" t="shared" si="5"/>
        <v>371</v>
      </c>
      <c r="F169" s="1">
        <f ca="1">_xlfn.FLOOR.MATH(E169/24)</f>
        <v>15</v>
      </c>
    </row>
    <row r="170" spans="1:6">
      <c r="A170" s="1">
        <v>165</v>
      </c>
      <c r="B170" s="1">
        <f>A170*控制台!$E$4959</f>
        <v>594000</v>
      </c>
      <c r="C170" s="1">
        <f ca="1">OFFSET(控制台!$C$4968,MATCH(A170,控制台!$B$4968:$B$4976,1)-1,0)</f>
        <v>4</v>
      </c>
      <c r="D170" s="4">
        <f ca="1" t="shared" si="4"/>
        <v>2400000</v>
      </c>
      <c r="E170" s="1">
        <f ca="1" t="shared" si="5"/>
        <v>375</v>
      </c>
      <c r="F170" s="1">
        <f ca="1">_xlfn.FLOOR.MATH(E170/24)</f>
        <v>15</v>
      </c>
    </row>
    <row r="171" spans="1:6">
      <c r="A171" s="1">
        <v>166</v>
      </c>
      <c r="B171" s="1">
        <f>A171*控制台!$E$4959</f>
        <v>597600</v>
      </c>
      <c r="C171" s="1">
        <f ca="1">OFFSET(控制台!$C$4968,MATCH(A171,控制台!$B$4968:$B$4976,1)-1,0)</f>
        <v>4</v>
      </c>
      <c r="D171" s="4">
        <f ca="1" t="shared" si="4"/>
        <v>2400000</v>
      </c>
      <c r="E171" s="1">
        <f ca="1" t="shared" si="5"/>
        <v>379</v>
      </c>
      <c r="F171" s="1">
        <f ca="1">_xlfn.FLOOR.MATH(E171/24)</f>
        <v>15</v>
      </c>
    </row>
    <row r="172" spans="1:6">
      <c r="A172" s="1">
        <v>167</v>
      </c>
      <c r="B172" s="1">
        <f>A172*控制台!$E$4959</f>
        <v>601200</v>
      </c>
      <c r="C172" s="1">
        <f ca="1">OFFSET(控制台!$C$4968,MATCH(A172,控制台!$B$4968:$B$4976,1)-1,0)</f>
        <v>4</v>
      </c>
      <c r="D172" s="4">
        <f ca="1" t="shared" si="4"/>
        <v>2400000</v>
      </c>
      <c r="E172" s="1">
        <f ca="1" t="shared" si="5"/>
        <v>383</v>
      </c>
      <c r="F172" s="1">
        <f ca="1">_xlfn.FLOOR.MATH(E172/24)</f>
        <v>15</v>
      </c>
    </row>
    <row r="173" spans="1:6">
      <c r="A173" s="1">
        <v>168</v>
      </c>
      <c r="B173" s="1">
        <f>A173*控制台!$E$4959</f>
        <v>604800</v>
      </c>
      <c r="C173" s="1">
        <f ca="1">OFFSET(控制台!$C$4968,MATCH(A173,控制台!$B$4968:$B$4976,1)-1,0)</f>
        <v>4</v>
      </c>
      <c r="D173" s="4">
        <f ca="1" t="shared" si="4"/>
        <v>2400000</v>
      </c>
      <c r="E173" s="1">
        <f ca="1" t="shared" si="5"/>
        <v>387</v>
      </c>
      <c r="F173" s="1">
        <f ca="1">_xlfn.FLOOR.MATH(E173/24)</f>
        <v>16</v>
      </c>
    </row>
    <row r="174" spans="1:6">
      <c r="A174" s="1">
        <v>169</v>
      </c>
      <c r="B174" s="1">
        <f>A174*控制台!$E$4959</f>
        <v>608400</v>
      </c>
      <c r="C174" s="1">
        <f ca="1">OFFSET(控制台!$C$4968,MATCH(A174,控制台!$B$4968:$B$4976,1)-1,0)</f>
        <v>4</v>
      </c>
      <c r="D174" s="4">
        <f ca="1" t="shared" si="4"/>
        <v>2400000</v>
      </c>
      <c r="E174" s="1">
        <f ca="1" t="shared" si="5"/>
        <v>391</v>
      </c>
      <c r="F174" s="1">
        <f ca="1">_xlfn.FLOOR.MATH(E174/24)</f>
        <v>16</v>
      </c>
    </row>
    <row r="175" spans="1:6">
      <c r="A175" s="1">
        <v>170</v>
      </c>
      <c r="B175" s="1">
        <f>A175*控制台!$E$4959</f>
        <v>612000</v>
      </c>
      <c r="C175" s="1">
        <f ca="1">OFFSET(控制台!$C$4968,MATCH(A175,控制台!$B$4968:$B$4976,1)-1,0)</f>
        <v>4</v>
      </c>
      <c r="D175" s="4">
        <f ca="1" t="shared" si="4"/>
        <v>2400000</v>
      </c>
      <c r="E175" s="1">
        <f ca="1" t="shared" si="5"/>
        <v>395</v>
      </c>
      <c r="F175" s="1">
        <f ca="1">_xlfn.FLOOR.MATH(E175/24)</f>
        <v>16</v>
      </c>
    </row>
    <row r="176" spans="1:6">
      <c r="A176" s="1">
        <v>171</v>
      </c>
      <c r="B176" s="1">
        <f>A176*控制台!$E$4959</f>
        <v>615600</v>
      </c>
      <c r="C176" s="1">
        <f ca="1">OFFSET(控制台!$C$4968,MATCH(A176,控制台!$B$4968:$B$4976,1)-1,0)</f>
        <v>4</v>
      </c>
      <c r="D176" s="4">
        <f ca="1" t="shared" si="4"/>
        <v>2400000</v>
      </c>
      <c r="E176" s="1">
        <f ca="1" t="shared" si="5"/>
        <v>399</v>
      </c>
      <c r="F176" s="1">
        <f ca="1">_xlfn.FLOOR.MATH(E176/24)</f>
        <v>16</v>
      </c>
    </row>
    <row r="177" spans="1:6">
      <c r="A177" s="1">
        <v>172</v>
      </c>
      <c r="B177" s="1">
        <f>A177*控制台!$E$4959</f>
        <v>619200</v>
      </c>
      <c r="C177" s="1">
        <f ca="1">OFFSET(控制台!$C$4968,MATCH(A177,控制台!$B$4968:$B$4976,1)-1,0)</f>
        <v>4</v>
      </c>
      <c r="D177" s="4">
        <f ca="1" t="shared" si="4"/>
        <v>2500000</v>
      </c>
      <c r="E177" s="1">
        <f ca="1" t="shared" si="5"/>
        <v>403</v>
      </c>
      <c r="F177" s="1">
        <f ca="1">_xlfn.FLOOR.MATH(E177/24)</f>
        <v>16</v>
      </c>
    </row>
    <row r="178" spans="1:6">
      <c r="A178" s="1">
        <v>173</v>
      </c>
      <c r="B178" s="1">
        <f>A178*控制台!$E$4959</f>
        <v>622800</v>
      </c>
      <c r="C178" s="1">
        <f ca="1">OFFSET(控制台!$C$4968,MATCH(A178,控制台!$B$4968:$B$4976,1)-1,0)</f>
        <v>4</v>
      </c>
      <c r="D178" s="4">
        <f ca="1" t="shared" si="4"/>
        <v>2500000</v>
      </c>
      <c r="E178" s="1">
        <f ca="1" t="shared" si="5"/>
        <v>407</v>
      </c>
      <c r="F178" s="1">
        <f ca="1">_xlfn.FLOOR.MATH(E178/24)</f>
        <v>16</v>
      </c>
    </row>
    <row r="179" spans="1:6">
      <c r="A179" s="1">
        <v>174</v>
      </c>
      <c r="B179" s="1">
        <f>A179*控制台!$E$4959</f>
        <v>626400</v>
      </c>
      <c r="C179" s="1">
        <f ca="1">OFFSET(控制台!$C$4968,MATCH(A179,控制台!$B$4968:$B$4976,1)-1,0)</f>
        <v>4</v>
      </c>
      <c r="D179" s="4">
        <f ca="1" t="shared" si="4"/>
        <v>2500000</v>
      </c>
      <c r="E179" s="1">
        <f ca="1" t="shared" si="5"/>
        <v>411</v>
      </c>
      <c r="F179" s="1">
        <f ca="1">_xlfn.FLOOR.MATH(E179/24)</f>
        <v>17</v>
      </c>
    </row>
    <row r="180" spans="1:6">
      <c r="A180" s="1">
        <v>175</v>
      </c>
      <c r="B180" s="1">
        <f>A180*控制台!$E$4959</f>
        <v>630000</v>
      </c>
      <c r="C180" s="1">
        <f ca="1">OFFSET(控制台!$C$4968,MATCH(A180,控制台!$B$4968:$B$4976,1)-1,0)</f>
        <v>4</v>
      </c>
      <c r="D180" s="4">
        <f ca="1" t="shared" si="4"/>
        <v>2500000</v>
      </c>
      <c r="E180" s="1">
        <f ca="1" t="shared" si="5"/>
        <v>415</v>
      </c>
      <c r="F180" s="1">
        <f ca="1">_xlfn.FLOOR.MATH(E180/24)</f>
        <v>17</v>
      </c>
    </row>
    <row r="181" spans="1:6">
      <c r="A181" s="1">
        <v>176</v>
      </c>
      <c r="B181" s="1">
        <f>A181*控制台!$E$4959</f>
        <v>633600</v>
      </c>
      <c r="C181" s="1">
        <f ca="1">OFFSET(控制台!$C$4968,MATCH(A181,控制台!$B$4968:$B$4976,1)-1,0)</f>
        <v>4</v>
      </c>
      <c r="D181" s="4">
        <f ca="1" t="shared" si="4"/>
        <v>2500000</v>
      </c>
      <c r="E181" s="1">
        <f ca="1" t="shared" si="5"/>
        <v>419</v>
      </c>
      <c r="F181" s="1">
        <f ca="1">_xlfn.FLOOR.MATH(E181/24)</f>
        <v>17</v>
      </c>
    </row>
    <row r="182" spans="1:6">
      <c r="A182" s="1">
        <v>177</v>
      </c>
      <c r="B182" s="1">
        <f>A182*控制台!$E$4959</f>
        <v>637200</v>
      </c>
      <c r="C182" s="1">
        <f ca="1">OFFSET(控制台!$C$4968,MATCH(A182,控制台!$B$4968:$B$4976,1)-1,0)</f>
        <v>4</v>
      </c>
      <c r="D182" s="4">
        <f ca="1" t="shared" si="4"/>
        <v>2500000</v>
      </c>
      <c r="E182" s="1">
        <f ca="1" t="shared" si="5"/>
        <v>423</v>
      </c>
      <c r="F182" s="1">
        <f ca="1">_xlfn.FLOOR.MATH(E182/24)</f>
        <v>17</v>
      </c>
    </row>
    <row r="183" spans="1:6">
      <c r="A183" s="1">
        <v>178</v>
      </c>
      <c r="B183" s="1">
        <f>A183*控制台!$E$4959</f>
        <v>640800</v>
      </c>
      <c r="C183" s="1">
        <f ca="1">OFFSET(控制台!$C$4968,MATCH(A183,控制台!$B$4968:$B$4976,1)-1,0)</f>
        <v>4</v>
      </c>
      <c r="D183" s="4">
        <f ca="1" t="shared" si="4"/>
        <v>2500000</v>
      </c>
      <c r="E183" s="1">
        <f ca="1" t="shared" si="5"/>
        <v>427</v>
      </c>
      <c r="F183" s="1">
        <f ca="1">_xlfn.FLOOR.MATH(E183/24)</f>
        <v>17</v>
      </c>
    </row>
    <row r="184" spans="1:6">
      <c r="A184" s="1">
        <v>179</v>
      </c>
      <c r="B184" s="1">
        <f>A184*控制台!$E$4959</f>
        <v>644400</v>
      </c>
      <c r="C184" s="1">
        <f ca="1">OFFSET(控制台!$C$4968,MATCH(A184,控制台!$B$4968:$B$4976,1)-1,0)</f>
        <v>4</v>
      </c>
      <c r="D184" s="4">
        <f ca="1" t="shared" si="4"/>
        <v>2600000</v>
      </c>
      <c r="E184" s="1">
        <f ca="1" t="shared" si="5"/>
        <v>431</v>
      </c>
      <c r="F184" s="1">
        <f ca="1">_xlfn.FLOOR.MATH(E184/24)</f>
        <v>17</v>
      </c>
    </row>
    <row r="185" spans="1:6">
      <c r="A185" s="1">
        <v>180</v>
      </c>
      <c r="B185" s="1">
        <f>A185*控制台!$E$4959</f>
        <v>648000</v>
      </c>
      <c r="C185" s="1">
        <f ca="1">OFFSET(控制台!$C$4968,MATCH(A185,控制台!$B$4968:$B$4976,1)-1,0)</f>
        <v>4</v>
      </c>
      <c r="D185" s="4">
        <f ca="1" t="shared" si="4"/>
        <v>2600000</v>
      </c>
      <c r="E185" s="1">
        <f ca="1" t="shared" si="5"/>
        <v>435</v>
      </c>
      <c r="F185" s="1">
        <f ca="1">_xlfn.FLOOR.MATH(E185/24)</f>
        <v>18</v>
      </c>
    </row>
    <row r="186" spans="1:6">
      <c r="A186" s="1">
        <v>181</v>
      </c>
      <c r="B186" s="1">
        <f>A186*控制台!$E$4959</f>
        <v>651600</v>
      </c>
      <c r="C186" s="1">
        <f ca="1">OFFSET(控制台!$C$4968,MATCH(A186,控制台!$B$4968:$B$4976,1)-1,0)</f>
        <v>4</v>
      </c>
      <c r="D186" s="4">
        <f ca="1" t="shared" si="4"/>
        <v>2600000</v>
      </c>
      <c r="E186" s="1">
        <f ca="1" t="shared" si="5"/>
        <v>439</v>
      </c>
      <c r="F186" s="1">
        <f ca="1">_xlfn.FLOOR.MATH(E186/24)</f>
        <v>18</v>
      </c>
    </row>
    <row r="187" spans="1:6">
      <c r="A187" s="1">
        <v>182</v>
      </c>
      <c r="B187" s="1">
        <f>A187*控制台!$E$4959</f>
        <v>655200</v>
      </c>
      <c r="C187" s="1">
        <f ca="1">OFFSET(控制台!$C$4968,MATCH(A187,控制台!$B$4968:$B$4976,1)-1,0)</f>
        <v>4</v>
      </c>
      <c r="D187" s="4">
        <f ca="1" t="shared" si="4"/>
        <v>2600000</v>
      </c>
      <c r="E187" s="1">
        <f ca="1" t="shared" si="5"/>
        <v>443</v>
      </c>
      <c r="F187" s="1">
        <f ca="1">_xlfn.FLOOR.MATH(E187/24)</f>
        <v>18</v>
      </c>
    </row>
    <row r="188" spans="1:6">
      <c r="A188" s="1">
        <v>183</v>
      </c>
      <c r="B188" s="1">
        <f>A188*控制台!$E$4959</f>
        <v>658800</v>
      </c>
      <c r="C188" s="1">
        <f ca="1">OFFSET(控制台!$C$4968,MATCH(A188,控制台!$B$4968:$B$4976,1)-1,0)</f>
        <v>4</v>
      </c>
      <c r="D188" s="4">
        <f ca="1" t="shared" si="4"/>
        <v>2600000</v>
      </c>
      <c r="E188" s="1">
        <f ca="1" t="shared" si="5"/>
        <v>447</v>
      </c>
      <c r="F188" s="1">
        <f ca="1">_xlfn.FLOOR.MATH(E188/24)</f>
        <v>18</v>
      </c>
    </row>
    <row r="189" spans="1:6">
      <c r="A189" s="1">
        <v>184</v>
      </c>
      <c r="B189" s="1">
        <f>A189*控制台!$E$4959</f>
        <v>662400</v>
      </c>
      <c r="C189" s="1">
        <f ca="1">OFFSET(控制台!$C$4968,MATCH(A189,控制台!$B$4968:$B$4976,1)-1,0)</f>
        <v>4</v>
      </c>
      <c r="D189" s="4">
        <f ca="1" t="shared" si="4"/>
        <v>2600000</v>
      </c>
      <c r="E189" s="1">
        <f ca="1" t="shared" si="5"/>
        <v>451</v>
      </c>
      <c r="F189" s="1">
        <f ca="1">_xlfn.FLOOR.MATH(E189/24)</f>
        <v>18</v>
      </c>
    </row>
    <row r="190" spans="1:6">
      <c r="A190" s="1">
        <v>185</v>
      </c>
      <c r="B190" s="1">
        <f>A190*控制台!$E$4959</f>
        <v>666000</v>
      </c>
      <c r="C190" s="1">
        <f ca="1">OFFSET(控制台!$C$4968,MATCH(A190,控制台!$B$4968:$B$4976,1)-1,0)</f>
        <v>4</v>
      </c>
      <c r="D190" s="4">
        <f ca="1" t="shared" si="4"/>
        <v>2600000</v>
      </c>
      <c r="E190" s="1">
        <f ca="1" t="shared" si="5"/>
        <v>455</v>
      </c>
      <c r="F190" s="1">
        <f ca="1">_xlfn.FLOOR.MATH(E190/24)</f>
        <v>18</v>
      </c>
    </row>
    <row r="191" spans="1:6">
      <c r="A191" s="1">
        <v>186</v>
      </c>
      <c r="B191" s="1">
        <f>A191*控制台!$E$4959</f>
        <v>669600</v>
      </c>
      <c r="C191" s="1">
        <f ca="1">OFFSET(控制台!$C$4968,MATCH(A191,控制台!$B$4968:$B$4976,1)-1,0)</f>
        <v>4</v>
      </c>
      <c r="D191" s="4">
        <f ca="1" t="shared" si="4"/>
        <v>2700000</v>
      </c>
      <c r="E191" s="1">
        <f ca="1" t="shared" si="5"/>
        <v>459</v>
      </c>
      <c r="F191" s="1">
        <f ca="1">_xlfn.FLOOR.MATH(E191/24)</f>
        <v>19</v>
      </c>
    </row>
    <row r="192" spans="1:6">
      <c r="A192" s="1">
        <v>187</v>
      </c>
      <c r="B192" s="1">
        <f>A192*控制台!$E$4959</f>
        <v>673200</v>
      </c>
      <c r="C192" s="1">
        <f ca="1">OFFSET(控制台!$C$4968,MATCH(A192,控制台!$B$4968:$B$4976,1)-1,0)</f>
        <v>4</v>
      </c>
      <c r="D192" s="4">
        <f ca="1" t="shared" si="4"/>
        <v>2700000</v>
      </c>
      <c r="E192" s="1">
        <f ca="1" t="shared" si="5"/>
        <v>463</v>
      </c>
      <c r="F192" s="1">
        <f ca="1">_xlfn.FLOOR.MATH(E192/24)</f>
        <v>19</v>
      </c>
    </row>
    <row r="193" spans="1:6">
      <c r="A193" s="1">
        <v>188</v>
      </c>
      <c r="B193" s="1">
        <f>A193*控制台!$E$4959</f>
        <v>676800</v>
      </c>
      <c r="C193" s="1">
        <f ca="1">OFFSET(控制台!$C$4968,MATCH(A193,控制台!$B$4968:$B$4976,1)-1,0)</f>
        <v>4</v>
      </c>
      <c r="D193" s="4">
        <f ca="1" t="shared" si="4"/>
        <v>2700000</v>
      </c>
      <c r="E193" s="1">
        <f ca="1" t="shared" si="5"/>
        <v>467</v>
      </c>
      <c r="F193" s="1">
        <f ca="1">_xlfn.FLOOR.MATH(E193/24)</f>
        <v>19</v>
      </c>
    </row>
    <row r="194" spans="1:6">
      <c r="A194" s="1">
        <v>189</v>
      </c>
      <c r="B194" s="1">
        <f>A194*控制台!$E$4959</f>
        <v>680400</v>
      </c>
      <c r="C194" s="1">
        <f ca="1">OFFSET(控制台!$C$4968,MATCH(A194,控制台!$B$4968:$B$4976,1)-1,0)</f>
        <v>4</v>
      </c>
      <c r="D194" s="4">
        <f ca="1" t="shared" si="4"/>
        <v>2700000</v>
      </c>
      <c r="E194" s="1">
        <f ca="1" t="shared" si="5"/>
        <v>471</v>
      </c>
      <c r="F194" s="1">
        <f ca="1">_xlfn.FLOOR.MATH(E194/24)</f>
        <v>19</v>
      </c>
    </row>
    <row r="195" spans="1:6">
      <c r="A195" s="1">
        <v>190</v>
      </c>
      <c r="B195" s="1">
        <f>A195*控制台!$E$4959</f>
        <v>684000</v>
      </c>
      <c r="C195" s="1">
        <f ca="1">OFFSET(控制台!$C$4968,MATCH(A195,控制台!$B$4968:$B$4976,1)-1,0)</f>
        <v>4</v>
      </c>
      <c r="D195" s="4">
        <f ca="1" t="shared" si="4"/>
        <v>2700000</v>
      </c>
      <c r="E195" s="1">
        <f ca="1" t="shared" si="5"/>
        <v>475</v>
      </c>
      <c r="F195" s="1">
        <f ca="1">_xlfn.FLOOR.MATH(E195/24)</f>
        <v>19</v>
      </c>
    </row>
    <row r="196" spans="1:6">
      <c r="A196" s="1">
        <v>191</v>
      </c>
      <c r="B196" s="1">
        <f>A196*控制台!$E$4959</f>
        <v>687600</v>
      </c>
      <c r="C196" s="1">
        <f ca="1">OFFSET(控制台!$C$4968,MATCH(A196,控制台!$B$4968:$B$4976,1)-1,0)</f>
        <v>4</v>
      </c>
      <c r="D196" s="4">
        <f ca="1" t="shared" si="4"/>
        <v>2700000</v>
      </c>
      <c r="E196" s="1">
        <f ca="1" t="shared" si="5"/>
        <v>479</v>
      </c>
      <c r="F196" s="1">
        <f ca="1">_xlfn.FLOOR.MATH(E196/24)</f>
        <v>19</v>
      </c>
    </row>
    <row r="197" spans="1:6">
      <c r="A197" s="1">
        <v>192</v>
      </c>
      <c r="B197" s="1">
        <f>A197*控制台!$E$4959</f>
        <v>691200</v>
      </c>
      <c r="C197" s="1">
        <f ca="1">OFFSET(控制台!$C$4968,MATCH(A197,控制台!$B$4968:$B$4976,1)-1,0)</f>
        <v>4</v>
      </c>
      <c r="D197" s="4">
        <f ca="1" t="shared" si="4"/>
        <v>2800000</v>
      </c>
      <c r="E197" s="1">
        <f ca="1" t="shared" si="5"/>
        <v>483</v>
      </c>
      <c r="F197" s="1">
        <f ca="1">_xlfn.FLOOR.MATH(E197/24)</f>
        <v>20</v>
      </c>
    </row>
    <row r="198" spans="1:6">
      <c r="A198" s="1">
        <v>193</v>
      </c>
      <c r="B198" s="1">
        <f>A198*控制台!$E$4959</f>
        <v>694800</v>
      </c>
      <c r="C198" s="1">
        <f ca="1">OFFSET(控制台!$C$4968,MATCH(A198,控制台!$B$4968:$B$4976,1)-1,0)</f>
        <v>4</v>
      </c>
      <c r="D198" s="4">
        <f ca="1" t="shared" si="4"/>
        <v>2800000</v>
      </c>
      <c r="E198" s="1">
        <f ca="1" t="shared" si="5"/>
        <v>487</v>
      </c>
      <c r="F198" s="1">
        <f ca="1">_xlfn.FLOOR.MATH(E198/24)</f>
        <v>20</v>
      </c>
    </row>
    <row r="199" spans="1:6">
      <c r="A199" s="1">
        <v>194</v>
      </c>
      <c r="B199" s="1">
        <f>A199*控制台!$E$4959</f>
        <v>698400</v>
      </c>
      <c r="C199" s="1">
        <f ca="1">OFFSET(控制台!$C$4968,MATCH(A199,控制台!$B$4968:$B$4976,1)-1,0)</f>
        <v>4</v>
      </c>
      <c r="D199" s="4">
        <f ca="1" t="shared" si="4"/>
        <v>2800000</v>
      </c>
      <c r="E199" s="1">
        <f ca="1" t="shared" si="5"/>
        <v>491</v>
      </c>
      <c r="F199" s="1">
        <f ca="1">_xlfn.FLOOR.MATH(E199/24)</f>
        <v>20</v>
      </c>
    </row>
    <row r="200" spans="1:6">
      <c r="A200" s="1">
        <v>195</v>
      </c>
      <c r="B200" s="1">
        <f>A200*控制台!$E$4959</f>
        <v>702000</v>
      </c>
      <c r="C200" s="1">
        <f ca="1">OFFSET(控制台!$C$4968,MATCH(A200,控制台!$B$4968:$B$4976,1)-1,0)</f>
        <v>4</v>
      </c>
      <c r="D200" s="4">
        <f ca="1" t="shared" ref="D200:D263" si="6">ROUND(C200*B199,1-INT(LOG10(C200*B199)))</f>
        <v>2800000</v>
      </c>
      <c r="E200" s="1">
        <f ca="1" t="shared" ref="E200:E263" si="7">E199+C200</f>
        <v>495</v>
      </c>
      <c r="F200" s="1">
        <f ca="1">_xlfn.FLOOR.MATH(E200/24)</f>
        <v>20</v>
      </c>
    </row>
    <row r="201" spans="1:6">
      <c r="A201" s="1">
        <v>196</v>
      </c>
      <c r="B201" s="1">
        <f>A201*控制台!$E$4959</f>
        <v>705600</v>
      </c>
      <c r="C201" s="1">
        <f ca="1">OFFSET(控制台!$C$4968,MATCH(A201,控制台!$B$4968:$B$4976,1)-1,0)</f>
        <v>4</v>
      </c>
      <c r="D201" s="4">
        <f ca="1" t="shared" si="6"/>
        <v>2800000</v>
      </c>
      <c r="E201" s="1">
        <f ca="1" t="shared" si="7"/>
        <v>499</v>
      </c>
      <c r="F201" s="1">
        <f ca="1">_xlfn.FLOOR.MATH(E201/24)</f>
        <v>20</v>
      </c>
    </row>
    <row r="202" spans="1:6">
      <c r="A202" s="1">
        <v>197</v>
      </c>
      <c r="B202" s="1">
        <f>A202*控制台!$E$4959</f>
        <v>709200</v>
      </c>
      <c r="C202" s="1">
        <f ca="1">OFFSET(控制台!$C$4968,MATCH(A202,控制台!$B$4968:$B$4976,1)-1,0)</f>
        <v>4</v>
      </c>
      <c r="D202" s="4">
        <f ca="1" t="shared" si="6"/>
        <v>2800000</v>
      </c>
      <c r="E202" s="1">
        <f ca="1" t="shared" si="7"/>
        <v>503</v>
      </c>
      <c r="F202" s="1">
        <f ca="1">_xlfn.FLOOR.MATH(E202/24)</f>
        <v>20</v>
      </c>
    </row>
    <row r="203" spans="1:6">
      <c r="A203" s="1">
        <v>198</v>
      </c>
      <c r="B203" s="1">
        <f>A203*控制台!$E$4959</f>
        <v>712800</v>
      </c>
      <c r="C203" s="1">
        <f ca="1">OFFSET(控制台!$C$4968,MATCH(A203,控制台!$B$4968:$B$4976,1)-1,0)</f>
        <v>4</v>
      </c>
      <c r="D203" s="4">
        <f ca="1" t="shared" si="6"/>
        <v>2800000</v>
      </c>
      <c r="E203" s="1">
        <f ca="1" t="shared" si="7"/>
        <v>507</v>
      </c>
      <c r="F203" s="1">
        <f ca="1">_xlfn.FLOOR.MATH(E203/24)</f>
        <v>21</v>
      </c>
    </row>
    <row r="204" spans="1:6">
      <c r="A204" s="1">
        <v>199</v>
      </c>
      <c r="B204" s="1">
        <f>A204*控制台!$E$4959</f>
        <v>716400</v>
      </c>
      <c r="C204" s="1">
        <f ca="1">OFFSET(控制台!$C$4968,MATCH(A204,控制台!$B$4968:$B$4976,1)-1,0)</f>
        <v>4</v>
      </c>
      <c r="D204" s="4">
        <f ca="1" t="shared" si="6"/>
        <v>2900000</v>
      </c>
      <c r="E204" s="1">
        <f ca="1" t="shared" si="7"/>
        <v>511</v>
      </c>
      <c r="F204" s="1">
        <f ca="1">_xlfn.FLOOR.MATH(E204/24)</f>
        <v>21</v>
      </c>
    </row>
    <row r="205" spans="1:6">
      <c r="A205" s="1">
        <v>200</v>
      </c>
      <c r="B205" s="1">
        <f>A205*控制台!$E$4959</f>
        <v>720000</v>
      </c>
      <c r="C205" s="1">
        <f ca="1">OFFSET(控制台!$C$4968,MATCH(A205,控制台!$B$4968:$B$4976,1)-1,0)</f>
        <v>4</v>
      </c>
      <c r="D205" s="4">
        <f ca="1" t="shared" si="6"/>
        <v>2900000</v>
      </c>
      <c r="E205" s="1">
        <f ca="1" t="shared" si="7"/>
        <v>515</v>
      </c>
      <c r="F205" s="1">
        <f ca="1">_xlfn.FLOOR.MATH(E205/24)</f>
        <v>21</v>
      </c>
    </row>
    <row r="206" spans="1:6">
      <c r="A206" s="1">
        <v>201</v>
      </c>
      <c r="B206" s="1">
        <f>A206*控制台!$E$4959</f>
        <v>723600</v>
      </c>
      <c r="C206" s="1">
        <f ca="1">OFFSET(控制台!$C$4968,MATCH(A206,控制台!$B$4968:$B$4976,1)-1,0)</f>
        <v>4</v>
      </c>
      <c r="D206" s="4">
        <f ca="1" t="shared" si="6"/>
        <v>2900000</v>
      </c>
      <c r="E206" s="1">
        <f ca="1" t="shared" si="7"/>
        <v>519</v>
      </c>
      <c r="F206" s="1">
        <f ca="1">_xlfn.FLOOR.MATH(E206/24)</f>
        <v>21</v>
      </c>
    </row>
    <row r="207" spans="1:6">
      <c r="A207" s="1">
        <v>202</v>
      </c>
      <c r="B207" s="1">
        <f>A207*控制台!$E$4959</f>
        <v>727200</v>
      </c>
      <c r="C207" s="1">
        <f ca="1">OFFSET(控制台!$C$4968,MATCH(A207,控制台!$B$4968:$B$4976,1)-1,0)</f>
        <v>4</v>
      </c>
      <c r="D207" s="4">
        <f ca="1" t="shared" si="6"/>
        <v>2900000</v>
      </c>
      <c r="E207" s="1">
        <f ca="1" t="shared" si="7"/>
        <v>523</v>
      </c>
      <c r="F207" s="1">
        <f ca="1">_xlfn.FLOOR.MATH(E207/24)</f>
        <v>21</v>
      </c>
    </row>
    <row r="208" spans="1:6">
      <c r="A208" s="1">
        <v>203</v>
      </c>
      <c r="B208" s="1">
        <f>A208*控制台!$E$4959</f>
        <v>730800</v>
      </c>
      <c r="C208" s="1">
        <f ca="1">OFFSET(控制台!$C$4968,MATCH(A208,控制台!$B$4968:$B$4976,1)-1,0)</f>
        <v>4</v>
      </c>
      <c r="D208" s="4">
        <f ca="1" t="shared" si="6"/>
        <v>2900000</v>
      </c>
      <c r="E208" s="1">
        <f ca="1" t="shared" si="7"/>
        <v>527</v>
      </c>
      <c r="F208" s="1">
        <f ca="1">_xlfn.FLOOR.MATH(E208/24)</f>
        <v>21</v>
      </c>
    </row>
    <row r="209" spans="1:6">
      <c r="A209" s="1">
        <v>204</v>
      </c>
      <c r="B209" s="1">
        <f>A209*控制台!$E$4959</f>
        <v>734400</v>
      </c>
      <c r="C209" s="1">
        <f ca="1">OFFSET(控制台!$C$4968,MATCH(A209,控制台!$B$4968:$B$4976,1)-1,0)</f>
        <v>4</v>
      </c>
      <c r="D209" s="4">
        <f ca="1" t="shared" si="6"/>
        <v>2900000</v>
      </c>
      <c r="E209" s="1">
        <f ca="1" t="shared" si="7"/>
        <v>531</v>
      </c>
      <c r="F209" s="1">
        <f ca="1">_xlfn.FLOOR.MATH(E209/24)</f>
        <v>22</v>
      </c>
    </row>
    <row r="210" spans="1:6">
      <c r="A210" s="1">
        <v>205</v>
      </c>
      <c r="B210" s="1">
        <f>A210*控制台!$E$4959</f>
        <v>738000</v>
      </c>
      <c r="C210" s="1">
        <f ca="1">OFFSET(控制台!$C$4968,MATCH(A210,控制台!$B$4968:$B$4976,1)-1,0)</f>
        <v>4</v>
      </c>
      <c r="D210" s="4">
        <f ca="1" t="shared" si="6"/>
        <v>2900000</v>
      </c>
      <c r="E210" s="1">
        <f ca="1" t="shared" si="7"/>
        <v>535</v>
      </c>
      <c r="F210" s="1">
        <f ca="1">_xlfn.FLOOR.MATH(E210/24)</f>
        <v>22</v>
      </c>
    </row>
    <row r="211" spans="1:6">
      <c r="A211" s="1">
        <v>206</v>
      </c>
      <c r="B211" s="1">
        <f>A211*控制台!$E$4959</f>
        <v>741600</v>
      </c>
      <c r="C211" s="1">
        <f ca="1">OFFSET(控制台!$C$4968,MATCH(A211,控制台!$B$4968:$B$4976,1)-1,0)</f>
        <v>4</v>
      </c>
      <c r="D211" s="4">
        <f ca="1" t="shared" si="6"/>
        <v>3000000</v>
      </c>
      <c r="E211" s="1">
        <f ca="1" t="shared" si="7"/>
        <v>539</v>
      </c>
      <c r="F211" s="1">
        <f ca="1">_xlfn.FLOOR.MATH(E211/24)</f>
        <v>22</v>
      </c>
    </row>
    <row r="212" spans="1:6">
      <c r="A212" s="1">
        <v>207</v>
      </c>
      <c r="B212" s="1">
        <f>A212*控制台!$E$4959</f>
        <v>745200</v>
      </c>
      <c r="C212" s="1">
        <f ca="1">OFFSET(控制台!$C$4968,MATCH(A212,控制台!$B$4968:$B$4976,1)-1,0)</f>
        <v>4</v>
      </c>
      <c r="D212" s="4">
        <f ca="1" t="shared" si="6"/>
        <v>3000000</v>
      </c>
      <c r="E212" s="1">
        <f ca="1" t="shared" si="7"/>
        <v>543</v>
      </c>
      <c r="F212" s="1">
        <f ca="1">_xlfn.FLOOR.MATH(E212/24)</f>
        <v>22</v>
      </c>
    </row>
    <row r="213" spans="1:6">
      <c r="A213" s="1">
        <v>208</v>
      </c>
      <c r="B213" s="1">
        <f>A213*控制台!$E$4959</f>
        <v>748800</v>
      </c>
      <c r="C213" s="1">
        <f ca="1">OFFSET(控制台!$C$4968,MATCH(A213,控制台!$B$4968:$B$4976,1)-1,0)</f>
        <v>4</v>
      </c>
      <c r="D213" s="4">
        <f ca="1" t="shared" si="6"/>
        <v>3000000</v>
      </c>
      <c r="E213" s="1">
        <f ca="1" t="shared" si="7"/>
        <v>547</v>
      </c>
      <c r="F213" s="1">
        <f ca="1">_xlfn.FLOOR.MATH(E213/24)</f>
        <v>22</v>
      </c>
    </row>
    <row r="214" spans="1:6">
      <c r="A214" s="1">
        <v>209</v>
      </c>
      <c r="B214" s="1">
        <f>A214*控制台!$E$4959</f>
        <v>752400</v>
      </c>
      <c r="C214" s="1">
        <f ca="1">OFFSET(控制台!$C$4968,MATCH(A214,控制台!$B$4968:$B$4976,1)-1,0)</f>
        <v>4</v>
      </c>
      <c r="D214" s="4">
        <f ca="1" t="shared" si="6"/>
        <v>3000000</v>
      </c>
      <c r="E214" s="1">
        <f ca="1" t="shared" si="7"/>
        <v>551</v>
      </c>
      <c r="F214" s="1">
        <f ca="1">_xlfn.FLOOR.MATH(E214/24)</f>
        <v>22</v>
      </c>
    </row>
    <row r="215" spans="1:6">
      <c r="A215" s="1">
        <v>210</v>
      </c>
      <c r="B215" s="1">
        <f>A215*控制台!$E$4959</f>
        <v>756000</v>
      </c>
      <c r="C215" s="1">
        <f ca="1">OFFSET(控制台!$C$4968,MATCH(A215,控制台!$B$4968:$B$4976,1)-1,0)</f>
        <v>4</v>
      </c>
      <c r="D215" s="4">
        <f ca="1" t="shared" si="6"/>
        <v>3000000</v>
      </c>
      <c r="E215" s="1">
        <f ca="1" t="shared" si="7"/>
        <v>555</v>
      </c>
      <c r="F215" s="1">
        <f ca="1">_xlfn.FLOOR.MATH(E215/24)</f>
        <v>23</v>
      </c>
    </row>
    <row r="216" spans="1:6">
      <c r="A216" s="1">
        <v>211</v>
      </c>
      <c r="B216" s="1">
        <f>A216*控制台!$E$4959</f>
        <v>759600</v>
      </c>
      <c r="C216" s="1">
        <f ca="1">OFFSET(控制台!$C$4968,MATCH(A216,控制台!$B$4968:$B$4976,1)-1,0)</f>
        <v>4</v>
      </c>
      <c r="D216" s="4">
        <f ca="1" t="shared" si="6"/>
        <v>3000000</v>
      </c>
      <c r="E216" s="1">
        <f ca="1" t="shared" si="7"/>
        <v>559</v>
      </c>
      <c r="F216" s="1">
        <f ca="1">_xlfn.FLOOR.MATH(E216/24)</f>
        <v>23</v>
      </c>
    </row>
    <row r="217" spans="1:6">
      <c r="A217" s="1">
        <v>212</v>
      </c>
      <c r="B217" s="1">
        <f>A217*控制台!$E$4959</f>
        <v>763200</v>
      </c>
      <c r="C217" s="1">
        <f ca="1">OFFSET(控制台!$C$4968,MATCH(A217,控制台!$B$4968:$B$4976,1)-1,0)</f>
        <v>4</v>
      </c>
      <c r="D217" s="4">
        <f ca="1" t="shared" si="6"/>
        <v>3000000</v>
      </c>
      <c r="E217" s="1">
        <f ca="1" t="shared" si="7"/>
        <v>563</v>
      </c>
      <c r="F217" s="1">
        <f ca="1">_xlfn.FLOOR.MATH(E217/24)</f>
        <v>23</v>
      </c>
    </row>
    <row r="218" spans="1:6">
      <c r="A218" s="1">
        <v>213</v>
      </c>
      <c r="B218" s="1">
        <f>A218*控制台!$E$4959</f>
        <v>766800</v>
      </c>
      <c r="C218" s="1">
        <f ca="1">OFFSET(控制台!$C$4968,MATCH(A218,控制台!$B$4968:$B$4976,1)-1,0)</f>
        <v>4</v>
      </c>
      <c r="D218" s="4">
        <f ca="1" t="shared" si="6"/>
        <v>3100000</v>
      </c>
      <c r="E218" s="1">
        <f ca="1" t="shared" si="7"/>
        <v>567</v>
      </c>
      <c r="F218" s="1">
        <f ca="1">_xlfn.FLOOR.MATH(E218/24)</f>
        <v>23</v>
      </c>
    </row>
    <row r="219" spans="1:6">
      <c r="A219" s="1">
        <v>214</v>
      </c>
      <c r="B219" s="1">
        <f>A219*控制台!$E$4959</f>
        <v>770400</v>
      </c>
      <c r="C219" s="1">
        <f ca="1">OFFSET(控制台!$C$4968,MATCH(A219,控制台!$B$4968:$B$4976,1)-1,0)</f>
        <v>4</v>
      </c>
      <c r="D219" s="4">
        <f ca="1" t="shared" si="6"/>
        <v>3100000</v>
      </c>
      <c r="E219" s="1">
        <f ca="1" t="shared" si="7"/>
        <v>571</v>
      </c>
      <c r="F219" s="1">
        <f ca="1">_xlfn.FLOOR.MATH(E219/24)</f>
        <v>23</v>
      </c>
    </row>
    <row r="220" spans="1:6">
      <c r="A220" s="1">
        <v>215</v>
      </c>
      <c r="B220" s="1">
        <f>A220*控制台!$E$4959</f>
        <v>774000</v>
      </c>
      <c r="C220" s="1">
        <f ca="1">OFFSET(控制台!$C$4968,MATCH(A220,控制台!$B$4968:$B$4976,1)-1,0)</f>
        <v>4</v>
      </c>
      <c r="D220" s="4">
        <f ca="1" t="shared" si="6"/>
        <v>3100000</v>
      </c>
      <c r="E220" s="1">
        <f ca="1" t="shared" si="7"/>
        <v>575</v>
      </c>
      <c r="F220" s="1">
        <f ca="1">_xlfn.FLOOR.MATH(E220/24)</f>
        <v>23</v>
      </c>
    </row>
    <row r="221" spans="1:6">
      <c r="A221" s="1">
        <v>216</v>
      </c>
      <c r="B221" s="1">
        <f>A221*控制台!$E$4959</f>
        <v>777600</v>
      </c>
      <c r="C221" s="1">
        <f ca="1">OFFSET(控制台!$C$4968,MATCH(A221,控制台!$B$4968:$B$4976,1)-1,0)</f>
        <v>4</v>
      </c>
      <c r="D221" s="4">
        <f ca="1" t="shared" si="6"/>
        <v>3100000</v>
      </c>
      <c r="E221" s="1">
        <f ca="1" t="shared" si="7"/>
        <v>579</v>
      </c>
      <c r="F221" s="1">
        <f ca="1">_xlfn.FLOOR.MATH(E221/24)</f>
        <v>24</v>
      </c>
    </row>
    <row r="222" spans="1:6">
      <c r="A222" s="1">
        <v>217</v>
      </c>
      <c r="B222" s="1">
        <f>A222*控制台!$E$4959</f>
        <v>781200</v>
      </c>
      <c r="C222" s="1">
        <f ca="1">OFFSET(控制台!$C$4968,MATCH(A222,控制台!$B$4968:$B$4976,1)-1,0)</f>
        <v>4</v>
      </c>
      <c r="D222" s="4">
        <f ca="1" t="shared" si="6"/>
        <v>3100000</v>
      </c>
      <c r="E222" s="1">
        <f ca="1" t="shared" si="7"/>
        <v>583</v>
      </c>
      <c r="F222" s="1">
        <f ca="1">_xlfn.FLOOR.MATH(E222/24)</f>
        <v>24</v>
      </c>
    </row>
    <row r="223" spans="1:6">
      <c r="A223" s="1">
        <v>218</v>
      </c>
      <c r="B223" s="1">
        <f>A223*控制台!$E$4959</f>
        <v>784800</v>
      </c>
      <c r="C223" s="1">
        <f ca="1">OFFSET(控制台!$C$4968,MATCH(A223,控制台!$B$4968:$B$4976,1)-1,0)</f>
        <v>4</v>
      </c>
      <c r="D223" s="4">
        <f ca="1" t="shared" si="6"/>
        <v>3100000</v>
      </c>
      <c r="E223" s="1">
        <f ca="1" t="shared" si="7"/>
        <v>587</v>
      </c>
      <c r="F223" s="1">
        <f ca="1">_xlfn.FLOOR.MATH(E223/24)</f>
        <v>24</v>
      </c>
    </row>
    <row r="224" spans="1:6">
      <c r="A224" s="1">
        <v>219</v>
      </c>
      <c r="B224" s="1">
        <f>A224*控制台!$E$4959</f>
        <v>788400</v>
      </c>
      <c r="C224" s="1">
        <f ca="1">OFFSET(控制台!$C$4968,MATCH(A224,控制台!$B$4968:$B$4976,1)-1,0)</f>
        <v>4</v>
      </c>
      <c r="D224" s="4">
        <f ca="1" t="shared" si="6"/>
        <v>3100000</v>
      </c>
      <c r="E224" s="1">
        <f ca="1" t="shared" si="7"/>
        <v>591</v>
      </c>
      <c r="F224" s="1">
        <f ca="1">_xlfn.FLOOR.MATH(E224/24)</f>
        <v>24</v>
      </c>
    </row>
    <row r="225" spans="1:6">
      <c r="A225" s="1">
        <v>220</v>
      </c>
      <c r="B225" s="1">
        <f>A225*控制台!$E$4959</f>
        <v>792000</v>
      </c>
      <c r="C225" s="1">
        <f ca="1">OFFSET(控制台!$C$4968,MATCH(A225,控制台!$B$4968:$B$4976,1)-1,0)</f>
        <v>4</v>
      </c>
      <c r="D225" s="4">
        <f ca="1" t="shared" si="6"/>
        <v>3200000</v>
      </c>
      <c r="E225" s="1">
        <f ca="1" t="shared" si="7"/>
        <v>595</v>
      </c>
      <c r="F225" s="1">
        <f ca="1">_xlfn.FLOOR.MATH(E225/24)</f>
        <v>24</v>
      </c>
    </row>
    <row r="226" spans="1:6">
      <c r="A226" s="1">
        <v>221</v>
      </c>
      <c r="B226" s="1">
        <f>A226*控制台!$E$4959</f>
        <v>795600</v>
      </c>
      <c r="C226" s="1">
        <f ca="1">OFFSET(控制台!$C$4968,MATCH(A226,控制台!$B$4968:$B$4976,1)-1,0)</f>
        <v>4</v>
      </c>
      <c r="D226" s="4">
        <f ca="1" t="shared" si="6"/>
        <v>3200000</v>
      </c>
      <c r="E226" s="1">
        <f ca="1" t="shared" si="7"/>
        <v>599</v>
      </c>
      <c r="F226" s="1">
        <f ca="1">_xlfn.FLOOR.MATH(E226/24)</f>
        <v>24</v>
      </c>
    </row>
    <row r="227" spans="1:6">
      <c r="A227" s="1">
        <v>222</v>
      </c>
      <c r="B227" s="1">
        <f>A227*控制台!$E$4959</f>
        <v>799200</v>
      </c>
      <c r="C227" s="1">
        <f ca="1">OFFSET(控制台!$C$4968,MATCH(A227,控制台!$B$4968:$B$4976,1)-1,0)</f>
        <v>4</v>
      </c>
      <c r="D227" s="4">
        <f ca="1" t="shared" si="6"/>
        <v>3200000</v>
      </c>
      <c r="E227" s="1">
        <f ca="1" t="shared" si="7"/>
        <v>603</v>
      </c>
      <c r="F227" s="1">
        <f ca="1">_xlfn.FLOOR.MATH(E227/24)</f>
        <v>25</v>
      </c>
    </row>
    <row r="228" spans="1:6">
      <c r="A228" s="1">
        <v>223</v>
      </c>
      <c r="B228" s="1">
        <f>A228*控制台!$E$4959</f>
        <v>802800</v>
      </c>
      <c r="C228" s="1">
        <f ca="1">OFFSET(控制台!$C$4968,MATCH(A228,控制台!$B$4968:$B$4976,1)-1,0)</f>
        <v>4</v>
      </c>
      <c r="D228" s="4">
        <f ca="1" t="shared" si="6"/>
        <v>3200000</v>
      </c>
      <c r="E228" s="1">
        <f ca="1" t="shared" si="7"/>
        <v>607</v>
      </c>
      <c r="F228" s="1">
        <f ca="1">_xlfn.FLOOR.MATH(E228/24)</f>
        <v>25</v>
      </c>
    </row>
    <row r="229" spans="1:6">
      <c r="A229" s="1">
        <v>224</v>
      </c>
      <c r="B229" s="1">
        <f>A229*控制台!$E$4959</f>
        <v>806400</v>
      </c>
      <c r="C229" s="1">
        <f ca="1">OFFSET(控制台!$C$4968,MATCH(A229,控制台!$B$4968:$B$4976,1)-1,0)</f>
        <v>4</v>
      </c>
      <c r="D229" s="4">
        <f ca="1" t="shared" si="6"/>
        <v>3200000</v>
      </c>
      <c r="E229" s="1">
        <f ca="1" t="shared" si="7"/>
        <v>611</v>
      </c>
      <c r="F229" s="1">
        <f ca="1">_xlfn.FLOOR.MATH(E229/24)</f>
        <v>25</v>
      </c>
    </row>
    <row r="230" spans="1:6">
      <c r="A230" s="1">
        <v>225</v>
      </c>
      <c r="B230" s="1">
        <f>A230*控制台!$E$4959</f>
        <v>810000</v>
      </c>
      <c r="C230" s="1">
        <f ca="1">OFFSET(控制台!$C$4968,MATCH(A230,控制台!$B$4968:$B$4976,1)-1,0)</f>
        <v>4</v>
      </c>
      <c r="D230" s="4">
        <f ca="1" t="shared" si="6"/>
        <v>3200000</v>
      </c>
      <c r="E230" s="1">
        <f ca="1" t="shared" si="7"/>
        <v>615</v>
      </c>
      <c r="F230" s="1">
        <f ca="1">_xlfn.FLOOR.MATH(E230/24)</f>
        <v>25</v>
      </c>
    </row>
    <row r="231" spans="1:6">
      <c r="A231" s="1">
        <v>226</v>
      </c>
      <c r="B231" s="1">
        <f>A231*控制台!$E$4959</f>
        <v>813600</v>
      </c>
      <c r="C231" s="1">
        <f ca="1">OFFSET(控制台!$C$4968,MATCH(A231,控制台!$B$4968:$B$4976,1)-1,0)</f>
        <v>4</v>
      </c>
      <c r="D231" s="4">
        <f ca="1" t="shared" si="6"/>
        <v>3200000</v>
      </c>
      <c r="E231" s="1">
        <f ca="1" t="shared" si="7"/>
        <v>619</v>
      </c>
      <c r="F231" s="1">
        <f ca="1">_xlfn.FLOOR.MATH(E231/24)</f>
        <v>25</v>
      </c>
    </row>
    <row r="232" spans="1:6">
      <c r="A232" s="1">
        <v>227</v>
      </c>
      <c r="B232" s="1">
        <f>A232*控制台!$E$4959</f>
        <v>817200</v>
      </c>
      <c r="C232" s="1">
        <f ca="1">OFFSET(控制台!$C$4968,MATCH(A232,控制台!$B$4968:$B$4976,1)-1,0)</f>
        <v>4</v>
      </c>
      <c r="D232" s="4">
        <f ca="1" t="shared" si="6"/>
        <v>3300000</v>
      </c>
      <c r="E232" s="1">
        <f ca="1" t="shared" si="7"/>
        <v>623</v>
      </c>
      <c r="F232" s="1">
        <f ca="1">_xlfn.FLOOR.MATH(E232/24)</f>
        <v>25</v>
      </c>
    </row>
    <row r="233" spans="1:6">
      <c r="A233" s="1">
        <v>228</v>
      </c>
      <c r="B233" s="1">
        <f>A233*控制台!$E$4959</f>
        <v>820800</v>
      </c>
      <c r="C233" s="1">
        <f ca="1">OFFSET(控制台!$C$4968,MATCH(A233,控制台!$B$4968:$B$4976,1)-1,0)</f>
        <v>4</v>
      </c>
      <c r="D233" s="4">
        <f ca="1" t="shared" si="6"/>
        <v>3300000</v>
      </c>
      <c r="E233" s="1">
        <f ca="1" t="shared" si="7"/>
        <v>627</v>
      </c>
      <c r="F233" s="1">
        <f ca="1">_xlfn.FLOOR.MATH(E233/24)</f>
        <v>26</v>
      </c>
    </row>
    <row r="234" spans="1:6">
      <c r="A234" s="1">
        <v>229</v>
      </c>
      <c r="B234" s="1">
        <f>A234*控制台!$E$4959</f>
        <v>824400</v>
      </c>
      <c r="C234" s="1">
        <f ca="1">OFFSET(控制台!$C$4968,MATCH(A234,控制台!$B$4968:$B$4976,1)-1,0)</f>
        <v>4</v>
      </c>
      <c r="D234" s="4">
        <f ca="1" t="shared" si="6"/>
        <v>3300000</v>
      </c>
      <c r="E234" s="1">
        <f ca="1" t="shared" si="7"/>
        <v>631</v>
      </c>
      <c r="F234" s="1">
        <f ca="1">_xlfn.FLOOR.MATH(E234/24)</f>
        <v>26</v>
      </c>
    </row>
    <row r="235" spans="1:6">
      <c r="A235" s="1">
        <v>230</v>
      </c>
      <c r="B235" s="1">
        <f>A235*控制台!$E$4959</f>
        <v>828000</v>
      </c>
      <c r="C235" s="1">
        <f ca="1">OFFSET(控制台!$C$4968,MATCH(A235,控制台!$B$4968:$B$4976,1)-1,0)</f>
        <v>4</v>
      </c>
      <c r="D235" s="4">
        <f ca="1" t="shared" si="6"/>
        <v>3300000</v>
      </c>
      <c r="E235" s="1">
        <f ca="1" t="shared" si="7"/>
        <v>635</v>
      </c>
      <c r="F235" s="1">
        <f ca="1">_xlfn.FLOOR.MATH(E235/24)</f>
        <v>26</v>
      </c>
    </row>
    <row r="236" spans="1:6">
      <c r="A236" s="1">
        <v>231</v>
      </c>
      <c r="B236" s="1">
        <f>A236*控制台!$E$4959</f>
        <v>831600</v>
      </c>
      <c r="C236" s="1">
        <f ca="1">OFFSET(控制台!$C$4968,MATCH(A236,控制台!$B$4968:$B$4976,1)-1,0)</f>
        <v>4</v>
      </c>
      <c r="D236" s="4">
        <f ca="1" t="shared" si="6"/>
        <v>3300000</v>
      </c>
      <c r="E236" s="1">
        <f ca="1" t="shared" si="7"/>
        <v>639</v>
      </c>
      <c r="F236" s="1">
        <f ca="1">_xlfn.FLOOR.MATH(E236/24)</f>
        <v>26</v>
      </c>
    </row>
    <row r="237" spans="1:6">
      <c r="A237" s="1">
        <v>232</v>
      </c>
      <c r="B237" s="1">
        <f>A237*控制台!$E$4959</f>
        <v>835200</v>
      </c>
      <c r="C237" s="1">
        <f ca="1">OFFSET(控制台!$C$4968,MATCH(A237,控制台!$B$4968:$B$4976,1)-1,0)</f>
        <v>4</v>
      </c>
      <c r="D237" s="4">
        <f ca="1" t="shared" si="6"/>
        <v>3300000</v>
      </c>
      <c r="E237" s="1">
        <f ca="1" t="shared" si="7"/>
        <v>643</v>
      </c>
      <c r="F237" s="1">
        <f ca="1">_xlfn.FLOOR.MATH(E237/24)</f>
        <v>26</v>
      </c>
    </row>
    <row r="238" spans="1:6">
      <c r="A238" s="1">
        <v>233</v>
      </c>
      <c r="B238" s="1">
        <f>A238*控制台!$E$4959</f>
        <v>838800</v>
      </c>
      <c r="C238" s="1">
        <f ca="1">OFFSET(控制台!$C$4968,MATCH(A238,控制台!$B$4968:$B$4976,1)-1,0)</f>
        <v>4</v>
      </c>
      <c r="D238" s="4">
        <f ca="1" t="shared" si="6"/>
        <v>3300000</v>
      </c>
      <c r="E238" s="1">
        <f ca="1" t="shared" si="7"/>
        <v>647</v>
      </c>
      <c r="F238" s="1">
        <f ca="1">_xlfn.FLOOR.MATH(E238/24)</f>
        <v>26</v>
      </c>
    </row>
    <row r="239" spans="1:6">
      <c r="A239" s="1">
        <v>234</v>
      </c>
      <c r="B239" s="1">
        <f>A239*控制台!$E$4959</f>
        <v>842400</v>
      </c>
      <c r="C239" s="1">
        <f ca="1">OFFSET(控制台!$C$4968,MATCH(A239,控制台!$B$4968:$B$4976,1)-1,0)</f>
        <v>4</v>
      </c>
      <c r="D239" s="4">
        <f ca="1" t="shared" si="6"/>
        <v>3400000</v>
      </c>
      <c r="E239" s="1">
        <f ca="1" t="shared" si="7"/>
        <v>651</v>
      </c>
      <c r="F239" s="1">
        <f ca="1">_xlfn.FLOOR.MATH(E239/24)</f>
        <v>27</v>
      </c>
    </row>
    <row r="240" spans="1:6">
      <c r="A240" s="1">
        <v>235</v>
      </c>
      <c r="B240" s="1">
        <f>A240*控制台!$E$4959</f>
        <v>846000</v>
      </c>
      <c r="C240" s="1">
        <f ca="1">OFFSET(控制台!$C$4968,MATCH(A240,控制台!$B$4968:$B$4976,1)-1,0)</f>
        <v>4</v>
      </c>
      <c r="D240" s="4">
        <f ca="1" t="shared" si="6"/>
        <v>3400000</v>
      </c>
      <c r="E240" s="1">
        <f ca="1" t="shared" si="7"/>
        <v>655</v>
      </c>
      <c r="F240" s="1">
        <f ca="1">_xlfn.FLOOR.MATH(E240/24)</f>
        <v>27</v>
      </c>
    </row>
    <row r="241" spans="1:6">
      <c r="A241" s="1">
        <v>236</v>
      </c>
      <c r="B241" s="1">
        <f>A241*控制台!$E$4959</f>
        <v>849600</v>
      </c>
      <c r="C241" s="1">
        <f ca="1">OFFSET(控制台!$C$4968,MATCH(A241,控制台!$B$4968:$B$4976,1)-1,0)</f>
        <v>4</v>
      </c>
      <c r="D241" s="4">
        <f ca="1" t="shared" si="6"/>
        <v>3400000</v>
      </c>
      <c r="E241" s="1">
        <f ca="1" t="shared" si="7"/>
        <v>659</v>
      </c>
      <c r="F241" s="1">
        <f ca="1">_xlfn.FLOOR.MATH(E241/24)</f>
        <v>27</v>
      </c>
    </row>
    <row r="242" spans="1:6">
      <c r="A242" s="1">
        <v>237</v>
      </c>
      <c r="B242" s="1">
        <f>A242*控制台!$E$4959</f>
        <v>853200</v>
      </c>
      <c r="C242" s="1">
        <f ca="1">OFFSET(控制台!$C$4968,MATCH(A242,控制台!$B$4968:$B$4976,1)-1,0)</f>
        <v>4</v>
      </c>
      <c r="D242" s="4">
        <f ca="1" t="shared" si="6"/>
        <v>3400000</v>
      </c>
      <c r="E242" s="1">
        <f ca="1" t="shared" si="7"/>
        <v>663</v>
      </c>
      <c r="F242" s="1">
        <f ca="1">_xlfn.FLOOR.MATH(E242/24)</f>
        <v>27</v>
      </c>
    </row>
    <row r="243" spans="1:6">
      <c r="A243" s="1">
        <v>238</v>
      </c>
      <c r="B243" s="1">
        <f>A243*控制台!$E$4959</f>
        <v>856800</v>
      </c>
      <c r="C243" s="1">
        <f ca="1">OFFSET(控制台!$C$4968,MATCH(A243,控制台!$B$4968:$B$4976,1)-1,0)</f>
        <v>4</v>
      </c>
      <c r="D243" s="4">
        <f ca="1" t="shared" si="6"/>
        <v>3400000</v>
      </c>
      <c r="E243" s="1">
        <f ca="1" t="shared" si="7"/>
        <v>667</v>
      </c>
      <c r="F243" s="1">
        <f ca="1">_xlfn.FLOOR.MATH(E243/24)</f>
        <v>27</v>
      </c>
    </row>
    <row r="244" spans="1:6">
      <c r="A244" s="1">
        <v>239</v>
      </c>
      <c r="B244" s="1">
        <f>A244*控制台!$E$4959</f>
        <v>860400</v>
      </c>
      <c r="C244" s="1">
        <f ca="1">OFFSET(控制台!$C$4968,MATCH(A244,控制台!$B$4968:$B$4976,1)-1,0)</f>
        <v>4</v>
      </c>
      <c r="D244" s="4">
        <f ca="1" t="shared" si="6"/>
        <v>3400000</v>
      </c>
      <c r="E244" s="1">
        <f ca="1" t="shared" si="7"/>
        <v>671</v>
      </c>
      <c r="F244" s="1">
        <f ca="1">_xlfn.FLOOR.MATH(E244/24)</f>
        <v>27</v>
      </c>
    </row>
    <row r="245" spans="1:6">
      <c r="A245" s="1">
        <v>240</v>
      </c>
      <c r="B245" s="1">
        <f>A245*控制台!$E$4959</f>
        <v>864000</v>
      </c>
      <c r="C245" s="1">
        <f ca="1">OFFSET(控制台!$C$4968,MATCH(A245,控制台!$B$4968:$B$4976,1)-1,0)</f>
        <v>4</v>
      </c>
      <c r="D245" s="4">
        <f ca="1" t="shared" si="6"/>
        <v>3400000</v>
      </c>
      <c r="E245" s="1">
        <f ca="1" t="shared" si="7"/>
        <v>675</v>
      </c>
      <c r="F245" s="1">
        <f ca="1">_xlfn.FLOOR.MATH(E245/24)</f>
        <v>28</v>
      </c>
    </row>
    <row r="246" spans="1:6">
      <c r="A246" s="1">
        <v>241</v>
      </c>
      <c r="B246" s="1">
        <f>A246*控制台!$E$4959</f>
        <v>867600</v>
      </c>
      <c r="C246" s="1">
        <f ca="1">OFFSET(控制台!$C$4968,MATCH(A246,控制台!$B$4968:$B$4976,1)-1,0)</f>
        <v>4</v>
      </c>
      <c r="D246" s="4">
        <f ca="1" t="shared" si="6"/>
        <v>3500000</v>
      </c>
      <c r="E246" s="1">
        <f ca="1" t="shared" si="7"/>
        <v>679</v>
      </c>
      <c r="F246" s="1">
        <f ca="1">_xlfn.FLOOR.MATH(E246/24)</f>
        <v>28</v>
      </c>
    </row>
    <row r="247" spans="1:6">
      <c r="A247" s="1">
        <v>242</v>
      </c>
      <c r="B247" s="1">
        <f>A247*控制台!$E$4959</f>
        <v>871200</v>
      </c>
      <c r="C247" s="1">
        <f ca="1">OFFSET(控制台!$C$4968,MATCH(A247,控制台!$B$4968:$B$4976,1)-1,0)</f>
        <v>4</v>
      </c>
      <c r="D247" s="4">
        <f ca="1" t="shared" si="6"/>
        <v>3500000</v>
      </c>
      <c r="E247" s="1">
        <f ca="1" t="shared" si="7"/>
        <v>683</v>
      </c>
      <c r="F247" s="1">
        <f ca="1">_xlfn.FLOOR.MATH(E247/24)</f>
        <v>28</v>
      </c>
    </row>
    <row r="248" spans="1:6">
      <c r="A248" s="1">
        <v>243</v>
      </c>
      <c r="B248" s="1">
        <f>A248*控制台!$E$4959</f>
        <v>874800</v>
      </c>
      <c r="C248" s="1">
        <f ca="1">OFFSET(控制台!$C$4968,MATCH(A248,控制台!$B$4968:$B$4976,1)-1,0)</f>
        <v>4</v>
      </c>
      <c r="D248" s="4">
        <f ca="1" t="shared" si="6"/>
        <v>3500000</v>
      </c>
      <c r="E248" s="1">
        <f ca="1" t="shared" si="7"/>
        <v>687</v>
      </c>
      <c r="F248" s="1">
        <f ca="1">_xlfn.FLOOR.MATH(E248/24)</f>
        <v>28</v>
      </c>
    </row>
    <row r="249" spans="1:6">
      <c r="A249" s="1">
        <v>244</v>
      </c>
      <c r="B249" s="1">
        <f>A249*控制台!$E$4959</f>
        <v>878400</v>
      </c>
      <c r="C249" s="1">
        <f ca="1">OFFSET(控制台!$C$4968,MATCH(A249,控制台!$B$4968:$B$4976,1)-1,0)</f>
        <v>4</v>
      </c>
      <c r="D249" s="4">
        <f ca="1" t="shared" si="6"/>
        <v>3500000</v>
      </c>
      <c r="E249" s="1">
        <f ca="1" t="shared" si="7"/>
        <v>691</v>
      </c>
      <c r="F249" s="1">
        <f ca="1">_xlfn.FLOOR.MATH(E249/24)</f>
        <v>28</v>
      </c>
    </row>
    <row r="250" spans="1:6">
      <c r="A250" s="1">
        <v>245</v>
      </c>
      <c r="B250" s="1">
        <f>A250*控制台!$E$4959</f>
        <v>882000</v>
      </c>
      <c r="C250" s="1">
        <f ca="1">OFFSET(控制台!$C$4968,MATCH(A250,控制台!$B$4968:$B$4976,1)-1,0)</f>
        <v>4</v>
      </c>
      <c r="D250" s="4">
        <f ca="1" t="shared" si="6"/>
        <v>3500000</v>
      </c>
      <c r="E250" s="1">
        <f ca="1" t="shared" si="7"/>
        <v>695</v>
      </c>
      <c r="F250" s="1">
        <f ca="1">_xlfn.FLOOR.MATH(E250/24)</f>
        <v>28</v>
      </c>
    </row>
    <row r="251" spans="1:6">
      <c r="A251" s="1">
        <v>246</v>
      </c>
      <c r="B251" s="1">
        <f>A251*控制台!$E$4959</f>
        <v>885600</v>
      </c>
      <c r="C251" s="1">
        <f ca="1">OFFSET(控制台!$C$4968,MATCH(A251,控制台!$B$4968:$B$4976,1)-1,0)</f>
        <v>4</v>
      </c>
      <c r="D251" s="4">
        <f ca="1" t="shared" si="6"/>
        <v>3500000</v>
      </c>
      <c r="E251" s="1">
        <f ca="1" t="shared" si="7"/>
        <v>699</v>
      </c>
      <c r="F251" s="1">
        <f ca="1">_xlfn.FLOOR.MATH(E251/24)</f>
        <v>29</v>
      </c>
    </row>
    <row r="252" spans="1:6">
      <c r="A252" s="1">
        <v>247</v>
      </c>
      <c r="B252" s="1">
        <f>A252*控制台!$E$4959</f>
        <v>889200</v>
      </c>
      <c r="C252" s="1">
        <f ca="1">OFFSET(控制台!$C$4968,MATCH(A252,控制台!$B$4968:$B$4976,1)-1,0)</f>
        <v>4</v>
      </c>
      <c r="D252" s="4">
        <f ca="1" t="shared" si="6"/>
        <v>3500000</v>
      </c>
      <c r="E252" s="1">
        <f ca="1" t="shared" si="7"/>
        <v>703</v>
      </c>
      <c r="F252" s="1">
        <f ca="1">_xlfn.FLOOR.MATH(E252/24)</f>
        <v>29</v>
      </c>
    </row>
    <row r="253" spans="1:6">
      <c r="A253" s="1">
        <v>248</v>
      </c>
      <c r="B253" s="1">
        <f>A253*控制台!$E$4959</f>
        <v>892800</v>
      </c>
      <c r="C253" s="1">
        <f ca="1">OFFSET(控制台!$C$4968,MATCH(A253,控制台!$B$4968:$B$4976,1)-1,0)</f>
        <v>4</v>
      </c>
      <c r="D253" s="4">
        <f ca="1" t="shared" si="6"/>
        <v>3600000</v>
      </c>
      <c r="E253" s="1">
        <f ca="1" t="shared" si="7"/>
        <v>707</v>
      </c>
      <c r="F253" s="1">
        <f ca="1">_xlfn.FLOOR.MATH(E253/24)</f>
        <v>29</v>
      </c>
    </row>
    <row r="254" spans="1:6">
      <c r="A254" s="1">
        <v>249</v>
      </c>
      <c r="B254" s="1">
        <f>A254*控制台!$E$4959</f>
        <v>896400</v>
      </c>
      <c r="C254" s="1">
        <f ca="1">OFFSET(控制台!$C$4968,MATCH(A254,控制台!$B$4968:$B$4976,1)-1,0)</f>
        <v>4</v>
      </c>
      <c r="D254" s="4">
        <f ca="1" t="shared" si="6"/>
        <v>3600000</v>
      </c>
      <c r="E254" s="1">
        <f ca="1" t="shared" si="7"/>
        <v>711</v>
      </c>
      <c r="F254" s="1">
        <f ca="1">_xlfn.FLOOR.MATH(E254/24)</f>
        <v>29</v>
      </c>
    </row>
    <row r="255" spans="1:6">
      <c r="A255" s="1">
        <v>250</v>
      </c>
      <c r="B255" s="1">
        <f>A255*控制台!$E$4959</f>
        <v>900000</v>
      </c>
      <c r="C255" s="1">
        <f ca="1">OFFSET(控制台!$C$4968,MATCH(A255,控制台!$B$4968:$B$4976,1)-1,0)</f>
        <v>4</v>
      </c>
      <c r="D255" s="4">
        <f ca="1" t="shared" si="6"/>
        <v>3600000</v>
      </c>
      <c r="E255" s="1">
        <f ca="1" t="shared" si="7"/>
        <v>715</v>
      </c>
      <c r="F255" s="1">
        <f ca="1">_xlfn.FLOOR.MATH(E255/24)</f>
        <v>29</v>
      </c>
    </row>
    <row r="256" spans="1:6">
      <c r="A256" s="1">
        <v>251</v>
      </c>
      <c r="B256" s="1">
        <f>A256*控制台!$E$4959</f>
        <v>903600</v>
      </c>
      <c r="C256" s="1">
        <f ca="1">OFFSET(控制台!$C$4968,MATCH(A256,控制台!$B$4968:$B$4976,1)-1,0)</f>
        <v>4</v>
      </c>
      <c r="D256" s="4">
        <f ca="1" t="shared" si="6"/>
        <v>3600000</v>
      </c>
      <c r="E256" s="1">
        <f ca="1" t="shared" si="7"/>
        <v>719</v>
      </c>
      <c r="F256" s="1">
        <f ca="1">_xlfn.FLOOR.MATH(E256/24)</f>
        <v>29</v>
      </c>
    </row>
    <row r="257" spans="1:6">
      <c r="A257" s="1">
        <v>252</v>
      </c>
      <c r="B257" s="1">
        <f>A257*控制台!$E$4959</f>
        <v>907200</v>
      </c>
      <c r="C257" s="1">
        <f ca="1">OFFSET(控制台!$C$4968,MATCH(A257,控制台!$B$4968:$B$4976,1)-1,0)</f>
        <v>4</v>
      </c>
      <c r="D257" s="4">
        <f ca="1" t="shared" si="6"/>
        <v>3600000</v>
      </c>
      <c r="E257" s="1">
        <f ca="1" t="shared" si="7"/>
        <v>723</v>
      </c>
      <c r="F257" s="1">
        <f ca="1">_xlfn.FLOOR.MATH(E257/24)</f>
        <v>30</v>
      </c>
    </row>
    <row r="258" spans="1:6">
      <c r="A258" s="1">
        <v>253</v>
      </c>
      <c r="B258" s="1">
        <f>A258*控制台!$E$4959</f>
        <v>910800</v>
      </c>
      <c r="C258" s="1">
        <f ca="1">OFFSET(控制台!$C$4968,MATCH(A258,控制台!$B$4968:$B$4976,1)-1,0)</f>
        <v>4</v>
      </c>
      <c r="D258" s="4">
        <f ca="1" t="shared" si="6"/>
        <v>3600000</v>
      </c>
      <c r="E258" s="1">
        <f ca="1" t="shared" si="7"/>
        <v>727</v>
      </c>
      <c r="F258" s="1">
        <f ca="1">_xlfn.FLOOR.MATH(E258/24)</f>
        <v>30</v>
      </c>
    </row>
    <row r="259" spans="1:6">
      <c r="A259" s="1">
        <v>254</v>
      </c>
      <c r="B259" s="1">
        <f>A259*控制台!$E$4959</f>
        <v>914400</v>
      </c>
      <c r="C259" s="1">
        <f ca="1">OFFSET(控制台!$C$4968,MATCH(A259,控制台!$B$4968:$B$4976,1)-1,0)</f>
        <v>4</v>
      </c>
      <c r="D259" s="4">
        <f ca="1" t="shared" si="6"/>
        <v>3600000</v>
      </c>
      <c r="E259" s="1">
        <f ca="1" t="shared" si="7"/>
        <v>731</v>
      </c>
      <c r="F259" s="1">
        <f ca="1">_xlfn.FLOOR.MATH(E259/24)</f>
        <v>30</v>
      </c>
    </row>
    <row r="260" spans="1:6">
      <c r="A260" s="1">
        <v>255</v>
      </c>
      <c r="B260" s="1">
        <f>A260*控制台!$E$4959</f>
        <v>918000</v>
      </c>
      <c r="C260" s="1">
        <f ca="1">OFFSET(控制台!$C$4968,MATCH(A260,控制台!$B$4968:$B$4976,1)-1,0)</f>
        <v>4</v>
      </c>
      <c r="D260" s="4">
        <f ca="1" t="shared" si="6"/>
        <v>3700000</v>
      </c>
      <c r="E260" s="1">
        <f ca="1" t="shared" si="7"/>
        <v>735</v>
      </c>
      <c r="F260" s="1">
        <f ca="1">_xlfn.FLOOR.MATH(E260/24)</f>
        <v>30</v>
      </c>
    </row>
    <row r="261" spans="1:6">
      <c r="A261" s="1">
        <v>256</v>
      </c>
      <c r="B261" s="1">
        <f>A261*控制台!$E$4959</f>
        <v>921600</v>
      </c>
      <c r="C261" s="1">
        <f ca="1">OFFSET(控制台!$C$4968,MATCH(A261,控制台!$B$4968:$B$4976,1)-1,0)</f>
        <v>4</v>
      </c>
      <c r="D261" s="4">
        <f ca="1" t="shared" si="6"/>
        <v>3700000</v>
      </c>
      <c r="E261" s="1">
        <f ca="1" t="shared" si="7"/>
        <v>739</v>
      </c>
      <c r="F261" s="1">
        <f ca="1">_xlfn.FLOOR.MATH(E261/24)</f>
        <v>30</v>
      </c>
    </row>
    <row r="262" spans="1:6">
      <c r="A262" s="1">
        <v>257</v>
      </c>
      <c r="B262" s="1">
        <f>A262*控制台!$E$4959</f>
        <v>925200</v>
      </c>
      <c r="C262" s="1">
        <f ca="1">OFFSET(控制台!$C$4968,MATCH(A262,控制台!$B$4968:$B$4976,1)-1,0)</f>
        <v>4</v>
      </c>
      <c r="D262" s="4">
        <f ca="1" t="shared" si="6"/>
        <v>3700000</v>
      </c>
      <c r="E262" s="1">
        <f ca="1" t="shared" si="7"/>
        <v>743</v>
      </c>
      <c r="F262" s="1">
        <f ca="1">_xlfn.FLOOR.MATH(E262/24)</f>
        <v>30</v>
      </c>
    </row>
    <row r="263" spans="1:6">
      <c r="A263" s="1">
        <v>258</v>
      </c>
      <c r="B263" s="1">
        <f>A263*控制台!$E$4959</f>
        <v>928800</v>
      </c>
      <c r="C263" s="1">
        <f ca="1">OFFSET(控制台!$C$4968,MATCH(A263,控制台!$B$4968:$B$4976,1)-1,0)</f>
        <v>4</v>
      </c>
      <c r="D263" s="4">
        <f ca="1" t="shared" si="6"/>
        <v>3700000</v>
      </c>
      <c r="E263" s="1">
        <f ca="1" t="shared" si="7"/>
        <v>747</v>
      </c>
      <c r="F263" s="1">
        <f ca="1">_xlfn.FLOOR.MATH(E263/24)</f>
        <v>31</v>
      </c>
    </row>
    <row r="264" spans="1:6">
      <c r="A264" s="1">
        <v>259</v>
      </c>
      <c r="B264" s="1">
        <f>A264*控制台!$E$4959</f>
        <v>932400</v>
      </c>
      <c r="C264" s="1">
        <f ca="1">OFFSET(控制台!$C$4968,MATCH(A264,控制台!$B$4968:$B$4976,1)-1,0)</f>
        <v>4</v>
      </c>
      <c r="D264" s="4">
        <f ca="1" t="shared" ref="D264:D306" si="8">ROUND(C264*B263,1-INT(LOG10(C264*B263)))</f>
        <v>3700000</v>
      </c>
      <c r="E264" s="1">
        <f ca="1" t="shared" ref="E264:E327" si="9">E263+C264</f>
        <v>751</v>
      </c>
      <c r="F264" s="1">
        <f ca="1">_xlfn.FLOOR.MATH(E264/24)</f>
        <v>31</v>
      </c>
    </row>
    <row r="265" spans="1:6">
      <c r="A265" s="1">
        <v>260</v>
      </c>
      <c r="B265" s="1">
        <f>A265*控制台!$E$4959</f>
        <v>936000</v>
      </c>
      <c r="C265" s="1">
        <f ca="1">OFFSET(控制台!$C$4968,MATCH(A265,控制台!$B$4968:$B$4976,1)-1,0)</f>
        <v>4</v>
      </c>
      <c r="D265" s="4">
        <f ca="1" t="shared" si="8"/>
        <v>3700000</v>
      </c>
      <c r="E265" s="1">
        <f ca="1" t="shared" si="9"/>
        <v>755</v>
      </c>
      <c r="F265" s="1">
        <f ca="1">_xlfn.FLOOR.MATH(E265/24)</f>
        <v>31</v>
      </c>
    </row>
    <row r="266" spans="1:6">
      <c r="A266" s="1">
        <v>261</v>
      </c>
      <c r="B266" s="1">
        <f>A266*控制台!$E$4959</f>
        <v>939600</v>
      </c>
      <c r="C266" s="1">
        <f ca="1">OFFSET(控制台!$C$4968,MATCH(A266,控制台!$B$4968:$B$4976,1)-1,0)</f>
        <v>4</v>
      </c>
      <c r="D266" s="4">
        <f ca="1" t="shared" si="8"/>
        <v>3700000</v>
      </c>
      <c r="E266" s="1">
        <f ca="1" t="shared" si="9"/>
        <v>759</v>
      </c>
      <c r="F266" s="1">
        <f ca="1">_xlfn.FLOOR.MATH(E266/24)</f>
        <v>31</v>
      </c>
    </row>
    <row r="267" spans="1:6">
      <c r="A267" s="1">
        <v>262</v>
      </c>
      <c r="B267" s="1">
        <f>A267*控制台!$E$4959</f>
        <v>943200</v>
      </c>
      <c r="C267" s="1">
        <f ca="1">OFFSET(控制台!$C$4968,MATCH(A267,控制台!$B$4968:$B$4976,1)-1,0)</f>
        <v>4</v>
      </c>
      <c r="D267" s="4">
        <f ca="1" t="shared" si="8"/>
        <v>3800000</v>
      </c>
      <c r="E267" s="1">
        <f ca="1" t="shared" si="9"/>
        <v>763</v>
      </c>
      <c r="F267" s="1">
        <f ca="1">_xlfn.FLOOR.MATH(E267/24)</f>
        <v>31</v>
      </c>
    </row>
    <row r="268" spans="1:6">
      <c r="A268" s="1">
        <v>263</v>
      </c>
      <c r="B268" s="1">
        <f>A268*控制台!$E$4959</f>
        <v>946800</v>
      </c>
      <c r="C268" s="1">
        <f ca="1">OFFSET(控制台!$C$4968,MATCH(A268,控制台!$B$4968:$B$4976,1)-1,0)</f>
        <v>4</v>
      </c>
      <c r="D268" s="4">
        <f ca="1" t="shared" si="8"/>
        <v>3800000</v>
      </c>
      <c r="E268" s="1">
        <f ca="1" t="shared" si="9"/>
        <v>767</v>
      </c>
      <c r="F268" s="1">
        <f ca="1">_xlfn.FLOOR.MATH(E268/24)</f>
        <v>31</v>
      </c>
    </row>
    <row r="269" spans="1:6">
      <c r="A269" s="1">
        <v>264</v>
      </c>
      <c r="B269" s="1">
        <f>A269*控制台!$E$4959</f>
        <v>950400</v>
      </c>
      <c r="C269" s="1">
        <f ca="1">OFFSET(控制台!$C$4968,MATCH(A269,控制台!$B$4968:$B$4976,1)-1,0)</f>
        <v>4</v>
      </c>
      <c r="D269" s="4">
        <f ca="1" t="shared" si="8"/>
        <v>3800000</v>
      </c>
      <c r="E269" s="1">
        <f ca="1" t="shared" si="9"/>
        <v>771</v>
      </c>
      <c r="F269" s="1">
        <f ca="1">_xlfn.FLOOR.MATH(E269/24)</f>
        <v>32</v>
      </c>
    </row>
    <row r="270" spans="1:6">
      <c r="A270" s="1">
        <v>265</v>
      </c>
      <c r="B270" s="1">
        <f>A270*控制台!$E$4959</f>
        <v>954000</v>
      </c>
      <c r="C270" s="1">
        <f ca="1">OFFSET(控制台!$C$4968,MATCH(A270,控制台!$B$4968:$B$4976,1)-1,0)</f>
        <v>4</v>
      </c>
      <c r="D270" s="4">
        <f ca="1" t="shared" si="8"/>
        <v>3800000</v>
      </c>
      <c r="E270" s="1">
        <f ca="1" t="shared" si="9"/>
        <v>775</v>
      </c>
      <c r="F270" s="1">
        <f ca="1">_xlfn.FLOOR.MATH(E270/24)</f>
        <v>32</v>
      </c>
    </row>
    <row r="271" spans="1:6">
      <c r="A271" s="1">
        <v>266</v>
      </c>
      <c r="B271" s="1">
        <f>A271*控制台!$E$4959</f>
        <v>957600</v>
      </c>
      <c r="C271" s="1">
        <f ca="1">OFFSET(控制台!$C$4968,MATCH(A271,控制台!$B$4968:$B$4976,1)-1,0)</f>
        <v>4</v>
      </c>
      <c r="D271" s="4">
        <f ca="1" t="shared" si="8"/>
        <v>3800000</v>
      </c>
      <c r="E271" s="1">
        <f ca="1" t="shared" si="9"/>
        <v>779</v>
      </c>
      <c r="F271" s="1">
        <f ca="1">_xlfn.FLOOR.MATH(E271/24)</f>
        <v>32</v>
      </c>
    </row>
    <row r="272" spans="1:6">
      <c r="A272" s="1">
        <v>267</v>
      </c>
      <c r="B272" s="1">
        <f>A272*控制台!$E$4959</f>
        <v>961200</v>
      </c>
      <c r="C272" s="1">
        <f ca="1">OFFSET(控制台!$C$4968,MATCH(A272,控制台!$B$4968:$B$4976,1)-1,0)</f>
        <v>4</v>
      </c>
      <c r="D272" s="4">
        <f ca="1" t="shared" si="8"/>
        <v>3800000</v>
      </c>
      <c r="E272" s="1">
        <f ca="1" t="shared" si="9"/>
        <v>783</v>
      </c>
      <c r="F272" s="1">
        <f ca="1">_xlfn.FLOOR.MATH(E272/24)</f>
        <v>32</v>
      </c>
    </row>
    <row r="273" spans="1:6">
      <c r="A273" s="1">
        <v>268</v>
      </c>
      <c r="B273" s="1">
        <f>A273*控制台!$E$4959</f>
        <v>964800</v>
      </c>
      <c r="C273" s="1">
        <f ca="1">OFFSET(控制台!$C$4968,MATCH(A273,控制台!$B$4968:$B$4976,1)-1,0)</f>
        <v>4</v>
      </c>
      <c r="D273" s="4">
        <f ca="1" t="shared" si="8"/>
        <v>3800000</v>
      </c>
      <c r="E273" s="1">
        <f ca="1" t="shared" si="9"/>
        <v>787</v>
      </c>
      <c r="F273" s="1">
        <f ca="1">_xlfn.FLOOR.MATH(E273/24)</f>
        <v>32</v>
      </c>
    </row>
    <row r="274" spans="1:6">
      <c r="A274" s="1">
        <v>269</v>
      </c>
      <c r="B274" s="1">
        <f>A274*控制台!$E$4959</f>
        <v>968400</v>
      </c>
      <c r="C274" s="1">
        <f ca="1">OFFSET(控制台!$C$4968,MATCH(A274,控制台!$B$4968:$B$4976,1)-1,0)</f>
        <v>4</v>
      </c>
      <c r="D274" s="4">
        <f ca="1" t="shared" si="8"/>
        <v>3900000</v>
      </c>
      <c r="E274" s="1">
        <f ca="1" t="shared" si="9"/>
        <v>791</v>
      </c>
      <c r="F274" s="1">
        <f ca="1">_xlfn.FLOOR.MATH(E274/24)</f>
        <v>32</v>
      </c>
    </row>
    <row r="275" spans="1:6">
      <c r="A275" s="1">
        <v>270</v>
      </c>
      <c r="B275" s="1">
        <f>A275*控制台!$E$4959</f>
        <v>972000</v>
      </c>
      <c r="C275" s="1">
        <f ca="1">OFFSET(控制台!$C$4968,MATCH(A275,控制台!$B$4968:$B$4976,1)-1,0)</f>
        <v>4</v>
      </c>
      <c r="D275" s="4">
        <f ca="1" t="shared" si="8"/>
        <v>3900000</v>
      </c>
      <c r="E275" s="1">
        <f ca="1" t="shared" si="9"/>
        <v>795</v>
      </c>
      <c r="F275" s="1">
        <f ca="1">_xlfn.FLOOR.MATH(E275/24)</f>
        <v>33</v>
      </c>
    </row>
    <row r="276" spans="1:6">
      <c r="A276" s="1">
        <v>271</v>
      </c>
      <c r="B276" s="1">
        <f>A276*控制台!$E$4959</f>
        <v>975600</v>
      </c>
      <c r="C276" s="1">
        <f ca="1">OFFSET(控制台!$C$4968,MATCH(A276,控制台!$B$4968:$B$4976,1)-1,0)</f>
        <v>4</v>
      </c>
      <c r="D276" s="4">
        <f ca="1" t="shared" si="8"/>
        <v>3900000</v>
      </c>
      <c r="E276" s="1">
        <f ca="1" t="shared" si="9"/>
        <v>799</v>
      </c>
      <c r="F276" s="1">
        <f ca="1">_xlfn.FLOOR.MATH(E276/24)</f>
        <v>33</v>
      </c>
    </row>
    <row r="277" spans="1:6">
      <c r="A277" s="1">
        <v>272</v>
      </c>
      <c r="B277" s="1">
        <f>A277*控制台!$E$4959</f>
        <v>979200</v>
      </c>
      <c r="C277" s="1">
        <f ca="1">OFFSET(控制台!$C$4968,MATCH(A277,控制台!$B$4968:$B$4976,1)-1,0)</f>
        <v>4</v>
      </c>
      <c r="D277" s="4">
        <f ca="1" t="shared" si="8"/>
        <v>3900000</v>
      </c>
      <c r="E277" s="1">
        <f ca="1" t="shared" si="9"/>
        <v>803</v>
      </c>
      <c r="F277" s="1">
        <f ca="1">_xlfn.FLOOR.MATH(E277/24)</f>
        <v>33</v>
      </c>
    </row>
    <row r="278" spans="1:6">
      <c r="A278" s="1">
        <v>273</v>
      </c>
      <c r="B278" s="1">
        <f>A278*控制台!$E$4959</f>
        <v>982800</v>
      </c>
      <c r="C278" s="1">
        <f ca="1">OFFSET(控制台!$C$4968,MATCH(A278,控制台!$B$4968:$B$4976,1)-1,0)</f>
        <v>4</v>
      </c>
      <c r="D278" s="4">
        <f ca="1" t="shared" si="8"/>
        <v>3900000</v>
      </c>
      <c r="E278" s="1">
        <f ca="1" t="shared" si="9"/>
        <v>807</v>
      </c>
      <c r="F278" s="1">
        <f ca="1">_xlfn.FLOOR.MATH(E278/24)</f>
        <v>33</v>
      </c>
    </row>
    <row r="279" spans="1:6">
      <c r="A279" s="1">
        <v>274</v>
      </c>
      <c r="B279" s="1">
        <f>A279*控制台!$E$4959</f>
        <v>986400</v>
      </c>
      <c r="C279" s="1">
        <f ca="1">OFFSET(控制台!$C$4968,MATCH(A279,控制台!$B$4968:$B$4976,1)-1,0)</f>
        <v>4</v>
      </c>
      <c r="D279" s="4">
        <f ca="1" t="shared" si="8"/>
        <v>3900000</v>
      </c>
      <c r="E279" s="1">
        <f ca="1" t="shared" si="9"/>
        <v>811</v>
      </c>
      <c r="F279" s="1">
        <f ca="1">_xlfn.FLOOR.MATH(E279/24)</f>
        <v>33</v>
      </c>
    </row>
    <row r="280" spans="1:6">
      <c r="A280" s="1">
        <v>275</v>
      </c>
      <c r="B280" s="1">
        <f>A280*控制台!$E$4959</f>
        <v>990000</v>
      </c>
      <c r="C280" s="1">
        <f ca="1">OFFSET(控制台!$C$4968,MATCH(A280,控制台!$B$4968:$B$4976,1)-1,0)</f>
        <v>4</v>
      </c>
      <c r="D280" s="4">
        <f ca="1" t="shared" si="8"/>
        <v>3900000</v>
      </c>
      <c r="E280" s="1">
        <f ca="1" t="shared" si="9"/>
        <v>815</v>
      </c>
      <c r="F280" s="1">
        <f ca="1">_xlfn.FLOOR.MATH(E280/24)</f>
        <v>33</v>
      </c>
    </row>
    <row r="281" spans="1:6">
      <c r="A281" s="1">
        <v>276</v>
      </c>
      <c r="B281" s="1">
        <f>A281*控制台!$E$4959</f>
        <v>993600</v>
      </c>
      <c r="C281" s="1">
        <f ca="1">OFFSET(控制台!$C$4968,MATCH(A281,控制台!$B$4968:$B$4976,1)-1,0)</f>
        <v>4</v>
      </c>
      <c r="D281" s="4">
        <f ca="1" t="shared" si="8"/>
        <v>4000000</v>
      </c>
      <c r="E281" s="1">
        <f ca="1" t="shared" si="9"/>
        <v>819</v>
      </c>
      <c r="F281" s="1">
        <f ca="1">_xlfn.FLOOR.MATH(E281/24)</f>
        <v>34</v>
      </c>
    </row>
    <row r="282" spans="1:6">
      <c r="A282" s="1">
        <v>277</v>
      </c>
      <c r="B282" s="1">
        <f>A282*控制台!$E$4959</f>
        <v>997200</v>
      </c>
      <c r="C282" s="1">
        <f ca="1">OFFSET(控制台!$C$4968,MATCH(A282,控制台!$B$4968:$B$4976,1)-1,0)</f>
        <v>4</v>
      </c>
      <c r="D282" s="4">
        <f ca="1" t="shared" si="8"/>
        <v>4000000</v>
      </c>
      <c r="E282" s="1">
        <f ca="1" t="shared" si="9"/>
        <v>823</v>
      </c>
      <c r="F282" s="1">
        <f ca="1">_xlfn.FLOOR.MATH(E282/24)</f>
        <v>34</v>
      </c>
    </row>
    <row r="283" spans="1:6">
      <c r="A283" s="1">
        <v>278</v>
      </c>
      <c r="B283" s="1">
        <f>A283*控制台!$E$4959</f>
        <v>1000800</v>
      </c>
      <c r="C283" s="1">
        <f ca="1">OFFSET(控制台!$C$4968,MATCH(A283,控制台!$B$4968:$B$4976,1)-1,0)</f>
        <v>4</v>
      </c>
      <c r="D283" s="4">
        <f ca="1" t="shared" si="8"/>
        <v>4000000</v>
      </c>
      <c r="E283" s="1">
        <f ca="1" t="shared" si="9"/>
        <v>827</v>
      </c>
      <c r="F283" s="1">
        <f ca="1">_xlfn.FLOOR.MATH(E283/24)</f>
        <v>34</v>
      </c>
    </row>
    <row r="284" spans="1:6">
      <c r="A284" s="1">
        <v>279</v>
      </c>
      <c r="B284" s="1">
        <f>A284*控制台!$E$4959</f>
        <v>1004400</v>
      </c>
      <c r="C284" s="1">
        <f ca="1">OFFSET(控制台!$C$4968,MATCH(A284,控制台!$B$4968:$B$4976,1)-1,0)</f>
        <v>4</v>
      </c>
      <c r="D284" s="4">
        <f ca="1" t="shared" si="8"/>
        <v>4000000</v>
      </c>
      <c r="E284" s="1">
        <f ca="1" t="shared" si="9"/>
        <v>831</v>
      </c>
      <c r="F284" s="1">
        <f ca="1">_xlfn.FLOOR.MATH(E284/24)</f>
        <v>34</v>
      </c>
    </row>
    <row r="285" spans="1:6">
      <c r="A285" s="1">
        <v>280</v>
      </c>
      <c r="B285" s="1">
        <f>A285*控制台!$E$4959</f>
        <v>1008000</v>
      </c>
      <c r="C285" s="1">
        <f ca="1">OFFSET(控制台!$C$4968,MATCH(A285,控制台!$B$4968:$B$4976,1)-1,0)</f>
        <v>4</v>
      </c>
      <c r="D285" s="4">
        <f ca="1" t="shared" si="8"/>
        <v>4000000</v>
      </c>
      <c r="E285" s="1">
        <f ca="1" t="shared" si="9"/>
        <v>835</v>
      </c>
      <c r="F285" s="1">
        <f ca="1">_xlfn.FLOOR.MATH(E285/24)</f>
        <v>34</v>
      </c>
    </row>
    <row r="286" spans="1:6">
      <c r="A286" s="1">
        <v>281</v>
      </c>
      <c r="B286" s="1">
        <f>A286*控制台!$E$4959</f>
        <v>1011600</v>
      </c>
      <c r="C286" s="1">
        <f ca="1">OFFSET(控制台!$C$4968,MATCH(A286,控制台!$B$4968:$B$4976,1)-1,0)</f>
        <v>4</v>
      </c>
      <c r="D286" s="4">
        <f ca="1" t="shared" si="8"/>
        <v>4000000</v>
      </c>
      <c r="E286" s="1">
        <f ca="1" t="shared" si="9"/>
        <v>839</v>
      </c>
      <c r="F286" s="1">
        <f ca="1">_xlfn.FLOOR.MATH(E286/24)</f>
        <v>34</v>
      </c>
    </row>
    <row r="287" spans="1:6">
      <c r="A287" s="1">
        <v>282</v>
      </c>
      <c r="B287" s="1">
        <f>A287*控制台!$E$4959</f>
        <v>1015200</v>
      </c>
      <c r="C287" s="1">
        <f ca="1">OFFSET(控制台!$C$4968,MATCH(A287,控制台!$B$4968:$B$4976,1)-1,0)</f>
        <v>4</v>
      </c>
      <c r="D287" s="4">
        <f ca="1" t="shared" si="8"/>
        <v>4000000</v>
      </c>
      <c r="E287" s="1">
        <f ca="1" t="shared" si="9"/>
        <v>843</v>
      </c>
      <c r="F287" s="1">
        <f ca="1">_xlfn.FLOOR.MATH(E287/24)</f>
        <v>35</v>
      </c>
    </row>
    <row r="288" spans="1:6">
      <c r="A288" s="1">
        <v>283</v>
      </c>
      <c r="B288" s="1">
        <f>A288*控制台!$E$4959</f>
        <v>1018800</v>
      </c>
      <c r="C288" s="1">
        <f ca="1">OFFSET(控制台!$C$4968,MATCH(A288,控制台!$B$4968:$B$4976,1)-1,0)</f>
        <v>4</v>
      </c>
      <c r="D288" s="4">
        <f ca="1" t="shared" si="8"/>
        <v>4100000</v>
      </c>
      <c r="E288" s="1">
        <f ca="1" t="shared" si="9"/>
        <v>847</v>
      </c>
      <c r="F288" s="1">
        <f ca="1">_xlfn.FLOOR.MATH(E288/24)</f>
        <v>35</v>
      </c>
    </row>
    <row r="289" spans="1:6">
      <c r="A289" s="1">
        <v>284</v>
      </c>
      <c r="B289" s="1">
        <f>A289*控制台!$E$4959</f>
        <v>1022400</v>
      </c>
      <c r="C289" s="1">
        <f ca="1">OFFSET(控制台!$C$4968,MATCH(A289,控制台!$B$4968:$B$4976,1)-1,0)</f>
        <v>4</v>
      </c>
      <c r="D289" s="4">
        <f ca="1" t="shared" si="8"/>
        <v>4100000</v>
      </c>
      <c r="E289" s="1">
        <f ca="1" t="shared" si="9"/>
        <v>851</v>
      </c>
      <c r="F289" s="1">
        <f ca="1">_xlfn.FLOOR.MATH(E289/24)</f>
        <v>35</v>
      </c>
    </row>
    <row r="290" spans="1:6">
      <c r="A290" s="1">
        <v>285</v>
      </c>
      <c r="B290" s="1">
        <f>A290*控制台!$E$4959</f>
        <v>1026000</v>
      </c>
      <c r="C290" s="1">
        <f ca="1">OFFSET(控制台!$C$4968,MATCH(A290,控制台!$B$4968:$B$4976,1)-1,0)</f>
        <v>4</v>
      </c>
      <c r="D290" s="4">
        <f ca="1" t="shared" si="8"/>
        <v>4100000</v>
      </c>
      <c r="E290" s="1">
        <f ca="1" t="shared" si="9"/>
        <v>855</v>
      </c>
      <c r="F290" s="1">
        <f ca="1">_xlfn.FLOOR.MATH(E290/24)</f>
        <v>35</v>
      </c>
    </row>
    <row r="291" spans="1:6">
      <c r="A291" s="1">
        <v>286</v>
      </c>
      <c r="B291" s="1">
        <f>A291*控制台!$E$4959</f>
        <v>1029600</v>
      </c>
      <c r="C291" s="1">
        <f ca="1">OFFSET(控制台!$C$4968,MATCH(A291,控制台!$B$4968:$B$4976,1)-1,0)</f>
        <v>4</v>
      </c>
      <c r="D291" s="4">
        <f ca="1" t="shared" si="8"/>
        <v>4100000</v>
      </c>
      <c r="E291" s="1">
        <f ca="1" t="shared" si="9"/>
        <v>859</v>
      </c>
      <c r="F291" s="1">
        <f ca="1">_xlfn.FLOOR.MATH(E291/24)</f>
        <v>35</v>
      </c>
    </row>
    <row r="292" spans="1:6">
      <c r="A292" s="1">
        <v>287</v>
      </c>
      <c r="B292" s="1">
        <f>A292*控制台!$E$4959</f>
        <v>1033200</v>
      </c>
      <c r="C292" s="1">
        <f ca="1">OFFSET(控制台!$C$4968,MATCH(A292,控制台!$B$4968:$B$4976,1)-1,0)</f>
        <v>4</v>
      </c>
      <c r="D292" s="4">
        <f ca="1" t="shared" si="8"/>
        <v>4100000</v>
      </c>
      <c r="E292" s="1">
        <f ca="1" t="shared" si="9"/>
        <v>863</v>
      </c>
      <c r="F292" s="1">
        <f ca="1">_xlfn.FLOOR.MATH(E292/24)</f>
        <v>35</v>
      </c>
    </row>
    <row r="293" spans="1:6">
      <c r="A293" s="1">
        <v>288</v>
      </c>
      <c r="B293" s="1">
        <f>A293*控制台!$E$4959</f>
        <v>1036800</v>
      </c>
      <c r="C293" s="1">
        <f ca="1">OFFSET(控制台!$C$4968,MATCH(A293,控制台!$B$4968:$B$4976,1)-1,0)</f>
        <v>4</v>
      </c>
      <c r="D293" s="4">
        <f ca="1" t="shared" si="8"/>
        <v>4100000</v>
      </c>
      <c r="E293" s="1">
        <f ca="1" t="shared" si="9"/>
        <v>867</v>
      </c>
      <c r="F293" s="1">
        <f ca="1">_xlfn.FLOOR.MATH(E293/24)</f>
        <v>36</v>
      </c>
    </row>
    <row r="294" spans="1:6">
      <c r="A294" s="1">
        <v>289</v>
      </c>
      <c r="B294" s="1">
        <f>A294*控制台!$E$4959</f>
        <v>1040400</v>
      </c>
      <c r="C294" s="1">
        <f ca="1">OFFSET(控制台!$C$4968,MATCH(A294,控制台!$B$4968:$B$4976,1)-1,0)</f>
        <v>4</v>
      </c>
      <c r="D294" s="4">
        <f ca="1" t="shared" si="8"/>
        <v>4100000</v>
      </c>
      <c r="E294" s="1">
        <f ca="1" t="shared" si="9"/>
        <v>871</v>
      </c>
      <c r="F294" s="1">
        <f ca="1">_xlfn.FLOOR.MATH(E294/24)</f>
        <v>36</v>
      </c>
    </row>
    <row r="295" spans="1:6">
      <c r="A295" s="1">
        <v>290</v>
      </c>
      <c r="B295" s="1">
        <f>A295*控制台!$E$4959</f>
        <v>1044000</v>
      </c>
      <c r="C295" s="1">
        <f ca="1">OFFSET(控制台!$C$4968,MATCH(A295,控制台!$B$4968:$B$4976,1)-1,0)</f>
        <v>4</v>
      </c>
      <c r="D295" s="4">
        <f ca="1" t="shared" si="8"/>
        <v>4200000</v>
      </c>
      <c r="E295" s="1">
        <f ca="1" t="shared" si="9"/>
        <v>875</v>
      </c>
      <c r="F295" s="1">
        <f ca="1">_xlfn.FLOOR.MATH(E295/24)</f>
        <v>36</v>
      </c>
    </row>
    <row r="296" spans="1:6">
      <c r="A296" s="1">
        <v>291</v>
      </c>
      <c r="B296" s="1">
        <f>A296*控制台!$E$4959</f>
        <v>1047600</v>
      </c>
      <c r="C296" s="1">
        <f ca="1">OFFSET(控制台!$C$4968,MATCH(A296,控制台!$B$4968:$B$4976,1)-1,0)</f>
        <v>4</v>
      </c>
      <c r="D296" s="4">
        <f ca="1" t="shared" si="8"/>
        <v>4200000</v>
      </c>
      <c r="E296" s="1">
        <f ca="1" t="shared" si="9"/>
        <v>879</v>
      </c>
      <c r="F296" s="1">
        <f ca="1">_xlfn.FLOOR.MATH(E296/24)</f>
        <v>36</v>
      </c>
    </row>
    <row r="297" spans="1:6">
      <c r="A297" s="1">
        <v>292</v>
      </c>
      <c r="B297" s="1">
        <f>A297*控制台!$E$4959</f>
        <v>1051200</v>
      </c>
      <c r="C297" s="1">
        <f ca="1">OFFSET(控制台!$C$4968,MATCH(A297,控制台!$B$4968:$B$4976,1)-1,0)</f>
        <v>4</v>
      </c>
      <c r="D297" s="4">
        <f ca="1" t="shared" si="8"/>
        <v>4200000</v>
      </c>
      <c r="E297" s="1">
        <f ca="1" t="shared" si="9"/>
        <v>883</v>
      </c>
      <c r="F297" s="1">
        <f ca="1">_xlfn.FLOOR.MATH(E297/24)</f>
        <v>36</v>
      </c>
    </row>
    <row r="298" spans="1:6">
      <c r="A298" s="1">
        <v>293</v>
      </c>
      <c r="B298" s="1">
        <f>A298*控制台!$E$4959</f>
        <v>1054800</v>
      </c>
      <c r="C298" s="1">
        <f ca="1">OFFSET(控制台!$C$4968,MATCH(A298,控制台!$B$4968:$B$4976,1)-1,0)</f>
        <v>4</v>
      </c>
      <c r="D298" s="4">
        <f ca="1" t="shared" si="8"/>
        <v>4200000</v>
      </c>
      <c r="E298" s="1">
        <f ca="1" t="shared" si="9"/>
        <v>887</v>
      </c>
      <c r="F298" s="1">
        <f ca="1">_xlfn.FLOOR.MATH(E298/24)</f>
        <v>36</v>
      </c>
    </row>
    <row r="299" spans="1:6">
      <c r="A299" s="1">
        <v>294</v>
      </c>
      <c r="B299" s="1">
        <f>A299*控制台!$E$4959</f>
        <v>1058400</v>
      </c>
      <c r="C299" s="1">
        <f ca="1">OFFSET(控制台!$C$4968,MATCH(A299,控制台!$B$4968:$B$4976,1)-1,0)</f>
        <v>4</v>
      </c>
      <c r="D299" s="4">
        <f ca="1" t="shared" si="8"/>
        <v>4200000</v>
      </c>
      <c r="E299" s="1">
        <f ca="1" t="shared" si="9"/>
        <v>891</v>
      </c>
      <c r="F299" s="1">
        <f ca="1">_xlfn.FLOOR.MATH(E299/24)</f>
        <v>37</v>
      </c>
    </row>
    <row r="300" spans="1:6">
      <c r="A300" s="1">
        <v>295</v>
      </c>
      <c r="B300" s="1">
        <f>A300*控制台!$E$4959</f>
        <v>1062000</v>
      </c>
      <c r="C300" s="1">
        <f ca="1">OFFSET(控制台!$C$4968,MATCH(A300,控制台!$B$4968:$B$4976,1)-1,0)</f>
        <v>4</v>
      </c>
      <c r="D300" s="4">
        <f ca="1" t="shared" si="8"/>
        <v>4200000</v>
      </c>
      <c r="E300" s="1">
        <f ca="1" t="shared" si="9"/>
        <v>895</v>
      </c>
      <c r="F300" s="1">
        <f ca="1">_xlfn.FLOOR.MATH(E300/24)</f>
        <v>37</v>
      </c>
    </row>
    <row r="301" spans="1:6">
      <c r="A301" s="1">
        <v>296</v>
      </c>
      <c r="B301" s="1">
        <f>A301*控制台!$E$4959</f>
        <v>1065600</v>
      </c>
      <c r="C301" s="1">
        <f ca="1">OFFSET(控制台!$C$4968,MATCH(A301,控制台!$B$4968:$B$4976,1)-1,0)</f>
        <v>4</v>
      </c>
      <c r="D301" s="4">
        <f ca="1" t="shared" si="8"/>
        <v>4200000</v>
      </c>
      <c r="E301" s="1">
        <f ca="1" t="shared" si="9"/>
        <v>899</v>
      </c>
      <c r="F301" s="1">
        <f ca="1">_xlfn.FLOOR.MATH(E301/24)</f>
        <v>37</v>
      </c>
    </row>
    <row r="302" spans="1:6">
      <c r="A302" s="1">
        <v>297</v>
      </c>
      <c r="B302" s="1">
        <f>A302*控制台!$E$4959</f>
        <v>1069200</v>
      </c>
      <c r="C302" s="1">
        <f ca="1">OFFSET(控制台!$C$4968,MATCH(A302,控制台!$B$4968:$B$4976,1)-1,0)</f>
        <v>4</v>
      </c>
      <c r="D302" s="4">
        <f ca="1" t="shared" si="8"/>
        <v>4300000</v>
      </c>
      <c r="E302" s="1">
        <f ca="1" t="shared" si="9"/>
        <v>903</v>
      </c>
      <c r="F302" s="1">
        <f ca="1">_xlfn.FLOOR.MATH(E302/24)</f>
        <v>37</v>
      </c>
    </row>
    <row r="303" spans="1:6">
      <c r="A303" s="1">
        <v>298</v>
      </c>
      <c r="B303" s="1">
        <f>A303*控制台!$E$4959</f>
        <v>1072800</v>
      </c>
      <c r="C303" s="1">
        <f ca="1">OFFSET(控制台!$C$4968,MATCH(A303,控制台!$B$4968:$B$4976,1)-1,0)</f>
        <v>4</v>
      </c>
      <c r="D303" s="4">
        <f ca="1" t="shared" si="8"/>
        <v>4300000</v>
      </c>
      <c r="E303" s="1">
        <f ca="1" t="shared" si="9"/>
        <v>907</v>
      </c>
      <c r="F303" s="1">
        <f ca="1">_xlfn.FLOOR.MATH(E303/24)</f>
        <v>37</v>
      </c>
    </row>
    <row r="304" spans="1:6">
      <c r="A304" s="1">
        <v>299</v>
      </c>
      <c r="B304" s="1">
        <f>A304*控制台!$E$4959</f>
        <v>1076400</v>
      </c>
      <c r="C304" s="1">
        <f ca="1">OFFSET(控制台!$C$4968,MATCH(A304,控制台!$B$4968:$B$4976,1)-1,0)</f>
        <v>4</v>
      </c>
      <c r="D304" s="4">
        <f ca="1" t="shared" si="8"/>
        <v>4300000</v>
      </c>
      <c r="E304" s="1">
        <f ca="1" t="shared" si="9"/>
        <v>911</v>
      </c>
      <c r="F304" s="1">
        <f ca="1">_xlfn.FLOOR.MATH(E304/24)</f>
        <v>37</v>
      </c>
    </row>
    <row r="305" spans="1:6">
      <c r="A305" s="1">
        <v>300</v>
      </c>
      <c r="B305" s="1">
        <f>A305*控制台!$E$4959</f>
        <v>1080000</v>
      </c>
      <c r="C305" s="1">
        <f ca="1">OFFSET(控制台!$C$4968,MATCH(A305,控制台!$B$4968:$B$4976,1)-1,0)</f>
        <v>4</v>
      </c>
      <c r="D305" s="4">
        <f ca="1" t="shared" si="8"/>
        <v>4300000</v>
      </c>
      <c r="E305" s="1">
        <f ca="1" t="shared" si="9"/>
        <v>915</v>
      </c>
      <c r="F305" s="1">
        <f ca="1">_xlfn.FLOOR.MATH(E305/24)</f>
        <v>38</v>
      </c>
    </row>
    <row r="306" spans="1:6">
      <c r="A306" s="1">
        <v>301</v>
      </c>
      <c r="B306" s="1">
        <f>A306*控制台!$E$4959</f>
        <v>1083600</v>
      </c>
      <c r="C306" s="1">
        <f ca="1">OFFSET(控制台!$C$4968,MATCH(A306,控制台!$B$4968:$B$4976,1)-1,0)</f>
        <v>6</v>
      </c>
      <c r="D306" s="4">
        <f ca="1" t="shared" si="8"/>
        <v>6500000</v>
      </c>
      <c r="E306" s="1">
        <f ca="1" t="shared" si="9"/>
        <v>921</v>
      </c>
      <c r="F306" s="1">
        <f ca="1">_xlfn.FLOOR.MATH(E306/24)</f>
        <v>38</v>
      </c>
    </row>
    <row r="307" spans="1:6">
      <c r="A307" s="1">
        <v>302</v>
      </c>
      <c r="B307" s="1">
        <f>A307*控制台!$E$4959</f>
        <v>1087200</v>
      </c>
      <c r="C307" s="1">
        <f ca="1">OFFSET(控制台!$C$4968,MATCH(A307,控制台!$B$4968:$B$4976,1)-1,0)</f>
        <v>6</v>
      </c>
      <c r="D307" s="4">
        <f ca="1" t="shared" ref="D307:D370" si="10">ROUND(C307*B306,1-INT(LOG10(C307*B306)))</f>
        <v>6500000</v>
      </c>
      <c r="E307" s="1">
        <f ca="1" t="shared" si="9"/>
        <v>927</v>
      </c>
      <c r="F307" s="1">
        <f ca="1">_xlfn.FLOOR.MATH(E307/24)</f>
        <v>38</v>
      </c>
    </row>
    <row r="308" spans="1:6">
      <c r="A308" s="1">
        <v>303</v>
      </c>
      <c r="B308" s="1">
        <f>A308*控制台!$E$4959</f>
        <v>1090800</v>
      </c>
      <c r="C308" s="1">
        <f ca="1">OFFSET(控制台!$C$4968,MATCH(A308,控制台!$B$4968:$B$4976,1)-1,0)</f>
        <v>6</v>
      </c>
      <c r="D308" s="4">
        <f ca="1" t="shared" si="10"/>
        <v>6500000</v>
      </c>
      <c r="E308" s="1">
        <f ca="1" t="shared" si="9"/>
        <v>933</v>
      </c>
      <c r="F308" s="1">
        <f ca="1">_xlfn.FLOOR.MATH(E308/24)</f>
        <v>38</v>
      </c>
    </row>
    <row r="309" spans="1:6">
      <c r="A309" s="1">
        <v>304</v>
      </c>
      <c r="B309" s="1">
        <f>A309*控制台!$E$4959</f>
        <v>1094400</v>
      </c>
      <c r="C309" s="1">
        <f ca="1">OFFSET(控制台!$C$4968,MATCH(A309,控制台!$B$4968:$B$4976,1)-1,0)</f>
        <v>6</v>
      </c>
      <c r="D309" s="4">
        <f ca="1" t="shared" si="10"/>
        <v>6500000</v>
      </c>
      <c r="E309" s="1">
        <f ca="1" t="shared" si="9"/>
        <v>939</v>
      </c>
      <c r="F309" s="1">
        <f ca="1">_xlfn.FLOOR.MATH(E309/24)</f>
        <v>39</v>
      </c>
    </row>
    <row r="310" spans="1:6">
      <c r="A310" s="1">
        <v>305</v>
      </c>
      <c r="B310" s="1">
        <f>A310*控制台!$E$4959</f>
        <v>1098000</v>
      </c>
      <c r="C310" s="1">
        <f ca="1">OFFSET(控制台!$C$4968,MATCH(A310,控制台!$B$4968:$B$4976,1)-1,0)</f>
        <v>6</v>
      </c>
      <c r="D310" s="4">
        <f ca="1" t="shared" si="10"/>
        <v>6600000</v>
      </c>
      <c r="E310" s="1">
        <f ca="1" t="shared" si="9"/>
        <v>945</v>
      </c>
      <c r="F310" s="1">
        <f ca="1">_xlfn.FLOOR.MATH(E310/24)</f>
        <v>39</v>
      </c>
    </row>
    <row r="311" spans="1:6">
      <c r="A311" s="1">
        <v>306</v>
      </c>
      <c r="B311" s="1">
        <f>A311*控制台!$E$4959</f>
        <v>1101600</v>
      </c>
      <c r="C311" s="1">
        <f ca="1">OFFSET(控制台!$C$4968,MATCH(A311,控制台!$B$4968:$B$4976,1)-1,0)</f>
        <v>6</v>
      </c>
      <c r="D311" s="4">
        <f ca="1" t="shared" si="10"/>
        <v>6600000</v>
      </c>
      <c r="E311" s="1">
        <f ca="1" t="shared" si="9"/>
        <v>951</v>
      </c>
      <c r="F311" s="1">
        <f ca="1">_xlfn.FLOOR.MATH(E311/24)</f>
        <v>39</v>
      </c>
    </row>
    <row r="312" spans="1:6">
      <c r="A312" s="1">
        <v>307</v>
      </c>
      <c r="B312" s="1">
        <f>A312*控制台!$E$4959</f>
        <v>1105200</v>
      </c>
      <c r="C312" s="1">
        <f ca="1">OFFSET(控制台!$C$4968,MATCH(A312,控制台!$B$4968:$B$4976,1)-1,0)</f>
        <v>6</v>
      </c>
      <c r="D312" s="4">
        <f ca="1" t="shared" si="10"/>
        <v>6600000</v>
      </c>
      <c r="E312" s="1">
        <f ca="1" t="shared" si="9"/>
        <v>957</v>
      </c>
      <c r="F312" s="1">
        <f ca="1">_xlfn.FLOOR.MATH(E312/24)</f>
        <v>39</v>
      </c>
    </row>
    <row r="313" spans="1:6">
      <c r="A313" s="1">
        <v>308</v>
      </c>
      <c r="B313" s="1">
        <f>A313*控制台!$E$4959</f>
        <v>1108800</v>
      </c>
      <c r="C313" s="1">
        <f ca="1">OFFSET(控制台!$C$4968,MATCH(A313,控制台!$B$4968:$B$4976,1)-1,0)</f>
        <v>6</v>
      </c>
      <c r="D313" s="4">
        <f ca="1" t="shared" si="10"/>
        <v>6600000</v>
      </c>
      <c r="E313" s="1">
        <f ca="1" t="shared" si="9"/>
        <v>963</v>
      </c>
      <c r="F313" s="1">
        <f ca="1">_xlfn.FLOOR.MATH(E313/24)</f>
        <v>40</v>
      </c>
    </row>
    <row r="314" spans="1:6">
      <c r="A314" s="1">
        <v>309</v>
      </c>
      <c r="B314" s="1">
        <f>A314*控制台!$E$4959</f>
        <v>1112400</v>
      </c>
      <c r="C314" s="1">
        <f ca="1">OFFSET(控制台!$C$4968,MATCH(A314,控制台!$B$4968:$B$4976,1)-1,0)</f>
        <v>6</v>
      </c>
      <c r="D314" s="4">
        <f ca="1" t="shared" si="10"/>
        <v>6700000</v>
      </c>
      <c r="E314" s="1">
        <f ca="1" t="shared" si="9"/>
        <v>969</v>
      </c>
      <c r="F314" s="1">
        <f ca="1">_xlfn.FLOOR.MATH(E314/24)</f>
        <v>40</v>
      </c>
    </row>
    <row r="315" spans="1:6">
      <c r="A315" s="1">
        <v>310</v>
      </c>
      <c r="B315" s="1">
        <f>A315*控制台!$E$4959</f>
        <v>1116000</v>
      </c>
      <c r="C315" s="1">
        <f ca="1">OFFSET(控制台!$C$4968,MATCH(A315,控制台!$B$4968:$B$4976,1)-1,0)</f>
        <v>6</v>
      </c>
      <c r="D315" s="4">
        <f ca="1" t="shared" si="10"/>
        <v>6700000</v>
      </c>
      <c r="E315" s="1">
        <f ca="1" t="shared" si="9"/>
        <v>975</v>
      </c>
      <c r="F315" s="1">
        <f ca="1">_xlfn.FLOOR.MATH(E315/24)</f>
        <v>40</v>
      </c>
    </row>
    <row r="316" spans="1:6">
      <c r="A316" s="1">
        <v>311</v>
      </c>
      <c r="B316" s="1">
        <f>A316*控制台!$E$4959</f>
        <v>1119600</v>
      </c>
      <c r="C316" s="1">
        <f ca="1">OFFSET(控制台!$C$4968,MATCH(A316,控制台!$B$4968:$B$4976,1)-1,0)</f>
        <v>6</v>
      </c>
      <c r="D316" s="4">
        <f ca="1" t="shared" si="10"/>
        <v>6700000</v>
      </c>
      <c r="E316" s="1">
        <f ca="1" t="shared" si="9"/>
        <v>981</v>
      </c>
      <c r="F316" s="1">
        <f ca="1">_xlfn.FLOOR.MATH(E316/24)</f>
        <v>40</v>
      </c>
    </row>
    <row r="317" spans="1:6">
      <c r="A317" s="1">
        <v>312</v>
      </c>
      <c r="B317" s="1">
        <f>A317*控制台!$E$4959</f>
        <v>1123200</v>
      </c>
      <c r="C317" s="1">
        <f ca="1">OFFSET(控制台!$C$4968,MATCH(A317,控制台!$B$4968:$B$4976,1)-1,0)</f>
        <v>6</v>
      </c>
      <c r="D317" s="4">
        <f ca="1" t="shared" si="10"/>
        <v>6700000</v>
      </c>
      <c r="E317" s="1">
        <f ca="1" t="shared" si="9"/>
        <v>987</v>
      </c>
      <c r="F317" s="1">
        <f ca="1">_xlfn.FLOOR.MATH(E317/24)</f>
        <v>41</v>
      </c>
    </row>
    <row r="318" spans="1:6">
      <c r="A318" s="1">
        <v>313</v>
      </c>
      <c r="B318" s="1">
        <f>A318*控制台!$E$4959</f>
        <v>1126800</v>
      </c>
      <c r="C318" s="1">
        <f ca="1">OFFSET(控制台!$C$4968,MATCH(A318,控制台!$B$4968:$B$4976,1)-1,0)</f>
        <v>6</v>
      </c>
      <c r="D318" s="4">
        <f ca="1" t="shared" si="10"/>
        <v>6700000</v>
      </c>
      <c r="E318" s="1">
        <f ca="1" t="shared" si="9"/>
        <v>993</v>
      </c>
      <c r="F318" s="1">
        <f ca="1">_xlfn.FLOOR.MATH(E318/24)</f>
        <v>41</v>
      </c>
    </row>
    <row r="319" spans="1:6">
      <c r="A319" s="1">
        <v>314</v>
      </c>
      <c r="B319" s="1">
        <f>A319*控制台!$E$4959</f>
        <v>1130400</v>
      </c>
      <c r="C319" s="1">
        <f ca="1">OFFSET(控制台!$C$4968,MATCH(A319,控制台!$B$4968:$B$4976,1)-1,0)</f>
        <v>6</v>
      </c>
      <c r="D319" s="4">
        <f ca="1" t="shared" si="10"/>
        <v>6800000</v>
      </c>
      <c r="E319" s="1">
        <f ca="1" t="shared" si="9"/>
        <v>999</v>
      </c>
      <c r="F319" s="1">
        <f ca="1">_xlfn.FLOOR.MATH(E319/24)</f>
        <v>41</v>
      </c>
    </row>
    <row r="320" spans="1:6">
      <c r="A320" s="1">
        <v>315</v>
      </c>
      <c r="B320" s="1">
        <f>A320*控制台!$E$4959</f>
        <v>1134000</v>
      </c>
      <c r="C320" s="1">
        <f ca="1">OFFSET(控制台!$C$4968,MATCH(A320,控制台!$B$4968:$B$4976,1)-1,0)</f>
        <v>6</v>
      </c>
      <c r="D320" s="4">
        <f ca="1" t="shared" si="10"/>
        <v>6800000</v>
      </c>
      <c r="E320" s="1">
        <f ca="1" t="shared" si="9"/>
        <v>1005</v>
      </c>
      <c r="F320" s="1">
        <f ca="1">_xlfn.FLOOR.MATH(E320/24)</f>
        <v>41</v>
      </c>
    </row>
    <row r="321" spans="1:6">
      <c r="A321" s="1">
        <v>316</v>
      </c>
      <c r="B321" s="1">
        <f>A321*控制台!$E$4959</f>
        <v>1137600</v>
      </c>
      <c r="C321" s="1">
        <f ca="1">OFFSET(控制台!$C$4968,MATCH(A321,控制台!$B$4968:$B$4976,1)-1,0)</f>
        <v>6</v>
      </c>
      <c r="D321" s="4">
        <f ca="1" t="shared" si="10"/>
        <v>6800000</v>
      </c>
      <c r="E321" s="1">
        <f ca="1" t="shared" si="9"/>
        <v>1011</v>
      </c>
      <c r="F321" s="1">
        <f ca="1">_xlfn.FLOOR.MATH(E321/24)</f>
        <v>42</v>
      </c>
    </row>
    <row r="322" spans="1:6">
      <c r="A322" s="1">
        <v>317</v>
      </c>
      <c r="B322" s="1">
        <f>A322*控制台!$E$4959</f>
        <v>1141200</v>
      </c>
      <c r="C322" s="1">
        <f ca="1">OFFSET(控制台!$C$4968,MATCH(A322,控制台!$B$4968:$B$4976,1)-1,0)</f>
        <v>6</v>
      </c>
      <c r="D322" s="4">
        <f ca="1" t="shared" si="10"/>
        <v>6800000</v>
      </c>
      <c r="E322" s="1">
        <f ca="1" t="shared" si="9"/>
        <v>1017</v>
      </c>
      <c r="F322" s="1">
        <f ca="1">_xlfn.FLOOR.MATH(E322/24)</f>
        <v>42</v>
      </c>
    </row>
    <row r="323" spans="1:6">
      <c r="A323" s="1">
        <v>318</v>
      </c>
      <c r="B323" s="1">
        <f>A323*控制台!$E$4959</f>
        <v>1144800</v>
      </c>
      <c r="C323" s="1">
        <f ca="1">OFFSET(控制台!$C$4968,MATCH(A323,控制台!$B$4968:$B$4976,1)-1,0)</f>
        <v>6</v>
      </c>
      <c r="D323" s="4">
        <f ca="1" t="shared" si="10"/>
        <v>6800000</v>
      </c>
      <c r="E323" s="1">
        <f ca="1" t="shared" si="9"/>
        <v>1023</v>
      </c>
      <c r="F323" s="1">
        <f ca="1">_xlfn.FLOOR.MATH(E323/24)</f>
        <v>42</v>
      </c>
    </row>
    <row r="324" spans="1:6">
      <c r="A324" s="1">
        <v>319</v>
      </c>
      <c r="B324" s="1">
        <f>A324*控制台!$E$4959</f>
        <v>1148400</v>
      </c>
      <c r="C324" s="1">
        <f ca="1">OFFSET(控制台!$C$4968,MATCH(A324,控制台!$B$4968:$B$4976,1)-1,0)</f>
        <v>6</v>
      </c>
      <c r="D324" s="4">
        <f ca="1" t="shared" si="10"/>
        <v>6900000</v>
      </c>
      <c r="E324" s="1">
        <f ca="1" t="shared" si="9"/>
        <v>1029</v>
      </c>
      <c r="F324" s="1">
        <f ca="1">_xlfn.FLOOR.MATH(E324/24)</f>
        <v>42</v>
      </c>
    </row>
    <row r="325" spans="1:6">
      <c r="A325" s="1">
        <v>320</v>
      </c>
      <c r="B325" s="1">
        <f>A325*控制台!$E$4959</f>
        <v>1152000</v>
      </c>
      <c r="C325" s="1">
        <f ca="1">OFFSET(控制台!$C$4968,MATCH(A325,控制台!$B$4968:$B$4976,1)-1,0)</f>
        <v>6</v>
      </c>
      <c r="D325" s="4">
        <f ca="1" t="shared" si="10"/>
        <v>6900000</v>
      </c>
      <c r="E325" s="1">
        <f ca="1" t="shared" si="9"/>
        <v>1035</v>
      </c>
      <c r="F325" s="1">
        <f ca="1">_xlfn.FLOOR.MATH(E325/24)</f>
        <v>43</v>
      </c>
    </row>
    <row r="326" spans="1:6">
      <c r="A326" s="1">
        <v>321</v>
      </c>
      <c r="B326" s="1">
        <f>A326*控制台!$E$4959</f>
        <v>1155600</v>
      </c>
      <c r="C326" s="1">
        <f ca="1">OFFSET(控制台!$C$4968,MATCH(A326,控制台!$B$4968:$B$4976,1)-1,0)</f>
        <v>6</v>
      </c>
      <c r="D326" s="4">
        <f ca="1" t="shared" si="10"/>
        <v>6900000</v>
      </c>
      <c r="E326" s="1">
        <f ca="1" t="shared" si="9"/>
        <v>1041</v>
      </c>
      <c r="F326" s="1">
        <f ca="1">_xlfn.FLOOR.MATH(E326/24)</f>
        <v>43</v>
      </c>
    </row>
    <row r="327" spans="1:6">
      <c r="A327" s="1">
        <v>322</v>
      </c>
      <c r="B327" s="1">
        <f>A327*控制台!$E$4959</f>
        <v>1159200</v>
      </c>
      <c r="C327" s="1">
        <f ca="1">OFFSET(控制台!$C$4968,MATCH(A327,控制台!$B$4968:$B$4976,1)-1,0)</f>
        <v>6</v>
      </c>
      <c r="D327" s="4">
        <f ca="1" t="shared" si="10"/>
        <v>6900000</v>
      </c>
      <c r="E327" s="1">
        <f ca="1" t="shared" si="9"/>
        <v>1047</v>
      </c>
      <c r="F327" s="1">
        <f ca="1">_xlfn.FLOOR.MATH(E327/24)</f>
        <v>43</v>
      </c>
    </row>
    <row r="328" spans="1:6">
      <c r="A328" s="1">
        <v>323</v>
      </c>
      <c r="B328" s="1">
        <f>A328*控制台!$E$4959</f>
        <v>1162800</v>
      </c>
      <c r="C328" s="1">
        <f ca="1">OFFSET(控制台!$C$4968,MATCH(A328,控制台!$B$4968:$B$4976,1)-1,0)</f>
        <v>6</v>
      </c>
      <c r="D328" s="4">
        <f ca="1" t="shared" si="10"/>
        <v>7000000</v>
      </c>
      <c r="E328" s="1">
        <f ca="1" t="shared" ref="E328:E391" si="11">E327+C328</f>
        <v>1053</v>
      </c>
      <c r="F328" s="1">
        <f ca="1">_xlfn.FLOOR.MATH(E328/24)</f>
        <v>43</v>
      </c>
    </row>
    <row r="329" spans="1:6">
      <c r="A329" s="1">
        <v>324</v>
      </c>
      <c r="B329" s="1">
        <f>A329*控制台!$E$4959</f>
        <v>1166400</v>
      </c>
      <c r="C329" s="1">
        <f ca="1">OFFSET(控制台!$C$4968,MATCH(A329,控制台!$B$4968:$B$4976,1)-1,0)</f>
        <v>6</v>
      </c>
      <c r="D329" s="4">
        <f ca="1" t="shared" si="10"/>
        <v>7000000</v>
      </c>
      <c r="E329" s="1">
        <f ca="1" t="shared" si="11"/>
        <v>1059</v>
      </c>
      <c r="F329" s="1">
        <f ca="1">_xlfn.FLOOR.MATH(E329/24)</f>
        <v>44</v>
      </c>
    </row>
    <row r="330" spans="1:6">
      <c r="A330" s="1">
        <v>325</v>
      </c>
      <c r="B330" s="1">
        <f>A330*控制台!$E$4959</f>
        <v>1170000</v>
      </c>
      <c r="C330" s="1">
        <f ca="1">OFFSET(控制台!$C$4968,MATCH(A330,控制台!$B$4968:$B$4976,1)-1,0)</f>
        <v>6</v>
      </c>
      <c r="D330" s="4">
        <f ca="1" t="shared" si="10"/>
        <v>7000000</v>
      </c>
      <c r="E330" s="1">
        <f ca="1" t="shared" si="11"/>
        <v>1065</v>
      </c>
      <c r="F330" s="1">
        <f ca="1">_xlfn.FLOOR.MATH(E330/24)</f>
        <v>44</v>
      </c>
    </row>
    <row r="331" spans="1:6">
      <c r="A331" s="1">
        <v>326</v>
      </c>
      <c r="B331" s="1">
        <f>A331*控制台!$E$4959</f>
        <v>1173600</v>
      </c>
      <c r="C331" s="1">
        <f ca="1">OFFSET(控制台!$C$4968,MATCH(A331,控制台!$B$4968:$B$4976,1)-1,0)</f>
        <v>6</v>
      </c>
      <c r="D331" s="4">
        <f ca="1" t="shared" si="10"/>
        <v>7000000</v>
      </c>
      <c r="E331" s="1">
        <f ca="1" t="shared" si="11"/>
        <v>1071</v>
      </c>
      <c r="F331" s="1">
        <f ca="1">_xlfn.FLOOR.MATH(E331/24)</f>
        <v>44</v>
      </c>
    </row>
    <row r="332" spans="1:6">
      <c r="A332" s="1">
        <v>327</v>
      </c>
      <c r="B332" s="1">
        <f>A332*控制台!$E$4959</f>
        <v>1177200</v>
      </c>
      <c r="C332" s="1">
        <f ca="1">OFFSET(控制台!$C$4968,MATCH(A332,控制台!$B$4968:$B$4976,1)-1,0)</f>
        <v>6</v>
      </c>
      <c r="D332" s="4">
        <f ca="1" t="shared" si="10"/>
        <v>7000000</v>
      </c>
      <c r="E332" s="1">
        <f ca="1" t="shared" si="11"/>
        <v>1077</v>
      </c>
      <c r="F332" s="1">
        <f ca="1">_xlfn.FLOOR.MATH(E332/24)</f>
        <v>44</v>
      </c>
    </row>
    <row r="333" spans="1:6">
      <c r="A333" s="1">
        <v>328</v>
      </c>
      <c r="B333" s="1">
        <f>A333*控制台!$E$4959</f>
        <v>1180800</v>
      </c>
      <c r="C333" s="1">
        <f ca="1">OFFSET(控制台!$C$4968,MATCH(A333,控制台!$B$4968:$B$4976,1)-1,0)</f>
        <v>6</v>
      </c>
      <c r="D333" s="4">
        <f ca="1" t="shared" si="10"/>
        <v>7100000</v>
      </c>
      <c r="E333" s="1">
        <f ca="1" t="shared" si="11"/>
        <v>1083</v>
      </c>
      <c r="F333" s="1">
        <f ca="1">_xlfn.FLOOR.MATH(E333/24)</f>
        <v>45</v>
      </c>
    </row>
    <row r="334" spans="1:6">
      <c r="A334" s="1">
        <v>329</v>
      </c>
      <c r="B334" s="1">
        <f>A334*控制台!$E$4959</f>
        <v>1184400</v>
      </c>
      <c r="C334" s="1">
        <f ca="1">OFFSET(控制台!$C$4968,MATCH(A334,控制台!$B$4968:$B$4976,1)-1,0)</f>
        <v>6</v>
      </c>
      <c r="D334" s="4">
        <f ca="1" t="shared" si="10"/>
        <v>7100000</v>
      </c>
      <c r="E334" s="1">
        <f ca="1" t="shared" si="11"/>
        <v>1089</v>
      </c>
      <c r="F334" s="1">
        <f ca="1">_xlfn.FLOOR.MATH(E334/24)</f>
        <v>45</v>
      </c>
    </row>
    <row r="335" spans="1:6">
      <c r="A335" s="1">
        <v>330</v>
      </c>
      <c r="B335" s="1">
        <f>A335*控制台!$E$4959</f>
        <v>1188000</v>
      </c>
      <c r="C335" s="1">
        <f ca="1">OFFSET(控制台!$C$4968,MATCH(A335,控制台!$B$4968:$B$4976,1)-1,0)</f>
        <v>6</v>
      </c>
      <c r="D335" s="4">
        <f ca="1" t="shared" si="10"/>
        <v>7100000</v>
      </c>
      <c r="E335" s="1">
        <f ca="1" t="shared" si="11"/>
        <v>1095</v>
      </c>
      <c r="F335" s="1">
        <f ca="1">_xlfn.FLOOR.MATH(E335/24)</f>
        <v>45</v>
      </c>
    </row>
    <row r="336" spans="1:6">
      <c r="A336" s="1">
        <v>331</v>
      </c>
      <c r="B336" s="1">
        <f>A336*控制台!$E$4959</f>
        <v>1191600</v>
      </c>
      <c r="C336" s="1">
        <f ca="1">OFFSET(控制台!$C$4968,MATCH(A336,控制台!$B$4968:$B$4976,1)-1,0)</f>
        <v>6</v>
      </c>
      <c r="D336" s="4">
        <f ca="1" t="shared" si="10"/>
        <v>7100000</v>
      </c>
      <c r="E336" s="1">
        <f ca="1" t="shared" si="11"/>
        <v>1101</v>
      </c>
      <c r="F336" s="1">
        <f ca="1">_xlfn.FLOOR.MATH(E336/24)</f>
        <v>45</v>
      </c>
    </row>
    <row r="337" spans="1:6">
      <c r="A337" s="1">
        <v>332</v>
      </c>
      <c r="B337" s="1">
        <f>A337*控制台!$E$4959</f>
        <v>1195200</v>
      </c>
      <c r="C337" s="1">
        <f ca="1">OFFSET(控制台!$C$4968,MATCH(A337,控制台!$B$4968:$B$4976,1)-1,0)</f>
        <v>6</v>
      </c>
      <c r="D337" s="4">
        <f ca="1" t="shared" si="10"/>
        <v>7100000</v>
      </c>
      <c r="E337" s="1">
        <f ca="1" t="shared" si="11"/>
        <v>1107</v>
      </c>
      <c r="F337" s="1">
        <f ca="1">_xlfn.FLOOR.MATH(E337/24)</f>
        <v>46</v>
      </c>
    </row>
    <row r="338" spans="1:6">
      <c r="A338" s="1">
        <v>333</v>
      </c>
      <c r="B338" s="1">
        <f>A338*控制台!$E$4959</f>
        <v>1198800</v>
      </c>
      <c r="C338" s="1">
        <f ca="1">OFFSET(控制台!$C$4968,MATCH(A338,控制台!$B$4968:$B$4976,1)-1,0)</f>
        <v>6</v>
      </c>
      <c r="D338" s="4">
        <f ca="1" t="shared" si="10"/>
        <v>7200000</v>
      </c>
      <c r="E338" s="1">
        <f ca="1" t="shared" si="11"/>
        <v>1113</v>
      </c>
      <c r="F338" s="1">
        <f ca="1">_xlfn.FLOOR.MATH(E338/24)</f>
        <v>46</v>
      </c>
    </row>
    <row r="339" spans="1:6">
      <c r="A339" s="1">
        <v>334</v>
      </c>
      <c r="B339" s="1">
        <f>A339*控制台!$E$4959</f>
        <v>1202400</v>
      </c>
      <c r="C339" s="1">
        <f ca="1">OFFSET(控制台!$C$4968,MATCH(A339,控制台!$B$4968:$B$4976,1)-1,0)</f>
        <v>6</v>
      </c>
      <c r="D339" s="4">
        <f ca="1" t="shared" si="10"/>
        <v>7200000</v>
      </c>
      <c r="E339" s="1">
        <f ca="1" t="shared" si="11"/>
        <v>1119</v>
      </c>
      <c r="F339" s="1">
        <f ca="1">_xlfn.FLOOR.MATH(E339/24)</f>
        <v>46</v>
      </c>
    </row>
    <row r="340" spans="1:6">
      <c r="A340" s="1">
        <v>335</v>
      </c>
      <c r="B340" s="1">
        <f>A340*控制台!$E$4959</f>
        <v>1206000</v>
      </c>
      <c r="C340" s="1">
        <f ca="1">OFFSET(控制台!$C$4968,MATCH(A340,控制台!$B$4968:$B$4976,1)-1,0)</f>
        <v>6</v>
      </c>
      <c r="D340" s="4">
        <f ca="1" t="shared" si="10"/>
        <v>7200000</v>
      </c>
      <c r="E340" s="1">
        <f ca="1" t="shared" si="11"/>
        <v>1125</v>
      </c>
      <c r="F340" s="1">
        <f ca="1">_xlfn.FLOOR.MATH(E340/24)</f>
        <v>46</v>
      </c>
    </row>
    <row r="341" spans="1:6">
      <c r="A341" s="1">
        <v>336</v>
      </c>
      <c r="B341" s="1">
        <f>A341*控制台!$E$4959</f>
        <v>1209600</v>
      </c>
      <c r="C341" s="1">
        <f ca="1">OFFSET(控制台!$C$4968,MATCH(A341,控制台!$B$4968:$B$4976,1)-1,0)</f>
        <v>6</v>
      </c>
      <c r="D341" s="4">
        <f ca="1" t="shared" si="10"/>
        <v>7200000</v>
      </c>
      <c r="E341" s="1">
        <f ca="1" t="shared" si="11"/>
        <v>1131</v>
      </c>
      <c r="F341" s="1">
        <f ca="1">_xlfn.FLOOR.MATH(E341/24)</f>
        <v>47</v>
      </c>
    </row>
    <row r="342" spans="1:6">
      <c r="A342" s="1">
        <v>337</v>
      </c>
      <c r="B342" s="1">
        <f>A342*控制台!$E$4959</f>
        <v>1213200</v>
      </c>
      <c r="C342" s="1">
        <f ca="1">OFFSET(控制台!$C$4968,MATCH(A342,控制台!$B$4968:$B$4976,1)-1,0)</f>
        <v>6</v>
      </c>
      <c r="D342" s="4">
        <f ca="1" t="shared" si="10"/>
        <v>7300000</v>
      </c>
      <c r="E342" s="1">
        <f ca="1" t="shared" si="11"/>
        <v>1137</v>
      </c>
      <c r="F342" s="1">
        <f ca="1">_xlfn.FLOOR.MATH(E342/24)</f>
        <v>47</v>
      </c>
    </row>
    <row r="343" spans="1:6">
      <c r="A343" s="1">
        <v>338</v>
      </c>
      <c r="B343" s="1">
        <f>A343*控制台!$E$4959</f>
        <v>1216800</v>
      </c>
      <c r="C343" s="1">
        <f ca="1">OFFSET(控制台!$C$4968,MATCH(A343,控制台!$B$4968:$B$4976,1)-1,0)</f>
        <v>6</v>
      </c>
      <c r="D343" s="4">
        <f ca="1" t="shared" si="10"/>
        <v>7300000</v>
      </c>
      <c r="E343" s="1">
        <f ca="1" t="shared" si="11"/>
        <v>1143</v>
      </c>
      <c r="F343" s="1">
        <f ca="1">_xlfn.FLOOR.MATH(E343/24)</f>
        <v>47</v>
      </c>
    </row>
    <row r="344" spans="1:6">
      <c r="A344" s="1">
        <v>339</v>
      </c>
      <c r="B344" s="1">
        <f>A344*控制台!$E$4959</f>
        <v>1220400</v>
      </c>
      <c r="C344" s="1">
        <f ca="1">OFFSET(控制台!$C$4968,MATCH(A344,控制台!$B$4968:$B$4976,1)-1,0)</f>
        <v>6</v>
      </c>
      <c r="D344" s="4">
        <f ca="1" t="shared" si="10"/>
        <v>7300000</v>
      </c>
      <c r="E344" s="1">
        <f ca="1" t="shared" si="11"/>
        <v>1149</v>
      </c>
      <c r="F344" s="1">
        <f ca="1">_xlfn.FLOOR.MATH(E344/24)</f>
        <v>47</v>
      </c>
    </row>
    <row r="345" spans="1:6">
      <c r="A345" s="1">
        <v>340</v>
      </c>
      <c r="B345" s="1">
        <f>A345*控制台!$E$4959</f>
        <v>1224000</v>
      </c>
      <c r="C345" s="1">
        <f ca="1">OFFSET(控制台!$C$4968,MATCH(A345,控制台!$B$4968:$B$4976,1)-1,0)</f>
        <v>6</v>
      </c>
      <c r="D345" s="4">
        <f ca="1" t="shared" si="10"/>
        <v>7300000</v>
      </c>
      <c r="E345" s="1">
        <f ca="1" t="shared" si="11"/>
        <v>1155</v>
      </c>
      <c r="F345" s="1">
        <f ca="1">_xlfn.FLOOR.MATH(E345/24)</f>
        <v>48</v>
      </c>
    </row>
    <row r="346" spans="1:6">
      <c r="A346" s="1">
        <v>341</v>
      </c>
      <c r="B346" s="1">
        <f>A346*控制台!$E$4959</f>
        <v>1227600</v>
      </c>
      <c r="C346" s="1">
        <f ca="1">OFFSET(控制台!$C$4968,MATCH(A346,控制台!$B$4968:$B$4976,1)-1,0)</f>
        <v>6</v>
      </c>
      <c r="D346" s="4">
        <f ca="1" t="shared" si="10"/>
        <v>7300000</v>
      </c>
      <c r="E346" s="1">
        <f ca="1" t="shared" si="11"/>
        <v>1161</v>
      </c>
      <c r="F346" s="1">
        <f ca="1">_xlfn.FLOOR.MATH(E346/24)</f>
        <v>48</v>
      </c>
    </row>
    <row r="347" spans="1:6">
      <c r="A347" s="1">
        <v>342</v>
      </c>
      <c r="B347" s="1">
        <f>A347*控制台!$E$4959</f>
        <v>1231200</v>
      </c>
      <c r="C347" s="1">
        <f ca="1">OFFSET(控制台!$C$4968,MATCH(A347,控制台!$B$4968:$B$4976,1)-1,0)</f>
        <v>6</v>
      </c>
      <c r="D347" s="4">
        <f ca="1" t="shared" si="10"/>
        <v>7400000</v>
      </c>
      <c r="E347" s="1">
        <f ca="1" t="shared" si="11"/>
        <v>1167</v>
      </c>
      <c r="F347" s="1">
        <f ca="1">_xlfn.FLOOR.MATH(E347/24)</f>
        <v>48</v>
      </c>
    </row>
    <row r="348" spans="1:6">
      <c r="A348" s="1">
        <v>343</v>
      </c>
      <c r="B348" s="1">
        <f>A348*控制台!$E$4959</f>
        <v>1234800</v>
      </c>
      <c r="C348" s="1">
        <f ca="1">OFFSET(控制台!$C$4968,MATCH(A348,控制台!$B$4968:$B$4976,1)-1,0)</f>
        <v>6</v>
      </c>
      <c r="D348" s="4">
        <f ca="1" t="shared" si="10"/>
        <v>7400000</v>
      </c>
      <c r="E348" s="1">
        <f ca="1" t="shared" si="11"/>
        <v>1173</v>
      </c>
      <c r="F348" s="1">
        <f ca="1">_xlfn.FLOOR.MATH(E348/24)</f>
        <v>48</v>
      </c>
    </row>
    <row r="349" spans="1:6">
      <c r="A349" s="1">
        <v>344</v>
      </c>
      <c r="B349" s="1">
        <f>A349*控制台!$E$4959</f>
        <v>1238400</v>
      </c>
      <c r="C349" s="1">
        <f ca="1">OFFSET(控制台!$C$4968,MATCH(A349,控制台!$B$4968:$B$4976,1)-1,0)</f>
        <v>6</v>
      </c>
      <c r="D349" s="4">
        <f ca="1" t="shared" si="10"/>
        <v>7400000</v>
      </c>
      <c r="E349" s="1">
        <f ca="1" t="shared" si="11"/>
        <v>1179</v>
      </c>
      <c r="F349" s="1">
        <f ca="1">_xlfn.FLOOR.MATH(E349/24)</f>
        <v>49</v>
      </c>
    </row>
    <row r="350" spans="1:6">
      <c r="A350" s="1">
        <v>345</v>
      </c>
      <c r="B350" s="1">
        <f>A350*控制台!$E$4959</f>
        <v>1242000</v>
      </c>
      <c r="C350" s="1">
        <f ca="1">OFFSET(控制台!$C$4968,MATCH(A350,控制台!$B$4968:$B$4976,1)-1,0)</f>
        <v>6</v>
      </c>
      <c r="D350" s="4">
        <f ca="1" t="shared" si="10"/>
        <v>7400000</v>
      </c>
      <c r="E350" s="1">
        <f ca="1" t="shared" si="11"/>
        <v>1185</v>
      </c>
      <c r="F350" s="1">
        <f ca="1">_xlfn.FLOOR.MATH(E350/24)</f>
        <v>49</v>
      </c>
    </row>
    <row r="351" spans="1:6">
      <c r="A351" s="1">
        <v>346</v>
      </c>
      <c r="B351" s="1">
        <f>A351*控制台!$E$4959</f>
        <v>1245600</v>
      </c>
      <c r="C351" s="1">
        <f ca="1">OFFSET(控制台!$C$4968,MATCH(A351,控制台!$B$4968:$B$4976,1)-1,0)</f>
        <v>6</v>
      </c>
      <c r="D351" s="4">
        <f ca="1" t="shared" si="10"/>
        <v>7500000</v>
      </c>
      <c r="E351" s="1">
        <f ca="1" t="shared" si="11"/>
        <v>1191</v>
      </c>
      <c r="F351" s="1">
        <f ca="1">_xlfn.FLOOR.MATH(E351/24)</f>
        <v>49</v>
      </c>
    </row>
    <row r="352" spans="1:6">
      <c r="A352" s="1">
        <v>347</v>
      </c>
      <c r="B352" s="1">
        <f>A352*控制台!$E$4959</f>
        <v>1249200</v>
      </c>
      <c r="C352" s="1">
        <f ca="1">OFFSET(控制台!$C$4968,MATCH(A352,控制台!$B$4968:$B$4976,1)-1,0)</f>
        <v>6</v>
      </c>
      <c r="D352" s="4">
        <f ca="1" t="shared" si="10"/>
        <v>7500000</v>
      </c>
      <c r="E352" s="1">
        <f ca="1" t="shared" si="11"/>
        <v>1197</v>
      </c>
      <c r="F352" s="1">
        <f ca="1">_xlfn.FLOOR.MATH(E352/24)</f>
        <v>49</v>
      </c>
    </row>
    <row r="353" spans="1:6">
      <c r="A353" s="1">
        <v>348</v>
      </c>
      <c r="B353" s="1">
        <f>A353*控制台!$E$4959</f>
        <v>1252800</v>
      </c>
      <c r="C353" s="1">
        <f ca="1">OFFSET(控制台!$C$4968,MATCH(A353,控制台!$B$4968:$B$4976,1)-1,0)</f>
        <v>6</v>
      </c>
      <c r="D353" s="4">
        <f ca="1" t="shared" si="10"/>
        <v>7500000</v>
      </c>
      <c r="E353" s="1">
        <f ca="1" t="shared" si="11"/>
        <v>1203</v>
      </c>
      <c r="F353" s="1">
        <f ca="1">_xlfn.FLOOR.MATH(E353/24)</f>
        <v>50</v>
      </c>
    </row>
    <row r="354" spans="1:6">
      <c r="A354" s="1">
        <v>349</v>
      </c>
      <c r="B354" s="1">
        <f>A354*控制台!$E$4959</f>
        <v>1256400</v>
      </c>
      <c r="C354" s="1">
        <f ca="1">OFFSET(控制台!$C$4968,MATCH(A354,控制台!$B$4968:$B$4976,1)-1,0)</f>
        <v>6</v>
      </c>
      <c r="D354" s="4">
        <f ca="1" t="shared" si="10"/>
        <v>7500000</v>
      </c>
      <c r="E354" s="1">
        <f ca="1" t="shared" si="11"/>
        <v>1209</v>
      </c>
      <c r="F354" s="1">
        <f ca="1">_xlfn.FLOOR.MATH(E354/24)</f>
        <v>50</v>
      </c>
    </row>
    <row r="355" spans="1:6">
      <c r="A355" s="1">
        <v>350</v>
      </c>
      <c r="B355" s="1">
        <f>A355*控制台!$E$4959</f>
        <v>1260000</v>
      </c>
      <c r="C355" s="1">
        <f ca="1">OFFSET(控制台!$C$4968,MATCH(A355,控制台!$B$4968:$B$4976,1)-1,0)</f>
        <v>6</v>
      </c>
      <c r="D355" s="4">
        <f ca="1" t="shared" si="10"/>
        <v>7500000</v>
      </c>
      <c r="E355" s="1">
        <f ca="1" t="shared" si="11"/>
        <v>1215</v>
      </c>
      <c r="F355" s="1">
        <f ca="1">_xlfn.FLOOR.MATH(E355/24)</f>
        <v>50</v>
      </c>
    </row>
    <row r="356" spans="1:6">
      <c r="A356" s="1">
        <v>351</v>
      </c>
      <c r="B356" s="1">
        <f>A356*控制台!$E$4959</f>
        <v>1263600</v>
      </c>
      <c r="C356" s="1">
        <f ca="1">OFFSET(控制台!$C$4968,MATCH(A356,控制台!$B$4968:$B$4976,1)-1,0)</f>
        <v>6</v>
      </c>
      <c r="D356" s="4">
        <f ca="1" t="shared" si="10"/>
        <v>7600000</v>
      </c>
      <c r="E356" s="1">
        <f ca="1" t="shared" si="11"/>
        <v>1221</v>
      </c>
      <c r="F356" s="1">
        <f ca="1">_xlfn.FLOOR.MATH(E356/24)</f>
        <v>50</v>
      </c>
    </row>
    <row r="357" spans="1:6">
      <c r="A357" s="1">
        <v>352</v>
      </c>
      <c r="B357" s="1">
        <f>A357*控制台!$E$4959</f>
        <v>1267200</v>
      </c>
      <c r="C357" s="1">
        <f ca="1">OFFSET(控制台!$C$4968,MATCH(A357,控制台!$B$4968:$B$4976,1)-1,0)</f>
        <v>6</v>
      </c>
      <c r="D357" s="4">
        <f ca="1" t="shared" si="10"/>
        <v>7600000</v>
      </c>
      <c r="E357" s="1">
        <f ca="1" t="shared" si="11"/>
        <v>1227</v>
      </c>
      <c r="F357" s="1">
        <f ca="1">_xlfn.FLOOR.MATH(E357/24)</f>
        <v>51</v>
      </c>
    </row>
    <row r="358" spans="1:6">
      <c r="A358" s="1">
        <v>353</v>
      </c>
      <c r="B358" s="1">
        <f>A358*控制台!$E$4959</f>
        <v>1270800</v>
      </c>
      <c r="C358" s="1">
        <f ca="1">OFFSET(控制台!$C$4968,MATCH(A358,控制台!$B$4968:$B$4976,1)-1,0)</f>
        <v>6</v>
      </c>
      <c r="D358" s="4">
        <f ca="1" t="shared" si="10"/>
        <v>7600000</v>
      </c>
      <c r="E358" s="1">
        <f ca="1" t="shared" si="11"/>
        <v>1233</v>
      </c>
      <c r="F358" s="1">
        <f ca="1">_xlfn.FLOOR.MATH(E358/24)</f>
        <v>51</v>
      </c>
    </row>
    <row r="359" spans="1:6">
      <c r="A359" s="1">
        <v>354</v>
      </c>
      <c r="B359" s="1">
        <f>A359*控制台!$E$4959</f>
        <v>1274400</v>
      </c>
      <c r="C359" s="1">
        <f ca="1">OFFSET(控制台!$C$4968,MATCH(A359,控制台!$B$4968:$B$4976,1)-1,0)</f>
        <v>6</v>
      </c>
      <c r="D359" s="4">
        <f ca="1" t="shared" si="10"/>
        <v>7600000</v>
      </c>
      <c r="E359" s="1">
        <f ca="1" t="shared" si="11"/>
        <v>1239</v>
      </c>
      <c r="F359" s="1">
        <f ca="1">_xlfn.FLOOR.MATH(E359/24)</f>
        <v>51</v>
      </c>
    </row>
    <row r="360" spans="1:6">
      <c r="A360" s="1">
        <v>355</v>
      </c>
      <c r="B360" s="1">
        <f>A360*控制台!$E$4959</f>
        <v>1278000</v>
      </c>
      <c r="C360" s="1">
        <f ca="1">OFFSET(控制台!$C$4968,MATCH(A360,控制台!$B$4968:$B$4976,1)-1,0)</f>
        <v>6</v>
      </c>
      <c r="D360" s="4">
        <f ca="1" t="shared" si="10"/>
        <v>7600000</v>
      </c>
      <c r="E360" s="1">
        <f ca="1" t="shared" si="11"/>
        <v>1245</v>
      </c>
      <c r="F360" s="1">
        <f ca="1">_xlfn.FLOOR.MATH(E360/24)</f>
        <v>51</v>
      </c>
    </row>
    <row r="361" spans="1:6">
      <c r="A361" s="1">
        <v>356</v>
      </c>
      <c r="B361" s="1">
        <f>A361*控制台!$E$4959</f>
        <v>1281600</v>
      </c>
      <c r="C361" s="1">
        <f ca="1">OFFSET(控制台!$C$4968,MATCH(A361,控制台!$B$4968:$B$4976,1)-1,0)</f>
        <v>6</v>
      </c>
      <c r="D361" s="4">
        <f ca="1" t="shared" si="10"/>
        <v>7700000</v>
      </c>
      <c r="E361" s="1">
        <f ca="1" t="shared" si="11"/>
        <v>1251</v>
      </c>
      <c r="F361" s="1">
        <f ca="1">_xlfn.FLOOR.MATH(E361/24)</f>
        <v>52</v>
      </c>
    </row>
    <row r="362" spans="1:6">
      <c r="A362" s="1">
        <v>357</v>
      </c>
      <c r="B362" s="1">
        <f>A362*控制台!$E$4959</f>
        <v>1285200</v>
      </c>
      <c r="C362" s="1">
        <f ca="1">OFFSET(控制台!$C$4968,MATCH(A362,控制台!$B$4968:$B$4976,1)-1,0)</f>
        <v>6</v>
      </c>
      <c r="D362" s="4">
        <f ca="1" t="shared" si="10"/>
        <v>7700000</v>
      </c>
      <c r="E362" s="1">
        <f ca="1" t="shared" si="11"/>
        <v>1257</v>
      </c>
      <c r="F362" s="1">
        <f ca="1">_xlfn.FLOOR.MATH(E362/24)</f>
        <v>52</v>
      </c>
    </row>
    <row r="363" spans="1:6">
      <c r="A363" s="1">
        <v>358</v>
      </c>
      <c r="B363" s="1">
        <f>A363*控制台!$E$4959</f>
        <v>1288800</v>
      </c>
      <c r="C363" s="1">
        <f ca="1">OFFSET(控制台!$C$4968,MATCH(A363,控制台!$B$4968:$B$4976,1)-1,0)</f>
        <v>6</v>
      </c>
      <c r="D363" s="4">
        <f ca="1" t="shared" si="10"/>
        <v>7700000</v>
      </c>
      <c r="E363" s="1">
        <f ca="1" t="shared" si="11"/>
        <v>1263</v>
      </c>
      <c r="F363" s="1">
        <f ca="1">_xlfn.FLOOR.MATH(E363/24)</f>
        <v>52</v>
      </c>
    </row>
    <row r="364" spans="1:6">
      <c r="A364" s="1">
        <v>359</v>
      </c>
      <c r="B364" s="1">
        <f>A364*控制台!$E$4959</f>
        <v>1292400</v>
      </c>
      <c r="C364" s="1">
        <f ca="1">OFFSET(控制台!$C$4968,MATCH(A364,控制台!$B$4968:$B$4976,1)-1,0)</f>
        <v>6</v>
      </c>
      <c r="D364" s="4">
        <f ca="1" t="shared" si="10"/>
        <v>7700000</v>
      </c>
      <c r="E364" s="1">
        <f ca="1" t="shared" si="11"/>
        <v>1269</v>
      </c>
      <c r="F364" s="1">
        <f ca="1">_xlfn.FLOOR.MATH(E364/24)</f>
        <v>52</v>
      </c>
    </row>
    <row r="365" spans="1:6">
      <c r="A365" s="1">
        <v>360</v>
      </c>
      <c r="B365" s="1">
        <f>A365*控制台!$E$4959</f>
        <v>1296000</v>
      </c>
      <c r="C365" s="1">
        <f ca="1">OFFSET(控制台!$C$4968,MATCH(A365,控制台!$B$4968:$B$4976,1)-1,0)</f>
        <v>6</v>
      </c>
      <c r="D365" s="4">
        <f ca="1" t="shared" si="10"/>
        <v>7800000</v>
      </c>
      <c r="E365" s="1">
        <f ca="1" t="shared" si="11"/>
        <v>1275</v>
      </c>
      <c r="F365" s="1">
        <f ca="1">_xlfn.FLOOR.MATH(E365/24)</f>
        <v>53</v>
      </c>
    </row>
    <row r="366" spans="1:6">
      <c r="A366" s="1">
        <v>361</v>
      </c>
      <c r="B366" s="1">
        <f>A366*控制台!$E$4959</f>
        <v>1299600</v>
      </c>
      <c r="C366" s="1">
        <f ca="1">OFFSET(控制台!$C$4968,MATCH(A366,控制台!$B$4968:$B$4976,1)-1,0)</f>
        <v>6</v>
      </c>
      <c r="D366" s="4">
        <f ca="1" t="shared" si="10"/>
        <v>7800000</v>
      </c>
      <c r="E366" s="1">
        <f ca="1" t="shared" si="11"/>
        <v>1281</v>
      </c>
      <c r="F366" s="1">
        <f ca="1">_xlfn.FLOOR.MATH(E366/24)</f>
        <v>53</v>
      </c>
    </row>
    <row r="367" spans="1:6">
      <c r="A367" s="1">
        <v>362</v>
      </c>
      <c r="B367" s="1">
        <f>A367*控制台!$E$4959</f>
        <v>1303200</v>
      </c>
      <c r="C367" s="1">
        <f ca="1">OFFSET(控制台!$C$4968,MATCH(A367,控制台!$B$4968:$B$4976,1)-1,0)</f>
        <v>6</v>
      </c>
      <c r="D367" s="4">
        <f ca="1" t="shared" si="10"/>
        <v>7800000</v>
      </c>
      <c r="E367" s="1">
        <f ca="1" t="shared" si="11"/>
        <v>1287</v>
      </c>
      <c r="F367" s="1">
        <f ca="1">_xlfn.FLOOR.MATH(E367/24)</f>
        <v>53</v>
      </c>
    </row>
    <row r="368" spans="1:6">
      <c r="A368" s="1">
        <v>363</v>
      </c>
      <c r="B368" s="1">
        <f>A368*控制台!$E$4959</f>
        <v>1306800</v>
      </c>
      <c r="C368" s="1">
        <f ca="1">OFFSET(控制台!$C$4968,MATCH(A368,控制台!$B$4968:$B$4976,1)-1,0)</f>
        <v>6</v>
      </c>
      <c r="D368" s="4">
        <f ca="1" t="shared" si="10"/>
        <v>7800000</v>
      </c>
      <c r="E368" s="1">
        <f ca="1" t="shared" si="11"/>
        <v>1293</v>
      </c>
      <c r="F368" s="1">
        <f ca="1">_xlfn.FLOOR.MATH(E368/24)</f>
        <v>53</v>
      </c>
    </row>
    <row r="369" spans="1:6">
      <c r="A369" s="1">
        <v>364</v>
      </c>
      <c r="B369" s="1">
        <f>A369*控制台!$E$4959</f>
        <v>1310400</v>
      </c>
      <c r="C369" s="1">
        <f ca="1">OFFSET(控制台!$C$4968,MATCH(A369,控制台!$B$4968:$B$4976,1)-1,0)</f>
        <v>6</v>
      </c>
      <c r="D369" s="4">
        <f ca="1" t="shared" si="10"/>
        <v>7800000</v>
      </c>
      <c r="E369" s="1">
        <f ca="1" t="shared" si="11"/>
        <v>1299</v>
      </c>
      <c r="F369" s="1">
        <f ca="1">_xlfn.FLOOR.MATH(E369/24)</f>
        <v>54</v>
      </c>
    </row>
    <row r="370" spans="1:6">
      <c r="A370" s="1">
        <v>365</v>
      </c>
      <c r="B370" s="1">
        <f>A370*控制台!$E$4959</f>
        <v>1314000</v>
      </c>
      <c r="C370" s="1">
        <f ca="1">OFFSET(控制台!$C$4968,MATCH(A370,控制台!$B$4968:$B$4976,1)-1,0)</f>
        <v>6</v>
      </c>
      <c r="D370" s="4">
        <f ca="1" t="shared" si="10"/>
        <v>7900000</v>
      </c>
      <c r="E370" s="1">
        <f ca="1" t="shared" si="11"/>
        <v>1305</v>
      </c>
      <c r="F370" s="1">
        <f ca="1">_xlfn.FLOOR.MATH(E370/24)</f>
        <v>54</v>
      </c>
    </row>
    <row r="371" spans="1:6">
      <c r="A371" s="1">
        <v>366</v>
      </c>
      <c r="B371" s="1">
        <f>A371*控制台!$E$4959</f>
        <v>1317600</v>
      </c>
      <c r="C371" s="1">
        <f ca="1">OFFSET(控制台!$C$4968,MATCH(A371,控制台!$B$4968:$B$4976,1)-1,0)</f>
        <v>6</v>
      </c>
      <c r="D371" s="4">
        <f ca="1" t="shared" ref="D371:D434" si="12">ROUND(C371*B370,1-INT(LOG10(C371*B370)))</f>
        <v>7900000</v>
      </c>
      <c r="E371" s="1">
        <f ca="1" t="shared" si="11"/>
        <v>1311</v>
      </c>
      <c r="F371" s="1">
        <f ca="1">_xlfn.FLOOR.MATH(E371/24)</f>
        <v>54</v>
      </c>
    </row>
    <row r="372" spans="1:6">
      <c r="A372" s="1">
        <v>367</v>
      </c>
      <c r="B372" s="1">
        <f>A372*控制台!$E$4959</f>
        <v>1321200</v>
      </c>
      <c r="C372" s="1">
        <f ca="1">OFFSET(控制台!$C$4968,MATCH(A372,控制台!$B$4968:$B$4976,1)-1,0)</f>
        <v>6</v>
      </c>
      <c r="D372" s="4">
        <f ca="1" t="shared" si="12"/>
        <v>7900000</v>
      </c>
      <c r="E372" s="1">
        <f ca="1" t="shared" si="11"/>
        <v>1317</v>
      </c>
      <c r="F372" s="1">
        <f ca="1">_xlfn.FLOOR.MATH(E372/24)</f>
        <v>54</v>
      </c>
    </row>
    <row r="373" spans="1:6">
      <c r="A373" s="1">
        <v>368</v>
      </c>
      <c r="B373" s="1">
        <f>A373*控制台!$E$4959</f>
        <v>1324800</v>
      </c>
      <c r="C373" s="1">
        <f ca="1">OFFSET(控制台!$C$4968,MATCH(A373,控制台!$B$4968:$B$4976,1)-1,0)</f>
        <v>6</v>
      </c>
      <c r="D373" s="4">
        <f ca="1" t="shared" si="12"/>
        <v>7900000</v>
      </c>
      <c r="E373" s="1">
        <f ca="1" t="shared" si="11"/>
        <v>1323</v>
      </c>
      <c r="F373" s="1">
        <f ca="1">_xlfn.FLOOR.MATH(E373/24)</f>
        <v>55</v>
      </c>
    </row>
    <row r="374" spans="1:6">
      <c r="A374" s="1">
        <v>369</v>
      </c>
      <c r="B374" s="1">
        <f>A374*控制台!$E$4959</f>
        <v>1328400</v>
      </c>
      <c r="C374" s="1">
        <f ca="1">OFFSET(控制台!$C$4968,MATCH(A374,控制台!$B$4968:$B$4976,1)-1,0)</f>
        <v>6</v>
      </c>
      <c r="D374" s="4">
        <f ca="1" t="shared" si="12"/>
        <v>7900000</v>
      </c>
      <c r="E374" s="1">
        <f ca="1" t="shared" si="11"/>
        <v>1329</v>
      </c>
      <c r="F374" s="1">
        <f ca="1">_xlfn.FLOOR.MATH(E374/24)</f>
        <v>55</v>
      </c>
    </row>
    <row r="375" spans="1:6">
      <c r="A375" s="1">
        <v>370</v>
      </c>
      <c r="B375" s="1">
        <f>A375*控制台!$E$4959</f>
        <v>1332000</v>
      </c>
      <c r="C375" s="1">
        <f ca="1">OFFSET(控制台!$C$4968,MATCH(A375,控制台!$B$4968:$B$4976,1)-1,0)</f>
        <v>6</v>
      </c>
      <c r="D375" s="4">
        <f ca="1" t="shared" si="12"/>
        <v>8000000</v>
      </c>
      <c r="E375" s="1">
        <f ca="1" t="shared" si="11"/>
        <v>1335</v>
      </c>
      <c r="F375" s="1">
        <f ca="1">_xlfn.FLOOR.MATH(E375/24)</f>
        <v>55</v>
      </c>
    </row>
    <row r="376" spans="1:6">
      <c r="A376" s="1">
        <v>371</v>
      </c>
      <c r="B376" s="1">
        <f>A376*控制台!$E$4959</f>
        <v>1335600</v>
      </c>
      <c r="C376" s="1">
        <f ca="1">OFFSET(控制台!$C$4968,MATCH(A376,控制台!$B$4968:$B$4976,1)-1,0)</f>
        <v>6</v>
      </c>
      <c r="D376" s="4">
        <f ca="1" t="shared" si="12"/>
        <v>8000000</v>
      </c>
      <c r="E376" s="1">
        <f ca="1" t="shared" si="11"/>
        <v>1341</v>
      </c>
      <c r="F376" s="1">
        <f ca="1">_xlfn.FLOOR.MATH(E376/24)</f>
        <v>55</v>
      </c>
    </row>
    <row r="377" spans="1:6">
      <c r="A377" s="1">
        <v>372</v>
      </c>
      <c r="B377" s="1">
        <f>A377*控制台!$E$4959</f>
        <v>1339200</v>
      </c>
      <c r="C377" s="1">
        <f ca="1">OFFSET(控制台!$C$4968,MATCH(A377,控制台!$B$4968:$B$4976,1)-1,0)</f>
        <v>6</v>
      </c>
      <c r="D377" s="4">
        <f ca="1" t="shared" si="12"/>
        <v>8000000</v>
      </c>
      <c r="E377" s="1">
        <f ca="1" t="shared" si="11"/>
        <v>1347</v>
      </c>
      <c r="F377" s="1">
        <f ca="1">_xlfn.FLOOR.MATH(E377/24)</f>
        <v>56</v>
      </c>
    </row>
    <row r="378" spans="1:6">
      <c r="A378" s="1">
        <v>373</v>
      </c>
      <c r="B378" s="1">
        <f>A378*控制台!$E$4959</f>
        <v>1342800</v>
      </c>
      <c r="C378" s="1">
        <f ca="1">OFFSET(控制台!$C$4968,MATCH(A378,控制台!$B$4968:$B$4976,1)-1,0)</f>
        <v>6</v>
      </c>
      <c r="D378" s="4">
        <f ca="1" t="shared" si="12"/>
        <v>8000000</v>
      </c>
      <c r="E378" s="1">
        <f ca="1" t="shared" si="11"/>
        <v>1353</v>
      </c>
      <c r="F378" s="1">
        <f ca="1">_xlfn.FLOOR.MATH(E378/24)</f>
        <v>56</v>
      </c>
    </row>
    <row r="379" spans="1:6">
      <c r="A379" s="1">
        <v>374</v>
      </c>
      <c r="B379" s="1">
        <f>A379*控制台!$E$4959</f>
        <v>1346400</v>
      </c>
      <c r="C379" s="1">
        <f ca="1">OFFSET(控制台!$C$4968,MATCH(A379,控制台!$B$4968:$B$4976,1)-1,0)</f>
        <v>6</v>
      </c>
      <c r="D379" s="4">
        <f ca="1" t="shared" si="12"/>
        <v>8100000</v>
      </c>
      <c r="E379" s="1">
        <f ca="1" t="shared" si="11"/>
        <v>1359</v>
      </c>
      <c r="F379" s="1">
        <f ca="1">_xlfn.FLOOR.MATH(E379/24)</f>
        <v>56</v>
      </c>
    </row>
    <row r="380" spans="1:6">
      <c r="A380" s="1">
        <v>375</v>
      </c>
      <c r="B380" s="1">
        <f>A380*控制台!$E$4959</f>
        <v>1350000</v>
      </c>
      <c r="C380" s="1">
        <f ca="1">OFFSET(控制台!$C$4968,MATCH(A380,控制台!$B$4968:$B$4976,1)-1,0)</f>
        <v>6</v>
      </c>
      <c r="D380" s="4">
        <f ca="1" t="shared" si="12"/>
        <v>8100000</v>
      </c>
      <c r="E380" s="1">
        <f ca="1" t="shared" si="11"/>
        <v>1365</v>
      </c>
      <c r="F380" s="1">
        <f ca="1">_xlfn.FLOOR.MATH(E380/24)</f>
        <v>56</v>
      </c>
    </row>
    <row r="381" spans="1:6">
      <c r="A381" s="1">
        <v>376</v>
      </c>
      <c r="B381" s="1">
        <f>A381*控制台!$E$4959</f>
        <v>1353600</v>
      </c>
      <c r="C381" s="1">
        <f ca="1">OFFSET(控制台!$C$4968,MATCH(A381,控制台!$B$4968:$B$4976,1)-1,0)</f>
        <v>6</v>
      </c>
      <c r="D381" s="4">
        <f ca="1" t="shared" si="12"/>
        <v>8100000</v>
      </c>
      <c r="E381" s="1">
        <f ca="1" t="shared" si="11"/>
        <v>1371</v>
      </c>
      <c r="F381" s="1">
        <f ca="1">_xlfn.FLOOR.MATH(E381/24)</f>
        <v>57</v>
      </c>
    </row>
    <row r="382" spans="1:6">
      <c r="A382" s="1">
        <v>377</v>
      </c>
      <c r="B382" s="1">
        <f>A382*控制台!$E$4959</f>
        <v>1357200</v>
      </c>
      <c r="C382" s="1">
        <f ca="1">OFFSET(控制台!$C$4968,MATCH(A382,控制台!$B$4968:$B$4976,1)-1,0)</f>
        <v>6</v>
      </c>
      <c r="D382" s="4">
        <f ca="1" t="shared" si="12"/>
        <v>8100000</v>
      </c>
      <c r="E382" s="1">
        <f ca="1" t="shared" si="11"/>
        <v>1377</v>
      </c>
      <c r="F382" s="1">
        <f ca="1">_xlfn.FLOOR.MATH(E382/24)</f>
        <v>57</v>
      </c>
    </row>
    <row r="383" spans="1:6">
      <c r="A383" s="1">
        <v>378</v>
      </c>
      <c r="B383" s="1">
        <f>A383*控制台!$E$4959</f>
        <v>1360800</v>
      </c>
      <c r="C383" s="1">
        <f ca="1">OFFSET(控制台!$C$4968,MATCH(A383,控制台!$B$4968:$B$4976,1)-1,0)</f>
        <v>6</v>
      </c>
      <c r="D383" s="4">
        <f ca="1" t="shared" si="12"/>
        <v>8100000</v>
      </c>
      <c r="E383" s="1">
        <f ca="1" t="shared" si="11"/>
        <v>1383</v>
      </c>
      <c r="F383" s="1">
        <f ca="1">_xlfn.FLOOR.MATH(E383/24)</f>
        <v>57</v>
      </c>
    </row>
    <row r="384" spans="1:6">
      <c r="A384" s="1">
        <v>379</v>
      </c>
      <c r="B384" s="1">
        <f>A384*控制台!$E$4959</f>
        <v>1364400</v>
      </c>
      <c r="C384" s="1">
        <f ca="1">OFFSET(控制台!$C$4968,MATCH(A384,控制台!$B$4968:$B$4976,1)-1,0)</f>
        <v>6</v>
      </c>
      <c r="D384" s="4">
        <f ca="1" t="shared" si="12"/>
        <v>8200000</v>
      </c>
      <c r="E384" s="1">
        <f ca="1" t="shared" si="11"/>
        <v>1389</v>
      </c>
      <c r="F384" s="1">
        <f ca="1">_xlfn.FLOOR.MATH(E384/24)</f>
        <v>57</v>
      </c>
    </row>
    <row r="385" spans="1:6">
      <c r="A385" s="1">
        <v>380</v>
      </c>
      <c r="B385" s="1">
        <f>A385*控制台!$E$4959</f>
        <v>1368000</v>
      </c>
      <c r="C385" s="1">
        <f ca="1">OFFSET(控制台!$C$4968,MATCH(A385,控制台!$B$4968:$B$4976,1)-1,0)</f>
        <v>6</v>
      </c>
      <c r="D385" s="4">
        <f ca="1" t="shared" si="12"/>
        <v>8200000</v>
      </c>
      <c r="E385" s="1">
        <f ca="1" t="shared" si="11"/>
        <v>1395</v>
      </c>
      <c r="F385" s="1">
        <f ca="1">_xlfn.FLOOR.MATH(E385/24)</f>
        <v>58</v>
      </c>
    </row>
    <row r="386" spans="1:6">
      <c r="A386" s="1">
        <v>381</v>
      </c>
      <c r="B386" s="1">
        <f>A386*控制台!$E$4959</f>
        <v>1371600</v>
      </c>
      <c r="C386" s="1">
        <f ca="1">OFFSET(控制台!$C$4968,MATCH(A386,控制台!$B$4968:$B$4976,1)-1,0)</f>
        <v>6</v>
      </c>
      <c r="D386" s="4">
        <f ca="1" t="shared" si="12"/>
        <v>8200000</v>
      </c>
      <c r="E386" s="1">
        <f ca="1" t="shared" si="11"/>
        <v>1401</v>
      </c>
      <c r="F386" s="1">
        <f ca="1">_xlfn.FLOOR.MATH(E386/24)</f>
        <v>58</v>
      </c>
    </row>
    <row r="387" spans="1:6">
      <c r="A387" s="1">
        <v>382</v>
      </c>
      <c r="B387" s="1">
        <f>A387*控制台!$E$4959</f>
        <v>1375200</v>
      </c>
      <c r="C387" s="1">
        <f ca="1">OFFSET(控制台!$C$4968,MATCH(A387,控制台!$B$4968:$B$4976,1)-1,0)</f>
        <v>6</v>
      </c>
      <c r="D387" s="4">
        <f ca="1" t="shared" si="12"/>
        <v>8200000</v>
      </c>
      <c r="E387" s="1">
        <f ca="1" t="shared" si="11"/>
        <v>1407</v>
      </c>
      <c r="F387" s="1">
        <f ca="1">_xlfn.FLOOR.MATH(E387/24)</f>
        <v>58</v>
      </c>
    </row>
    <row r="388" spans="1:6">
      <c r="A388" s="1">
        <v>383</v>
      </c>
      <c r="B388" s="1">
        <f>A388*控制台!$E$4959</f>
        <v>1378800</v>
      </c>
      <c r="C388" s="1">
        <f ca="1">OFFSET(控制台!$C$4968,MATCH(A388,控制台!$B$4968:$B$4976,1)-1,0)</f>
        <v>6</v>
      </c>
      <c r="D388" s="4">
        <f ca="1" t="shared" si="12"/>
        <v>8300000</v>
      </c>
      <c r="E388" s="1">
        <f ca="1" t="shared" si="11"/>
        <v>1413</v>
      </c>
      <c r="F388" s="1">
        <f ca="1">_xlfn.FLOOR.MATH(E388/24)</f>
        <v>58</v>
      </c>
    </row>
    <row r="389" spans="1:6">
      <c r="A389" s="1">
        <v>384</v>
      </c>
      <c r="B389" s="1">
        <f>A389*控制台!$E$4959</f>
        <v>1382400</v>
      </c>
      <c r="C389" s="1">
        <f ca="1">OFFSET(控制台!$C$4968,MATCH(A389,控制台!$B$4968:$B$4976,1)-1,0)</f>
        <v>6</v>
      </c>
      <c r="D389" s="4">
        <f ca="1" t="shared" si="12"/>
        <v>8300000</v>
      </c>
      <c r="E389" s="1">
        <f ca="1" t="shared" si="11"/>
        <v>1419</v>
      </c>
      <c r="F389" s="1">
        <f ca="1">_xlfn.FLOOR.MATH(E389/24)</f>
        <v>59</v>
      </c>
    </row>
    <row r="390" spans="1:6">
      <c r="A390" s="1">
        <v>385</v>
      </c>
      <c r="B390" s="1">
        <f>A390*控制台!$E$4959</f>
        <v>1386000</v>
      </c>
      <c r="C390" s="1">
        <f ca="1">OFFSET(控制台!$C$4968,MATCH(A390,控制台!$B$4968:$B$4976,1)-1,0)</f>
        <v>6</v>
      </c>
      <c r="D390" s="4">
        <f ca="1" t="shared" si="12"/>
        <v>8300000</v>
      </c>
      <c r="E390" s="1">
        <f ca="1" t="shared" si="11"/>
        <v>1425</v>
      </c>
      <c r="F390" s="1">
        <f ca="1">_xlfn.FLOOR.MATH(E390/24)</f>
        <v>59</v>
      </c>
    </row>
    <row r="391" spans="1:6">
      <c r="A391" s="1">
        <v>386</v>
      </c>
      <c r="B391" s="1">
        <f>A391*控制台!$E$4959</f>
        <v>1389600</v>
      </c>
      <c r="C391" s="1">
        <f ca="1">OFFSET(控制台!$C$4968,MATCH(A391,控制台!$B$4968:$B$4976,1)-1,0)</f>
        <v>6</v>
      </c>
      <c r="D391" s="4">
        <f ca="1" t="shared" si="12"/>
        <v>8300000</v>
      </c>
      <c r="E391" s="1">
        <f ca="1" t="shared" si="11"/>
        <v>1431</v>
      </c>
      <c r="F391" s="1">
        <f ca="1">_xlfn.FLOOR.MATH(E391/24)</f>
        <v>59</v>
      </c>
    </row>
    <row r="392" spans="1:6">
      <c r="A392" s="1">
        <v>387</v>
      </c>
      <c r="B392" s="1">
        <f>A392*控制台!$E$4959</f>
        <v>1393200</v>
      </c>
      <c r="C392" s="1">
        <f ca="1">OFFSET(控制台!$C$4968,MATCH(A392,控制台!$B$4968:$B$4976,1)-1,0)</f>
        <v>6</v>
      </c>
      <c r="D392" s="4">
        <f ca="1" t="shared" si="12"/>
        <v>8300000</v>
      </c>
      <c r="E392" s="1">
        <f ca="1" t="shared" ref="E392:E455" si="13">E391+C392</f>
        <v>1437</v>
      </c>
      <c r="F392" s="1">
        <f ca="1">_xlfn.FLOOR.MATH(E392/24)</f>
        <v>59</v>
      </c>
    </row>
    <row r="393" spans="1:6">
      <c r="A393" s="1">
        <v>388</v>
      </c>
      <c r="B393" s="1">
        <f>A393*控制台!$E$4959</f>
        <v>1396800</v>
      </c>
      <c r="C393" s="1">
        <f ca="1">OFFSET(控制台!$C$4968,MATCH(A393,控制台!$B$4968:$B$4976,1)-1,0)</f>
        <v>6</v>
      </c>
      <c r="D393" s="4">
        <f ca="1" t="shared" si="12"/>
        <v>8400000</v>
      </c>
      <c r="E393" s="1">
        <f ca="1" t="shared" si="13"/>
        <v>1443</v>
      </c>
      <c r="F393" s="1">
        <f ca="1">_xlfn.FLOOR.MATH(E393/24)</f>
        <v>60</v>
      </c>
    </row>
    <row r="394" spans="1:6">
      <c r="A394" s="1">
        <v>389</v>
      </c>
      <c r="B394" s="1">
        <f>A394*控制台!$E$4959</f>
        <v>1400400</v>
      </c>
      <c r="C394" s="1">
        <f ca="1">OFFSET(控制台!$C$4968,MATCH(A394,控制台!$B$4968:$B$4976,1)-1,0)</f>
        <v>6</v>
      </c>
      <c r="D394" s="4">
        <f ca="1" t="shared" si="12"/>
        <v>8400000</v>
      </c>
      <c r="E394" s="1">
        <f ca="1" t="shared" si="13"/>
        <v>1449</v>
      </c>
      <c r="F394" s="1">
        <f ca="1">_xlfn.FLOOR.MATH(E394/24)</f>
        <v>60</v>
      </c>
    </row>
    <row r="395" spans="1:6">
      <c r="A395" s="1">
        <v>390</v>
      </c>
      <c r="B395" s="1">
        <f>A395*控制台!$E$4959</f>
        <v>1404000</v>
      </c>
      <c r="C395" s="1">
        <f ca="1">OFFSET(控制台!$C$4968,MATCH(A395,控制台!$B$4968:$B$4976,1)-1,0)</f>
        <v>6</v>
      </c>
      <c r="D395" s="4">
        <f ca="1" t="shared" si="12"/>
        <v>8400000</v>
      </c>
      <c r="E395" s="1">
        <f ca="1" t="shared" si="13"/>
        <v>1455</v>
      </c>
      <c r="F395" s="1">
        <f ca="1">_xlfn.FLOOR.MATH(E395/24)</f>
        <v>60</v>
      </c>
    </row>
    <row r="396" spans="1:6">
      <c r="A396" s="1">
        <v>391</v>
      </c>
      <c r="B396" s="1">
        <f>A396*控制台!$E$4959</f>
        <v>1407600</v>
      </c>
      <c r="C396" s="1">
        <f ca="1">OFFSET(控制台!$C$4968,MATCH(A396,控制台!$B$4968:$B$4976,1)-1,0)</f>
        <v>6</v>
      </c>
      <c r="D396" s="4">
        <f ca="1" t="shared" si="12"/>
        <v>8400000</v>
      </c>
      <c r="E396" s="1">
        <f ca="1" t="shared" si="13"/>
        <v>1461</v>
      </c>
      <c r="F396" s="1">
        <f ca="1">_xlfn.FLOOR.MATH(E396/24)</f>
        <v>60</v>
      </c>
    </row>
    <row r="397" spans="1:6">
      <c r="A397" s="1">
        <v>392</v>
      </c>
      <c r="B397" s="1">
        <f>A397*控制台!$E$4959</f>
        <v>1411200</v>
      </c>
      <c r="C397" s="1">
        <f ca="1">OFFSET(控制台!$C$4968,MATCH(A397,控制台!$B$4968:$B$4976,1)-1,0)</f>
        <v>6</v>
      </c>
      <c r="D397" s="4">
        <f ca="1" t="shared" si="12"/>
        <v>8400000</v>
      </c>
      <c r="E397" s="1">
        <f ca="1" t="shared" si="13"/>
        <v>1467</v>
      </c>
      <c r="F397" s="1">
        <f ca="1">_xlfn.FLOOR.MATH(E397/24)</f>
        <v>61</v>
      </c>
    </row>
    <row r="398" spans="1:6">
      <c r="A398" s="1">
        <v>393</v>
      </c>
      <c r="B398" s="1">
        <f>A398*控制台!$E$4959</f>
        <v>1414800</v>
      </c>
      <c r="C398" s="1">
        <f ca="1">OFFSET(控制台!$C$4968,MATCH(A398,控制台!$B$4968:$B$4976,1)-1,0)</f>
        <v>6</v>
      </c>
      <c r="D398" s="4">
        <f ca="1" t="shared" si="12"/>
        <v>8500000</v>
      </c>
      <c r="E398" s="1">
        <f ca="1" t="shared" si="13"/>
        <v>1473</v>
      </c>
      <c r="F398" s="1">
        <f ca="1">_xlfn.FLOOR.MATH(E398/24)</f>
        <v>61</v>
      </c>
    </row>
    <row r="399" spans="1:6">
      <c r="A399" s="1">
        <v>394</v>
      </c>
      <c r="B399" s="1">
        <f>A399*控制台!$E$4959</f>
        <v>1418400</v>
      </c>
      <c r="C399" s="1">
        <f ca="1">OFFSET(控制台!$C$4968,MATCH(A399,控制台!$B$4968:$B$4976,1)-1,0)</f>
        <v>6</v>
      </c>
      <c r="D399" s="4">
        <f ca="1" t="shared" si="12"/>
        <v>8500000</v>
      </c>
      <c r="E399" s="1">
        <f ca="1" t="shared" si="13"/>
        <v>1479</v>
      </c>
      <c r="F399" s="1">
        <f ca="1">_xlfn.FLOOR.MATH(E399/24)</f>
        <v>61</v>
      </c>
    </row>
    <row r="400" spans="1:6">
      <c r="A400" s="1">
        <v>395</v>
      </c>
      <c r="B400" s="1">
        <f>A400*控制台!$E$4959</f>
        <v>1422000</v>
      </c>
      <c r="C400" s="1">
        <f ca="1">OFFSET(控制台!$C$4968,MATCH(A400,控制台!$B$4968:$B$4976,1)-1,0)</f>
        <v>6</v>
      </c>
      <c r="D400" s="4">
        <f ca="1" t="shared" si="12"/>
        <v>8500000</v>
      </c>
      <c r="E400" s="1">
        <f ca="1" t="shared" si="13"/>
        <v>1485</v>
      </c>
      <c r="F400" s="1">
        <f ca="1">_xlfn.FLOOR.MATH(E400/24)</f>
        <v>61</v>
      </c>
    </row>
    <row r="401" spans="1:6">
      <c r="A401" s="1">
        <v>396</v>
      </c>
      <c r="B401" s="1">
        <f>A401*控制台!$E$4959</f>
        <v>1425600</v>
      </c>
      <c r="C401" s="1">
        <f ca="1">OFFSET(控制台!$C$4968,MATCH(A401,控制台!$B$4968:$B$4976,1)-1,0)</f>
        <v>6</v>
      </c>
      <c r="D401" s="4">
        <f ca="1" t="shared" si="12"/>
        <v>8500000</v>
      </c>
      <c r="E401" s="1">
        <f ca="1" t="shared" si="13"/>
        <v>1491</v>
      </c>
      <c r="F401" s="1">
        <f ca="1">_xlfn.FLOOR.MATH(E401/24)</f>
        <v>62</v>
      </c>
    </row>
    <row r="402" spans="1:6">
      <c r="A402" s="1">
        <v>397</v>
      </c>
      <c r="B402" s="1">
        <f>A402*控制台!$E$4959</f>
        <v>1429200</v>
      </c>
      <c r="C402" s="1">
        <f ca="1">OFFSET(控制台!$C$4968,MATCH(A402,控制台!$B$4968:$B$4976,1)-1,0)</f>
        <v>6</v>
      </c>
      <c r="D402" s="4">
        <f ca="1" t="shared" si="12"/>
        <v>8600000</v>
      </c>
      <c r="E402" s="1">
        <f ca="1" t="shared" si="13"/>
        <v>1497</v>
      </c>
      <c r="F402" s="1">
        <f ca="1">_xlfn.FLOOR.MATH(E402/24)</f>
        <v>62</v>
      </c>
    </row>
    <row r="403" spans="1:6">
      <c r="A403" s="1">
        <v>398</v>
      </c>
      <c r="B403" s="1">
        <f>A403*控制台!$E$4959</f>
        <v>1432800</v>
      </c>
      <c r="C403" s="1">
        <f ca="1">OFFSET(控制台!$C$4968,MATCH(A403,控制台!$B$4968:$B$4976,1)-1,0)</f>
        <v>6</v>
      </c>
      <c r="D403" s="4">
        <f ca="1" t="shared" si="12"/>
        <v>8600000</v>
      </c>
      <c r="E403" s="1">
        <f ca="1" t="shared" si="13"/>
        <v>1503</v>
      </c>
      <c r="F403" s="1">
        <f ca="1">_xlfn.FLOOR.MATH(E403/24)</f>
        <v>62</v>
      </c>
    </row>
    <row r="404" spans="1:6">
      <c r="A404" s="1">
        <v>399</v>
      </c>
      <c r="B404" s="1">
        <f>A404*控制台!$E$4959</f>
        <v>1436400</v>
      </c>
      <c r="C404" s="1">
        <f ca="1">OFFSET(控制台!$C$4968,MATCH(A404,控制台!$B$4968:$B$4976,1)-1,0)</f>
        <v>6</v>
      </c>
      <c r="D404" s="4">
        <f ca="1" t="shared" si="12"/>
        <v>8600000</v>
      </c>
      <c r="E404" s="1">
        <f ca="1" t="shared" si="13"/>
        <v>1509</v>
      </c>
      <c r="F404" s="1">
        <f ca="1">_xlfn.FLOOR.MATH(E404/24)</f>
        <v>62</v>
      </c>
    </row>
    <row r="405" spans="1:6">
      <c r="A405" s="1">
        <v>400</v>
      </c>
      <c r="B405" s="1">
        <f>A405*控制台!$E$4959</f>
        <v>1440000</v>
      </c>
      <c r="C405" s="1">
        <f ca="1">OFFSET(控制台!$C$4968,MATCH(A405,控制台!$B$4968:$B$4976,1)-1,0)</f>
        <v>6</v>
      </c>
      <c r="D405" s="4">
        <f ca="1" t="shared" si="12"/>
        <v>8600000</v>
      </c>
      <c r="E405" s="1">
        <f ca="1" t="shared" si="13"/>
        <v>1515</v>
      </c>
      <c r="F405" s="1">
        <f ca="1">_xlfn.FLOOR.MATH(E405/24)</f>
        <v>63</v>
      </c>
    </row>
    <row r="406" spans="1:6">
      <c r="A406" s="1">
        <v>401</v>
      </c>
      <c r="B406" s="1">
        <f>A406*控制台!$E$4959</f>
        <v>1443600</v>
      </c>
      <c r="C406" s="1">
        <f ca="1">OFFSET(控制台!$C$4968,MATCH(A406,控制台!$B$4968:$B$4976,1)-1,0)</f>
        <v>8</v>
      </c>
      <c r="D406" s="4">
        <f ca="1" t="shared" si="12"/>
        <v>12000000</v>
      </c>
      <c r="E406" s="1">
        <f ca="1" t="shared" si="13"/>
        <v>1523</v>
      </c>
      <c r="F406" s="1">
        <f ca="1">_xlfn.FLOOR.MATH(E406/24)</f>
        <v>63</v>
      </c>
    </row>
    <row r="407" spans="1:6">
      <c r="A407" s="1">
        <v>402</v>
      </c>
      <c r="B407" s="1">
        <f>A407*控制台!$E$4959</f>
        <v>1447200</v>
      </c>
      <c r="C407" s="1">
        <f ca="1">OFFSET(控制台!$C$4968,MATCH(A407,控制台!$B$4968:$B$4976,1)-1,0)</f>
        <v>8</v>
      </c>
      <c r="D407" s="4">
        <f ca="1" t="shared" si="12"/>
        <v>12000000</v>
      </c>
      <c r="E407" s="1">
        <f ca="1" t="shared" si="13"/>
        <v>1531</v>
      </c>
      <c r="F407" s="1">
        <f ca="1">_xlfn.FLOOR.MATH(E407/24)</f>
        <v>63</v>
      </c>
    </row>
    <row r="408" spans="1:6">
      <c r="A408" s="1">
        <v>403</v>
      </c>
      <c r="B408" s="1">
        <f>A408*控制台!$E$4959</f>
        <v>1450800</v>
      </c>
      <c r="C408" s="1">
        <f ca="1">OFFSET(控制台!$C$4968,MATCH(A408,控制台!$B$4968:$B$4976,1)-1,0)</f>
        <v>8</v>
      </c>
      <c r="D408" s="4">
        <f ca="1" t="shared" si="12"/>
        <v>12000000</v>
      </c>
      <c r="E408" s="1">
        <f ca="1" t="shared" si="13"/>
        <v>1539</v>
      </c>
      <c r="F408" s="1">
        <f ca="1">_xlfn.FLOOR.MATH(E408/24)</f>
        <v>64</v>
      </c>
    </row>
    <row r="409" spans="1:6">
      <c r="A409" s="1">
        <v>404</v>
      </c>
      <c r="B409" s="1">
        <f>A409*控制台!$E$4959</f>
        <v>1454400</v>
      </c>
      <c r="C409" s="1">
        <f ca="1">OFFSET(控制台!$C$4968,MATCH(A409,控制台!$B$4968:$B$4976,1)-1,0)</f>
        <v>8</v>
      </c>
      <c r="D409" s="4">
        <f ca="1" t="shared" si="12"/>
        <v>12000000</v>
      </c>
      <c r="E409" s="1">
        <f ca="1" t="shared" si="13"/>
        <v>1547</v>
      </c>
      <c r="F409" s="1">
        <f ca="1">_xlfn.FLOOR.MATH(E409/24)</f>
        <v>64</v>
      </c>
    </row>
    <row r="410" spans="1:6">
      <c r="A410" s="1">
        <v>405</v>
      </c>
      <c r="B410" s="1">
        <f>A410*控制台!$E$4959</f>
        <v>1458000</v>
      </c>
      <c r="C410" s="1">
        <f ca="1">OFFSET(控制台!$C$4968,MATCH(A410,控制台!$B$4968:$B$4976,1)-1,0)</f>
        <v>8</v>
      </c>
      <c r="D410" s="4">
        <f ca="1" t="shared" si="12"/>
        <v>12000000</v>
      </c>
      <c r="E410" s="1">
        <f ca="1" t="shared" si="13"/>
        <v>1555</v>
      </c>
      <c r="F410" s="1">
        <f ca="1">_xlfn.FLOOR.MATH(E410/24)</f>
        <v>64</v>
      </c>
    </row>
    <row r="411" spans="1:6">
      <c r="A411" s="1">
        <v>406</v>
      </c>
      <c r="B411" s="1">
        <f>A411*控制台!$E$4959</f>
        <v>1461600</v>
      </c>
      <c r="C411" s="1">
        <f ca="1">OFFSET(控制台!$C$4968,MATCH(A411,控制台!$B$4968:$B$4976,1)-1,0)</f>
        <v>8</v>
      </c>
      <c r="D411" s="4">
        <f ca="1" t="shared" si="12"/>
        <v>12000000</v>
      </c>
      <c r="E411" s="1">
        <f ca="1" t="shared" si="13"/>
        <v>1563</v>
      </c>
      <c r="F411" s="1">
        <f ca="1">_xlfn.FLOOR.MATH(E411/24)</f>
        <v>65</v>
      </c>
    </row>
    <row r="412" spans="1:6">
      <c r="A412" s="1">
        <v>407</v>
      </c>
      <c r="B412" s="1">
        <f>A412*控制台!$E$4959</f>
        <v>1465200</v>
      </c>
      <c r="C412" s="1">
        <f ca="1">OFFSET(控制台!$C$4968,MATCH(A412,控制台!$B$4968:$B$4976,1)-1,0)</f>
        <v>8</v>
      </c>
      <c r="D412" s="4">
        <f ca="1" t="shared" si="12"/>
        <v>12000000</v>
      </c>
      <c r="E412" s="1">
        <f ca="1" t="shared" si="13"/>
        <v>1571</v>
      </c>
      <c r="F412" s="1">
        <f ca="1">_xlfn.FLOOR.MATH(E412/24)</f>
        <v>65</v>
      </c>
    </row>
    <row r="413" spans="1:6">
      <c r="A413" s="1">
        <v>408</v>
      </c>
      <c r="B413" s="1">
        <f>A413*控制台!$E$4959</f>
        <v>1468800</v>
      </c>
      <c r="C413" s="1">
        <f ca="1">OFFSET(控制台!$C$4968,MATCH(A413,控制台!$B$4968:$B$4976,1)-1,0)</f>
        <v>8</v>
      </c>
      <c r="D413" s="4">
        <f ca="1" t="shared" si="12"/>
        <v>12000000</v>
      </c>
      <c r="E413" s="1">
        <f ca="1" t="shared" si="13"/>
        <v>1579</v>
      </c>
      <c r="F413" s="1">
        <f ca="1">_xlfn.FLOOR.MATH(E413/24)</f>
        <v>65</v>
      </c>
    </row>
    <row r="414" spans="1:6">
      <c r="A414" s="1">
        <v>409</v>
      </c>
      <c r="B414" s="1">
        <f>A414*控制台!$E$4959</f>
        <v>1472400</v>
      </c>
      <c r="C414" s="1">
        <f ca="1">OFFSET(控制台!$C$4968,MATCH(A414,控制台!$B$4968:$B$4976,1)-1,0)</f>
        <v>8</v>
      </c>
      <c r="D414" s="4">
        <f ca="1" t="shared" si="12"/>
        <v>12000000</v>
      </c>
      <c r="E414" s="1">
        <f ca="1" t="shared" si="13"/>
        <v>1587</v>
      </c>
      <c r="F414" s="1">
        <f ca="1">_xlfn.FLOOR.MATH(E414/24)</f>
        <v>66</v>
      </c>
    </row>
    <row r="415" spans="1:6">
      <c r="A415" s="1">
        <v>410</v>
      </c>
      <c r="B415" s="1">
        <f>A415*控制台!$E$4959</f>
        <v>1476000</v>
      </c>
      <c r="C415" s="1">
        <f ca="1">OFFSET(控制台!$C$4968,MATCH(A415,控制台!$B$4968:$B$4976,1)-1,0)</f>
        <v>8</v>
      </c>
      <c r="D415" s="4">
        <f ca="1" t="shared" si="12"/>
        <v>12000000</v>
      </c>
      <c r="E415" s="1">
        <f ca="1" t="shared" si="13"/>
        <v>1595</v>
      </c>
      <c r="F415" s="1">
        <f ca="1">_xlfn.FLOOR.MATH(E415/24)</f>
        <v>66</v>
      </c>
    </row>
    <row r="416" spans="1:6">
      <c r="A416" s="1">
        <v>411</v>
      </c>
      <c r="B416" s="1">
        <f>A416*控制台!$E$4959</f>
        <v>1479600</v>
      </c>
      <c r="C416" s="1">
        <f ca="1">OFFSET(控制台!$C$4968,MATCH(A416,控制台!$B$4968:$B$4976,1)-1,0)</f>
        <v>8</v>
      </c>
      <c r="D416" s="4">
        <f ca="1" t="shared" si="12"/>
        <v>12000000</v>
      </c>
      <c r="E416" s="1">
        <f ca="1" t="shared" si="13"/>
        <v>1603</v>
      </c>
      <c r="F416" s="1">
        <f ca="1">_xlfn.FLOOR.MATH(E416/24)</f>
        <v>66</v>
      </c>
    </row>
    <row r="417" spans="1:6">
      <c r="A417" s="1">
        <v>412</v>
      </c>
      <c r="B417" s="1">
        <f>A417*控制台!$E$4959</f>
        <v>1483200</v>
      </c>
      <c r="C417" s="1">
        <f ca="1">OFFSET(控制台!$C$4968,MATCH(A417,控制台!$B$4968:$B$4976,1)-1,0)</f>
        <v>8</v>
      </c>
      <c r="D417" s="4">
        <f ca="1" t="shared" si="12"/>
        <v>12000000</v>
      </c>
      <c r="E417" s="1">
        <f ca="1" t="shared" si="13"/>
        <v>1611</v>
      </c>
      <c r="F417" s="1">
        <f ca="1">_xlfn.FLOOR.MATH(E417/24)</f>
        <v>67</v>
      </c>
    </row>
    <row r="418" spans="1:6">
      <c r="A418" s="1">
        <v>413</v>
      </c>
      <c r="B418" s="1">
        <f>A418*控制台!$E$4959</f>
        <v>1486800</v>
      </c>
      <c r="C418" s="1">
        <f ca="1">OFFSET(控制台!$C$4968,MATCH(A418,控制台!$B$4968:$B$4976,1)-1,0)</f>
        <v>8</v>
      </c>
      <c r="D418" s="4">
        <f ca="1" t="shared" si="12"/>
        <v>12000000</v>
      </c>
      <c r="E418" s="1">
        <f ca="1" t="shared" si="13"/>
        <v>1619</v>
      </c>
      <c r="F418" s="1">
        <f ca="1">_xlfn.FLOOR.MATH(E418/24)</f>
        <v>67</v>
      </c>
    </row>
    <row r="419" spans="1:6">
      <c r="A419" s="1">
        <v>414</v>
      </c>
      <c r="B419" s="1">
        <f>A419*控制台!$E$4959</f>
        <v>1490400</v>
      </c>
      <c r="C419" s="1">
        <f ca="1">OFFSET(控制台!$C$4968,MATCH(A419,控制台!$B$4968:$B$4976,1)-1,0)</f>
        <v>8</v>
      </c>
      <c r="D419" s="4">
        <f ca="1" t="shared" si="12"/>
        <v>12000000</v>
      </c>
      <c r="E419" s="1">
        <f ca="1" t="shared" si="13"/>
        <v>1627</v>
      </c>
      <c r="F419" s="1">
        <f ca="1">_xlfn.FLOOR.MATH(E419/24)</f>
        <v>67</v>
      </c>
    </row>
    <row r="420" spans="1:6">
      <c r="A420" s="1">
        <v>415</v>
      </c>
      <c r="B420" s="1">
        <f>A420*控制台!$E$4959</f>
        <v>1494000</v>
      </c>
      <c r="C420" s="1">
        <f ca="1">OFFSET(控制台!$C$4968,MATCH(A420,控制台!$B$4968:$B$4976,1)-1,0)</f>
        <v>8</v>
      </c>
      <c r="D420" s="4">
        <f ca="1" t="shared" si="12"/>
        <v>12000000</v>
      </c>
      <c r="E420" s="1">
        <f ca="1" t="shared" si="13"/>
        <v>1635</v>
      </c>
      <c r="F420" s="1">
        <f ca="1">_xlfn.FLOOR.MATH(E420/24)</f>
        <v>68</v>
      </c>
    </row>
    <row r="421" spans="1:6">
      <c r="A421" s="1">
        <v>416</v>
      </c>
      <c r="B421" s="1">
        <f>A421*控制台!$E$4959</f>
        <v>1497600</v>
      </c>
      <c r="C421" s="1">
        <f ca="1">OFFSET(控制台!$C$4968,MATCH(A421,控制台!$B$4968:$B$4976,1)-1,0)</f>
        <v>8</v>
      </c>
      <c r="D421" s="4">
        <f ca="1" t="shared" si="12"/>
        <v>12000000</v>
      </c>
      <c r="E421" s="1">
        <f ca="1" t="shared" si="13"/>
        <v>1643</v>
      </c>
      <c r="F421" s="1">
        <f ca="1">_xlfn.FLOOR.MATH(E421/24)</f>
        <v>68</v>
      </c>
    </row>
    <row r="422" spans="1:6">
      <c r="A422" s="1">
        <v>417</v>
      </c>
      <c r="B422" s="1">
        <f>A422*控制台!$E$4959</f>
        <v>1501200</v>
      </c>
      <c r="C422" s="1">
        <f ca="1">OFFSET(控制台!$C$4968,MATCH(A422,控制台!$B$4968:$B$4976,1)-1,0)</f>
        <v>8</v>
      </c>
      <c r="D422" s="4">
        <f ca="1" t="shared" si="12"/>
        <v>12000000</v>
      </c>
      <c r="E422" s="1">
        <f ca="1" t="shared" si="13"/>
        <v>1651</v>
      </c>
      <c r="F422" s="1">
        <f ca="1">_xlfn.FLOOR.MATH(E422/24)</f>
        <v>68</v>
      </c>
    </row>
    <row r="423" spans="1:6">
      <c r="A423" s="1">
        <v>418</v>
      </c>
      <c r="B423" s="1">
        <f>A423*控制台!$E$4959</f>
        <v>1504800</v>
      </c>
      <c r="C423" s="1">
        <f ca="1">OFFSET(控制台!$C$4968,MATCH(A423,控制台!$B$4968:$B$4976,1)-1,0)</f>
        <v>8</v>
      </c>
      <c r="D423" s="4">
        <f ca="1" t="shared" si="12"/>
        <v>12000000</v>
      </c>
      <c r="E423" s="1">
        <f ca="1" t="shared" si="13"/>
        <v>1659</v>
      </c>
      <c r="F423" s="1">
        <f ca="1">_xlfn.FLOOR.MATH(E423/24)</f>
        <v>69</v>
      </c>
    </row>
    <row r="424" spans="1:6">
      <c r="A424" s="1">
        <v>419</v>
      </c>
      <c r="B424" s="1">
        <f>A424*控制台!$E$4959</f>
        <v>1508400</v>
      </c>
      <c r="C424" s="1">
        <f ca="1">OFFSET(控制台!$C$4968,MATCH(A424,控制台!$B$4968:$B$4976,1)-1,0)</f>
        <v>8</v>
      </c>
      <c r="D424" s="4">
        <f ca="1" t="shared" si="12"/>
        <v>12000000</v>
      </c>
      <c r="E424" s="1">
        <f ca="1" t="shared" si="13"/>
        <v>1667</v>
      </c>
      <c r="F424" s="1">
        <f ca="1">_xlfn.FLOOR.MATH(E424/24)</f>
        <v>69</v>
      </c>
    </row>
    <row r="425" spans="1:6">
      <c r="A425" s="1">
        <v>420</v>
      </c>
      <c r="B425" s="1">
        <f>A425*控制台!$E$4959</f>
        <v>1512000</v>
      </c>
      <c r="C425" s="1">
        <f ca="1">OFFSET(控制台!$C$4968,MATCH(A425,控制台!$B$4968:$B$4976,1)-1,0)</f>
        <v>8</v>
      </c>
      <c r="D425" s="4">
        <f ca="1" t="shared" si="12"/>
        <v>12000000</v>
      </c>
      <c r="E425" s="1">
        <f ca="1" t="shared" si="13"/>
        <v>1675</v>
      </c>
      <c r="F425" s="1">
        <f ca="1">_xlfn.FLOOR.MATH(E425/24)</f>
        <v>69</v>
      </c>
    </row>
    <row r="426" spans="1:6">
      <c r="A426" s="1">
        <v>421</v>
      </c>
      <c r="B426" s="1">
        <f>A426*控制台!$E$4959</f>
        <v>1515600</v>
      </c>
      <c r="C426" s="1">
        <f ca="1">OFFSET(控制台!$C$4968,MATCH(A426,控制台!$B$4968:$B$4976,1)-1,0)</f>
        <v>8</v>
      </c>
      <c r="D426" s="4">
        <f ca="1" t="shared" si="12"/>
        <v>12000000</v>
      </c>
      <c r="E426" s="1">
        <f ca="1" t="shared" si="13"/>
        <v>1683</v>
      </c>
      <c r="F426" s="1">
        <f ca="1">_xlfn.FLOOR.MATH(E426/24)</f>
        <v>70</v>
      </c>
    </row>
    <row r="427" spans="1:6">
      <c r="A427" s="1">
        <v>422</v>
      </c>
      <c r="B427" s="1">
        <f>A427*控制台!$E$4959</f>
        <v>1519200</v>
      </c>
      <c r="C427" s="1">
        <f ca="1">OFFSET(控制台!$C$4968,MATCH(A427,控制台!$B$4968:$B$4976,1)-1,0)</f>
        <v>8</v>
      </c>
      <c r="D427" s="4">
        <f ca="1" t="shared" si="12"/>
        <v>12000000</v>
      </c>
      <c r="E427" s="1">
        <f ca="1" t="shared" si="13"/>
        <v>1691</v>
      </c>
      <c r="F427" s="1">
        <f ca="1">_xlfn.FLOOR.MATH(E427/24)</f>
        <v>70</v>
      </c>
    </row>
    <row r="428" spans="1:6">
      <c r="A428" s="1">
        <v>423</v>
      </c>
      <c r="B428" s="1">
        <f>A428*控制台!$E$4959</f>
        <v>1522800</v>
      </c>
      <c r="C428" s="1">
        <f ca="1">OFFSET(控制台!$C$4968,MATCH(A428,控制台!$B$4968:$B$4976,1)-1,0)</f>
        <v>8</v>
      </c>
      <c r="D428" s="4">
        <f ca="1" t="shared" si="12"/>
        <v>12000000</v>
      </c>
      <c r="E428" s="1">
        <f ca="1" t="shared" si="13"/>
        <v>1699</v>
      </c>
      <c r="F428" s="1">
        <f ca="1">_xlfn.FLOOR.MATH(E428/24)</f>
        <v>70</v>
      </c>
    </row>
    <row r="429" spans="1:6">
      <c r="A429" s="1">
        <v>424</v>
      </c>
      <c r="B429" s="1">
        <f>A429*控制台!$E$4959</f>
        <v>1526400</v>
      </c>
      <c r="C429" s="1">
        <f ca="1">OFFSET(控制台!$C$4968,MATCH(A429,控制台!$B$4968:$B$4976,1)-1,0)</f>
        <v>8</v>
      </c>
      <c r="D429" s="4">
        <f ca="1" t="shared" si="12"/>
        <v>12000000</v>
      </c>
      <c r="E429" s="1">
        <f ca="1" t="shared" si="13"/>
        <v>1707</v>
      </c>
      <c r="F429" s="1">
        <f ca="1">_xlfn.FLOOR.MATH(E429/24)</f>
        <v>71</v>
      </c>
    </row>
    <row r="430" spans="1:6">
      <c r="A430" s="1">
        <v>425</v>
      </c>
      <c r="B430" s="1">
        <f>A430*控制台!$E$4959</f>
        <v>1530000</v>
      </c>
      <c r="C430" s="1">
        <f ca="1">OFFSET(控制台!$C$4968,MATCH(A430,控制台!$B$4968:$B$4976,1)-1,0)</f>
        <v>8</v>
      </c>
      <c r="D430" s="4">
        <f ca="1" t="shared" si="12"/>
        <v>12000000</v>
      </c>
      <c r="E430" s="1">
        <f ca="1" t="shared" si="13"/>
        <v>1715</v>
      </c>
      <c r="F430" s="1">
        <f ca="1">_xlfn.FLOOR.MATH(E430/24)</f>
        <v>71</v>
      </c>
    </row>
    <row r="431" spans="1:6">
      <c r="A431" s="1">
        <v>426</v>
      </c>
      <c r="B431" s="1">
        <f>A431*控制台!$E$4959</f>
        <v>1533600</v>
      </c>
      <c r="C431" s="1">
        <f ca="1">OFFSET(控制台!$C$4968,MATCH(A431,控制台!$B$4968:$B$4976,1)-1,0)</f>
        <v>8</v>
      </c>
      <c r="D431" s="4">
        <f ca="1" t="shared" si="12"/>
        <v>12000000</v>
      </c>
      <c r="E431" s="1">
        <f ca="1" t="shared" si="13"/>
        <v>1723</v>
      </c>
      <c r="F431" s="1">
        <f ca="1">_xlfn.FLOOR.MATH(E431/24)</f>
        <v>71</v>
      </c>
    </row>
    <row r="432" spans="1:6">
      <c r="A432" s="1">
        <v>427</v>
      </c>
      <c r="B432" s="1">
        <f>A432*控制台!$E$4959</f>
        <v>1537200</v>
      </c>
      <c r="C432" s="1">
        <f ca="1">OFFSET(控制台!$C$4968,MATCH(A432,控制台!$B$4968:$B$4976,1)-1,0)</f>
        <v>8</v>
      </c>
      <c r="D432" s="4">
        <f ca="1" t="shared" si="12"/>
        <v>12000000</v>
      </c>
      <c r="E432" s="1">
        <f ca="1" t="shared" si="13"/>
        <v>1731</v>
      </c>
      <c r="F432" s="1">
        <f ca="1">_xlfn.FLOOR.MATH(E432/24)</f>
        <v>72</v>
      </c>
    </row>
    <row r="433" spans="1:6">
      <c r="A433" s="1">
        <v>428</v>
      </c>
      <c r="B433" s="1">
        <f>A433*控制台!$E$4959</f>
        <v>1540800</v>
      </c>
      <c r="C433" s="1">
        <f ca="1">OFFSET(控制台!$C$4968,MATCH(A433,控制台!$B$4968:$B$4976,1)-1,0)</f>
        <v>8</v>
      </c>
      <c r="D433" s="4">
        <f ca="1" t="shared" si="12"/>
        <v>12000000</v>
      </c>
      <c r="E433" s="1">
        <f ca="1" t="shared" si="13"/>
        <v>1739</v>
      </c>
      <c r="F433" s="1">
        <f ca="1">_xlfn.FLOOR.MATH(E433/24)</f>
        <v>72</v>
      </c>
    </row>
    <row r="434" spans="1:6">
      <c r="A434" s="1">
        <v>429</v>
      </c>
      <c r="B434" s="1">
        <f>A434*控制台!$E$4959</f>
        <v>1544400</v>
      </c>
      <c r="C434" s="1">
        <f ca="1">OFFSET(控制台!$C$4968,MATCH(A434,控制台!$B$4968:$B$4976,1)-1,0)</f>
        <v>8</v>
      </c>
      <c r="D434" s="4">
        <f ca="1" t="shared" si="12"/>
        <v>12000000</v>
      </c>
      <c r="E434" s="1">
        <f ca="1" t="shared" si="13"/>
        <v>1747</v>
      </c>
      <c r="F434" s="1">
        <f ca="1">_xlfn.FLOOR.MATH(E434/24)</f>
        <v>72</v>
      </c>
    </row>
    <row r="435" spans="1:6">
      <c r="A435" s="1">
        <v>430</v>
      </c>
      <c r="B435" s="1">
        <f>A435*控制台!$E$4959</f>
        <v>1548000</v>
      </c>
      <c r="C435" s="1">
        <f ca="1">OFFSET(控制台!$C$4968,MATCH(A435,控制台!$B$4968:$B$4976,1)-1,0)</f>
        <v>8</v>
      </c>
      <c r="D435" s="4">
        <f ca="1" t="shared" ref="D435:D498" si="14">ROUND(C435*B434,1-INT(LOG10(C435*B434)))</f>
        <v>12000000</v>
      </c>
      <c r="E435" s="1">
        <f ca="1" t="shared" si="13"/>
        <v>1755</v>
      </c>
      <c r="F435" s="1">
        <f ca="1">_xlfn.FLOOR.MATH(E435/24)</f>
        <v>73</v>
      </c>
    </row>
    <row r="436" spans="1:6">
      <c r="A436" s="1">
        <v>431</v>
      </c>
      <c r="B436" s="1">
        <f>A436*控制台!$E$4959</f>
        <v>1551600</v>
      </c>
      <c r="C436" s="1">
        <f ca="1">OFFSET(控制台!$C$4968,MATCH(A436,控制台!$B$4968:$B$4976,1)-1,0)</f>
        <v>8</v>
      </c>
      <c r="D436" s="4">
        <f ca="1" t="shared" si="14"/>
        <v>12000000</v>
      </c>
      <c r="E436" s="1">
        <f ca="1" t="shared" si="13"/>
        <v>1763</v>
      </c>
      <c r="F436" s="1">
        <f ca="1">_xlfn.FLOOR.MATH(E436/24)</f>
        <v>73</v>
      </c>
    </row>
    <row r="437" spans="1:6">
      <c r="A437" s="1">
        <v>432</v>
      </c>
      <c r="B437" s="1">
        <f>A437*控制台!$E$4959</f>
        <v>1555200</v>
      </c>
      <c r="C437" s="1">
        <f ca="1">OFFSET(控制台!$C$4968,MATCH(A437,控制台!$B$4968:$B$4976,1)-1,0)</f>
        <v>8</v>
      </c>
      <c r="D437" s="4">
        <f ca="1" t="shared" si="14"/>
        <v>12000000</v>
      </c>
      <c r="E437" s="1">
        <f ca="1" t="shared" si="13"/>
        <v>1771</v>
      </c>
      <c r="F437" s="1">
        <f ca="1">_xlfn.FLOOR.MATH(E437/24)</f>
        <v>73</v>
      </c>
    </row>
    <row r="438" spans="1:6">
      <c r="A438" s="1">
        <v>433</v>
      </c>
      <c r="B438" s="1">
        <f>A438*控制台!$E$4959</f>
        <v>1558800</v>
      </c>
      <c r="C438" s="1">
        <f ca="1">OFFSET(控制台!$C$4968,MATCH(A438,控制台!$B$4968:$B$4976,1)-1,0)</f>
        <v>8</v>
      </c>
      <c r="D438" s="4">
        <f ca="1" t="shared" si="14"/>
        <v>12000000</v>
      </c>
      <c r="E438" s="1">
        <f ca="1" t="shared" si="13"/>
        <v>1779</v>
      </c>
      <c r="F438" s="1">
        <f ca="1">_xlfn.FLOOR.MATH(E438/24)</f>
        <v>74</v>
      </c>
    </row>
    <row r="439" spans="1:6">
      <c r="A439" s="1">
        <v>434</v>
      </c>
      <c r="B439" s="1">
        <f>A439*控制台!$E$4959</f>
        <v>1562400</v>
      </c>
      <c r="C439" s="1">
        <f ca="1">OFFSET(控制台!$C$4968,MATCH(A439,控制台!$B$4968:$B$4976,1)-1,0)</f>
        <v>8</v>
      </c>
      <c r="D439" s="4">
        <f ca="1" t="shared" si="14"/>
        <v>12000000</v>
      </c>
      <c r="E439" s="1">
        <f ca="1" t="shared" si="13"/>
        <v>1787</v>
      </c>
      <c r="F439" s="1">
        <f ca="1">_xlfn.FLOOR.MATH(E439/24)</f>
        <v>74</v>
      </c>
    </row>
    <row r="440" spans="1:6">
      <c r="A440" s="1">
        <v>435</v>
      </c>
      <c r="B440" s="1">
        <f>A440*控制台!$E$4959</f>
        <v>1566000</v>
      </c>
      <c r="C440" s="1">
        <f ca="1">OFFSET(控制台!$C$4968,MATCH(A440,控制台!$B$4968:$B$4976,1)-1,0)</f>
        <v>8</v>
      </c>
      <c r="D440" s="4">
        <f ca="1" t="shared" si="14"/>
        <v>12000000</v>
      </c>
      <c r="E440" s="1">
        <f ca="1" t="shared" si="13"/>
        <v>1795</v>
      </c>
      <c r="F440" s="1">
        <f ca="1">_xlfn.FLOOR.MATH(E440/24)</f>
        <v>74</v>
      </c>
    </row>
    <row r="441" spans="1:6">
      <c r="A441" s="1">
        <v>436</v>
      </c>
      <c r="B441" s="1">
        <f>A441*控制台!$E$4959</f>
        <v>1569600</v>
      </c>
      <c r="C441" s="1">
        <f ca="1">OFFSET(控制台!$C$4968,MATCH(A441,控制台!$B$4968:$B$4976,1)-1,0)</f>
        <v>8</v>
      </c>
      <c r="D441" s="4">
        <f ca="1" t="shared" si="14"/>
        <v>13000000</v>
      </c>
      <c r="E441" s="1">
        <f ca="1" t="shared" si="13"/>
        <v>1803</v>
      </c>
      <c r="F441" s="1">
        <f ca="1">_xlfn.FLOOR.MATH(E441/24)</f>
        <v>75</v>
      </c>
    </row>
    <row r="442" spans="1:6">
      <c r="A442" s="1">
        <v>437</v>
      </c>
      <c r="B442" s="1">
        <f>A442*控制台!$E$4959</f>
        <v>1573200</v>
      </c>
      <c r="C442" s="1">
        <f ca="1">OFFSET(控制台!$C$4968,MATCH(A442,控制台!$B$4968:$B$4976,1)-1,0)</f>
        <v>8</v>
      </c>
      <c r="D442" s="4">
        <f ca="1" t="shared" si="14"/>
        <v>13000000</v>
      </c>
      <c r="E442" s="1">
        <f ca="1" t="shared" si="13"/>
        <v>1811</v>
      </c>
      <c r="F442" s="1">
        <f ca="1">_xlfn.FLOOR.MATH(E442/24)</f>
        <v>75</v>
      </c>
    </row>
    <row r="443" spans="1:6">
      <c r="A443" s="1">
        <v>438</v>
      </c>
      <c r="B443" s="1">
        <f>A443*控制台!$E$4959</f>
        <v>1576800</v>
      </c>
      <c r="C443" s="1">
        <f ca="1">OFFSET(控制台!$C$4968,MATCH(A443,控制台!$B$4968:$B$4976,1)-1,0)</f>
        <v>8</v>
      </c>
      <c r="D443" s="4">
        <f ca="1" t="shared" si="14"/>
        <v>13000000</v>
      </c>
      <c r="E443" s="1">
        <f ca="1" t="shared" si="13"/>
        <v>1819</v>
      </c>
      <c r="F443" s="1">
        <f ca="1">_xlfn.FLOOR.MATH(E443/24)</f>
        <v>75</v>
      </c>
    </row>
    <row r="444" spans="1:6">
      <c r="A444" s="1">
        <v>439</v>
      </c>
      <c r="B444" s="1">
        <f>A444*控制台!$E$4959</f>
        <v>1580400</v>
      </c>
      <c r="C444" s="1">
        <f ca="1">OFFSET(控制台!$C$4968,MATCH(A444,控制台!$B$4968:$B$4976,1)-1,0)</f>
        <v>8</v>
      </c>
      <c r="D444" s="4">
        <f ca="1" t="shared" si="14"/>
        <v>13000000</v>
      </c>
      <c r="E444" s="1">
        <f ca="1" t="shared" si="13"/>
        <v>1827</v>
      </c>
      <c r="F444" s="1">
        <f ca="1">_xlfn.FLOOR.MATH(E444/24)</f>
        <v>76</v>
      </c>
    </row>
    <row r="445" spans="1:6">
      <c r="A445" s="1">
        <v>440</v>
      </c>
      <c r="B445" s="1">
        <f>A445*控制台!$E$4959</f>
        <v>1584000</v>
      </c>
      <c r="C445" s="1">
        <f ca="1">OFFSET(控制台!$C$4968,MATCH(A445,控制台!$B$4968:$B$4976,1)-1,0)</f>
        <v>8</v>
      </c>
      <c r="D445" s="4">
        <f ca="1" t="shared" si="14"/>
        <v>13000000</v>
      </c>
      <c r="E445" s="1">
        <f ca="1" t="shared" si="13"/>
        <v>1835</v>
      </c>
      <c r="F445" s="1">
        <f ca="1">_xlfn.FLOOR.MATH(E445/24)</f>
        <v>76</v>
      </c>
    </row>
    <row r="446" spans="1:6">
      <c r="A446" s="1">
        <v>441</v>
      </c>
      <c r="B446" s="1">
        <f>A446*控制台!$E$4959</f>
        <v>1587600</v>
      </c>
      <c r="C446" s="1">
        <f ca="1">OFFSET(控制台!$C$4968,MATCH(A446,控制台!$B$4968:$B$4976,1)-1,0)</f>
        <v>8</v>
      </c>
      <c r="D446" s="4">
        <f ca="1" t="shared" si="14"/>
        <v>13000000</v>
      </c>
      <c r="E446" s="1">
        <f ca="1" t="shared" si="13"/>
        <v>1843</v>
      </c>
      <c r="F446" s="1">
        <f ca="1">_xlfn.FLOOR.MATH(E446/24)</f>
        <v>76</v>
      </c>
    </row>
    <row r="447" spans="1:6">
      <c r="A447" s="1">
        <v>442</v>
      </c>
      <c r="B447" s="1">
        <f>A447*控制台!$E$4959</f>
        <v>1591200</v>
      </c>
      <c r="C447" s="1">
        <f ca="1">OFFSET(控制台!$C$4968,MATCH(A447,控制台!$B$4968:$B$4976,1)-1,0)</f>
        <v>8</v>
      </c>
      <c r="D447" s="4">
        <f ca="1" t="shared" si="14"/>
        <v>13000000</v>
      </c>
      <c r="E447" s="1">
        <f ca="1" t="shared" si="13"/>
        <v>1851</v>
      </c>
      <c r="F447" s="1">
        <f ca="1">_xlfn.FLOOR.MATH(E447/24)</f>
        <v>77</v>
      </c>
    </row>
    <row r="448" spans="1:6">
      <c r="A448" s="1">
        <v>443</v>
      </c>
      <c r="B448" s="1">
        <f>A448*控制台!$E$4959</f>
        <v>1594800</v>
      </c>
      <c r="C448" s="1">
        <f ca="1">OFFSET(控制台!$C$4968,MATCH(A448,控制台!$B$4968:$B$4976,1)-1,0)</f>
        <v>8</v>
      </c>
      <c r="D448" s="4">
        <f ca="1" t="shared" si="14"/>
        <v>13000000</v>
      </c>
      <c r="E448" s="1">
        <f ca="1" t="shared" si="13"/>
        <v>1859</v>
      </c>
      <c r="F448" s="1">
        <f ca="1">_xlfn.FLOOR.MATH(E448/24)</f>
        <v>77</v>
      </c>
    </row>
    <row r="449" spans="1:6">
      <c r="A449" s="1">
        <v>444</v>
      </c>
      <c r="B449" s="1">
        <f>A449*控制台!$E$4959</f>
        <v>1598400</v>
      </c>
      <c r="C449" s="1">
        <f ca="1">OFFSET(控制台!$C$4968,MATCH(A449,控制台!$B$4968:$B$4976,1)-1,0)</f>
        <v>8</v>
      </c>
      <c r="D449" s="4">
        <f ca="1" t="shared" si="14"/>
        <v>13000000</v>
      </c>
      <c r="E449" s="1">
        <f ca="1" t="shared" si="13"/>
        <v>1867</v>
      </c>
      <c r="F449" s="1">
        <f ca="1">_xlfn.FLOOR.MATH(E449/24)</f>
        <v>77</v>
      </c>
    </row>
    <row r="450" spans="1:6">
      <c r="A450" s="1">
        <v>445</v>
      </c>
      <c r="B450" s="1">
        <f>A450*控制台!$E$4959</f>
        <v>1602000</v>
      </c>
      <c r="C450" s="1">
        <f ca="1">OFFSET(控制台!$C$4968,MATCH(A450,控制台!$B$4968:$B$4976,1)-1,0)</f>
        <v>8</v>
      </c>
      <c r="D450" s="4">
        <f ca="1" t="shared" si="14"/>
        <v>13000000</v>
      </c>
      <c r="E450" s="1">
        <f ca="1" t="shared" si="13"/>
        <v>1875</v>
      </c>
      <c r="F450" s="1">
        <f ca="1">_xlfn.FLOOR.MATH(E450/24)</f>
        <v>78</v>
      </c>
    </row>
    <row r="451" spans="1:6">
      <c r="A451" s="1">
        <v>446</v>
      </c>
      <c r="B451" s="1">
        <f>A451*控制台!$E$4959</f>
        <v>1605600</v>
      </c>
      <c r="C451" s="1">
        <f ca="1">OFFSET(控制台!$C$4968,MATCH(A451,控制台!$B$4968:$B$4976,1)-1,0)</f>
        <v>8</v>
      </c>
      <c r="D451" s="4">
        <f ca="1" t="shared" si="14"/>
        <v>13000000</v>
      </c>
      <c r="E451" s="1">
        <f ca="1" t="shared" si="13"/>
        <v>1883</v>
      </c>
      <c r="F451" s="1">
        <f ca="1">_xlfn.FLOOR.MATH(E451/24)</f>
        <v>78</v>
      </c>
    </row>
    <row r="452" spans="1:6">
      <c r="A452" s="1">
        <v>447</v>
      </c>
      <c r="B452" s="1">
        <f>A452*控制台!$E$4959</f>
        <v>1609200</v>
      </c>
      <c r="C452" s="1">
        <f ca="1">OFFSET(控制台!$C$4968,MATCH(A452,控制台!$B$4968:$B$4976,1)-1,0)</f>
        <v>8</v>
      </c>
      <c r="D452" s="4">
        <f ca="1" t="shared" si="14"/>
        <v>13000000</v>
      </c>
      <c r="E452" s="1">
        <f ca="1" t="shared" si="13"/>
        <v>1891</v>
      </c>
      <c r="F452" s="1">
        <f ca="1">_xlfn.FLOOR.MATH(E452/24)</f>
        <v>78</v>
      </c>
    </row>
    <row r="453" spans="1:6">
      <c r="A453" s="1">
        <v>448</v>
      </c>
      <c r="B453" s="1">
        <f>A453*控制台!$E$4959</f>
        <v>1612800</v>
      </c>
      <c r="C453" s="1">
        <f ca="1">OFFSET(控制台!$C$4968,MATCH(A453,控制台!$B$4968:$B$4976,1)-1,0)</f>
        <v>8</v>
      </c>
      <c r="D453" s="4">
        <f ca="1" t="shared" si="14"/>
        <v>13000000</v>
      </c>
      <c r="E453" s="1">
        <f ca="1" t="shared" si="13"/>
        <v>1899</v>
      </c>
      <c r="F453" s="1">
        <f ca="1">_xlfn.FLOOR.MATH(E453/24)</f>
        <v>79</v>
      </c>
    </row>
    <row r="454" spans="1:6">
      <c r="A454" s="1">
        <v>449</v>
      </c>
      <c r="B454" s="1">
        <f>A454*控制台!$E$4959</f>
        <v>1616400</v>
      </c>
      <c r="C454" s="1">
        <f ca="1">OFFSET(控制台!$C$4968,MATCH(A454,控制台!$B$4968:$B$4976,1)-1,0)</f>
        <v>8</v>
      </c>
      <c r="D454" s="4">
        <f ca="1" t="shared" si="14"/>
        <v>13000000</v>
      </c>
      <c r="E454" s="1">
        <f ca="1" t="shared" si="13"/>
        <v>1907</v>
      </c>
      <c r="F454" s="1">
        <f ca="1">_xlfn.FLOOR.MATH(E454/24)</f>
        <v>79</v>
      </c>
    </row>
    <row r="455" spans="1:6">
      <c r="A455" s="1">
        <v>450</v>
      </c>
      <c r="B455" s="1">
        <f>A455*控制台!$E$4959</f>
        <v>1620000</v>
      </c>
      <c r="C455" s="1">
        <f ca="1">OFFSET(控制台!$C$4968,MATCH(A455,控制台!$B$4968:$B$4976,1)-1,0)</f>
        <v>8</v>
      </c>
      <c r="D455" s="4">
        <f ca="1" t="shared" si="14"/>
        <v>13000000</v>
      </c>
      <c r="E455" s="1">
        <f ca="1" t="shared" si="13"/>
        <v>1915</v>
      </c>
      <c r="F455" s="1">
        <f ca="1">_xlfn.FLOOR.MATH(E455/24)</f>
        <v>79</v>
      </c>
    </row>
    <row r="456" spans="1:6">
      <c r="A456" s="1">
        <v>451</v>
      </c>
      <c r="B456" s="1">
        <f>A456*控制台!$E$4959</f>
        <v>1623600</v>
      </c>
      <c r="C456" s="1">
        <f ca="1">OFFSET(控制台!$C$4968,MATCH(A456,控制台!$B$4968:$B$4976,1)-1,0)</f>
        <v>8</v>
      </c>
      <c r="D456" s="4">
        <f ca="1" t="shared" si="14"/>
        <v>13000000</v>
      </c>
      <c r="E456" s="1">
        <f ca="1" t="shared" ref="E456:E505" si="15">E455+C456</f>
        <v>1923</v>
      </c>
      <c r="F456" s="1">
        <f ca="1">_xlfn.FLOOR.MATH(E456/24)</f>
        <v>80</v>
      </c>
    </row>
    <row r="457" spans="1:6">
      <c r="A457" s="1">
        <v>452</v>
      </c>
      <c r="B457" s="1">
        <f>A457*控制台!$E$4959</f>
        <v>1627200</v>
      </c>
      <c r="C457" s="1">
        <f ca="1">OFFSET(控制台!$C$4968,MATCH(A457,控制台!$B$4968:$B$4976,1)-1,0)</f>
        <v>8</v>
      </c>
      <c r="D457" s="4">
        <f ca="1" t="shared" si="14"/>
        <v>13000000</v>
      </c>
      <c r="E457" s="1">
        <f ca="1" t="shared" si="15"/>
        <v>1931</v>
      </c>
      <c r="F457" s="1">
        <f ca="1">_xlfn.FLOOR.MATH(E457/24)</f>
        <v>80</v>
      </c>
    </row>
    <row r="458" spans="1:6">
      <c r="A458" s="1">
        <v>453</v>
      </c>
      <c r="B458" s="1">
        <f>A458*控制台!$E$4959</f>
        <v>1630800</v>
      </c>
      <c r="C458" s="1">
        <f ca="1">OFFSET(控制台!$C$4968,MATCH(A458,控制台!$B$4968:$B$4976,1)-1,0)</f>
        <v>8</v>
      </c>
      <c r="D458" s="4">
        <f ca="1" t="shared" si="14"/>
        <v>13000000</v>
      </c>
      <c r="E458" s="1">
        <f ca="1" t="shared" si="15"/>
        <v>1939</v>
      </c>
      <c r="F458" s="1">
        <f ca="1">_xlfn.FLOOR.MATH(E458/24)</f>
        <v>80</v>
      </c>
    </row>
    <row r="459" spans="1:6">
      <c r="A459" s="1">
        <v>454</v>
      </c>
      <c r="B459" s="1">
        <f>A459*控制台!$E$4959</f>
        <v>1634400</v>
      </c>
      <c r="C459" s="1">
        <f ca="1">OFFSET(控制台!$C$4968,MATCH(A459,控制台!$B$4968:$B$4976,1)-1,0)</f>
        <v>8</v>
      </c>
      <c r="D459" s="4">
        <f ca="1" t="shared" si="14"/>
        <v>13000000</v>
      </c>
      <c r="E459" s="1">
        <f ca="1" t="shared" si="15"/>
        <v>1947</v>
      </c>
      <c r="F459" s="1">
        <f ca="1">_xlfn.FLOOR.MATH(E459/24)</f>
        <v>81</v>
      </c>
    </row>
    <row r="460" spans="1:6">
      <c r="A460" s="1">
        <v>455</v>
      </c>
      <c r="B460" s="1">
        <f>A460*控制台!$E$4959</f>
        <v>1638000</v>
      </c>
      <c r="C460" s="1">
        <f ca="1">OFFSET(控制台!$C$4968,MATCH(A460,控制台!$B$4968:$B$4976,1)-1,0)</f>
        <v>8</v>
      </c>
      <c r="D460" s="4">
        <f ca="1" t="shared" si="14"/>
        <v>13000000</v>
      </c>
      <c r="E460" s="1">
        <f ca="1" t="shared" si="15"/>
        <v>1955</v>
      </c>
      <c r="F460" s="1">
        <f ca="1">_xlfn.FLOOR.MATH(E460/24)</f>
        <v>81</v>
      </c>
    </row>
    <row r="461" spans="1:6">
      <c r="A461" s="1">
        <v>456</v>
      </c>
      <c r="B461" s="1">
        <f>A461*控制台!$E$4959</f>
        <v>1641600</v>
      </c>
      <c r="C461" s="1">
        <f ca="1">OFFSET(控制台!$C$4968,MATCH(A461,控制台!$B$4968:$B$4976,1)-1,0)</f>
        <v>8</v>
      </c>
      <c r="D461" s="4">
        <f ca="1" t="shared" si="14"/>
        <v>13000000</v>
      </c>
      <c r="E461" s="1">
        <f ca="1" t="shared" si="15"/>
        <v>1963</v>
      </c>
      <c r="F461" s="1">
        <f ca="1">_xlfn.FLOOR.MATH(E461/24)</f>
        <v>81</v>
      </c>
    </row>
    <row r="462" spans="1:6">
      <c r="A462" s="1">
        <v>457</v>
      </c>
      <c r="B462" s="1">
        <f>A462*控制台!$E$4959</f>
        <v>1645200</v>
      </c>
      <c r="C462" s="1">
        <f ca="1">OFFSET(控制台!$C$4968,MATCH(A462,控制台!$B$4968:$B$4976,1)-1,0)</f>
        <v>8</v>
      </c>
      <c r="D462" s="4">
        <f ca="1" t="shared" si="14"/>
        <v>13000000</v>
      </c>
      <c r="E462" s="1">
        <f ca="1" t="shared" si="15"/>
        <v>1971</v>
      </c>
      <c r="F462" s="1">
        <f ca="1">_xlfn.FLOOR.MATH(E462/24)</f>
        <v>82</v>
      </c>
    </row>
    <row r="463" spans="1:6">
      <c r="A463" s="1">
        <v>458</v>
      </c>
      <c r="B463" s="1">
        <f>A463*控制台!$E$4959</f>
        <v>1648800</v>
      </c>
      <c r="C463" s="1">
        <f ca="1">OFFSET(控制台!$C$4968,MATCH(A463,控制台!$B$4968:$B$4976,1)-1,0)</f>
        <v>8</v>
      </c>
      <c r="D463" s="4">
        <f ca="1" t="shared" si="14"/>
        <v>13000000</v>
      </c>
      <c r="E463" s="1">
        <f ca="1" t="shared" si="15"/>
        <v>1979</v>
      </c>
      <c r="F463" s="1">
        <f ca="1">_xlfn.FLOOR.MATH(E463/24)</f>
        <v>82</v>
      </c>
    </row>
    <row r="464" spans="1:6">
      <c r="A464" s="1">
        <v>459</v>
      </c>
      <c r="B464" s="1">
        <f>A464*控制台!$E$4959</f>
        <v>1652400</v>
      </c>
      <c r="C464" s="1">
        <f ca="1">OFFSET(控制台!$C$4968,MATCH(A464,控制台!$B$4968:$B$4976,1)-1,0)</f>
        <v>8</v>
      </c>
      <c r="D464" s="4">
        <f ca="1" t="shared" si="14"/>
        <v>13000000</v>
      </c>
      <c r="E464" s="1">
        <f ca="1" t="shared" si="15"/>
        <v>1987</v>
      </c>
      <c r="F464" s="1">
        <f ca="1">_xlfn.FLOOR.MATH(E464/24)</f>
        <v>82</v>
      </c>
    </row>
    <row r="465" spans="1:6">
      <c r="A465" s="1">
        <v>460</v>
      </c>
      <c r="B465" s="1">
        <f>A465*控制台!$E$4959</f>
        <v>1656000</v>
      </c>
      <c r="C465" s="1">
        <f ca="1">OFFSET(控制台!$C$4968,MATCH(A465,控制台!$B$4968:$B$4976,1)-1,0)</f>
        <v>8</v>
      </c>
      <c r="D465" s="4">
        <f ca="1" t="shared" si="14"/>
        <v>13000000</v>
      </c>
      <c r="E465" s="1">
        <f ca="1" t="shared" si="15"/>
        <v>1995</v>
      </c>
      <c r="F465" s="1">
        <f ca="1">_xlfn.FLOOR.MATH(E465/24)</f>
        <v>83</v>
      </c>
    </row>
    <row r="466" spans="1:6">
      <c r="A466" s="1">
        <v>461</v>
      </c>
      <c r="B466" s="1">
        <f>A466*控制台!$E$4959</f>
        <v>1659600</v>
      </c>
      <c r="C466" s="1">
        <f ca="1">OFFSET(控制台!$C$4968,MATCH(A466,控制台!$B$4968:$B$4976,1)-1,0)</f>
        <v>8</v>
      </c>
      <c r="D466" s="4">
        <f ca="1" t="shared" si="14"/>
        <v>13000000</v>
      </c>
      <c r="E466" s="1">
        <f ca="1" t="shared" si="15"/>
        <v>2003</v>
      </c>
      <c r="F466" s="1">
        <f ca="1">_xlfn.FLOOR.MATH(E466/24)</f>
        <v>83</v>
      </c>
    </row>
    <row r="467" spans="1:6">
      <c r="A467" s="1">
        <v>462</v>
      </c>
      <c r="B467" s="1">
        <f>A467*控制台!$E$4959</f>
        <v>1663200</v>
      </c>
      <c r="C467" s="1">
        <f ca="1">OFFSET(控制台!$C$4968,MATCH(A467,控制台!$B$4968:$B$4976,1)-1,0)</f>
        <v>8</v>
      </c>
      <c r="D467" s="4">
        <f ca="1" t="shared" si="14"/>
        <v>13000000</v>
      </c>
      <c r="E467" s="1">
        <f ca="1" t="shared" si="15"/>
        <v>2011</v>
      </c>
      <c r="F467" s="1">
        <f ca="1">_xlfn.FLOOR.MATH(E467/24)</f>
        <v>83</v>
      </c>
    </row>
    <row r="468" spans="1:6">
      <c r="A468" s="1">
        <v>463</v>
      </c>
      <c r="B468" s="1">
        <f>A468*控制台!$E$4959</f>
        <v>1666800</v>
      </c>
      <c r="C468" s="1">
        <f ca="1">OFFSET(控制台!$C$4968,MATCH(A468,控制台!$B$4968:$B$4976,1)-1,0)</f>
        <v>8</v>
      </c>
      <c r="D468" s="4">
        <f ca="1" t="shared" si="14"/>
        <v>13000000</v>
      </c>
      <c r="E468" s="1">
        <f ca="1" t="shared" si="15"/>
        <v>2019</v>
      </c>
      <c r="F468" s="1">
        <f ca="1">_xlfn.FLOOR.MATH(E468/24)</f>
        <v>84</v>
      </c>
    </row>
    <row r="469" spans="1:6">
      <c r="A469" s="1">
        <v>464</v>
      </c>
      <c r="B469" s="1">
        <f>A469*控制台!$E$4959</f>
        <v>1670400</v>
      </c>
      <c r="C469" s="1">
        <f ca="1">OFFSET(控制台!$C$4968,MATCH(A469,控制台!$B$4968:$B$4976,1)-1,0)</f>
        <v>8</v>
      </c>
      <c r="D469" s="4">
        <f ca="1" t="shared" si="14"/>
        <v>13000000</v>
      </c>
      <c r="E469" s="1">
        <f ca="1" t="shared" si="15"/>
        <v>2027</v>
      </c>
      <c r="F469" s="1">
        <f ca="1">_xlfn.FLOOR.MATH(E469/24)</f>
        <v>84</v>
      </c>
    </row>
    <row r="470" spans="1:6">
      <c r="A470" s="1">
        <v>465</v>
      </c>
      <c r="B470" s="1">
        <f>A470*控制台!$E$4959</f>
        <v>1674000</v>
      </c>
      <c r="C470" s="1">
        <f ca="1">OFFSET(控制台!$C$4968,MATCH(A470,控制台!$B$4968:$B$4976,1)-1,0)</f>
        <v>8</v>
      </c>
      <c r="D470" s="4">
        <f ca="1" t="shared" si="14"/>
        <v>13000000</v>
      </c>
      <c r="E470" s="1">
        <f ca="1" t="shared" si="15"/>
        <v>2035</v>
      </c>
      <c r="F470" s="1">
        <f ca="1">_xlfn.FLOOR.MATH(E470/24)</f>
        <v>84</v>
      </c>
    </row>
    <row r="471" spans="1:6">
      <c r="A471" s="1">
        <v>466</v>
      </c>
      <c r="B471" s="1">
        <f>A471*控制台!$E$4959</f>
        <v>1677600</v>
      </c>
      <c r="C471" s="1">
        <f ca="1">OFFSET(控制台!$C$4968,MATCH(A471,控制台!$B$4968:$B$4976,1)-1,0)</f>
        <v>8</v>
      </c>
      <c r="D471" s="4">
        <f ca="1" t="shared" si="14"/>
        <v>13000000</v>
      </c>
      <c r="E471" s="1">
        <f ca="1" t="shared" si="15"/>
        <v>2043</v>
      </c>
      <c r="F471" s="1">
        <f ca="1">_xlfn.FLOOR.MATH(E471/24)</f>
        <v>85</v>
      </c>
    </row>
    <row r="472" spans="1:6">
      <c r="A472" s="1">
        <v>467</v>
      </c>
      <c r="B472" s="1">
        <f>A472*控制台!$E$4959</f>
        <v>1681200</v>
      </c>
      <c r="C472" s="1">
        <f ca="1">OFFSET(控制台!$C$4968,MATCH(A472,控制台!$B$4968:$B$4976,1)-1,0)</f>
        <v>8</v>
      </c>
      <c r="D472" s="4">
        <f ca="1" t="shared" si="14"/>
        <v>13000000</v>
      </c>
      <c r="E472" s="1">
        <f ca="1" t="shared" si="15"/>
        <v>2051</v>
      </c>
      <c r="F472" s="1">
        <f ca="1">_xlfn.FLOOR.MATH(E472/24)</f>
        <v>85</v>
      </c>
    </row>
    <row r="473" spans="1:6">
      <c r="A473" s="1">
        <v>468</v>
      </c>
      <c r="B473" s="1">
        <f>A473*控制台!$E$4959</f>
        <v>1684800</v>
      </c>
      <c r="C473" s="1">
        <f ca="1">OFFSET(控制台!$C$4968,MATCH(A473,控制台!$B$4968:$B$4976,1)-1,0)</f>
        <v>8</v>
      </c>
      <c r="D473" s="4">
        <f ca="1" t="shared" si="14"/>
        <v>13000000</v>
      </c>
      <c r="E473" s="1">
        <f ca="1" t="shared" si="15"/>
        <v>2059</v>
      </c>
      <c r="F473" s="1">
        <f ca="1">_xlfn.FLOOR.MATH(E473/24)</f>
        <v>85</v>
      </c>
    </row>
    <row r="474" spans="1:6">
      <c r="A474" s="1">
        <v>469</v>
      </c>
      <c r="B474" s="1">
        <f>A474*控制台!$E$4959</f>
        <v>1688400</v>
      </c>
      <c r="C474" s="1">
        <f ca="1">OFFSET(控制台!$C$4968,MATCH(A474,控制台!$B$4968:$B$4976,1)-1,0)</f>
        <v>8</v>
      </c>
      <c r="D474" s="4">
        <f ca="1" t="shared" si="14"/>
        <v>13000000</v>
      </c>
      <c r="E474" s="1">
        <f ca="1" t="shared" si="15"/>
        <v>2067</v>
      </c>
      <c r="F474" s="1">
        <f ca="1">_xlfn.FLOOR.MATH(E474/24)</f>
        <v>86</v>
      </c>
    </row>
    <row r="475" spans="1:6">
      <c r="A475" s="1">
        <v>470</v>
      </c>
      <c r="B475" s="1">
        <f>A475*控制台!$E$4959</f>
        <v>1692000</v>
      </c>
      <c r="C475" s="1">
        <f ca="1">OFFSET(控制台!$C$4968,MATCH(A475,控制台!$B$4968:$B$4976,1)-1,0)</f>
        <v>8</v>
      </c>
      <c r="D475" s="4">
        <f ca="1" t="shared" si="14"/>
        <v>14000000</v>
      </c>
      <c r="E475" s="1">
        <f ca="1" t="shared" si="15"/>
        <v>2075</v>
      </c>
      <c r="F475" s="1">
        <f ca="1">_xlfn.FLOOR.MATH(E475/24)</f>
        <v>86</v>
      </c>
    </row>
    <row r="476" spans="1:6">
      <c r="A476" s="1">
        <v>471</v>
      </c>
      <c r="B476" s="1">
        <f>A476*控制台!$E$4959</f>
        <v>1695600</v>
      </c>
      <c r="C476" s="1">
        <f ca="1">OFFSET(控制台!$C$4968,MATCH(A476,控制台!$B$4968:$B$4976,1)-1,0)</f>
        <v>8</v>
      </c>
      <c r="D476" s="4">
        <f ca="1" t="shared" si="14"/>
        <v>14000000</v>
      </c>
      <c r="E476" s="1">
        <f ca="1" t="shared" si="15"/>
        <v>2083</v>
      </c>
      <c r="F476" s="1">
        <f ca="1">_xlfn.FLOOR.MATH(E476/24)</f>
        <v>86</v>
      </c>
    </row>
    <row r="477" spans="1:6">
      <c r="A477" s="1">
        <v>472</v>
      </c>
      <c r="B477" s="1">
        <f>A477*控制台!$E$4959</f>
        <v>1699200</v>
      </c>
      <c r="C477" s="1">
        <f ca="1">OFFSET(控制台!$C$4968,MATCH(A477,控制台!$B$4968:$B$4976,1)-1,0)</f>
        <v>8</v>
      </c>
      <c r="D477" s="4">
        <f ca="1" t="shared" si="14"/>
        <v>14000000</v>
      </c>
      <c r="E477" s="1">
        <f ca="1" t="shared" si="15"/>
        <v>2091</v>
      </c>
      <c r="F477" s="1">
        <f ca="1">_xlfn.FLOOR.MATH(E477/24)</f>
        <v>87</v>
      </c>
    </row>
    <row r="478" spans="1:6">
      <c r="A478" s="1">
        <v>473</v>
      </c>
      <c r="B478" s="1">
        <f>A478*控制台!$E$4959</f>
        <v>1702800</v>
      </c>
      <c r="C478" s="1">
        <f ca="1">OFFSET(控制台!$C$4968,MATCH(A478,控制台!$B$4968:$B$4976,1)-1,0)</f>
        <v>8</v>
      </c>
      <c r="D478" s="4">
        <f ca="1" t="shared" si="14"/>
        <v>14000000</v>
      </c>
      <c r="E478" s="1">
        <f ca="1" t="shared" si="15"/>
        <v>2099</v>
      </c>
      <c r="F478" s="1">
        <f ca="1">_xlfn.FLOOR.MATH(E478/24)</f>
        <v>87</v>
      </c>
    </row>
    <row r="479" spans="1:6">
      <c r="A479" s="1">
        <v>474</v>
      </c>
      <c r="B479" s="1">
        <f>A479*控制台!$E$4959</f>
        <v>1706400</v>
      </c>
      <c r="C479" s="1">
        <f ca="1">OFFSET(控制台!$C$4968,MATCH(A479,控制台!$B$4968:$B$4976,1)-1,0)</f>
        <v>8</v>
      </c>
      <c r="D479" s="4">
        <f ca="1" t="shared" si="14"/>
        <v>14000000</v>
      </c>
      <c r="E479" s="1">
        <f ca="1" t="shared" si="15"/>
        <v>2107</v>
      </c>
      <c r="F479" s="1">
        <f ca="1">_xlfn.FLOOR.MATH(E479/24)</f>
        <v>87</v>
      </c>
    </row>
    <row r="480" spans="1:6">
      <c r="A480" s="1">
        <v>475</v>
      </c>
      <c r="B480" s="1">
        <f>A480*控制台!$E$4959</f>
        <v>1710000</v>
      </c>
      <c r="C480" s="1">
        <f ca="1">OFFSET(控制台!$C$4968,MATCH(A480,控制台!$B$4968:$B$4976,1)-1,0)</f>
        <v>8</v>
      </c>
      <c r="D480" s="4">
        <f ca="1" t="shared" si="14"/>
        <v>14000000</v>
      </c>
      <c r="E480" s="1">
        <f ca="1" t="shared" si="15"/>
        <v>2115</v>
      </c>
      <c r="F480" s="1">
        <f ca="1">_xlfn.FLOOR.MATH(E480/24)</f>
        <v>88</v>
      </c>
    </row>
    <row r="481" spans="1:6">
      <c r="A481" s="1">
        <v>476</v>
      </c>
      <c r="B481" s="1">
        <f>A481*控制台!$E$4959</f>
        <v>1713600</v>
      </c>
      <c r="C481" s="1">
        <f ca="1">OFFSET(控制台!$C$4968,MATCH(A481,控制台!$B$4968:$B$4976,1)-1,0)</f>
        <v>8</v>
      </c>
      <c r="D481" s="4">
        <f ca="1" t="shared" si="14"/>
        <v>14000000</v>
      </c>
      <c r="E481" s="1">
        <f ca="1" t="shared" si="15"/>
        <v>2123</v>
      </c>
      <c r="F481" s="1">
        <f ca="1">_xlfn.FLOOR.MATH(E481/24)</f>
        <v>88</v>
      </c>
    </row>
    <row r="482" spans="1:6">
      <c r="A482" s="1">
        <v>477</v>
      </c>
      <c r="B482" s="1">
        <f>A482*控制台!$E$4959</f>
        <v>1717200</v>
      </c>
      <c r="C482" s="1">
        <f ca="1">OFFSET(控制台!$C$4968,MATCH(A482,控制台!$B$4968:$B$4976,1)-1,0)</f>
        <v>8</v>
      </c>
      <c r="D482" s="4">
        <f ca="1" t="shared" si="14"/>
        <v>14000000</v>
      </c>
      <c r="E482" s="1">
        <f ca="1" t="shared" si="15"/>
        <v>2131</v>
      </c>
      <c r="F482" s="1">
        <f ca="1">_xlfn.FLOOR.MATH(E482/24)</f>
        <v>88</v>
      </c>
    </row>
    <row r="483" spans="1:6">
      <c r="A483" s="1">
        <v>478</v>
      </c>
      <c r="B483" s="1">
        <f>A483*控制台!$E$4959</f>
        <v>1720800</v>
      </c>
      <c r="C483" s="1">
        <f ca="1">OFFSET(控制台!$C$4968,MATCH(A483,控制台!$B$4968:$B$4976,1)-1,0)</f>
        <v>8</v>
      </c>
      <c r="D483" s="4">
        <f ca="1" t="shared" si="14"/>
        <v>14000000</v>
      </c>
      <c r="E483" s="1">
        <f ca="1" t="shared" si="15"/>
        <v>2139</v>
      </c>
      <c r="F483" s="1">
        <f ca="1">_xlfn.FLOOR.MATH(E483/24)</f>
        <v>89</v>
      </c>
    </row>
    <row r="484" spans="1:6">
      <c r="A484" s="1">
        <v>479</v>
      </c>
      <c r="B484" s="1">
        <f>A484*控制台!$E$4959</f>
        <v>1724400</v>
      </c>
      <c r="C484" s="1">
        <f ca="1">OFFSET(控制台!$C$4968,MATCH(A484,控制台!$B$4968:$B$4976,1)-1,0)</f>
        <v>8</v>
      </c>
      <c r="D484" s="4">
        <f ca="1" t="shared" si="14"/>
        <v>14000000</v>
      </c>
      <c r="E484" s="1">
        <f ca="1" t="shared" si="15"/>
        <v>2147</v>
      </c>
      <c r="F484" s="1">
        <f ca="1">_xlfn.FLOOR.MATH(E484/24)</f>
        <v>89</v>
      </c>
    </row>
    <row r="485" spans="1:6">
      <c r="A485" s="1">
        <v>480</v>
      </c>
      <c r="B485" s="1">
        <f>A485*控制台!$E$4959</f>
        <v>1728000</v>
      </c>
      <c r="C485" s="1">
        <f ca="1">OFFSET(控制台!$C$4968,MATCH(A485,控制台!$B$4968:$B$4976,1)-1,0)</f>
        <v>8</v>
      </c>
      <c r="D485" s="4">
        <f ca="1" t="shared" si="14"/>
        <v>14000000</v>
      </c>
      <c r="E485" s="1">
        <f ca="1" t="shared" si="15"/>
        <v>2155</v>
      </c>
      <c r="F485" s="1">
        <f ca="1">_xlfn.FLOOR.MATH(E485/24)</f>
        <v>89</v>
      </c>
    </row>
    <row r="486" spans="1:6">
      <c r="A486" s="1">
        <v>481</v>
      </c>
      <c r="B486" s="1">
        <f>A486*控制台!$E$4959</f>
        <v>1731600</v>
      </c>
      <c r="C486" s="1">
        <f ca="1">OFFSET(控制台!$C$4968,MATCH(A486,控制台!$B$4968:$B$4976,1)-1,0)</f>
        <v>8</v>
      </c>
      <c r="D486" s="4">
        <f ca="1" t="shared" si="14"/>
        <v>14000000</v>
      </c>
      <c r="E486" s="1">
        <f ca="1" t="shared" si="15"/>
        <v>2163</v>
      </c>
      <c r="F486" s="1">
        <f ca="1">_xlfn.FLOOR.MATH(E486/24)</f>
        <v>90</v>
      </c>
    </row>
    <row r="487" spans="1:6">
      <c r="A487" s="1">
        <v>482</v>
      </c>
      <c r="B487" s="1">
        <f>A487*控制台!$E$4959</f>
        <v>1735200</v>
      </c>
      <c r="C487" s="1">
        <f ca="1">OFFSET(控制台!$C$4968,MATCH(A487,控制台!$B$4968:$B$4976,1)-1,0)</f>
        <v>8</v>
      </c>
      <c r="D487" s="4">
        <f ca="1" t="shared" si="14"/>
        <v>14000000</v>
      </c>
      <c r="E487" s="1">
        <f ca="1" t="shared" si="15"/>
        <v>2171</v>
      </c>
      <c r="F487" s="1">
        <f ca="1">_xlfn.FLOOR.MATH(E487/24)</f>
        <v>90</v>
      </c>
    </row>
    <row r="488" spans="1:6">
      <c r="A488" s="1">
        <v>483</v>
      </c>
      <c r="B488" s="1">
        <f>A488*控制台!$E$4959</f>
        <v>1738800</v>
      </c>
      <c r="C488" s="1">
        <f ca="1">OFFSET(控制台!$C$4968,MATCH(A488,控制台!$B$4968:$B$4976,1)-1,0)</f>
        <v>8</v>
      </c>
      <c r="D488" s="4">
        <f ca="1" t="shared" si="14"/>
        <v>14000000</v>
      </c>
      <c r="E488" s="1">
        <f ca="1" t="shared" si="15"/>
        <v>2179</v>
      </c>
      <c r="F488" s="1">
        <f ca="1">_xlfn.FLOOR.MATH(E488/24)</f>
        <v>90</v>
      </c>
    </row>
    <row r="489" spans="1:6">
      <c r="A489" s="1">
        <v>484</v>
      </c>
      <c r="B489" s="1">
        <f>A489*控制台!$E$4959</f>
        <v>1742400</v>
      </c>
      <c r="C489" s="1">
        <f ca="1">OFFSET(控制台!$C$4968,MATCH(A489,控制台!$B$4968:$B$4976,1)-1,0)</f>
        <v>8</v>
      </c>
      <c r="D489" s="4">
        <f ca="1" t="shared" si="14"/>
        <v>14000000</v>
      </c>
      <c r="E489" s="1">
        <f ca="1" t="shared" si="15"/>
        <v>2187</v>
      </c>
      <c r="F489" s="1">
        <f ca="1">_xlfn.FLOOR.MATH(E489/24)</f>
        <v>91</v>
      </c>
    </row>
    <row r="490" spans="1:6">
      <c r="A490" s="1">
        <v>485</v>
      </c>
      <c r="B490" s="1">
        <f>A490*控制台!$E$4959</f>
        <v>1746000</v>
      </c>
      <c r="C490" s="1">
        <f ca="1">OFFSET(控制台!$C$4968,MATCH(A490,控制台!$B$4968:$B$4976,1)-1,0)</f>
        <v>8</v>
      </c>
      <c r="D490" s="4">
        <f ca="1" t="shared" si="14"/>
        <v>14000000</v>
      </c>
      <c r="E490" s="1">
        <f ca="1" t="shared" si="15"/>
        <v>2195</v>
      </c>
      <c r="F490" s="1">
        <f ca="1">_xlfn.FLOOR.MATH(E490/24)</f>
        <v>91</v>
      </c>
    </row>
    <row r="491" spans="1:6">
      <c r="A491" s="1">
        <v>486</v>
      </c>
      <c r="B491" s="1">
        <f>A491*控制台!$E$4959</f>
        <v>1749600</v>
      </c>
      <c r="C491" s="1">
        <f ca="1">OFFSET(控制台!$C$4968,MATCH(A491,控制台!$B$4968:$B$4976,1)-1,0)</f>
        <v>8</v>
      </c>
      <c r="D491" s="4">
        <f ca="1" t="shared" si="14"/>
        <v>14000000</v>
      </c>
      <c r="E491" s="1">
        <f ca="1" t="shared" si="15"/>
        <v>2203</v>
      </c>
      <c r="F491" s="1">
        <f ca="1">_xlfn.FLOOR.MATH(E491/24)</f>
        <v>91</v>
      </c>
    </row>
    <row r="492" spans="1:6">
      <c r="A492" s="1">
        <v>487</v>
      </c>
      <c r="B492" s="1">
        <f>A492*控制台!$E$4959</f>
        <v>1753200</v>
      </c>
      <c r="C492" s="1">
        <f ca="1">OFFSET(控制台!$C$4968,MATCH(A492,控制台!$B$4968:$B$4976,1)-1,0)</f>
        <v>8</v>
      </c>
      <c r="D492" s="4">
        <f ca="1" t="shared" si="14"/>
        <v>14000000</v>
      </c>
      <c r="E492" s="1">
        <f ca="1" t="shared" si="15"/>
        <v>2211</v>
      </c>
      <c r="F492" s="1">
        <f ca="1">_xlfn.FLOOR.MATH(E492/24)</f>
        <v>92</v>
      </c>
    </row>
    <row r="493" spans="1:6">
      <c r="A493" s="1">
        <v>488</v>
      </c>
      <c r="B493" s="1">
        <f>A493*控制台!$E$4959</f>
        <v>1756800</v>
      </c>
      <c r="C493" s="1">
        <f ca="1">OFFSET(控制台!$C$4968,MATCH(A493,控制台!$B$4968:$B$4976,1)-1,0)</f>
        <v>8</v>
      </c>
      <c r="D493" s="4">
        <f ca="1" t="shared" si="14"/>
        <v>14000000</v>
      </c>
      <c r="E493" s="1">
        <f ca="1" t="shared" si="15"/>
        <v>2219</v>
      </c>
      <c r="F493" s="1">
        <f ca="1">_xlfn.FLOOR.MATH(E493/24)</f>
        <v>92</v>
      </c>
    </row>
    <row r="494" spans="1:6">
      <c r="A494" s="1">
        <v>489</v>
      </c>
      <c r="B494" s="1">
        <f>A494*控制台!$E$4959</f>
        <v>1760400</v>
      </c>
      <c r="C494" s="1">
        <f ca="1">OFFSET(控制台!$C$4968,MATCH(A494,控制台!$B$4968:$B$4976,1)-1,0)</f>
        <v>8</v>
      </c>
      <c r="D494" s="4">
        <f ca="1" t="shared" si="14"/>
        <v>14000000</v>
      </c>
      <c r="E494" s="1">
        <f ca="1" t="shared" si="15"/>
        <v>2227</v>
      </c>
      <c r="F494" s="1">
        <f ca="1">_xlfn.FLOOR.MATH(E494/24)</f>
        <v>92</v>
      </c>
    </row>
    <row r="495" spans="1:6">
      <c r="A495" s="1">
        <v>490</v>
      </c>
      <c r="B495" s="1">
        <f>A495*控制台!$E$4959</f>
        <v>1764000</v>
      </c>
      <c r="C495" s="1">
        <f ca="1">OFFSET(控制台!$C$4968,MATCH(A495,控制台!$B$4968:$B$4976,1)-1,0)</f>
        <v>8</v>
      </c>
      <c r="D495" s="4">
        <f ca="1" t="shared" si="14"/>
        <v>14000000</v>
      </c>
      <c r="E495" s="1">
        <f ca="1" t="shared" si="15"/>
        <v>2235</v>
      </c>
      <c r="F495" s="1">
        <f ca="1">_xlfn.FLOOR.MATH(E495/24)</f>
        <v>93</v>
      </c>
    </row>
    <row r="496" spans="1:6">
      <c r="A496" s="1">
        <v>491</v>
      </c>
      <c r="B496" s="1">
        <f>A496*控制台!$E$4959</f>
        <v>1767600</v>
      </c>
      <c r="C496" s="1">
        <f ca="1">OFFSET(控制台!$C$4968,MATCH(A496,控制台!$B$4968:$B$4976,1)-1,0)</f>
        <v>8</v>
      </c>
      <c r="D496" s="4">
        <f ca="1" t="shared" si="14"/>
        <v>14000000</v>
      </c>
      <c r="E496" s="1">
        <f ca="1" t="shared" si="15"/>
        <v>2243</v>
      </c>
      <c r="F496" s="1">
        <f ca="1">_xlfn.FLOOR.MATH(E496/24)</f>
        <v>93</v>
      </c>
    </row>
    <row r="497" spans="1:6">
      <c r="A497" s="1">
        <v>492</v>
      </c>
      <c r="B497" s="1">
        <f>A497*控制台!$E$4959</f>
        <v>1771200</v>
      </c>
      <c r="C497" s="1">
        <f ca="1">OFFSET(控制台!$C$4968,MATCH(A497,控制台!$B$4968:$B$4976,1)-1,0)</f>
        <v>8</v>
      </c>
      <c r="D497" s="4">
        <f ca="1" t="shared" si="14"/>
        <v>14000000</v>
      </c>
      <c r="E497" s="1">
        <f ca="1" t="shared" si="15"/>
        <v>2251</v>
      </c>
      <c r="F497" s="1">
        <f ca="1">_xlfn.FLOOR.MATH(E497/24)</f>
        <v>93</v>
      </c>
    </row>
    <row r="498" spans="1:6">
      <c r="A498" s="1">
        <v>493</v>
      </c>
      <c r="B498" s="1">
        <f>A498*控制台!$E$4959</f>
        <v>1774800</v>
      </c>
      <c r="C498" s="1">
        <f ca="1">OFFSET(控制台!$C$4968,MATCH(A498,控制台!$B$4968:$B$4976,1)-1,0)</f>
        <v>8</v>
      </c>
      <c r="D498" s="4">
        <f ca="1" t="shared" si="14"/>
        <v>14000000</v>
      </c>
      <c r="E498" s="1">
        <f ca="1" t="shared" si="15"/>
        <v>2259</v>
      </c>
      <c r="F498" s="1">
        <f ca="1">_xlfn.FLOOR.MATH(E498/24)</f>
        <v>94</v>
      </c>
    </row>
    <row r="499" spans="1:6">
      <c r="A499" s="1">
        <v>494</v>
      </c>
      <c r="B499" s="1">
        <f>A499*控制台!$E$4959</f>
        <v>1778400</v>
      </c>
      <c r="C499" s="1">
        <f ca="1">OFFSET(控制台!$C$4968,MATCH(A499,控制台!$B$4968:$B$4976,1)-1,0)</f>
        <v>8</v>
      </c>
      <c r="D499" s="4">
        <f ca="1" t="shared" ref="D499:D505" si="16">ROUND(C499*B498,1-INT(LOG10(C499*B498)))</f>
        <v>14000000</v>
      </c>
      <c r="E499" s="1">
        <f ca="1" t="shared" si="15"/>
        <v>2267</v>
      </c>
      <c r="F499" s="1">
        <f ca="1">_xlfn.FLOOR.MATH(E499/24)</f>
        <v>94</v>
      </c>
    </row>
    <row r="500" spans="1:6">
      <c r="A500" s="1">
        <v>495</v>
      </c>
      <c r="B500" s="1">
        <f>A500*控制台!$E$4959</f>
        <v>1782000</v>
      </c>
      <c r="C500" s="1">
        <f ca="1">OFFSET(控制台!$C$4968,MATCH(A500,控制台!$B$4968:$B$4976,1)-1,0)</f>
        <v>8</v>
      </c>
      <c r="D500" s="4">
        <f ca="1" t="shared" si="16"/>
        <v>14000000</v>
      </c>
      <c r="E500" s="1">
        <f ca="1" t="shared" si="15"/>
        <v>2275</v>
      </c>
      <c r="F500" s="1">
        <f ca="1">_xlfn.FLOOR.MATH(E500/24)</f>
        <v>94</v>
      </c>
    </row>
    <row r="501" spans="1:6">
      <c r="A501" s="1">
        <v>496</v>
      </c>
      <c r="B501" s="1">
        <f>A501*控制台!$E$4959</f>
        <v>1785600</v>
      </c>
      <c r="C501" s="1">
        <f ca="1">OFFSET(控制台!$C$4968,MATCH(A501,控制台!$B$4968:$B$4976,1)-1,0)</f>
        <v>8</v>
      </c>
      <c r="D501" s="4">
        <f ca="1" t="shared" si="16"/>
        <v>14000000</v>
      </c>
      <c r="E501" s="1">
        <f ca="1" t="shared" si="15"/>
        <v>2283</v>
      </c>
      <c r="F501" s="1">
        <f ca="1">_xlfn.FLOOR.MATH(E501/24)</f>
        <v>95</v>
      </c>
    </row>
    <row r="502" spans="1:6">
      <c r="A502" s="1">
        <v>497</v>
      </c>
      <c r="B502" s="1">
        <f>A502*控制台!$E$4959</f>
        <v>1789200</v>
      </c>
      <c r="C502" s="1">
        <f ca="1">OFFSET(控制台!$C$4968,MATCH(A502,控制台!$B$4968:$B$4976,1)-1,0)</f>
        <v>8</v>
      </c>
      <c r="D502" s="4">
        <f ca="1" t="shared" si="16"/>
        <v>14000000</v>
      </c>
      <c r="E502" s="1">
        <f ca="1" t="shared" si="15"/>
        <v>2291</v>
      </c>
      <c r="F502" s="1">
        <f ca="1">_xlfn.FLOOR.MATH(E502/24)</f>
        <v>95</v>
      </c>
    </row>
    <row r="503" spans="1:6">
      <c r="A503" s="1">
        <v>498</v>
      </c>
      <c r="B503" s="1">
        <f>A503*控制台!$E$4959</f>
        <v>1792800</v>
      </c>
      <c r="C503" s="1">
        <f ca="1">OFFSET(控制台!$C$4968,MATCH(A503,控制台!$B$4968:$B$4976,1)-1,0)</f>
        <v>8</v>
      </c>
      <c r="D503" s="4">
        <f ca="1" t="shared" si="16"/>
        <v>14000000</v>
      </c>
      <c r="E503" s="1">
        <f ca="1" t="shared" si="15"/>
        <v>2299</v>
      </c>
      <c r="F503" s="1">
        <f ca="1">_xlfn.FLOOR.MATH(E503/24)</f>
        <v>95</v>
      </c>
    </row>
    <row r="504" spans="1:6">
      <c r="A504" s="1">
        <v>499</v>
      </c>
      <c r="B504" s="1">
        <f>A504*控制台!$E$4959</f>
        <v>1796400</v>
      </c>
      <c r="C504" s="1">
        <f ca="1">OFFSET(控制台!$C$4968,MATCH(A504,控制台!$B$4968:$B$4976,1)-1,0)</f>
        <v>8</v>
      </c>
      <c r="D504" s="4">
        <f ca="1" t="shared" si="16"/>
        <v>14000000</v>
      </c>
      <c r="E504" s="1">
        <f ca="1" t="shared" si="15"/>
        <v>2307</v>
      </c>
      <c r="F504" s="1">
        <f ca="1">_xlfn.FLOOR.MATH(E504/24)</f>
        <v>96</v>
      </c>
    </row>
    <row r="505" spans="1:6">
      <c r="A505" s="1">
        <v>500</v>
      </c>
      <c r="B505" s="1">
        <f>A505*控制台!$E$4959</f>
        <v>1800000</v>
      </c>
      <c r="C505" s="1">
        <f ca="1">OFFSET(控制台!$C$4968,MATCH(A505,控制台!$B$4968:$B$4976,1)-1,0)</f>
        <v>8</v>
      </c>
      <c r="D505" s="4">
        <f ca="1" t="shared" si="16"/>
        <v>14000000</v>
      </c>
      <c r="E505" s="1">
        <f ca="1" t="shared" si="15"/>
        <v>2315</v>
      </c>
      <c r="F505" s="1">
        <f ca="1">_xlfn.FLOOR.MATH(E505/24)</f>
        <v>96</v>
      </c>
    </row>
    <row r="506" spans="4:4">
      <c r="D506" s="5">
        <f ca="1">SUM(D6:D505)</f>
        <v>2636195600</v>
      </c>
    </row>
  </sheetData>
  <hyperlinks>
    <hyperlink ref="A1" location="控制台_502_联盟积分" display="返回控制台_联盟积分"/>
  </hyperlinks>
  <pageMargins left="0.699305555555556" right="0.699305555555556" top="0.75" bottom="0.75" header="0.3" footer="0.3"/>
  <pageSetup paperSize="9" orientation="portrait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4">
    <tabColor theme="9" tint="0.599993896298105"/>
  </sheetPr>
  <dimension ref="A1:J370"/>
  <sheetViews>
    <sheetView workbookViewId="0">
      <selection activeCell="J6" sqref="J6"/>
    </sheetView>
  </sheetViews>
  <sheetFormatPr defaultColWidth="8.70967741935484" defaultRowHeight="13.1"/>
  <cols>
    <col min="1" max="1" width="9.62903225806452" style="1" customWidth="1"/>
    <col min="2" max="3" width="9.25" style="1" customWidth="1"/>
    <col min="4" max="4" width="17.5" style="1" customWidth="1"/>
    <col min="5" max="5" width="9.25" style="1" customWidth="1"/>
    <col min="6" max="6" width="5.5" style="1" customWidth="1"/>
    <col min="7" max="7" width="9.37903225806452" style="1" customWidth="1"/>
    <col min="8" max="8" width="9.62903225806452" style="1" customWidth="1"/>
    <col min="9" max="9" width="10.75" style="1" customWidth="1"/>
    <col min="10" max="10" width="9.75" style="1" customWidth="1"/>
    <col min="11" max="16384" width="9.62903225806452" style="1"/>
  </cols>
  <sheetData>
    <row r="1" spans="1:8">
      <c r="A1" s="3" t="s">
        <v>3009</v>
      </c>
      <c r="E1" s="4"/>
      <c r="F1" s="5"/>
      <c r="G1" s="4"/>
      <c r="H1" s="5"/>
    </row>
    <row r="2" spans="5:8">
      <c r="E2" s="4"/>
      <c r="F2" s="5"/>
      <c r="G2" s="4"/>
      <c r="H2" s="5"/>
    </row>
    <row r="3" s="2" customFormat="1" spans="1:1">
      <c r="A3" s="2" t="s">
        <v>2762</v>
      </c>
    </row>
    <row r="4" spans="5:8">
      <c r="E4" s="4"/>
      <c r="F4" s="5"/>
      <c r="G4" s="4"/>
      <c r="H4" s="5"/>
    </row>
    <row r="5" spans="1:10">
      <c r="A5" s="1" t="s">
        <v>879</v>
      </c>
      <c r="B5" s="1" t="s">
        <v>2763</v>
      </c>
      <c r="C5" s="1" t="s">
        <v>2419</v>
      </c>
      <c r="D5" s="1" t="s">
        <v>2764</v>
      </c>
      <c r="E5" s="1" t="s">
        <v>2765</v>
      </c>
      <c r="F5" s="1" t="s">
        <v>880</v>
      </c>
      <c r="G5" s="4" t="s">
        <v>2420</v>
      </c>
      <c r="H5" s="4" t="s">
        <v>3010</v>
      </c>
      <c r="I5" s="4" t="s">
        <v>3011</v>
      </c>
      <c r="J5" s="4" t="s">
        <v>2427</v>
      </c>
    </row>
    <row r="6" spans="1:10">
      <c r="A6" s="1">
        <v>210101</v>
      </c>
      <c r="B6" s="1">
        <v>1</v>
      </c>
      <c r="C6" s="1">
        <v>1</v>
      </c>
      <c r="D6" s="1" t="s">
        <v>2428</v>
      </c>
      <c r="E6" s="1">
        <f ca="1">OFFSET(控制台!$G$5001,MATCH(A6,控制台!$B$5001:$B$5051,0)-1,0)</f>
        <v>5</v>
      </c>
      <c r="F6" s="1">
        <f ca="1">OFFSET(控制台!$E$5001,MATCH(A6,控制台!$B$5001:$B$5051,0)-1,0)</f>
        <v>1</v>
      </c>
      <c r="G6" s="4">
        <f ca="1">OFFSET(控制台!$I$5001,MATCH(A6,控制台!$B$5001:$B$5051,0)-1,0)</f>
        <v>1000</v>
      </c>
      <c r="H6" s="4">
        <f ca="1">OFFSET(控制台!$J$5001,MATCH(A6,控制台!$B$5001:$B$5051,0)-1,0)+(B6-1)*OFFSET(控制台!$K$5001,MATCH(A6,控制台!$B$5001:$B$5051,0)-1,0)</f>
        <v>100000</v>
      </c>
      <c r="I6" s="4">
        <f ca="1">OFFSET(控制台!$M$5001,MATCH(A6,控制台!$B$5001:$B$5051,0)-1,0)+(B6-1)*OFFSET(控制台!$N$5001,MATCH(A6,控制台!$B$5001:$B$5051,0)-1,0)</f>
        <v>100000</v>
      </c>
      <c r="J6" s="4">
        <f ca="1">OFFSET(控制台!$P$5001,MATCH(A6,控制台!$B$5001:$B$5051,0)-1,0)</f>
        <v>7200</v>
      </c>
    </row>
    <row r="7" spans="1:10">
      <c r="A7" s="1">
        <v>210101</v>
      </c>
      <c r="B7" s="1">
        <v>2</v>
      </c>
      <c r="C7" s="1">
        <v>1</v>
      </c>
      <c r="D7" s="1" t="s">
        <v>2428</v>
      </c>
      <c r="E7" s="1">
        <f ca="1">OFFSET(控制台!$G$5001,MATCH(A7,控制台!$B$5001:$B$5051,0)-1,0)</f>
        <v>5</v>
      </c>
      <c r="F7" s="1">
        <f ca="1">OFFSET(控制台!$E$5001,MATCH(A7,控制台!$B$5001:$B$5051,0)-1,0)</f>
        <v>1</v>
      </c>
      <c r="G7" s="4">
        <f ca="1">OFFSET(控制台!$I$5001,MATCH(A7,控制台!$B$5001:$B$5051,0)-1,0)</f>
        <v>1000</v>
      </c>
      <c r="H7" s="4">
        <f ca="1">OFFSET(控制台!$J$5001,MATCH(A7,控制台!$B$5001:$B$5051,0)-1,0)+(B7-1)*OFFSET(控制台!$K$5001,MATCH(A7,控制台!$B$5001:$B$5051,0)-1,0)</f>
        <v>200000</v>
      </c>
      <c r="I7" s="4">
        <f ca="1">OFFSET(控制台!$M$5001,MATCH(A7,控制台!$B$5001:$B$5051,0)-1,0)+(B7-1)*OFFSET(控制台!$N$5001,MATCH(A7,控制台!$B$5001:$B$5051,0)-1,0)</f>
        <v>200000</v>
      </c>
      <c r="J7" s="4">
        <f ca="1">OFFSET(控制台!$P$5001,MATCH(A7,控制台!$B$5001:$B$5051,0)-1,0)</f>
        <v>7200</v>
      </c>
    </row>
    <row r="8" spans="1:10">
      <c r="A8" s="1">
        <v>210101</v>
      </c>
      <c r="B8" s="1">
        <v>3</v>
      </c>
      <c r="C8" s="1">
        <v>1</v>
      </c>
      <c r="D8" s="1" t="s">
        <v>2428</v>
      </c>
      <c r="E8" s="1">
        <f ca="1">OFFSET(控制台!$G$5001,MATCH(A8,控制台!$B$5001:$B$5051,0)-1,0)</f>
        <v>5</v>
      </c>
      <c r="F8" s="1">
        <f ca="1">OFFSET(控制台!$E$5001,MATCH(A8,控制台!$B$5001:$B$5051,0)-1,0)</f>
        <v>1</v>
      </c>
      <c r="G8" s="4">
        <f ca="1">OFFSET(控制台!$I$5001,MATCH(A8,控制台!$B$5001:$B$5051,0)-1,0)</f>
        <v>1000</v>
      </c>
      <c r="H8" s="4">
        <f ca="1">OFFSET(控制台!$J$5001,MATCH(A8,控制台!$B$5001:$B$5051,0)-1,0)+(B8-1)*OFFSET(控制台!$K$5001,MATCH(A8,控制台!$B$5001:$B$5051,0)-1,0)</f>
        <v>300000</v>
      </c>
      <c r="I8" s="4">
        <f ca="1">OFFSET(控制台!$M$5001,MATCH(A8,控制台!$B$5001:$B$5051,0)-1,0)+(B8-1)*OFFSET(控制台!$N$5001,MATCH(A8,控制台!$B$5001:$B$5051,0)-1,0)</f>
        <v>300000</v>
      </c>
      <c r="J8" s="4">
        <f ca="1">OFFSET(控制台!$P$5001,MATCH(A8,控制台!$B$5001:$B$5051,0)-1,0)</f>
        <v>7200</v>
      </c>
    </row>
    <row r="9" spans="1:10">
      <c r="A9" s="1">
        <v>210101</v>
      </c>
      <c r="B9" s="1">
        <v>4</v>
      </c>
      <c r="C9" s="1">
        <v>1</v>
      </c>
      <c r="D9" s="1" t="s">
        <v>2428</v>
      </c>
      <c r="E9" s="1">
        <f ca="1">OFFSET(控制台!$G$5001,MATCH(A9,控制台!$B$5001:$B$5051,0)-1,0)</f>
        <v>5</v>
      </c>
      <c r="F9" s="1">
        <f ca="1">OFFSET(控制台!$E$5001,MATCH(A9,控制台!$B$5001:$B$5051,0)-1,0)</f>
        <v>1</v>
      </c>
      <c r="G9" s="4">
        <f ca="1">OFFSET(控制台!$I$5001,MATCH(A9,控制台!$B$5001:$B$5051,0)-1,0)</f>
        <v>1000</v>
      </c>
      <c r="H9" s="4">
        <f ca="1">OFFSET(控制台!$J$5001,MATCH(A9,控制台!$B$5001:$B$5051,0)-1,0)+(B9-1)*OFFSET(控制台!$K$5001,MATCH(A9,控制台!$B$5001:$B$5051,0)-1,0)</f>
        <v>400000</v>
      </c>
      <c r="I9" s="4">
        <f ca="1">OFFSET(控制台!$M$5001,MATCH(A9,控制台!$B$5001:$B$5051,0)-1,0)+(B9-1)*OFFSET(控制台!$N$5001,MATCH(A9,控制台!$B$5001:$B$5051,0)-1,0)</f>
        <v>400000</v>
      </c>
      <c r="J9" s="4">
        <f ca="1">OFFSET(控制台!$P$5001,MATCH(A9,控制台!$B$5001:$B$5051,0)-1,0)</f>
        <v>7200</v>
      </c>
    </row>
    <row r="10" spans="1:10">
      <c r="A10" s="1">
        <v>210101</v>
      </c>
      <c r="B10" s="1">
        <v>5</v>
      </c>
      <c r="C10" s="1">
        <v>1</v>
      </c>
      <c r="D10" s="1" t="s">
        <v>2428</v>
      </c>
      <c r="E10" s="1">
        <f ca="1">OFFSET(控制台!$G$5001,MATCH(A10,控制台!$B$5001:$B$5051,0)-1,0)</f>
        <v>5</v>
      </c>
      <c r="F10" s="1">
        <f ca="1">OFFSET(控制台!$E$5001,MATCH(A10,控制台!$B$5001:$B$5051,0)-1,0)</f>
        <v>1</v>
      </c>
      <c r="G10" s="4">
        <f ca="1">OFFSET(控制台!$I$5001,MATCH(A10,控制台!$B$5001:$B$5051,0)-1,0)</f>
        <v>1000</v>
      </c>
      <c r="H10" s="4">
        <f ca="1">OFFSET(控制台!$J$5001,MATCH(A10,控制台!$B$5001:$B$5051,0)-1,0)+(B10-1)*OFFSET(控制台!$K$5001,MATCH(A10,控制台!$B$5001:$B$5051,0)-1,0)</f>
        <v>500000</v>
      </c>
      <c r="I10" s="4">
        <f ca="1">OFFSET(控制台!$M$5001,MATCH(A10,控制台!$B$5001:$B$5051,0)-1,0)+(B10-1)*OFFSET(控制台!$N$5001,MATCH(A10,控制台!$B$5001:$B$5051,0)-1,0)</f>
        <v>500000</v>
      </c>
      <c r="J10" s="4">
        <f ca="1">OFFSET(控制台!$P$5001,MATCH(A10,控制台!$B$5001:$B$5051,0)-1,0)</f>
        <v>7200</v>
      </c>
    </row>
    <row r="11" spans="1:10">
      <c r="A11" s="1">
        <v>210102</v>
      </c>
      <c r="B11" s="1">
        <v>1</v>
      </c>
      <c r="C11" s="1">
        <v>1</v>
      </c>
      <c r="D11" s="1" t="s">
        <v>2429</v>
      </c>
      <c r="E11" s="1">
        <f ca="1">OFFSET(控制台!$G$5001,MATCH(A11,控制台!$B$5001:$B$5051,0)-1,0)</f>
        <v>5</v>
      </c>
      <c r="F11" s="1">
        <f ca="1">OFFSET(控制台!$E$5001,MATCH(A11,控制台!$B$5001:$B$5051,0)-1,0)</f>
        <v>1</v>
      </c>
      <c r="G11" s="4">
        <f ca="1">OFFSET(控制台!$I$5001,MATCH(A11,控制台!$B$5001:$B$5051,0)-1,0)</f>
        <v>1000</v>
      </c>
      <c r="H11" s="4">
        <f ca="1">OFFSET(控制台!$J$5001,MATCH(A11,控制台!$B$5001:$B$5051,0)-1,0)+(B11-1)*OFFSET(控制台!$K$5001,MATCH(A11,控制台!$B$5001:$B$5051,0)-1,0)</f>
        <v>100000</v>
      </c>
      <c r="I11" s="4">
        <f ca="1">OFFSET(控制台!$M$5001,MATCH(A11,控制台!$B$5001:$B$5051,0)-1,0)+(B11-1)*OFFSET(控制台!$N$5001,MATCH(A11,控制台!$B$5001:$B$5051,0)-1,0)</f>
        <v>100000</v>
      </c>
      <c r="J11" s="4">
        <f ca="1">OFFSET(控制台!$P$5001,MATCH(A11,控制台!$B$5001:$B$5051,0)-1,0)</f>
        <v>7200</v>
      </c>
    </row>
    <row r="12" spans="1:10">
      <c r="A12" s="1">
        <v>210102</v>
      </c>
      <c r="B12" s="1">
        <v>2</v>
      </c>
      <c r="C12" s="1">
        <v>1</v>
      </c>
      <c r="D12" s="1" t="s">
        <v>2429</v>
      </c>
      <c r="E12" s="1">
        <f ca="1">OFFSET(控制台!$G$5001,MATCH(A12,控制台!$B$5001:$B$5051,0)-1,0)</f>
        <v>5</v>
      </c>
      <c r="F12" s="1">
        <f ca="1">OFFSET(控制台!$E$5001,MATCH(A12,控制台!$B$5001:$B$5051,0)-1,0)</f>
        <v>1</v>
      </c>
      <c r="G12" s="4">
        <f ca="1">OFFSET(控制台!$I$5001,MATCH(A12,控制台!$B$5001:$B$5051,0)-1,0)</f>
        <v>1000</v>
      </c>
      <c r="H12" s="4">
        <f ca="1">OFFSET(控制台!$J$5001,MATCH(A12,控制台!$B$5001:$B$5051,0)-1,0)+(B12-1)*OFFSET(控制台!$K$5001,MATCH(A12,控制台!$B$5001:$B$5051,0)-1,0)</f>
        <v>200000</v>
      </c>
      <c r="I12" s="4">
        <f ca="1">OFFSET(控制台!$M$5001,MATCH(A12,控制台!$B$5001:$B$5051,0)-1,0)+(B12-1)*OFFSET(控制台!$N$5001,MATCH(A12,控制台!$B$5001:$B$5051,0)-1,0)</f>
        <v>200000</v>
      </c>
      <c r="J12" s="4">
        <f ca="1">OFFSET(控制台!$P$5001,MATCH(A12,控制台!$B$5001:$B$5051,0)-1,0)</f>
        <v>7200</v>
      </c>
    </row>
    <row r="13" spans="1:10">
      <c r="A13" s="1">
        <v>210102</v>
      </c>
      <c r="B13" s="1">
        <v>3</v>
      </c>
      <c r="C13" s="1">
        <v>1</v>
      </c>
      <c r="D13" s="1" t="s">
        <v>2429</v>
      </c>
      <c r="E13" s="1">
        <f ca="1">OFFSET(控制台!$G$5001,MATCH(A13,控制台!$B$5001:$B$5051,0)-1,0)</f>
        <v>5</v>
      </c>
      <c r="F13" s="1">
        <f ca="1">OFFSET(控制台!$E$5001,MATCH(A13,控制台!$B$5001:$B$5051,0)-1,0)</f>
        <v>1</v>
      </c>
      <c r="G13" s="4">
        <f ca="1">OFFSET(控制台!$I$5001,MATCH(A13,控制台!$B$5001:$B$5051,0)-1,0)</f>
        <v>1000</v>
      </c>
      <c r="H13" s="4">
        <f ca="1">OFFSET(控制台!$J$5001,MATCH(A13,控制台!$B$5001:$B$5051,0)-1,0)+(B13-1)*OFFSET(控制台!$K$5001,MATCH(A13,控制台!$B$5001:$B$5051,0)-1,0)</f>
        <v>300000</v>
      </c>
      <c r="I13" s="4">
        <f ca="1">OFFSET(控制台!$M$5001,MATCH(A13,控制台!$B$5001:$B$5051,0)-1,0)+(B13-1)*OFFSET(控制台!$N$5001,MATCH(A13,控制台!$B$5001:$B$5051,0)-1,0)</f>
        <v>300000</v>
      </c>
      <c r="J13" s="4">
        <f ca="1">OFFSET(控制台!$P$5001,MATCH(A13,控制台!$B$5001:$B$5051,0)-1,0)</f>
        <v>7200</v>
      </c>
    </row>
    <row r="14" spans="1:10">
      <c r="A14" s="1">
        <v>210102</v>
      </c>
      <c r="B14" s="1">
        <v>4</v>
      </c>
      <c r="C14" s="1">
        <v>1</v>
      </c>
      <c r="D14" s="1" t="s">
        <v>2429</v>
      </c>
      <c r="E14" s="1">
        <f ca="1">OFFSET(控制台!$G$5001,MATCH(A14,控制台!$B$5001:$B$5051,0)-1,0)</f>
        <v>5</v>
      </c>
      <c r="F14" s="1">
        <f ca="1">OFFSET(控制台!$E$5001,MATCH(A14,控制台!$B$5001:$B$5051,0)-1,0)</f>
        <v>1</v>
      </c>
      <c r="G14" s="4">
        <f ca="1">OFFSET(控制台!$I$5001,MATCH(A14,控制台!$B$5001:$B$5051,0)-1,0)</f>
        <v>1000</v>
      </c>
      <c r="H14" s="4">
        <f ca="1">OFFSET(控制台!$J$5001,MATCH(A14,控制台!$B$5001:$B$5051,0)-1,0)+(B14-1)*OFFSET(控制台!$K$5001,MATCH(A14,控制台!$B$5001:$B$5051,0)-1,0)</f>
        <v>400000</v>
      </c>
      <c r="I14" s="4">
        <f ca="1">OFFSET(控制台!$M$5001,MATCH(A14,控制台!$B$5001:$B$5051,0)-1,0)+(B14-1)*OFFSET(控制台!$N$5001,MATCH(A14,控制台!$B$5001:$B$5051,0)-1,0)</f>
        <v>400000</v>
      </c>
      <c r="J14" s="4">
        <f ca="1">OFFSET(控制台!$P$5001,MATCH(A14,控制台!$B$5001:$B$5051,0)-1,0)</f>
        <v>7200</v>
      </c>
    </row>
    <row r="15" spans="1:10">
      <c r="A15" s="1">
        <v>210102</v>
      </c>
      <c r="B15" s="1">
        <v>5</v>
      </c>
      <c r="C15" s="1">
        <v>1</v>
      </c>
      <c r="D15" s="1" t="s">
        <v>2429</v>
      </c>
      <c r="E15" s="1">
        <f ca="1">OFFSET(控制台!$G$5001,MATCH(A15,控制台!$B$5001:$B$5051,0)-1,0)</f>
        <v>5</v>
      </c>
      <c r="F15" s="1">
        <f ca="1">OFFSET(控制台!$E$5001,MATCH(A15,控制台!$B$5001:$B$5051,0)-1,0)</f>
        <v>1</v>
      </c>
      <c r="G15" s="4">
        <f ca="1">OFFSET(控制台!$I$5001,MATCH(A15,控制台!$B$5001:$B$5051,0)-1,0)</f>
        <v>1000</v>
      </c>
      <c r="H15" s="4">
        <f ca="1">OFFSET(控制台!$J$5001,MATCH(A15,控制台!$B$5001:$B$5051,0)-1,0)+(B15-1)*OFFSET(控制台!$K$5001,MATCH(A15,控制台!$B$5001:$B$5051,0)-1,0)</f>
        <v>500000</v>
      </c>
      <c r="I15" s="4">
        <f ca="1">OFFSET(控制台!$M$5001,MATCH(A15,控制台!$B$5001:$B$5051,0)-1,0)+(B15-1)*OFFSET(控制台!$N$5001,MATCH(A15,控制台!$B$5001:$B$5051,0)-1,0)</f>
        <v>500000</v>
      </c>
      <c r="J15" s="4">
        <f ca="1">OFFSET(控制台!$P$5001,MATCH(A15,控制台!$B$5001:$B$5051,0)-1,0)</f>
        <v>7200</v>
      </c>
    </row>
    <row r="16" spans="1:10">
      <c r="A16" s="1">
        <v>210201</v>
      </c>
      <c r="B16" s="1">
        <v>1</v>
      </c>
      <c r="C16" s="1">
        <v>1</v>
      </c>
      <c r="D16" s="1" t="s">
        <v>886</v>
      </c>
      <c r="E16" s="1">
        <f ca="1">OFFSET(控制台!$G$5001,MATCH(A16,控制台!$B$5001:$B$5051,0)-1,0)</f>
        <v>5</v>
      </c>
      <c r="F16" s="1">
        <f ca="1">OFFSET(控制台!$E$5001,MATCH(A16,控制台!$B$5001:$B$5051,0)-1,0)</f>
        <v>2</v>
      </c>
      <c r="G16" s="4">
        <f ca="1">OFFSET(控制台!$I$5001,MATCH(A16,控制台!$B$5001:$B$5051,0)-1,0)</f>
        <v>1000</v>
      </c>
      <c r="H16" s="4">
        <f ca="1">OFFSET(控制台!$J$5001,MATCH(A16,控制台!$B$5001:$B$5051,0)-1,0)+(B16-1)*OFFSET(控制台!$K$5001,MATCH(A16,控制台!$B$5001:$B$5051,0)-1,0)</f>
        <v>200000</v>
      </c>
      <c r="I16" s="4">
        <f ca="1">OFFSET(控制台!$M$5001,MATCH(A16,控制台!$B$5001:$B$5051,0)-1,0)+(B16-1)*OFFSET(控制台!$N$5001,MATCH(A16,控制台!$B$5001:$B$5051,0)-1,0)</f>
        <v>200000</v>
      </c>
      <c r="J16" s="4">
        <f ca="1">OFFSET(控制台!$P$5001,MATCH(A16,控制台!$B$5001:$B$5051,0)-1,0)</f>
        <v>7200</v>
      </c>
    </row>
    <row r="17" spans="1:10">
      <c r="A17" s="1">
        <v>210201</v>
      </c>
      <c r="B17" s="1">
        <v>2</v>
      </c>
      <c r="C17" s="1">
        <v>1</v>
      </c>
      <c r="D17" s="1" t="s">
        <v>886</v>
      </c>
      <c r="E17" s="1">
        <f ca="1">OFFSET(控制台!$G$5001,MATCH(A17,控制台!$B$5001:$B$5051,0)-1,0)</f>
        <v>5</v>
      </c>
      <c r="F17" s="1">
        <f ca="1">OFFSET(控制台!$E$5001,MATCH(A17,控制台!$B$5001:$B$5051,0)-1,0)</f>
        <v>2</v>
      </c>
      <c r="G17" s="4">
        <f ca="1">OFFSET(控制台!$I$5001,MATCH(A17,控制台!$B$5001:$B$5051,0)-1,0)</f>
        <v>1000</v>
      </c>
      <c r="H17" s="4">
        <f ca="1">OFFSET(控制台!$J$5001,MATCH(A17,控制台!$B$5001:$B$5051,0)-1,0)+(B17-1)*OFFSET(控制台!$K$5001,MATCH(A17,控制台!$B$5001:$B$5051,0)-1,0)</f>
        <v>400000</v>
      </c>
      <c r="I17" s="4">
        <f ca="1">OFFSET(控制台!$M$5001,MATCH(A17,控制台!$B$5001:$B$5051,0)-1,0)+(B17-1)*OFFSET(控制台!$N$5001,MATCH(A17,控制台!$B$5001:$B$5051,0)-1,0)</f>
        <v>400000</v>
      </c>
      <c r="J17" s="4">
        <f ca="1">OFFSET(控制台!$P$5001,MATCH(A17,控制台!$B$5001:$B$5051,0)-1,0)</f>
        <v>7200</v>
      </c>
    </row>
    <row r="18" spans="1:10">
      <c r="A18" s="1">
        <v>210201</v>
      </c>
      <c r="B18" s="1">
        <v>3</v>
      </c>
      <c r="C18" s="1">
        <v>1</v>
      </c>
      <c r="D18" s="1" t="s">
        <v>886</v>
      </c>
      <c r="E18" s="1">
        <f ca="1">OFFSET(控制台!$G$5001,MATCH(A18,控制台!$B$5001:$B$5051,0)-1,0)</f>
        <v>5</v>
      </c>
      <c r="F18" s="1">
        <f ca="1">OFFSET(控制台!$E$5001,MATCH(A18,控制台!$B$5001:$B$5051,0)-1,0)</f>
        <v>2</v>
      </c>
      <c r="G18" s="4">
        <f ca="1">OFFSET(控制台!$I$5001,MATCH(A18,控制台!$B$5001:$B$5051,0)-1,0)</f>
        <v>1000</v>
      </c>
      <c r="H18" s="4">
        <f ca="1">OFFSET(控制台!$J$5001,MATCH(A18,控制台!$B$5001:$B$5051,0)-1,0)+(B18-1)*OFFSET(控制台!$K$5001,MATCH(A18,控制台!$B$5001:$B$5051,0)-1,0)</f>
        <v>600000</v>
      </c>
      <c r="I18" s="4">
        <f ca="1">OFFSET(控制台!$M$5001,MATCH(A18,控制台!$B$5001:$B$5051,0)-1,0)+(B18-1)*OFFSET(控制台!$N$5001,MATCH(A18,控制台!$B$5001:$B$5051,0)-1,0)</f>
        <v>600000</v>
      </c>
      <c r="J18" s="4">
        <f ca="1">OFFSET(控制台!$P$5001,MATCH(A18,控制台!$B$5001:$B$5051,0)-1,0)</f>
        <v>7200</v>
      </c>
    </row>
    <row r="19" spans="1:10">
      <c r="A19" s="1">
        <v>210201</v>
      </c>
      <c r="B19" s="1">
        <v>4</v>
      </c>
      <c r="C19" s="1">
        <v>1</v>
      </c>
      <c r="D19" s="1" t="s">
        <v>886</v>
      </c>
      <c r="E19" s="1">
        <f ca="1">OFFSET(控制台!$G$5001,MATCH(A19,控制台!$B$5001:$B$5051,0)-1,0)</f>
        <v>5</v>
      </c>
      <c r="F19" s="1">
        <f ca="1">OFFSET(控制台!$E$5001,MATCH(A19,控制台!$B$5001:$B$5051,0)-1,0)</f>
        <v>2</v>
      </c>
      <c r="G19" s="4">
        <f ca="1">OFFSET(控制台!$I$5001,MATCH(A19,控制台!$B$5001:$B$5051,0)-1,0)</f>
        <v>1000</v>
      </c>
      <c r="H19" s="4">
        <f ca="1">OFFSET(控制台!$J$5001,MATCH(A19,控制台!$B$5001:$B$5051,0)-1,0)+(B19-1)*OFFSET(控制台!$K$5001,MATCH(A19,控制台!$B$5001:$B$5051,0)-1,0)</f>
        <v>800000</v>
      </c>
      <c r="I19" s="4">
        <f ca="1">OFFSET(控制台!$M$5001,MATCH(A19,控制台!$B$5001:$B$5051,0)-1,0)+(B19-1)*OFFSET(控制台!$N$5001,MATCH(A19,控制台!$B$5001:$B$5051,0)-1,0)</f>
        <v>800000</v>
      </c>
      <c r="J19" s="4">
        <f ca="1">OFFSET(控制台!$P$5001,MATCH(A19,控制台!$B$5001:$B$5051,0)-1,0)</f>
        <v>7200</v>
      </c>
    </row>
    <row r="20" spans="1:10">
      <c r="A20" s="1">
        <v>210201</v>
      </c>
      <c r="B20" s="1">
        <v>5</v>
      </c>
      <c r="C20" s="1">
        <v>1</v>
      </c>
      <c r="D20" s="1" t="s">
        <v>886</v>
      </c>
      <c r="E20" s="1">
        <f ca="1">OFFSET(控制台!$G$5001,MATCH(A20,控制台!$B$5001:$B$5051,0)-1,0)</f>
        <v>5</v>
      </c>
      <c r="F20" s="1">
        <f ca="1">OFFSET(控制台!$E$5001,MATCH(A20,控制台!$B$5001:$B$5051,0)-1,0)</f>
        <v>2</v>
      </c>
      <c r="G20" s="4">
        <f ca="1">OFFSET(控制台!$I$5001,MATCH(A20,控制台!$B$5001:$B$5051,0)-1,0)</f>
        <v>1000</v>
      </c>
      <c r="H20" s="4">
        <f ca="1">OFFSET(控制台!$J$5001,MATCH(A20,控制台!$B$5001:$B$5051,0)-1,0)+(B20-1)*OFFSET(控制台!$K$5001,MATCH(A20,控制台!$B$5001:$B$5051,0)-1,0)</f>
        <v>1000000</v>
      </c>
      <c r="I20" s="4">
        <f ca="1">OFFSET(控制台!$M$5001,MATCH(A20,控制台!$B$5001:$B$5051,0)-1,0)+(B20-1)*OFFSET(控制台!$N$5001,MATCH(A20,控制台!$B$5001:$B$5051,0)-1,0)</f>
        <v>1000000</v>
      </c>
      <c r="J20" s="4">
        <f ca="1">OFFSET(控制台!$P$5001,MATCH(A20,控制台!$B$5001:$B$5051,0)-1,0)</f>
        <v>7200</v>
      </c>
    </row>
    <row r="21" spans="1:10">
      <c r="A21" s="1">
        <v>210202</v>
      </c>
      <c r="B21" s="1">
        <v>1</v>
      </c>
      <c r="C21" s="1">
        <v>1</v>
      </c>
      <c r="D21" s="1" t="s">
        <v>2430</v>
      </c>
      <c r="E21" s="1">
        <f ca="1">OFFSET(控制台!$G$5001,MATCH(A21,控制台!$B$5001:$B$5051,0)-1,0)</f>
        <v>5</v>
      </c>
      <c r="F21" s="1">
        <f ca="1">OFFSET(控制台!$E$5001,MATCH(A21,控制台!$B$5001:$B$5051,0)-1,0)</f>
        <v>2</v>
      </c>
      <c r="G21" s="4">
        <f ca="1">OFFSET(控制台!$I$5001,MATCH(A21,控制台!$B$5001:$B$5051,0)-1,0)</f>
        <v>1000</v>
      </c>
      <c r="H21" s="4">
        <f ca="1">OFFSET(控制台!$J$5001,MATCH(A21,控制台!$B$5001:$B$5051,0)-1,0)+(B21-1)*OFFSET(控制台!$K$5001,MATCH(A21,控制台!$B$5001:$B$5051,0)-1,0)</f>
        <v>200000</v>
      </c>
      <c r="I21" s="4">
        <f ca="1">OFFSET(控制台!$M$5001,MATCH(A21,控制台!$B$5001:$B$5051,0)-1,0)+(B21-1)*OFFSET(控制台!$N$5001,MATCH(A21,控制台!$B$5001:$B$5051,0)-1,0)</f>
        <v>200000</v>
      </c>
      <c r="J21" s="4">
        <f ca="1">OFFSET(控制台!$P$5001,MATCH(A21,控制台!$B$5001:$B$5051,0)-1,0)</f>
        <v>7200</v>
      </c>
    </row>
    <row r="22" spans="1:10">
      <c r="A22" s="1">
        <v>210202</v>
      </c>
      <c r="B22" s="1">
        <v>2</v>
      </c>
      <c r="C22" s="1">
        <v>1</v>
      </c>
      <c r="D22" s="1" t="s">
        <v>2430</v>
      </c>
      <c r="E22" s="1">
        <f ca="1">OFFSET(控制台!$G$5001,MATCH(A22,控制台!$B$5001:$B$5051,0)-1,0)</f>
        <v>5</v>
      </c>
      <c r="F22" s="1">
        <f ca="1">OFFSET(控制台!$E$5001,MATCH(A22,控制台!$B$5001:$B$5051,0)-1,0)</f>
        <v>2</v>
      </c>
      <c r="G22" s="4">
        <f ca="1">OFFSET(控制台!$I$5001,MATCH(A22,控制台!$B$5001:$B$5051,0)-1,0)</f>
        <v>1000</v>
      </c>
      <c r="H22" s="4">
        <f ca="1">OFFSET(控制台!$J$5001,MATCH(A22,控制台!$B$5001:$B$5051,0)-1,0)+(B22-1)*OFFSET(控制台!$K$5001,MATCH(A22,控制台!$B$5001:$B$5051,0)-1,0)</f>
        <v>400000</v>
      </c>
      <c r="I22" s="4">
        <f ca="1">OFFSET(控制台!$M$5001,MATCH(A22,控制台!$B$5001:$B$5051,0)-1,0)+(B22-1)*OFFSET(控制台!$N$5001,MATCH(A22,控制台!$B$5001:$B$5051,0)-1,0)</f>
        <v>400000</v>
      </c>
      <c r="J22" s="4">
        <f ca="1">OFFSET(控制台!$P$5001,MATCH(A22,控制台!$B$5001:$B$5051,0)-1,0)</f>
        <v>7200</v>
      </c>
    </row>
    <row r="23" spans="1:10">
      <c r="A23" s="1">
        <v>210202</v>
      </c>
      <c r="B23" s="1">
        <v>3</v>
      </c>
      <c r="C23" s="1">
        <v>1</v>
      </c>
      <c r="D23" s="1" t="s">
        <v>2430</v>
      </c>
      <c r="E23" s="1">
        <f ca="1">OFFSET(控制台!$G$5001,MATCH(A23,控制台!$B$5001:$B$5051,0)-1,0)</f>
        <v>5</v>
      </c>
      <c r="F23" s="1">
        <f ca="1">OFFSET(控制台!$E$5001,MATCH(A23,控制台!$B$5001:$B$5051,0)-1,0)</f>
        <v>2</v>
      </c>
      <c r="G23" s="4">
        <f ca="1">OFFSET(控制台!$I$5001,MATCH(A23,控制台!$B$5001:$B$5051,0)-1,0)</f>
        <v>1000</v>
      </c>
      <c r="H23" s="4">
        <f ca="1">OFFSET(控制台!$J$5001,MATCH(A23,控制台!$B$5001:$B$5051,0)-1,0)+(B23-1)*OFFSET(控制台!$K$5001,MATCH(A23,控制台!$B$5001:$B$5051,0)-1,0)</f>
        <v>600000</v>
      </c>
      <c r="I23" s="4">
        <f ca="1">OFFSET(控制台!$M$5001,MATCH(A23,控制台!$B$5001:$B$5051,0)-1,0)+(B23-1)*OFFSET(控制台!$N$5001,MATCH(A23,控制台!$B$5001:$B$5051,0)-1,0)</f>
        <v>600000</v>
      </c>
      <c r="J23" s="4">
        <f ca="1">OFFSET(控制台!$P$5001,MATCH(A23,控制台!$B$5001:$B$5051,0)-1,0)</f>
        <v>7200</v>
      </c>
    </row>
    <row r="24" spans="1:10">
      <c r="A24" s="1">
        <v>210202</v>
      </c>
      <c r="B24" s="1">
        <v>4</v>
      </c>
      <c r="C24" s="1">
        <v>1</v>
      </c>
      <c r="D24" s="1" t="s">
        <v>2430</v>
      </c>
      <c r="E24" s="1">
        <f ca="1">OFFSET(控制台!$G$5001,MATCH(A24,控制台!$B$5001:$B$5051,0)-1,0)</f>
        <v>5</v>
      </c>
      <c r="F24" s="1">
        <f ca="1">OFFSET(控制台!$E$5001,MATCH(A24,控制台!$B$5001:$B$5051,0)-1,0)</f>
        <v>2</v>
      </c>
      <c r="G24" s="4">
        <f ca="1">OFFSET(控制台!$I$5001,MATCH(A24,控制台!$B$5001:$B$5051,0)-1,0)</f>
        <v>1000</v>
      </c>
      <c r="H24" s="4">
        <f ca="1">OFFSET(控制台!$J$5001,MATCH(A24,控制台!$B$5001:$B$5051,0)-1,0)+(B24-1)*OFFSET(控制台!$K$5001,MATCH(A24,控制台!$B$5001:$B$5051,0)-1,0)</f>
        <v>800000</v>
      </c>
      <c r="I24" s="4">
        <f ca="1">OFFSET(控制台!$M$5001,MATCH(A24,控制台!$B$5001:$B$5051,0)-1,0)+(B24-1)*OFFSET(控制台!$N$5001,MATCH(A24,控制台!$B$5001:$B$5051,0)-1,0)</f>
        <v>800000</v>
      </c>
      <c r="J24" s="4">
        <f ca="1">OFFSET(控制台!$P$5001,MATCH(A24,控制台!$B$5001:$B$5051,0)-1,0)</f>
        <v>7200</v>
      </c>
    </row>
    <row r="25" spans="1:10">
      <c r="A25" s="1">
        <v>210202</v>
      </c>
      <c r="B25" s="1">
        <v>5</v>
      </c>
      <c r="C25" s="1">
        <v>1</v>
      </c>
      <c r="D25" s="1" t="s">
        <v>2430</v>
      </c>
      <c r="E25" s="1">
        <f ca="1">OFFSET(控制台!$G$5001,MATCH(A25,控制台!$B$5001:$B$5051,0)-1,0)</f>
        <v>5</v>
      </c>
      <c r="F25" s="1">
        <f ca="1">OFFSET(控制台!$E$5001,MATCH(A25,控制台!$B$5001:$B$5051,0)-1,0)</f>
        <v>2</v>
      </c>
      <c r="G25" s="4">
        <f ca="1">OFFSET(控制台!$I$5001,MATCH(A25,控制台!$B$5001:$B$5051,0)-1,0)</f>
        <v>1000</v>
      </c>
      <c r="H25" s="4">
        <f ca="1">OFFSET(控制台!$J$5001,MATCH(A25,控制台!$B$5001:$B$5051,0)-1,0)+(B25-1)*OFFSET(控制台!$K$5001,MATCH(A25,控制台!$B$5001:$B$5051,0)-1,0)</f>
        <v>1000000</v>
      </c>
      <c r="I25" s="4">
        <f ca="1">OFFSET(控制台!$M$5001,MATCH(A25,控制台!$B$5001:$B$5051,0)-1,0)+(B25-1)*OFFSET(控制台!$N$5001,MATCH(A25,控制台!$B$5001:$B$5051,0)-1,0)</f>
        <v>1000000</v>
      </c>
      <c r="J25" s="4">
        <f ca="1">OFFSET(控制台!$P$5001,MATCH(A25,控制台!$B$5001:$B$5051,0)-1,0)</f>
        <v>7200</v>
      </c>
    </row>
    <row r="26" spans="1:10">
      <c r="A26" s="1">
        <v>210203</v>
      </c>
      <c r="B26" s="1">
        <v>1</v>
      </c>
      <c r="C26" s="1">
        <v>1</v>
      </c>
      <c r="D26" s="1" t="s">
        <v>2431</v>
      </c>
      <c r="E26" s="1">
        <f ca="1">OFFSET(控制台!$G$5001,MATCH(A26,控制台!$B$5001:$B$5051,0)-1,0)</f>
        <v>5</v>
      </c>
      <c r="F26" s="1">
        <f ca="1">OFFSET(控制台!$E$5001,MATCH(A26,控制台!$B$5001:$B$5051,0)-1,0)</f>
        <v>2</v>
      </c>
      <c r="G26" s="4">
        <f ca="1">OFFSET(控制台!$I$5001,MATCH(A26,控制台!$B$5001:$B$5051,0)-1,0)</f>
        <v>1000</v>
      </c>
      <c r="H26" s="4">
        <f ca="1">OFFSET(控制台!$J$5001,MATCH(A26,控制台!$B$5001:$B$5051,0)-1,0)+(B26-1)*OFFSET(控制台!$K$5001,MATCH(A26,控制台!$B$5001:$B$5051,0)-1,0)</f>
        <v>200000</v>
      </c>
      <c r="I26" s="4">
        <f ca="1">OFFSET(控制台!$M$5001,MATCH(A26,控制台!$B$5001:$B$5051,0)-1,0)+(B26-1)*OFFSET(控制台!$N$5001,MATCH(A26,控制台!$B$5001:$B$5051,0)-1,0)</f>
        <v>200000</v>
      </c>
      <c r="J26" s="4">
        <f ca="1">OFFSET(控制台!$P$5001,MATCH(A26,控制台!$B$5001:$B$5051,0)-1,0)</f>
        <v>7200</v>
      </c>
    </row>
    <row r="27" spans="1:10">
      <c r="A27" s="1">
        <v>210203</v>
      </c>
      <c r="B27" s="1">
        <v>2</v>
      </c>
      <c r="C27" s="1">
        <v>1</v>
      </c>
      <c r="D27" s="1" t="s">
        <v>2431</v>
      </c>
      <c r="E27" s="1">
        <f ca="1">OFFSET(控制台!$G$5001,MATCH(A27,控制台!$B$5001:$B$5051,0)-1,0)</f>
        <v>5</v>
      </c>
      <c r="F27" s="1">
        <f ca="1">OFFSET(控制台!$E$5001,MATCH(A27,控制台!$B$5001:$B$5051,0)-1,0)</f>
        <v>2</v>
      </c>
      <c r="G27" s="4">
        <f ca="1">OFFSET(控制台!$I$5001,MATCH(A27,控制台!$B$5001:$B$5051,0)-1,0)</f>
        <v>1000</v>
      </c>
      <c r="H27" s="4">
        <f ca="1">OFFSET(控制台!$J$5001,MATCH(A27,控制台!$B$5001:$B$5051,0)-1,0)+(B27-1)*OFFSET(控制台!$K$5001,MATCH(A27,控制台!$B$5001:$B$5051,0)-1,0)</f>
        <v>400000</v>
      </c>
      <c r="I27" s="4">
        <f ca="1">OFFSET(控制台!$M$5001,MATCH(A27,控制台!$B$5001:$B$5051,0)-1,0)+(B27-1)*OFFSET(控制台!$N$5001,MATCH(A27,控制台!$B$5001:$B$5051,0)-1,0)</f>
        <v>400000</v>
      </c>
      <c r="J27" s="4">
        <f ca="1">OFFSET(控制台!$P$5001,MATCH(A27,控制台!$B$5001:$B$5051,0)-1,0)</f>
        <v>7200</v>
      </c>
    </row>
    <row r="28" spans="1:10">
      <c r="A28" s="1">
        <v>210203</v>
      </c>
      <c r="B28" s="1">
        <v>3</v>
      </c>
      <c r="C28" s="1">
        <v>1</v>
      </c>
      <c r="D28" s="1" t="s">
        <v>2431</v>
      </c>
      <c r="E28" s="1">
        <f ca="1">OFFSET(控制台!$G$5001,MATCH(A28,控制台!$B$5001:$B$5051,0)-1,0)</f>
        <v>5</v>
      </c>
      <c r="F28" s="1">
        <f ca="1">OFFSET(控制台!$E$5001,MATCH(A28,控制台!$B$5001:$B$5051,0)-1,0)</f>
        <v>2</v>
      </c>
      <c r="G28" s="4">
        <f ca="1">OFFSET(控制台!$I$5001,MATCH(A28,控制台!$B$5001:$B$5051,0)-1,0)</f>
        <v>1000</v>
      </c>
      <c r="H28" s="4">
        <f ca="1">OFFSET(控制台!$J$5001,MATCH(A28,控制台!$B$5001:$B$5051,0)-1,0)+(B28-1)*OFFSET(控制台!$K$5001,MATCH(A28,控制台!$B$5001:$B$5051,0)-1,0)</f>
        <v>600000</v>
      </c>
      <c r="I28" s="4">
        <f ca="1">OFFSET(控制台!$M$5001,MATCH(A28,控制台!$B$5001:$B$5051,0)-1,0)+(B28-1)*OFFSET(控制台!$N$5001,MATCH(A28,控制台!$B$5001:$B$5051,0)-1,0)</f>
        <v>600000</v>
      </c>
      <c r="J28" s="4">
        <f ca="1">OFFSET(控制台!$P$5001,MATCH(A28,控制台!$B$5001:$B$5051,0)-1,0)</f>
        <v>7200</v>
      </c>
    </row>
    <row r="29" spans="1:10">
      <c r="A29" s="1">
        <v>210203</v>
      </c>
      <c r="B29" s="1">
        <v>4</v>
      </c>
      <c r="C29" s="1">
        <v>1</v>
      </c>
      <c r="D29" s="1" t="s">
        <v>2431</v>
      </c>
      <c r="E29" s="1">
        <f ca="1">OFFSET(控制台!$G$5001,MATCH(A29,控制台!$B$5001:$B$5051,0)-1,0)</f>
        <v>5</v>
      </c>
      <c r="F29" s="1">
        <f ca="1">OFFSET(控制台!$E$5001,MATCH(A29,控制台!$B$5001:$B$5051,0)-1,0)</f>
        <v>2</v>
      </c>
      <c r="G29" s="4">
        <f ca="1">OFFSET(控制台!$I$5001,MATCH(A29,控制台!$B$5001:$B$5051,0)-1,0)</f>
        <v>1000</v>
      </c>
      <c r="H29" s="4">
        <f ca="1">OFFSET(控制台!$J$5001,MATCH(A29,控制台!$B$5001:$B$5051,0)-1,0)+(B29-1)*OFFSET(控制台!$K$5001,MATCH(A29,控制台!$B$5001:$B$5051,0)-1,0)</f>
        <v>800000</v>
      </c>
      <c r="I29" s="4">
        <f ca="1">OFFSET(控制台!$M$5001,MATCH(A29,控制台!$B$5001:$B$5051,0)-1,0)+(B29-1)*OFFSET(控制台!$N$5001,MATCH(A29,控制台!$B$5001:$B$5051,0)-1,0)</f>
        <v>800000</v>
      </c>
      <c r="J29" s="4">
        <f ca="1">OFFSET(控制台!$P$5001,MATCH(A29,控制台!$B$5001:$B$5051,0)-1,0)</f>
        <v>7200</v>
      </c>
    </row>
    <row r="30" spans="1:10">
      <c r="A30" s="1">
        <v>210203</v>
      </c>
      <c r="B30" s="1">
        <v>5</v>
      </c>
      <c r="C30" s="1">
        <v>1</v>
      </c>
      <c r="D30" s="1" t="s">
        <v>2431</v>
      </c>
      <c r="E30" s="1">
        <f ca="1">OFFSET(控制台!$G$5001,MATCH(A30,控制台!$B$5001:$B$5051,0)-1,0)</f>
        <v>5</v>
      </c>
      <c r="F30" s="1">
        <f ca="1">OFFSET(控制台!$E$5001,MATCH(A30,控制台!$B$5001:$B$5051,0)-1,0)</f>
        <v>2</v>
      </c>
      <c r="G30" s="4">
        <f ca="1">OFFSET(控制台!$I$5001,MATCH(A30,控制台!$B$5001:$B$5051,0)-1,0)</f>
        <v>1000</v>
      </c>
      <c r="H30" s="4">
        <f ca="1">OFFSET(控制台!$J$5001,MATCH(A30,控制台!$B$5001:$B$5051,0)-1,0)+(B30-1)*OFFSET(控制台!$K$5001,MATCH(A30,控制台!$B$5001:$B$5051,0)-1,0)</f>
        <v>1000000</v>
      </c>
      <c r="I30" s="4">
        <f ca="1">OFFSET(控制台!$M$5001,MATCH(A30,控制台!$B$5001:$B$5051,0)-1,0)+(B30-1)*OFFSET(控制台!$N$5001,MATCH(A30,控制台!$B$5001:$B$5051,0)-1,0)</f>
        <v>1000000</v>
      </c>
      <c r="J30" s="4">
        <f ca="1">OFFSET(控制台!$P$5001,MATCH(A30,控制台!$B$5001:$B$5051,0)-1,0)</f>
        <v>7200</v>
      </c>
    </row>
    <row r="31" spans="1:10">
      <c r="A31" s="1">
        <v>210301</v>
      </c>
      <c r="B31" s="1">
        <v>1</v>
      </c>
      <c r="C31" s="1">
        <v>1</v>
      </c>
      <c r="D31" s="1" t="s">
        <v>2432</v>
      </c>
      <c r="E31" s="1">
        <f ca="1">OFFSET(控制台!$G$5001,MATCH(A31,控制台!$B$5001:$B$5051,0)-1,0)</f>
        <v>5</v>
      </c>
      <c r="F31" s="1">
        <f ca="1">OFFSET(控制台!$E$5001,MATCH(A31,控制台!$B$5001:$B$5051,0)-1,0)</f>
        <v>3</v>
      </c>
      <c r="G31" s="4">
        <f ca="1">OFFSET(控制台!$I$5001,MATCH(A31,控制台!$B$5001:$B$5051,0)-1,0)</f>
        <v>2000</v>
      </c>
      <c r="H31" s="4">
        <f ca="1">OFFSET(控制台!$J$5001,MATCH(A31,控制台!$B$5001:$B$5051,0)-1,0)+(B31-1)*OFFSET(控制台!$K$5001,MATCH(A31,控制台!$B$5001:$B$5051,0)-1,0)</f>
        <v>300000</v>
      </c>
      <c r="I31" s="4">
        <f ca="1">OFFSET(控制台!$M$5001,MATCH(A31,控制台!$B$5001:$B$5051,0)-1,0)+(B31-1)*OFFSET(控制台!$N$5001,MATCH(A31,控制台!$B$5001:$B$5051,0)-1,0)</f>
        <v>400000</v>
      </c>
      <c r="J31" s="4">
        <f ca="1">OFFSET(控制台!$P$5001,MATCH(A31,控制台!$B$5001:$B$5051,0)-1,0)</f>
        <v>14400</v>
      </c>
    </row>
    <row r="32" spans="1:10">
      <c r="A32" s="1">
        <v>210301</v>
      </c>
      <c r="B32" s="1">
        <v>2</v>
      </c>
      <c r="C32" s="1">
        <v>1</v>
      </c>
      <c r="D32" s="1" t="s">
        <v>2432</v>
      </c>
      <c r="E32" s="1">
        <f ca="1">OFFSET(控制台!$G$5001,MATCH(A32,控制台!$B$5001:$B$5051,0)-1,0)</f>
        <v>5</v>
      </c>
      <c r="F32" s="1">
        <f ca="1">OFFSET(控制台!$E$5001,MATCH(A32,控制台!$B$5001:$B$5051,0)-1,0)</f>
        <v>3</v>
      </c>
      <c r="G32" s="4">
        <f ca="1">OFFSET(控制台!$I$5001,MATCH(A32,控制台!$B$5001:$B$5051,0)-1,0)</f>
        <v>2000</v>
      </c>
      <c r="H32" s="4">
        <f ca="1">OFFSET(控制台!$J$5001,MATCH(A32,控制台!$B$5001:$B$5051,0)-1,0)+(B32-1)*OFFSET(控制台!$K$5001,MATCH(A32,控制台!$B$5001:$B$5051,0)-1,0)</f>
        <v>600000</v>
      </c>
      <c r="I32" s="4">
        <f ca="1">OFFSET(控制台!$M$5001,MATCH(A32,控制台!$B$5001:$B$5051,0)-1,0)+(B32-1)*OFFSET(控制台!$N$5001,MATCH(A32,控制台!$B$5001:$B$5051,0)-1,0)</f>
        <v>800000</v>
      </c>
      <c r="J32" s="4">
        <f ca="1">OFFSET(控制台!$P$5001,MATCH(A32,控制台!$B$5001:$B$5051,0)-1,0)</f>
        <v>14400</v>
      </c>
    </row>
    <row r="33" spans="1:10">
      <c r="A33" s="1">
        <v>210301</v>
      </c>
      <c r="B33" s="1">
        <v>3</v>
      </c>
      <c r="C33" s="1">
        <v>1</v>
      </c>
      <c r="D33" s="1" t="s">
        <v>2432</v>
      </c>
      <c r="E33" s="1">
        <f ca="1">OFFSET(控制台!$G$5001,MATCH(A33,控制台!$B$5001:$B$5051,0)-1,0)</f>
        <v>5</v>
      </c>
      <c r="F33" s="1">
        <f ca="1">OFFSET(控制台!$E$5001,MATCH(A33,控制台!$B$5001:$B$5051,0)-1,0)</f>
        <v>3</v>
      </c>
      <c r="G33" s="4">
        <f ca="1">OFFSET(控制台!$I$5001,MATCH(A33,控制台!$B$5001:$B$5051,0)-1,0)</f>
        <v>2000</v>
      </c>
      <c r="H33" s="4">
        <f ca="1">OFFSET(控制台!$J$5001,MATCH(A33,控制台!$B$5001:$B$5051,0)-1,0)+(B33-1)*OFFSET(控制台!$K$5001,MATCH(A33,控制台!$B$5001:$B$5051,0)-1,0)</f>
        <v>900000</v>
      </c>
      <c r="I33" s="4">
        <f ca="1">OFFSET(控制台!$M$5001,MATCH(A33,控制台!$B$5001:$B$5051,0)-1,0)+(B33-1)*OFFSET(控制台!$N$5001,MATCH(A33,控制台!$B$5001:$B$5051,0)-1,0)</f>
        <v>1200000</v>
      </c>
      <c r="J33" s="4">
        <f ca="1">OFFSET(控制台!$P$5001,MATCH(A33,控制台!$B$5001:$B$5051,0)-1,0)</f>
        <v>14400</v>
      </c>
    </row>
    <row r="34" spans="1:10">
      <c r="A34" s="1">
        <v>210301</v>
      </c>
      <c r="B34" s="1">
        <v>4</v>
      </c>
      <c r="C34" s="1">
        <v>1</v>
      </c>
      <c r="D34" s="1" t="s">
        <v>2432</v>
      </c>
      <c r="E34" s="1">
        <f ca="1">OFFSET(控制台!$G$5001,MATCH(A34,控制台!$B$5001:$B$5051,0)-1,0)</f>
        <v>5</v>
      </c>
      <c r="F34" s="1">
        <f ca="1">OFFSET(控制台!$E$5001,MATCH(A34,控制台!$B$5001:$B$5051,0)-1,0)</f>
        <v>3</v>
      </c>
      <c r="G34" s="4">
        <f ca="1">OFFSET(控制台!$I$5001,MATCH(A34,控制台!$B$5001:$B$5051,0)-1,0)</f>
        <v>2000</v>
      </c>
      <c r="H34" s="4">
        <f ca="1">OFFSET(控制台!$J$5001,MATCH(A34,控制台!$B$5001:$B$5051,0)-1,0)+(B34-1)*OFFSET(控制台!$K$5001,MATCH(A34,控制台!$B$5001:$B$5051,0)-1,0)</f>
        <v>1200000</v>
      </c>
      <c r="I34" s="4">
        <f ca="1">OFFSET(控制台!$M$5001,MATCH(A34,控制台!$B$5001:$B$5051,0)-1,0)+(B34-1)*OFFSET(控制台!$N$5001,MATCH(A34,控制台!$B$5001:$B$5051,0)-1,0)</f>
        <v>1600000</v>
      </c>
      <c r="J34" s="4">
        <f ca="1">OFFSET(控制台!$P$5001,MATCH(A34,控制台!$B$5001:$B$5051,0)-1,0)</f>
        <v>14400</v>
      </c>
    </row>
    <row r="35" spans="1:10">
      <c r="A35" s="1">
        <v>210301</v>
      </c>
      <c r="B35" s="1">
        <v>5</v>
      </c>
      <c r="C35" s="1">
        <v>1</v>
      </c>
      <c r="D35" s="1" t="s">
        <v>2432</v>
      </c>
      <c r="E35" s="1">
        <f ca="1">OFFSET(控制台!$G$5001,MATCH(A35,控制台!$B$5001:$B$5051,0)-1,0)</f>
        <v>5</v>
      </c>
      <c r="F35" s="1">
        <f ca="1">OFFSET(控制台!$E$5001,MATCH(A35,控制台!$B$5001:$B$5051,0)-1,0)</f>
        <v>3</v>
      </c>
      <c r="G35" s="4">
        <f ca="1">OFFSET(控制台!$I$5001,MATCH(A35,控制台!$B$5001:$B$5051,0)-1,0)</f>
        <v>2000</v>
      </c>
      <c r="H35" s="4">
        <f ca="1">OFFSET(控制台!$J$5001,MATCH(A35,控制台!$B$5001:$B$5051,0)-1,0)+(B35-1)*OFFSET(控制台!$K$5001,MATCH(A35,控制台!$B$5001:$B$5051,0)-1,0)</f>
        <v>1500000</v>
      </c>
      <c r="I35" s="4">
        <f ca="1">OFFSET(控制台!$M$5001,MATCH(A35,控制台!$B$5001:$B$5051,0)-1,0)+(B35-1)*OFFSET(控制台!$N$5001,MATCH(A35,控制台!$B$5001:$B$5051,0)-1,0)</f>
        <v>2000000</v>
      </c>
      <c r="J35" s="4">
        <f ca="1">OFFSET(控制台!$P$5001,MATCH(A35,控制台!$B$5001:$B$5051,0)-1,0)</f>
        <v>14400</v>
      </c>
    </row>
    <row r="36" spans="1:10">
      <c r="A36" s="1">
        <v>210401</v>
      </c>
      <c r="B36" s="1">
        <v>1</v>
      </c>
      <c r="C36" s="1">
        <v>1</v>
      </c>
      <c r="D36" s="1" t="s">
        <v>2433</v>
      </c>
      <c r="E36" s="1">
        <f ca="1">OFFSET(控制台!$G$5001,MATCH(A36,控制台!$B$5001:$B$5051,0)-1,0)</f>
        <v>5</v>
      </c>
      <c r="F36" s="1">
        <f ca="1">OFFSET(控制台!$E$5001,MATCH(A36,控制台!$B$5001:$B$5051,0)-1,0)</f>
        <v>4</v>
      </c>
      <c r="G36" s="4">
        <f ca="1">OFFSET(控制台!$I$5001,MATCH(A36,控制台!$B$5001:$B$5051,0)-1,0)</f>
        <v>2000</v>
      </c>
      <c r="H36" s="4">
        <f ca="1">OFFSET(控制台!$J$5001,MATCH(A36,控制台!$B$5001:$B$5051,0)-1,0)+(B36-1)*OFFSET(控制台!$K$5001,MATCH(A36,控制台!$B$5001:$B$5051,0)-1,0)</f>
        <v>200000</v>
      </c>
      <c r="I36" s="4">
        <f ca="1">OFFSET(控制台!$M$5001,MATCH(A36,控制台!$B$5001:$B$5051,0)-1,0)+(B36-1)*OFFSET(控制台!$N$5001,MATCH(A36,控制台!$B$5001:$B$5051,0)-1,0)</f>
        <v>800000</v>
      </c>
      <c r="J36" s="4">
        <f ca="1">OFFSET(控制台!$P$5001,MATCH(A36,控制台!$B$5001:$B$5051,0)-1,0)</f>
        <v>14400</v>
      </c>
    </row>
    <row r="37" spans="1:10">
      <c r="A37" s="1">
        <v>210401</v>
      </c>
      <c r="B37" s="1">
        <v>2</v>
      </c>
      <c r="C37" s="1">
        <v>1</v>
      </c>
      <c r="D37" s="1" t="s">
        <v>2433</v>
      </c>
      <c r="E37" s="1">
        <f ca="1">OFFSET(控制台!$G$5001,MATCH(A37,控制台!$B$5001:$B$5051,0)-1,0)</f>
        <v>5</v>
      </c>
      <c r="F37" s="1">
        <f ca="1">OFFSET(控制台!$E$5001,MATCH(A37,控制台!$B$5001:$B$5051,0)-1,0)</f>
        <v>4</v>
      </c>
      <c r="G37" s="4">
        <f ca="1">OFFSET(控制台!$I$5001,MATCH(A37,控制台!$B$5001:$B$5051,0)-1,0)</f>
        <v>2000</v>
      </c>
      <c r="H37" s="4">
        <f ca="1">OFFSET(控制台!$J$5001,MATCH(A37,控制台!$B$5001:$B$5051,0)-1,0)+(B37-1)*OFFSET(控制台!$K$5001,MATCH(A37,控制台!$B$5001:$B$5051,0)-1,0)</f>
        <v>400000</v>
      </c>
      <c r="I37" s="4">
        <f ca="1">OFFSET(控制台!$M$5001,MATCH(A37,控制台!$B$5001:$B$5051,0)-1,0)+(B37-1)*OFFSET(控制台!$N$5001,MATCH(A37,控制台!$B$5001:$B$5051,0)-1,0)</f>
        <v>1600000</v>
      </c>
      <c r="J37" s="4">
        <f ca="1">OFFSET(控制台!$P$5001,MATCH(A37,控制台!$B$5001:$B$5051,0)-1,0)</f>
        <v>14400</v>
      </c>
    </row>
    <row r="38" spans="1:10">
      <c r="A38" s="1">
        <v>210401</v>
      </c>
      <c r="B38" s="1">
        <v>3</v>
      </c>
      <c r="C38" s="1">
        <v>1</v>
      </c>
      <c r="D38" s="1" t="s">
        <v>2433</v>
      </c>
      <c r="E38" s="1">
        <f ca="1">OFFSET(控制台!$G$5001,MATCH(A38,控制台!$B$5001:$B$5051,0)-1,0)</f>
        <v>5</v>
      </c>
      <c r="F38" s="1">
        <f ca="1">OFFSET(控制台!$E$5001,MATCH(A38,控制台!$B$5001:$B$5051,0)-1,0)</f>
        <v>4</v>
      </c>
      <c r="G38" s="4">
        <f ca="1">OFFSET(控制台!$I$5001,MATCH(A38,控制台!$B$5001:$B$5051,0)-1,0)</f>
        <v>2000</v>
      </c>
      <c r="H38" s="4">
        <f ca="1">OFFSET(控制台!$J$5001,MATCH(A38,控制台!$B$5001:$B$5051,0)-1,0)+(B38-1)*OFFSET(控制台!$K$5001,MATCH(A38,控制台!$B$5001:$B$5051,0)-1,0)</f>
        <v>600000</v>
      </c>
      <c r="I38" s="4">
        <f ca="1">OFFSET(控制台!$M$5001,MATCH(A38,控制台!$B$5001:$B$5051,0)-1,0)+(B38-1)*OFFSET(控制台!$N$5001,MATCH(A38,控制台!$B$5001:$B$5051,0)-1,0)</f>
        <v>2400000</v>
      </c>
      <c r="J38" s="4">
        <f ca="1">OFFSET(控制台!$P$5001,MATCH(A38,控制台!$B$5001:$B$5051,0)-1,0)</f>
        <v>14400</v>
      </c>
    </row>
    <row r="39" spans="1:10">
      <c r="A39" s="1">
        <v>210401</v>
      </c>
      <c r="B39" s="1">
        <v>4</v>
      </c>
      <c r="C39" s="1">
        <v>1</v>
      </c>
      <c r="D39" s="1" t="s">
        <v>2433</v>
      </c>
      <c r="E39" s="1">
        <f ca="1">OFFSET(控制台!$G$5001,MATCH(A39,控制台!$B$5001:$B$5051,0)-1,0)</f>
        <v>5</v>
      </c>
      <c r="F39" s="1">
        <f ca="1">OFFSET(控制台!$E$5001,MATCH(A39,控制台!$B$5001:$B$5051,0)-1,0)</f>
        <v>4</v>
      </c>
      <c r="G39" s="4">
        <f ca="1">OFFSET(控制台!$I$5001,MATCH(A39,控制台!$B$5001:$B$5051,0)-1,0)</f>
        <v>2000</v>
      </c>
      <c r="H39" s="4">
        <f ca="1">OFFSET(控制台!$J$5001,MATCH(A39,控制台!$B$5001:$B$5051,0)-1,0)+(B39-1)*OFFSET(控制台!$K$5001,MATCH(A39,控制台!$B$5001:$B$5051,0)-1,0)</f>
        <v>800000</v>
      </c>
      <c r="I39" s="4">
        <f ca="1">OFFSET(控制台!$M$5001,MATCH(A39,控制台!$B$5001:$B$5051,0)-1,0)+(B39-1)*OFFSET(控制台!$N$5001,MATCH(A39,控制台!$B$5001:$B$5051,0)-1,0)</f>
        <v>3200000</v>
      </c>
      <c r="J39" s="4">
        <f ca="1">OFFSET(控制台!$P$5001,MATCH(A39,控制台!$B$5001:$B$5051,0)-1,0)</f>
        <v>14400</v>
      </c>
    </row>
    <row r="40" spans="1:10">
      <c r="A40" s="1">
        <v>210401</v>
      </c>
      <c r="B40" s="1">
        <v>5</v>
      </c>
      <c r="C40" s="1">
        <v>1</v>
      </c>
      <c r="D40" s="1" t="s">
        <v>2433</v>
      </c>
      <c r="E40" s="1">
        <f ca="1">OFFSET(控制台!$G$5001,MATCH(A40,控制台!$B$5001:$B$5051,0)-1,0)</f>
        <v>5</v>
      </c>
      <c r="F40" s="1">
        <f ca="1">OFFSET(控制台!$E$5001,MATCH(A40,控制台!$B$5001:$B$5051,0)-1,0)</f>
        <v>4</v>
      </c>
      <c r="G40" s="4">
        <f ca="1">OFFSET(控制台!$I$5001,MATCH(A40,控制台!$B$5001:$B$5051,0)-1,0)</f>
        <v>2000</v>
      </c>
      <c r="H40" s="4">
        <f ca="1">OFFSET(控制台!$J$5001,MATCH(A40,控制台!$B$5001:$B$5051,0)-1,0)+(B40-1)*OFFSET(控制台!$K$5001,MATCH(A40,控制台!$B$5001:$B$5051,0)-1,0)</f>
        <v>1000000</v>
      </c>
      <c r="I40" s="4">
        <f ca="1">OFFSET(控制台!$M$5001,MATCH(A40,控制台!$B$5001:$B$5051,0)-1,0)+(B40-1)*OFFSET(控制台!$N$5001,MATCH(A40,控制台!$B$5001:$B$5051,0)-1,0)</f>
        <v>4000000</v>
      </c>
      <c r="J40" s="4">
        <f ca="1">OFFSET(控制台!$P$5001,MATCH(A40,控制台!$B$5001:$B$5051,0)-1,0)</f>
        <v>14400</v>
      </c>
    </row>
    <row r="41" spans="1:10">
      <c r="A41" s="1">
        <v>210402</v>
      </c>
      <c r="B41" s="1">
        <v>1</v>
      </c>
      <c r="C41" s="1">
        <v>1</v>
      </c>
      <c r="D41" s="1" t="s">
        <v>2434</v>
      </c>
      <c r="E41" s="1">
        <f ca="1">OFFSET(控制台!$G$5001,MATCH(A41,控制台!$B$5001:$B$5051,0)-1,0)</f>
        <v>5</v>
      </c>
      <c r="F41" s="1">
        <f ca="1">OFFSET(控制台!$E$5001,MATCH(A41,控制台!$B$5001:$B$5051,0)-1,0)</f>
        <v>4</v>
      </c>
      <c r="G41" s="4">
        <f ca="1">OFFSET(控制台!$I$5001,MATCH(A41,控制台!$B$5001:$B$5051,0)-1,0)</f>
        <v>2000</v>
      </c>
      <c r="H41" s="4">
        <f ca="1">OFFSET(控制台!$J$5001,MATCH(A41,控制台!$B$5001:$B$5051,0)-1,0)+(B41-1)*OFFSET(控制台!$K$5001,MATCH(A41,控制台!$B$5001:$B$5051,0)-1,0)</f>
        <v>200000</v>
      </c>
      <c r="I41" s="4">
        <f ca="1">OFFSET(控制台!$M$5001,MATCH(A41,控制台!$B$5001:$B$5051,0)-1,0)+(B41-1)*OFFSET(控制台!$N$5001,MATCH(A41,控制台!$B$5001:$B$5051,0)-1,0)</f>
        <v>800000</v>
      </c>
      <c r="J41" s="4">
        <f ca="1">OFFSET(控制台!$P$5001,MATCH(A41,控制台!$B$5001:$B$5051,0)-1,0)</f>
        <v>14400</v>
      </c>
    </row>
    <row r="42" spans="1:10">
      <c r="A42" s="1">
        <v>210402</v>
      </c>
      <c r="B42" s="1">
        <v>2</v>
      </c>
      <c r="C42" s="1">
        <v>1</v>
      </c>
      <c r="D42" s="1" t="s">
        <v>2434</v>
      </c>
      <c r="E42" s="1">
        <f ca="1">OFFSET(控制台!$G$5001,MATCH(A42,控制台!$B$5001:$B$5051,0)-1,0)</f>
        <v>5</v>
      </c>
      <c r="F42" s="1">
        <f ca="1">OFFSET(控制台!$E$5001,MATCH(A42,控制台!$B$5001:$B$5051,0)-1,0)</f>
        <v>4</v>
      </c>
      <c r="G42" s="4">
        <f ca="1">OFFSET(控制台!$I$5001,MATCH(A42,控制台!$B$5001:$B$5051,0)-1,0)</f>
        <v>2000</v>
      </c>
      <c r="H42" s="4">
        <f ca="1">OFFSET(控制台!$J$5001,MATCH(A42,控制台!$B$5001:$B$5051,0)-1,0)+(B42-1)*OFFSET(控制台!$K$5001,MATCH(A42,控制台!$B$5001:$B$5051,0)-1,0)</f>
        <v>400000</v>
      </c>
      <c r="I42" s="4">
        <f ca="1">OFFSET(控制台!$M$5001,MATCH(A42,控制台!$B$5001:$B$5051,0)-1,0)+(B42-1)*OFFSET(控制台!$N$5001,MATCH(A42,控制台!$B$5001:$B$5051,0)-1,0)</f>
        <v>1600000</v>
      </c>
      <c r="J42" s="4">
        <f ca="1">OFFSET(控制台!$P$5001,MATCH(A42,控制台!$B$5001:$B$5051,0)-1,0)</f>
        <v>14400</v>
      </c>
    </row>
    <row r="43" spans="1:10">
      <c r="A43" s="1">
        <v>210402</v>
      </c>
      <c r="B43" s="1">
        <v>3</v>
      </c>
      <c r="C43" s="1">
        <v>1</v>
      </c>
      <c r="D43" s="1" t="s">
        <v>2434</v>
      </c>
      <c r="E43" s="1">
        <f ca="1">OFFSET(控制台!$G$5001,MATCH(A43,控制台!$B$5001:$B$5051,0)-1,0)</f>
        <v>5</v>
      </c>
      <c r="F43" s="1">
        <f ca="1">OFFSET(控制台!$E$5001,MATCH(A43,控制台!$B$5001:$B$5051,0)-1,0)</f>
        <v>4</v>
      </c>
      <c r="G43" s="4">
        <f ca="1">OFFSET(控制台!$I$5001,MATCH(A43,控制台!$B$5001:$B$5051,0)-1,0)</f>
        <v>2000</v>
      </c>
      <c r="H43" s="4">
        <f ca="1">OFFSET(控制台!$J$5001,MATCH(A43,控制台!$B$5001:$B$5051,0)-1,0)+(B43-1)*OFFSET(控制台!$K$5001,MATCH(A43,控制台!$B$5001:$B$5051,0)-1,0)</f>
        <v>600000</v>
      </c>
      <c r="I43" s="4">
        <f ca="1">OFFSET(控制台!$M$5001,MATCH(A43,控制台!$B$5001:$B$5051,0)-1,0)+(B43-1)*OFFSET(控制台!$N$5001,MATCH(A43,控制台!$B$5001:$B$5051,0)-1,0)</f>
        <v>2400000</v>
      </c>
      <c r="J43" s="4">
        <f ca="1">OFFSET(控制台!$P$5001,MATCH(A43,控制台!$B$5001:$B$5051,0)-1,0)</f>
        <v>14400</v>
      </c>
    </row>
    <row r="44" spans="1:10">
      <c r="A44" s="1">
        <v>210402</v>
      </c>
      <c r="B44" s="1">
        <v>4</v>
      </c>
      <c r="C44" s="1">
        <v>1</v>
      </c>
      <c r="D44" s="1" t="s">
        <v>2434</v>
      </c>
      <c r="E44" s="1">
        <f ca="1">OFFSET(控制台!$G$5001,MATCH(A44,控制台!$B$5001:$B$5051,0)-1,0)</f>
        <v>5</v>
      </c>
      <c r="F44" s="1">
        <f ca="1">OFFSET(控制台!$E$5001,MATCH(A44,控制台!$B$5001:$B$5051,0)-1,0)</f>
        <v>4</v>
      </c>
      <c r="G44" s="4">
        <f ca="1">OFFSET(控制台!$I$5001,MATCH(A44,控制台!$B$5001:$B$5051,0)-1,0)</f>
        <v>2000</v>
      </c>
      <c r="H44" s="4">
        <f ca="1">OFFSET(控制台!$J$5001,MATCH(A44,控制台!$B$5001:$B$5051,0)-1,0)+(B44-1)*OFFSET(控制台!$K$5001,MATCH(A44,控制台!$B$5001:$B$5051,0)-1,0)</f>
        <v>800000</v>
      </c>
      <c r="I44" s="4">
        <f ca="1">OFFSET(控制台!$M$5001,MATCH(A44,控制台!$B$5001:$B$5051,0)-1,0)+(B44-1)*OFFSET(控制台!$N$5001,MATCH(A44,控制台!$B$5001:$B$5051,0)-1,0)</f>
        <v>3200000</v>
      </c>
      <c r="J44" s="4">
        <f ca="1">OFFSET(控制台!$P$5001,MATCH(A44,控制台!$B$5001:$B$5051,0)-1,0)</f>
        <v>14400</v>
      </c>
    </row>
    <row r="45" spans="1:10">
      <c r="A45" s="1">
        <v>210402</v>
      </c>
      <c r="B45" s="1">
        <v>5</v>
      </c>
      <c r="C45" s="1">
        <v>1</v>
      </c>
      <c r="D45" s="1" t="s">
        <v>2434</v>
      </c>
      <c r="E45" s="1">
        <f ca="1">OFFSET(控制台!$G$5001,MATCH(A45,控制台!$B$5001:$B$5051,0)-1,0)</f>
        <v>5</v>
      </c>
      <c r="F45" s="1">
        <f ca="1">OFFSET(控制台!$E$5001,MATCH(A45,控制台!$B$5001:$B$5051,0)-1,0)</f>
        <v>4</v>
      </c>
      <c r="G45" s="4">
        <f ca="1">OFFSET(控制台!$I$5001,MATCH(A45,控制台!$B$5001:$B$5051,0)-1,0)</f>
        <v>2000</v>
      </c>
      <c r="H45" s="4">
        <f ca="1">OFFSET(控制台!$J$5001,MATCH(A45,控制台!$B$5001:$B$5051,0)-1,0)+(B45-1)*OFFSET(控制台!$K$5001,MATCH(A45,控制台!$B$5001:$B$5051,0)-1,0)</f>
        <v>1000000</v>
      </c>
      <c r="I45" s="4">
        <f ca="1">OFFSET(控制台!$M$5001,MATCH(A45,控制台!$B$5001:$B$5051,0)-1,0)+(B45-1)*OFFSET(控制台!$N$5001,MATCH(A45,控制台!$B$5001:$B$5051,0)-1,0)</f>
        <v>4000000</v>
      </c>
      <c r="J45" s="4">
        <f ca="1">OFFSET(控制台!$P$5001,MATCH(A45,控制台!$B$5001:$B$5051,0)-1,0)</f>
        <v>14400</v>
      </c>
    </row>
    <row r="46" spans="1:10">
      <c r="A46" s="1">
        <v>210403</v>
      </c>
      <c r="B46" s="1">
        <v>1</v>
      </c>
      <c r="C46" s="1">
        <v>1</v>
      </c>
      <c r="D46" s="1" t="s">
        <v>2435</v>
      </c>
      <c r="E46" s="1">
        <f ca="1">OFFSET(控制台!$G$5001,MATCH(A46,控制台!$B$5001:$B$5051,0)-1,0)</f>
        <v>5</v>
      </c>
      <c r="F46" s="1">
        <f ca="1">OFFSET(控制台!$E$5001,MATCH(A46,控制台!$B$5001:$B$5051,0)-1,0)</f>
        <v>4</v>
      </c>
      <c r="G46" s="4">
        <f ca="1">OFFSET(控制台!$I$5001,MATCH(A46,控制台!$B$5001:$B$5051,0)-1,0)</f>
        <v>2000</v>
      </c>
      <c r="H46" s="4">
        <f ca="1">OFFSET(控制台!$J$5001,MATCH(A46,控制台!$B$5001:$B$5051,0)-1,0)+(B46-1)*OFFSET(控制台!$K$5001,MATCH(A46,控制台!$B$5001:$B$5051,0)-1,0)</f>
        <v>200000</v>
      </c>
      <c r="I46" s="4">
        <f ca="1">OFFSET(控制台!$M$5001,MATCH(A46,控制台!$B$5001:$B$5051,0)-1,0)+(B46-1)*OFFSET(控制台!$N$5001,MATCH(A46,控制台!$B$5001:$B$5051,0)-1,0)</f>
        <v>800000</v>
      </c>
      <c r="J46" s="4">
        <f ca="1">OFFSET(控制台!$P$5001,MATCH(A46,控制台!$B$5001:$B$5051,0)-1,0)</f>
        <v>14400</v>
      </c>
    </row>
    <row r="47" spans="1:10">
      <c r="A47" s="1">
        <v>210403</v>
      </c>
      <c r="B47" s="1">
        <v>2</v>
      </c>
      <c r="C47" s="1">
        <v>1</v>
      </c>
      <c r="D47" s="1" t="s">
        <v>2435</v>
      </c>
      <c r="E47" s="1">
        <f ca="1">OFFSET(控制台!$G$5001,MATCH(A47,控制台!$B$5001:$B$5051,0)-1,0)</f>
        <v>5</v>
      </c>
      <c r="F47" s="1">
        <f ca="1">OFFSET(控制台!$E$5001,MATCH(A47,控制台!$B$5001:$B$5051,0)-1,0)</f>
        <v>4</v>
      </c>
      <c r="G47" s="4">
        <f ca="1">OFFSET(控制台!$I$5001,MATCH(A47,控制台!$B$5001:$B$5051,0)-1,0)</f>
        <v>2000</v>
      </c>
      <c r="H47" s="4">
        <f ca="1">OFFSET(控制台!$J$5001,MATCH(A47,控制台!$B$5001:$B$5051,0)-1,0)+(B47-1)*OFFSET(控制台!$K$5001,MATCH(A47,控制台!$B$5001:$B$5051,0)-1,0)</f>
        <v>400000</v>
      </c>
      <c r="I47" s="4">
        <f ca="1">OFFSET(控制台!$M$5001,MATCH(A47,控制台!$B$5001:$B$5051,0)-1,0)+(B47-1)*OFFSET(控制台!$N$5001,MATCH(A47,控制台!$B$5001:$B$5051,0)-1,0)</f>
        <v>1600000</v>
      </c>
      <c r="J47" s="4">
        <f ca="1">OFFSET(控制台!$P$5001,MATCH(A47,控制台!$B$5001:$B$5051,0)-1,0)</f>
        <v>14400</v>
      </c>
    </row>
    <row r="48" spans="1:10">
      <c r="A48" s="1">
        <v>210403</v>
      </c>
      <c r="B48" s="1">
        <v>3</v>
      </c>
      <c r="C48" s="1">
        <v>1</v>
      </c>
      <c r="D48" s="1" t="s">
        <v>2435</v>
      </c>
      <c r="E48" s="1">
        <f ca="1">OFFSET(控制台!$G$5001,MATCH(A48,控制台!$B$5001:$B$5051,0)-1,0)</f>
        <v>5</v>
      </c>
      <c r="F48" s="1">
        <f ca="1">OFFSET(控制台!$E$5001,MATCH(A48,控制台!$B$5001:$B$5051,0)-1,0)</f>
        <v>4</v>
      </c>
      <c r="G48" s="4">
        <f ca="1">OFFSET(控制台!$I$5001,MATCH(A48,控制台!$B$5001:$B$5051,0)-1,0)</f>
        <v>2000</v>
      </c>
      <c r="H48" s="4">
        <f ca="1">OFFSET(控制台!$J$5001,MATCH(A48,控制台!$B$5001:$B$5051,0)-1,0)+(B48-1)*OFFSET(控制台!$K$5001,MATCH(A48,控制台!$B$5001:$B$5051,0)-1,0)</f>
        <v>600000</v>
      </c>
      <c r="I48" s="4">
        <f ca="1">OFFSET(控制台!$M$5001,MATCH(A48,控制台!$B$5001:$B$5051,0)-1,0)+(B48-1)*OFFSET(控制台!$N$5001,MATCH(A48,控制台!$B$5001:$B$5051,0)-1,0)</f>
        <v>2400000</v>
      </c>
      <c r="J48" s="4">
        <f ca="1">OFFSET(控制台!$P$5001,MATCH(A48,控制台!$B$5001:$B$5051,0)-1,0)</f>
        <v>14400</v>
      </c>
    </row>
    <row r="49" spans="1:10">
      <c r="A49" s="1">
        <v>210403</v>
      </c>
      <c r="B49" s="1">
        <v>4</v>
      </c>
      <c r="C49" s="1">
        <v>1</v>
      </c>
      <c r="D49" s="1" t="s">
        <v>2435</v>
      </c>
      <c r="E49" s="1">
        <f ca="1">OFFSET(控制台!$G$5001,MATCH(A49,控制台!$B$5001:$B$5051,0)-1,0)</f>
        <v>5</v>
      </c>
      <c r="F49" s="1">
        <f ca="1">OFFSET(控制台!$E$5001,MATCH(A49,控制台!$B$5001:$B$5051,0)-1,0)</f>
        <v>4</v>
      </c>
      <c r="G49" s="4">
        <f ca="1">OFFSET(控制台!$I$5001,MATCH(A49,控制台!$B$5001:$B$5051,0)-1,0)</f>
        <v>2000</v>
      </c>
      <c r="H49" s="4">
        <f ca="1">OFFSET(控制台!$J$5001,MATCH(A49,控制台!$B$5001:$B$5051,0)-1,0)+(B49-1)*OFFSET(控制台!$K$5001,MATCH(A49,控制台!$B$5001:$B$5051,0)-1,0)</f>
        <v>800000</v>
      </c>
      <c r="I49" s="4">
        <f ca="1">OFFSET(控制台!$M$5001,MATCH(A49,控制台!$B$5001:$B$5051,0)-1,0)+(B49-1)*OFFSET(控制台!$N$5001,MATCH(A49,控制台!$B$5001:$B$5051,0)-1,0)</f>
        <v>3200000</v>
      </c>
      <c r="J49" s="4">
        <f ca="1">OFFSET(控制台!$P$5001,MATCH(A49,控制台!$B$5001:$B$5051,0)-1,0)</f>
        <v>14400</v>
      </c>
    </row>
    <row r="50" spans="1:10">
      <c r="A50" s="1">
        <v>210403</v>
      </c>
      <c r="B50" s="1">
        <v>5</v>
      </c>
      <c r="C50" s="1">
        <v>1</v>
      </c>
      <c r="D50" s="1" t="s">
        <v>2435</v>
      </c>
      <c r="E50" s="1">
        <f ca="1">OFFSET(控制台!$G$5001,MATCH(A50,控制台!$B$5001:$B$5051,0)-1,0)</f>
        <v>5</v>
      </c>
      <c r="F50" s="1">
        <f ca="1">OFFSET(控制台!$E$5001,MATCH(A50,控制台!$B$5001:$B$5051,0)-1,0)</f>
        <v>4</v>
      </c>
      <c r="G50" s="4">
        <f ca="1">OFFSET(控制台!$I$5001,MATCH(A50,控制台!$B$5001:$B$5051,0)-1,0)</f>
        <v>2000</v>
      </c>
      <c r="H50" s="4">
        <f ca="1">OFFSET(控制台!$J$5001,MATCH(A50,控制台!$B$5001:$B$5051,0)-1,0)+(B50-1)*OFFSET(控制台!$K$5001,MATCH(A50,控制台!$B$5001:$B$5051,0)-1,0)</f>
        <v>1000000</v>
      </c>
      <c r="I50" s="4">
        <f ca="1">OFFSET(控制台!$M$5001,MATCH(A50,控制台!$B$5001:$B$5051,0)-1,0)+(B50-1)*OFFSET(控制台!$N$5001,MATCH(A50,控制台!$B$5001:$B$5051,0)-1,0)</f>
        <v>4000000</v>
      </c>
      <c r="J50" s="4">
        <f ca="1">OFFSET(控制台!$P$5001,MATCH(A50,控制台!$B$5001:$B$5051,0)-1,0)</f>
        <v>14400</v>
      </c>
    </row>
    <row r="51" spans="1:10">
      <c r="A51" s="1">
        <v>210501</v>
      </c>
      <c r="B51" s="1">
        <v>1</v>
      </c>
      <c r="C51" s="1">
        <v>1</v>
      </c>
      <c r="D51" s="1" t="s">
        <v>2436</v>
      </c>
      <c r="E51" s="1">
        <f ca="1">OFFSET(控制台!$G$5001,MATCH(A51,控制台!$B$5001:$B$5051,0)-1,0)</f>
        <v>10</v>
      </c>
      <c r="F51" s="1">
        <f ca="1">OFFSET(控制台!$E$5001,MATCH(A51,控制台!$B$5001:$B$5051,0)-1,0)</f>
        <v>5</v>
      </c>
      <c r="G51" s="4">
        <f ca="1">OFFSET(控制台!$I$5001,MATCH(A51,控制台!$B$5001:$B$5051,0)-1,0)</f>
        <v>3000</v>
      </c>
      <c r="H51" s="4">
        <f ca="1">OFFSET(控制台!$J$5001,MATCH(A51,控制台!$B$5001:$B$5051,0)-1,0)+(B51-1)*OFFSET(控制台!$K$5001,MATCH(A51,控制台!$B$5001:$B$5051,0)-1,0)</f>
        <v>150000</v>
      </c>
      <c r="I51" s="4">
        <f ca="1">OFFSET(控制台!$M$5001,MATCH(A51,控制台!$B$5001:$B$5051,0)-1,0)+(B51-1)*OFFSET(控制台!$N$5001,MATCH(A51,控制台!$B$5001:$B$5051,0)-1,0)</f>
        <v>800000</v>
      </c>
      <c r="J51" s="4">
        <f ca="1">OFFSET(控制台!$P$5001,MATCH(A51,控制台!$B$5001:$B$5051,0)-1,0)</f>
        <v>14400</v>
      </c>
    </row>
    <row r="52" spans="1:10">
      <c r="A52" s="1">
        <v>210501</v>
      </c>
      <c r="B52" s="1">
        <v>2</v>
      </c>
      <c r="C52" s="1">
        <v>1</v>
      </c>
      <c r="D52" s="1" t="s">
        <v>2436</v>
      </c>
      <c r="E52" s="1">
        <f ca="1">OFFSET(控制台!$G$5001,MATCH(A52,控制台!$B$5001:$B$5051,0)-1,0)</f>
        <v>10</v>
      </c>
      <c r="F52" s="1">
        <f ca="1">OFFSET(控制台!$E$5001,MATCH(A52,控制台!$B$5001:$B$5051,0)-1,0)</f>
        <v>5</v>
      </c>
      <c r="G52" s="4">
        <f ca="1">OFFSET(控制台!$I$5001,MATCH(A52,控制台!$B$5001:$B$5051,0)-1,0)</f>
        <v>3000</v>
      </c>
      <c r="H52" s="4">
        <f ca="1">OFFSET(控制台!$J$5001,MATCH(A52,控制台!$B$5001:$B$5051,0)-1,0)+(B52-1)*OFFSET(控制台!$K$5001,MATCH(A52,控制台!$B$5001:$B$5051,0)-1,0)</f>
        <v>200000</v>
      </c>
      <c r="I52" s="4">
        <f ca="1">OFFSET(控制台!$M$5001,MATCH(A52,控制台!$B$5001:$B$5051,0)-1,0)+(B52-1)*OFFSET(控制台!$N$5001,MATCH(A52,控制台!$B$5001:$B$5051,0)-1,0)</f>
        <v>1600000</v>
      </c>
      <c r="J52" s="4">
        <f ca="1">OFFSET(控制台!$P$5001,MATCH(A52,控制台!$B$5001:$B$5051,0)-1,0)</f>
        <v>14400</v>
      </c>
    </row>
    <row r="53" spans="1:10">
      <c r="A53" s="1">
        <v>210501</v>
      </c>
      <c r="B53" s="1">
        <v>3</v>
      </c>
      <c r="C53" s="1">
        <v>1</v>
      </c>
      <c r="D53" s="1" t="s">
        <v>2436</v>
      </c>
      <c r="E53" s="1">
        <f ca="1">OFFSET(控制台!$G$5001,MATCH(A53,控制台!$B$5001:$B$5051,0)-1,0)</f>
        <v>10</v>
      </c>
      <c r="F53" s="1">
        <f ca="1">OFFSET(控制台!$E$5001,MATCH(A53,控制台!$B$5001:$B$5051,0)-1,0)</f>
        <v>5</v>
      </c>
      <c r="G53" s="4">
        <f ca="1">OFFSET(控制台!$I$5001,MATCH(A53,控制台!$B$5001:$B$5051,0)-1,0)</f>
        <v>3000</v>
      </c>
      <c r="H53" s="4">
        <f ca="1">OFFSET(控制台!$J$5001,MATCH(A53,控制台!$B$5001:$B$5051,0)-1,0)+(B53-1)*OFFSET(控制台!$K$5001,MATCH(A53,控制台!$B$5001:$B$5051,0)-1,0)</f>
        <v>250000</v>
      </c>
      <c r="I53" s="4">
        <f ca="1">OFFSET(控制台!$M$5001,MATCH(A53,控制台!$B$5001:$B$5051,0)-1,0)+(B53-1)*OFFSET(控制台!$N$5001,MATCH(A53,控制台!$B$5001:$B$5051,0)-1,0)</f>
        <v>2400000</v>
      </c>
      <c r="J53" s="4">
        <f ca="1">OFFSET(控制台!$P$5001,MATCH(A53,控制台!$B$5001:$B$5051,0)-1,0)</f>
        <v>14400</v>
      </c>
    </row>
    <row r="54" spans="1:10">
      <c r="A54" s="1">
        <v>210501</v>
      </c>
      <c r="B54" s="1">
        <v>4</v>
      </c>
      <c r="C54" s="1">
        <v>1</v>
      </c>
      <c r="D54" s="1" t="s">
        <v>2436</v>
      </c>
      <c r="E54" s="1">
        <f ca="1">OFFSET(控制台!$G$5001,MATCH(A54,控制台!$B$5001:$B$5051,0)-1,0)</f>
        <v>10</v>
      </c>
      <c r="F54" s="1">
        <f ca="1">OFFSET(控制台!$E$5001,MATCH(A54,控制台!$B$5001:$B$5051,0)-1,0)</f>
        <v>5</v>
      </c>
      <c r="G54" s="4">
        <f ca="1">OFFSET(控制台!$I$5001,MATCH(A54,控制台!$B$5001:$B$5051,0)-1,0)</f>
        <v>3000</v>
      </c>
      <c r="H54" s="4">
        <f ca="1">OFFSET(控制台!$J$5001,MATCH(A54,控制台!$B$5001:$B$5051,0)-1,0)+(B54-1)*OFFSET(控制台!$K$5001,MATCH(A54,控制台!$B$5001:$B$5051,0)-1,0)</f>
        <v>300000</v>
      </c>
      <c r="I54" s="4">
        <f ca="1">OFFSET(控制台!$M$5001,MATCH(A54,控制台!$B$5001:$B$5051,0)-1,0)+(B54-1)*OFFSET(控制台!$N$5001,MATCH(A54,控制台!$B$5001:$B$5051,0)-1,0)</f>
        <v>3200000</v>
      </c>
      <c r="J54" s="4">
        <f ca="1">OFFSET(控制台!$P$5001,MATCH(A54,控制台!$B$5001:$B$5051,0)-1,0)</f>
        <v>14400</v>
      </c>
    </row>
    <row r="55" spans="1:10">
      <c r="A55" s="1">
        <v>210501</v>
      </c>
      <c r="B55" s="1">
        <v>5</v>
      </c>
      <c r="C55" s="1">
        <v>1</v>
      </c>
      <c r="D55" s="1" t="s">
        <v>2436</v>
      </c>
      <c r="E55" s="1">
        <f ca="1">OFFSET(控制台!$G$5001,MATCH(A55,控制台!$B$5001:$B$5051,0)-1,0)</f>
        <v>10</v>
      </c>
      <c r="F55" s="1">
        <f ca="1">OFFSET(控制台!$E$5001,MATCH(A55,控制台!$B$5001:$B$5051,0)-1,0)</f>
        <v>5</v>
      </c>
      <c r="G55" s="4">
        <f ca="1">OFFSET(控制台!$I$5001,MATCH(A55,控制台!$B$5001:$B$5051,0)-1,0)</f>
        <v>3000</v>
      </c>
      <c r="H55" s="4">
        <f ca="1">OFFSET(控制台!$J$5001,MATCH(A55,控制台!$B$5001:$B$5051,0)-1,0)+(B55-1)*OFFSET(控制台!$K$5001,MATCH(A55,控制台!$B$5001:$B$5051,0)-1,0)</f>
        <v>350000</v>
      </c>
      <c r="I55" s="4">
        <f ca="1">OFFSET(控制台!$M$5001,MATCH(A55,控制台!$B$5001:$B$5051,0)-1,0)+(B55-1)*OFFSET(控制台!$N$5001,MATCH(A55,控制台!$B$5001:$B$5051,0)-1,0)</f>
        <v>4000000</v>
      </c>
      <c r="J55" s="4">
        <f ca="1">OFFSET(控制台!$P$5001,MATCH(A55,控制台!$B$5001:$B$5051,0)-1,0)</f>
        <v>14400</v>
      </c>
    </row>
    <row r="56" spans="1:10">
      <c r="A56" s="1">
        <v>210501</v>
      </c>
      <c r="B56" s="1">
        <v>6</v>
      </c>
      <c r="C56" s="1">
        <v>1</v>
      </c>
      <c r="D56" s="1" t="s">
        <v>2436</v>
      </c>
      <c r="E56" s="1">
        <f ca="1">OFFSET(控制台!$G$5001,MATCH(A56,控制台!$B$5001:$B$5051,0)-1,0)</f>
        <v>10</v>
      </c>
      <c r="F56" s="1">
        <f ca="1">OFFSET(控制台!$E$5001,MATCH(A56,控制台!$B$5001:$B$5051,0)-1,0)</f>
        <v>5</v>
      </c>
      <c r="G56" s="4">
        <f ca="1">OFFSET(控制台!$I$5001,MATCH(A56,控制台!$B$5001:$B$5051,0)-1,0)</f>
        <v>3000</v>
      </c>
      <c r="H56" s="4">
        <f ca="1">OFFSET(控制台!$J$5001,MATCH(A56,控制台!$B$5001:$B$5051,0)-1,0)+(B56-1)*OFFSET(控制台!$K$5001,MATCH(A56,控制台!$B$5001:$B$5051,0)-1,0)</f>
        <v>400000</v>
      </c>
      <c r="I56" s="4">
        <f ca="1">OFFSET(控制台!$M$5001,MATCH(A56,控制台!$B$5001:$B$5051,0)-1,0)+(B56-1)*OFFSET(控制台!$N$5001,MATCH(A56,控制台!$B$5001:$B$5051,0)-1,0)</f>
        <v>4800000</v>
      </c>
      <c r="J56" s="4">
        <f ca="1">OFFSET(控制台!$P$5001,MATCH(A56,控制台!$B$5001:$B$5051,0)-1,0)</f>
        <v>14400</v>
      </c>
    </row>
    <row r="57" spans="1:10">
      <c r="A57" s="1">
        <v>210501</v>
      </c>
      <c r="B57" s="1">
        <v>7</v>
      </c>
      <c r="C57" s="1">
        <v>1</v>
      </c>
      <c r="D57" s="1" t="s">
        <v>2436</v>
      </c>
      <c r="E57" s="1">
        <f ca="1">OFFSET(控制台!$G$5001,MATCH(A57,控制台!$B$5001:$B$5051,0)-1,0)</f>
        <v>10</v>
      </c>
      <c r="F57" s="1">
        <f ca="1">OFFSET(控制台!$E$5001,MATCH(A57,控制台!$B$5001:$B$5051,0)-1,0)</f>
        <v>5</v>
      </c>
      <c r="G57" s="4">
        <f ca="1">OFFSET(控制台!$I$5001,MATCH(A57,控制台!$B$5001:$B$5051,0)-1,0)</f>
        <v>3000</v>
      </c>
      <c r="H57" s="4">
        <f ca="1">OFFSET(控制台!$J$5001,MATCH(A57,控制台!$B$5001:$B$5051,0)-1,0)+(B57-1)*OFFSET(控制台!$K$5001,MATCH(A57,控制台!$B$5001:$B$5051,0)-1,0)</f>
        <v>450000</v>
      </c>
      <c r="I57" s="4">
        <f ca="1">OFFSET(控制台!$M$5001,MATCH(A57,控制台!$B$5001:$B$5051,0)-1,0)+(B57-1)*OFFSET(控制台!$N$5001,MATCH(A57,控制台!$B$5001:$B$5051,0)-1,0)</f>
        <v>5600000</v>
      </c>
      <c r="J57" s="4">
        <f ca="1">OFFSET(控制台!$P$5001,MATCH(A57,控制台!$B$5001:$B$5051,0)-1,0)</f>
        <v>14400</v>
      </c>
    </row>
    <row r="58" spans="1:10">
      <c r="A58" s="1">
        <v>210501</v>
      </c>
      <c r="B58" s="1">
        <v>8</v>
      </c>
      <c r="C58" s="1">
        <v>1</v>
      </c>
      <c r="D58" s="1" t="s">
        <v>2436</v>
      </c>
      <c r="E58" s="1">
        <f ca="1">OFFSET(控制台!$G$5001,MATCH(A58,控制台!$B$5001:$B$5051,0)-1,0)</f>
        <v>10</v>
      </c>
      <c r="F58" s="1">
        <f ca="1">OFFSET(控制台!$E$5001,MATCH(A58,控制台!$B$5001:$B$5051,0)-1,0)</f>
        <v>5</v>
      </c>
      <c r="G58" s="4">
        <f ca="1">OFFSET(控制台!$I$5001,MATCH(A58,控制台!$B$5001:$B$5051,0)-1,0)</f>
        <v>3000</v>
      </c>
      <c r="H58" s="4">
        <f ca="1">OFFSET(控制台!$J$5001,MATCH(A58,控制台!$B$5001:$B$5051,0)-1,0)+(B58-1)*OFFSET(控制台!$K$5001,MATCH(A58,控制台!$B$5001:$B$5051,0)-1,0)</f>
        <v>500000</v>
      </c>
      <c r="I58" s="4">
        <f ca="1">OFFSET(控制台!$M$5001,MATCH(A58,控制台!$B$5001:$B$5051,0)-1,0)+(B58-1)*OFFSET(控制台!$N$5001,MATCH(A58,控制台!$B$5001:$B$5051,0)-1,0)</f>
        <v>6400000</v>
      </c>
      <c r="J58" s="4">
        <f ca="1">OFFSET(控制台!$P$5001,MATCH(A58,控制台!$B$5001:$B$5051,0)-1,0)</f>
        <v>14400</v>
      </c>
    </row>
    <row r="59" spans="1:10">
      <c r="A59" s="1">
        <v>210501</v>
      </c>
      <c r="B59" s="1">
        <v>9</v>
      </c>
      <c r="C59" s="1">
        <v>1</v>
      </c>
      <c r="D59" s="1" t="s">
        <v>2436</v>
      </c>
      <c r="E59" s="1">
        <f ca="1">OFFSET(控制台!$G$5001,MATCH(A59,控制台!$B$5001:$B$5051,0)-1,0)</f>
        <v>10</v>
      </c>
      <c r="F59" s="1">
        <f ca="1">OFFSET(控制台!$E$5001,MATCH(A59,控制台!$B$5001:$B$5051,0)-1,0)</f>
        <v>5</v>
      </c>
      <c r="G59" s="4">
        <f ca="1">OFFSET(控制台!$I$5001,MATCH(A59,控制台!$B$5001:$B$5051,0)-1,0)</f>
        <v>3000</v>
      </c>
      <c r="H59" s="4">
        <f ca="1">OFFSET(控制台!$J$5001,MATCH(A59,控制台!$B$5001:$B$5051,0)-1,0)+(B59-1)*OFFSET(控制台!$K$5001,MATCH(A59,控制台!$B$5001:$B$5051,0)-1,0)</f>
        <v>550000</v>
      </c>
      <c r="I59" s="4">
        <f ca="1">OFFSET(控制台!$M$5001,MATCH(A59,控制台!$B$5001:$B$5051,0)-1,0)+(B59-1)*OFFSET(控制台!$N$5001,MATCH(A59,控制台!$B$5001:$B$5051,0)-1,0)</f>
        <v>7200000</v>
      </c>
      <c r="J59" s="4">
        <f ca="1">OFFSET(控制台!$P$5001,MATCH(A59,控制台!$B$5001:$B$5051,0)-1,0)</f>
        <v>14400</v>
      </c>
    </row>
    <row r="60" spans="1:10">
      <c r="A60" s="1">
        <v>210501</v>
      </c>
      <c r="B60" s="1">
        <v>10</v>
      </c>
      <c r="C60" s="1">
        <v>1</v>
      </c>
      <c r="D60" s="1" t="s">
        <v>2436</v>
      </c>
      <c r="E60" s="1">
        <f ca="1">OFFSET(控制台!$G$5001,MATCH(A60,控制台!$B$5001:$B$5051,0)-1,0)</f>
        <v>10</v>
      </c>
      <c r="F60" s="1">
        <f ca="1">OFFSET(控制台!$E$5001,MATCH(A60,控制台!$B$5001:$B$5051,0)-1,0)</f>
        <v>5</v>
      </c>
      <c r="G60" s="4">
        <f ca="1">OFFSET(控制台!$I$5001,MATCH(A60,控制台!$B$5001:$B$5051,0)-1,0)</f>
        <v>3000</v>
      </c>
      <c r="H60" s="4">
        <f ca="1">OFFSET(控制台!$J$5001,MATCH(A60,控制台!$B$5001:$B$5051,0)-1,0)+(B60-1)*OFFSET(控制台!$K$5001,MATCH(A60,控制台!$B$5001:$B$5051,0)-1,0)</f>
        <v>600000</v>
      </c>
      <c r="I60" s="4">
        <f ca="1">OFFSET(控制台!$M$5001,MATCH(A60,控制台!$B$5001:$B$5051,0)-1,0)+(B60-1)*OFFSET(控制台!$N$5001,MATCH(A60,控制台!$B$5001:$B$5051,0)-1,0)</f>
        <v>8000000</v>
      </c>
      <c r="J60" s="4">
        <f ca="1">OFFSET(控制台!$P$5001,MATCH(A60,控制台!$B$5001:$B$5051,0)-1,0)</f>
        <v>14400</v>
      </c>
    </row>
    <row r="61" spans="1:10">
      <c r="A61" s="1">
        <v>210601</v>
      </c>
      <c r="B61" s="1">
        <v>1</v>
      </c>
      <c r="C61" s="1">
        <v>1</v>
      </c>
      <c r="D61" s="1" t="s">
        <v>2438</v>
      </c>
      <c r="E61" s="1">
        <f ca="1">OFFSET(控制台!$G$5001,MATCH(A61,控制台!$B$5001:$B$5051,0)-1,0)</f>
        <v>10</v>
      </c>
      <c r="F61" s="1">
        <f ca="1">OFFSET(控制台!$E$5001,MATCH(A61,控制台!$B$5001:$B$5051,0)-1,0)</f>
        <v>6</v>
      </c>
      <c r="G61" s="4">
        <f ca="1">OFFSET(控制台!$I$5001,MATCH(A61,控制台!$B$5001:$B$5051,0)-1,0)</f>
        <v>4000</v>
      </c>
      <c r="H61" s="4">
        <f ca="1">OFFSET(控制台!$J$5001,MATCH(A61,控制台!$B$5001:$B$5051,0)-1,0)+(B61-1)*OFFSET(控制台!$K$5001,MATCH(A61,控制台!$B$5001:$B$5051,0)-1,0)</f>
        <v>200000</v>
      </c>
      <c r="I61" s="4">
        <f ca="1">OFFSET(控制台!$M$5001,MATCH(A61,控制台!$B$5001:$B$5051,0)-1,0)+(B61-1)*OFFSET(控制台!$N$5001,MATCH(A61,控制台!$B$5001:$B$5051,0)-1,0)</f>
        <v>1600000</v>
      </c>
      <c r="J61" s="4">
        <f ca="1">OFFSET(控制台!$P$5001,MATCH(A61,控制台!$B$5001:$B$5051,0)-1,0)</f>
        <v>14400</v>
      </c>
    </row>
    <row r="62" spans="1:10">
      <c r="A62" s="1">
        <v>210601</v>
      </c>
      <c r="B62" s="1">
        <v>2</v>
      </c>
      <c r="C62" s="1">
        <v>1</v>
      </c>
      <c r="D62" s="1" t="s">
        <v>2438</v>
      </c>
      <c r="E62" s="1">
        <f ca="1">OFFSET(控制台!$G$5001,MATCH(A62,控制台!$B$5001:$B$5051,0)-1,0)</f>
        <v>10</v>
      </c>
      <c r="F62" s="1">
        <f ca="1">OFFSET(控制台!$E$5001,MATCH(A62,控制台!$B$5001:$B$5051,0)-1,0)</f>
        <v>6</v>
      </c>
      <c r="G62" s="4">
        <f ca="1">OFFSET(控制台!$I$5001,MATCH(A62,控制台!$B$5001:$B$5051,0)-1,0)</f>
        <v>4000</v>
      </c>
      <c r="H62" s="4">
        <f ca="1">OFFSET(控制台!$J$5001,MATCH(A62,控制台!$B$5001:$B$5051,0)-1,0)+(B62-1)*OFFSET(控制台!$K$5001,MATCH(A62,控制台!$B$5001:$B$5051,0)-1,0)</f>
        <v>250000</v>
      </c>
      <c r="I62" s="4">
        <f ca="1">OFFSET(控制台!$M$5001,MATCH(A62,控制台!$B$5001:$B$5051,0)-1,0)+(B62-1)*OFFSET(控制台!$N$5001,MATCH(A62,控制台!$B$5001:$B$5051,0)-1,0)</f>
        <v>3200000</v>
      </c>
      <c r="J62" s="4">
        <f ca="1">OFFSET(控制台!$P$5001,MATCH(A62,控制台!$B$5001:$B$5051,0)-1,0)</f>
        <v>14400</v>
      </c>
    </row>
    <row r="63" spans="1:10">
      <c r="A63" s="1">
        <v>210601</v>
      </c>
      <c r="B63" s="1">
        <v>3</v>
      </c>
      <c r="C63" s="1">
        <v>1</v>
      </c>
      <c r="D63" s="1" t="s">
        <v>2438</v>
      </c>
      <c r="E63" s="1">
        <f ca="1">OFFSET(控制台!$G$5001,MATCH(A63,控制台!$B$5001:$B$5051,0)-1,0)</f>
        <v>10</v>
      </c>
      <c r="F63" s="1">
        <f ca="1">OFFSET(控制台!$E$5001,MATCH(A63,控制台!$B$5001:$B$5051,0)-1,0)</f>
        <v>6</v>
      </c>
      <c r="G63" s="4">
        <f ca="1">OFFSET(控制台!$I$5001,MATCH(A63,控制台!$B$5001:$B$5051,0)-1,0)</f>
        <v>4000</v>
      </c>
      <c r="H63" s="4">
        <f ca="1">OFFSET(控制台!$J$5001,MATCH(A63,控制台!$B$5001:$B$5051,0)-1,0)+(B63-1)*OFFSET(控制台!$K$5001,MATCH(A63,控制台!$B$5001:$B$5051,0)-1,0)</f>
        <v>300000</v>
      </c>
      <c r="I63" s="4">
        <f ca="1">OFFSET(控制台!$M$5001,MATCH(A63,控制台!$B$5001:$B$5051,0)-1,0)+(B63-1)*OFFSET(控制台!$N$5001,MATCH(A63,控制台!$B$5001:$B$5051,0)-1,0)</f>
        <v>4800000</v>
      </c>
      <c r="J63" s="4">
        <f ca="1">OFFSET(控制台!$P$5001,MATCH(A63,控制台!$B$5001:$B$5051,0)-1,0)</f>
        <v>14400</v>
      </c>
    </row>
    <row r="64" spans="1:10">
      <c r="A64" s="1">
        <v>210601</v>
      </c>
      <c r="B64" s="1">
        <v>4</v>
      </c>
      <c r="C64" s="1">
        <v>1</v>
      </c>
      <c r="D64" s="1" t="s">
        <v>2438</v>
      </c>
      <c r="E64" s="1">
        <f ca="1">OFFSET(控制台!$G$5001,MATCH(A64,控制台!$B$5001:$B$5051,0)-1,0)</f>
        <v>10</v>
      </c>
      <c r="F64" s="1">
        <f ca="1">OFFSET(控制台!$E$5001,MATCH(A64,控制台!$B$5001:$B$5051,0)-1,0)</f>
        <v>6</v>
      </c>
      <c r="G64" s="4">
        <f ca="1">OFFSET(控制台!$I$5001,MATCH(A64,控制台!$B$5001:$B$5051,0)-1,0)</f>
        <v>4000</v>
      </c>
      <c r="H64" s="4">
        <f ca="1">OFFSET(控制台!$J$5001,MATCH(A64,控制台!$B$5001:$B$5051,0)-1,0)+(B64-1)*OFFSET(控制台!$K$5001,MATCH(A64,控制台!$B$5001:$B$5051,0)-1,0)</f>
        <v>350000</v>
      </c>
      <c r="I64" s="4">
        <f ca="1">OFFSET(控制台!$M$5001,MATCH(A64,控制台!$B$5001:$B$5051,0)-1,0)+(B64-1)*OFFSET(控制台!$N$5001,MATCH(A64,控制台!$B$5001:$B$5051,0)-1,0)</f>
        <v>6400000</v>
      </c>
      <c r="J64" s="4">
        <f ca="1">OFFSET(控制台!$P$5001,MATCH(A64,控制台!$B$5001:$B$5051,0)-1,0)</f>
        <v>14400</v>
      </c>
    </row>
    <row r="65" spans="1:10">
      <c r="A65" s="1">
        <v>210601</v>
      </c>
      <c r="B65" s="1">
        <v>5</v>
      </c>
      <c r="C65" s="1">
        <v>1</v>
      </c>
      <c r="D65" s="1" t="s">
        <v>2438</v>
      </c>
      <c r="E65" s="1">
        <f ca="1">OFFSET(控制台!$G$5001,MATCH(A65,控制台!$B$5001:$B$5051,0)-1,0)</f>
        <v>10</v>
      </c>
      <c r="F65" s="1">
        <f ca="1">OFFSET(控制台!$E$5001,MATCH(A65,控制台!$B$5001:$B$5051,0)-1,0)</f>
        <v>6</v>
      </c>
      <c r="G65" s="4">
        <f ca="1">OFFSET(控制台!$I$5001,MATCH(A65,控制台!$B$5001:$B$5051,0)-1,0)</f>
        <v>4000</v>
      </c>
      <c r="H65" s="4">
        <f ca="1">OFFSET(控制台!$J$5001,MATCH(A65,控制台!$B$5001:$B$5051,0)-1,0)+(B65-1)*OFFSET(控制台!$K$5001,MATCH(A65,控制台!$B$5001:$B$5051,0)-1,0)</f>
        <v>400000</v>
      </c>
      <c r="I65" s="4">
        <f ca="1">OFFSET(控制台!$M$5001,MATCH(A65,控制台!$B$5001:$B$5051,0)-1,0)+(B65-1)*OFFSET(控制台!$N$5001,MATCH(A65,控制台!$B$5001:$B$5051,0)-1,0)</f>
        <v>8000000</v>
      </c>
      <c r="J65" s="4">
        <f ca="1">OFFSET(控制台!$P$5001,MATCH(A65,控制台!$B$5001:$B$5051,0)-1,0)</f>
        <v>14400</v>
      </c>
    </row>
    <row r="66" spans="1:10">
      <c r="A66" s="1">
        <v>210601</v>
      </c>
      <c r="B66" s="1">
        <v>6</v>
      </c>
      <c r="C66" s="1">
        <v>1</v>
      </c>
      <c r="D66" s="1" t="s">
        <v>2438</v>
      </c>
      <c r="E66" s="1">
        <f ca="1">OFFSET(控制台!$G$5001,MATCH(A66,控制台!$B$5001:$B$5051,0)-1,0)</f>
        <v>10</v>
      </c>
      <c r="F66" s="1">
        <f ca="1">OFFSET(控制台!$E$5001,MATCH(A66,控制台!$B$5001:$B$5051,0)-1,0)</f>
        <v>6</v>
      </c>
      <c r="G66" s="4">
        <f ca="1">OFFSET(控制台!$I$5001,MATCH(A66,控制台!$B$5001:$B$5051,0)-1,0)</f>
        <v>4000</v>
      </c>
      <c r="H66" s="4">
        <f ca="1">OFFSET(控制台!$J$5001,MATCH(A66,控制台!$B$5001:$B$5051,0)-1,0)+(B66-1)*OFFSET(控制台!$K$5001,MATCH(A66,控制台!$B$5001:$B$5051,0)-1,0)</f>
        <v>450000</v>
      </c>
      <c r="I66" s="4">
        <f ca="1">OFFSET(控制台!$M$5001,MATCH(A66,控制台!$B$5001:$B$5051,0)-1,0)+(B66-1)*OFFSET(控制台!$N$5001,MATCH(A66,控制台!$B$5001:$B$5051,0)-1,0)</f>
        <v>9600000</v>
      </c>
      <c r="J66" s="4">
        <f ca="1">OFFSET(控制台!$P$5001,MATCH(A66,控制台!$B$5001:$B$5051,0)-1,0)</f>
        <v>14400</v>
      </c>
    </row>
    <row r="67" spans="1:10">
      <c r="A67" s="1">
        <v>210601</v>
      </c>
      <c r="B67" s="1">
        <v>7</v>
      </c>
      <c r="C67" s="1">
        <v>1</v>
      </c>
      <c r="D67" s="1" t="s">
        <v>2438</v>
      </c>
      <c r="E67" s="1">
        <f ca="1">OFFSET(控制台!$G$5001,MATCH(A67,控制台!$B$5001:$B$5051,0)-1,0)</f>
        <v>10</v>
      </c>
      <c r="F67" s="1">
        <f ca="1">OFFSET(控制台!$E$5001,MATCH(A67,控制台!$B$5001:$B$5051,0)-1,0)</f>
        <v>6</v>
      </c>
      <c r="G67" s="4">
        <f ca="1">OFFSET(控制台!$I$5001,MATCH(A67,控制台!$B$5001:$B$5051,0)-1,0)</f>
        <v>4000</v>
      </c>
      <c r="H67" s="4">
        <f ca="1">OFFSET(控制台!$J$5001,MATCH(A67,控制台!$B$5001:$B$5051,0)-1,0)+(B67-1)*OFFSET(控制台!$K$5001,MATCH(A67,控制台!$B$5001:$B$5051,0)-1,0)</f>
        <v>500000</v>
      </c>
      <c r="I67" s="4">
        <f ca="1">OFFSET(控制台!$M$5001,MATCH(A67,控制台!$B$5001:$B$5051,0)-1,0)+(B67-1)*OFFSET(控制台!$N$5001,MATCH(A67,控制台!$B$5001:$B$5051,0)-1,0)</f>
        <v>11200000</v>
      </c>
      <c r="J67" s="4">
        <f ca="1">OFFSET(控制台!$P$5001,MATCH(A67,控制台!$B$5001:$B$5051,0)-1,0)</f>
        <v>14400</v>
      </c>
    </row>
    <row r="68" spans="1:10">
      <c r="A68" s="1">
        <v>210601</v>
      </c>
      <c r="B68" s="1">
        <v>8</v>
      </c>
      <c r="C68" s="1">
        <v>1</v>
      </c>
      <c r="D68" s="1" t="s">
        <v>2438</v>
      </c>
      <c r="E68" s="1">
        <f ca="1">OFFSET(控制台!$G$5001,MATCH(A68,控制台!$B$5001:$B$5051,0)-1,0)</f>
        <v>10</v>
      </c>
      <c r="F68" s="1">
        <f ca="1">OFFSET(控制台!$E$5001,MATCH(A68,控制台!$B$5001:$B$5051,0)-1,0)</f>
        <v>6</v>
      </c>
      <c r="G68" s="4">
        <f ca="1">OFFSET(控制台!$I$5001,MATCH(A68,控制台!$B$5001:$B$5051,0)-1,0)</f>
        <v>4000</v>
      </c>
      <c r="H68" s="4">
        <f ca="1">OFFSET(控制台!$J$5001,MATCH(A68,控制台!$B$5001:$B$5051,0)-1,0)+(B68-1)*OFFSET(控制台!$K$5001,MATCH(A68,控制台!$B$5001:$B$5051,0)-1,0)</f>
        <v>550000</v>
      </c>
      <c r="I68" s="4">
        <f ca="1">OFFSET(控制台!$M$5001,MATCH(A68,控制台!$B$5001:$B$5051,0)-1,0)+(B68-1)*OFFSET(控制台!$N$5001,MATCH(A68,控制台!$B$5001:$B$5051,0)-1,0)</f>
        <v>12800000</v>
      </c>
      <c r="J68" s="4">
        <f ca="1">OFFSET(控制台!$P$5001,MATCH(A68,控制台!$B$5001:$B$5051,0)-1,0)</f>
        <v>14400</v>
      </c>
    </row>
    <row r="69" spans="1:10">
      <c r="A69" s="1">
        <v>210601</v>
      </c>
      <c r="B69" s="1">
        <v>9</v>
      </c>
      <c r="C69" s="1">
        <v>1</v>
      </c>
      <c r="D69" s="1" t="s">
        <v>2438</v>
      </c>
      <c r="E69" s="1">
        <f ca="1">OFFSET(控制台!$G$5001,MATCH(A69,控制台!$B$5001:$B$5051,0)-1,0)</f>
        <v>10</v>
      </c>
      <c r="F69" s="1">
        <f ca="1">OFFSET(控制台!$E$5001,MATCH(A69,控制台!$B$5001:$B$5051,0)-1,0)</f>
        <v>6</v>
      </c>
      <c r="G69" s="4">
        <f ca="1">OFFSET(控制台!$I$5001,MATCH(A69,控制台!$B$5001:$B$5051,0)-1,0)</f>
        <v>4000</v>
      </c>
      <c r="H69" s="4">
        <f ca="1">OFFSET(控制台!$J$5001,MATCH(A69,控制台!$B$5001:$B$5051,0)-1,0)+(B69-1)*OFFSET(控制台!$K$5001,MATCH(A69,控制台!$B$5001:$B$5051,0)-1,0)</f>
        <v>600000</v>
      </c>
      <c r="I69" s="4">
        <f ca="1">OFFSET(控制台!$M$5001,MATCH(A69,控制台!$B$5001:$B$5051,0)-1,0)+(B69-1)*OFFSET(控制台!$N$5001,MATCH(A69,控制台!$B$5001:$B$5051,0)-1,0)</f>
        <v>14400000</v>
      </c>
      <c r="J69" s="4">
        <f ca="1">OFFSET(控制台!$P$5001,MATCH(A69,控制台!$B$5001:$B$5051,0)-1,0)</f>
        <v>14400</v>
      </c>
    </row>
    <row r="70" spans="1:10">
      <c r="A70" s="1">
        <v>210601</v>
      </c>
      <c r="B70" s="1">
        <v>10</v>
      </c>
      <c r="C70" s="1">
        <v>1</v>
      </c>
      <c r="D70" s="1" t="s">
        <v>2438</v>
      </c>
      <c r="E70" s="1">
        <f ca="1">OFFSET(控制台!$G$5001,MATCH(A70,控制台!$B$5001:$B$5051,0)-1,0)</f>
        <v>10</v>
      </c>
      <c r="F70" s="1">
        <f ca="1">OFFSET(控制台!$E$5001,MATCH(A70,控制台!$B$5001:$B$5051,0)-1,0)</f>
        <v>6</v>
      </c>
      <c r="G70" s="4">
        <f ca="1">OFFSET(控制台!$I$5001,MATCH(A70,控制台!$B$5001:$B$5051,0)-1,0)</f>
        <v>4000</v>
      </c>
      <c r="H70" s="4">
        <f ca="1">OFFSET(控制台!$J$5001,MATCH(A70,控制台!$B$5001:$B$5051,0)-1,0)+(B70-1)*OFFSET(控制台!$K$5001,MATCH(A70,控制台!$B$5001:$B$5051,0)-1,0)</f>
        <v>650000</v>
      </c>
      <c r="I70" s="4">
        <f ca="1">OFFSET(控制台!$M$5001,MATCH(A70,控制台!$B$5001:$B$5051,0)-1,0)+(B70-1)*OFFSET(控制台!$N$5001,MATCH(A70,控制台!$B$5001:$B$5051,0)-1,0)</f>
        <v>16000000</v>
      </c>
      <c r="J70" s="4">
        <f ca="1">OFFSET(控制台!$P$5001,MATCH(A70,控制台!$B$5001:$B$5051,0)-1,0)</f>
        <v>14400</v>
      </c>
    </row>
    <row r="71" spans="1:10">
      <c r="A71" s="1">
        <v>210602</v>
      </c>
      <c r="B71" s="1">
        <v>1</v>
      </c>
      <c r="C71" s="1">
        <v>1</v>
      </c>
      <c r="D71" s="1" t="s">
        <v>2439</v>
      </c>
      <c r="E71" s="1">
        <f ca="1">OFFSET(控制台!$G$5001,MATCH(A71,控制台!$B$5001:$B$5051,0)-1,0)</f>
        <v>10</v>
      </c>
      <c r="F71" s="1">
        <f ca="1">OFFSET(控制台!$E$5001,MATCH(A71,控制台!$B$5001:$B$5051,0)-1,0)</f>
        <v>6</v>
      </c>
      <c r="G71" s="4">
        <f ca="1">OFFSET(控制台!$I$5001,MATCH(A71,控制台!$B$5001:$B$5051,0)-1,0)</f>
        <v>4000</v>
      </c>
      <c r="H71" s="4">
        <f ca="1">OFFSET(控制台!$J$5001,MATCH(A71,控制台!$B$5001:$B$5051,0)-1,0)+(B71-1)*OFFSET(控制台!$K$5001,MATCH(A71,控制台!$B$5001:$B$5051,0)-1,0)</f>
        <v>200000</v>
      </c>
      <c r="I71" s="4">
        <f ca="1">OFFSET(控制台!$M$5001,MATCH(A71,控制台!$B$5001:$B$5051,0)-1,0)+(B71-1)*OFFSET(控制台!$N$5001,MATCH(A71,控制台!$B$5001:$B$5051,0)-1,0)</f>
        <v>1600000</v>
      </c>
      <c r="J71" s="4">
        <f ca="1">OFFSET(控制台!$P$5001,MATCH(A71,控制台!$B$5001:$B$5051,0)-1,0)</f>
        <v>14400</v>
      </c>
    </row>
    <row r="72" spans="1:10">
      <c r="A72" s="1">
        <v>210602</v>
      </c>
      <c r="B72" s="1">
        <v>2</v>
      </c>
      <c r="C72" s="1">
        <v>1</v>
      </c>
      <c r="D72" s="1" t="s">
        <v>2439</v>
      </c>
      <c r="E72" s="1">
        <f ca="1">OFFSET(控制台!$G$5001,MATCH(A72,控制台!$B$5001:$B$5051,0)-1,0)</f>
        <v>10</v>
      </c>
      <c r="F72" s="1">
        <f ca="1">OFFSET(控制台!$E$5001,MATCH(A72,控制台!$B$5001:$B$5051,0)-1,0)</f>
        <v>6</v>
      </c>
      <c r="G72" s="4">
        <f ca="1">OFFSET(控制台!$I$5001,MATCH(A72,控制台!$B$5001:$B$5051,0)-1,0)</f>
        <v>4000</v>
      </c>
      <c r="H72" s="4">
        <f ca="1">OFFSET(控制台!$J$5001,MATCH(A72,控制台!$B$5001:$B$5051,0)-1,0)+(B72-1)*OFFSET(控制台!$K$5001,MATCH(A72,控制台!$B$5001:$B$5051,0)-1,0)</f>
        <v>250000</v>
      </c>
      <c r="I72" s="4">
        <f ca="1">OFFSET(控制台!$M$5001,MATCH(A72,控制台!$B$5001:$B$5051,0)-1,0)+(B72-1)*OFFSET(控制台!$N$5001,MATCH(A72,控制台!$B$5001:$B$5051,0)-1,0)</f>
        <v>3200000</v>
      </c>
      <c r="J72" s="4">
        <f ca="1">OFFSET(控制台!$P$5001,MATCH(A72,控制台!$B$5001:$B$5051,0)-1,0)</f>
        <v>14400</v>
      </c>
    </row>
    <row r="73" spans="1:10">
      <c r="A73" s="1">
        <v>210602</v>
      </c>
      <c r="B73" s="1">
        <v>3</v>
      </c>
      <c r="C73" s="1">
        <v>1</v>
      </c>
      <c r="D73" s="1" t="s">
        <v>2439</v>
      </c>
      <c r="E73" s="1">
        <f ca="1">OFFSET(控制台!$G$5001,MATCH(A73,控制台!$B$5001:$B$5051,0)-1,0)</f>
        <v>10</v>
      </c>
      <c r="F73" s="1">
        <f ca="1">OFFSET(控制台!$E$5001,MATCH(A73,控制台!$B$5001:$B$5051,0)-1,0)</f>
        <v>6</v>
      </c>
      <c r="G73" s="4">
        <f ca="1">OFFSET(控制台!$I$5001,MATCH(A73,控制台!$B$5001:$B$5051,0)-1,0)</f>
        <v>4000</v>
      </c>
      <c r="H73" s="4">
        <f ca="1">OFFSET(控制台!$J$5001,MATCH(A73,控制台!$B$5001:$B$5051,0)-1,0)+(B73-1)*OFFSET(控制台!$K$5001,MATCH(A73,控制台!$B$5001:$B$5051,0)-1,0)</f>
        <v>300000</v>
      </c>
      <c r="I73" s="4">
        <f ca="1">OFFSET(控制台!$M$5001,MATCH(A73,控制台!$B$5001:$B$5051,0)-1,0)+(B73-1)*OFFSET(控制台!$N$5001,MATCH(A73,控制台!$B$5001:$B$5051,0)-1,0)</f>
        <v>4800000</v>
      </c>
      <c r="J73" s="4">
        <f ca="1">OFFSET(控制台!$P$5001,MATCH(A73,控制台!$B$5001:$B$5051,0)-1,0)</f>
        <v>14400</v>
      </c>
    </row>
    <row r="74" spans="1:10">
      <c r="A74" s="1">
        <v>210602</v>
      </c>
      <c r="B74" s="1">
        <v>4</v>
      </c>
      <c r="C74" s="1">
        <v>1</v>
      </c>
      <c r="D74" s="1" t="s">
        <v>2439</v>
      </c>
      <c r="E74" s="1">
        <f ca="1">OFFSET(控制台!$G$5001,MATCH(A74,控制台!$B$5001:$B$5051,0)-1,0)</f>
        <v>10</v>
      </c>
      <c r="F74" s="1">
        <f ca="1">OFFSET(控制台!$E$5001,MATCH(A74,控制台!$B$5001:$B$5051,0)-1,0)</f>
        <v>6</v>
      </c>
      <c r="G74" s="4">
        <f ca="1">OFFSET(控制台!$I$5001,MATCH(A74,控制台!$B$5001:$B$5051,0)-1,0)</f>
        <v>4000</v>
      </c>
      <c r="H74" s="4">
        <f ca="1">OFFSET(控制台!$J$5001,MATCH(A74,控制台!$B$5001:$B$5051,0)-1,0)+(B74-1)*OFFSET(控制台!$K$5001,MATCH(A74,控制台!$B$5001:$B$5051,0)-1,0)</f>
        <v>350000</v>
      </c>
      <c r="I74" s="4">
        <f ca="1">OFFSET(控制台!$M$5001,MATCH(A74,控制台!$B$5001:$B$5051,0)-1,0)+(B74-1)*OFFSET(控制台!$N$5001,MATCH(A74,控制台!$B$5001:$B$5051,0)-1,0)</f>
        <v>6400000</v>
      </c>
      <c r="J74" s="4">
        <f ca="1">OFFSET(控制台!$P$5001,MATCH(A74,控制台!$B$5001:$B$5051,0)-1,0)</f>
        <v>14400</v>
      </c>
    </row>
    <row r="75" spans="1:10">
      <c r="A75" s="1">
        <v>210602</v>
      </c>
      <c r="B75" s="1">
        <v>5</v>
      </c>
      <c r="C75" s="1">
        <v>1</v>
      </c>
      <c r="D75" s="1" t="s">
        <v>2439</v>
      </c>
      <c r="E75" s="1">
        <f ca="1">OFFSET(控制台!$G$5001,MATCH(A75,控制台!$B$5001:$B$5051,0)-1,0)</f>
        <v>10</v>
      </c>
      <c r="F75" s="1">
        <f ca="1">OFFSET(控制台!$E$5001,MATCH(A75,控制台!$B$5001:$B$5051,0)-1,0)</f>
        <v>6</v>
      </c>
      <c r="G75" s="4">
        <f ca="1">OFFSET(控制台!$I$5001,MATCH(A75,控制台!$B$5001:$B$5051,0)-1,0)</f>
        <v>4000</v>
      </c>
      <c r="H75" s="4">
        <f ca="1">OFFSET(控制台!$J$5001,MATCH(A75,控制台!$B$5001:$B$5051,0)-1,0)+(B75-1)*OFFSET(控制台!$K$5001,MATCH(A75,控制台!$B$5001:$B$5051,0)-1,0)</f>
        <v>400000</v>
      </c>
      <c r="I75" s="4">
        <f ca="1">OFFSET(控制台!$M$5001,MATCH(A75,控制台!$B$5001:$B$5051,0)-1,0)+(B75-1)*OFFSET(控制台!$N$5001,MATCH(A75,控制台!$B$5001:$B$5051,0)-1,0)</f>
        <v>8000000</v>
      </c>
      <c r="J75" s="4">
        <f ca="1">OFFSET(控制台!$P$5001,MATCH(A75,控制台!$B$5001:$B$5051,0)-1,0)</f>
        <v>14400</v>
      </c>
    </row>
    <row r="76" spans="1:10">
      <c r="A76" s="1">
        <v>210602</v>
      </c>
      <c r="B76" s="1">
        <v>6</v>
      </c>
      <c r="C76" s="1">
        <v>1</v>
      </c>
      <c r="D76" s="1" t="s">
        <v>2439</v>
      </c>
      <c r="E76" s="1">
        <f ca="1">OFFSET(控制台!$G$5001,MATCH(A76,控制台!$B$5001:$B$5051,0)-1,0)</f>
        <v>10</v>
      </c>
      <c r="F76" s="1">
        <f ca="1">OFFSET(控制台!$E$5001,MATCH(A76,控制台!$B$5001:$B$5051,0)-1,0)</f>
        <v>6</v>
      </c>
      <c r="G76" s="4">
        <f ca="1">OFFSET(控制台!$I$5001,MATCH(A76,控制台!$B$5001:$B$5051,0)-1,0)</f>
        <v>4000</v>
      </c>
      <c r="H76" s="4">
        <f ca="1">OFFSET(控制台!$J$5001,MATCH(A76,控制台!$B$5001:$B$5051,0)-1,0)+(B76-1)*OFFSET(控制台!$K$5001,MATCH(A76,控制台!$B$5001:$B$5051,0)-1,0)</f>
        <v>450000</v>
      </c>
      <c r="I76" s="4">
        <f ca="1">OFFSET(控制台!$M$5001,MATCH(A76,控制台!$B$5001:$B$5051,0)-1,0)+(B76-1)*OFFSET(控制台!$N$5001,MATCH(A76,控制台!$B$5001:$B$5051,0)-1,0)</f>
        <v>9600000</v>
      </c>
      <c r="J76" s="4">
        <f ca="1">OFFSET(控制台!$P$5001,MATCH(A76,控制台!$B$5001:$B$5051,0)-1,0)</f>
        <v>14400</v>
      </c>
    </row>
    <row r="77" spans="1:10">
      <c r="A77" s="1">
        <v>210602</v>
      </c>
      <c r="B77" s="1">
        <v>7</v>
      </c>
      <c r="C77" s="1">
        <v>1</v>
      </c>
      <c r="D77" s="1" t="s">
        <v>2439</v>
      </c>
      <c r="E77" s="1">
        <f ca="1">OFFSET(控制台!$G$5001,MATCH(A77,控制台!$B$5001:$B$5051,0)-1,0)</f>
        <v>10</v>
      </c>
      <c r="F77" s="1">
        <f ca="1">OFFSET(控制台!$E$5001,MATCH(A77,控制台!$B$5001:$B$5051,0)-1,0)</f>
        <v>6</v>
      </c>
      <c r="G77" s="4">
        <f ca="1">OFFSET(控制台!$I$5001,MATCH(A77,控制台!$B$5001:$B$5051,0)-1,0)</f>
        <v>4000</v>
      </c>
      <c r="H77" s="4">
        <f ca="1">OFFSET(控制台!$J$5001,MATCH(A77,控制台!$B$5001:$B$5051,0)-1,0)+(B77-1)*OFFSET(控制台!$K$5001,MATCH(A77,控制台!$B$5001:$B$5051,0)-1,0)</f>
        <v>500000</v>
      </c>
      <c r="I77" s="4">
        <f ca="1">OFFSET(控制台!$M$5001,MATCH(A77,控制台!$B$5001:$B$5051,0)-1,0)+(B77-1)*OFFSET(控制台!$N$5001,MATCH(A77,控制台!$B$5001:$B$5051,0)-1,0)</f>
        <v>11200000</v>
      </c>
      <c r="J77" s="4">
        <f ca="1">OFFSET(控制台!$P$5001,MATCH(A77,控制台!$B$5001:$B$5051,0)-1,0)</f>
        <v>14400</v>
      </c>
    </row>
    <row r="78" spans="1:10">
      <c r="A78" s="1">
        <v>210602</v>
      </c>
      <c r="B78" s="1">
        <v>8</v>
      </c>
      <c r="C78" s="1">
        <v>1</v>
      </c>
      <c r="D78" s="1" t="s">
        <v>2439</v>
      </c>
      <c r="E78" s="1">
        <f ca="1">OFFSET(控制台!$G$5001,MATCH(A78,控制台!$B$5001:$B$5051,0)-1,0)</f>
        <v>10</v>
      </c>
      <c r="F78" s="1">
        <f ca="1">OFFSET(控制台!$E$5001,MATCH(A78,控制台!$B$5001:$B$5051,0)-1,0)</f>
        <v>6</v>
      </c>
      <c r="G78" s="4">
        <f ca="1">OFFSET(控制台!$I$5001,MATCH(A78,控制台!$B$5001:$B$5051,0)-1,0)</f>
        <v>4000</v>
      </c>
      <c r="H78" s="4">
        <f ca="1">OFFSET(控制台!$J$5001,MATCH(A78,控制台!$B$5001:$B$5051,0)-1,0)+(B78-1)*OFFSET(控制台!$K$5001,MATCH(A78,控制台!$B$5001:$B$5051,0)-1,0)</f>
        <v>550000</v>
      </c>
      <c r="I78" s="4">
        <f ca="1">OFFSET(控制台!$M$5001,MATCH(A78,控制台!$B$5001:$B$5051,0)-1,0)+(B78-1)*OFFSET(控制台!$N$5001,MATCH(A78,控制台!$B$5001:$B$5051,0)-1,0)</f>
        <v>12800000</v>
      </c>
      <c r="J78" s="4">
        <f ca="1">OFFSET(控制台!$P$5001,MATCH(A78,控制台!$B$5001:$B$5051,0)-1,0)</f>
        <v>14400</v>
      </c>
    </row>
    <row r="79" spans="1:10">
      <c r="A79" s="1">
        <v>210602</v>
      </c>
      <c r="B79" s="1">
        <v>9</v>
      </c>
      <c r="C79" s="1">
        <v>1</v>
      </c>
      <c r="D79" s="1" t="s">
        <v>2439</v>
      </c>
      <c r="E79" s="1">
        <f ca="1">OFFSET(控制台!$G$5001,MATCH(A79,控制台!$B$5001:$B$5051,0)-1,0)</f>
        <v>10</v>
      </c>
      <c r="F79" s="1">
        <f ca="1">OFFSET(控制台!$E$5001,MATCH(A79,控制台!$B$5001:$B$5051,0)-1,0)</f>
        <v>6</v>
      </c>
      <c r="G79" s="4">
        <f ca="1">OFFSET(控制台!$I$5001,MATCH(A79,控制台!$B$5001:$B$5051,0)-1,0)</f>
        <v>4000</v>
      </c>
      <c r="H79" s="4">
        <f ca="1">OFFSET(控制台!$J$5001,MATCH(A79,控制台!$B$5001:$B$5051,0)-1,0)+(B79-1)*OFFSET(控制台!$K$5001,MATCH(A79,控制台!$B$5001:$B$5051,0)-1,0)</f>
        <v>600000</v>
      </c>
      <c r="I79" s="4">
        <f ca="1">OFFSET(控制台!$M$5001,MATCH(A79,控制台!$B$5001:$B$5051,0)-1,0)+(B79-1)*OFFSET(控制台!$N$5001,MATCH(A79,控制台!$B$5001:$B$5051,0)-1,0)</f>
        <v>14400000</v>
      </c>
      <c r="J79" s="4">
        <f ca="1">OFFSET(控制台!$P$5001,MATCH(A79,控制台!$B$5001:$B$5051,0)-1,0)</f>
        <v>14400</v>
      </c>
    </row>
    <row r="80" spans="1:10">
      <c r="A80" s="1">
        <v>210602</v>
      </c>
      <c r="B80" s="1">
        <v>10</v>
      </c>
      <c r="C80" s="1">
        <v>1</v>
      </c>
      <c r="D80" s="1" t="s">
        <v>2439</v>
      </c>
      <c r="E80" s="1">
        <f ca="1">OFFSET(控制台!$G$5001,MATCH(A80,控制台!$B$5001:$B$5051,0)-1,0)</f>
        <v>10</v>
      </c>
      <c r="F80" s="1">
        <f ca="1">OFFSET(控制台!$E$5001,MATCH(A80,控制台!$B$5001:$B$5051,0)-1,0)</f>
        <v>6</v>
      </c>
      <c r="G80" s="4">
        <f ca="1">OFFSET(控制台!$I$5001,MATCH(A80,控制台!$B$5001:$B$5051,0)-1,0)</f>
        <v>4000</v>
      </c>
      <c r="H80" s="4">
        <f ca="1">OFFSET(控制台!$J$5001,MATCH(A80,控制台!$B$5001:$B$5051,0)-1,0)+(B80-1)*OFFSET(控制台!$K$5001,MATCH(A80,控制台!$B$5001:$B$5051,0)-1,0)</f>
        <v>650000</v>
      </c>
      <c r="I80" s="4">
        <f ca="1">OFFSET(控制台!$M$5001,MATCH(A80,控制台!$B$5001:$B$5051,0)-1,0)+(B80-1)*OFFSET(控制台!$N$5001,MATCH(A80,控制台!$B$5001:$B$5051,0)-1,0)</f>
        <v>16000000</v>
      </c>
      <c r="J80" s="4">
        <f ca="1">OFFSET(控制台!$P$5001,MATCH(A80,控制台!$B$5001:$B$5051,0)-1,0)</f>
        <v>14400</v>
      </c>
    </row>
    <row r="81" spans="1:10">
      <c r="A81" s="1">
        <v>210603</v>
      </c>
      <c r="B81" s="1">
        <v>1</v>
      </c>
      <c r="C81" s="1">
        <v>1</v>
      </c>
      <c r="D81" s="1" t="s">
        <v>2440</v>
      </c>
      <c r="E81" s="1">
        <f ca="1">OFFSET(控制台!$G$5001,MATCH(A81,控制台!$B$5001:$B$5051,0)-1,0)</f>
        <v>10</v>
      </c>
      <c r="F81" s="1">
        <f ca="1">OFFSET(控制台!$E$5001,MATCH(A81,控制台!$B$5001:$B$5051,0)-1,0)</f>
        <v>6</v>
      </c>
      <c r="G81" s="4">
        <f ca="1">OFFSET(控制台!$I$5001,MATCH(A81,控制台!$B$5001:$B$5051,0)-1,0)</f>
        <v>4000</v>
      </c>
      <c r="H81" s="4">
        <f ca="1">OFFSET(控制台!$J$5001,MATCH(A81,控制台!$B$5001:$B$5051,0)-1,0)+(B81-1)*OFFSET(控制台!$K$5001,MATCH(A81,控制台!$B$5001:$B$5051,0)-1,0)</f>
        <v>200000</v>
      </c>
      <c r="I81" s="4">
        <f ca="1">OFFSET(控制台!$M$5001,MATCH(A81,控制台!$B$5001:$B$5051,0)-1,0)+(B81-1)*OFFSET(控制台!$N$5001,MATCH(A81,控制台!$B$5001:$B$5051,0)-1,0)</f>
        <v>1600000</v>
      </c>
      <c r="J81" s="4">
        <f ca="1">OFFSET(控制台!$P$5001,MATCH(A81,控制台!$B$5001:$B$5051,0)-1,0)</f>
        <v>14400</v>
      </c>
    </row>
    <row r="82" spans="1:10">
      <c r="A82" s="1">
        <v>210603</v>
      </c>
      <c r="B82" s="1">
        <v>2</v>
      </c>
      <c r="C82" s="1">
        <v>1</v>
      </c>
      <c r="D82" s="1" t="s">
        <v>2440</v>
      </c>
      <c r="E82" s="1">
        <f ca="1">OFFSET(控制台!$G$5001,MATCH(A82,控制台!$B$5001:$B$5051,0)-1,0)</f>
        <v>10</v>
      </c>
      <c r="F82" s="1">
        <f ca="1">OFFSET(控制台!$E$5001,MATCH(A82,控制台!$B$5001:$B$5051,0)-1,0)</f>
        <v>6</v>
      </c>
      <c r="G82" s="4">
        <f ca="1">OFFSET(控制台!$I$5001,MATCH(A82,控制台!$B$5001:$B$5051,0)-1,0)</f>
        <v>4000</v>
      </c>
      <c r="H82" s="4">
        <f ca="1">OFFSET(控制台!$J$5001,MATCH(A82,控制台!$B$5001:$B$5051,0)-1,0)+(B82-1)*OFFSET(控制台!$K$5001,MATCH(A82,控制台!$B$5001:$B$5051,0)-1,0)</f>
        <v>250000</v>
      </c>
      <c r="I82" s="4">
        <f ca="1">OFFSET(控制台!$M$5001,MATCH(A82,控制台!$B$5001:$B$5051,0)-1,0)+(B82-1)*OFFSET(控制台!$N$5001,MATCH(A82,控制台!$B$5001:$B$5051,0)-1,0)</f>
        <v>3200000</v>
      </c>
      <c r="J82" s="4">
        <f ca="1">OFFSET(控制台!$P$5001,MATCH(A82,控制台!$B$5001:$B$5051,0)-1,0)</f>
        <v>14400</v>
      </c>
    </row>
    <row r="83" spans="1:10">
      <c r="A83" s="1">
        <v>210603</v>
      </c>
      <c r="B83" s="1">
        <v>3</v>
      </c>
      <c r="C83" s="1">
        <v>1</v>
      </c>
      <c r="D83" s="1" t="s">
        <v>2440</v>
      </c>
      <c r="E83" s="1">
        <f ca="1">OFFSET(控制台!$G$5001,MATCH(A83,控制台!$B$5001:$B$5051,0)-1,0)</f>
        <v>10</v>
      </c>
      <c r="F83" s="1">
        <f ca="1">OFFSET(控制台!$E$5001,MATCH(A83,控制台!$B$5001:$B$5051,0)-1,0)</f>
        <v>6</v>
      </c>
      <c r="G83" s="4">
        <f ca="1">OFFSET(控制台!$I$5001,MATCH(A83,控制台!$B$5001:$B$5051,0)-1,0)</f>
        <v>4000</v>
      </c>
      <c r="H83" s="4">
        <f ca="1">OFFSET(控制台!$J$5001,MATCH(A83,控制台!$B$5001:$B$5051,0)-1,0)+(B83-1)*OFFSET(控制台!$K$5001,MATCH(A83,控制台!$B$5001:$B$5051,0)-1,0)</f>
        <v>300000</v>
      </c>
      <c r="I83" s="4">
        <f ca="1">OFFSET(控制台!$M$5001,MATCH(A83,控制台!$B$5001:$B$5051,0)-1,0)+(B83-1)*OFFSET(控制台!$N$5001,MATCH(A83,控制台!$B$5001:$B$5051,0)-1,0)</f>
        <v>4800000</v>
      </c>
      <c r="J83" s="4">
        <f ca="1">OFFSET(控制台!$P$5001,MATCH(A83,控制台!$B$5001:$B$5051,0)-1,0)</f>
        <v>14400</v>
      </c>
    </row>
    <row r="84" spans="1:10">
      <c r="A84" s="1">
        <v>210603</v>
      </c>
      <c r="B84" s="1">
        <v>4</v>
      </c>
      <c r="C84" s="1">
        <v>1</v>
      </c>
      <c r="D84" s="1" t="s">
        <v>2440</v>
      </c>
      <c r="E84" s="1">
        <f ca="1">OFFSET(控制台!$G$5001,MATCH(A84,控制台!$B$5001:$B$5051,0)-1,0)</f>
        <v>10</v>
      </c>
      <c r="F84" s="1">
        <f ca="1">OFFSET(控制台!$E$5001,MATCH(A84,控制台!$B$5001:$B$5051,0)-1,0)</f>
        <v>6</v>
      </c>
      <c r="G84" s="4">
        <f ca="1">OFFSET(控制台!$I$5001,MATCH(A84,控制台!$B$5001:$B$5051,0)-1,0)</f>
        <v>4000</v>
      </c>
      <c r="H84" s="4">
        <f ca="1">OFFSET(控制台!$J$5001,MATCH(A84,控制台!$B$5001:$B$5051,0)-1,0)+(B84-1)*OFFSET(控制台!$K$5001,MATCH(A84,控制台!$B$5001:$B$5051,0)-1,0)</f>
        <v>350000</v>
      </c>
      <c r="I84" s="4">
        <f ca="1">OFFSET(控制台!$M$5001,MATCH(A84,控制台!$B$5001:$B$5051,0)-1,0)+(B84-1)*OFFSET(控制台!$N$5001,MATCH(A84,控制台!$B$5001:$B$5051,0)-1,0)</f>
        <v>6400000</v>
      </c>
      <c r="J84" s="4">
        <f ca="1">OFFSET(控制台!$P$5001,MATCH(A84,控制台!$B$5001:$B$5051,0)-1,0)</f>
        <v>14400</v>
      </c>
    </row>
    <row r="85" spans="1:10">
      <c r="A85" s="1">
        <v>210603</v>
      </c>
      <c r="B85" s="1">
        <v>5</v>
      </c>
      <c r="C85" s="1">
        <v>1</v>
      </c>
      <c r="D85" s="1" t="s">
        <v>2440</v>
      </c>
      <c r="E85" s="1">
        <f ca="1">OFFSET(控制台!$G$5001,MATCH(A85,控制台!$B$5001:$B$5051,0)-1,0)</f>
        <v>10</v>
      </c>
      <c r="F85" s="1">
        <f ca="1">OFFSET(控制台!$E$5001,MATCH(A85,控制台!$B$5001:$B$5051,0)-1,0)</f>
        <v>6</v>
      </c>
      <c r="G85" s="4">
        <f ca="1">OFFSET(控制台!$I$5001,MATCH(A85,控制台!$B$5001:$B$5051,0)-1,0)</f>
        <v>4000</v>
      </c>
      <c r="H85" s="4">
        <f ca="1">OFFSET(控制台!$J$5001,MATCH(A85,控制台!$B$5001:$B$5051,0)-1,0)+(B85-1)*OFFSET(控制台!$K$5001,MATCH(A85,控制台!$B$5001:$B$5051,0)-1,0)</f>
        <v>400000</v>
      </c>
      <c r="I85" s="4">
        <f ca="1">OFFSET(控制台!$M$5001,MATCH(A85,控制台!$B$5001:$B$5051,0)-1,0)+(B85-1)*OFFSET(控制台!$N$5001,MATCH(A85,控制台!$B$5001:$B$5051,0)-1,0)</f>
        <v>8000000</v>
      </c>
      <c r="J85" s="4">
        <f ca="1">OFFSET(控制台!$P$5001,MATCH(A85,控制台!$B$5001:$B$5051,0)-1,0)</f>
        <v>14400</v>
      </c>
    </row>
    <row r="86" spans="1:10">
      <c r="A86" s="1">
        <v>210603</v>
      </c>
      <c r="B86" s="1">
        <v>6</v>
      </c>
      <c r="C86" s="1">
        <v>1</v>
      </c>
      <c r="D86" s="1" t="s">
        <v>2440</v>
      </c>
      <c r="E86" s="1">
        <f ca="1">OFFSET(控制台!$G$5001,MATCH(A86,控制台!$B$5001:$B$5051,0)-1,0)</f>
        <v>10</v>
      </c>
      <c r="F86" s="1">
        <f ca="1">OFFSET(控制台!$E$5001,MATCH(A86,控制台!$B$5001:$B$5051,0)-1,0)</f>
        <v>6</v>
      </c>
      <c r="G86" s="4">
        <f ca="1">OFFSET(控制台!$I$5001,MATCH(A86,控制台!$B$5001:$B$5051,0)-1,0)</f>
        <v>4000</v>
      </c>
      <c r="H86" s="4">
        <f ca="1">OFFSET(控制台!$J$5001,MATCH(A86,控制台!$B$5001:$B$5051,0)-1,0)+(B86-1)*OFFSET(控制台!$K$5001,MATCH(A86,控制台!$B$5001:$B$5051,0)-1,0)</f>
        <v>450000</v>
      </c>
      <c r="I86" s="4">
        <f ca="1">OFFSET(控制台!$M$5001,MATCH(A86,控制台!$B$5001:$B$5051,0)-1,0)+(B86-1)*OFFSET(控制台!$N$5001,MATCH(A86,控制台!$B$5001:$B$5051,0)-1,0)</f>
        <v>9600000</v>
      </c>
      <c r="J86" s="4">
        <f ca="1">OFFSET(控制台!$P$5001,MATCH(A86,控制台!$B$5001:$B$5051,0)-1,0)</f>
        <v>14400</v>
      </c>
    </row>
    <row r="87" spans="1:10">
      <c r="A87" s="1">
        <v>210603</v>
      </c>
      <c r="B87" s="1">
        <v>7</v>
      </c>
      <c r="C87" s="1">
        <v>1</v>
      </c>
      <c r="D87" s="1" t="s">
        <v>2440</v>
      </c>
      <c r="E87" s="1">
        <f ca="1">OFFSET(控制台!$G$5001,MATCH(A87,控制台!$B$5001:$B$5051,0)-1,0)</f>
        <v>10</v>
      </c>
      <c r="F87" s="1">
        <f ca="1">OFFSET(控制台!$E$5001,MATCH(A87,控制台!$B$5001:$B$5051,0)-1,0)</f>
        <v>6</v>
      </c>
      <c r="G87" s="4">
        <f ca="1">OFFSET(控制台!$I$5001,MATCH(A87,控制台!$B$5001:$B$5051,0)-1,0)</f>
        <v>4000</v>
      </c>
      <c r="H87" s="4">
        <f ca="1">OFFSET(控制台!$J$5001,MATCH(A87,控制台!$B$5001:$B$5051,0)-1,0)+(B87-1)*OFFSET(控制台!$K$5001,MATCH(A87,控制台!$B$5001:$B$5051,0)-1,0)</f>
        <v>500000</v>
      </c>
      <c r="I87" s="4">
        <f ca="1">OFFSET(控制台!$M$5001,MATCH(A87,控制台!$B$5001:$B$5051,0)-1,0)+(B87-1)*OFFSET(控制台!$N$5001,MATCH(A87,控制台!$B$5001:$B$5051,0)-1,0)</f>
        <v>11200000</v>
      </c>
      <c r="J87" s="4">
        <f ca="1">OFFSET(控制台!$P$5001,MATCH(A87,控制台!$B$5001:$B$5051,0)-1,0)</f>
        <v>14400</v>
      </c>
    </row>
    <row r="88" spans="1:10">
      <c r="A88" s="1">
        <v>210603</v>
      </c>
      <c r="B88" s="1">
        <v>8</v>
      </c>
      <c r="C88" s="1">
        <v>1</v>
      </c>
      <c r="D88" s="1" t="s">
        <v>2440</v>
      </c>
      <c r="E88" s="1">
        <f ca="1">OFFSET(控制台!$G$5001,MATCH(A88,控制台!$B$5001:$B$5051,0)-1,0)</f>
        <v>10</v>
      </c>
      <c r="F88" s="1">
        <f ca="1">OFFSET(控制台!$E$5001,MATCH(A88,控制台!$B$5001:$B$5051,0)-1,0)</f>
        <v>6</v>
      </c>
      <c r="G88" s="4">
        <f ca="1">OFFSET(控制台!$I$5001,MATCH(A88,控制台!$B$5001:$B$5051,0)-1,0)</f>
        <v>4000</v>
      </c>
      <c r="H88" s="4">
        <f ca="1">OFFSET(控制台!$J$5001,MATCH(A88,控制台!$B$5001:$B$5051,0)-1,0)+(B88-1)*OFFSET(控制台!$K$5001,MATCH(A88,控制台!$B$5001:$B$5051,0)-1,0)</f>
        <v>550000</v>
      </c>
      <c r="I88" s="4">
        <f ca="1">OFFSET(控制台!$M$5001,MATCH(A88,控制台!$B$5001:$B$5051,0)-1,0)+(B88-1)*OFFSET(控制台!$N$5001,MATCH(A88,控制台!$B$5001:$B$5051,0)-1,0)</f>
        <v>12800000</v>
      </c>
      <c r="J88" s="4">
        <f ca="1">OFFSET(控制台!$P$5001,MATCH(A88,控制台!$B$5001:$B$5051,0)-1,0)</f>
        <v>14400</v>
      </c>
    </row>
    <row r="89" spans="1:10">
      <c r="A89" s="1">
        <v>210603</v>
      </c>
      <c r="B89" s="1">
        <v>9</v>
      </c>
      <c r="C89" s="1">
        <v>1</v>
      </c>
      <c r="D89" s="1" t="s">
        <v>2440</v>
      </c>
      <c r="E89" s="1">
        <f ca="1">OFFSET(控制台!$G$5001,MATCH(A89,控制台!$B$5001:$B$5051,0)-1,0)</f>
        <v>10</v>
      </c>
      <c r="F89" s="1">
        <f ca="1">OFFSET(控制台!$E$5001,MATCH(A89,控制台!$B$5001:$B$5051,0)-1,0)</f>
        <v>6</v>
      </c>
      <c r="G89" s="4">
        <f ca="1">OFFSET(控制台!$I$5001,MATCH(A89,控制台!$B$5001:$B$5051,0)-1,0)</f>
        <v>4000</v>
      </c>
      <c r="H89" s="4">
        <f ca="1">OFFSET(控制台!$J$5001,MATCH(A89,控制台!$B$5001:$B$5051,0)-1,0)+(B89-1)*OFFSET(控制台!$K$5001,MATCH(A89,控制台!$B$5001:$B$5051,0)-1,0)</f>
        <v>600000</v>
      </c>
      <c r="I89" s="4">
        <f ca="1">OFFSET(控制台!$M$5001,MATCH(A89,控制台!$B$5001:$B$5051,0)-1,0)+(B89-1)*OFFSET(控制台!$N$5001,MATCH(A89,控制台!$B$5001:$B$5051,0)-1,0)</f>
        <v>14400000</v>
      </c>
      <c r="J89" s="4">
        <f ca="1">OFFSET(控制台!$P$5001,MATCH(A89,控制台!$B$5001:$B$5051,0)-1,0)</f>
        <v>14400</v>
      </c>
    </row>
    <row r="90" spans="1:10">
      <c r="A90" s="1">
        <v>210603</v>
      </c>
      <c r="B90" s="1">
        <v>10</v>
      </c>
      <c r="C90" s="1">
        <v>1</v>
      </c>
      <c r="D90" s="1" t="s">
        <v>2440</v>
      </c>
      <c r="E90" s="1">
        <f ca="1">OFFSET(控制台!$G$5001,MATCH(A90,控制台!$B$5001:$B$5051,0)-1,0)</f>
        <v>10</v>
      </c>
      <c r="F90" s="1">
        <f ca="1">OFFSET(控制台!$E$5001,MATCH(A90,控制台!$B$5001:$B$5051,0)-1,0)</f>
        <v>6</v>
      </c>
      <c r="G90" s="4">
        <f ca="1">OFFSET(控制台!$I$5001,MATCH(A90,控制台!$B$5001:$B$5051,0)-1,0)</f>
        <v>4000</v>
      </c>
      <c r="H90" s="4">
        <f ca="1">OFFSET(控制台!$J$5001,MATCH(A90,控制台!$B$5001:$B$5051,0)-1,0)+(B90-1)*OFFSET(控制台!$K$5001,MATCH(A90,控制台!$B$5001:$B$5051,0)-1,0)</f>
        <v>650000</v>
      </c>
      <c r="I90" s="4">
        <f ca="1">OFFSET(控制台!$M$5001,MATCH(A90,控制台!$B$5001:$B$5051,0)-1,0)+(B90-1)*OFFSET(控制台!$N$5001,MATCH(A90,控制台!$B$5001:$B$5051,0)-1,0)</f>
        <v>16000000</v>
      </c>
      <c r="J90" s="4">
        <f ca="1">OFFSET(控制台!$P$5001,MATCH(A90,控制台!$B$5001:$B$5051,0)-1,0)</f>
        <v>14400</v>
      </c>
    </row>
    <row r="91" spans="1:10">
      <c r="A91" s="1">
        <v>210701</v>
      </c>
      <c r="B91" s="1">
        <v>1</v>
      </c>
      <c r="C91" s="1">
        <v>1</v>
      </c>
      <c r="D91" s="1" t="s">
        <v>2441</v>
      </c>
      <c r="E91" s="1">
        <f ca="1">OFFSET(控制台!$G$5001,MATCH(A91,控制台!$B$5001:$B$5051,0)-1,0)</f>
        <v>10</v>
      </c>
      <c r="F91" s="1">
        <f ca="1">OFFSET(控制台!$E$5001,MATCH(A91,控制台!$B$5001:$B$5051,0)-1,0)</f>
        <v>7</v>
      </c>
      <c r="G91" s="4">
        <f ca="1">OFFSET(控制台!$I$5001,MATCH(A91,控制台!$B$5001:$B$5051,0)-1,0)</f>
        <v>4000</v>
      </c>
      <c r="H91" s="4">
        <f ca="1">OFFSET(控制台!$J$5001,MATCH(A91,控制台!$B$5001:$B$5051,0)-1,0)+(B91-1)*OFFSET(控制台!$K$5001,MATCH(A91,控制台!$B$5001:$B$5051,0)-1,0)</f>
        <v>250000</v>
      </c>
      <c r="I91" s="4">
        <f ca="1">OFFSET(控制台!$M$5001,MATCH(A91,控制台!$B$5001:$B$5051,0)-1,0)+(B91-1)*OFFSET(控制台!$N$5001,MATCH(A91,控制台!$B$5001:$B$5051,0)-1,0)</f>
        <v>2000000</v>
      </c>
      <c r="J91" s="4">
        <f ca="1">OFFSET(控制台!$P$5001,MATCH(A91,控制台!$B$5001:$B$5051,0)-1,0)</f>
        <v>14400</v>
      </c>
    </row>
    <row r="92" spans="1:10">
      <c r="A92" s="1">
        <v>210701</v>
      </c>
      <c r="B92" s="1">
        <v>2</v>
      </c>
      <c r="C92" s="1">
        <v>1</v>
      </c>
      <c r="D92" s="1" t="s">
        <v>2441</v>
      </c>
      <c r="E92" s="1">
        <f ca="1">OFFSET(控制台!$G$5001,MATCH(A92,控制台!$B$5001:$B$5051,0)-1,0)</f>
        <v>10</v>
      </c>
      <c r="F92" s="1">
        <f ca="1">OFFSET(控制台!$E$5001,MATCH(A92,控制台!$B$5001:$B$5051,0)-1,0)</f>
        <v>7</v>
      </c>
      <c r="G92" s="4">
        <f ca="1">OFFSET(控制台!$I$5001,MATCH(A92,控制台!$B$5001:$B$5051,0)-1,0)</f>
        <v>4000</v>
      </c>
      <c r="H92" s="4">
        <f ca="1">OFFSET(控制台!$J$5001,MATCH(A92,控制台!$B$5001:$B$5051,0)-1,0)+(B92-1)*OFFSET(控制台!$K$5001,MATCH(A92,控制台!$B$5001:$B$5051,0)-1,0)</f>
        <v>300000</v>
      </c>
      <c r="I92" s="4">
        <f ca="1">OFFSET(控制台!$M$5001,MATCH(A92,控制台!$B$5001:$B$5051,0)-1,0)+(B92-1)*OFFSET(控制台!$N$5001,MATCH(A92,控制台!$B$5001:$B$5051,0)-1,0)</f>
        <v>4000000</v>
      </c>
      <c r="J92" s="4">
        <f ca="1">OFFSET(控制台!$P$5001,MATCH(A92,控制台!$B$5001:$B$5051,0)-1,0)</f>
        <v>14400</v>
      </c>
    </row>
    <row r="93" spans="1:10">
      <c r="A93" s="1">
        <v>210701</v>
      </c>
      <c r="B93" s="1">
        <v>3</v>
      </c>
      <c r="C93" s="1">
        <v>1</v>
      </c>
      <c r="D93" s="1" t="s">
        <v>2441</v>
      </c>
      <c r="E93" s="1">
        <f ca="1">OFFSET(控制台!$G$5001,MATCH(A93,控制台!$B$5001:$B$5051,0)-1,0)</f>
        <v>10</v>
      </c>
      <c r="F93" s="1">
        <f ca="1">OFFSET(控制台!$E$5001,MATCH(A93,控制台!$B$5001:$B$5051,0)-1,0)</f>
        <v>7</v>
      </c>
      <c r="G93" s="4">
        <f ca="1">OFFSET(控制台!$I$5001,MATCH(A93,控制台!$B$5001:$B$5051,0)-1,0)</f>
        <v>4000</v>
      </c>
      <c r="H93" s="4">
        <f ca="1">OFFSET(控制台!$J$5001,MATCH(A93,控制台!$B$5001:$B$5051,0)-1,0)+(B93-1)*OFFSET(控制台!$K$5001,MATCH(A93,控制台!$B$5001:$B$5051,0)-1,0)</f>
        <v>350000</v>
      </c>
      <c r="I93" s="4">
        <f ca="1">OFFSET(控制台!$M$5001,MATCH(A93,控制台!$B$5001:$B$5051,0)-1,0)+(B93-1)*OFFSET(控制台!$N$5001,MATCH(A93,控制台!$B$5001:$B$5051,0)-1,0)</f>
        <v>6000000</v>
      </c>
      <c r="J93" s="4">
        <f ca="1">OFFSET(控制台!$P$5001,MATCH(A93,控制台!$B$5001:$B$5051,0)-1,0)</f>
        <v>14400</v>
      </c>
    </row>
    <row r="94" spans="1:10">
      <c r="A94" s="1">
        <v>210701</v>
      </c>
      <c r="B94" s="1">
        <v>4</v>
      </c>
      <c r="C94" s="1">
        <v>1</v>
      </c>
      <c r="D94" s="1" t="s">
        <v>2441</v>
      </c>
      <c r="E94" s="1">
        <f ca="1">OFFSET(控制台!$G$5001,MATCH(A94,控制台!$B$5001:$B$5051,0)-1,0)</f>
        <v>10</v>
      </c>
      <c r="F94" s="1">
        <f ca="1">OFFSET(控制台!$E$5001,MATCH(A94,控制台!$B$5001:$B$5051,0)-1,0)</f>
        <v>7</v>
      </c>
      <c r="G94" s="4">
        <f ca="1">OFFSET(控制台!$I$5001,MATCH(A94,控制台!$B$5001:$B$5051,0)-1,0)</f>
        <v>4000</v>
      </c>
      <c r="H94" s="4">
        <f ca="1">OFFSET(控制台!$J$5001,MATCH(A94,控制台!$B$5001:$B$5051,0)-1,0)+(B94-1)*OFFSET(控制台!$K$5001,MATCH(A94,控制台!$B$5001:$B$5051,0)-1,0)</f>
        <v>400000</v>
      </c>
      <c r="I94" s="4">
        <f ca="1">OFFSET(控制台!$M$5001,MATCH(A94,控制台!$B$5001:$B$5051,0)-1,0)+(B94-1)*OFFSET(控制台!$N$5001,MATCH(A94,控制台!$B$5001:$B$5051,0)-1,0)</f>
        <v>8000000</v>
      </c>
      <c r="J94" s="4">
        <f ca="1">OFFSET(控制台!$P$5001,MATCH(A94,控制台!$B$5001:$B$5051,0)-1,0)</f>
        <v>14400</v>
      </c>
    </row>
    <row r="95" spans="1:10">
      <c r="A95" s="1">
        <v>210701</v>
      </c>
      <c r="B95" s="1">
        <v>5</v>
      </c>
      <c r="C95" s="1">
        <v>1</v>
      </c>
      <c r="D95" s="1" t="s">
        <v>2441</v>
      </c>
      <c r="E95" s="1">
        <f ca="1">OFFSET(控制台!$G$5001,MATCH(A95,控制台!$B$5001:$B$5051,0)-1,0)</f>
        <v>10</v>
      </c>
      <c r="F95" s="1">
        <f ca="1">OFFSET(控制台!$E$5001,MATCH(A95,控制台!$B$5001:$B$5051,0)-1,0)</f>
        <v>7</v>
      </c>
      <c r="G95" s="4">
        <f ca="1">OFFSET(控制台!$I$5001,MATCH(A95,控制台!$B$5001:$B$5051,0)-1,0)</f>
        <v>4000</v>
      </c>
      <c r="H95" s="4">
        <f ca="1">OFFSET(控制台!$J$5001,MATCH(A95,控制台!$B$5001:$B$5051,0)-1,0)+(B95-1)*OFFSET(控制台!$K$5001,MATCH(A95,控制台!$B$5001:$B$5051,0)-1,0)</f>
        <v>450000</v>
      </c>
      <c r="I95" s="4">
        <f ca="1">OFFSET(控制台!$M$5001,MATCH(A95,控制台!$B$5001:$B$5051,0)-1,0)+(B95-1)*OFFSET(控制台!$N$5001,MATCH(A95,控制台!$B$5001:$B$5051,0)-1,0)</f>
        <v>10000000</v>
      </c>
      <c r="J95" s="4">
        <f ca="1">OFFSET(控制台!$P$5001,MATCH(A95,控制台!$B$5001:$B$5051,0)-1,0)</f>
        <v>14400</v>
      </c>
    </row>
    <row r="96" spans="1:10">
      <c r="A96" s="1">
        <v>210701</v>
      </c>
      <c r="B96" s="1">
        <v>6</v>
      </c>
      <c r="C96" s="1">
        <v>1</v>
      </c>
      <c r="D96" s="1" t="s">
        <v>2441</v>
      </c>
      <c r="E96" s="1">
        <f ca="1">OFFSET(控制台!$G$5001,MATCH(A96,控制台!$B$5001:$B$5051,0)-1,0)</f>
        <v>10</v>
      </c>
      <c r="F96" s="1">
        <f ca="1">OFFSET(控制台!$E$5001,MATCH(A96,控制台!$B$5001:$B$5051,0)-1,0)</f>
        <v>7</v>
      </c>
      <c r="G96" s="4">
        <f ca="1">OFFSET(控制台!$I$5001,MATCH(A96,控制台!$B$5001:$B$5051,0)-1,0)</f>
        <v>4000</v>
      </c>
      <c r="H96" s="4">
        <f ca="1">OFFSET(控制台!$J$5001,MATCH(A96,控制台!$B$5001:$B$5051,0)-1,0)+(B96-1)*OFFSET(控制台!$K$5001,MATCH(A96,控制台!$B$5001:$B$5051,0)-1,0)</f>
        <v>500000</v>
      </c>
      <c r="I96" s="4">
        <f ca="1">OFFSET(控制台!$M$5001,MATCH(A96,控制台!$B$5001:$B$5051,0)-1,0)+(B96-1)*OFFSET(控制台!$N$5001,MATCH(A96,控制台!$B$5001:$B$5051,0)-1,0)</f>
        <v>12000000</v>
      </c>
      <c r="J96" s="4">
        <f ca="1">OFFSET(控制台!$P$5001,MATCH(A96,控制台!$B$5001:$B$5051,0)-1,0)</f>
        <v>14400</v>
      </c>
    </row>
    <row r="97" spans="1:10">
      <c r="A97" s="1">
        <v>210701</v>
      </c>
      <c r="B97" s="1">
        <v>7</v>
      </c>
      <c r="C97" s="1">
        <v>1</v>
      </c>
      <c r="D97" s="1" t="s">
        <v>2441</v>
      </c>
      <c r="E97" s="1">
        <f ca="1">OFFSET(控制台!$G$5001,MATCH(A97,控制台!$B$5001:$B$5051,0)-1,0)</f>
        <v>10</v>
      </c>
      <c r="F97" s="1">
        <f ca="1">OFFSET(控制台!$E$5001,MATCH(A97,控制台!$B$5001:$B$5051,0)-1,0)</f>
        <v>7</v>
      </c>
      <c r="G97" s="4">
        <f ca="1">OFFSET(控制台!$I$5001,MATCH(A97,控制台!$B$5001:$B$5051,0)-1,0)</f>
        <v>4000</v>
      </c>
      <c r="H97" s="4">
        <f ca="1">OFFSET(控制台!$J$5001,MATCH(A97,控制台!$B$5001:$B$5051,0)-1,0)+(B97-1)*OFFSET(控制台!$K$5001,MATCH(A97,控制台!$B$5001:$B$5051,0)-1,0)</f>
        <v>550000</v>
      </c>
      <c r="I97" s="4">
        <f ca="1">OFFSET(控制台!$M$5001,MATCH(A97,控制台!$B$5001:$B$5051,0)-1,0)+(B97-1)*OFFSET(控制台!$N$5001,MATCH(A97,控制台!$B$5001:$B$5051,0)-1,0)</f>
        <v>14000000</v>
      </c>
      <c r="J97" s="4">
        <f ca="1">OFFSET(控制台!$P$5001,MATCH(A97,控制台!$B$5001:$B$5051,0)-1,0)</f>
        <v>14400</v>
      </c>
    </row>
    <row r="98" spans="1:10">
      <c r="A98" s="1">
        <v>210701</v>
      </c>
      <c r="B98" s="1">
        <v>8</v>
      </c>
      <c r="C98" s="1">
        <v>1</v>
      </c>
      <c r="D98" s="1" t="s">
        <v>2441</v>
      </c>
      <c r="E98" s="1">
        <f ca="1">OFFSET(控制台!$G$5001,MATCH(A98,控制台!$B$5001:$B$5051,0)-1,0)</f>
        <v>10</v>
      </c>
      <c r="F98" s="1">
        <f ca="1">OFFSET(控制台!$E$5001,MATCH(A98,控制台!$B$5001:$B$5051,0)-1,0)</f>
        <v>7</v>
      </c>
      <c r="G98" s="4">
        <f ca="1">OFFSET(控制台!$I$5001,MATCH(A98,控制台!$B$5001:$B$5051,0)-1,0)</f>
        <v>4000</v>
      </c>
      <c r="H98" s="4">
        <f ca="1">OFFSET(控制台!$J$5001,MATCH(A98,控制台!$B$5001:$B$5051,0)-1,0)+(B98-1)*OFFSET(控制台!$K$5001,MATCH(A98,控制台!$B$5001:$B$5051,0)-1,0)</f>
        <v>600000</v>
      </c>
      <c r="I98" s="4">
        <f ca="1">OFFSET(控制台!$M$5001,MATCH(A98,控制台!$B$5001:$B$5051,0)-1,0)+(B98-1)*OFFSET(控制台!$N$5001,MATCH(A98,控制台!$B$5001:$B$5051,0)-1,0)</f>
        <v>16000000</v>
      </c>
      <c r="J98" s="4">
        <f ca="1">OFFSET(控制台!$P$5001,MATCH(A98,控制台!$B$5001:$B$5051,0)-1,0)</f>
        <v>14400</v>
      </c>
    </row>
    <row r="99" spans="1:10">
      <c r="A99" s="1">
        <v>210701</v>
      </c>
      <c r="B99" s="1">
        <v>9</v>
      </c>
      <c r="C99" s="1">
        <v>1</v>
      </c>
      <c r="D99" s="1" t="s">
        <v>2441</v>
      </c>
      <c r="E99" s="1">
        <f ca="1">OFFSET(控制台!$G$5001,MATCH(A99,控制台!$B$5001:$B$5051,0)-1,0)</f>
        <v>10</v>
      </c>
      <c r="F99" s="1">
        <f ca="1">OFFSET(控制台!$E$5001,MATCH(A99,控制台!$B$5001:$B$5051,0)-1,0)</f>
        <v>7</v>
      </c>
      <c r="G99" s="4">
        <f ca="1">OFFSET(控制台!$I$5001,MATCH(A99,控制台!$B$5001:$B$5051,0)-1,0)</f>
        <v>4000</v>
      </c>
      <c r="H99" s="4">
        <f ca="1">OFFSET(控制台!$J$5001,MATCH(A99,控制台!$B$5001:$B$5051,0)-1,0)+(B99-1)*OFFSET(控制台!$K$5001,MATCH(A99,控制台!$B$5001:$B$5051,0)-1,0)</f>
        <v>650000</v>
      </c>
      <c r="I99" s="4">
        <f ca="1">OFFSET(控制台!$M$5001,MATCH(A99,控制台!$B$5001:$B$5051,0)-1,0)+(B99-1)*OFFSET(控制台!$N$5001,MATCH(A99,控制台!$B$5001:$B$5051,0)-1,0)</f>
        <v>18000000</v>
      </c>
      <c r="J99" s="4">
        <f ca="1">OFFSET(控制台!$P$5001,MATCH(A99,控制台!$B$5001:$B$5051,0)-1,0)</f>
        <v>14400</v>
      </c>
    </row>
    <row r="100" spans="1:10">
      <c r="A100" s="1">
        <v>210701</v>
      </c>
      <c r="B100" s="1">
        <v>10</v>
      </c>
      <c r="C100" s="1">
        <v>1</v>
      </c>
      <c r="D100" s="1" t="s">
        <v>2441</v>
      </c>
      <c r="E100" s="1">
        <f ca="1">OFFSET(控制台!$G$5001,MATCH(A100,控制台!$B$5001:$B$5051,0)-1,0)</f>
        <v>10</v>
      </c>
      <c r="F100" s="1">
        <f ca="1">OFFSET(控制台!$E$5001,MATCH(A100,控制台!$B$5001:$B$5051,0)-1,0)</f>
        <v>7</v>
      </c>
      <c r="G100" s="4">
        <f ca="1">OFFSET(控制台!$I$5001,MATCH(A100,控制台!$B$5001:$B$5051,0)-1,0)</f>
        <v>4000</v>
      </c>
      <c r="H100" s="4">
        <f ca="1">OFFSET(控制台!$J$5001,MATCH(A100,控制台!$B$5001:$B$5051,0)-1,0)+(B100-1)*OFFSET(控制台!$K$5001,MATCH(A100,控制台!$B$5001:$B$5051,0)-1,0)</f>
        <v>700000</v>
      </c>
      <c r="I100" s="4">
        <f ca="1">OFFSET(控制台!$M$5001,MATCH(A100,控制台!$B$5001:$B$5051,0)-1,0)+(B100-1)*OFFSET(控制台!$N$5001,MATCH(A100,控制台!$B$5001:$B$5051,0)-1,0)</f>
        <v>20000000</v>
      </c>
      <c r="J100" s="4">
        <f ca="1">OFFSET(控制台!$P$5001,MATCH(A100,控制台!$B$5001:$B$5051,0)-1,0)</f>
        <v>14400</v>
      </c>
    </row>
    <row r="101" spans="1:10">
      <c r="A101" s="1">
        <v>210801</v>
      </c>
      <c r="B101" s="1">
        <v>1</v>
      </c>
      <c r="C101" s="1">
        <v>1</v>
      </c>
      <c r="D101" s="1" t="s">
        <v>2443</v>
      </c>
      <c r="E101" s="1">
        <f ca="1">OFFSET(控制台!$G$5001,MATCH(A101,控制台!$B$5001:$B$5051,0)-1,0)</f>
        <v>10</v>
      </c>
      <c r="F101" s="1">
        <f ca="1">OFFSET(控制台!$E$5001,MATCH(A101,控制台!$B$5001:$B$5051,0)-1,0)</f>
        <v>8</v>
      </c>
      <c r="G101" s="4">
        <f ca="1">OFFSET(控制台!$I$5001,MATCH(A101,控制台!$B$5001:$B$5051,0)-1,0)</f>
        <v>5000</v>
      </c>
      <c r="H101" s="4">
        <f ca="1">OFFSET(控制台!$J$5001,MATCH(A101,控制台!$B$5001:$B$5051,0)-1,0)+(B101-1)*OFFSET(控制台!$K$5001,MATCH(A101,控制台!$B$5001:$B$5051,0)-1,0)</f>
        <v>300000</v>
      </c>
      <c r="I101" s="4">
        <f ca="1">OFFSET(控制台!$M$5001,MATCH(A101,控制台!$B$5001:$B$5051,0)-1,0)+(B101-1)*OFFSET(控制台!$N$5001,MATCH(A101,控制台!$B$5001:$B$5051,0)-1,0)</f>
        <v>2000000</v>
      </c>
      <c r="J101" s="4">
        <f ca="1">OFFSET(控制台!$P$5001,MATCH(A101,控制台!$B$5001:$B$5051,0)-1,0)</f>
        <v>14400</v>
      </c>
    </row>
    <row r="102" spans="1:10">
      <c r="A102" s="1">
        <v>210801</v>
      </c>
      <c r="B102" s="1">
        <v>2</v>
      </c>
      <c r="C102" s="1">
        <v>1</v>
      </c>
      <c r="D102" s="1" t="s">
        <v>2443</v>
      </c>
      <c r="E102" s="1">
        <f ca="1">OFFSET(控制台!$G$5001,MATCH(A102,控制台!$B$5001:$B$5051,0)-1,0)</f>
        <v>10</v>
      </c>
      <c r="F102" s="1">
        <f ca="1">OFFSET(控制台!$E$5001,MATCH(A102,控制台!$B$5001:$B$5051,0)-1,0)</f>
        <v>8</v>
      </c>
      <c r="G102" s="4">
        <f ca="1">OFFSET(控制台!$I$5001,MATCH(A102,控制台!$B$5001:$B$5051,0)-1,0)</f>
        <v>5000</v>
      </c>
      <c r="H102" s="4">
        <f ca="1">OFFSET(控制台!$J$5001,MATCH(A102,控制台!$B$5001:$B$5051,0)-1,0)+(B102-1)*OFFSET(控制台!$K$5001,MATCH(A102,控制台!$B$5001:$B$5051,0)-1,0)</f>
        <v>350000</v>
      </c>
      <c r="I102" s="4">
        <f ca="1">OFFSET(控制台!$M$5001,MATCH(A102,控制台!$B$5001:$B$5051,0)-1,0)+(B102-1)*OFFSET(控制台!$N$5001,MATCH(A102,控制台!$B$5001:$B$5051,0)-1,0)</f>
        <v>4000000</v>
      </c>
      <c r="J102" s="4">
        <f ca="1">OFFSET(控制台!$P$5001,MATCH(A102,控制台!$B$5001:$B$5051,0)-1,0)</f>
        <v>14400</v>
      </c>
    </row>
    <row r="103" spans="1:10">
      <c r="A103" s="1">
        <v>210801</v>
      </c>
      <c r="B103" s="1">
        <v>3</v>
      </c>
      <c r="C103" s="1">
        <v>1</v>
      </c>
      <c r="D103" s="1" t="s">
        <v>2443</v>
      </c>
      <c r="E103" s="1">
        <f ca="1">OFFSET(控制台!$G$5001,MATCH(A103,控制台!$B$5001:$B$5051,0)-1,0)</f>
        <v>10</v>
      </c>
      <c r="F103" s="1">
        <f ca="1">OFFSET(控制台!$E$5001,MATCH(A103,控制台!$B$5001:$B$5051,0)-1,0)</f>
        <v>8</v>
      </c>
      <c r="G103" s="4">
        <f ca="1">OFFSET(控制台!$I$5001,MATCH(A103,控制台!$B$5001:$B$5051,0)-1,0)</f>
        <v>5000</v>
      </c>
      <c r="H103" s="4">
        <f ca="1">OFFSET(控制台!$J$5001,MATCH(A103,控制台!$B$5001:$B$5051,0)-1,0)+(B103-1)*OFFSET(控制台!$K$5001,MATCH(A103,控制台!$B$5001:$B$5051,0)-1,0)</f>
        <v>400000</v>
      </c>
      <c r="I103" s="4">
        <f ca="1">OFFSET(控制台!$M$5001,MATCH(A103,控制台!$B$5001:$B$5051,0)-1,0)+(B103-1)*OFFSET(控制台!$N$5001,MATCH(A103,控制台!$B$5001:$B$5051,0)-1,0)</f>
        <v>6000000</v>
      </c>
      <c r="J103" s="4">
        <f ca="1">OFFSET(控制台!$P$5001,MATCH(A103,控制台!$B$5001:$B$5051,0)-1,0)</f>
        <v>14400</v>
      </c>
    </row>
    <row r="104" spans="1:10">
      <c r="A104" s="1">
        <v>210801</v>
      </c>
      <c r="B104" s="1">
        <v>4</v>
      </c>
      <c r="C104" s="1">
        <v>1</v>
      </c>
      <c r="D104" s="1" t="s">
        <v>2443</v>
      </c>
      <c r="E104" s="1">
        <f ca="1">OFFSET(控制台!$G$5001,MATCH(A104,控制台!$B$5001:$B$5051,0)-1,0)</f>
        <v>10</v>
      </c>
      <c r="F104" s="1">
        <f ca="1">OFFSET(控制台!$E$5001,MATCH(A104,控制台!$B$5001:$B$5051,0)-1,0)</f>
        <v>8</v>
      </c>
      <c r="G104" s="4">
        <f ca="1">OFFSET(控制台!$I$5001,MATCH(A104,控制台!$B$5001:$B$5051,0)-1,0)</f>
        <v>5000</v>
      </c>
      <c r="H104" s="4">
        <f ca="1">OFFSET(控制台!$J$5001,MATCH(A104,控制台!$B$5001:$B$5051,0)-1,0)+(B104-1)*OFFSET(控制台!$K$5001,MATCH(A104,控制台!$B$5001:$B$5051,0)-1,0)</f>
        <v>450000</v>
      </c>
      <c r="I104" s="4">
        <f ca="1">OFFSET(控制台!$M$5001,MATCH(A104,控制台!$B$5001:$B$5051,0)-1,0)+(B104-1)*OFFSET(控制台!$N$5001,MATCH(A104,控制台!$B$5001:$B$5051,0)-1,0)</f>
        <v>8000000</v>
      </c>
      <c r="J104" s="4">
        <f ca="1">OFFSET(控制台!$P$5001,MATCH(A104,控制台!$B$5001:$B$5051,0)-1,0)</f>
        <v>14400</v>
      </c>
    </row>
    <row r="105" spans="1:10">
      <c r="A105" s="1">
        <v>210801</v>
      </c>
      <c r="B105" s="1">
        <v>5</v>
      </c>
      <c r="C105" s="1">
        <v>1</v>
      </c>
      <c r="D105" s="1" t="s">
        <v>2443</v>
      </c>
      <c r="E105" s="1">
        <f ca="1">OFFSET(控制台!$G$5001,MATCH(A105,控制台!$B$5001:$B$5051,0)-1,0)</f>
        <v>10</v>
      </c>
      <c r="F105" s="1">
        <f ca="1">OFFSET(控制台!$E$5001,MATCH(A105,控制台!$B$5001:$B$5051,0)-1,0)</f>
        <v>8</v>
      </c>
      <c r="G105" s="4">
        <f ca="1">OFFSET(控制台!$I$5001,MATCH(A105,控制台!$B$5001:$B$5051,0)-1,0)</f>
        <v>5000</v>
      </c>
      <c r="H105" s="4">
        <f ca="1">OFFSET(控制台!$J$5001,MATCH(A105,控制台!$B$5001:$B$5051,0)-1,0)+(B105-1)*OFFSET(控制台!$K$5001,MATCH(A105,控制台!$B$5001:$B$5051,0)-1,0)</f>
        <v>500000</v>
      </c>
      <c r="I105" s="4">
        <f ca="1">OFFSET(控制台!$M$5001,MATCH(A105,控制台!$B$5001:$B$5051,0)-1,0)+(B105-1)*OFFSET(控制台!$N$5001,MATCH(A105,控制台!$B$5001:$B$5051,0)-1,0)</f>
        <v>10000000</v>
      </c>
      <c r="J105" s="4">
        <f ca="1">OFFSET(控制台!$P$5001,MATCH(A105,控制台!$B$5001:$B$5051,0)-1,0)</f>
        <v>14400</v>
      </c>
    </row>
    <row r="106" spans="1:10">
      <c r="A106" s="1">
        <v>210801</v>
      </c>
      <c r="B106" s="1">
        <v>6</v>
      </c>
      <c r="C106" s="1">
        <v>1</v>
      </c>
      <c r="D106" s="1" t="s">
        <v>2443</v>
      </c>
      <c r="E106" s="1">
        <f ca="1">OFFSET(控制台!$G$5001,MATCH(A106,控制台!$B$5001:$B$5051,0)-1,0)</f>
        <v>10</v>
      </c>
      <c r="F106" s="1">
        <f ca="1">OFFSET(控制台!$E$5001,MATCH(A106,控制台!$B$5001:$B$5051,0)-1,0)</f>
        <v>8</v>
      </c>
      <c r="G106" s="4">
        <f ca="1">OFFSET(控制台!$I$5001,MATCH(A106,控制台!$B$5001:$B$5051,0)-1,0)</f>
        <v>5000</v>
      </c>
      <c r="H106" s="4">
        <f ca="1">OFFSET(控制台!$J$5001,MATCH(A106,控制台!$B$5001:$B$5051,0)-1,0)+(B106-1)*OFFSET(控制台!$K$5001,MATCH(A106,控制台!$B$5001:$B$5051,0)-1,0)</f>
        <v>550000</v>
      </c>
      <c r="I106" s="4">
        <f ca="1">OFFSET(控制台!$M$5001,MATCH(A106,控制台!$B$5001:$B$5051,0)-1,0)+(B106-1)*OFFSET(控制台!$N$5001,MATCH(A106,控制台!$B$5001:$B$5051,0)-1,0)</f>
        <v>12000000</v>
      </c>
      <c r="J106" s="4">
        <f ca="1">OFFSET(控制台!$P$5001,MATCH(A106,控制台!$B$5001:$B$5051,0)-1,0)</f>
        <v>14400</v>
      </c>
    </row>
    <row r="107" spans="1:10">
      <c r="A107" s="1">
        <v>210801</v>
      </c>
      <c r="B107" s="1">
        <v>7</v>
      </c>
      <c r="C107" s="1">
        <v>1</v>
      </c>
      <c r="D107" s="1" t="s">
        <v>2443</v>
      </c>
      <c r="E107" s="1">
        <f ca="1">OFFSET(控制台!$G$5001,MATCH(A107,控制台!$B$5001:$B$5051,0)-1,0)</f>
        <v>10</v>
      </c>
      <c r="F107" s="1">
        <f ca="1">OFFSET(控制台!$E$5001,MATCH(A107,控制台!$B$5001:$B$5051,0)-1,0)</f>
        <v>8</v>
      </c>
      <c r="G107" s="4">
        <f ca="1">OFFSET(控制台!$I$5001,MATCH(A107,控制台!$B$5001:$B$5051,0)-1,0)</f>
        <v>5000</v>
      </c>
      <c r="H107" s="4">
        <f ca="1">OFFSET(控制台!$J$5001,MATCH(A107,控制台!$B$5001:$B$5051,0)-1,0)+(B107-1)*OFFSET(控制台!$K$5001,MATCH(A107,控制台!$B$5001:$B$5051,0)-1,0)</f>
        <v>600000</v>
      </c>
      <c r="I107" s="4">
        <f ca="1">OFFSET(控制台!$M$5001,MATCH(A107,控制台!$B$5001:$B$5051,0)-1,0)+(B107-1)*OFFSET(控制台!$N$5001,MATCH(A107,控制台!$B$5001:$B$5051,0)-1,0)</f>
        <v>14000000</v>
      </c>
      <c r="J107" s="4">
        <f ca="1">OFFSET(控制台!$P$5001,MATCH(A107,控制台!$B$5001:$B$5051,0)-1,0)</f>
        <v>14400</v>
      </c>
    </row>
    <row r="108" spans="1:10">
      <c r="A108" s="1">
        <v>210801</v>
      </c>
      <c r="B108" s="1">
        <v>8</v>
      </c>
      <c r="C108" s="1">
        <v>1</v>
      </c>
      <c r="D108" s="1" t="s">
        <v>2443</v>
      </c>
      <c r="E108" s="1">
        <f ca="1">OFFSET(控制台!$G$5001,MATCH(A108,控制台!$B$5001:$B$5051,0)-1,0)</f>
        <v>10</v>
      </c>
      <c r="F108" s="1">
        <f ca="1">OFFSET(控制台!$E$5001,MATCH(A108,控制台!$B$5001:$B$5051,0)-1,0)</f>
        <v>8</v>
      </c>
      <c r="G108" s="4">
        <f ca="1">OFFSET(控制台!$I$5001,MATCH(A108,控制台!$B$5001:$B$5051,0)-1,0)</f>
        <v>5000</v>
      </c>
      <c r="H108" s="4">
        <f ca="1">OFFSET(控制台!$J$5001,MATCH(A108,控制台!$B$5001:$B$5051,0)-1,0)+(B108-1)*OFFSET(控制台!$K$5001,MATCH(A108,控制台!$B$5001:$B$5051,0)-1,0)</f>
        <v>650000</v>
      </c>
      <c r="I108" s="4">
        <f ca="1">OFFSET(控制台!$M$5001,MATCH(A108,控制台!$B$5001:$B$5051,0)-1,0)+(B108-1)*OFFSET(控制台!$N$5001,MATCH(A108,控制台!$B$5001:$B$5051,0)-1,0)</f>
        <v>16000000</v>
      </c>
      <c r="J108" s="4">
        <f ca="1">OFFSET(控制台!$P$5001,MATCH(A108,控制台!$B$5001:$B$5051,0)-1,0)</f>
        <v>14400</v>
      </c>
    </row>
    <row r="109" spans="1:10">
      <c r="A109" s="1">
        <v>210801</v>
      </c>
      <c r="B109" s="1">
        <v>9</v>
      </c>
      <c r="C109" s="1">
        <v>1</v>
      </c>
      <c r="D109" s="1" t="s">
        <v>2443</v>
      </c>
      <c r="E109" s="1">
        <f ca="1">OFFSET(控制台!$G$5001,MATCH(A109,控制台!$B$5001:$B$5051,0)-1,0)</f>
        <v>10</v>
      </c>
      <c r="F109" s="1">
        <f ca="1">OFFSET(控制台!$E$5001,MATCH(A109,控制台!$B$5001:$B$5051,0)-1,0)</f>
        <v>8</v>
      </c>
      <c r="G109" s="4">
        <f ca="1">OFFSET(控制台!$I$5001,MATCH(A109,控制台!$B$5001:$B$5051,0)-1,0)</f>
        <v>5000</v>
      </c>
      <c r="H109" s="4">
        <f ca="1">OFFSET(控制台!$J$5001,MATCH(A109,控制台!$B$5001:$B$5051,0)-1,0)+(B109-1)*OFFSET(控制台!$K$5001,MATCH(A109,控制台!$B$5001:$B$5051,0)-1,0)</f>
        <v>700000</v>
      </c>
      <c r="I109" s="4">
        <f ca="1">OFFSET(控制台!$M$5001,MATCH(A109,控制台!$B$5001:$B$5051,0)-1,0)+(B109-1)*OFFSET(控制台!$N$5001,MATCH(A109,控制台!$B$5001:$B$5051,0)-1,0)</f>
        <v>18000000</v>
      </c>
      <c r="J109" s="4">
        <f ca="1">OFFSET(控制台!$P$5001,MATCH(A109,控制台!$B$5001:$B$5051,0)-1,0)</f>
        <v>14400</v>
      </c>
    </row>
    <row r="110" spans="1:10">
      <c r="A110" s="1">
        <v>210801</v>
      </c>
      <c r="B110" s="1">
        <v>10</v>
      </c>
      <c r="C110" s="1">
        <v>1</v>
      </c>
      <c r="D110" s="1" t="s">
        <v>2443</v>
      </c>
      <c r="E110" s="1">
        <f ca="1">OFFSET(控制台!$G$5001,MATCH(A110,控制台!$B$5001:$B$5051,0)-1,0)</f>
        <v>10</v>
      </c>
      <c r="F110" s="1">
        <f ca="1">OFFSET(控制台!$E$5001,MATCH(A110,控制台!$B$5001:$B$5051,0)-1,0)</f>
        <v>8</v>
      </c>
      <c r="G110" s="4">
        <f ca="1">OFFSET(控制台!$I$5001,MATCH(A110,控制台!$B$5001:$B$5051,0)-1,0)</f>
        <v>5000</v>
      </c>
      <c r="H110" s="4">
        <f ca="1">OFFSET(控制台!$J$5001,MATCH(A110,控制台!$B$5001:$B$5051,0)-1,0)+(B110-1)*OFFSET(控制台!$K$5001,MATCH(A110,控制台!$B$5001:$B$5051,0)-1,0)</f>
        <v>750000</v>
      </c>
      <c r="I110" s="4">
        <f ca="1">OFFSET(控制台!$M$5001,MATCH(A110,控制台!$B$5001:$B$5051,0)-1,0)+(B110-1)*OFFSET(控制台!$N$5001,MATCH(A110,控制台!$B$5001:$B$5051,0)-1,0)</f>
        <v>20000000</v>
      </c>
      <c r="J110" s="4">
        <f ca="1">OFFSET(控制台!$P$5001,MATCH(A110,控制台!$B$5001:$B$5051,0)-1,0)</f>
        <v>14400</v>
      </c>
    </row>
    <row r="111" spans="1:10">
      <c r="A111" s="1">
        <v>210802</v>
      </c>
      <c r="B111" s="1">
        <v>1</v>
      </c>
      <c r="C111" s="1">
        <v>1</v>
      </c>
      <c r="D111" s="1" t="s">
        <v>2444</v>
      </c>
      <c r="E111" s="1">
        <f ca="1">OFFSET(控制台!$G$5001,MATCH(A111,控制台!$B$5001:$B$5051,0)-1,0)</f>
        <v>10</v>
      </c>
      <c r="F111" s="1">
        <f ca="1">OFFSET(控制台!$E$5001,MATCH(A111,控制台!$B$5001:$B$5051,0)-1,0)</f>
        <v>8</v>
      </c>
      <c r="G111" s="4">
        <f ca="1">OFFSET(控制台!$I$5001,MATCH(A111,控制台!$B$5001:$B$5051,0)-1,0)</f>
        <v>5000</v>
      </c>
      <c r="H111" s="4">
        <f ca="1">OFFSET(控制台!$J$5001,MATCH(A111,控制台!$B$5001:$B$5051,0)-1,0)+(B111-1)*OFFSET(控制台!$K$5001,MATCH(A111,控制台!$B$5001:$B$5051,0)-1,0)</f>
        <v>300000</v>
      </c>
      <c r="I111" s="4">
        <f ca="1">OFFSET(控制台!$M$5001,MATCH(A111,控制台!$B$5001:$B$5051,0)-1,0)+(B111-1)*OFFSET(控制台!$N$5001,MATCH(A111,控制台!$B$5001:$B$5051,0)-1,0)</f>
        <v>2000000</v>
      </c>
      <c r="J111" s="4">
        <f ca="1">OFFSET(控制台!$P$5001,MATCH(A111,控制台!$B$5001:$B$5051,0)-1,0)</f>
        <v>14400</v>
      </c>
    </row>
    <row r="112" spans="1:10">
      <c r="A112" s="1">
        <v>210802</v>
      </c>
      <c r="B112" s="1">
        <v>2</v>
      </c>
      <c r="C112" s="1">
        <v>1</v>
      </c>
      <c r="D112" s="1" t="s">
        <v>2444</v>
      </c>
      <c r="E112" s="1">
        <f ca="1">OFFSET(控制台!$G$5001,MATCH(A112,控制台!$B$5001:$B$5051,0)-1,0)</f>
        <v>10</v>
      </c>
      <c r="F112" s="1">
        <f ca="1">OFFSET(控制台!$E$5001,MATCH(A112,控制台!$B$5001:$B$5051,0)-1,0)</f>
        <v>8</v>
      </c>
      <c r="G112" s="4">
        <f ca="1">OFFSET(控制台!$I$5001,MATCH(A112,控制台!$B$5001:$B$5051,0)-1,0)</f>
        <v>5000</v>
      </c>
      <c r="H112" s="4">
        <f ca="1">OFFSET(控制台!$J$5001,MATCH(A112,控制台!$B$5001:$B$5051,0)-1,0)+(B112-1)*OFFSET(控制台!$K$5001,MATCH(A112,控制台!$B$5001:$B$5051,0)-1,0)</f>
        <v>350000</v>
      </c>
      <c r="I112" s="4">
        <f ca="1">OFFSET(控制台!$M$5001,MATCH(A112,控制台!$B$5001:$B$5051,0)-1,0)+(B112-1)*OFFSET(控制台!$N$5001,MATCH(A112,控制台!$B$5001:$B$5051,0)-1,0)</f>
        <v>4000000</v>
      </c>
      <c r="J112" s="4">
        <f ca="1">OFFSET(控制台!$P$5001,MATCH(A112,控制台!$B$5001:$B$5051,0)-1,0)</f>
        <v>14400</v>
      </c>
    </row>
    <row r="113" spans="1:10">
      <c r="A113" s="1">
        <v>210802</v>
      </c>
      <c r="B113" s="1">
        <v>3</v>
      </c>
      <c r="C113" s="1">
        <v>1</v>
      </c>
      <c r="D113" s="1" t="s">
        <v>2444</v>
      </c>
      <c r="E113" s="1">
        <f ca="1">OFFSET(控制台!$G$5001,MATCH(A113,控制台!$B$5001:$B$5051,0)-1,0)</f>
        <v>10</v>
      </c>
      <c r="F113" s="1">
        <f ca="1">OFFSET(控制台!$E$5001,MATCH(A113,控制台!$B$5001:$B$5051,0)-1,0)</f>
        <v>8</v>
      </c>
      <c r="G113" s="4">
        <f ca="1">OFFSET(控制台!$I$5001,MATCH(A113,控制台!$B$5001:$B$5051,0)-1,0)</f>
        <v>5000</v>
      </c>
      <c r="H113" s="4">
        <f ca="1">OFFSET(控制台!$J$5001,MATCH(A113,控制台!$B$5001:$B$5051,0)-1,0)+(B113-1)*OFFSET(控制台!$K$5001,MATCH(A113,控制台!$B$5001:$B$5051,0)-1,0)</f>
        <v>400000</v>
      </c>
      <c r="I113" s="4">
        <f ca="1">OFFSET(控制台!$M$5001,MATCH(A113,控制台!$B$5001:$B$5051,0)-1,0)+(B113-1)*OFFSET(控制台!$N$5001,MATCH(A113,控制台!$B$5001:$B$5051,0)-1,0)</f>
        <v>6000000</v>
      </c>
      <c r="J113" s="4">
        <f ca="1">OFFSET(控制台!$P$5001,MATCH(A113,控制台!$B$5001:$B$5051,0)-1,0)</f>
        <v>14400</v>
      </c>
    </row>
    <row r="114" spans="1:10">
      <c r="A114" s="1">
        <v>210802</v>
      </c>
      <c r="B114" s="1">
        <v>4</v>
      </c>
      <c r="C114" s="1">
        <v>1</v>
      </c>
      <c r="D114" s="1" t="s">
        <v>2444</v>
      </c>
      <c r="E114" s="1">
        <f ca="1">OFFSET(控制台!$G$5001,MATCH(A114,控制台!$B$5001:$B$5051,0)-1,0)</f>
        <v>10</v>
      </c>
      <c r="F114" s="1">
        <f ca="1">OFFSET(控制台!$E$5001,MATCH(A114,控制台!$B$5001:$B$5051,0)-1,0)</f>
        <v>8</v>
      </c>
      <c r="G114" s="4">
        <f ca="1">OFFSET(控制台!$I$5001,MATCH(A114,控制台!$B$5001:$B$5051,0)-1,0)</f>
        <v>5000</v>
      </c>
      <c r="H114" s="4">
        <f ca="1">OFFSET(控制台!$J$5001,MATCH(A114,控制台!$B$5001:$B$5051,0)-1,0)+(B114-1)*OFFSET(控制台!$K$5001,MATCH(A114,控制台!$B$5001:$B$5051,0)-1,0)</f>
        <v>450000</v>
      </c>
      <c r="I114" s="4">
        <f ca="1">OFFSET(控制台!$M$5001,MATCH(A114,控制台!$B$5001:$B$5051,0)-1,0)+(B114-1)*OFFSET(控制台!$N$5001,MATCH(A114,控制台!$B$5001:$B$5051,0)-1,0)</f>
        <v>8000000</v>
      </c>
      <c r="J114" s="4">
        <f ca="1">OFFSET(控制台!$P$5001,MATCH(A114,控制台!$B$5001:$B$5051,0)-1,0)</f>
        <v>14400</v>
      </c>
    </row>
    <row r="115" spans="1:10">
      <c r="A115" s="1">
        <v>210802</v>
      </c>
      <c r="B115" s="1">
        <v>5</v>
      </c>
      <c r="C115" s="1">
        <v>1</v>
      </c>
      <c r="D115" s="1" t="s">
        <v>2444</v>
      </c>
      <c r="E115" s="1">
        <f ca="1">OFFSET(控制台!$G$5001,MATCH(A115,控制台!$B$5001:$B$5051,0)-1,0)</f>
        <v>10</v>
      </c>
      <c r="F115" s="1">
        <f ca="1">OFFSET(控制台!$E$5001,MATCH(A115,控制台!$B$5001:$B$5051,0)-1,0)</f>
        <v>8</v>
      </c>
      <c r="G115" s="4">
        <f ca="1">OFFSET(控制台!$I$5001,MATCH(A115,控制台!$B$5001:$B$5051,0)-1,0)</f>
        <v>5000</v>
      </c>
      <c r="H115" s="4">
        <f ca="1">OFFSET(控制台!$J$5001,MATCH(A115,控制台!$B$5001:$B$5051,0)-1,0)+(B115-1)*OFFSET(控制台!$K$5001,MATCH(A115,控制台!$B$5001:$B$5051,0)-1,0)</f>
        <v>500000</v>
      </c>
      <c r="I115" s="4">
        <f ca="1">OFFSET(控制台!$M$5001,MATCH(A115,控制台!$B$5001:$B$5051,0)-1,0)+(B115-1)*OFFSET(控制台!$N$5001,MATCH(A115,控制台!$B$5001:$B$5051,0)-1,0)</f>
        <v>10000000</v>
      </c>
      <c r="J115" s="4">
        <f ca="1">OFFSET(控制台!$P$5001,MATCH(A115,控制台!$B$5001:$B$5051,0)-1,0)</f>
        <v>14400</v>
      </c>
    </row>
    <row r="116" spans="1:10">
      <c r="A116" s="1">
        <v>210802</v>
      </c>
      <c r="B116" s="1">
        <v>6</v>
      </c>
      <c r="C116" s="1">
        <v>1</v>
      </c>
      <c r="D116" s="1" t="s">
        <v>2444</v>
      </c>
      <c r="E116" s="1">
        <f ca="1">OFFSET(控制台!$G$5001,MATCH(A116,控制台!$B$5001:$B$5051,0)-1,0)</f>
        <v>10</v>
      </c>
      <c r="F116" s="1">
        <f ca="1">OFFSET(控制台!$E$5001,MATCH(A116,控制台!$B$5001:$B$5051,0)-1,0)</f>
        <v>8</v>
      </c>
      <c r="G116" s="4">
        <f ca="1">OFFSET(控制台!$I$5001,MATCH(A116,控制台!$B$5001:$B$5051,0)-1,0)</f>
        <v>5000</v>
      </c>
      <c r="H116" s="4">
        <f ca="1">OFFSET(控制台!$J$5001,MATCH(A116,控制台!$B$5001:$B$5051,0)-1,0)+(B116-1)*OFFSET(控制台!$K$5001,MATCH(A116,控制台!$B$5001:$B$5051,0)-1,0)</f>
        <v>550000</v>
      </c>
      <c r="I116" s="4">
        <f ca="1">OFFSET(控制台!$M$5001,MATCH(A116,控制台!$B$5001:$B$5051,0)-1,0)+(B116-1)*OFFSET(控制台!$N$5001,MATCH(A116,控制台!$B$5001:$B$5051,0)-1,0)</f>
        <v>12000000</v>
      </c>
      <c r="J116" s="4">
        <f ca="1">OFFSET(控制台!$P$5001,MATCH(A116,控制台!$B$5001:$B$5051,0)-1,0)</f>
        <v>14400</v>
      </c>
    </row>
    <row r="117" spans="1:10">
      <c r="A117" s="1">
        <v>210802</v>
      </c>
      <c r="B117" s="1">
        <v>7</v>
      </c>
      <c r="C117" s="1">
        <v>1</v>
      </c>
      <c r="D117" s="1" t="s">
        <v>2444</v>
      </c>
      <c r="E117" s="1">
        <f ca="1">OFFSET(控制台!$G$5001,MATCH(A117,控制台!$B$5001:$B$5051,0)-1,0)</f>
        <v>10</v>
      </c>
      <c r="F117" s="1">
        <f ca="1">OFFSET(控制台!$E$5001,MATCH(A117,控制台!$B$5001:$B$5051,0)-1,0)</f>
        <v>8</v>
      </c>
      <c r="G117" s="4">
        <f ca="1">OFFSET(控制台!$I$5001,MATCH(A117,控制台!$B$5001:$B$5051,0)-1,0)</f>
        <v>5000</v>
      </c>
      <c r="H117" s="4">
        <f ca="1">OFFSET(控制台!$J$5001,MATCH(A117,控制台!$B$5001:$B$5051,0)-1,0)+(B117-1)*OFFSET(控制台!$K$5001,MATCH(A117,控制台!$B$5001:$B$5051,0)-1,0)</f>
        <v>600000</v>
      </c>
      <c r="I117" s="4">
        <f ca="1">OFFSET(控制台!$M$5001,MATCH(A117,控制台!$B$5001:$B$5051,0)-1,0)+(B117-1)*OFFSET(控制台!$N$5001,MATCH(A117,控制台!$B$5001:$B$5051,0)-1,0)</f>
        <v>14000000</v>
      </c>
      <c r="J117" s="4">
        <f ca="1">OFFSET(控制台!$P$5001,MATCH(A117,控制台!$B$5001:$B$5051,0)-1,0)</f>
        <v>14400</v>
      </c>
    </row>
    <row r="118" spans="1:10">
      <c r="A118" s="1">
        <v>210802</v>
      </c>
      <c r="B118" s="1">
        <v>8</v>
      </c>
      <c r="C118" s="1">
        <v>1</v>
      </c>
      <c r="D118" s="1" t="s">
        <v>2444</v>
      </c>
      <c r="E118" s="1">
        <f ca="1">OFFSET(控制台!$G$5001,MATCH(A118,控制台!$B$5001:$B$5051,0)-1,0)</f>
        <v>10</v>
      </c>
      <c r="F118" s="1">
        <f ca="1">OFFSET(控制台!$E$5001,MATCH(A118,控制台!$B$5001:$B$5051,0)-1,0)</f>
        <v>8</v>
      </c>
      <c r="G118" s="4">
        <f ca="1">OFFSET(控制台!$I$5001,MATCH(A118,控制台!$B$5001:$B$5051,0)-1,0)</f>
        <v>5000</v>
      </c>
      <c r="H118" s="4">
        <f ca="1">OFFSET(控制台!$J$5001,MATCH(A118,控制台!$B$5001:$B$5051,0)-1,0)+(B118-1)*OFFSET(控制台!$K$5001,MATCH(A118,控制台!$B$5001:$B$5051,0)-1,0)</f>
        <v>650000</v>
      </c>
      <c r="I118" s="4">
        <f ca="1">OFFSET(控制台!$M$5001,MATCH(A118,控制台!$B$5001:$B$5051,0)-1,0)+(B118-1)*OFFSET(控制台!$N$5001,MATCH(A118,控制台!$B$5001:$B$5051,0)-1,0)</f>
        <v>16000000</v>
      </c>
      <c r="J118" s="4">
        <f ca="1">OFFSET(控制台!$P$5001,MATCH(A118,控制台!$B$5001:$B$5051,0)-1,0)</f>
        <v>14400</v>
      </c>
    </row>
    <row r="119" spans="1:10">
      <c r="A119" s="1">
        <v>210802</v>
      </c>
      <c r="B119" s="1">
        <v>9</v>
      </c>
      <c r="C119" s="1">
        <v>1</v>
      </c>
      <c r="D119" s="1" t="s">
        <v>2444</v>
      </c>
      <c r="E119" s="1">
        <f ca="1">OFFSET(控制台!$G$5001,MATCH(A119,控制台!$B$5001:$B$5051,0)-1,0)</f>
        <v>10</v>
      </c>
      <c r="F119" s="1">
        <f ca="1">OFFSET(控制台!$E$5001,MATCH(A119,控制台!$B$5001:$B$5051,0)-1,0)</f>
        <v>8</v>
      </c>
      <c r="G119" s="4">
        <f ca="1">OFFSET(控制台!$I$5001,MATCH(A119,控制台!$B$5001:$B$5051,0)-1,0)</f>
        <v>5000</v>
      </c>
      <c r="H119" s="4">
        <f ca="1">OFFSET(控制台!$J$5001,MATCH(A119,控制台!$B$5001:$B$5051,0)-1,0)+(B119-1)*OFFSET(控制台!$K$5001,MATCH(A119,控制台!$B$5001:$B$5051,0)-1,0)</f>
        <v>700000</v>
      </c>
      <c r="I119" s="4">
        <f ca="1">OFFSET(控制台!$M$5001,MATCH(A119,控制台!$B$5001:$B$5051,0)-1,0)+(B119-1)*OFFSET(控制台!$N$5001,MATCH(A119,控制台!$B$5001:$B$5051,0)-1,0)</f>
        <v>18000000</v>
      </c>
      <c r="J119" s="4">
        <f ca="1">OFFSET(控制台!$P$5001,MATCH(A119,控制台!$B$5001:$B$5051,0)-1,0)</f>
        <v>14400</v>
      </c>
    </row>
    <row r="120" spans="1:10">
      <c r="A120" s="1">
        <v>210802</v>
      </c>
      <c r="B120" s="1">
        <v>10</v>
      </c>
      <c r="C120" s="1">
        <v>1</v>
      </c>
      <c r="D120" s="1" t="s">
        <v>2444</v>
      </c>
      <c r="E120" s="1">
        <f ca="1">OFFSET(控制台!$G$5001,MATCH(A120,控制台!$B$5001:$B$5051,0)-1,0)</f>
        <v>10</v>
      </c>
      <c r="F120" s="1">
        <f ca="1">OFFSET(控制台!$E$5001,MATCH(A120,控制台!$B$5001:$B$5051,0)-1,0)</f>
        <v>8</v>
      </c>
      <c r="G120" s="4">
        <f ca="1">OFFSET(控制台!$I$5001,MATCH(A120,控制台!$B$5001:$B$5051,0)-1,0)</f>
        <v>5000</v>
      </c>
      <c r="H120" s="4">
        <f ca="1">OFFSET(控制台!$J$5001,MATCH(A120,控制台!$B$5001:$B$5051,0)-1,0)+(B120-1)*OFFSET(控制台!$K$5001,MATCH(A120,控制台!$B$5001:$B$5051,0)-1,0)</f>
        <v>750000</v>
      </c>
      <c r="I120" s="4">
        <f ca="1">OFFSET(控制台!$M$5001,MATCH(A120,控制台!$B$5001:$B$5051,0)-1,0)+(B120-1)*OFFSET(控制台!$N$5001,MATCH(A120,控制台!$B$5001:$B$5051,0)-1,0)</f>
        <v>20000000</v>
      </c>
      <c r="J120" s="4">
        <f ca="1">OFFSET(控制台!$P$5001,MATCH(A120,控制台!$B$5001:$B$5051,0)-1,0)</f>
        <v>14400</v>
      </c>
    </row>
    <row r="121" spans="1:10">
      <c r="A121" s="1">
        <v>210803</v>
      </c>
      <c r="B121" s="1">
        <v>1</v>
      </c>
      <c r="C121" s="1">
        <v>1</v>
      </c>
      <c r="D121" s="1" t="s">
        <v>2445</v>
      </c>
      <c r="E121" s="1">
        <f ca="1">OFFSET(控制台!$G$5001,MATCH(A121,控制台!$B$5001:$B$5051,0)-1,0)</f>
        <v>10</v>
      </c>
      <c r="F121" s="1">
        <f ca="1">OFFSET(控制台!$E$5001,MATCH(A121,控制台!$B$5001:$B$5051,0)-1,0)</f>
        <v>8</v>
      </c>
      <c r="G121" s="4">
        <f ca="1">OFFSET(控制台!$I$5001,MATCH(A121,控制台!$B$5001:$B$5051,0)-1,0)</f>
        <v>5000</v>
      </c>
      <c r="H121" s="4">
        <f ca="1">OFFSET(控制台!$J$5001,MATCH(A121,控制台!$B$5001:$B$5051,0)-1,0)+(B121-1)*OFFSET(控制台!$K$5001,MATCH(A121,控制台!$B$5001:$B$5051,0)-1,0)</f>
        <v>300000</v>
      </c>
      <c r="I121" s="4">
        <f ca="1">OFFSET(控制台!$M$5001,MATCH(A121,控制台!$B$5001:$B$5051,0)-1,0)+(B121-1)*OFFSET(控制台!$N$5001,MATCH(A121,控制台!$B$5001:$B$5051,0)-1,0)</f>
        <v>2000000</v>
      </c>
      <c r="J121" s="4">
        <f ca="1">OFFSET(控制台!$P$5001,MATCH(A121,控制台!$B$5001:$B$5051,0)-1,0)</f>
        <v>14400</v>
      </c>
    </row>
    <row r="122" spans="1:10">
      <c r="A122" s="1">
        <v>210803</v>
      </c>
      <c r="B122" s="1">
        <v>2</v>
      </c>
      <c r="C122" s="1">
        <v>1</v>
      </c>
      <c r="D122" s="1" t="s">
        <v>2445</v>
      </c>
      <c r="E122" s="1">
        <f ca="1">OFFSET(控制台!$G$5001,MATCH(A122,控制台!$B$5001:$B$5051,0)-1,0)</f>
        <v>10</v>
      </c>
      <c r="F122" s="1">
        <f ca="1">OFFSET(控制台!$E$5001,MATCH(A122,控制台!$B$5001:$B$5051,0)-1,0)</f>
        <v>8</v>
      </c>
      <c r="G122" s="4">
        <f ca="1">OFFSET(控制台!$I$5001,MATCH(A122,控制台!$B$5001:$B$5051,0)-1,0)</f>
        <v>5000</v>
      </c>
      <c r="H122" s="4">
        <f ca="1">OFFSET(控制台!$J$5001,MATCH(A122,控制台!$B$5001:$B$5051,0)-1,0)+(B122-1)*OFFSET(控制台!$K$5001,MATCH(A122,控制台!$B$5001:$B$5051,0)-1,0)</f>
        <v>350000</v>
      </c>
      <c r="I122" s="4">
        <f ca="1">OFFSET(控制台!$M$5001,MATCH(A122,控制台!$B$5001:$B$5051,0)-1,0)+(B122-1)*OFFSET(控制台!$N$5001,MATCH(A122,控制台!$B$5001:$B$5051,0)-1,0)</f>
        <v>4000000</v>
      </c>
      <c r="J122" s="4">
        <f ca="1">OFFSET(控制台!$P$5001,MATCH(A122,控制台!$B$5001:$B$5051,0)-1,0)</f>
        <v>14400</v>
      </c>
    </row>
    <row r="123" spans="1:10">
      <c r="A123" s="1">
        <v>210803</v>
      </c>
      <c r="B123" s="1">
        <v>3</v>
      </c>
      <c r="C123" s="1">
        <v>1</v>
      </c>
      <c r="D123" s="1" t="s">
        <v>2445</v>
      </c>
      <c r="E123" s="1">
        <f ca="1">OFFSET(控制台!$G$5001,MATCH(A123,控制台!$B$5001:$B$5051,0)-1,0)</f>
        <v>10</v>
      </c>
      <c r="F123" s="1">
        <f ca="1">OFFSET(控制台!$E$5001,MATCH(A123,控制台!$B$5001:$B$5051,0)-1,0)</f>
        <v>8</v>
      </c>
      <c r="G123" s="4">
        <f ca="1">OFFSET(控制台!$I$5001,MATCH(A123,控制台!$B$5001:$B$5051,0)-1,0)</f>
        <v>5000</v>
      </c>
      <c r="H123" s="4">
        <f ca="1">OFFSET(控制台!$J$5001,MATCH(A123,控制台!$B$5001:$B$5051,0)-1,0)+(B123-1)*OFFSET(控制台!$K$5001,MATCH(A123,控制台!$B$5001:$B$5051,0)-1,0)</f>
        <v>400000</v>
      </c>
      <c r="I123" s="4">
        <f ca="1">OFFSET(控制台!$M$5001,MATCH(A123,控制台!$B$5001:$B$5051,0)-1,0)+(B123-1)*OFFSET(控制台!$N$5001,MATCH(A123,控制台!$B$5001:$B$5051,0)-1,0)</f>
        <v>6000000</v>
      </c>
      <c r="J123" s="4">
        <f ca="1">OFFSET(控制台!$P$5001,MATCH(A123,控制台!$B$5001:$B$5051,0)-1,0)</f>
        <v>14400</v>
      </c>
    </row>
    <row r="124" spans="1:10">
      <c r="A124" s="1">
        <v>210803</v>
      </c>
      <c r="B124" s="1">
        <v>4</v>
      </c>
      <c r="C124" s="1">
        <v>1</v>
      </c>
      <c r="D124" s="1" t="s">
        <v>2445</v>
      </c>
      <c r="E124" s="1">
        <f ca="1">OFFSET(控制台!$G$5001,MATCH(A124,控制台!$B$5001:$B$5051,0)-1,0)</f>
        <v>10</v>
      </c>
      <c r="F124" s="1">
        <f ca="1">OFFSET(控制台!$E$5001,MATCH(A124,控制台!$B$5001:$B$5051,0)-1,0)</f>
        <v>8</v>
      </c>
      <c r="G124" s="4">
        <f ca="1">OFFSET(控制台!$I$5001,MATCH(A124,控制台!$B$5001:$B$5051,0)-1,0)</f>
        <v>5000</v>
      </c>
      <c r="H124" s="4">
        <f ca="1">OFFSET(控制台!$J$5001,MATCH(A124,控制台!$B$5001:$B$5051,0)-1,0)+(B124-1)*OFFSET(控制台!$K$5001,MATCH(A124,控制台!$B$5001:$B$5051,0)-1,0)</f>
        <v>450000</v>
      </c>
      <c r="I124" s="4">
        <f ca="1">OFFSET(控制台!$M$5001,MATCH(A124,控制台!$B$5001:$B$5051,0)-1,0)+(B124-1)*OFFSET(控制台!$N$5001,MATCH(A124,控制台!$B$5001:$B$5051,0)-1,0)</f>
        <v>8000000</v>
      </c>
      <c r="J124" s="4">
        <f ca="1">OFFSET(控制台!$P$5001,MATCH(A124,控制台!$B$5001:$B$5051,0)-1,0)</f>
        <v>14400</v>
      </c>
    </row>
    <row r="125" spans="1:10">
      <c r="A125" s="1">
        <v>210803</v>
      </c>
      <c r="B125" s="1">
        <v>5</v>
      </c>
      <c r="C125" s="1">
        <v>1</v>
      </c>
      <c r="D125" s="1" t="s">
        <v>2445</v>
      </c>
      <c r="E125" s="1">
        <f ca="1">OFFSET(控制台!$G$5001,MATCH(A125,控制台!$B$5001:$B$5051,0)-1,0)</f>
        <v>10</v>
      </c>
      <c r="F125" s="1">
        <f ca="1">OFFSET(控制台!$E$5001,MATCH(A125,控制台!$B$5001:$B$5051,0)-1,0)</f>
        <v>8</v>
      </c>
      <c r="G125" s="4">
        <f ca="1">OFFSET(控制台!$I$5001,MATCH(A125,控制台!$B$5001:$B$5051,0)-1,0)</f>
        <v>5000</v>
      </c>
      <c r="H125" s="4">
        <f ca="1">OFFSET(控制台!$J$5001,MATCH(A125,控制台!$B$5001:$B$5051,0)-1,0)+(B125-1)*OFFSET(控制台!$K$5001,MATCH(A125,控制台!$B$5001:$B$5051,0)-1,0)</f>
        <v>500000</v>
      </c>
      <c r="I125" s="4">
        <f ca="1">OFFSET(控制台!$M$5001,MATCH(A125,控制台!$B$5001:$B$5051,0)-1,0)+(B125-1)*OFFSET(控制台!$N$5001,MATCH(A125,控制台!$B$5001:$B$5051,0)-1,0)</f>
        <v>10000000</v>
      </c>
      <c r="J125" s="4">
        <f ca="1">OFFSET(控制台!$P$5001,MATCH(A125,控制台!$B$5001:$B$5051,0)-1,0)</f>
        <v>14400</v>
      </c>
    </row>
    <row r="126" spans="1:10">
      <c r="A126" s="1">
        <v>210803</v>
      </c>
      <c r="B126" s="1">
        <v>6</v>
      </c>
      <c r="C126" s="1">
        <v>1</v>
      </c>
      <c r="D126" s="1" t="s">
        <v>2445</v>
      </c>
      <c r="E126" s="1">
        <f ca="1">OFFSET(控制台!$G$5001,MATCH(A126,控制台!$B$5001:$B$5051,0)-1,0)</f>
        <v>10</v>
      </c>
      <c r="F126" s="1">
        <f ca="1">OFFSET(控制台!$E$5001,MATCH(A126,控制台!$B$5001:$B$5051,0)-1,0)</f>
        <v>8</v>
      </c>
      <c r="G126" s="4">
        <f ca="1">OFFSET(控制台!$I$5001,MATCH(A126,控制台!$B$5001:$B$5051,0)-1,0)</f>
        <v>5000</v>
      </c>
      <c r="H126" s="4">
        <f ca="1">OFFSET(控制台!$J$5001,MATCH(A126,控制台!$B$5001:$B$5051,0)-1,0)+(B126-1)*OFFSET(控制台!$K$5001,MATCH(A126,控制台!$B$5001:$B$5051,0)-1,0)</f>
        <v>550000</v>
      </c>
      <c r="I126" s="4">
        <f ca="1">OFFSET(控制台!$M$5001,MATCH(A126,控制台!$B$5001:$B$5051,0)-1,0)+(B126-1)*OFFSET(控制台!$N$5001,MATCH(A126,控制台!$B$5001:$B$5051,0)-1,0)</f>
        <v>12000000</v>
      </c>
      <c r="J126" s="4">
        <f ca="1">OFFSET(控制台!$P$5001,MATCH(A126,控制台!$B$5001:$B$5051,0)-1,0)</f>
        <v>14400</v>
      </c>
    </row>
    <row r="127" spans="1:10">
      <c r="A127" s="1">
        <v>210803</v>
      </c>
      <c r="B127" s="1">
        <v>7</v>
      </c>
      <c r="C127" s="1">
        <v>1</v>
      </c>
      <c r="D127" s="1" t="s">
        <v>2445</v>
      </c>
      <c r="E127" s="1">
        <f ca="1">OFFSET(控制台!$G$5001,MATCH(A127,控制台!$B$5001:$B$5051,0)-1,0)</f>
        <v>10</v>
      </c>
      <c r="F127" s="1">
        <f ca="1">OFFSET(控制台!$E$5001,MATCH(A127,控制台!$B$5001:$B$5051,0)-1,0)</f>
        <v>8</v>
      </c>
      <c r="G127" s="4">
        <f ca="1">OFFSET(控制台!$I$5001,MATCH(A127,控制台!$B$5001:$B$5051,0)-1,0)</f>
        <v>5000</v>
      </c>
      <c r="H127" s="4">
        <f ca="1">OFFSET(控制台!$J$5001,MATCH(A127,控制台!$B$5001:$B$5051,0)-1,0)+(B127-1)*OFFSET(控制台!$K$5001,MATCH(A127,控制台!$B$5001:$B$5051,0)-1,0)</f>
        <v>600000</v>
      </c>
      <c r="I127" s="4">
        <f ca="1">OFFSET(控制台!$M$5001,MATCH(A127,控制台!$B$5001:$B$5051,0)-1,0)+(B127-1)*OFFSET(控制台!$N$5001,MATCH(A127,控制台!$B$5001:$B$5051,0)-1,0)</f>
        <v>14000000</v>
      </c>
      <c r="J127" s="4">
        <f ca="1">OFFSET(控制台!$P$5001,MATCH(A127,控制台!$B$5001:$B$5051,0)-1,0)</f>
        <v>14400</v>
      </c>
    </row>
    <row r="128" spans="1:10">
      <c r="A128" s="1">
        <v>210803</v>
      </c>
      <c r="B128" s="1">
        <v>8</v>
      </c>
      <c r="C128" s="1">
        <v>1</v>
      </c>
      <c r="D128" s="1" t="s">
        <v>2445</v>
      </c>
      <c r="E128" s="1">
        <f ca="1">OFFSET(控制台!$G$5001,MATCH(A128,控制台!$B$5001:$B$5051,0)-1,0)</f>
        <v>10</v>
      </c>
      <c r="F128" s="1">
        <f ca="1">OFFSET(控制台!$E$5001,MATCH(A128,控制台!$B$5001:$B$5051,0)-1,0)</f>
        <v>8</v>
      </c>
      <c r="G128" s="4">
        <f ca="1">OFFSET(控制台!$I$5001,MATCH(A128,控制台!$B$5001:$B$5051,0)-1,0)</f>
        <v>5000</v>
      </c>
      <c r="H128" s="4">
        <f ca="1">OFFSET(控制台!$J$5001,MATCH(A128,控制台!$B$5001:$B$5051,0)-1,0)+(B128-1)*OFFSET(控制台!$K$5001,MATCH(A128,控制台!$B$5001:$B$5051,0)-1,0)</f>
        <v>650000</v>
      </c>
      <c r="I128" s="4">
        <f ca="1">OFFSET(控制台!$M$5001,MATCH(A128,控制台!$B$5001:$B$5051,0)-1,0)+(B128-1)*OFFSET(控制台!$N$5001,MATCH(A128,控制台!$B$5001:$B$5051,0)-1,0)</f>
        <v>16000000</v>
      </c>
      <c r="J128" s="4">
        <f ca="1">OFFSET(控制台!$P$5001,MATCH(A128,控制台!$B$5001:$B$5051,0)-1,0)</f>
        <v>14400</v>
      </c>
    </row>
    <row r="129" spans="1:10">
      <c r="A129" s="1">
        <v>210803</v>
      </c>
      <c r="B129" s="1">
        <v>9</v>
      </c>
      <c r="C129" s="1">
        <v>1</v>
      </c>
      <c r="D129" s="1" t="s">
        <v>2445</v>
      </c>
      <c r="E129" s="1">
        <f ca="1">OFFSET(控制台!$G$5001,MATCH(A129,控制台!$B$5001:$B$5051,0)-1,0)</f>
        <v>10</v>
      </c>
      <c r="F129" s="1">
        <f ca="1">OFFSET(控制台!$E$5001,MATCH(A129,控制台!$B$5001:$B$5051,0)-1,0)</f>
        <v>8</v>
      </c>
      <c r="G129" s="4">
        <f ca="1">OFFSET(控制台!$I$5001,MATCH(A129,控制台!$B$5001:$B$5051,0)-1,0)</f>
        <v>5000</v>
      </c>
      <c r="H129" s="4">
        <f ca="1">OFFSET(控制台!$J$5001,MATCH(A129,控制台!$B$5001:$B$5051,0)-1,0)+(B129-1)*OFFSET(控制台!$K$5001,MATCH(A129,控制台!$B$5001:$B$5051,0)-1,0)</f>
        <v>700000</v>
      </c>
      <c r="I129" s="4">
        <f ca="1">OFFSET(控制台!$M$5001,MATCH(A129,控制台!$B$5001:$B$5051,0)-1,0)+(B129-1)*OFFSET(控制台!$N$5001,MATCH(A129,控制台!$B$5001:$B$5051,0)-1,0)</f>
        <v>18000000</v>
      </c>
      <c r="J129" s="4">
        <f ca="1">OFFSET(控制台!$P$5001,MATCH(A129,控制台!$B$5001:$B$5051,0)-1,0)</f>
        <v>14400</v>
      </c>
    </row>
    <row r="130" spans="1:10">
      <c r="A130" s="1">
        <v>210803</v>
      </c>
      <c r="B130" s="1">
        <v>10</v>
      </c>
      <c r="C130" s="1">
        <v>1</v>
      </c>
      <c r="D130" s="1" t="s">
        <v>2445</v>
      </c>
      <c r="E130" s="1">
        <f ca="1">OFFSET(控制台!$G$5001,MATCH(A130,控制台!$B$5001:$B$5051,0)-1,0)</f>
        <v>10</v>
      </c>
      <c r="F130" s="1">
        <f ca="1">OFFSET(控制台!$E$5001,MATCH(A130,控制台!$B$5001:$B$5051,0)-1,0)</f>
        <v>8</v>
      </c>
      <c r="G130" s="4">
        <f ca="1">OFFSET(控制台!$I$5001,MATCH(A130,控制台!$B$5001:$B$5051,0)-1,0)</f>
        <v>5000</v>
      </c>
      <c r="H130" s="4">
        <f ca="1">OFFSET(控制台!$J$5001,MATCH(A130,控制台!$B$5001:$B$5051,0)-1,0)+(B130-1)*OFFSET(控制台!$K$5001,MATCH(A130,控制台!$B$5001:$B$5051,0)-1,0)</f>
        <v>750000</v>
      </c>
      <c r="I130" s="4">
        <f ca="1">OFFSET(控制台!$M$5001,MATCH(A130,控制台!$B$5001:$B$5051,0)-1,0)+(B130-1)*OFFSET(控制台!$N$5001,MATCH(A130,控制台!$B$5001:$B$5051,0)-1,0)</f>
        <v>20000000</v>
      </c>
      <c r="J130" s="4">
        <f ca="1">OFFSET(控制台!$P$5001,MATCH(A130,控制台!$B$5001:$B$5051,0)-1,0)</f>
        <v>14400</v>
      </c>
    </row>
    <row r="131" spans="1:10">
      <c r="A131" s="1">
        <v>210901</v>
      </c>
      <c r="B131" s="1">
        <v>1</v>
      </c>
      <c r="C131" s="1">
        <v>1</v>
      </c>
      <c r="D131" s="1" t="s">
        <v>2432</v>
      </c>
      <c r="E131" s="1">
        <f ca="1">OFFSET(控制台!$G$5001,MATCH(A131,控制台!$B$5001:$B$5051,0)-1,0)</f>
        <v>10</v>
      </c>
      <c r="F131" s="1">
        <f ca="1">OFFSET(控制台!$E$5001,MATCH(A131,控制台!$B$5001:$B$5051,0)-1,0)</f>
        <v>9</v>
      </c>
      <c r="G131" s="4">
        <f ca="1">OFFSET(控制台!$I$5001,MATCH(A131,控制台!$B$5001:$B$5051,0)-1,0)</f>
        <v>5000</v>
      </c>
      <c r="H131" s="4">
        <f ca="1">OFFSET(控制台!$J$5001,MATCH(A131,控制台!$B$5001:$B$5051,0)-1,0)+(B131-1)*OFFSET(控制台!$K$5001,MATCH(A131,控制台!$B$5001:$B$5051,0)-1,0)</f>
        <v>600000</v>
      </c>
      <c r="I131" s="4">
        <f ca="1">OFFSET(控制台!$M$5001,MATCH(A131,控制台!$B$5001:$B$5051,0)-1,0)+(B131-1)*OFFSET(控制台!$N$5001,MATCH(A131,控制台!$B$5001:$B$5051,0)-1,0)</f>
        <v>2500000</v>
      </c>
      <c r="J131" s="4">
        <f ca="1">OFFSET(控制台!$P$5001,MATCH(A131,控制台!$B$5001:$B$5051,0)-1,0)</f>
        <v>14400</v>
      </c>
    </row>
    <row r="132" spans="1:10">
      <c r="A132" s="1">
        <v>210901</v>
      </c>
      <c r="B132" s="1">
        <v>2</v>
      </c>
      <c r="C132" s="1">
        <v>1</v>
      </c>
      <c r="D132" s="1" t="s">
        <v>2432</v>
      </c>
      <c r="E132" s="1">
        <f ca="1">OFFSET(控制台!$G$5001,MATCH(A132,控制台!$B$5001:$B$5051,0)-1,0)</f>
        <v>10</v>
      </c>
      <c r="F132" s="1">
        <f ca="1">OFFSET(控制台!$E$5001,MATCH(A132,控制台!$B$5001:$B$5051,0)-1,0)</f>
        <v>9</v>
      </c>
      <c r="G132" s="4">
        <f ca="1">OFFSET(控制台!$I$5001,MATCH(A132,控制台!$B$5001:$B$5051,0)-1,0)</f>
        <v>5000</v>
      </c>
      <c r="H132" s="4">
        <f ca="1">OFFSET(控制台!$J$5001,MATCH(A132,控制台!$B$5001:$B$5051,0)-1,0)+(B132-1)*OFFSET(控制台!$K$5001,MATCH(A132,控制台!$B$5001:$B$5051,0)-1,0)</f>
        <v>700000</v>
      </c>
      <c r="I132" s="4">
        <f ca="1">OFFSET(控制台!$M$5001,MATCH(A132,控制台!$B$5001:$B$5051,0)-1,0)+(B132-1)*OFFSET(控制台!$N$5001,MATCH(A132,控制台!$B$5001:$B$5051,0)-1,0)</f>
        <v>5000000</v>
      </c>
      <c r="J132" s="4">
        <f ca="1">OFFSET(控制台!$P$5001,MATCH(A132,控制台!$B$5001:$B$5051,0)-1,0)</f>
        <v>14400</v>
      </c>
    </row>
    <row r="133" spans="1:10">
      <c r="A133" s="1">
        <v>210901</v>
      </c>
      <c r="B133" s="1">
        <v>3</v>
      </c>
      <c r="C133" s="1">
        <v>1</v>
      </c>
      <c r="D133" s="1" t="s">
        <v>2432</v>
      </c>
      <c r="E133" s="1">
        <f ca="1">OFFSET(控制台!$G$5001,MATCH(A133,控制台!$B$5001:$B$5051,0)-1,0)</f>
        <v>10</v>
      </c>
      <c r="F133" s="1">
        <f ca="1">OFFSET(控制台!$E$5001,MATCH(A133,控制台!$B$5001:$B$5051,0)-1,0)</f>
        <v>9</v>
      </c>
      <c r="G133" s="4">
        <f ca="1">OFFSET(控制台!$I$5001,MATCH(A133,控制台!$B$5001:$B$5051,0)-1,0)</f>
        <v>5000</v>
      </c>
      <c r="H133" s="4">
        <f ca="1">OFFSET(控制台!$J$5001,MATCH(A133,控制台!$B$5001:$B$5051,0)-1,0)+(B133-1)*OFFSET(控制台!$K$5001,MATCH(A133,控制台!$B$5001:$B$5051,0)-1,0)</f>
        <v>800000</v>
      </c>
      <c r="I133" s="4">
        <f ca="1">OFFSET(控制台!$M$5001,MATCH(A133,控制台!$B$5001:$B$5051,0)-1,0)+(B133-1)*OFFSET(控制台!$N$5001,MATCH(A133,控制台!$B$5001:$B$5051,0)-1,0)</f>
        <v>7500000</v>
      </c>
      <c r="J133" s="4">
        <f ca="1">OFFSET(控制台!$P$5001,MATCH(A133,控制台!$B$5001:$B$5051,0)-1,0)</f>
        <v>14400</v>
      </c>
    </row>
    <row r="134" spans="1:10">
      <c r="A134" s="1">
        <v>210901</v>
      </c>
      <c r="B134" s="1">
        <v>4</v>
      </c>
      <c r="C134" s="1">
        <v>1</v>
      </c>
      <c r="D134" s="1" t="s">
        <v>2432</v>
      </c>
      <c r="E134" s="1">
        <f ca="1">OFFSET(控制台!$G$5001,MATCH(A134,控制台!$B$5001:$B$5051,0)-1,0)</f>
        <v>10</v>
      </c>
      <c r="F134" s="1">
        <f ca="1">OFFSET(控制台!$E$5001,MATCH(A134,控制台!$B$5001:$B$5051,0)-1,0)</f>
        <v>9</v>
      </c>
      <c r="G134" s="4">
        <f ca="1">OFFSET(控制台!$I$5001,MATCH(A134,控制台!$B$5001:$B$5051,0)-1,0)</f>
        <v>5000</v>
      </c>
      <c r="H134" s="4">
        <f ca="1">OFFSET(控制台!$J$5001,MATCH(A134,控制台!$B$5001:$B$5051,0)-1,0)+(B134-1)*OFFSET(控制台!$K$5001,MATCH(A134,控制台!$B$5001:$B$5051,0)-1,0)</f>
        <v>900000</v>
      </c>
      <c r="I134" s="4">
        <f ca="1">OFFSET(控制台!$M$5001,MATCH(A134,控制台!$B$5001:$B$5051,0)-1,0)+(B134-1)*OFFSET(控制台!$N$5001,MATCH(A134,控制台!$B$5001:$B$5051,0)-1,0)</f>
        <v>10000000</v>
      </c>
      <c r="J134" s="4">
        <f ca="1">OFFSET(控制台!$P$5001,MATCH(A134,控制台!$B$5001:$B$5051,0)-1,0)</f>
        <v>14400</v>
      </c>
    </row>
    <row r="135" spans="1:10">
      <c r="A135" s="1">
        <v>210901</v>
      </c>
      <c r="B135" s="1">
        <v>5</v>
      </c>
      <c r="C135" s="1">
        <v>1</v>
      </c>
      <c r="D135" s="1" t="s">
        <v>2432</v>
      </c>
      <c r="E135" s="1">
        <f ca="1">OFFSET(控制台!$G$5001,MATCH(A135,控制台!$B$5001:$B$5051,0)-1,0)</f>
        <v>10</v>
      </c>
      <c r="F135" s="1">
        <f ca="1">OFFSET(控制台!$E$5001,MATCH(A135,控制台!$B$5001:$B$5051,0)-1,0)</f>
        <v>9</v>
      </c>
      <c r="G135" s="4">
        <f ca="1">OFFSET(控制台!$I$5001,MATCH(A135,控制台!$B$5001:$B$5051,0)-1,0)</f>
        <v>5000</v>
      </c>
      <c r="H135" s="4">
        <f ca="1">OFFSET(控制台!$J$5001,MATCH(A135,控制台!$B$5001:$B$5051,0)-1,0)+(B135-1)*OFFSET(控制台!$K$5001,MATCH(A135,控制台!$B$5001:$B$5051,0)-1,0)</f>
        <v>1000000</v>
      </c>
      <c r="I135" s="4">
        <f ca="1">OFFSET(控制台!$M$5001,MATCH(A135,控制台!$B$5001:$B$5051,0)-1,0)+(B135-1)*OFFSET(控制台!$N$5001,MATCH(A135,控制台!$B$5001:$B$5051,0)-1,0)</f>
        <v>12500000</v>
      </c>
      <c r="J135" s="4">
        <f ca="1">OFFSET(控制台!$P$5001,MATCH(A135,控制台!$B$5001:$B$5051,0)-1,0)</f>
        <v>14400</v>
      </c>
    </row>
    <row r="136" spans="1:10">
      <c r="A136" s="1">
        <v>210901</v>
      </c>
      <c r="B136" s="1">
        <v>6</v>
      </c>
      <c r="C136" s="1">
        <v>1</v>
      </c>
      <c r="D136" s="1" t="s">
        <v>2432</v>
      </c>
      <c r="E136" s="1">
        <f ca="1">OFFSET(控制台!$G$5001,MATCH(A136,控制台!$B$5001:$B$5051,0)-1,0)</f>
        <v>10</v>
      </c>
      <c r="F136" s="1">
        <f ca="1">OFFSET(控制台!$E$5001,MATCH(A136,控制台!$B$5001:$B$5051,0)-1,0)</f>
        <v>9</v>
      </c>
      <c r="G136" s="4">
        <f ca="1">OFFSET(控制台!$I$5001,MATCH(A136,控制台!$B$5001:$B$5051,0)-1,0)</f>
        <v>5000</v>
      </c>
      <c r="H136" s="4">
        <f ca="1">OFFSET(控制台!$J$5001,MATCH(A136,控制台!$B$5001:$B$5051,0)-1,0)+(B136-1)*OFFSET(控制台!$K$5001,MATCH(A136,控制台!$B$5001:$B$5051,0)-1,0)</f>
        <v>1100000</v>
      </c>
      <c r="I136" s="4">
        <f ca="1">OFFSET(控制台!$M$5001,MATCH(A136,控制台!$B$5001:$B$5051,0)-1,0)+(B136-1)*OFFSET(控制台!$N$5001,MATCH(A136,控制台!$B$5001:$B$5051,0)-1,0)</f>
        <v>15000000</v>
      </c>
      <c r="J136" s="4">
        <f ca="1">OFFSET(控制台!$P$5001,MATCH(A136,控制台!$B$5001:$B$5051,0)-1,0)</f>
        <v>14400</v>
      </c>
    </row>
    <row r="137" spans="1:10">
      <c r="A137" s="1">
        <v>210901</v>
      </c>
      <c r="B137" s="1">
        <v>7</v>
      </c>
      <c r="C137" s="1">
        <v>1</v>
      </c>
      <c r="D137" s="1" t="s">
        <v>2432</v>
      </c>
      <c r="E137" s="1">
        <f ca="1">OFFSET(控制台!$G$5001,MATCH(A137,控制台!$B$5001:$B$5051,0)-1,0)</f>
        <v>10</v>
      </c>
      <c r="F137" s="1">
        <f ca="1">OFFSET(控制台!$E$5001,MATCH(A137,控制台!$B$5001:$B$5051,0)-1,0)</f>
        <v>9</v>
      </c>
      <c r="G137" s="4">
        <f ca="1">OFFSET(控制台!$I$5001,MATCH(A137,控制台!$B$5001:$B$5051,0)-1,0)</f>
        <v>5000</v>
      </c>
      <c r="H137" s="4">
        <f ca="1">OFFSET(控制台!$J$5001,MATCH(A137,控制台!$B$5001:$B$5051,0)-1,0)+(B137-1)*OFFSET(控制台!$K$5001,MATCH(A137,控制台!$B$5001:$B$5051,0)-1,0)</f>
        <v>1200000</v>
      </c>
      <c r="I137" s="4">
        <f ca="1">OFFSET(控制台!$M$5001,MATCH(A137,控制台!$B$5001:$B$5051,0)-1,0)+(B137-1)*OFFSET(控制台!$N$5001,MATCH(A137,控制台!$B$5001:$B$5051,0)-1,0)</f>
        <v>17500000</v>
      </c>
      <c r="J137" s="4">
        <f ca="1">OFFSET(控制台!$P$5001,MATCH(A137,控制台!$B$5001:$B$5051,0)-1,0)</f>
        <v>14400</v>
      </c>
    </row>
    <row r="138" spans="1:10">
      <c r="A138" s="1">
        <v>210901</v>
      </c>
      <c r="B138" s="1">
        <v>8</v>
      </c>
      <c r="C138" s="1">
        <v>1</v>
      </c>
      <c r="D138" s="1" t="s">
        <v>2432</v>
      </c>
      <c r="E138" s="1">
        <f ca="1">OFFSET(控制台!$G$5001,MATCH(A138,控制台!$B$5001:$B$5051,0)-1,0)</f>
        <v>10</v>
      </c>
      <c r="F138" s="1">
        <f ca="1">OFFSET(控制台!$E$5001,MATCH(A138,控制台!$B$5001:$B$5051,0)-1,0)</f>
        <v>9</v>
      </c>
      <c r="G138" s="4">
        <f ca="1">OFFSET(控制台!$I$5001,MATCH(A138,控制台!$B$5001:$B$5051,0)-1,0)</f>
        <v>5000</v>
      </c>
      <c r="H138" s="4">
        <f ca="1">OFFSET(控制台!$J$5001,MATCH(A138,控制台!$B$5001:$B$5051,0)-1,0)+(B138-1)*OFFSET(控制台!$K$5001,MATCH(A138,控制台!$B$5001:$B$5051,0)-1,0)</f>
        <v>1300000</v>
      </c>
      <c r="I138" s="4">
        <f ca="1">OFFSET(控制台!$M$5001,MATCH(A138,控制台!$B$5001:$B$5051,0)-1,0)+(B138-1)*OFFSET(控制台!$N$5001,MATCH(A138,控制台!$B$5001:$B$5051,0)-1,0)</f>
        <v>20000000</v>
      </c>
      <c r="J138" s="4">
        <f ca="1">OFFSET(控制台!$P$5001,MATCH(A138,控制台!$B$5001:$B$5051,0)-1,0)</f>
        <v>14400</v>
      </c>
    </row>
    <row r="139" spans="1:10">
      <c r="A139" s="1">
        <v>210901</v>
      </c>
      <c r="B139" s="1">
        <v>9</v>
      </c>
      <c r="C139" s="1">
        <v>1</v>
      </c>
      <c r="D139" s="1" t="s">
        <v>2432</v>
      </c>
      <c r="E139" s="1">
        <f ca="1">OFFSET(控制台!$G$5001,MATCH(A139,控制台!$B$5001:$B$5051,0)-1,0)</f>
        <v>10</v>
      </c>
      <c r="F139" s="1">
        <f ca="1">OFFSET(控制台!$E$5001,MATCH(A139,控制台!$B$5001:$B$5051,0)-1,0)</f>
        <v>9</v>
      </c>
      <c r="G139" s="4">
        <f ca="1">OFFSET(控制台!$I$5001,MATCH(A139,控制台!$B$5001:$B$5051,0)-1,0)</f>
        <v>5000</v>
      </c>
      <c r="H139" s="4">
        <f ca="1">OFFSET(控制台!$J$5001,MATCH(A139,控制台!$B$5001:$B$5051,0)-1,0)+(B139-1)*OFFSET(控制台!$K$5001,MATCH(A139,控制台!$B$5001:$B$5051,0)-1,0)</f>
        <v>1400000</v>
      </c>
      <c r="I139" s="4">
        <f ca="1">OFFSET(控制台!$M$5001,MATCH(A139,控制台!$B$5001:$B$5051,0)-1,0)+(B139-1)*OFFSET(控制台!$N$5001,MATCH(A139,控制台!$B$5001:$B$5051,0)-1,0)</f>
        <v>22500000</v>
      </c>
      <c r="J139" s="4">
        <f ca="1">OFFSET(控制台!$P$5001,MATCH(A139,控制台!$B$5001:$B$5051,0)-1,0)</f>
        <v>14400</v>
      </c>
    </row>
    <row r="140" spans="1:10">
      <c r="A140" s="1">
        <v>210901</v>
      </c>
      <c r="B140" s="1">
        <v>10</v>
      </c>
      <c r="C140" s="1">
        <v>1</v>
      </c>
      <c r="D140" s="1" t="s">
        <v>2432</v>
      </c>
      <c r="E140" s="1">
        <f ca="1">OFFSET(控制台!$G$5001,MATCH(A140,控制台!$B$5001:$B$5051,0)-1,0)</f>
        <v>10</v>
      </c>
      <c r="F140" s="1">
        <f ca="1">OFFSET(控制台!$E$5001,MATCH(A140,控制台!$B$5001:$B$5051,0)-1,0)</f>
        <v>9</v>
      </c>
      <c r="G140" s="4">
        <f ca="1">OFFSET(控制台!$I$5001,MATCH(A140,控制台!$B$5001:$B$5051,0)-1,0)</f>
        <v>5000</v>
      </c>
      <c r="H140" s="4">
        <f ca="1">OFFSET(控制台!$J$5001,MATCH(A140,控制台!$B$5001:$B$5051,0)-1,0)+(B140-1)*OFFSET(控制台!$K$5001,MATCH(A140,控制台!$B$5001:$B$5051,0)-1,0)</f>
        <v>1500000</v>
      </c>
      <c r="I140" s="4">
        <f ca="1">OFFSET(控制台!$M$5001,MATCH(A140,控制台!$B$5001:$B$5051,0)-1,0)+(B140-1)*OFFSET(控制台!$N$5001,MATCH(A140,控制台!$B$5001:$B$5051,0)-1,0)</f>
        <v>25000000</v>
      </c>
      <c r="J140" s="4">
        <f ca="1">OFFSET(控制台!$P$5001,MATCH(A140,控制台!$B$5001:$B$5051,0)-1,0)</f>
        <v>14400</v>
      </c>
    </row>
    <row r="141" spans="1:10">
      <c r="A141" s="1">
        <v>220101</v>
      </c>
      <c r="B141" s="1">
        <v>1</v>
      </c>
      <c r="C141" s="1">
        <v>2</v>
      </c>
      <c r="D141" s="1" t="s">
        <v>2447</v>
      </c>
      <c r="E141" s="1">
        <f ca="1">OFFSET(控制台!$G$5001,MATCH(A141,控制台!$B$5001:$B$5051,0)-1,0)</f>
        <v>5</v>
      </c>
      <c r="F141" s="1">
        <f ca="1">OFFSET(控制台!$E$5001,MATCH(A141,控制台!$B$5001:$B$5051,0)-1,0)</f>
        <v>1</v>
      </c>
      <c r="G141" s="4">
        <f ca="1">OFFSET(控制台!$I$5001,MATCH(A141,控制台!$B$5001:$B$5051,0)-1,0)</f>
        <v>1000</v>
      </c>
      <c r="H141" s="4">
        <f ca="1">OFFSET(控制台!$J$5001,MATCH(A141,控制台!$B$5001:$B$5051,0)-1,0)+(B141-1)*OFFSET(控制台!$K$5001,MATCH(A141,控制台!$B$5001:$B$5051,0)-1,0)</f>
        <v>100000</v>
      </c>
      <c r="I141" s="4">
        <f ca="1">OFFSET(控制台!$M$5001,MATCH(A141,控制台!$B$5001:$B$5051,0)-1,0)+(B141-1)*OFFSET(控制台!$N$5001,MATCH(A141,控制台!$B$5001:$B$5051,0)-1,0)</f>
        <v>100000</v>
      </c>
      <c r="J141" s="4">
        <f ca="1">OFFSET(控制台!$P$5001,MATCH(A141,控制台!$B$5001:$B$5051,0)-1,0)</f>
        <v>7200</v>
      </c>
    </row>
    <row r="142" spans="1:10">
      <c r="A142" s="1">
        <v>220101</v>
      </c>
      <c r="B142" s="1">
        <v>2</v>
      </c>
      <c r="C142" s="1">
        <v>2</v>
      </c>
      <c r="D142" s="1" t="s">
        <v>2447</v>
      </c>
      <c r="E142" s="1">
        <f ca="1">OFFSET(控制台!$G$5001,MATCH(A142,控制台!$B$5001:$B$5051,0)-1,0)</f>
        <v>5</v>
      </c>
      <c r="F142" s="1">
        <f ca="1">OFFSET(控制台!$E$5001,MATCH(A142,控制台!$B$5001:$B$5051,0)-1,0)</f>
        <v>1</v>
      </c>
      <c r="G142" s="4">
        <f ca="1">OFFSET(控制台!$I$5001,MATCH(A142,控制台!$B$5001:$B$5051,0)-1,0)</f>
        <v>1000</v>
      </c>
      <c r="H142" s="4">
        <f ca="1">OFFSET(控制台!$J$5001,MATCH(A142,控制台!$B$5001:$B$5051,0)-1,0)+(B142-1)*OFFSET(控制台!$K$5001,MATCH(A142,控制台!$B$5001:$B$5051,0)-1,0)</f>
        <v>200000</v>
      </c>
      <c r="I142" s="4">
        <f ca="1">OFFSET(控制台!$M$5001,MATCH(A142,控制台!$B$5001:$B$5051,0)-1,0)+(B142-1)*OFFSET(控制台!$N$5001,MATCH(A142,控制台!$B$5001:$B$5051,0)-1,0)</f>
        <v>200000</v>
      </c>
      <c r="J142" s="4">
        <f ca="1">OFFSET(控制台!$P$5001,MATCH(A142,控制台!$B$5001:$B$5051,0)-1,0)</f>
        <v>7200</v>
      </c>
    </row>
    <row r="143" spans="1:10">
      <c r="A143" s="1">
        <v>220101</v>
      </c>
      <c r="B143" s="1">
        <v>3</v>
      </c>
      <c r="C143" s="1">
        <v>2</v>
      </c>
      <c r="D143" s="1" t="s">
        <v>2447</v>
      </c>
      <c r="E143" s="1">
        <f ca="1">OFFSET(控制台!$G$5001,MATCH(A143,控制台!$B$5001:$B$5051,0)-1,0)</f>
        <v>5</v>
      </c>
      <c r="F143" s="1">
        <f ca="1">OFFSET(控制台!$E$5001,MATCH(A143,控制台!$B$5001:$B$5051,0)-1,0)</f>
        <v>1</v>
      </c>
      <c r="G143" s="4">
        <f ca="1">OFFSET(控制台!$I$5001,MATCH(A143,控制台!$B$5001:$B$5051,0)-1,0)</f>
        <v>1000</v>
      </c>
      <c r="H143" s="4">
        <f ca="1">OFFSET(控制台!$J$5001,MATCH(A143,控制台!$B$5001:$B$5051,0)-1,0)+(B143-1)*OFFSET(控制台!$K$5001,MATCH(A143,控制台!$B$5001:$B$5051,0)-1,0)</f>
        <v>300000</v>
      </c>
      <c r="I143" s="4">
        <f ca="1">OFFSET(控制台!$M$5001,MATCH(A143,控制台!$B$5001:$B$5051,0)-1,0)+(B143-1)*OFFSET(控制台!$N$5001,MATCH(A143,控制台!$B$5001:$B$5051,0)-1,0)</f>
        <v>300000</v>
      </c>
      <c r="J143" s="4">
        <f ca="1">OFFSET(控制台!$P$5001,MATCH(A143,控制台!$B$5001:$B$5051,0)-1,0)</f>
        <v>7200</v>
      </c>
    </row>
    <row r="144" spans="1:10">
      <c r="A144" s="1">
        <v>220101</v>
      </c>
      <c r="B144" s="1">
        <v>4</v>
      </c>
      <c r="C144" s="1">
        <v>2</v>
      </c>
      <c r="D144" s="1" t="s">
        <v>2447</v>
      </c>
      <c r="E144" s="1">
        <f ca="1">OFFSET(控制台!$G$5001,MATCH(A144,控制台!$B$5001:$B$5051,0)-1,0)</f>
        <v>5</v>
      </c>
      <c r="F144" s="1">
        <f ca="1">OFFSET(控制台!$E$5001,MATCH(A144,控制台!$B$5001:$B$5051,0)-1,0)</f>
        <v>1</v>
      </c>
      <c r="G144" s="4">
        <f ca="1">OFFSET(控制台!$I$5001,MATCH(A144,控制台!$B$5001:$B$5051,0)-1,0)</f>
        <v>1000</v>
      </c>
      <c r="H144" s="4">
        <f ca="1">OFFSET(控制台!$J$5001,MATCH(A144,控制台!$B$5001:$B$5051,0)-1,0)+(B144-1)*OFFSET(控制台!$K$5001,MATCH(A144,控制台!$B$5001:$B$5051,0)-1,0)</f>
        <v>400000</v>
      </c>
      <c r="I144" s="4">
        <f ca="1">OFFSET(控制台!$M$5001,MATCH(A144,控制台!$B$5001:$B$5051,0)-1,0)+(B144-1)*OFFSET(控制台!$N$5001,MATCH(A144,控制台!$B$5001:$B$5051,0)-1,0)</f>
        <v>400000</v>
      </c>
      <c r="J144" s="4">
        <f ca="1">OFFSET(控制台!$P$5001,MATCH(A144,控制台!$B$5001:$B$5051,0)-1,0)</f>
        <v>7200</v>
      </c>
    </row>
    <row r="145" spans="1:10">
      <c r="A145" s="1">
        <v>220101</v>
      </c>
      <c r="B145" s="1">
        <v>5</v>
      </c>
      <c r="C145" s="1">
        <v>2</v>
      </c>
      <c r="D145" s="1" t="s">
        <v>2447</v>
      </c>
      <c r="E145" s="1">
        <f ca="1">OFFSET(控制台!$G$5001,MATCH(A145,控制台!$B$5001:$B$5051,0)-1,0)</f>
        <v>5</v>
      </c>
      <c r="F145" s="1">
        <f ca="1">OFFSET(控制台!$E$5001,MATCH(A145,控制台!$B$5001:$B$5051,0)-1,0)</f>
        <v>1</v>
      </c>
      <c r="G145" s="4">
        <f ca="1">OFFSET(控制台!$I$5001,MATCH(A145,控制台!$B$5001:$B$5051,0)-1,0)</f>
        <v>1000</v>
      </c>
      <c r="H145" s="4">
        <f ca="1">OFFSET(控制台!$J$5001,MATCH(A145,控制台!$B$5001:$B$5051,0)-1,0)+(B145-1)*OFFSET(控制台!$K$5001,MATCH(A145,控制台!$B$5001:$B$5051,0)-1,0)</f>
        <v>500000</v>
      </c>
      <c r="I145" s="4">
        <f ca="1">OFFSET(控制台!$M$5001,MATCH(A145,控制台!$B$5001:$B$5051,0)-1,0)+(B145-1)*OFFSET(控制台!$N$5001,MATCH(A145,控制台!$B$5001:$B$5051,0)-1,0)</f>
        <v>500000</v>
      </c>
      <c r="J145" s="4">
        <f ca="1">OFFSET(控制台!$P$5001,MATCH(A145,控制台!$B$5001:$B$5051,0)-1,0)</f>
        <v>7200</v>
      </c>
    </row>
    <row r="146" spans="1:10">
      <c r="A146" s="1">
        <v>220102</v>
      </c>
      <c r="B146" s="1">
        <v>1</v>
      </c>
      <c r="C146" s="1">
        <v>2</v>
      </c>
      <c r="D146" s="1" t="s">
        <v>2448</v>
      </c>
      <c r="E146" s="1">
        <f ca="1">OFFSET(控制台!$G$5001,MATCH(A146,控制台!$B$5001:$B$5051,0)-1,0)</f>
        <v>5</v>
      </c>
      <c r="F146" s="1">
        <f ca="1">OFFSET(控制台!$E$5001,MATCH(A146,控制台!$B$5001:$B$5051,0)-1,0)</f>
        <v>1</v>
      </c>
      <c r="G146" s="4">
        <f ca="1">OFFSET(控制台!$I$5001,MATCH(A146,控制台!$B$5001:$B$5051,0)-1,0)</f>
        <v>1000</v>
      </c>
      <c r="H146" s="4">
        <f ca="1">OFFSET(控制台!$J$5001,MATCH(A146,控制台!$B$5001:$B$5051,0)-1,0)+(B146-1)*OFFSET(控制台!$K$5001,MATCH(A146,控制台!$B$5001:$B$5051,0)-1,0)</f>
        <v>100000</v>
      </c>
      <c r="I146" s="4">
        <f ca="1">OFFSET(控制台!$M$5001,MATCH(A146,控制台!$B$5001:$B$5051,0)-1,0)+(B146-1)*OFFSET(控制台!$N$5001,MATCH(A146,控制台!$B$5001:$B$5051,0)-1,0)</f>
        <v>100000</v>
      </c>
      <c r="J146" s="4">
        <f ca="1">OFFSET(控制台!$P$5001,MATCH(A146,控制台!$B$5001:$B$5051,0)-1,0)</f>
        <v>7200</v>
      </c>
    </row>
    <row r="147" spans="1:10">
      <c r="A147" s="1">
        <v>220102</v>
      </c>
      <c r="B147" s="1">
        <v>2</v>
      </c>
      <c r="C147" s="1">
        <v>2</v>
      </c>
      <c r="D147" s="1" t="s">
        <v>2448</v>
      </c>
      <c r="E147" s="1">
        <f ca="1">OFFSET(控制台!$G$5001,MATCH(A147,控制台!$B$5001:$B$5051,0)-1,0)</f>
        <v>5</v>
      </c>
      <c r="F147" s="1">
        <f ca="1">OFFSET(控制台!$E$5001,MATCH(A147,控制台!$B$5001:$B$5051,0)-1,0)</f>
        <v>1</v>
      </c>
      <c r="G147" s="4">
        <f ca="1">OFFSET(控制台!$I$5001,MATCH(A147,控制台!$B$5001:$B$5051,0)-1,0)</f>
        <v>1000</v>
      </c>
      <c r="H147" s="4">
        <f ca="1">OFFSET(控制台!$J$5001,MATCH(A147,控制台!$B$5001:$B$5051,0)-1,0)+(B147-1)*OFFSET(控制台!$K$5001,MATCH(A147,控制台!$B$5001:$B$5051,0)-1,0)</f>
        <v>200000</v>
      </c>
      <c r="I147" s="4">
        <f ca="1">OFFSET(控制台!$M$5001,MATCH(A147,控制台!$B$5001:$B$5051,0)-1,0)+(B147-1)*OFFSET(控制台!$N$5001,MATCH(A147,控制台!$B$5001:$B$5051,0)-1,0)</f>
        <v>200000</v>
      </c>
      <c r="J147" s="4">
        <f ca="1">OFFSET(控制台!$P$5001,MATCH(A147,控制台!$B$5001:$B$5051,0)-1,0)</f>
        <v>7200</v>
      </c>
    </row>
    <row r="148" spans="1:10">
      <c r="A148" s="1">
        <v>220102</v>
      </c>
      <c r="B148" s="1">
        <v>3</v>
      </c>
      <c r="C148" s="1">
        <v>2</v>
      </c>
      <c r="D148" s="1" t="s">
        <v>2448</v>
      </c>
      <c r="E148" s="1">
        <f ca="1">OFFSET(控制台!$G$5001,MATCH(A148,控制台!$B$5001:$B$5051,0)-1,0)</f>
        <v>5</v>
      </c>
      <c r="F148" s="1">
        <f ca="1">OFFSET(控制台!$E$5001,MATCH(A148,控制台!$B$5001:$B$5051,0)-1,0)</f>
        <v>1</v>
      </c>
      <c r="G148" s="4">
        <f ca="1">OFFSET(控制台!$I$5001,MATCH(A148,控制台!$B$5001:$B$5051,0)-1,0)</f>
        <v>1000</v>
      </c>
      <c r="H148" s="4">
        <f ca="1">OFFSET(控制台!$J$5001,MATCH(A148,控制台!$B$5001:$B$5051,0)-1,0)+(B148-1)*OFFSET(控制台!$K$5001,MATCH(A148,控制台!$B$5001:$B$5051,0)-1,0)</f>
        <v>300000</v>
      </c>
      <c r="I148" s="4">
        <f ca="1">OFFSET(控制台!$M$5001,MATCH(A148,控制台!$B$5001:$B$5051,0)-1,0)+(B148-1)*OFFSET(控制台!$N$5001,MATCH(A148,控制台!$B$5001:$B$5051,0)-1,0)</f>
        <v>300000</v>
      </c>
      <c r="J148" s="4">
        <f ca="1">OFFSET(控制台!$P$5001,MATCH(A148,控制台!$B$5001:$B$5051,0)-1,0)</f>
        <v>7200</v>
      </c>
    </row>
    <row r="149" spans="1:10">
      <c r="A149" s="1">
        <v>220102</v>
      </c>
      <c r="B149" s="1">
        <v>4</v>
      </c>
      <c r="C149" s="1">
        <v>2</v>
      </c>
      <c r="D149" s="1" t="s">
        <v>2448</v>
      </c>
      <c r="E149" s="1">
        <f ca="1">OFFSET(控制台!$G$5001,MATCH(A149,控制台!$B$5001:$B$5051,0)-1,0)</f>
        <v>5</v>
      </c>
      <c r="F149" s="1">
        <f ca="1">OFFSET(控制台!$E$5001,MATCH(A149,控制台!$B$5001:$B$5051,0)-1,0)</f>
        <v>1</v>
      </c>
      <c r="G149" s="4">
        <f ca="1">OFFSET(控制台!$I$5001,MATCH(A149,控制台!$B$5001:$B$5051,0)-1,0)</f>
        <v>1000</v>
      </c>
      <c r="H149" s="4">
        <f ca="1">OFFSET(控制台!$J$5001,MATCH(A149,控制台!$B$5001:$B$5051,0)-1,0)+(B149-1)*OFFSET(控制台!$K$5001,MATCH(A149,控制台!$B$5001:$B$5051,0)-1,0)</f>
        <v>400000</v>
      </c>
      <c r="I149" s="4">
        <f ca="1">OFFSET(控制台!$M$5001,MATCH(A149,控制台!$B$5001:$B$5051,0)-1,0)+(B149-1)*OFFSET(控制台!$N$5001,MATCH(A149,控制台!$B$5001:$B$5051,0)-1,0)</f>
        <v>400000</v>
      </c>
      <c r="J149" s="4">
        <f ca="1">OFFSET(控制台!$P$5001,MATCH(A149,控制台!$B$5001:$B$5051,0)-1,0)</f>
        <v>7200</v>
      </c>
    </row>
    <row r="150" spans="1:10">
      <c r="A150" s="1">
        <v>220102</v>
      </c>
      <c r="B150" s="1">
        <v>5</v>
      </c>
      <c r="C150" s="1">
        <v>2</v>
      </c>
      <c r="D150" s="1" t="s">
        <v>2448</v>
      </c>
      <c r="E150" s="1">
        <f ca="1">OFFSET(控制台!$G$5001,MATCH(A150,控制台!$B$5001:$B$5051,0)-1,0)</f>
        <v>5</v>
      </c>
      <c r="F150" s="1">
        <f ca="1">OFFSET(控制台!$E$5001,MATCH(A150,控制台!$B$5001:$B$5051,0)-1,0)</f>
        <v>1</v>
      </c>
      <c r="G150" s="4">
        <f ca="1">OFFSET(控制台!$I$5001,MATCH(A150,控制台!$B$5001:$B$5051,0)-1,0)</f>
        <v>1000</v>
      </c>
      <c r="H150" s="4">
        <f ca="1">OFFSET(控制台!$J$5001,MATCH(A150,控制台!$B$5001:$B$5051,0)-1,0)+(B150-1)*OFFSET(控制台!$K$5001,MATCH(A150,控制台!$B$5001:$B$5051,0)-1,0)</f>
        <v>500000</v>
      </c>
      <c r="I150" s="4">
        <f ca="1">OFFSET(控制台!$M$5001,MATCH(A150,控制台!$B$5001:$B$5051,0)-1,0)+(B150-1)*OFFSET(控制台!$N$5001,MATCH(A150,控制台!$B$5001:$B$5051,0)-1,0)</f>
        <v>500000</v>
      </c>
      <c r="J150" s="4">
        <f ca="1">OFFSET(控制台!$P$5001,MATCH(A150,控制台!$B$5001:$B$5051,0)-1,0)</f>
        <v>7200</v>
      </c>
    </row>
    <row r="151" spans="1:10">
      <c r="A151" s="1">
        <v>220201</v>
      </c>
      <c r="B151" s="1">
        <v>1</v>
      </c>
      <c r="C151" s="1">
        <v>2</v>
      </c>
      <c r="D151" s="1" t="s">
        <v>2449</v>
      </c>
      <c r="E151" s="1">
        <f ca="1">OFFSET(控制台!$G$5001,MATCH(A151,控制台!$B$5001:$B$5051,0)-1,0)</f>
        <v>5</v>
      </c>
      <c r="F151" s="1">
        <f ca="1">OFFSET(控制台!$E$5001,MATCH(A151,控制台!$B$5001:$B$5051,0)-1,0)</f>
        <v>2</v>
      </c>
      <c r="G151" s="4">
        <f ca="1">OFFSET(控制台!$I$5001,MATCH(A151,控制台!$B$5001:$B$5051,0)-1,0)</f>
        <v>1000</v>
      </c>
      <c r="H151" s="4">
        <f ca="1">OFFSET(控制台!$J$5001,MATCH(A151,控制台!$B$5001:$B$5051,0)-1,0)+(B151-1)*OFFSET(控制台!$K$5001,MATCH(A151,控制台!$B$5001:$B$5051,0)-1,0)</f>
        <v>200000</v>
      </c>
      <c r="I151" s="4">
        <f ca="1">OFFSET(控制台!$M$5001,MATCH(A151,控制台!$B$5001:$B$5051,0)-1,0)+(B151-1)*OFFSET(控制台!$N$5001,MATCH(A151,控制台!$B$5001:$B$5051,0)-1,0)</f>
        <v>200000</v>
      </c>
      <c r="J151" s="4">
        <f ca="1">OFFSET(控制台!$P$5001,MATCH(A151,控制台!$B$5001:$B$5051,0)-1,0)</f>
        <v>7200</v>
      </c>
    </row>
    <row r="152" spans="1:10">
      <c r="A152" s="1">
        <v>220201</v>
      </c>
      <c r="B152" s="1">
        <v>2</v>
      </c>
      <c r="C152" s="1">
        <v>2</v>
      </c>
      <c r="D152" s="1" t="s">
        <v>2449</v>
      </c>
      <c r="E152" s="1">
        <f ca="1">OFFSET(控制台!$G$5001,MATCH(A152,控制台!$B$5001:$B$5051,0)-1,0)</f>
        <v>5</v>
      </c>
      <c r="F152" s="1">
        <f ca="1">OFFSET(控制台!$E$5001,MATCH(A152,控制台!$B$5001:$B$5051,0)-1,0)</f>
        <v>2</v>
      </c>
      <c r="G152" s="4">
        <f ca="1">OFFSET(控制台!$I$5001,MATCH(A152,控制台!$B$5001:$B$5051,0)-1,0)</f>
        <v>1000</v>
      </c>
      <c r="H152" s="4">
        <f ca="1">OFFSET(控制台!$J$5001,MATCH(A152,控制台!$B$5001:$B$5051,0)-1,0)+(B152-1)*OFFSET(控制台!$K$5001,MATCH(A152,控制台!$B$5001:$B$5051,0)-1,0)</f>
        <v>400000</v>
      </c>
      <c r="I152" s="4">
        <f ca="1">OFFSET(控制台!$M$5001,MATCH(A152,控制台!$B$5001:$B$5051,0)-1,0)+(B152-1)*OFFSET(控制台!$N$5001,MATCH(A152,控制台!$B$5001:$B$5051,0)-1,0)</f>
        <v>400000</v>
      </c>
      <c r="J152" s="4">
        <f ca="1">OFFSET(控制台!$P$5001,MATCH(A152,控制台!$B$5001:$B$5051,0)-1,0)</f>
        <v>7200</v>
      </c>
    </row>
    <row r="153" spans="1:10">
      <c r="A153" s="1">
        <v>220201</v>
      </c>
      <c r="B153" s="1">
        <v>3</v>
      </c>
      <c r="C153" s="1">
        <v>2</v>
      </c>
      <c r="D153" s="1" t="s">
        <v>2449</v>
      </c>
      <c r="E153" s="1">
        <f ca="1">OFFSET(控制台!$G$5001,MATCH(A153,控制台!$B$5001:$B$5051,0)-1,0)</f>
        <v>5</v>
      </c>
      <c r="F153" s="1">
        <f ca="1">OFFSET(控制台!$E$5001,MATCH(A153,控制台!$B$5001:$B$5051,0)-1,0)</f>
        <v>2</v>
      </c>
      <c r="G153" s="4">
        <f ca="1">OFFSET(控制台!$I$5001,MATCH(A153,控制台!$B$5001:$B$5051,0)-1,0)</f>
        <v>1000</v>
      </c>
      <c r="H153" s="4">
        <f ca="1">OFFSET(控制台!$J$5001,MATCH(A153,控制台!$B$5001:$B$5051,0)-1,0)+(B153-1)*OFFSET(控制台!$K$5001,MATCH(A153,控制台!$B$5001:$B$5051,0)-1,0)</f>
        <v>600000</v>
      </c>
      <c r="I153" s="4">
        <f ca="1">OFFSET(控制台!$M$5001,MATCH(A153,控制台!$B$5001:$B$5051,0)-1,0)+(B153-1)*OFFSET(控制台!$N$5001,MATCH(A153,控制台!$B$5001:$B$5051,0)-1,0)</f>
        <v>600000</v>
      </c>
      <c r="J153" s="4">
        <f ca="1">OFFSET(控制台!$P$5001,MATCH(A153,控制台!$B$5001:$B$5051,0)-1,0)</f>
        <v>7200</v>
      </c>
    </row>
    <row r="154" spans="1:10">
      <c r="A154" s="1">
        <v>220201</v>
      </c>
      <c r="B154" s="1">
        <v>4</v>
      </c>
      <c r="C154" s="1">
        <v>2</v>
      </c>
      <c r="D154" s="1" t="s">
        <v>2449</v>
      </c>
      <c r="E154" s="1">
        <f ca="1">OFFSET(控制台!$G$5001,MATCH(A154,控制台!$B$5001:$B$5051,0)-1,0)</f>
        <v>5</v>
      </c>
      <c r="F154" s="1">
        <f ca="1">OFFSET(控制台!$E$5001,MATCH(A154,控制台!$B$5001:$B$5051,0)-1,0)</f>
        <v>2</v>
      </c>
      <c r="G154" s="4">
        <f ca="1">OFFSET(控制台!$I$5001,MATCH(A154,控制台!$B$5001:$B$5051,0)-1,0)</f>
        <v>1000</v>
      </c>
      <c r="H154" s="4">
        <f ca="1">OFFSET(控制台!$J$5001,MATCH(A154,控制台!$B$5001:$B$5051,0)-1,0)+(B154-1)*OFFSET(控制台!$K$5001,MATCH(A154,控制台!$B$5001:$B$5051,0)-1,0)</f>
        <v>800000</v>
      </c>
      <c r="I154" s="4">
        <f ca="1">OFFSET(控制台!$M$5001,MATCH(A154,控制台!$B$5001:$B$5051,0)-1,0)+(B154-1)*OFFSET(控制台!$N$5001,MATCH(A154,控制台!$B$5001:$B$5051,0)-1,0)</f>
        <v>800000</v>
      </c>
      <c r="J154" s="4">
        <f ca="1">OFFSET(控制台!$P$5001,MATCH(A154,控制台!$B$5001:$B$5051,0)-1,0)</f>
        <v>7200</v>
      </c>
    </row>
    <row r="155" spans="1:10">
      <c r="A155" s="1">
        <v>220201</v>
      </c>
      <c r="B155" s="1">
        <v>5</v>
      </c>
      <c r="C155" s="1">
        <v>2</v>
      </c>
      <c r="D155" s="1" t="s">
        <v>2449</v>
      </c>
      <c r="E155" s="1">
        <f ca="1">OFFSET(控制台!$G$5001,MATCH(A155,控制台!$B$5001:$B$5051,0)-1,0)</f>
        <v>5</v>
      </c>
      <c r="F155" s="1">
        <f ca="1">OFFSET(控制台!$E$5001,MATCH(A155,控制台!$B$5001:$B$5051,0)-1,0)</f>
        <v>2</v>
      </c>
      <c r="G155" s="4">
        <f ca="1">OFFSET(控制台!$I$5001,MATCH(A155,控制台!$B$5001:$B$5051,0)-1,0)</f>
        <v>1000</v>
      </c>
      <c r="H155" s="4">
        <f ca="1">OFFSET(控制台!$J$5001,MATCH(A155,控制台!$B$5001:$B$5051,0)-1,0)+(B155-1)*OFFSET(控制台!$K$5001,MATCH(A155,控制台!$B$5001:$B$5051,0)-1,0)</f>
        <v>1000000</v>
      </c>
      <c r="I155" s="4">
        <f ca="1">OFFSET(控制台!$M$5001,MATCH(A155,控制台!$B$5001:$B$5051,0)-1,0)+(B155-1)*OFFSET(控制台!$N$5001,MATCH(A155,控制台!$B$5001:$B$5051,0)-1,0)</f>
        <v>1000000</v>
      </c>
      <c r="J155" s="4">
        <f ca="1">OFFSET(控制台!$P$5001,MATCH(A155,控制台!$B$5001:$B$5051,0)-1,0)</f>
        <v>7200</v>
      </c>
    </row>
    <row r="156" spans="1:10">
      <c r="A156" s="1">
        <v>220202</v>
      </c>
      <c r="B156" s="1">
        <v>1</v>
      </c>
      <c r="C156" s="1">
        <v>2</v>
      </c>
      <c r="D156" s="1" t="s">
        <v>2450</v>
      </c>
      <c r="E156" s="1">
        <f ca="1">OFFSET(控制台!$G$5001,MATCH(A156,控制台!$B$5001:$B$5051,0)-1,0)</f>
        <v>5</v>
      </c>
      <c r="F156" s="1">
        <f ca="1">OFFSET(控制台!$E$5001,MATCH(A156,控制台!$B$5001:$B$5051,0)-1,0)</f>
        <v>2</v>
      </c>
      <c r="G156" s="4">
        <f ca="1">OFFSET(控制台!$I$5001,MATCH(A156,控制台!$B$5001:$B$5051,0)-1,0)</f>
        <v>1000</v>
      </c>
      <c r="H156" s="4">
        <f ca="1">OFFSET(控制台!$J$5001,MATCH(A156,控制台!$B$5001:$B$5051,0)-1,0)+(B156-1)*OFFSET(控制台!$K$5001,MATCH(A156,控制台!$B$5001:$B$5051,0)-1,0)</f>
        <v>200000</v>
      </c>
      <c r="I156" s="4">
        <f ca="1">OFFSET(控制台!$M$5001,MATCH(A156,控制台!$B$5001:$B$5051,0)-1,0)+(B156-1)*OFFSET(控制台!$N$5001,MATCH(A156,控制台!$B$5001:$B$5051,0)-1,0)</f>
        <v>200000</v>
      </c>
      <c r="J156" s="4">
        <f ca="1">OFFSET(控制台!$P$5001,MATCH(A156,控制台!$B$5001:$B$5051,0)-1,0)</f>
        <v>7200</v>
      </c>
    </row>
    <row r="157" spans="1:10">
      <c r="A157" s="1">
        <v>220202</v>
      </c>
      <c r="B157" s="1">
        <v>2</v>
      </c>
      <c r="C157" s="1">
        <v>2</v>
      </c>
      <c r="D157" s="1" t="s">
        <v>2450</v>
      </c>
      <c r="E157" s="1">
        <f ca="1">OFFSET(控制台!$G$5001,MATCH(A157,控制台!$B$5001:$B$5051,0)-1,0)</f>
        <v>5</v>
      </c>
      <c r="F157" s="1">
        <f ca="1">OFFSET(控制台!$E$5001,MATCH(A157,控制台!$B$5001:$B$5051,0)-1,0)</f>
        <v>2</v>
      </c>
      <c r="G157" s="4">
        <f ca="1">OFFSET(控制台!$I$5001,MATCH(A157,控制台!$B$5001:$B$5051,0)-1,0)</f>
        <v>1000</v>
      </c>
      <c r="H157" s="4">
        <f ca="1">OFFSET(控制台!$J$5001,MATCH(A157,控制台!$B$5001:$B$5051,0)-1,0)+(B157-1)*OFFSET(控制台!$K$5001,MATCH(A157,控制台!$B$5001:$B$5051,0)-1,0)</f>
        <v>400000</v>
      </c>
      <c r="I157" s="4">
        <f ca="1">OFFSET(控制台!$M$5001,MATCH(A157,控制台!$B$5001:$B$5051,0)-1,0)+(B157-1)*OFFSET(控制台!$N$5001,MATCH(A157,控制台!$B$5001:$B$5051,0)-1,0)</f>
        <v>400000</v>
      </c>
      <c r="J157" s="4">
        <f ca="1">OFFSET(控制台!$P$5001,MATCH(A157,控制台!$B$5001:$B$5051,0)-1,0)</f>
        <v>7200</v>
      </c>
    </row>
    <row r="158" spans="1:10">
      <c r="A158" s="1">
        <v>220202</v>
      </c>
      <c r="B158" s="1">
        <v>3</v>
      </c>
      <c r="C158" s="1">
        <v>2</v>
      </c>
      <c r="D158" s="1" t="s">
        <v>2450</v>
      </c>
      <c r="E158" s="1">
        <f ca="1">OFFSET(控制台!$G$5001,MATCH(A158,控制台!$B$5001:$B$5051,0)-1,0)</f>
        <v>5</v>
      </c>
      <c r="F158" s="1">
        <f ca="1">OFFSET(控制台!$E$5001,MATCH(A158,控制台!$B$5001:$B$5051,0)-1,0)</f>
        <v>2</v>
      </c>
      <c r="G158" s="4">
        <f ca="1">OFFSET(控制台!$I$5001,MATCH(A158,控制台!$B$5001:$B$5051,0)-1,0)</f>
        <v>1000</v>
      </c>
      <c r="H158" s="4">
        <f ca="1">OFFSET(控制台!$J$5001,MATCH(A158,控制台!$B$5001:$B$5051,0)-1,0)+(B158-1)*OFFSET(控制台!$K$5001,MATCH(A158,控制台!$B$5001:$B$5051,0)-1,0)</f>
        <v>600000</v>
      </c>
      <c r="I158" s="4">
        <f ca="1">OFFSET(控制台!$M$5001,MATCH(A158,控制台!$B$5001:$B$5051,0)-1,0)+(B158-1)*OFFSET(控制台!$N$5001,MATCH(A158,控制台!$B$5001:$B$5051,0)-1,0)</f>
        <v>600000</v>
      </c>
      <c r="J158" s="4">
        <f ca="1">OFFSET(控制台!$P$5001,MATCH(A158,控制台!$B$5001:$B$5051,0)-1,0)</f>
        <v>7200</v>
      </c>
    </row>
    <row r="159" spans="1:10">
      <c r="A159" s="1">
        <v>220202</v>
      </c>
      <c r="B159" s="1">
        <v>4</v>
      </c>
      <c r="C159" s="1">
        <v>2</v>
      </c>
      <c r="D159" s="1" t="s">
        <v>2450</v>
      </c>
      <c r="E159" s="1">
        <f ca="1">OFFSET(控制台!$G$5001,MATCH(A159,控制台!$B$5001:$B$5051,0)-1,0)</f>
        <v>5</v>
      </c>
      <c r="F159" s="1">
        <f ca="1">OFFSET(控制台!$E$5001,MATCH(A159,控制台!$B$5001:$B$5051,0)-1,0)</f>
        <v>2</v>
      </c>
      <c r="G159" s="4">
        <f ca="1">OFFSET(控制台!$I$5001,MATCH(A159,控制台!$B$5001:$B$5051,0)-1,0)</f>
        <v>1000</v>
      </c>
      <c r="H159" s="4">
        <f ca="1">OFFSET(控制台!$J$5001,MATCH(A159,控制台!$B$5001:$B$5051,0)-1,0)+(B159-1)*OFFSET(控制台!$K$5001,MATCH(A159,控制台!$B$5001:$B$5051,0)-1,0)</f>
        <v>800000</v>
      </c>
      <c r="I159" s="4">
        <f ca="1">OFFSET(控制台!$M$5001,MATCH(A159,控制台!$B$5001:$B$5051,0)-1,0)+(B159-1)*OFFSET(控制台!$N$5001,MATCH(A159,控制台!$B$5001:$B$5051,0)-1,0)</f>
        <v>800000</v>
      </c>
      <c r="J159" s="4">
        <f ca="1">OFFSET(控制台!$P$5001,MATCH(A159,控制台!$B$5001:$B$5051,0)-1,0)</f>
        <v>7200</v>
      </c>
    </row>
    <row r="160" spans="1:10">
      <c r="A160" s="1">
        <v>220202</v>
      </c>
      <c r="B160" s="1">
        <v>5</v>
      </c>
      <c r="C160" s="1">
        <v>2</v>
      </c>
      <c r="D160" s="1" t="s">
        <v>2450</v>
      </c>
      <c r="E160" s="1">
        <f ca="1">OFFSET(控制台!$G$5001,MATCH(A160,控制台!$B$5001:$B$5051,0)-1,0)</f>
        <v>5</v>
      </c>
      <c r="F160" s="1">
        <f ca="1">OFFSET(控制台!$E$5001,MATCH(A160,控制台!$B$5001:$B$5051,0)-1,0)</f>
        <v>2</v>
      </c>
      <c r="G160" s="4">
        <f ca="1">OFFSET(控制台!$I$5001,MATCH(A160,控制台!$B$5001:$B$5051,0)-1,0)</f>
        <v>1000</v>
      </c>
      <c r="H160" s="4">
        <f ca="1">OFFSET(控制台!$J$5001,MATCH(A160,控制台!$B$5001:$B$5051,0)-1,0)+(B160-1)*OFFSET(控制台!$K$5001,MATCH(A160,控制台!$B$5001:$B$5051,0)-1,0)</f>
        <v>1000000</v>
      </c>
      <c r="I160" s="4">
        <f ca="1">OFFSET(控制台!$M$5001,MATCH(A160,控制台!$B$5001:$B$5051,0)-1,0)+(B160-1)*OFFSET(控制台!$N$5001,MATCH(A160,控制台!$B$5001:$B$5051,0)-1,0)</f>
        <v>1000000</v>
      </c>
      <c r="J160" s="4">
        <f ca="1">OFFSET(控制台!$P$5001,MATCH(A160,控制台!$B$5001:$B$5051,0)-1,0)</f>
        <v>7200</v>
      </c>
    </row>
    <row r="161" spans="1:10">
      <c r="A161" s="1">
        <v>220203</v>
      </c>
      <c r="B161" s="1">
        <v>1</v>
      </c>
      <c r="C161" s="1">
        <v>2</v>
      </c>
      <c r="D161" s="1" t="s">
        <v>2451</v>
      </c>
      <c r="E161" s="1">
        <f ca="1">OFFSET(控制台!$G$5001,MATCH(A161,控制台!$B$5001:$B$5051,0)-1,0)</f>
        <v>5</v>
      </c>
      <c r="F161" s="1">
        <f ca="1">OFFSET(控制台!$E$5001,MATCH(A161,控制台!$B$5001:$B$5051,0)-1,0)</f>
        <v>2</v>
      </c>
      <c r="G161" s="4">
        <f ca="1">OFFSET(控制台!$I$5001,MATCH(A161,控制台!$B$5001:$B$5051,0)-1,0)</f>
        <v>1000</v>
      </c>
      <c r="H161" s="4">
        <f ca="1">OFFSET(控制台!$J$5001,MATCH(A161,控制台!$B$5001:$B$5051,0)-1,0)+(B161-1)*OFFSET(控制台!$K$5001,MATCH(A161,控制台!$B$5001:$B$5051,0)-1,0)</f>
        <v>200000</v>
      </c>
      <c r="I161" s="4">
        <f ca="1">OFFSET(控制台!$M$5001,MATCH(A161,控制台!$B$5001:$B$5051,0)-1,0)+(B161-1)*OFFSET(控制台!$N$5001,MATCH(A161,控制台!$B$5001:$B$5051,0)-1,0)</f>
        <v>200000</v>
      </c>
      <c r="J161" s="4">
        <f ca="1">OFFSET(控制台!$P$5001,MATCH(A161,控制台!$B$5001:$B$5051,0)-1,0)</f>
        <v>7200</v>
      </c>
    </row>
    <row r="162" spans="1:10">
      <c r="A162" s="1">
        <v>220203</v>
      </c>
      <c r="B162" s="1">
        <v>2</v>
      </c>
      <c r="C162" s="1">
        <v>2</v>
      </c>
      <c r="D162" s="1" t="s">
        <v>2451</v>
      </c>
      <c r="E162" s="1">
        <f ca="1">OFFSET(控制台!$G$5001,MATCH(A162,控制台!$B$5001:$B$5051,0)-1,0)</f>
        <v>5</v>
      </c>
      <c r="F162" s="1">
        <f ca="1">OFFSET(控制台!$E$5001,MATCH(A162,控制台!$B$5001:$B$5051,0)-1,0)</f>
        <v>2</v>
      </c>
      <c r="G162" s="4">
        <f ca="1">OFFSET(控制台!$I$5001,MATCH(A162,控制台!$B$5001:$B$5051,0)-1,0)</f>
        <v>1000</v>
      </c>
      <c r="H162" s="4">
        <f ca="1">OFFSET(控制台!$J$5001,MATCH(A162,控制台!$B$5001:$B$5051,0)-1,0)+(B162-1)*OFFSET(控制台!$K$5001,MATCH(A162,控制台!$B$5001:$B$5051,0)-1,0)</f>
        <v>400000</v>
      </c>
      <c r="I162" s="4">
        <f ca="1">OFFSET(控制台!$M$5001,MATCH(A162,控制台!$B$5001:$B$5051,0)-1,0)+(B162-1)*OFFSET(控制台!$N$5001,MATCH(A162,控制台!$B$5001:$B$5051,0)-1,0)</f>
        <v>400000</v>
      </c>
      <c r="J162" s="4">
        <f ca="1">OFFSET(控制台!$P$5001,MATCH(A162,控制台!$B$5001:$B$5051,0)-1,0)</f>
        <v>7200</v>
      </c>
    </row>
    <row r="163" spans="1:10">
      <c r="A163" s="1">
        <v>220203</v>
      </c>
      <c r="B163" s="1">
        <v>3</v>
      </c>
      <c r="C163" s="1">
        <v>2</v>
      </c>
      <c r="D163" s="1" t="s">
        <v>2451</v>
      </c>
      <c r="E163" s="1">
        <f ca="1">OFFSET(控制台!$G$5001,MATCH(A163,控制台!$B$5001:$B$5051,0)-1,0)</f>
        <v>5</v>
      </c>
      <c r="F163" s="1">
        <f ca="1">OFFSET(控制台!$E$5001,MATCH(A163,控制台!$B$5001:$B$5051,0)-1,0)</f>
        <v>2</v>
      </c>
      <c r="G163" s="4">
        <f ca="1">OFFSET(控制台!$I$5001,MATCH(A163,控制台!$B$5001:$B$5051,0)-1,0)</f>
        <v>1000</v>
      </c>
      <c r="H163" s="4">
        <f ca="1">OFFSET(控制台!$J$5001,MATCH(A163,控制台!$B$5001:$B$5051,0)-1,0)+(B163-1)*OFFSET(控制台!$K$5001,MATCH(A163,控制台!$B$5001:$B$5051,0)-1,0)</f>
        <v>600000</v>
      </c>
      <c r="I163" s="4">
        <f ca="1">OFFSET(控制台!$M$5001,MATCH(A163,控制台!$B$5001:$B$5051,0)-1,0)+(B163-1)*OFFSET(控制台!$N$5001,MATCH(A163,控制台!$B$5001:$B$5051,0)-1,0)</f>
        <v>600000</v>
      </c>
      <c r="J163" s="4">
        <f ca="1">OFFSET(控制台!$P$5001,MATCH(A163,控制台!$B$5001:$B$5051,0)-1,0)</f>
        <v>7200</v>
      </c>
    </row>
    <row r="164" spans="1:10">
      <c r="A164" s="1">
        <v>220203</v>
      </c>
      <c r="B164" s="1">
        <v>4</v>
      </c>
      <c r="C164" s="1">
        <v>2</v>
      </c>
      <c r="D164" s="1" t="s">
        <v>2451</v>
      </c>
      <c r="E164" s="1">
        <f ca="1">OFFSET(控制台!$G$5001,MATCH(A164,控制台!$B$5001:$B$5051,0)-1,0)</f>
        <v>5</v>
      </c>
      <c r="F164" s="1">
        <f ca="1">OFFSET(控制台!$E$5001,MATCH(A164,控制台!$B$5001:$B$5051,0)-1,0)</f>
        <v>2</v>
      </c>
      <c r="G164" s="4">
        <f ca="1">OFFSET(控制台!$I$5001,MATCH(A164,控制台!$B$5001:$B$5051,0)-1,0)</f>
        <v>1000</v>
      </c>
      <c r="H164" s="4">
        <f ca="1">OFFSET(控制台!$J$5001,MATCH(A164,控制台!$B$5001:$B$5051,0)-1,0)+(B164-1)*OFFSET(控制台!$K$5001,MATCH(A164,控制台!$B$5001:$B$5051,0)-1,0)</f>
        <v>800000</v>
      </c>
      <c r="I164" s="4">
        <f ca="1">OFFSET(控制台!$M$5001,MATCH(A164,控制台!$B$5001:$B$5051,0)-1,0)+(B164-1)*OFFSET(控制台!$N$5001,MATCH(A164,控制台!$B$5001:$B$5051,0)-1,0)</f>
        <v>800000</v>
      </c>
      <c r="J164" s="4">
        <f ca="1">OFFSET(控制台!$P$5001,MATCH(A164,控制台!$B$5001:$B$5051,0)-1,0)</f>
        <v>7200</v>
      </c>
    </row>
    <row r="165" spans="1:10">
      <c r="A165" s="1">
        <v>220203</v>
      </c>
      <c r="B165" s="1">
        <v>5</v>
      </c>
      <c r="C165" s="1">
        <v>2</v>
      </c>
      <c r="D165" s="1" t="s">
        <v>2451</v>
      </c>
      <c r="E165" s="1">
        <f ca="1">OFFSET(控制台!$G$5001,MATCH(A165,控制台!$B$5001:$B$5051,0)-1,0)</f>
        <v>5</v>
      </c>
      <c r="F165" s="1">
        <f ca="1">OFFSET(控制台!$E$5001,MATCH(A165,控制台!$B$5001:$B$5051,0)-1,0)</f>
        <v>2</v>
      </c>
      <c r="G165" s="4">
        <f ca="1">OFFSET(控制台!$I$5001,MATCH(A165,控制台!$B$5001:$B$5051,0)-1,0)</f>
        <v>1000</v>
      </c>
      <c r="H165" s="4">
        <f ca="1">OFFSET(控制台!$J$5001,MATCH(A165,控制台!$B$5001:$B$5051,0)-1,0)+(B165-1)*OFFSET(控制台!$K$5001,MATCH(A165,控制台!$B$5001:$B$5051,0)-1,0)</f>
        <v>1000000</v>
      </c>
      <c r="I165" s="4">
        <f ca="1">OFFSET(控制台!$M$5001,MATCH(A165,控制台!$B$5001:$B$5051,0)-1,0)+(B165-1)*OFFSET(控制台!$N$5001,MATCH(A165,控制台!$B$5001:$B$5051,0)-1,0)</f>
        <v>1000000</v>
      </c>
      <c r="J165" s="4">
        <f ca="1">OFFSET(控制台!$P$5001,MATCH(A165,控制台!$B$5001:$B$5051,0)-1,0)</f>
        <v>7200</v>
      </c>
    </row>
    <row r="166" spans="1:10">
      <c r="A166" s="1">
        <v>220301</v>
      </c>
      <c r="B166" s="1">
        <v>1</v>
      </c>
      <c r="C166" s="1">
        <v>2</v>
      </c>
      <c r="D166" s="1" t="s">
        <v>2432</v>
      </c>
      <c r="E166" s="1">
        <f ca="1">OFFSET(控制台!$G$5001,MATCH(A166,控制台!$B$5001:$B$5051,0)-1,0)</f>
        <v>5</v>
      </c>
      <c r="F166" s="1">
        <f ca="1">OFFSET(控制台!$E$5001,MATCH(A166,控制台!$B$5001:$B$5051,0)-1,0)</f>
        <v>3</v>
      </c>
      <c r="G166" s="4">
        <f ca="1">OFFSET(控制台!$I$5001,MATCH(A166,控制台!$B$5001:$B$5051,0)-1,0)</f>
        <v>2000</v>
      </c>
      <c r="H166" s="4">
        <f ca="1">OFFSET(控制台!$J$5001,MATCH(A166,控制台!$B$5001:$B$5051,0)-1,0)+(B166-1)*OFFSET(控制台!$K$5001,MATCH(A166,控制台!$B$5001:$B$5051,0)-1,0)</f>
        <v>300000</v>
      </c>
      <c r="I166" s="4">
        <f ca="1">OFFSET(控制台!$M$5001,MATCH(A166,控制台!$B$5001:$B$5051,0)-1,0)+(B166-1)*OFFSET(控制台!$N$5001,MATCH(A166,控制台!$B$5001:$B$5051,0)-1,0)</f>
        <v>400000</v>
      </c>
      <c r="J166" s="4">
        <f ca="1">OFFSET(控制台!$P$5001,MATCH(A166,控制台!$B$5001:$B$5051,0)-1,0)</f>
        <v>14400</v>
      </c>
    </row>
    <row r="167" spans="1:10">
      <c r="A167" s="1">
        <v>220301</v>
      </c>
      <c r="B167" s="1">
        <v>2</v>
      </c>
      <c r="C167" s="1">
        <v>2</v>
      </c>
      <c r="D167" s="1" t="s">
        <v>2432</v>
      </c>
      <c r="E167" s="1">
        <f ca="1">OFFSET(控制台!$G$5001,MATCH(A167,控制台!$B$5001:$B$5051,0)-1,0)</f>
        <v>5</v>
      </c>
      <c r="F167" s="1">
        <f ca="1">OFFSET(控制台!$E$5001,MATCH(A167,控制台!$B$5001:$B$5051,0)-1,0)</f>
        <v>3</v>
      </c>
      <c r="G167" s="4">
        <f ca="1">OFFSET(控制台!$I$5001,MATCH(A167,控制台!$B$5001:$B$5051,0)-1,0)</f>
        <v>2000</v>
      </c>
      <c r="H167" s="4">
        <f ca="1">OFFSET(控制台!$J$5001,MATCH(A167,控制台!$B$5001:$B$5051,0)-1,0)+(B167-1)*OFFSET(控制台!$K$5001,MATCH(A167,控制台!$B$5001:$B$5051,0)-1,0)</f>
        <v>600000</v>
      </c>
      <c r="I167" s="4">
        <f ca="1">OFFSET(控制台!$M$5001,MATCH(A167,控制台!$B$5001:$B$5051,0)-1,0)+(B167-1)*OFFSET(控制台!$N$5001,MATCH(A167,控制台!$B$5001:$B$5051,0)-1,0)</f>
        <v>800000</v>
      </c>
      <c r="J167" s="4">
        <f ca="1">OFFSET(控制台!$P$5001,MATCH(A167,控制台!$B$5001:$B$5051,0)-1,0)</f>
        <v>14400</v>
      </c>
    </row>
    <row r="168" spans="1:10">
      <c r="A168" s="1">
        <v>220301</v>
      </c>
      <c r="B168" s="1">
        <v>3</v>
      </c>
      <c r="C168" s="1">
        <v>2</v>
      </c>
      <c r="D168" s="1" t="s">
        <v>2432</v>
      </c>
      <c r="E168" s="1">
        <f ca="1">OFFSET(控制台!$G$5001,MATCH(A168,控制台!$B$5001:$B$5051,0)-1,0)</f>
        <v>5</v>
      </c>
      <c r="F168" s="1">
        <f ca="1">OFFSET(控制台!$E$5001,MATCH(A168,控制台!$B$5001:$B$5051,0)-1,0)</f>
        <v>3</v>
      </c>
      <c r="G168" s="4">
        <f ca="1">OFFSET(控制台!$I$5001,MATCH(A168,控制台!$B$5001:$B$5051,0)-1,0)</f>
        <v>2000</v>
      </c>
      <c r="H168" s="4">
        <f ca="1">OFFSET(控制台!$J$5001,MATCH(A168,控制台!$B$5001:$B$5051,0)-1,0)+(B168-1)*OFFSET(控制台!$K$5001,MATCH(A168,控制台!$B$5001:$B$5051,0)-1,0)</f>
        <v>900000</v>
      </c>
      <c r="I168" s="4">
        <f ca="1">OFFSET(控制台!$M$5001,MATCH(A168,控制台!$B$5001:$B$5051,0)-1,0)+(B168-1)*OFFSET(控制台!$N$5001,MATCH(A168,控制台!$B$5001:$B$5051,0)-1,0)</f>
        <v>1200000</v>
      </c>
      <c r="J168" s="4">
        <f ca="1">OFFSET(控制台!$P$5001,MATCH(A168,控制台!$B$5001:$B$5051,0)-1,0)</f>
        <v>14400</v>
      </c>
    </row>
    <row r="169" spans="1:10">
      <c r="A169" s="1">
        <v>220301</v>
      </c>
      <c r="B169" s="1">
        <v>4</v>
      </c>
      <c r="C169" s="1">
        <v>2</v>
      </c>
      <c r="D169" s="1" t="s">
        <v>2432</v>
      </c>
      <c r="E169" s="1">
        <f ca="1">OFFSET(控制台!$G$5001,MATCH(A169,控制台!$B$5001:$B$5051,0)-1,0)</f>
        <v>5</v>
      </c>
      <c r="F169" s="1">
        <f ca="1">OFFSET(控制台!$E$5001,MATCH(A169,控制台!$B$5001:$B$5051,0)-1,0)</f>
        <v>3</v>
      </c>
      <c r="G169" s="4">
        <f ca="1">OFFSET(控制台!$I$5001,MATCH(A169,控制台!$B$5001:$B$5051,0)-1,0)</f>
        <v>2000</v>
      </c>
      <c r="H169" s="4">
        <f ca="1">OFFSET(控制台!$J$5001,MATCH(A169,控制台!$B$5001:$B$5051,0)-1,0)+(B169-1)*OFFSET(控制台!$K$5001,MATCH(A169,控制台!$B$5001:$B$5051,0)-1,0)</f>
        <v>1200000</v>
      </c>
      <c r="I169" s="4">
        <f ca="1">OFFSET(控制台!$M$5001,MATCH(A169,控制台!$B$5001:$B$5051,0)-1,0)+(B169-1)*OFFSET(控制台!$N$5001,MATCH(A169,控制台!$B$5001:$B$5051,0)-1,0)</f>
        <v>1600000</v>
      </c>
      <c r="J169" s="4">
        <f ca="1">OFFSET(控制台!$P$5001,MATCH(A169,控制台!$B$5001:$B$5051,0)-1,0)</f>
        <v>14400</v>
      </c>
    </row>
    <row r="170" spans="1:10">
      <c r="A170" s="1">
        <v>220301</v>
      </c>
      <c r="B170" s="1">
        <v>5</v>
      </c>
      <c r="C170" s="1">
        <v>2</v>
      </c>
      <c r="D170" s="1" t="s">
        <v>2432</v>
      </c>
      <c r="E170" s="1">
        <f ca="1">OFFSET(控制台!$G$5001,MATCH(A170,控制台!$B$5001:$B$5051,0)-1,0)</f>
        <v>5</v>
      </c>
      <c r="F170" s="1">
        <f ca="1">OFFSET(控制台!$E$5001,MATCH(A170,控制台!$B$5001:$B$5051,0)-1,0)</f>
        <v>3</v>
      </c>
      <c r="G170" s="4">
        <f ca="1">OFFSET(控制台!$I$5001,MATCH(A170,控制台!$B$5001:$B$5051,0)-1,0)</f>
        <v>2000</v>
      </c>
      <c r="H170" s="4">
        <f ca="1">OFFSET(控制台!$J$5001,MATCH(A170,控制台!$B$5001:$B$5051,0)-1,0)+(B170-1)*OFFSET(控制台!$K$5001,MATCH(A170,控制台!$B$5001:$B$5051,0)-1,0)</f>
        <v>1500000</v>
      </c>
      <c r="I170" s="4">
        <f ca="1">OFFSET(控制台!$M$5001,MATCH(A170,控制台!$B$5001:$B$5051,0)-1,0)+(B170-1)*OFFSET(控制台!$N$5001,MATCH(A170,控制台!$B$5001:$B$5051,0)-1,0)</f>
        <v>2000000</v>
      </c>
      <c r="J170" s="4">
        <f ca="1">OFFSET(控制台!$P$5001,MATCH(A170,控制台!$B$5001:$B$5051,0)-1,0)</f>
        <v>14400</v>
      </c>
    </row>
    <row r="171" spans="1:10">
      <c r="A171" s="1">
        <v>220401</v>
      </c>
      <c r="B171" s="1">
        <v>1</v>
      </c>
      <c r="C171" s="1">
        <v>2</v>
      </c>
      <c r="D171" s="1" t="s">
        <v>2452</v>
      </c>
      <c r="E171" s="1">
        <f ca="1">OFFSET(控制台!$G$5001,MATCH(A171,控制台!$B$5001:$B$5051,0)-1,0)</f>
        <v>10</v>
      </c>
      <c r="F171" s="1">
        <f ca="1">OFFSET(控制台!$E$5001,MATCH(A171,控制台!$B$5001:$B$5051,0)-1,0)</f>
        <v>4</v>
      </c>
      <c r="G171" s="4">
        <f ca="1">OFFSET(控制台!$I$5001,MATCH(A171,控制台!$B$5001:$B$5051,0)-1,0)</f>
        <v>2000</v>
      </c>
      <c r="H171" s="4">
        <f ca="1">OFFSET(控制台!$J$5001,MATCH(A171,控制台!$B$5001:$B$5051,0)-1,0)+(B171-1)*OFFSET(控制台!$K$5001,MATCH(A171,控制台!$B$5001:$B$5051,0)-1,0)</f>
        <v>200000</v>
      </c>
      <c r="I171" s="4">
        <f ca="1">OFFSET(控制台!$M$5001,MATCH(A171,控制台!$B$5001:$B$5051,0)-1,0)+(B171-1)*OFFSET(控制台!$N$5001,MATCH(A171,控制台!$B$5001:$B$5051,0)-1,0)</f>
        <v>800000</v>
      </c>
      <c r="J171" s="4">
        <f ca="1">OFFSET(控制台!$P$5001,MATCH(A171,控制台!$B$5001:$B$5051,0)-1,0)</f>
        <v>14400</v>
      </c>
    </row>
    <row r="172" spans="1:10">
      <c r="A172" s="1">
        <v>220401</v>
      </c>
      <c r="B172" s="1">
        <v>2</v>
      </c>
      <c r="C172" s="1">
        <v>2</v>
      </c>
      <c r="D172" s="1" t="s">
        <v>2452</v>
      </c>
      <c r="E172" s="1">
        <f ca="1">OFFSET(控制台!$G$5001,MATCH(A172,控制台!$B$5001:$B$5051,0)-1,0)</f>
        <v>10</v>
      </c>
      <c r="F172" s="1">
        <f ca="1">OFFSET(控制台!$E$5001,MATCH(A172,控制台!$B$5001:$B$5051,0)-1,0)</f>
        <v>4</v>
      </c>
      <c r="G172" s="4">
        <f ca="1">OFFSET(控制台!$I$5001,MATCH(A172,控制台!$B$5001:$B$5051,0)-1,0)</f>
        <v>2000</v>
      </c>
      <c r="H172" s="4">
        <f ca="1">OFFSET(控制台!$J$5001,MATCH(A172,控制台!$B$5001:$B$5051,0)-1,0)+(B172-1)*OFFSET(控制台!$K$5001,MATCH(A172,控制台!$B$5001:$B$5051,0)-1,0)</f>
        <v>250000</v>
      </c>
      <c r="I172" s="4">
        <f ca="1">OFFSET(控制台!$M$5001,MATCH(A172,控制台!$B$5001:$B$5051,0)-1,0)+(B172-1)*OFFSET(控制台!$N$5001,MATCH(A172,控制台!$B$5001:$B$5051,0)-1,0)</f>
        <v>1600000</v>
      </c>
      <c r="J172" s="4">
        <f ca="1">OFFSET(控制台!$P$5001,MATCH(A172,控制台!$B$5001:$B$5051,0)-1,0)</f>
        <v>14400</v>
      </c>
    </row>
    <row r="173" spans="1:10">
      <c r="A173" s="1">
        <v>220401</v>
      </c>
      <c r="B173" s="1">
        <v>3</v>
      </c>
      <c r="C173" s="1">
        <v>2</v>
      </c>
      <c r="D173" s="1" t="s">
        <v>2452</v>
      </c>
      <c r="E173" s="1">
        <f ca="1">OFFSET(控制台!$G$5001,MATCH(A173,控制台!$B$5001:$B$5051,0)-1,0)</f>
        <v>10</v>
      </c>
      <c r="F173" s="1">
        <f ca="1">OFFSET(控制台!$E$5001,MATCH(A173,控制台!$B$5001:$B$5051,0)-1,0)</f>
        <v>4</v>
      </c>
      <c r="G173" s="4">
        <f ca="1">OFFSET(控制台!$I$5001,MATCH(A173,控制台!$B$5001:$B$5051,0)-1,0)</f>
        <v>2000</v>
      </c>
      <c r="H173" s="4">
        <f ca="1">OFFSET(控制台!$J$5001,MATCH(A173,控制台!$B$5001:$B$5051,0)-1,0)+(B173-1)*OFFSET(控制台!$K$5001,MATCH(A173,控制台!$B$5001:$B$5051,0)-1,0)</f>
        <v>300000</v>
      </c>
      <c r="I173" s="4">
        <f ca="1">OFFSET(控制台!$M$5001,MATCH(A173,控制台!$B$5001:$B$5051,0)-1,0)+(B173-1)*OFFSET(控制台!$N$5001,MATCH(A173,控制台!$B$5001:$B$5051,0)-1,0)</f>
        <v>2400000</v>
      </c>
      <c r="J173" s="4">
        <f ca="1">OFFSET(控制台!$P$5001,MATCH(A173,控制台!$B$5001:$B$5051,0)-1,0)</f>
        <v>14400</v>
      </c>
    </row>
    <row r="174" spans="1:10">
      <c r="A174" s="1">
        <v>220401</v>
      </c>
      <c r="B174" s="1">
        <v>4</v>
      </c>
      <c r="C174" s="1">
        <v>2</v>
      </c>
      <c r="D174" s="1" t="s">
        <v>2452</v>
      </c>
      <c r="E174" s="1">
        <f ca="1">OFFSET(控制台!$G$5001,MATCH(A174,控制台!$B$5001:$B$5051,0)-1,0)</f>
        <v>10</v>
      </c>
      <c r="F174" s="1">
        <f ca="1">OFFSET(控制台!$E$5001,MATCH(A174,控制台!$B$5001:$B$5051,0)-1,0)</f>
        <v>4</v>
      </c>
      <c r="G174" s="4">
        <f ca="1">OFFSET(控制台!$I$5001,MATCH(A174,控制台!$B$5001:$B$5051,0)-1,0)</f>
        <v>2000</v>
      </c>
      <c r="H174" s="4">
        <f ca="1">OFFSET(控制台!$J$5001,MATCH(A174,控制台!$B$5001:$B$5051,0)-1,0)+(B174-1)*OFFSET(控制台!$K$5001,MATCH(A174,控制台!$B$5001:$B$5051,0)-1,0)</f>
        <v>350000</v>
      </c>
      <c r="I174" s="4">
        <f ca="1">OFFSET(控制台!$M$5001,MATCH(A174,控制台!$B$5001:$B$5051,0)-1,0)+(B174-1)*OFFSET(控制台!$N$5001,MATCH(A174,控制台!$B$5001:$B$5051,0)-1,0)</f>
        <v>3200000</v>
      </c>
      <c r="J174" s="4">
        <f ca="1">OFFSET(控制台!$P$5001,MATCH(A174,控制台!$B$5001:$B$5051,0)-1,0)</f>
        <v>14400</v>
      </c>
    </row>
    <row r="175" spans="1:10">
      <c r="A175" s="1">
        <v>220401</v>
      </c>
      <c r="B175" s="1">
        <v>5</v>
      </c>
      <c r="C175" s="1">
        <v>2</v>
      </c>
      <c r="D175" s="1" t="s">
        <v>2452</v>
      </c>
      <c r="E175" s="1">
        <f ca="1">OFFSET(控制台!$G$5001,MATCH(A175,控制台!$B$5001:$B$5051,0)-1,0)</f>
        <v>10</v>
      </c>
      <c r="F175" s="1">
        <f ca="1">OFFSET(控制台!$E$5001,MATCH(A175,控制台!$B$5001:$B$5051,0)-1,0)</f>
        <v>4</v>
      </c>
      <c r="G175" s="4">
        <f ca="1">OFFSET(控制台!$I$5001,MATCH(A175,控制台!$B$5001:$B$5051,0)-1,0)</f>
        <v>2000</v>
      </c>
      <c r="H175" s="4">
        <f ca="1">OFFSET(控制台!$J$5001,MATCH(A175,控制台!$B$5001:$B$5051,0)-1,0)+(B175-1)*OFFSET(控制台!$K$5001,MATCH(A175,控制台!$B$5001:$B$5051,0)-1,0)</f>
        <v>400000</v>
      </c>
      <c r="I175" s="4">
        <f ca="1">OFFSET(控制台!$M$5001,MATCH(A175,控制台!$B$5001:$B$5051,0)-1,0)+(B175-1)*OFFSET(控制台!$N$5001,MATCH(A175,控制台!$B$5001:$B$5051,0)-1,0)</f>
        <v>4000000</v>
      </c>
      <c r="J175" s="4">
        <f ca="1">OFFSET(控制台!$P$5001,MATCH(A175,控制台!$B$5001:$B$5051,0)-1,0)</f>
        <v>14400</v>
      </c>
    </row>
    <row r="176" spans="1:10">
      <c r="A176" s="1">
        <v>220401</v>
      </c>
      <c r="B176" s="1">
        <v>6</v>
      </c>
      <c r="C176" s="1">
        <v>2</v>
      </c>
      <c r="D176" s="1" t="s">
        <v>2452</v>
      </c>
      <c r="E176" s="1">
        <f ca="1">OFFSET(控制台!$G$5001,MATCH(A176,控制台!$B$5001:$B$5051,0)-1,0)</f>
        <v>10</v>
      </c>
      <c r="F176" s="1">
        <f ca="1">OFFSET(控制台!$E$5001,MATCH(A176,控制台!$B$5001:$B$5051,0)-1,0)</f>
        <v>4</v>
      </c>
      <c r="G176" s="4">
        <f ca="1">OFFSET(控制台!$I$5001,MATCH(A176,控制台!$B$5001:$B$5051,0)-1,0)</f>
        <v>2000</v>
      </c>
      <c r="H176" s="4">
        <f ca="1">OFFSET(控制台!$J$5001,MATCH(A176,控制台!$B$5001:$B$5051,0)-1,0)+(B176-1)*OFFSET(控制台!$K$5001,MATCH(A176,控制台!$B$5001:$B$5051,0)-1,0)</f>
        <v>450000</v>
      </c>
      <c r="I176" s="4">
        <f ca="1">OFFSET(控制台!$M$5001,MATCH(A176,控制台!$B$5001:$B$5051,0)-1,0)+(B176-1)*OFFSET(控制台!$N$5001,MATCH(A176,控制台!$B$5001:$B$5051,0)-1,0)</f>
        <v>4800000</v>
      </c>
      <c r="J176" s="4">
        <f ca="1">OFFSET(控制台!$P$5001,MATCH(A176,控制台!$B$5001:$B$5051,0)-1,0)</f>
        <v>14400</v>
      </c>
    </row>
    <row r="177" spans="1:10">
      <c r="A177" s="1">
        <v>220401</v>
      </c>
      <c r="B177" s="1">
        <v>7</v>
      </c>
      <c r="C177" s="1">
        <v>2</v>
      </c>
      <c r="D177" s="1" t="s">
        <v>2452</v>
      </c>
      <c r="E177" s="1">
        <f ca="1">OFFSET(控制台!$G$5001,MATCH(A177,控制台!$B$5001:$B$5051,0)-1,0)</f>
        <v>10</v>
      </c>
      <c r="F177" s="1">
        <f ca="1">OFFSET(控制台!$E$5001,MATCH(A177,控制台!$B$5001:$B$5051,0)-1,0)</f>
        <v>4</v>
      </c>
      <c r="G177" s="4">
        <f ca="1">OFFSET(控制台!$I$5001,MATCH(A177,控制台!$B$5001:$B$5051,0)-1,0)</f>
        <v>2000</v>
      </c>
      <c r="H177" s="4">
        <f ca="1">OFFSET(控制台!$J$5001,MATCH(A177,控制台!$B$5001:$B$5051,0)-1,0)+(B177-1)*OFFSET(控制台!$K$5001,MATCH(A177,控制台!$B$5001:$B$5051,0)-1,0)</f>
        <v>500000</v>
      </c>
      <c r="I177" s="4">
        <f ca="1">OFFSET(控制台!$M$5001,MATCH(A177,控制台!$B$5001:$B$5051,0)-1,0)+(B177-1)*OFFSET(控制台!$N$5001,MATCH(A177,控制台!$B$5001:$B$5051,0)-1,0)</f>
        <v>5600000</v>
      </c>
      <c r="J177" s="4">
        <f ca="1">OFFSET(控制台!$P$5001,MATCH(A177,控制台!$B$5001:$B$5051,0)-1,0)</f>
        <v>14400</v>
      </c>
    </row>
    <row r="178" spans="1:10">
      <c r="A178" s="1">
        <v>220401</v>
      </c>
      <c r="B178" s="1">
        <v>8</v>
      </c>
      <c r="C178" s="1">
        <v>2</v>
      </c>
      <c r="D178" s="1" t="s">
        <v>2452</v>
      </c>
      <c r="E178" s="1">
        <f ca="1">OFFSET(控制台!$G$5001,MATCH(A178,控制台!$B$5001:$B$5051,0)-1,0)</f>
        <v>10</v>
      </c>
      <c r="F178" s="1">
        <f ca="1">OFFSET(控制台!$E$5001,MATCH(A178,控制台!$B$5001:$B$5051,0)-1,0)</f>
        <v>4</v>
      </c>
      <c r="G178" s="4">
        <f ca="1">OFFSET(控制台!$I$5001,MATCH(A178,控制台!$B$5001:$B$5051,0)-1,0)</f>
        <v>2000</v>
      </c>
      <c r="H178" s="4">
        <f ca="1">OFFSET(控制台!$J$5001,MATCH(A178,控制台!$B$5001:$B$5051,0)-1,0)+(B178-1)*OFFSET(控制台!$K$5001,MATCH(A178,控制台!$B$5001:$B$5051,0)-1,0)</f>
        <v>550000</v>
      </c>
      <c r="I178" s="4">
        <f ca="1">OFFSET(控制台!$M$5001,MATCH(A178,控制台!$B$5001:$B$5051,0)-1,0)+(B178-1)*OFFSET(控制台!$N$5001,MATCH(A178,控制台!$B$5001:$B$5051,0)-1,0)</f>
        <v>6400000</v>
      </c>
      <c r="J178" s="4">
        <f ca="1">OFFSET(控制台!$P$5001,MATCH(A178,控制台!$B$5001:$B$5051,0)-1,0)</f>
        <v>14400</v>
      </c>
    </row>
    <row r="179" spans="1:10">
      <c r="A179" s="1">
        <v>220401</v>
      </c>
      <c r="B179" s="1">
        <v>9</v>
      </c>
      <c r="C179" s="1">
        <v>2</v>
      </c>
      <c r="D179" s="1" t="s">
        <v>2452</v>
      </c>
      <c r="E179" s="1">
        <f ca="1">OFFSET(控制台!$G$5001,MATCH(A179,控制台!$B$5001:$B$5051,0)-1,0)</f>
        <v>10</v>
      </c>
      <c r="F179" s="1">
        <f ca="1">OFFSET(控制台!$E$5001,MATCH(A179,控制台!$B$5001:$B$5051,0)-1,0)</f>
        <v>4</v>
      </c>
      <c r="G179" s="4">
        <f ca="1">OFFSET(控制台!$I$5001,MATCH(A179,控制台!$B$5001:$B$5051,0)-1,0)</f>
        <v>2000</v>
      </c>
      <c r="H179" s="4">
        <f ca="1">OFFSET(控制台!$J$5001,MATCH(A179,控制台!$B$5001:$B$5051,0)-1,0)+(B179-1)*OFFSET(控制台!$K$5001,MATCH(A179,控制台!$B$5001:$B$5051,0)-1,0)</f>
        <v>600000</v>
      </c>
      <c r="I179" s="4">
        <f ca="1">OFFSET(控制台!$M$5001,MATCH(A179,控制台!$B$5001:$B$5051,0)-1,0)+(B179-1)*OFFSET(控制台!$N$5001,MATCH(A179,控制台!$B$5001:$B$5051,0)-1,0)</f>
        <v>7200000</v>
      </c>
      <c r="J179" s="4">
        <f ca="1">OFFSET(控制台!$P$5001,MATCH(A179,控制台!$B$5001:$B$5051,0)-1,0)</f>
        <v>14400</v>
      </c>
    </row>
    <row r="180" spans="1:10">
      <c r="A180" s="1">
        <v>220401</v>
      </c>
      <c r="B180" s="1">
        <v>10</v>
      </c>
      <c r="C180" s="1">
        <v>2</v>
      </c>
      <c r="D180" s="1" t="s">
        <v>2452</v>
      </c>
      <c r="E180" s="1">
        <f ca="1">OFFSET(控制台!$G$5001,MATCH(A180,控制台!$B$5001:$B$5051,0)-1,0)</f>
        <v>10</v>
      </c>
      <c r="F180" s="1">
        <f ca="1">OFFSET(控制台!$E$5001,MATCH(A180,控制台!$B$5001:$B$5051,0)-1,0)</f>
        <v>4</v>
      </c>
      <c r="G180" s="4">
        <f ca="1">OFFSET(控制台!$I$5001,MATCH(A180,控制台!$B$5001:$B$5051,0)-1,0)</f>
        <v>2000</v>
      </c>
      <c r="H180" s="4">
        <f ca="1">OFFSET(控制台!$J$5001,MATCH(A180,控制台!$B$5001:$B$5051,0)-1,0)+(B180-1)*OFFSET(控制台!$K$5001,MATCH(A180,控制台!$B$5001:$B$5051,0)-1,0)</f>
        <v>650000</v>
      </c>
      <c r="I180" s="4">
        <f ca="1">OFFSET(控制台!$M$5001,MATCH(A180,控制台!$B$5001:$B$5051,0)-1,0)+(B180-1)*OFFSET(控制台!$N$5001,MATCH(A180,控制台!$B$5001:$B$5051,0)-1,0)</f>
        <v>8000000</v>
      </c>
      <c r="J180" s="4">
        <f ca="1">OFFSET(控制台!$P$5001,MATCH(A180,控制台!$B$5001:$B$5051,0)-1,0)</f>
        <v>14400</v>
      </c>
    </row>
    <row r="181" spans="1:10">
      <c r="A181" s="1">
        <v>220402</v>
      </c>
      <c r="B181" s="1">
        <v>1</v>
      </c>
      <c r="C181" s="1">
        <v>2</v>
      </c>
      <c r="D181" s="1" t="s">
        <v>2453</v>
      </c>
      <c r="E181" s="1">
        <f ca="1">OFFSET(控制台!$G$5001,MATCH(A181,控制台!$B$5001:$B$5051,0)-1,0)</f>
        <v>10</v>
      </c>
      <c r="F181" s="1">
        <f ca="1">OFFSET(控制台!$E$5001,MATCH(A181,控制台!$B$5001:$B$5051,0)-1,0)</f>
        <v>4</v>
      </c>
      <c r="G181" s="4">
        <f ca="1">OFFSET(控制台!$I$5001,MATCH(A181,控制台!$B$5001:$B$5051,0)-1,0)</f>
        <v>2000</v>
      </c>
      <c r="H181" s="4">
        <f ca="1">OFFSET(控制台!$J$5001,MATCH(A181,控制台!$B$5001:$B$5051,0)-1,0)+(B181-1)*OFFSET(控制台!$K$5001,MATCH(A181,控制台!$B$5001:$B$5051,0)-1,0)</f>
        <v>200000</v>
      </c>
      <c r="I181" s="4">
        <f ca="1">OFFSET(控制台!$M$5001,MATCH(A181,控制台!$B$5001:$B$5051,0)-1,0)+(B181-1)*OFFSET(控制台!$N$5001,MATCH(A181,控制台!$B$5001:$B$5051,0)-1,0)</f>
        <v>800000</v>
      </c>
      <c r="J181" s="4">
        <f ca="1">OFFSET(控制台!$P$5001,MATCH(A181,控制台!$B$5001:$B$5051,0)-1,0)</f>
        <v>14400</v>
      </c>
    </row>
    <row r="182" spans="1:10">
      <c r="A182" s="1">
        <v>220402</v>
      </c>
      <c r="B182" s="1">
        <v>2</v>
      </c>
      <c r="C182" s="1">
        <v>2</v>
      </c>
      <c r="D182" s="1" t="s">
        <v>2453</v>
      </c>
      <c r="E182" s="1">
        <f ca="1">OFFSET(控制台!$G$5001,MATCH(A182,控制台!$B$5001:$B$5051,0)-1,0)</f>
        <v>10</v>
      </c>
      <c r="F182" s="1">
        <f ca="1">OFFSET(控制台!$E$5001,MATCH(A182,控制台!$B$5001:$B$5051,0)-1,0)</f>
        <v>4</v>
      </c>
      <c r="G182" s="4">
        <f ca="1">OFFSET(控制台!$I$5001,MATCH(A182,控制台!$B$5001:$B$5051,0)-1,0)</f>
        <v>2000</v>
      </c>
      <c r="H182" s="4">
        <f ca="1">OFFSET(控制台!$J$5001,MATCH(A182,控制台!$B$5001:$B$5051,0)-1,0)+(B182-1)*OFFSET(控制台!$K$5001,MATCH(A182,控制台!$B$5001:$B$5051,0)-1,0)</f>
        <v>250000</v>
      </c>
      <c r="I182" s="4">
        <f ca="1">OFFSET(控制台!$M$5001,MATCH(A182,控制台!$B$5001:$B$5051,0)-1,0)+(B182-1)*OFFSET(控制台!$N$5001,MATCH(A182,控制台!$B$5001:$B$5051,0)-1,0)</f>
        <v>1600000</v>
      </c>
      <c r="J182" s="4">
        <f ca="1">OFFSET(控制台!$P$5001,MATCH(A182,控制台!$B$5001:$B$5051,0)-1,0)</f>
        <v>14400</v>
      </c>
    </row>
    <row r="183" spans="1:10">
      <c r="A183" s="1">
        <v>220402</v>
      </c>
      <c r="B183" s="1">
        <v>3</v>
      </c>
      <c r="C183" s="1">
        <v>2</v>
      </c>
      <c r="D183" s="1" t="s">
        <v>2453</v>
      </c>
      <c r="E183" s="1">
        <f ca="1">OFFSET(控制台!$G$5001,MATCH(A183,控制台!$B$5001:$B$5051,0)-1,0)</f>
        <v>10</v>
      </c>
      <c r="F183" s="1">
        <f ca="1">OFFSET(控制台!$E$5001,MATCH(A183,控制台!$B$5001:$B$5051,0)-1,0)</f>
        <v>4</v>
      </c>
      <c r="G183" s="4">
        <f ca="1">OFFSET(控制台!$I$5001,MATCH(A183,控制台!$B$5001:$B$5051,0)-1,0)</f>
        <v>2000</v>
      </c>
      <c r="H183" s="4">
        <f ca="1">OFFSET(控制台!$J$5001,MATCH(A183,控制台!$B$5001:$B$5051,0)-1,0)+(B183-1)*OFFSET(控制台!$K$5001,MATCH(A183,控制台!$B$5001:$B$5051,0)-1,0)</f>
        <v>300000</v>
      </c>
      <c r="I183" s="4">
        <f ca="1">OFFSET(控制台!$M$5001,MATCH(A183,控制台!$B$5001:$B$5051,0)-1,0)+(B183-1)*OFFSET(控制台!$N$5001,MATCH(A183,控制台!$B$5001:$B$5051,0)-1,0)</f>
        <v>2400000</v>
      </c>
      <c r="J183" s="4">
        <f ca="1">OFFSET(控制台!$P$5001,MATCH(A183,控制台!$B$5001:$B$5051,0)-1,0)</f>
        <v>14400</v>
      </c>
    </row>
    <row r="184" spans="1:10">
      <c r="A184" s="1">
        <v>220402</v>
      </c>
      <c r="B184" s="1">
        <v>4</v>
      </c>
      <c r="C184" s="1">
        <v>2</v>
      </c>
      <c r="D184" s="1" t="s">
        <v>2453</v>
      </c>
      <c r="E184" s="1">
        <f ca="1">OFFSET(控制台!$G$5001,MATCH(A184,控制台!$B$5001:$B$5051,0)-1,0)</f>
        <v>10</v>
      </c>
      <c r="F184" s="1">
        <f ca="1">OFFSET(控制台!$E$5001,MATCH(A184,控制台!$B$5001:$B$5051,0)-1,0)</f>
        <v>4</v>
      </c>
      <c r="G184" s="4">
        <f ca="1">OFFSET(控制台!$I$5001,MATCH(A184,控制台!$B$5001:$B$5051,0)-1,0)</f>
        <v>2000</v>
      </c>
      <c r="H184" s="4">
        <f ca="1">OFFSET(控制台!$J$5001,MATCH(A184,控制台!$B$5001:$B$5051,0)-1,0)+(B184-1)*OFFSET(控制台!$K$5001,MATCH(A184,控制台!$B$5001:$B$5051,0)-1,0)</f>
        <v>350000</v>
      </c>
      <c r="I184" s="4">
        <f ca="1">OFFSET(控制台!$M$5001,MATCH(A184,控制台!$B$5001:$B$5051,0)-1,0)+(B184-1)*OFFSET(控制台!$N$5001,MATCH(A184,控制台!$B$5001:$B$5051,0)-1,0)</f>
        <v>3200000</v>
      </c>
      <c r="J184" s="4">
        <f ca="1">OFFSET(控制台!$P$5001,MATCH(A184,控制台!$B$5001:$B$5051,0)-1,0)</f>
        <v>14400</v>
      </c>
    </row>
    <row r="185" spans="1:10">
      <c r="A185" s="1">
        <v>220402</v>
      </c>
      <c r="B185" s="1">
        <v>5</v>
      </c>
      <c r="C185" s="1">
        <v>2</v>
      </c>
      <c r="D185" s="1" t="s">
        <v>2453</v>
      </c>
      <c r="E185" s="1">
        <f ca="1">OFFSET(控制台!$G$5001,MATCH(A185,控制台!$B$5001:$B$5051,0)-1,0)</f>
        <v>10</v>
      </c>
      <c r="F185" s="1">
        <f ca="1">OFFSET(控制台!$E$5001,MATCH(A185,控制台!$B$5001:$B$5051,0)-1,0)</f>
        <v>4</v>
      </c>
      <c r="G185" s="4">
        <f ca="1">OFFSET(控制台!$I$5001,MATCH(A185,控制台!$B$5001:$B$5051,0)-1,0)</f>
        <v>2000</v>
      </c>
      <c r="H185" s="4">
        <f ca="1">OFFSET(控制台!$J$5001,MATCH(A185,控制台!$B$5001:$B$5051,0)-1,0)+(B185-1)*OFFSET(控制台!$K$5001,MATCH(A185,控制台!$B$5001:$B$5051,0)-1,0)</f>
        <v>400000</v>
      </c>
      <c r="I185" s="4">
        <f ca="1">OFFSET(控制台!$M$5001,MATCH(A185,控制台!$B$5001:$B$5051,0)-1,0)+(B185-1)*OFFSET(控制台!$N$5001,MATCH(A185,控制台!$B$5001:$B$5051,0)-1,0)</f>
        <v>4000000</v>
      </c>
      <c r="J185" s="4">
        <f ca="1">OFFSET(控制台!$P$5001,MATCH(A185,控制台!$B$5001:$B$5051,0)-1,0)</f>
        <v>14400</v>
      </c>
    </row>
    <row r="186" spans="1:10">
      <c r="A186" s="1">
        <v>220402</v>
      </c>
      <c r="B186" s="1">
        <v>6</v>
      </c>
      <c r="C186" s="1">
        <v>2</v>
      </c>
      <c r="D186" s="1" t="s">
        <v>2453</v>
      </c>
      <c r="E186" s="1">
        <f ca="1">OFFSET(控制台!$G$5001,MATCH(A186,控制台!$B$5001:$B$5051,0)-1,0)</f>
        <v>10</v>
      </c>
      <c r="F186" s="1">
        <f ca="1">OFFSET(控制台!$E$5001,MATCH(A186,控制台!$B$5001:$B$5051,0)-1,0)</f>
        <v>4</v>
      </c>
      <c r="G186" s="4">
        <f ca="1">OFFSET(控制台!$I$5001,MATCH(A186,控制台!$B$5001:$B$5051,0)-1,0)</f>
        <v>2000</v>
      </c>
      <c r="H186" s="4">
        <f ca="1">OFFSET(控制台!$J$5001,MATCH(A186,控制台!$B$5001:$B$5051,0)-1,0)+(B186-1)*OFFSET(控制台!$K$5001,MATCH(A186,控制台!$B$5001:$B$5051,0)-1,0)</f>
        <v>450000</v>
      </c>
      <c r="I186" s="4">
        <f ca="1">OFFSET(控制台!$M$5001,MATCH(A186,控制台!$B$5001:$B$5051,0)-1,0)+(B186-1)*OFFSET(控制台!$N$5001,MATCH(A186,控制台!$B$5001:$B$5051,0)-1,0)</f>
        <v>4800000</v>
      </c>
      <c r="J186" s="4">
        <f ca="1">OFFSET(控制台!$P$5001,MATCH(A186,控制台!$B$5001:$B$5051,0)-1,0)</f>
        <v>14400</v>
      </c>
    </row>
    <row r="187" spans="1:10">
      <c r="A187" s="1">
        <v>220402</v>
      </c>
      <c r="B187" s="1">
        <v>7</v>
      </c>
      <c r="C187" s="1">
        <v>2</v>
      </c>
      <c r="D187" s="1" t="s">
        <v>2453</v>
      </c>
      <c r="E187" s="1">
        <f ca="1">OFFSET(控制台!$G$5001,MATCH(A187,控制台!$B$5001:$B$5051,0)-1,0)</f>
        <v>10</v>
      </c>
      <c r="F187" s="1">
        <f ca="1">OFFSET(控制台!$E$5001,MATCH(A187,控制台!$B$5001:$B$5051,0)-1,0)</f>
        <v>4</v>
      </c>
      <c r="G187" s="4">
        <f ca="1">OFFSET(控制台!$I$5001,MATCH(A187,控制台!$B$5001:$B$5051,0)-1,0)</f>
        <v>2000</v>
      </c>
      <c r="H187" s="4">
        <f ca="1">OFFSET(控制台!$J$5001,MATCH(A187,控制台!$B$5001:$B$5051,0)-1,0)+(B187-1)*OFFSET(控制台!$K$5001,MATCH(A187,控制台!$B$5001:$B$5051,0)-1,0)</f>
        <v>500000</v>
      </c>
      <c r="I187" s="4">
        <f ca="1">OFFSET(控制台!$M$5001,MATCH(A187,控制台!$B$5001:$B$5051,0)-1,0)+(B187-1)*OFFSET(控制台!$N$5001,MATCH(A187,控制台!$B$5001:$B$5051,0)-1,0)</f>
        <v>5600000</v>
      </c>
      <c r="J187" s="4">
        <f ca="1">OFFSET(控制台!$P$5001,MATCH(A187,控制台!$B$5001:$B$5051,0)-1,0)</f>
        <v>14400</v>
      </c>
    </row>
    <row r="188" spans="1:10">
      <c r="A188" s="1">
        <v>220402</v>
      </c>
      <c r="B188" s="1">
        <v>8</v>
      </c>
      <c r="C188" s="1">
        <v>2</v>
      </c>
      <c r="D188" s="1" t="s">
        <v>2453</v>
      </c>
      <c r="E188" s="1">
        <f ca="1">OFFSET(控制台!$G$5001,MATCH(A188,控制台!$B$5001:$B$5051,0)-1,0)</f>
        <v>10</v>
      </c>
      <c r="F188" s="1">
        <f ca="1">OFFSET(控制台!$E$5001,MATCH(A188,控制台!$B$5001:$B$5051,0)-1,0)</f>
        <v>4</v>
      </c>
      <c r="G188" s="4">
        <f ca="1">OFFSET(控制台!$I$5001,MATCH(A188,控制台!$B$5001:$B$5051,0)-1,0)</f>
        <v>2000</v>
      </c>
      <c r="H188" s="4">
        <f ca="1">OFFSET(控制台!$J$5001,MATCH(A188,控制台!$B$5001:$B$5051,0)-1,0)+(B188-1)*OFFSET(控制台!$K$5001,MATCH(A188,控制台!$B$5001:$B$5051,0)-1,0)</f>
        <v>550000</v>
      </c>
      <c r="I188" s="4">
        <f ca="1">OFFSET(控制台!$M$5001,MATCH(A188,控制台!$B$5001:$B$5051,0)-1,0)+(B188-1)*OFFSET(控制台!$N$5001,MATCH(A188,控制台!$B$5001:$B$5051,0)-1,0)</f>
        <v>6400000</v>
      </c>
      <c r="J188" s="4">
        <f ca="1">OFFSET(控制台!$P$5001,MATCH(A188,控制台!$B$5001:$B$5051,0)-1,0)</f>
        <v>14400</v>
      </c>
    </row>
    <row r="189" spans="1:10">
      <c r="A189" s="1">
        <v>220402</v>
      </c>
      <c r="B189" s="1">
        <v>9</v>
      </c>
      <c r="C189" s="1">
        <v>2</v>
      </c>
      <c r="D189" s="1" t="s">
        <v>2453</v>
      </c>
      <c r="E189" s="1">
        <f ca="1">OFFSET(控制台!$G$5001,MATCH(A189,控制台!$B$5001:$B$5051,0)-1,0)</f>
        <v>10</v>
      </c>
      <c r="F189" s="1">
        <f ca="1">OFFSET(控制台!$E$5001,MATCH(A189,控制台!$B$5001:$B$5051,0)-1,0)</f>
        <v>4</v>
      </c>
      <c r="G189" s="4">
        <f ca="1">OFFSET(控制台!$I$5001,MATCH(A189,控制台!$B$5001:$B$5051,0)-1,0)</f>
        <v>2000</v>
      </c>
      <c r="H189" s="4">
        <f ca="1">OFFSET(控制台!$J$5001,MATCH(A189,控制台!$B$5001:$B$5051,0)-1,0)+(B189-1)*OFFSET(控制台!$K$5001,MATCH(A189,控制台!$B$5001:$B$5051,0)-1,0)</f>
        <v>600000</v>
      </c>
      <c r="I189" s="4">
        <f ca="1">OFFSET(控制台!$M$5001,MATCH(A189,控制台!$B$5001:$B$5051,0)-1,0)+(B189-1)*OFFSET(控制台!$N$5001,MATCH(A189,控制台!$B$5001:$B$5051,0)-1,0)</f>
        <v>7200000</v>
      </c>
      <c r="J189" s="4">
        <f ca="1">OFFSET(控制台!$P$5001,MATCH(A189,控制台!$B$5001:$B$5051,0)-1,0)</f>
        <v>14400</v>
      </c>
    </row>
    <row r="190" spans="1:10">
      <c r="A190" s="1">
        <v>220402</v>
      </c>
      <c r="B190" s="1">
        <v>10</v>
      </c>
      <c r="C190" s="1">
        <v>2</v>
      </c>
      <c r="D190" s="1" t="s">
        <v>2453</v>
      </c>
      <c r="E190" s="1">
        <f ca="1">OFFSET(控制台!$G$5001,MATCH(A190,控制台!$B$5001:$B$5051,0)-1,0)</f>
        <v>10</v>
      </c>
      <c r="F190" s="1">
        <f ca="1">OFFSET(控制台!$E$5001,MATCH(A190,控制台!$B$5001:$B$5051,0)-1,0)</f>
        <v>4</v>
      </c>
      <c r="G190" s="4">
        <f ca="1">OFFSET(控制台!$I$5001,MATCH(A190,控制台!$B$5001:$B$5051,0)-1,0)</f>
        <v>2000</v>
      </c>
      <c r="H190" s="4">
        <f ca="1">OFFSET(控制台!$J$5001,MATCH(A190,控制台!$B$5001:$B$5051,0)-1,0)+(B190-1)*OFFSET(控制台!$K$5001,MATCH(A190,控制台!$B$5001:$B$5051,0)-1,0)</f>
        <v>650000</v>
      </c>
      <c r="I190" s="4">
        <f ca="1">OFFSET(控制台!$M$5001,MATCH(A190,控制台!$B$5001:$B$5051,0)-1,0)+(B190-1)*OFFSET(控制台!$N$5001,MATCH(A190,控制台!$B$5001:$B$5051,0)-1,0)</f>
        <v>8000000</v>
      </c>
      <c r="J190" s="4">
        <f ca="1">OFFSET(控制台!$P$5001,MATCH(A190,控制台!$B$5001:$B$5051,0)-1,0)</f>
        <v>14400</v>
      </c>
    </row>
    <row r="191" spans="1:10">
      <c r="A191" s="1">
        <v>220501</v>
      </c>
      <c r="B191" s="1">
        <v>1</v>
      </c>
      <c r="C191" s="1">
        <v>2</v>
      </c>
      <c r="D191" s="1" t="s">
        <v>2454</v>
      </c>
      <c r="E191" s="1">
        <f ca="1">OFFSET(控制台!$G$5001,MATCH(A191,控制台!$B$5001:$B$5051,0)-1,0)</f>
        <v>10</v>
      </c>
      <c r="F191" s="1">
        <f ca="1">OFFSET(控制台!$E$5001,MATCH(A191,控制台!$B$5001:$B$5051,0)-1,0)</f>
        <v>5</v>
      </c>
      <c r="G191" s="4">
        <f ca="1">OFFSET(控制台!$I$5001,MATCH(A191,控制台!$B$5001:$B$5051,0)-1,0)</f>
        <v>3000</v>
      </c>
      <c r="H191" s="4">
        <f ca="1">OFFSET(控制台!$J$5001,MATCH(A191,控制台!$B$5001:$B$5051,0)-1,0)+(B191-1)*OFFSET(控制台!$K$5001,MATCH(A191,控制台!$B$5001:$B$5051,0)-1,0)</f>
        <v>250000</v>
      </c>
      <c r="I191" s="4">
        <f ca="1">OFFSET(控制台!$M$5001,MATCH(A191,控制台!$B$5001:$B$5051,0)-1,0)+(B191-1)*OFFSET(控制台!$N$5001,MATCH(A191,控制台!$B$5001:$B$5051,0)-1,0)</f>
        <v>1200000</v>
      </c>
      <c r="J191" s="4">
        <f ca="1">OFFSET(控制台!$P$5001,MATCH(A191,控制台!$B$5001:$B$5051,0)-1,0)</f>
        <v>14400</v>
      </c>
    </row>
    <row r="192" spans="1:10">
      <c r="A192" s="1">
        <v>220501</v>
      </c>
      <c r="B192" s="1">
        <v>2</v>
      </c>
      <c r="C192" s="1">
        <v>2</v>
      </c>
      <c r="D192" s="1" t="s">
        <v>2454</v>
      </c>
      <c r="E192" s="1">
        <f ca="1">OFFSET(控制台!$G$5001,MATCH(A192,控制台!$B$5001:$B$5051,0)-1,0)</f>
        <v>10</v>
      </c>
      <c r="F192" s="1">
        <f ca="1">OFFSET(控制台!$E$5001,MATCH(A192,控制台!$B$5001:$B$5051,0)-1,0)</f>
        <v>5</v>
      </c>
      <c r="G192" s="4">
        <f ca="1">OFFSET(控制台!$I$5001,MATCH(A192,控制台!$B$5001:$B$5051,0)-1,0)</f>
        <v>3000</v>
      </c>
      <c r="H192" s="4">
        <f ca="1">OFFSET(控制台!$J$5001,MATCH(A192,控制台!$B$5001:$B$5051,0)-1,0)+(B192-1)*OFFSET(控制台!$K$5001,MATCH(A192,控制台!$B$5001:$B$5051,0)-1,0)</f>
        <v>300000</v>
      </c>
      <c r="I192" s="4">
        <f ca="1">OFFSET(控制台!$M$5001,MATCH(A192,控制台!$B$5001:$B$5051,0)-1,0)+(B192-1)*OFFSET(控制台!$N$5001,MATCH(A192,控制台!$B$5001:$B$5051,0)-1,0)</f>
        <v>2400000</v>
      </c>
      <c r="J192" s="4">
        <f ca="1">OFFSET(控制台!$P$5001,MATCH(A192,控制台!$B$5001:$B$5051,0)-1,0)</f>
        <v>14400</v>
      </c>
    </row>
    <row r="193" spans="1:10">
      <c r="A193" s="1">
        <v>220501</v>
      </c>
      <c r="B193" s="1">
        <v>3</v>
      </c>
      <c r="C193" s="1">
        <v>2</v>
      </c>
      <c r="D193" s="1" t="s">
        <v>2454</v>
      </c>
      <c r="E193" s="1">
        <f ca="1">OFFSET(控制台!$G$5001,MATCH(A193,控制台!$B$5001:$B$5051,0)-1,0)</f>
        <v>10</v>
      </c>
      <c r="F193" s="1">
        <f ca="1">OFFSET(控制台!$E$5001,MATCH(A193,控制台!$B$5001:$B$5051,0)-1,0)</f>
        <v>5</v>
      </c>
      <c r="G193" s="4">
        <f ca="1">OFFSET(控制台!$I$5001,MATCH(A193,控制台!$B$5001:$B$5051,0)-1,0)</f>
        <v>3000</v>
      </c>
      <c r="H193" s="4">
        <f ca="1">OFFSET(控制台!$J$5001,MATCH(A193,控制台!$B$5001:$B$5051,0)-1,0)+(B193-1)*OFFSET(控制台!$K$5001,MATCH(A193,控制台!$B$5001:$B$5051,0)-1,0)</f>
        <v>350000</v>
      </c>
      <c r="I193" s="4">
        <f ca="1">OFFSET(控制台!$M$5001,MATCH(A193,控制台!$B$5001:$B$5051,0)-1,0)+(B193-1)*OFFSET(控制台!$N$5001,MATCH(A193,控制台!$B$5001:$B$5051,0)-1,0)</f>
        <v>3600000</v>
      </c>
      <c r="J193" s="4">
        <f ca="1">OFFSET(控制台!$P$5001,MATCH(A193,控制台!$B$5001:$B$5051,0)-1,0)</f>
        <v>14400</v>
      </c>
    </row>
    <row r="194" spans="1:10">
      <c r="A194" s="1">
        <v>220501</v>
      </c>
      <c r="B194" s="1">
        <v>4</v>
      </c>
      <c r="C194" s="1">
        <v>2</v>
      </c>
      <c r="D194" s="1" t="s">
        <v>2454</v>
      </c>
      <c r="E194" s="1">
        <f ca="1">OFFSET(控制台!$G$5001,MATCH(A194,控制台!$B$5001:$B$5051,0)-1,0)</f>
        <v>10</v>
      </c>
      <c r="F194" s="1">
        <f ca="1">OFFSET(控制台!$E$5001,MATCH(A194,控制台!$B$5001:$B$5051,0)-1,0)</f>
        <v>5</v>
      </c>
      <c r="G194" s="4">
        <f ca="1">OFFSET(控制台!$I$5001,MATCH(A194,控制台!$B$5001:$B$5051,0)-1,0)</f>
        <v>3000</v>
      </c>
      <c r="H194" s="4">
        <f ca="1">OFFSET(控制台!$J$5001,MATCH(A194,控制台!$B$5001:$B$5051,0)-1,0)+(B194-1)*OFFSET(控制台!$K$5001,MATCH(A194,控制台!$B$5001:$B$5051,0)-1,0)</f>
        <v>400000</v>
      </c>
      <c r="I194" s="4">
        <f ca="1">OFFSET(控制台!$M$5001,MATCH(A194,控制台!$B$5001:$B$5051,0)-1,0)+(B194-1)*OFFSET(控制台!$N$5001,MATCH(A194,控制台!$B$5001:$B$5051,0)-1,0)</f>
        <v>4800000</v>
      </c>
      <c r="J194" s="4">
        <f ca="1">OFFSET(控制台!$P$5001,MATCH(A194,控制台!$B$5001:$B$5051,0)-1,0)</f>
        <v>14400</v>
      </c>
    </row>
    <row r="195" spans="1:10">
      <c r="A195" s="1">
        <v>220501</v>
      </c>
      <c r="B195" s="1">
        <v>5</v>
      </c>
      <c r="C195" s="1">
        <v>2</v>
      </c>
      <c r="D195" s="1" t="s">
        <v>2454</v>
      </c>
      <c r="E195" s="1">
        <f ca="1">OFFSET(控制台!$G$5001,MATCH(A195,控制台!$B$5001:$B$5051,0)-1,0)</f>
        <v>10</v>
      </c>
      <c r="F195" s="1">
        <f ca="1">OFFSET(控制台!$E$5001,MATCH(A195,控制台!$B$5001:$B$5051,0)-1,0)</f>
        <v>5</v>
      </c>
      <c r="G195" s="4">
        <f ca="1">OFFSET(控制台!$I$5001,MATCH(A195,控制台!$B$5001:$B$5051,0)-1,0)</f>
        <v>3000</v>
      </c>
      <c r="H195" s="4">
        <f ca="1">OFFSET(控制台!$J$5001,MATCH(A195,控制台!$B$5001:$B$5051,0)-1,0)+(B195-1)*OFFSET(控制台!$K$5001,MATCH(A195,控制台!$B$5001:$B$5051,0)-1,0)</f>
        <v>450000</v>
      </c>
      <c r="I195" s="4">
        <f ca="1">OFFSET(控制台!$M$5001,MATCH(A195,控制台!$B$5001:$B$5051,0)-1,0)+(B195-1)*OFFSET(控制台!$N$5001,MATCH(A195,控制台!$B$5001:$B$5051,0)-1,0)</f>
        <v>6000000</v>
      </c>
      <c r="J195" s="4">
        <f ca="1">OFFSET(控制台!$P$5001,MATCH(A195,控制台!$B$5001:$B$5051,0)-1,0)</f>
        <v>14400</v>
      </c>
    </row>
    <row r="196" spans="1:10">
      <c r="A196" s="1">
        <v>220501</v>
      </c>
      <c r="B196" s="1">
        <v>6</v>
      </c>
      <c r="C196" s="1">
        <v>2</v>
      </c>
      <c r="D196" s="1" t="s">
        <v>2454</v>
      </c>
      <c r="E196" s="1">
        <f ca="1">OFFSET(控制台!$G$5001,MATCH(A196,控制台!$B$5001:$B$5051,0)-1,0)</f>
        <v>10</v>
      </c>
      <c r="F196" s="1">
        <f ca="1">OFFSET(控制台!$E$5001,MATCH(A196,控制台!$B$5001:$B$5051,0)-1,0)</f>
        <v>5</v>
      </c>
      <c r="G196" s="4">
        <f ca="1">OFFSET(控制台!$I$5001,MATCH(A196,控制台!$B$5001:$B$5051,0)-1,0)</f>
        <v>3000</v>
      </c>
      <c r="H196" s="4">
        <f ca="1">OFFSET(控制台!$J$5001,MATCH(A196,控制台!$B$5001:$B$5051,0)-1,0)+(B196-1)*OFFSET(控制台!$K$5001,MATCH(A196,控制台!$B$5001:$B$5051,0)-1,0)</f>
        <v>500000</v>
      </c>
      <c r="I196" s="4">
        <f ca="1">OFFSET(控制台!$M$5001,MATCH(A196,控制台!$B$5001:$B$5051,0)-1,0)+(B196-1)*OFFSET(控制台!$N$5001,MATCH(A196,控制台!$B$5001:$B$5051,0)-1,0)</f>
        <v>7200000</v>
      </c>
      <c r="J196" s="4">
        <f ca="1">OFFSET(控制台!$P$5001,MATCH(A196,控制台!$B$5001:$B$5051,0)-1,0)</f>
        <v>14400</v>
      </c>
    </row>
    <row r="197" spans="1:10">
      <c r="A197" s="1">
        <v>220501</v>
      </c>
      <c r="B197" s="1">
        <v>7</v>
      </c>
      <c r="C197" s="1">
        <v>2</v>
      </c>
      <c r="D197" s="1" t="s">
        <v>2454</v>
      </c>
      <c r="E197" s="1">
        <f ca="1">OFFSET(控制台!$G$5001,MATCH(A197,控制台!$B$5001:$B$5051,0)-1,0)</f>
        <v>10</v>
      </c>
      <c r="F197" s="1">
        <f ca="1">OFFSET(控制台!$E$5001,MATCH(A197,控制台!$B$5001:$B$5051,0)-1,0)</f>
        <v>5</v>
      </c>
      <c r="G197" s="4">
        <f ca="1">OFFSET(控制台!$I$5001,MATCH(A197,控制台!$B$5001:$B$5051,0)-1,0)</f>
        <v>3000</v>
      </c>
      <c r="H197" s="4">
        <f ca="1">OFFSET(控制台!$J$5001,MATCH(A197,控制台!$B$5001:$B$5051,0)-1,0)+(B197-1)*OFFSET(控制台!$K$5001,MATCH(A197,控制台!$B$5001:$B$5051,0)-1,0)</f>
        <v>550000</v>
      </c>
      <c r="I197" s="4">
        <f ca="1">OFFSET(控制台!$M$5001,MATCH(A197,控制台!$B$5001:$B$5051,0)-1,0)+(B197-1)*OFFSET(控制台!$N$5001,MATCH(A197,控制台!$B$5001:$B$5051,0)-1,0)</f>
        <v>8400000</v>
      </c>
      <c r="J197" s="4">
        <f ca="1">OFFSET(控制台!$P$5001,MATCH(A197,控制台!$B$5001:$B$5051,0)-1,0)</f>
        <v>14400</v>
      </c>
    </row>
    <row r="198" spans="1:10">
      <c r="A198" s="1">
        <v>220501</v>
      </c>
      <c r="B198" s="1">
        <v>8</v>
      </c>
      <c r="C198" s="1">
        <v>2</v>
      </c>
      <c r="D198" s="1" t="s">
        <v>2454</v>
      </c>
      <c r="E198" s="1">
        <f ca="1">OFFSET(控制台!$G$5001,MATCH(A198,控制台!$B$5001:$B$5051,0)-1,0)</f>
        <v>10</v>
      </c>
      <c r="F198" s="1">
        <f ca="1">OFFSET(控制台!$E$5001,MATCH(A198,控制台!$B$5001:$B$5051,0)-1,0)</f>
        <v>5</v>
      </c>
      <c r="G198" s="4">
        <f ca="1">OFFSET(控制台!$I$5001,MATCH(A198,控制台!$B$5001:$B$5051,0)-1,0)</f>
        <v>3000</v>
      </c>
      <c r="H198" s="4">
        <f ca="1">OFFSET(控制台!$J$5001,MATCH(A198,控制台!$B$5001:$B$5051,0)-1,0)+(B198-1)*OFFSET(控制台!$K$5001,MATCH(A198,控制台!$B$5001:$B$5051,0)-1,0)</f>
        <v>600000</v>
      </c>
      <c r="I198" s="4">
        <f ca="1">OFFSET(控制台!$M$5001,MATCH(A198,控制台!$B$5001:$B$5051,0)-1,0)+(B198-1)*OFFSET(控制台!$N$5001,MATCH(A198,控制台!$B$5001:$B$5051,0)-1,0)</f>
        <v>9600000</v>
      </c>
      <c r="J198" s="4">
        <f ca="1">OFFSET(控制台!$P$5001,MATCH(A198,控制台!$B$5001:$B$5051,0)-1,0)</f>
        <v>14400</v>
      </c>
    </row>
    <row r="199" spans="1:10">
      <c r="A199" s="1">
        <v>220501</v>
      </c>
      <c r="B199" s="1">
        <v>9</v>
      </c>
      <c r="C199" s="1">
        <v>2</v>
      </c>
      <c r="D199" s="1" t="s">
        <v>2454</v>
      </c>
      <c r="E199" s="1">
        <f ca="1">OFFSET(控制台!$G$5001,MATCH(A199,控制台!$B$5001:$B$5051,0)-1,0)</f>
        <v>10</v>
      </c>
      <c r="F199" s="1">
        <f ca="1">OFFSET(控制台!$E$5001,MATCH(A199,控制台!$B$5001:$B$5051,0)-1,0)</f>
        <v>5</v>
      </c>
      <c r="G199" s="4">
        <f ca="1">OFFSET(控制台!$I$5001,MATCH(A199,控制台!$B$5001:$B$5051,0)-1,0)</f>
        <v>3000</v>
      </c>
      <c r="H199" s="4">
        <f ca="1">OFFSET(控制台!$J$5001,MATCH(A199,控制台!$B$5001:$B$5051,0)-1,0)+(B199-1)*OFFSET(控制台!$K$5001,MATCH(A199,控制台!$B$5001:$B$5051,0)-1,0)</f>
        <v>650000</v>
      </c>
      <c r="I199" s="4">
        <f ca="1">OFFSET(控制台!$M$5001,MATCH(A199,控制台!$B$5001:$B$5051,0)-1,0)+(B199-1)*OFFSET(控制台!$N$5001,MATCH(A199,控制台!$B$5001:$B$5051,0)-1,0)</f>
        <v>10800000</v>
      </c>
      <c r="J199" s="4">
        <f ca="1">OFFSET(控制台!$P$5001,MATCH(A199,控制台!$B$5001:$B$5051,0)-1,0)</f>
        <v>14400</v>
      </c>
    </row>
    <row r="200" spans="1:10">
      <c r="A200" s="1">
        <v>220501</v>
      </c>
      <c r="B200" s="1">
        <v>10</v>
      </c>
      <c r="C200" s="1">
        <v>2</v>
      </c>
      <c r="D200" s="1" t="s">
        <v>2454</v>
      </c>
      <c r="E200" s="1">
        <f ca="1">OFFSET(控制台!$G$5001,MATCH(A200,控制台!$B$5001:$B$5051,0)-1,0)</f>
        <v>10</v>
      </c>
      <c r="F200" s="1">
        <f ca="1">OFFSET(控制台!$E$5001,MATCH(A200,控制台!$B$5001:$B$5051,0)-1,0)</f>
        <v>5</v>
      </c>
      <c r="G200" s="4">
        <f ca="1">OFFSET(控制台!$I$5001,MATCH(A200,控制台!$B$5001:$B$5051,0)-1,0)</f>
        <v>3000</v>
      </c>
      <c r="H200" s="4">
        <f ca="1">OFFSET(控制台!$J$5001,MATCH(A200,控制台!$B$5001:$B$5051,0)-1,0)+(B200-1)*OFFSET(控制台!$K$5001,MATCH(A200,控制台!$B$5001:$B$5051,0)-1,0)</f>
        <v>700000</v>
      </c>
      <c r="I200" s="4">
        <f ca="1">OFFSET(控制台!$M$5001,MATCH(A200,控制台!$B$5001:$B$5051,0)-1,0)+(B200-1)*OFFSET(控制台!$N$5001,MATCH(A200,控制台!$B$5001:$B$5051,0)-1,0)</f>
        <v>12000000</v>
      </c>
      <c r="J200" s="4">
        <f ca="1">OFFSET(控制台!$P$5001,MATCH(A200,控制台!$B$5001:$B$5051,0)-1,0)</f>
        <v>14400</v>
      </c>
    </row>
    <row r="201" spans="1:10">
      <c r="A201" s="1">
        <v>220502</v>
      </c>
      <c r="B201" s="1">
        <v>1</v>
      </c>
      <c r="C201" s="1">
        <v>2</v>
      </c>
      <c r="D201" s="1" t="s">
        <v>2455</v>
      </c>
      <c r="E201" s="1">
        <f ca="1">OFFSET(控制台!$G$5001,MATCH(A201,控制台!$B$5001:$B$5051,0)-1,0)</f>
        <v>10</v>
      </c>
      <c r="F201" s="1">
        <f ca="1">OFFSET(控制台!$E$5001,MATCH(A201,控制台!$B$5001:$B$5051,0)-1,0)</f>
        <v>5</v>
      </c>
      <c r="G201" s="4">
        <f ca="1">OFFSET(控制台!$I$5001,MATCH(A201,控制台!$B$5001:$B$5051,0)-1,0)</f>
        <v>3000</v>
      </c>
      <c r="H201" s="4">
        <f ca="1">OFFSET(控制台!$J$5001,MATCH(A201,控制台!$B$5001:$B$5051,0)-1,0)+(B201-1)*OFFSET(控制台!$K$5001,MATCH(A201,控制台!$B$5001:$B$5051,0)-1,0)</f>
        <v>250000</v>
      </c>
      <c r="I201" s="4">
        <f ca="1">OFFSET(控制台!$M$5001,MATCH(A201,控制台!$B$5001:$B$5051,0)-1,0)+(B201-1)*OFFSET(控制台!$N$5001,MATCH(A201,控制台!$B$5001:$B$5051,0)-1,0)</f>
        <v>1200000</v>
      </c>
      <c r="J201" s="4">
        <f ca="1">OFFSET(控制台!$P$5001,MATCH(A201,控制台!$B$5001:$B$5051,0)-1,0)</f>
        <v>14400</v>
      </c>
    </row>
    <row r="202" spans="1:10">
      <c r="A202" s="1">
        <v>220502</v>
      </c>
      <c r="B202" s="1">
        <v>2</v>
      </c>
      <c r="C202" s="1">
        <v>2</v>
      </c>
      <c r="D202" s="1" t="s">
        <v>2455</v>
      </c>
      <c r="E202" s="1">
        <f ca="1">OFFSET(控制台!$G$5001,MATCH(A202,控制台!$B$5001:$B$5051,0)-1,0)</f>
        <v>10</v>
      </c>
      <c r="F202" s="1">
        <f ca="1">OFFSET(控制台!$E$5001,MATCH(A202,控制台!$B$5001:$B$5051,0)-1,0)</f>
        <v>5</v>
      </c>
      <c r="G202" s="4">
        <f ca="1">OFFSET(控制台!$I$5001,MATCH(A202,控制台!$B$5001:$B$5051,0)-1,0)</f>
        <v>3000</v>
      </c>
      <c r="H202" s="4">
        <f ca="1">OFFSET(控制台!$J$5001,MATCH(A202,控制台!$B$5001:$B$5051,0)-1,0)+(B202-1)*OFFSET(控制台!$K$5001,MATCH(A202,控制台!$B$5001:$B$5051,0)-1,0)</f>
        <v>300000</v>
      </c>
      <c r="I202" s="4">
        <f ca="1">OFFSET(控制台!$M$5001,MATCH(A202,控制台!$B$5001:$B$5051,0)-1,0)+(B202-1)*OFFSET(控制台!$N$5001,MATCH(A202,控制台!$B$5001:$B$5051,0)-1,0)</f>
        <v>2400000</v>
      </c>
      <c r="J202" s="4">
        <f ca="1">OFFSET(控制台!$P$5001,MATCH(A202,控制台!$B$5001:$B$5051,0)-1,0)</f>
        <v>14400</v>
      </c>
    </row>
    <row r="203" spans="1:10">
      <c r="A203" s="1">
        <v>220502</v>
      </c>
      <c r="B203" s="1">
        <v>3</v>
      </c>
      <c r="C203" s="1">
        <v>2</v>
      </c>
      <c r="D203" s="1" t="s">
        <v>2455</v>
      </c>
      <c r="E203" s="1">
        <f ca="1">OFFSET(控制台!$G$5001,MATCH(A203,控制台!$B$5001:$B$5051,0)-1,0)</f>
        <v>10</v>
      </c>
      <c r="F203" s="1">
        <f ca="1">OFFSET(控制台!$E$5001,MATCH(A203,控制台!$B$5001:$B$5051,0)-1,0)</f>
        <v>5</v>
      </c>
      <c r="G203" s="4">
        <f ca="1">OFFSET(控制台!$I$5001,MATCH(A203,控制台!$B$5001:$B$5051,0)-1,0)</f>
        <v>3000</v>
      </c>
      <c r="H203" s="4">
        <f ca="1">OFFSET(控制台!$J$5001,MATCH(A203,控制台!$B$5001:$B$5051,0)-1,0)+(B203-1)*OFFSET(控制台!$K$5001,MATCH(A203,控制台!$B$5001:$B$5051,0)-1,0)</f>
        <v>350000</v>
      </c>
      <c r="I203" s="4">
        <f ca="1">OFFSET(控制台!$M$5001,MATCH(A203,控制台!$B$5001:$B$5051,0)-1,0)+(B203-1)*OFFSET(控制台!$N$5001,MATCH(A203,控制台!$B$5001:$B$5051,0)-1,0)</f>
        <v>3600000</v>
      </c>
      <c r="J203" s="4">
        <f ca="1">OFFSET(控制台!$P$5001,MATCH(A203,控制台!$B$5001:$B$5051,0)-1,0)</f>
        <v>14400</v>
      </c>
    </row>
    <row r="204" spans="1:10">
      <c r="A204" s="1">
        <v>220502</v>
      </c>
      <c r="B204" s="1">
        <v>4</v>
      </c>
      <c r="C204" s="1">
        <v>2</v>
      </c>
      <c r="D204" s="1" t="s">
        <v>2455</v>
      </c>
      <c r="E204" s="1">
        <f ca="1">OFFSET(控制台!$G$5001,MATCH(A204,控制台!$B$5001:$B$5051,0)-1,0)</f>
        <v>10</v>
      </c>
      <c r="F204" s="1">
        <f ca="1">OFFSET(控制台!$E$5001,MATCH(A204,控制台!$B$5001:$B$5051,0)-1,0)</f>
        <v>5</v>
      </c>
      <c r="G204" s="4">
        <f ca="1">OFFSET(控制台!$I$5001,MATCH(A204,控制台!$B$5001:$B$5051,0)-1,0)</f>
        <v>3000</v>
      </c>
      <c r="H204" s="4">
        <f ca="1">OFFSET(控制台!$J$5001,MATCH(A204,控制台!$B$5001:$B$5051,0)-1,0)+(B204-1)*OFFSET(控制台!$K$5001,MATCH(A204,控制台!$B$5001:$B$5051,0)-1,0)</f>
        <v>400000</v>
      </c>
      <c r="I204" s="4">
        <f ca="1">OFFSET(控制台!$M$5001,MATCH(A204,控制台!$B$5001:$B$5051,0)-1,0)+(B204-1)*OFFSET(控制台!$N$5001,MATCH(A204,控制台!$B$5001:$B$5051,0)-1,0)</f>
        <v>4800000</v>
      </c>
      <c r="J204" s="4">
        <f ca="1">OFFSET(控制台!$P$5001,MATCH(A204,控制台!$B$5001:$B$5051,0)-1,0)</f>
        <v>14400</v>
      </c>
    </row>
    <row r="205" spans="1:10">
      <c r="A205" s="1">
        <v>220502</v>
      </c>
      <c r="B205" s="1">
        <v>5</v>
      </c>
      <c r="C205" s="1">
        <v>2</v>
      </c>
      <c r="D205" s="1" t="s">
        <v>2455</v>
      </c>
      <c r="E205" s="1">
        <f ca="1">OFFSET(控制台!$G$5001,MATCH(A205,控制台!$B$5001:$B$5051,0)-1,0)</f>
        <v>10</v>
      </c>
      <c r="F205" s="1">
        <f ca="1">OFFSET(控制台!$E$5001,MATCH(A205,控制台!$B$5001:$B$5051,0)-1,0)</f>
        <v>5</v>
      </c>
      <c r="G205" s="4">
        <f ca="1">OFFSET(控制台!$I$5001,MATCH(A205,控制台!$B$5001:$B$5051,0)-1,0)</f>
        <v>3000</v>
      </c>
      <c r="H205" s="4">
        <f ca="1">OFFSET(控制台!$J$5001,MATCH(A205,控制台!$B$5001:$B$5051,0)-1,0)+(B205-1)*OFFSET(控制台!$K$5001,MATCH(A205,控制台!$B$5001:$B$5051,0)-1,0)</f>
        <v>450000</v>
      </c>
      <c r="I205" s="4">
        <f ca="1">OFFSET(控制台!$M$5001,MATCH(A205,控制台!$B$5001:$B$5051,0)-1,0)+(B205-1)*OFFSET(控制台!$N$5001,MATCH(A205,控制台!$B$5001:$B$5051,0)-1,0)</f>
        <v>6000000</v>
      </c>
      <c r="J205" s="4">
        <f ca="1">OFFSET(控制台!$P$5001,MATCH(A205,控制台!$B$5001:$B$5051,0)-1,0)</f>
        <v>14400</v>
      </c>
    </row>
    <row r="206" spans="1:10">
      <c r="A206" s="1">
        <v>220502</v>
      </c>
      <c r="B206" s="1">
        <v>6</v>
      </c>
      <c r="C206" s="1">
        <v>2</v>
      </c>
      <c r="D206" s="1" t="s">
        <v>2455</v>
      </c>
      <c r="E206" s="1">
        <f ca="1">OFFSET(控制台!$G$5001,MATCH(A206,控制台!$B$5001:$B$5051,0)-1,0)</f>
        <v>10</v>
      </c>
      <c r="F206" s="1">
        <f ca="1">OFFSET(控制台!$E$5001,MATCH(A206,控制台!$B$5001:$B$5051,0)-1,0)</f>
        <v>5</v>
      </c>
      <c r="G206" s="4">
        <f ca="1">OFFSET(控制台!$I$5001,MATCH(A206,控制台!$B$5001:$B$5051,0)-1,0)</f>
        <v>3000</v>
      </c>
      <c r="H206" s="4">
        <f ca="1">OFFSET(控制台!$J$5001,MATCH(A206,控制台!$B$5001:$B$5051,0)-1,0)+(B206-1)*OFFSET(控制台!$K$5001,MATCH(A206,控制台!$B$5001:$B$5051,0)-1,0)</f>
        <v>500000</v>
      </c>
      <c r="I206" s="4">
        <f ca="1">OFFSET(控制台!$M$5001,MATCH(A206,控制台!$B$5001:$B$5051,0)-1,0)+(B206-1)*OFFSET(控制台!$N$5001,MATCH(A206,控制台!$B$5001:$B$5051,0)-1,0)</f>
        <v>7200000</v>
      </c>
      <c r="J206" s="4">
        <f ca="1">OFFSET(控制台!$P$5001,MATCH(A206,控制台!$B$5001:$B$5051,0)-1,0)</f>
        <v>14400</v>
      </c>
    </row>
    <row r="207" spans="1:10">
      <c r="A207" s="1">
        <v>220502</v>
      </c>
      <c r="B207" s="1">
        <v>7</v>
      </c>
      <c r="C207" s="1">
        <v>2</v>
      </c>
      <c r="D207" s="1" t="s">
        <v>2455</v>
      </c>
      <c r="E207" s="1">
        <f ca="1">OFFSET(控制台!$G$5001,MATCH(A207,控制台!$B$5001:$B$5051,0)-1,0)</f>
        <v>10</v>
      </c>
      <c r="F207" s="1">
        <f ca="1">OFFSET(控制台!$E$5001,MATCH(A207,控制台!$B$5001:$B$5051,0)-1,0)</f>
        <v>5</v>
      </c>
      <c r="G207" s="4">
        <f ca="1">OFFSET(控制台!$I$5001,MATCH(A207,控制台!$B$5001:$B$5051,0)-1,0)</f>
        <v>3000</v>
      </c>
      <c r="H207" s="4">
        <f ca="1">OFFSET(控制台!$J$5001,MATCH(A207,控制台!$B$5001:$B$5051,0)-1,0)+(B207-1)*OFFSET(控制台!$K$5001,MATCH(A207,控制台!$B$5001:$B$5051,0)-1,0)</f>
        <v>550000</v>
      </c>
      <c r="I207" s="4">
        <f ca="1">OFFSET(控制台!$M$5001,MATCH(A207,控制台!$B$5001:$B$5051,0)-1,0)+(B207-1)*OFFSET(控制台!$N$5001,MATCH(A207,控制台!$B$5001:$B$5051,0)-1,0)</f>
        <v>8400000</v>
      </c>
      <c r="J207" s="4">
        <f ca="1">OFFSET(控制台!$P$5001,MATCH(A207,控制台!$B$5001:$B$5051,0)-1,0)</f>
        <v>14400</v>
      </c>
    </row>
    <row r="208" spans="1:10">
      <c r="A208" s="1">
        <v>220502</v>
      </c>
      <c r="B208" s="1">
        <v>8</v>
      </c>
      <c r="C208" s="1">
        <v>2</v>
      </c>
      <c r="D208" s="1" t="s">
        <v>2455</v>
      </c>
      <c r="E208" s="1">
        <f ca="1">OFFSET(控制台!$G$5001,MATCH(A208,控制台!$B$5001:$B$5051,0)-1,0)</f>
        <v>10</v>
      </c>
      <c r="F208" s="1">
        <f ca="1">OFFSET(控制台!$E$5001,MATCH(A208,控制台!$B$5001:$B$5051,0)-1,0)</f>
        <v>5</v>
      </c>
      <c r="G208" s="4">
        <f ca="1">OFFSET(控制台!$I$5001,MATCH(A208,控制台!$B$5001:$B$5051,0)-1,0)</f>
        <v>3000</v>
      </c>
      <c r="H208" s="4">
        <f ca="1">OFFSET(控制台!$J$5001,MATCH(A208,控制台!$B$5001:$B$5051,0)-1,0)+(B208-1)*OFFSET(控制台!$K$5001,MATCH(A208,控制台!$B$5001:$B$5051,0)-1,0)</f>
        <v>600000</v>
      </c>
      <c r="I208" s="4">
        <f ca="1">OFFSET(控制台!$M$5001,MATCH(A208,控制台!$B$5001:$B$5051,0)-1,0)+(B208-1)*OFFSET(控制台!$N$5001,MATCH(A208,控制台!$B$5001:$B$5051,0)-1,0)</f>
        <v>9600000</v>
      </c>
      <c r="J208" s="4">
        <f ca="1">OFFSET(控制台!$P$5001,MATCH(A208,控制台!$B$5001:$B$5051,0)-1,0)</f>
        <v>14400</v>
      </c>
    </row>
    <row r="209" spans="1:10">
      <c r="A209" s="1">
        <v>220502</v>
      </c>
      <c r="B209" s="1">
        <v>9</v>
      </c>
      <c r="C209" s="1">
        <v>2</v>
      </c>
      <c r="D209" s="1" t="s">
        <v>2455</v>
      </c>
      <c r="E209" s="1">
        <f ca="1">OFFSET(控制台!$G$5001,MATCH(A209,控制台!$B$5001:$B$5051,0)-1,0)</f>
        <v>10</v>
      </c>
      <c r="F209" s="1">
        <f ca="1">OFFSET(控制台!$E$5001,MATCH(A209,控制台!$B$5001:$B$5051,0)-1,0)</f>
        <v>5</v>
      </c>
      <c r="G209" s="4">
        <f ca="1">OFFSET(控制台!$I$5001,MATCH(A209,控制台!$B$5001:$B$5051,0)-1,0)</f>
        <v>3000</v>
      </c>
      <c r="H209" s="4">
        <f ca="1">OFFSET(控制台!$J$5001,MATCH(A209,控制台!$B$5001:$B$5051,0)-1,0)+(B209-1)*OFFSET(控制台!$K$5001,MATCH(A209,控制台!$B$5001:$B$5051,0)-1,0)</f>
        <v>650000</v>
      </c>
      <c r="I209" s="4">
        <f ca="1">OFFSET(控制台!$M$5001,MATCH(A209,控制台!$B$5001:$B$5051,0)-1,0)+(B209-1)*OFFSET(控制台!$N$5001,MATCH(A209,控制台!$B$5001:$B$5051,0)-1,0)</f>
        <v>10800000</v>
      </c>
      <c r="J209" s="4">
        <f ca="1">OFFSET(控制台!$P$5001,MATCH(A209,控制台!$B$5001:$B$5051,0)-1,0)</f>
        <v>14400</v>
      </c>
    </row>
    <row r="210" spans="1:10">
      <c r="A210" s="1">
        <v>220502</v>
      </c>
      <c r="B210" s="1">
        <v>10</v>
      </c>
      <c r="C210" s="1">
        <v>2</v>
      </c>
      <c r="D210" s="1" t="s">
        <v>2455</v>
      </c>
      <c r="E210" s="1">
        <f ca="1">OFFSET(控制台!$G$5001,MATCH(A210,控制台!$B$5001:$B$5051,0)-1,0)</f>
        <v>10</v>
      </c>
      <c r="F210" s="1">
        <f ca="1">OFFSET(控制台!$E$5001,MATCH(A210,控制台!$B$5001:$B$5051,0)-1,0)</f>
        <v>5</v>
      </c>
      <c r="G210" s="4">
        <f ca="1">OFFSET(控制台!$I$5001,MATCH(A210,控制台!$B$5001:$B$5051,0)-1,0)</f>
        <v>3000</v>
      </c>
      <c r="H210" s="4">
        <f ca="1">OFFSET(控制台!$J$5001,MATCH(A210,控制台!$B$5001:$B$5051,0)-1,0)+(B210-1)*OFFSET(控制台!$K$5001,MATCH(A210,控制台!$B$5001:$B$5051,0)-1,0)</f>
        <v>700000</v>
      </c>
      <c r="I210" s="4">
        <f ca="1">OFFSET(控制台!$M$5001,MATCH(A210,控制台!$B$5001:$B$5051,0)-1,0)+(B210-1)*OFFSET(控制台!$N$5001,MATCH(A210,控制台!$B$5001:$B$5051,0)-1,0)</f>
        <v>12000000</v>
      </c>
      <c r="J210" s="4">
        <f ca="1">OFFSET(控制台!$P$5001,MATCH(A210,控制台!$B$5001:$B$5051,0)-1,0)</f>
        <v>14400</v>
      </c>
    </row>
    <row r="211" spans="1:10">
      <c r="A211" s="1">
        <v>220503</v>
      </c>
      <c r="B211" s="1">
        <v>1</v>
      </c>
      <c r="C211" s="1">
        <v>2</v>
      </c>
      <c r="D211" s="1" t="s">
        <v>2456</v>
      </c>
      <c r="E211" s="1">
        <f ca="1">OFFSET(控制台!$G$5001,MATCH(A211,控制台!$B$5001:$B$5051,0)-1,0)</f>
        <v>10</v>
      </c>
      <c r="F211" s="1">
        <f ca="1">OFFSET(控制台!$E$5001,MATCH(A211,控制台!$B$5001:$B$5051,0)-1,0)</f>
        <v>5</v>
      </c>
      <c r="G211" s="4">
        <f ca="1">OFFSET(控制台!$I$5001,MATCH(A211,控制台!$B$5001:$B$5051,0)-1,0)</f>
        <v>3000</v>
      </c>
      <c r="H211" s="4">
        <f ca="1">OFFSET(控制台!$J$5001,MATCH(A211,控制台!$B$5001:$B$5051,0)-1,0)+(B211-1)*OFFSET(控制台!$K$5001,MATCH(A211,控制台!$B$5001:$B$5051,0)-1,0)</f>
        <v>250000</v>
      </c>
      <c r="I211" s="4">
        <f ca="1">OFFSET(控制台!$M$5001,MATCH(A211,控制台!$B$5001:$B$5051,0)-1,0)+(B211-1)*OFFSET(控制台!$N$5001,MATCH(A211,控制台!$B$5001:$B$5051,0)-1,0)</f>
        <v>1200000</v>
      </c>
      <c r="J211" s="4">
        <f ca="1">OFFSET(控制台!$P$5001,MATCH(A211,控制台!$B$5001:$B$5051,0)-1,0)</f>
        <v>14400</v>
      </c>
    </row>
    <row r="212" spans="1:10">
      <c r="A212" s="1">
        <v>220503</v>
      </c>
      <c r="B212" s="1">
        <v>2</v>
      </c>
      <c r="C212" s="1">
        <v>2</v>
      </c>
      <c r="D212" s="1" t="s">
        <v>2456</v>
      </c>
      <c r="E212" s="1">
        <f ca="1">OFFSET(控制台!$G$5001,MATCH(A212,控制台!$B$5001:$B$5051,0)-1,0)</f>
        <v>10</v>
      </c>
      <c r="F212" s="1">
        <f ca="1">OFFSET(控制台!$E$5001,MATCH(A212,控制台!$B$5001:$B$5051,0)-1,0)</f>
        <v>5</v>
      </c>
      <c r="G212" s="4">
        <f ca="1">OFFSET(控制台!$I$5001,MATCH(A212,控制台!$B$5001:$B$5051,0)-1,0)</f>
        <v>3000</v>
      </c>
      <c r="H212" s="4">
        <f ca="1">OFFSET(控制台!$J$5001,MATCH(A212,控制台!$B$5001:$B$5051,0)-1,0)+(B212-1)*OFFSET(控制台!$K$5001,MATCH(A212,控制台!$B$5001:$B$5051,0)-1,0)</f>
        <v>300000</v>
      </c>
      <c r="I212" s="4">
        <f ca="1">OFFSET(控制台!$M$5001,MATCH(A212,控制台!$B$5001:$B$5051,0)-1,0)+(B212-1)*OFFSET(控制台!$N$5001,MATCH(A212,控制台!$B$5001:$B$5051,0)-1,0)</f>
        <v>2400000</v>
      </c>
      <c r="J212" s="4">
        <f ca="1">OFFSET(控制台!$P$5001,MATCH(A212,控制台!$B$5001:$B$5051,0)-1,0)</f>
        <v>14400</v>
      </c>
    </row>
    <row r="213" spans="1:10">
      <c r="A213" s="1">
        <v>220503</v>
      </c>
      <c r="B213" s="1">
        <v>3</v>
      </c>
      <c r="C213" s="1">
        <v>2</v>
      </c>
      <c r="D213" s="1" t="s">
        <v>2456</v>
      </c>
      <c r="E213" s="1">
        <f ca="1">OFFSET(控制台!$G$5001,MATCH(A213,控制台!$B$5001:$B$5051,0)-1,0)</f>
        <v>10</v>
      </c>
      <c r="F213" s="1">
        <f ca="1">OFFSET(控制台!$E$5001,MATCH(A213,控制台!$B$5001:$B$5051,0)-1,0)</f>
        <v>5</v>
      </c>
      <c r="G213" s="4">
        <f ca="1">OFFSET(控制台!$I$5001,MATCH(A213,控制台!$B$5001:$B$5051,0)-1,0)</f>
        <v>3000</v>
      </c>
      <c r="H213" s="4">
        <f ca="1">OFFSET(控制台!$J$5001,MATCH(A213,控制台!$B$5001:$B$5051,0)-1,0)+(B213-1)*OFFSET(控制台!$K$5001,MATCH(A213,控制台!$B$5001:$B$5051,0)-1,0)</f>
        <v>350000</v>
      </c>
      <c r="I213" s="4">
        <f ca="1">OFFSET(控制台!$M$5001,MATCH(A213,控制台!$B$5001:$B$5051,0)-1,0)+(B213-1)*OFFSET(控制台!$N$5001,MATCH(A213,控制台!$B$5001:$B$5051,0)-1,0)</f>
        <v>3600000</v>
      </c>
      <c r="J213" s="4">
        <f ca="1">OFFSET(控制台!$P$5001,MATCH(A213,控制台!$B$5001:$B$5051,0)-1,0)</f>
        <v>14400</v>
      </c>
    </row>
    <row r="214" spans="1:10">
      <c r="A214" s="1">
        <v>220503</v>
      </c>
      <c r="B214" s="1">
        <v>4</v>
      </c>
      <c r="C214" s="1">
        <v>2</v>
      </c>
      <c r="D214" s="1" t="s">
        <v>2456</v>
      </c>
      <c r="E214" s="1">
        <f ca="1">OFFSET(控制台!$G$5001,MATCH(A214,控制台!$B$5001:$B$5051,0)-1,0)</f>
        <v>10</v>
      </c>
      <c r="F214" s="1">
        <f ca="1">OFFSET(控制台!$E$5001,MATCH(A214,控制台!$B$5001:$B$5051,0)-1,0)</f>
        <v>5</v>
      </c>
      <c r="G214" s="4">
        <f ca="1">OFFSET(控制台!$I$5001,MATCH(A214,控制台!$B$5001:$B$5051,0)-1,0)</f>
        <v>3000</v>
      </c>
      <c r="H214" s="4">
        <f ca="1">OFFSET(控制台!$J$5001,MATCH(A214,控制台!$B$5001:$B$5051,0)-1,0)+(B214-1)*OFFSET(控制台!$K$5001,MATCH(A214,控制台!$B$5001:$B$5051,0)-1,0)</f>
        <v>400000</v>
      </c>
      <c r="I214" s="4">
        <f ca="1">OFFSET(控制台!$M$5001,MATCH(A214,控制台!$B$5001:$B$5051,0)-1,0)+(B214-1)*OFFSET(控制台!$N$5001,MATCH(A214,控制台!$B$5001:$B$5051,0)-1,0)</f>
        <v>4800000</v>
      </c>
      <c r="J214" s="4">
        <f ca="1">OFFSET(控制台!$P$5001,MATCH(A214,控制台!$B$5001:$B$5051,0)-1,0)</f>
        <v>14400</v>
      </c>
    </row>
    <row r="215" spans="1:10">
      <c r="A215" s="1">
        <v>220503</v>
      </c>
      <c r="B215" s="1">
        <v>5</v>
      </c>
      <c r="C215" s="1">
        <v>2</v>
      </c>
      <c r="D215" s="1" t="s">
        <v>2456</v>
      </c>
      <c r="E215" s="1">
        <f ca="1">OFFSET(控制台!$G$5001,MATCH(A215,控制台!$B$5001:$B$5051,0)-1,0)</f>
        <v>10</v>
      </c>
      <c r="F215" s="1">
        <f ca="1">OFFSET(控制台!$E$5001,MATCH(A215,控制台!$B$5001:$B$5051,0)-1,0)</f>
        <v>5</v>
      </c>
      <c r="G215" s="4">
        <f ca="1">OFFSET(控制台!$I$5001,MATCH(A215,控制台!$B$5001:$B$5051,0)-1,0)</f>
        <v>3000</v>
      </c>
      <c r="H215" s="4">
        <f ca="1">OFFSET(控制台!$J$5001,MATCH(A215,控制台!$B$5001:$B$5051,0)-1,0)+(B215-1)*OFFSET(控制台!$K$5001,MATCH(A215,控制台!$B$5001:$B$5051,0)-1,0)</f>
        <v>450000</v>
      </c>
      <c r="I215" s="4">
        <f ca="1">OFFSET(控制台!$M$5001,MATCH(A215,控制台!$B$5001:$B$5051,0)-1,0)+(B215-1)*OFFSET(控制台!$N$5001,MATCH(A215,控制台!$B$5001:$B$5051,0)-1,0)</f>
        <v>6000000</v>
      </c>
      <c r="J215" s="4">
        <f ca="1">OFFSET(控制台!$P$5001,MATCH(A215,控制台!$B$5001:$B$5051,0)-1,0)</f>
        <v>14400</v>
      </c>
    </row>
    <row r="216" spans="1:10">
      <c r="A216" s="1">
        <v>220503</v>
      </c>
      <c r="B216" s="1">
        <v>6</v>
      </c>
      <c r="C216" s="1">
        <v>2</v>
      </c>
      <c r="D216" s="1" t="s">
        <v>2456</v>
      </c>
      <c r="E216" s="1">
        <f ca="1">OFFSET(控制台!$G$5001,MATCH(A216,控制台!$B$5001:$B$5051,0)-1,0)</f>
        <v>10</v>
      </c>
      <c r="F216" s="1">
        <f ca="1">OFFSET(控制台!$E$5001,MATCH(A216,控制台!$B$5001:$B$5051,0)-1,0)</f>
        <v>5</v>
      </c>
      <c r="G216" s="4">
        <f ca="1">OFFSET(控制台!$I$5001,MATCH(A216,控制台!$B$5001:$B$5051,0)-1,0)</f>
        <v>3000</v>
      </c>
      <c r="H216" s="4">
        <f ca="1">OFFSET(控制台!$J$5001,MATCH(A216,控制台!$B$5001:$B$5051,0)-1,0)+(B216-1)*OFFSET(控制台!$K$5001,MATCH(A216,控制台!$B$5001:$B$5051,0)-1,0)</f>
        <v>500000</v>
      </c>
      <c r="I216" s="4">
        <f ca="1">OFFSET(控制台!$M$5001,MATCH(A216,控制台!$B$5001:$B$5051,0)-1,0)+(B216-1)*OFFSET(控制台!$N$5001,MATCH(A216,控制台!$B$5001:$B$5051,0)-1,0)</f>
        <v>7200000</v>
      </c>
      <c r="J216" s="4">
        <f ca="1">OFFSET(控制台!$P$5001,MATCH(A216,控制台!$B$5001:$B$5051,0)-1,0)</f>
        <v>14400</v>
      </c>
    </row>
    <row r="217" spans="1:10">
      <c r="A217" s="1">
        <v>220503</v>
      </c>
      <c r="B217" s="1">
        <v>7</v>
      </c>
      <c r="C217" s="1">
        <v>2</v>
      </c>
      <c r="D217" s="1" t="s">
        <v>2456</v>
      </c>
      <c r="E217" s="1">
        <f ca="1">OFFSET(控制台!$G$5001,MATCH(A217,控制台!$B$5001:$B$5051,0)-1,0)</f>
        <v>10</v>
      </c>
      <c r="F217" s="1">
        <f ca="1">OFFSET(控制台!$E$5001,MATCH(A217,控制台!$B$5001:$B$5051,0)-1,0)</f>
        <v>5</v>
      </c>
      <c r="G217" s="4">
        <f ca="1">OFFSET(控制台!$I$5001,MATCH(A217,控制台!$B$5001:$B$5051,0)-1,0)</f>
        <v>3000</v>
      </c>
      <c r="H217" s="4">
        <f ca="1">OFFSET(控制台!$J$5001,MATCH(A217,控制台!$B$5001:$B$5051,0)-1,0)+(B217-1)*OFFSET(控制台!$K$5001,MATCH(A217,控制台!$B$5001:$B$5051,0)-1,0)</f>
        <v>550000</v>
      </c>
      <c r="I217" s="4">
        <f ca="1">OFFSET(控制台!$M$5001,MATCH(A217,控制台!$B$5001:$B$5051,0)-1,0)+(B217-1)*OFFSET(控制台!$N$5001,MATCH(A217,控制台!$B$5001:$B$5051,0)-1,0)</f>
        <v>8400000</v>
      </c>
      <c r="J217" s="4">
        <f ca="1">OFFSET(控制台!$P$5001,MATCH(A217,控制台!$B$5001:$B$5051,0)-1,0)</f>
        <v>14400</v>
      </c>
    </row>
    <row r="218" spans="1:10">
      <c r="A218" s="1">
        <v>220503</v>
      </c>
      <c r="B218" s="1">
        <v>8</v>
      </c>
      <c r="C218" s="1">
        <v>2</v>
      </c>
      <c r="D218" s="1" t="s">
        <v>2456</v>
      </c>
      <c r="E218" s="1">
        <f ca="1">OFFSET(控制台!$G$5001,MATCH(A218,控制台!$B$5001:$B$5051,0)-1,0)</f>
        <v>10</v>
      </c>
      <c r="F218" s="1">
        <f ca="1">OFFSET(控制台!$E$5001,MATCH(A218,控制台!$B$5001:$B$5051,0)-1,0)</f>
        <v>5</v>
      </c>
      <c r="G218" s="4">
        <f ca="1">OFFSET(控制台!$I$5001,MATCH(A218,控制台!$B$5001:$B$5051,0)-1,0)</f>
        <v>3000</v>
      </c>
      <c r="H218" s="4">
        <f ca="1">OFFSET(控制台!$J$5001,MATCH(A218,控制台!$B$5001:$B$5051,0)-1,0)+(B218-1)*OFFSET(控制台!$K$5001,MATCH(A218,控制台!$B$5001:$B$5051,0)-1,0)</f>
        <v>600000</v>
      </c>
      <c r="I218" s="4">
        <f ca="1">OFFSET(控制台!$M$5001,MATCH(A218,控制台!$B$5001:$B$5051,0)-1,0)+(B218-1)*OFFSET(控制台!$N$5001,MATCH(A218,控制台!$B$5001:$B$5051,0)-1,0)</f>
        <v>9600000</v>
      </c>
      <c r="J218" s="4">
        <f ca="1">OFFSET(控制台!$P$5001,MATCH(A218,控制台!$B$5001:$B$5051,0)-1,0)</f>
        <v>14400</v>
      </c>
    </row>
    <row r="219" spans="1:10">
      <c r="A219" s="1">
        <v>220503</v>
      </c>
      <c r="B219" s="1">
        <v>9</v>
      </c>
      <c r="C219" s="1">
        <v>2</v>
      </c>
      <c r="D219" s="1" t="s">
        <v>2456</v>
      </c>
      <c r="E219" s="1">
        <f ca="1">OFFSET(控制台!$G$5001,MATCH(A219,控制台!$B$5001:$B$5051,0)-1,0)</f>
        <v>10</v>
      </c>
      <c r="F219" s="1">
        <f ca="1">OFFSET(控制台!$E$5001,MATCH(A219,控制台!$B$5001:$B$5051,0)-1,0)</f>
        <v>5</v>
      </c>
      <c r="G219" s="4">
        <f ca="1">OFFSET(控制台!$I$5001,MATCH(A219,控制台!$B$5001:$B$5051,0)-1,0)</f>
        <v>3000</v>
      </c>
      <c r="H219" s="4">
        <f ca="1">OFFSET(控制台!$J$5001,MATCH(A219,控制台!$B$5001:$B$5051,0)-1,0)+(B219-1)*OFFSET(控制台!$K$5001,MATCH(A219,控制台!$B$5001:$B$5051,0)-1,0)</f>
        <v>650000</v>
      </c>
      <c r="I219" s="4">
        <f ca="1">OFFSET(控制台!$M$5001,MATCH(A219,控制台!$B$5001:$B$5051,0)-1,0)+(B219-1)*OFFSET(控制台!$N$5001,MATCH(A219,控制台!$B$5001:$B$5051,0)-1,0)</f>
        <v>10800000</v>
      </c>
      <c r="J219" s="4">
        <f ca="1">OFFSET(控制台!$P$5001,MATCH(A219,控制台!$B$5001:$B$5051,0)-1,0)</f>
        <v>14400</v>
      </c>
    </row>
    <row r="220" spans="1:10">
      <c r="A220" s="1">
        <v>220503</v>
      </c>
      <c r="B220" s="1">
        <v>10</v>
      </c>
      <c r="C220" s="1">
        <v>2</v>
      </c>
      <c r="D220" s="1" t="s">
        <v>2456</v>
      </c>
      <c r="E220" s="1">
        <f ca="1">OFFSET(控制台!$G$5001,MATCH(A220,控制台!$B$5001:$B$5051,0)-1,0)</f>
        <v>10</v>
      </c>
      <c r="F220" s="1">
        <f ca="1">OFFSET(控制台!$E$5001,MATCH(A220,控制台!$B$5001:$B$5051,0)-1,0)</f>
        <v>5</v>
      </c>
      <c r="G220" s="4">
        <f ca="1">OFFSET(控制台!$I$5001,MATCH(A220,控制台!$B$5001:$B$5051,0)-1,0)</f>
        <v>3000</v>
      </c>
      <c r="H220" s="4">
        <f ca="1">OFFSET(控制台!$J$5001,MATCH(A220,控制台!$B$5001:$B$5051,0)-1,0)+(B220-1)*OFFSET(控制台!$K$5001,MATCH(A220,控制台!$B$5001:$B$5051,0)-1,0)</f>
        <v>700000</v>
      </c>
      <c r="I220" s="4">
        <f ca="1">OFFSET(控制台!$M$5001,MATCH(A220,控制台!$B$5001:$B$5051,0)-1,0)+(B220-1)*OFFSET(控制台!$N$5001,MATCH(A220,控制台!$B$5001:$B$5051,0)-1,0)</f>
        <v>12000000</v>
      </c>
      <c r="J220" s="4">
        <f ca="1">OFFSET(控制台!$P$5001,MATCH(A220,控制台!$B$5001:$B$5051,0)-1,0)</f>
        <v>14400</v>
      </c>
    </row>
    <row r="221" spans="1:10">
      <c r="A221" s="1">
        <v>220601</v>
      </c>
      <c r="B221" s="1">
        <v>1</v>
      </c>
      <c r="C221" s="1">
        <v>2</v>
      </c>
      <c r="D221" s="1" t="s">
        <v>2457</v>
      </c>
      <c r="E221" s="1">
        <f ca="1">OFFSET(控制台!$G$5001,MATCH(A221,控制台!$B$5001:$B$5051,0)-1,0)</f>
        <v>10</v>
      </c>
      <c r="F221" s="1">
        <f ca="1">OFFSET(控制台!$E$5001,MATCH(A221,控制台!$B$5001:$B$5051,0)-1,0)</f>
        <v>6</v>
      </c>
      <c r="G221" s="4">
        <f ca="1">OFFSET(控制台!$I$5001,MATCH(A221,控制台!$B$5001:$B$5051,0)-1,0)</f>
        <v>4000</v>
      </c>
      <c r="H221" s="4">
        <f ca="1">OFFSET(控制台!$J$5001,MATCH(A221,控制台!$B$5001:$B$5051,0)-1,0)+(B221-1)*OFFSET(控制台!$K$5001,MATCH(A221,控制台!$B$5001:$B$5051,0)-1,0)</f>
        <v>300000</v>
      </c>
      <c r="I221" s="4">
        <f ca="1">OFFSET(控制台!$M$5001,MATCH(A221,控制台!$B$5001:$B$5051,0)-1,0)+(B221-1)*OFFSET(控制台!$N$5001,MATCH(A221,控制台!$B$5001:$B$5051,0)-1,0)</f>
        <v>2000000</v>
      </c>
      <c r="J221" s="4">
        <f ca="1">OFFSET(控制台!$P$5001,MATCH(A221,控制台!$B$5001:$B$5051,0)-1,0)</f>
        <v>14400</v>
      </c>
    </row>
    <row r="222" spans="1:10">
      <c r="A222" s="1">
        <v>220601</v>
      </c>
      <c r="B222" s="1">
        <v>2</v>
      </c>
      <c r="C222" s="1">
        <v>2</v>
      </c>
      <c r="D222" s="1" t="s">
        <v>2457</v>
      </c>
      <c r="E222" s="1">
        <f ca="1">OFFSET(控制台!$G$5001,MATCH(A222,控制台!$B$5001:$B$5051,0)-1,0)</f>
        <v>10</v>
      </c>
      <c r="F222" s="1">
        <f ca="1">OFFSET(控制台!$E$5001,MATCH(A222,控制台!$B$5001:$B$5051,0)-1,0)</f>
        <v>6</v>
      </c>
      <c r="G222" s="4">
        <f ca="1">OFFSET(控制台!$I$5001,MATCH(A222,控制台!$B$5001:$B$5051,0)-1,0)</f>
        <v>4000</v>
      </c>
      <c r="H222" s="4">
        <f ca="1">OFFSET(控制台!$J$5001,MATCH(A222,控制台!$B$5001:$B$5051,0)-1,0)+(B222-1)*OFFSET(控制台!$K$5001,MATCH(A222,控制台!$B$5001:$B$5051,0)-1,0)</f>
        <v>350000</v>
      </c>
      <c r="I222" s="4">
        <f ca="1">OFFSET(控制台!$M$5001,MATCH(A222,控制台!$B$5001:$B$5051,0)-1,0)+(B222-1)*OFFSET(控制台!$N$5001,MATCH(A222,控制台!$B$5001:$B$5051,0)-1,0)</f>
        <v>4000000</v>
      </c>
      <c r="J222" s="4">
        <f ca="1">OFFSET(控制台!$P$5001,MATCH(A222,控制台!$B$5001:$B$5051,0)-1,0)</f>
        <v>14400</v>
      </c>
    </row>
    <row r="223" spans="1:10">
      <c r="A223" s="1">
        <v>220601</v>
      </c>
      <c r="B223" s="1">
        <v>3</v>
      </c>
      <c r="C223" s="1">
        <v>2</v>
      </c>
      <c r="D223" s="1" t="s">
        <v>2457</v>
      </c>
      <c r="E223" s="1">
        <f ca="1">OFFSET(控制台!$G$5001,MATCH(A223,控制台!$B$5001:$B$5051,0)-1,0)</f>
        <v>10</v>
      </c>
      <c r="F223" s="1">
        <f ca="1">OFFSET(控制台!$E$5001,MATCH(A223,控制台!$B$5001:$B$5051,0)-1,0)</f>
        <v>6</v>
      </c>
      <c r="G223" s="4">
        <f ca="1">OFFSET(控制台!$I$5001,MATCH(A223,控制台!$B$5001:$B$5051,0)-1,0)</f>
        <v>4000</v>
      </c>
      <c r="H223" s="4">
        <f ca="1">OFFSET(控制台!$J$5001,MATCH(A223,控制台!$B$5001:$B$5051,0)-1,0)+(B223-1)*OFFSET(控制台!$K$5001,MATCH(A223,控制台!$B$5001:$B$5051,0)-1,0)</f>
        <v>400000</v>
      </c>
      <c r="I223" s="4">
        <f ca="1">OFFSET(控制台!$M$5001,MATCH(A223,控制台!$B$5001:$B$5051,0)-1,0)+(B223-1)*OFFSET(控制台!$N$5001,MATCH(A223,控制台!$B$5001:$B$5051,0)-1,0)</f>
        <v>6000000</v>
      </c>
      <c r="J223" s="4">
        <f ca="1">OFFSET(控制台!$P$5001,MATCH(A223,控制台!$B$5001:$B$5051,0)-1,0)</f>
        <v>14400</v>
      </c>
    </row>
    <row r="224" spans="1:10">
      <c r="A224" s="1">
        <v>220601</v>
      </c>
      <c r="B224" s="1">
        <v>4</v>
      </c>
      <c r="C224" s="1">
        <v>2</v>
      </c>
      <c r="D224" s="1" t="s">
        <v>2457</v>
      </c>
      <c r="E224" s="1">
        <f ca="1">OFFSET(控制台!$G$5001,MATCH(A224,控制台!$B$5001:$B$5051,0)-1,0)</f>
        <v>10</v>
      </c>
      <c r="F224" s="1">
        <f ca="1">OFFSET(控制台!$E$5001,MATCH(A224,控制台!$B$5001:$B$5051,0)-1,0)</f>
        <v>6</v>
      </c>
      <c r="G224" s="4">
        <f ca="1">OFFSET(控制台!$I$5001,MATCH(A224,控制台!$B$5001:$B$5051,0)-1,0)</f>
        <v>4000</v>
      </c>
      <c r="H224" s="4">
        <f ca="1">OFFSET(控制台!$J$5001,MATCH(A224,控制台!$B$5001:$B$5051,0)-1,0)+(B224-1)*OFFSET(控制台!$K$5001,MATCH(A224,控制台!$B$5001:$B$5051,0)-1,0)</f>
        <v>450000</v>
      </c>
      <c r="I224" s="4">
        <f ca="1">OFFSET(控制台!$M$5001,MATCH(A224,控制台!$B$5001:$B$5051,0)-1,0)+(B224-1)*OFFSET(控制台!$N$5001,MATCH(A224,控制台!$B$5001:$B$5051,0)-1,0)</f>
        <v>8000000</v>
      </c>
      <c r="J224" s="4">
        <f ca="1">OFFSET(控制台!$P$5001,MATCH(A224,控制台!$B$5001:$B$5051,0)-1,0)</f>
        <v>14400</v>
      </c>
    </row>
    <row r="225" spans="1:10">
      <c r="A225" s="1">
        <v>220601</v>
      </c>
      <c r="B225" s="1">
        <v>5</v>
      </c>
      <c r="C225" s="1">
        <v>2</v>
      </c>
      <c r="D225" s="1" t="s">
        <v>2457</v>
      </c>
      <c r="E225" s="1">
        <f ca="1">OFFSET(控制台!$G$5001,MATCH(A225,控制台!$B$5001:$B$5051,0)-1,0)</f>
        <v>10</v>
      </c>
      <c r="F225" s="1">
        <f ca="1">OFFSET(控制台!$E$5001,MATCH(A225,控制台!$B$5001:$B$5051,0)-1,0)</f>
        <v>6</v>
      </c>
      <c r="G225" s="4">
        <f ca="1">OFFSET(控制台!$I$5001,MATCH(A225,控制台!$B$5001:$B$5051,0)-1,0)</f>
        <v>4000</v>
      </c>
      <c r="H225" s="4">
        <f ca="1">OFFSET(控制台!$J$5001,MATCH(A225,控制台!$B$5001:$B$5051,0)-1,0)+(B225-1)*OFFSET(控制台!$K$5001,MATCH(A225,控制台!$B$5001:$B$5051,0)-1,0)</f>
        <v>500000</v>
      </c>
      <c r="I225" s="4">
        <f ca="1">OFFSET(控制台!$M$5001,MATCH(A225,控制台!$B$5001:$B$5051,0)-1,0)+(B225-1)*OFFSET(控制台!$N$5001,MATCH(A225,控制台!$B$5001:$B$5051,0)-1,0)</f>
        <v>10000000</v>
      </c>
      <c r="J225" s="4">
        <f ca="1">OFFSET(控制台!$P$5001,MATCH(A225,控制台!$B$5001:$B$5051,0)-1,0)</f>
        <v>14400</v>
      </c>
    </row>
    <row r="226" spans="1:10">
      <c r="A226" s="1">
        <v>220601</v>
      </c>
      <c r="B226" s="1">
        <v>6</v>
      </c>
      <c r="C226" s="1">
        <v>2</v>
      </c>
      <c r="D226" s="1" t="s">
        <v>2457</v>
      </c>
      <c r="E226" s="1">
        <f ca="1">OFFSET(控制台!$G$5001,MATCH(A226,控制台!$B$5001:$B$5051,0)-1,0)</f>
        <v>10</v>
      </c>
      <c r="F226" s="1">
        <f ca="1">OFFSET(控制台!$E$5001,MATCH(A226,控制台!$B$5001:$B$5051,0)-1,0)</f>
        <v>6</v>
      </c>
      <c r="G226" s="4">
        <f ca="1">OFFSET(控制台!$I$5001,MATCH(A226,控制台!$B$5001:$B$5051,0)-1,0)</f>
        <v>4000</v>
      </c>
      <c r="H226" s="4">
        <f ca="1">OFFSET(控制台!$J$5001,MATCH(A226,控制台!$B$5001:$B$5051,0)-1,0)+(B226-1)*OFFSET(控制台!$K$5001,MATCH(A226,控制台!$B$5001:$B$5051,0)-1,0)</f>
        <v>550000</v>
      </c>
      <c r="I226" s="4">
        <f ca="1">OFFSET(控制台!$M$5001,MATCH(A226,控制台!$B$5001:$B$5051,0)-1,0)+(B226-1)*OFFSET(控制台!$N$5001,MATCH(A226,控制台!$B$5001:$B$5051,0)-1,0)</f>
        <v>12000000</v>
      </c>
      <c r="J226" s="4">
        <f ca="1">OFFSET(控制台!$P$5001,MATCH(A226,控制台!$B$5001:$B$5051,0)-1,0)</f>
        <v>14400</v>
      </c>
    </row>
    <row r="227" spans="1:10">
      <c r="A227" s="1">
        <v>220601</v>
      </c>
      <c r="B227" s="1">
        <v>7</v>
      </c>
      <c r="C227" s="1">
        <v>2</v>
      </c>
      <c r="D227" s="1" t="s">
        <v>2457</v>
      </c>
      <c r="E227" s="1">
        <f ca="1">OFFSET(控制台!$G$5001,MATCH(A227,控制台!$B$5001:$B$5051,0)-1,0)</f>
        <v>10</v>
      </c>
      <c r="F227" s="1">
        <f ca="1">OFFSET(控制台!$E$5001,MATCH(A227,控制台!$B$5001:$B$5051,0)-1,0)</f>
        <v>6</v>
      </c>
      <c r="G227" s="4">
        <f ca="1">OFFSET(控制台!$I$5001,MATCH(A227,控制台!$B$5001:$B$5051,0)-1,0)</f>
        <v>4000</v>
      </c>
      <c r="H227" s="4">
        <f ca="1">OFFSET(控制台!$J$5001,MATCH(A227,控制台!$B$5001:$B$5051,0)-1,0)+(B227-1)*OFFSET(控制台!$K$5001,MATCH(A227,控制台!$B$5001:$B$5051,0)-1,0)</f>
        <v>600000</v>
      </c>
      <c r="I227" s="4">
        <f ca="1">OFFSET(控制台!$M$5001,MATCH(A227,控制台!$B$5001:$B$5051,0)-1,0)+(B227-1)*OFFSET(控制台!$N$5001,MATCH(A227,控制台!$B$5001:$B$5051,0)-1,0)</f>
        <v>14000000</v>
      </c>
      <c r="J227" s="4">
        <f ca="1">OFFSET(控制台!$P$5001,MATCH(A227,控制台!$B$5001:$B$5051,0)-1,0)</f>
        <v>14400</v>
      </c>
    </row>
    <row r="228" spans="1:10">
      <c r="A228" s="1">
        <v>220601</v>
      </c>
      <c r="B228" s="1">
        <v>8</v>
      </c>
      <c r="C228" s="1">
        <v>2</v>
      </c>
      <c r="D228" s="1" t="s">
        <v>2457</v>
      </c>
      <c r="E228" s="1">
        <f ca="1">OFFSET(控制台!$G$5001,MATCH(A228,控制台!$B$5001:$B$5051,0)-1,0)</f>
        <v>10</v>
      </c>
      <c r="F228" s="1">
        <f ca="1">OFFSET(控制台!$E$5001,MATCH(A228,控制台!$B$5001:$B$5051,0)-1,0)</f>
        <v>6</v>
      </c>
      <c r="G228" s="4">
        <f ca="1">OFFSET(控制台!$I$5001,MATCH(A228,控制台!$B$5001:$B$5051,0)-1,0)</f>
        <v>4000</v>
      </c>
      <c r="H228" s="4">
        <f ca="1">OFFSET(控制台!$J$5001,MATCH(A228,控制台!$B$5001:$B$5051,0)-1,0)+(B228-1)*OFFSET(控制台!$K$5001,MATCH(A228,控制台!$B$5001:$B$5051,0)-1,0)</f>
        <v>650000</v>
      </c>
      <c r="I228" s="4">
        <f ca="1">OFFSET(控制台!$M$5001,MATCH(A228,控制台!$B$5001:$B$5051,0)-1,0)+(B228-1)*OFFSET(控制台!$N$5001,MATCH(A228,控制台!$B$5001:$B$5051,0)-1,0)</f>
        <v>16000000</v>
      </c>
      <c r="J228" s="4">
        <f ca="1">OFFSET(控制台!$P$5001,MATCH(A228,控制台!$B$5001:$B$5051,0)-1,0)</f>
        <v>14400</v>
      </c>
    </row>
    <row r="229" spans="1:10">
      <c r="A229" s="1">
        <v>220601</v>
      </c>
      <c r="B229" s="1">
        <v>9</v>
      </c>
      <c r="C229" s="1">
        <v>2</v>
      </c>
      <c r="D229" s="1" t="s">
        <v>2457</v>
      </c>
      <c r="E229" s="1">
        <f ca="1">OFFSET(控制台!$G$5001,MATCH(A229,控制台!$B$5001:$B$5051,0)-1,0)</f>
        <v>10</v>
      </c>
      <c r="F229" s="1">
        <f ca="1">OFFSET(控制台!$E$5001,MATCH(A229,控制台!$B$5001:$B$5051,0)-1,0)</f>
        <v>6</v>
      </c>
      <c r="G229" s="4">
        <f ca="1">OFFSET(控制台!$I$5001,MATCH(A229,控制台!$B$5001:$B$5051,0)-1,0)</f>
        <v>4000</v>
      </c>
      <c r="H229" s="4">
        <f ca="1">OFFSET(控制台!$J$5001,MATCH(A229,控制台!$B$5001:$B$5051,0)-1,0)+(B229-1)*OFFSET(控制台!$K$5001,MATCH(A229,控制台!$B$5001:$B$5051,0)-1,0)</f>
        <v>700000</v>
      </c>
      <c r="I229" s="4">
        <f ca="1">OFFSET(控制台!$M$5001,MATCH(A229,控制台!$B$5001:$B$5051,0)-1,0)+(B229-1)*OFFSET(控制台!$N$5001,MATCH(A229,控制台!$B$5001:$B$5051,0)-1,0)</f>
        <v>18000000</v>
      </c>
      <c r="J229" s="4">
        <f ca="1">OFFSET(控制台!$P$5001,MATCH(A229,控制台!$B$5001:$B$5051,0)-1,0)</f>
        <v>14400</v>
      </c>
    </row>
    <row r="230" spans="1:10">
      <c r="A230" s="1">
        <v>220601</v>
      </c>
      <c r="B230" s="1">
        <v>10</v>
      </c>
      <c r="C230" s="1">
        <v>2</v>
      </c>
      <c r="D230" s="1" t="s">
        <v>2457</v>
      </c>
      <c r="E230" s="1">
        <f ca="1">OFFSET(控制台!$G$5001,MATCH(A230,控制台!$B$5001:$B$5051,0)-1,0)</f>
        <v>10</v>
      </c>
      <c r="F230" s="1">
        <f ca="1">OFFSET(控制台!$E$5001,MATCH(A230,控制台!$B$5001:$B$5051,0)-1,0)</f>
        <v>6</v>
      </c>
      <c r="G230" s="4">
        <f ca="1">OFFSET(控制台!$I$5001,MATCH(A230,控制台!$B$5001:$B$5051,0)-1,0)</f>
        <v>4000</v>
      </c>
      <c r="H230" s="4">
        <f ca="1">OFFSET(控制台!$J$5001,MATCH(A230,控制台!$B$5001:$B$5051,0)-1,0)+(B230-1)*OFFSET(控制台!$K$5001,MATCH(A230,控制台!$B$5001:$B$5051,0)-1,0)</f>
        <v>750000</v>
      </c>
      <c r="I230" s="4">
        <f ca="1">OFFSET(控制台!$M$5001,MATCH(A230,控制台!$B$5001:$B$5051,0)-1,0)+(B230-1)*OFFSET(控制台!$N$5001,MATCH(A230,控制台!$B$5001:$B$5051,0)-1,0)</f>
        <v>20000000</v>
      </c>
      <c r="J230" s="4">
        <f ca="1">OFFSET(控制台!$P$5001,MATCH(A230,控制台!$B$5001:$B$5051,0)-1,0)</f>
        <v>14400</v>
      </c>
    </row>
    <row r="231" spans="1:10">
      <c r="A231" s="1">
        <v>220602</v>
      </c>
      <c r="B231" s="1">
        <v>1</v>
      </c>
      <c r="C231" s="1">
        <v>2</v>
      </c>
      <c r="D231" s="1" t="s">
        <v>2458</v>
      </c>
      <c r="E231" s="1">
        <f ca="1">OFFSET(控制台!$G$5001,MATCH(A231,控制台!$B$5001:$B$5051,0)-1,0)</f>
        <v>10</v>
      </c>
      <c r="F231" s="1">
        <f ca="1">OFFSET(控制台!$E$5001,MATCH(A231,控制台!$B$5001:$B$5051,0)-1,0)</f>
        <v>6</v>
      </c>
      <c r="G231" s="4">
        <f ca="1">OFFSET(控制台!$I$5001,MATCH(A231,控制台!$B$5001:$B$5051,0)-1,0)</f>
        <v>4000</v>
      </c>
      <c r="H231" s="4">
        <f ca="1">OFFSET(控制台!$J$5001,MATCH(A231,控制台!$B$5001:$B$5051,0)-1,0)+(B231-1)*OFFSET(控制台!$K$5001,MATCH(A231,控制台!$B$5001:$B$5051,0)-1,0)</f>
        <v>300000</v>
      </c>
      <c r="I231" s="4">
        <f ca="1">OFFSET(控制台!$M$5001,MATCH(A231,控制台!$B$5001:$B$5051,0)-1,0)+(B231-1)*OFFSET(控制台!$N$5001,MATCH(A231,控制台!$B$5001:$B$5051,0)-1,0)</f>
        <v>2000000</v>
      </c>
      <c r="J231" s="4">
        <f ca="1">OFFSET(控制台!$P$5001,MATCH(A231,控制台!$B$5001:$B$5051,0)-1,0)</f>
        <v>14400</v>
      </c>
    </row>
    <row r="232" spans="1:10">
      <c r="A232" s="1">
        <v>220602</v>
      </c>
      <c r="B232" s="1">
        <v>2</v>
      </c>
      <c r="C232" s="1">
        <v>2</v>
      </c>
      <c r="D232" s="1" t="s">
        <v>2458</v>
      </c>
      <c r="E232" s="1">
        <f ca="1">OFFSET(控制台!$G$5001,MATCH(A232,控制台!$B$5001:$B$5051,0)-1,0)</f>
        <v>10</v>
      </c>
      <c r="F232" s="1">
        <f ca="1">OFFSET(控制台!$E$5001,MATCH(A232,控制台!$B$5001:$B$5051,0)-1,0)</f>
        <v>6</v>
      </c>
      <c r="G232" s="4">
        <f ca="1">OFFSET(控制台!$I$5001,MATCH(A232,控制台!$B$5001:$B$5051,0)-1,0)</f>
        <v>4000</v>
      </c>
      <c r="H232" s="4">
        <f ca="1">OFFSET(控制台!$J$5001,MATCH(A232,控制台!$B$5001:$B$5051,0)-1,0)+(B232-1)*OFFSET(控制台!$K$5001,MATCH(A232,控制台!$B$5001:$B$5051,0)-1,0)</f>
        <v>350000</v>
      </c>
      <c r="I232" s="4">
        <f ca="1">OFFSET(控制台!$M$5001,MATCH(A232,控制台!$B$5001:$B$5051,0)-1,0)+(B232-1)*OFFSET(控制台!$N$5001,MATCH(A232,控制台!$B$5001:$B$5051,0)-1,0)</f>
        <v>4000000</v>
      </c>
      <c r="J232" s="4">
        <f ca="1">OFFSET(控制台!$P$5001,MATCH(A232,控制台!$B$5001:$B$5051,0)-1,0)</f>
        <v>14400</v>
      </c>
    </row>
    <row r="233" spans="1:10">
      <c r="A233" s="1">
        <v>220602</v>
      </c>
      <c r="B233" s="1">
        <v>3</v>
      </c>
      <c r="C233" s="1">
        <v>2</v>
      </c>
      <c r="D233" s="1" t="s">
        <v>2458</v>
      </c>
      <c r="E233" s="1">
        <f ca="1">OFFSET(控制台!$G$5001,MATCH(A233,控制台!$B$5001:$B$5051,0)-1,0)</f>
        <v>10</v>
      </c>
      <c r="F233" s="1">
        <f ca="1">OFFSET(控制台!$E$5001,MATCH(A233,控制台!$B$5001:$B$5051,0)-1,0)</f>
        <v>6</v>
      </c>
      <c r="G233" s="4">
        <f ca="1">OFFSET(控制台!$I$5001,MATCH(A233,控制台!$B$5001:$B$5051,0)-1,0)</f>
        <v>4000</v>
      </c>
      <c r="H233" s="4">
        <f ca="1">OFFSET(控制台!$J$5001,MATCH(A233,控制台!$B$5001:$B$5051,0)-1,0)+(B233-1)*OFFSET(控制台!$K$5001,MATCH(A233,控制台!$B$5001:$B$5051,0)-1,0)</f>
        <v>400000</v>
      </c>
      <c r="I233" s="4">
        <f ca="1">OFFSET(控制台!$M$5001,MATCH(A233,控制台!$B$5001:$B$5051,0)-1,0)+(B233-1)*OFFSET(控制台!$N$5001,MATCH(A233,控制台!$B$5001:$B$5051,0)-1,0)</f>
        <v>6000000</v>
      </c>
      <c r="J233" s="4">
        <f ca="1">OFFSET(控制台!$P$5001,MATCH(A233,控制台!$B$5001:$B$5051,0)-1,0)</f>
        <v>14400</v>
      </c>
    </row>
    <row r="234" spans="1:10">
      <c r="A234" s="1">
        <v>220602</v>
      </c>
      <c r="B234" s="1">
        <v>4</v>
      </c>
      <c r="C234" s="1">
        <v>2</v>
      </c>
      <c r="D234" s="1" t="s">
        <v>2458</v>
      </c>
      <c r="E234" s="1">
        <f ca="1">OFFSET(控制台!$G$5001,MATCH(A234,控制台!$B$5001:$B$5051,0)-1,0)</f>
        <v>10</v>
      </c>
      <c r="F234" s="1">
        <f ca="1">OFFSET(控制台!$E$5001,MATCH(A234,控制台!$B$5001:$B$5051,0)-1,0)</f>
        <v>6</v>
      </c>
      <c r="G234" s="4">
        <f ca="1">OFFSET(控制台!$I$5001,MATCH(A234,控制台!$B$5001:$B$5051,0)-1,0)</f>
        <v>4000</v>
      </c>
      <c r="H234" s="4">
        <f ca="1">OFFSET(控制台!$J$5001,MATCH(A234,控制台!$B$5001:$B$5051,0)-1,0)+(B234-1)*OFFSET(控制台!$K$5001,MATCH(A234,控制台!$B$5001:$B$5051,0)-1,0)</f>
        <v>450000</v>
      </c>
      <c r="I234" s="4">
        <f ca="1">OFFSET(控制台!$M$5001,MATCH(A234,控制台!$B$5001:$B$5051,0)-1,0)+(B234-1)*OFFSET(控制台!$N$5001,MATCH(A234,控制台!$B$5001:$B$5051,0)-1,0)</f>
        <v>8000000</v>
      </c>
      <c r="J234" s="4">
        <f ca="1">OFFSET(控制台!$P$5001,MATCH(A234,控制台!$B$5001:$B$5051,0)-1,0)</f>
        <v>14400</v>
      </c>
    </row>
    <row r="235" spans="1:10">
      <c r="A235" s="1">
        <v>220602</v>
      </c>
      <c r="B235" s="1">
        <v>5</v>
      </c>
      <c r="C235" s="1">
        <v>2</v>
      </c>
      <c r="D235" s="1" t="s">
        <v>2458</v>
      </c>
      <c r="E235" s="1">
        <f ca="1">OFFSET(控制台!$G$5001,MATCH(A235,控制台!$B$5001:$B$5051,0)-1,0)</f>
        <v>10</v>
      </c>
      <c r="F235" s="1">
        <f ca="1">OFFSET(控制台!$E$5001,MATCH(A235,控制台!$B$5001:$B$5051,0)-1,0)</f>
        <v>6</v>
      </c>
      <c r="G235" s="4">
        <f ca="1">OFFSET(控制台!$I$5001,MATCH(A235,控制台!$B$5001:$B$5051,0)-1,0)</f>
        <v>4000</v>
      </c>
      <c r="H235" s="4">
        <f ca="1">OFFSET(控制台!$J$5001,MATCH(A235,控制台!$B$5001:$B$5051,0)-1,0)+(B235-1)*OFFSET(控制台!$K$5001,MATCH(A235,控制台!$B$5001:$B$5051,0)-1,0)</f>
        <v>500000</v>
      </c>
      <c r="I235" s="4">
        <f ca="1">OFFSET(控制台!$M$5001,MATCH(A235,控制台!$B$5001:$B$5051,0)-1,0)+(B235-1)*OFFSET(控制台!$N$5001,MATCH(A235,控制台!$B$5001:$B$5051,0)-1,0)</f>
        <v>10000000</v>
      </c>
      <c r="J235" s="4">
        <f ca="1">OFFSET(控制台!$P$5001,MATCH(A235,控制台!$B$5001:$B$5051,0)-1,0)</f>
        <v>14400</v>
      </c>
    </row>
    <row r="236" spans="1:10">
      <c r="A236" s="1">
        <v>220602</v>
      </c>
      <c r="B236" s="1">
        <v>6</v>
      </c>
      <c r="C236" s="1">
        <v>2</v>
      </c>
      <c r="D236" s="1" t="s">
        <v>2458</v>
      </c>
      <c r="E236" s="1">
        <f ca="1">OFFSET(控制台!$G$5001,MATCH(A236,控制台!$B$5001:$B$5051,0)-1,0)</f>
        <v>10</v>
      </c>
      <c r="F236" s="1">
        <f ca="1">OFFSET(控制台!$E$5001,MATCH(A236,控制台!$B$5001:$B$5051,0)-1,0)</f>
        <v>6</v>
      </c>
      <c r="G236" s="4">
        <f ca="1">OFFSET(控制台!$I$5001,MATCH(A236,控制台!$B$5001:$B$5051,0)-1,0)</f>
        <v>4000</v>
      </c>
      <c r="H236" s="4">
        <f ca="1">OFFSET(控制台!$J$5001,MATCH(A236,控制台!$B$5001:$B$5051,0)-1,0)+(B236-1)*OFFSET(控制台!$K$5001,MATCH(A236,控制台!$B$5001:$B$5051,0)-1,0)</f>
        <v>550000</v>
      </c>
      <c r="I236" s="4">
        <f ca="1">OFFSET(控制台!$M$5001,MATCH(A236,控制台!$B$5001:$B$5051,0)-1,0)+(B236-1)*OFFSET(控制台!$N$5001,MATCH(A236,控制台!$B$5001:$B$5051,0)-1,0)</f>
        <v>12000000</v>
      </c>
      <c r="J236" s="4">
        <f ca="1">OFFSET(控制台!$P$5001,MATCH(A236,控制台!$B$5001:$B$5051,0)-1,0)</f>
        <v>14400</v>
      </c>
    </row>
    <row r="237" spans="1:10">
      <c r="A237" s="1">
        <v>220602</v>
      </c>
      <c r="B237" s="1">
        <v>7</v>
      </c>
      <c r="C237" s="1">
        <v>2</v>
      </c>
      <c r="D237" s="1" t="s">
        <v>2458</v>
      </c>
      <c r="E237" s="1">
        <f ca="1">OFFSET(控制台!$G$5001,MATCH(A237,控制台!$B$5001:$B$5051,0)-1,0)</f>
        <v>10</v>
      </c>
      <c r="F237" s="1">
        <f ca="1">OFFSET(控制台!$E$5001,MATCH(A237,控制台!$B$5001:$B$5051,0)-1,0)</f>
        <v>6</v>
      </c>
      <c r="G237" s="4">
        <f ca="1">OFFSET(控制台!$I$5001,MATCH(A237,控制台!$B$5001:$B$5051,0)-1,0)</f>
        <v>4000</v>
      </c>
      <c r="H237" s="4">
        <f ca="1">OFFSET(控制台!$J$5001,MATCH(A237,控制台!$B$5001:$B$5051,0)-1,0)+(B237-1)*OFFSET(控制台!$K$5001,MATCH(A237,控制台!$B$5001:$B$5051,0)-1,0)</f>
        <v>600000</v>
      </c>
      <c r="I237" s="4">
        <f ca="1">OFFSET(控制台!$M$5001,MATCH(A237,控制台!$B$5001:$B$5051,0)-1,0)+(B237-1)*OFFSET(控制台!$N$5001,MATCH(A237,控制台!$B$5001:$B$5051,0)-1,0)</f>
        <v>14000000</v>
      </c>
      <c r="J237" s="4">
        <f ca="1">OFFSET(控制台!$P$5001,MATCH(A237,控制台!$B$5001:$B$5051,0)-1,0)</f>
        <v>14400</v>
      </c>
    </row>
    <row r="238" spans="1:10">
      <c r="A238" s="1">
        <v>220602</v>
      </c>
      <c r="B238" s="1">
        <v>8</v>
      </c>
      <c r="C238" s="1">
        <v>2</v>
      </c>
      <c r="D238" s="1" t="s">
        <v>2458</v>
      </c>
      <c r="E238" s="1">
        <f ca="1">OFFSET(控制台!$G$5001,MATCH(A238,控制台!$B$5001:$B$5051,0)-1,0)</f>
        <v>10</v>
      </c>
      <c r="F238" s="1">
        <f ca="1">OFFSET(控制台!$E$5001,MATCH(A238,控制台!$B$5001:$B$5051,0)-1,0)</f>
        <v>6</v>
      </c>
      <c r="G238" s="4">
        <f ca="1">OFFSET(控制台!$I$5001,MATCH(A238,控制台!$B$5001:$B$5051,0)-1,0)</f>
        <v>4000</v>
      </c>
      <c r="H238" s="4">
        <f ca="1">OFFSET(控制台!$J$5001,MATCH(A238,控制台!$B$5001:$B$5051,0)-1,0)+(B238-1)*OFFSET(控制台!$K$5001,MATCH(A238,控制台!$B$5001:$B$5051,0)-1,0)</f>
        <v>650000</v>
      </c>
      <c r="I238" s="4">
        <f ca="1">OFFSET(控制台!$M$5001,MATCH(A238,控制台!$B$5001:$B$5051,0)-1,0)+(B238-1)*OFFSET(控制台!$N$5001,MATCH(A238,控制台!$B$5001:$B$5051,0)-1,0)</f>
        <v>16000000</v>
      </c>
      <c r="J238" s="4">
        <f ca="1">OFFSET(控制台!$P$5001,MATCH(A238,控制台!$B$5001:$B$5051,0)-1,0)</f>
        <v>14400</v>
      </c>
    </row>
    <row r="239" spans="1:10">
      <c r="A239" s="1">
        <v>220602</v>
      </c>
      <c r="B239" s="1">
        <v>9</v>
      </c>
      <c r="C239" s="1">
        <v>2</v>
      </c>
      <c r="D239" s="1" t="s">
        <v>2458</v>
      </c>
      <c r="E239" s="1">
        <f ca="1">OFFSET(控制台!$G$5001,MATCH(A239,控制台!$B$5001:$B$5051,0)-1,0)</f>
        <v>10</v>
      </c>
      <c r="F239" s="1">
        <f ca="1">OFFSET(控制台!$E$5001,MATCH(A239,控制台!$B$5001:$B$5051,0)-1,0)</f>
        <v>6</v>
      </c>
      <c r="G239" s="4">
        <f ca="1">OFFSET(控制台!$I$5001,MATCH(A239,控制台!$B$5001:$B$5051,0)-1,0)</f>
        <v>4000</v>
      </c>
      <c r="H239" s="4">
        <f ca="1">OFFSET(控制台!$J$5001,MATCH(A239,控制台!$B$5001:$B$5051,0)-1,0)+(B239-1)*OFFSET(控制台!$K$5001,MATCH(A239,控制台!$B$5001:$B$5051,0)-1,0)</f>
        <v>700000</v>
      </c>
      <c r="I239" s="4">
        <f ca="1">OFFSET(控制台!$M$5001,MATCH(A239,控制台!$B$5001:$B$5051,0)-1,0)+(B239-1)*OFFSET(控制台!$N$5001,MATCH(A239,控制台!$B$5001:$B$5051,0)-1,0)</f>
        <v>18000000</v>
      </c>
      <c r="J239" s="4">
        <f ca="1">OFFSET(控制台!$P$5001,MATCH(A239,控制台!$B$5001:$B$5051,0)-1,0)</f>
        <v>14400</v>
      </c>
    </row>
    <row r="240" spans="1:10">
      <c r="A240" s="1">
        <v>220602</v>
      </c>
      <c r="B240" s="1">
        <v>10</v>
      </c>
      <c r="C240" s="1">
        <v>2</v>
      </c>
      <c r="D240" s="1" t="s">
        <v>2458</v>
      </c>
      <c r="E240" s="1">
        <f ca="1">OFFSET(控制台!$G$5001,MATCH(A240,控制台!$B$5001:$B$5051,0)-1,0)</f>
        <v>10</v>
      </c>
      <c r="F240" s="1">
        <f ca="1">OFFSET(控制台!$E$5001,MATCH(A240,控制台!$B$5001:$B$5051,0)-1,0)</f>
        <v>6</v>
      </c>
      <c r="G240" s="4">
        <f ca="1">OFFSET(控制台!$I$5001,MATCH(A240,控制台!$B$5001:$B$5051,0)-1,0)</f>
        <v>4000</v>
      </c>
      <c r="H240" s="4">
        <f ca="1">OFFSET(控制台!$J$5001,MATCH(A240,控制台!$B$5001:$B$5051,0)-1,0)+(B240-1)*OFFSET(控制台!$K$5001,MATCH(A240,控制台!$B$5001:$B$5051,0)-1,0)</f>
        <v>750000</v>
      </c>
      <c r="I240" s="4">
        <f ca="1">OFFSET(控制台!$M$5001,MATCH(A240,控制台!$B$5001:$B$5051,0)-1,0)+(B240-1)*OFFSET(控制台!$N$5001,MATCH(A240,控制台!$B$5001:$B$5051,0)-1,0)</f>
        <v>20000000</v>
      </c>
      <c r="J240" s="4">
        <f ca="1">OFFSET(控制台!$P$5001,MATCH(A240,控制台!$B$5001:$B$5051,0)-1,0)</f>
        <v>14400</v>
      </c>
    </row>
    <row r="241" spans="1:10">
      <c r="A241" s="1">
        <v>220701</v>
      </c>
      <c r="B241" s="1">
        <v>1</v>
      </c>
      <c r="C241" s="1">
        <v>2</v>
      </c>
      <c r="D241" s="1" t="s">
        <v>2432</v>
      </c>
      <c r="E241" s="1">
        <f ca="1">OFFSET(控制台!$G$5001,MATCH(A241,控制台!$B$5001:$B$5051,0)-1,0)</f>
        <v>10</v>
      </c>
      <c r="F241" s="1">
        <f ca="1">OFFSET(控制台!$E$5001,MATCH(A241,控制台!$B$5001:$B$5051,0)-1,0)</f>
        <v>7</v>
      </c>
      <c r="G241" s="4">
        <f ca="1">OFFSET(控制台!$I$5001,MATCH(A241,控制台!$B$5001:$B$5051,0)-1,0)</f>
        <v>5000</v>
      </c>
      <c r="H241" s="4">
        <f ca="1">OFFSET(控制台!$J$5001,MATCH(A241,控制台!$B$5001:$B$5051,0)-1,0)+(B241-1)*OFFSET(控制台!$K$5001,MATCH(A241,控制台!$B$5001:$B$5051,0)-1,0)</f>
        <v>600000</v>
      </c>
      <c r="I241" s="4">
        <f ca="1">OFFSET(控制台!$M$5001,MATCH(A241,控制台!$B$5001:$B$5051,0)-1,0)+(B241-1)*OFFSET(控制台!$N$5001,MATCH(A241,控制台!$B$5001:$B$5051,0)-1,0)</f>
        <v>2500000</v>
      </c>
      <c r="J241" s="4">
        <f ca="1">OFFSET(控制台!$P$5001,MATCH(A241,控制台!$B$5001:$B$5051,0)-1,0)</f>
        <v>14400</v>
      </c>
    </row>
    <row r="242" spans="1:10">
      <c r="A242" s="1">
        <v>220701</v>
      </c>
      <c r="B242" s="1">
        <v>2</v>
      </c>
      <c r="C242" s="1">
        <v>2</v>
      </c>
      <c r="D242" s="1" t="s">
        <v>2432</v>
      </c>
      <c r="E242" s="1">
        <f ca="1">OFFSET(控制台!$G$5001,MATCH(A242,控制台!$B$5001:$B$5051,0)-1,0)</f>
        <v>10</v>
      </c>
      <c r="F242" s="1">
        <f ca="1">OFFSET(控制台!$E$5001,MATCH(A242,控制台!$B$5001:$B$5051,0)-1,0)</f>
        <v>7</v>
      </c>
      <c r="G242" s="4">
        <f ca="1">OFFSET(控制台!$I$5001,MATCH(A242,控制台!$B$5001:$B$5051,0)-1,0)</f>
        <v>5000</v>
      </c>
      <c r="H242" s="4">
        <f ca="1">OFFSET(控制台!$J$5001,MATCH(A242,控制台!$B$5001:$B$5051,0)-1,0)+(B242-1)*OFFSET(控制台!$K$5001,MATCH(A242,控制台!$B$5001:$B$5051,0)-1,0)</f>
        <v>700000</v>
      </c>
      <c r="I242" s="4">
        <f ca="1">OFFSET(控制台!$M$5001,MATCH(A242,控制台!$B$5001:$B$5051,0)-1,0)+(B242-1)*OFFSET(控制台!$N$5001,MATCH(A242,控制台!$B$5001:$B$5051,0)-1,0)</f>
        <v>5000000</v>
      </c>
      <c r="J242" s="4">
        <f ca="1">OFFSET(控制台!$P$5001,MATCH(A242,控制台!$B$5001:$B$5051,0)-1,0)</f>
        <v>14400</v>
      </c>
    </row>
    <row r="243" spans="1:10">
      <c r="A243" s="1">
        <v>220701</v>
      </c>
      <c r="B243" s="1">
        <v>3</v>
      </c>
      <c r="C243" s="1">
        <v>2</v>
      </c>
      <c r="D243" s="1" t="s">
        <v>2432</v>
      </c>
      <c r="E243" s="1">
        <f ca="1">OFFSET(控制台!$G$5001,MATCH(A243,控制台!$B$5001:$B$5051,0)-1,0)</f>
        <v>10</v>
      </c>
      <c r="F243" s="1">
        <f ca="1">OFFSET(控制台!$E$5001,MATCH(A243,控制台!$B$5001:$B$5051,0)-1,0)</f>
        <v>7</v>
      </c>
      <c r="G243" s="4">
        <f ca="1">OFFSET(控制台!$I$5001,MATCH(A243,控制台!$B$5001:$B$5051,0)-1,0)</f>
        <v>5000</v>
      </c>
      <c r="H243" s="4">
        <f ca="1">OFFSET(控制台!$J$5001,MATCH(A243,控制台!$B$5001:$B$5051,0)-1,0)+(B243-1)*OFFSET(控制台!$K$5001,MATCH(A243,控制台!$B$5001:$B$5051,0)-1,0)</f>
        <v>800000</v>
      </c>
      <c r="I243" s="4">
        <f ca="1">OFFSET(控制台!$M$5001,MATCH(A243,控制台!$B$5001:$B$5051,0)-1,0)+(B243-1)*OFFSET(控制台!$N$5001,MATCH(A243,控制台!$B$5001:$B$5051,0)-1,0)</f>
        <v>7500000</v>
      </c>
      <c r="J243" s="4">
        <f ca="1">OFFSET(控制台!$P$5001,MATCH(A243,控制台!$B$5001:$B$5051,0)-1,0)</f>
        <v>14400</v>
      </c>
    </row>
    <row r="244" spans="1:10">
      <c r="A244" s="1">
        <v>220701</v>
      </c>
      <c r="B244" s="1">
        <v>4</v>
      </c>
      <c r="C244" s="1">
        <v>2</v>
      </c>
      <c r="D244" s="1" t="s">
        <v>2432</v>
      </c>
      <c r="E244" s="1">
        <f ca="1">OFFSET(控制台!$G$5001,MATCH(A244,控制台!$B$5001:$B$5051,0)-1,0)</f>
        <v>10</v>
      </c>
      <c r="F244" s="1">
        <f ca="1">OFFSET(控制台!$E$5001,MATCH(A244,控制台!$B$5001:$B$5051,0)-1,0)</f>
        <v>7</v>
      </c>
      <c r="G244" s="4">
        <f ca="1">OFFSET(控制台!$I$5001,MATCH(A244,控制台!$B$5001:$B$5051,0)-1,0)</f>
        <v>5000</v>
      </c>
      <c r="H244" s="4">
        <f ca="1">OFFSET(控制台!$J$5001,MATCH(A244,控制台!$B$5001:$B$5051,0)-1,0)+(B244-1)*OFFSET(控制台!$K$5001,MATCH(A244,控制台!$B$5001:$B$5051,0)-1,0)</f>
        <v>900000</v>
      </c>
      <c r="I244" s="4">
        <f ca="1">OFFSET(控制台!$M$5001,MATCH(A244,控制台!$B$5001:$B$5051,0)-1,0)+(B244-1)*OFFSET(控制台!$N$5001,MATCH(A244,控制台!$B$5001:$B$5051,0)-1,0)</f>
        <v>10000000</v>
      </c>
      <c r="J244" s="4">
        <f ca="1">OFFSET(控制台!$P$5001,MATCH(A244,控制台!$B$5001:$B$5051,0)-1,0)</f>
        <v>14400</v>
      </c>
    </row>
    <row r="245" spans="1:10">
      <c r="A245" s="1">
        <v>220701</v>
      </c>
      <c r="B245" s="1">
        <v>5</v>
      </c>
      <c r="C245" s="1">
        <v>2</v>
      </c>
      <c r="D245" s="1" t="s">
        <v>2432</v>
      </c>
      <c r="E245" s="1">
        <f ca="1">OFFSET(控制台!$G$5001,MATCH(A245,控制台!$B$5001:$B$5051,0)-1,0)</f>
        <v>10</v>
      </c>
      <c r="F245" s="1">
        <f ca="1">OFFSET(控制台!$E$5001,MATCH(A245,控制台!$B$5001:$B$5051,0)-1,0)</f>
        <v>7</v>
      </c>
      <c r="G245" s="4">
        <f ca="1">OFFSET(控制台!$I$5001,MATCH(A245,控制台!$B$5001:$B$5051,0)-1,0)</f>
        <v>5000</v>
      </c>
      <c r="H245" s="4">
        <f ca="1">OFFSET(控制台!$J$5001,MATCH(A245,控制台!$B$5001:$B$5051,0)-1,0)+(B245-1)*OFFSET(控制台!$K$5001,MATCH(A245,控制台!$B$5001:$B$5051,0)-1,0)</f>
        <v>1000000</v>
      </c>
      <c r="I245" s="4">
        <f ca="1">OFFSET(控制台!$M$5001,MATCH(A245,控制台!$B$5001:$B$5051,0)-1,0)+(B245-1)*OFFSET(控制台!$N$5001,MATCH(A245,控制台!$B$5001:$B$5051,0)-1,0)</f>
        <v>12500000</v>
      </c>
      <c r="J245" s="4">
        <f ca="1">OFFSET(控制台!$P$5001,MATCH(A245,控制台!$B$5001:$B$5051,0)-1,0)</f>
        <v>14400</v>
      </c>
    </row>
    <row r="246" spans="1:10">
      <c r="A246" s="1">
        <v>220701</v>
      </c>
      <c r="B246" s="1">
        <v>6</v>
      </c>
      <c r="C246" s="1">
        <v>2</v>
      </c>
      <c r="D246" s="1" t="s">
        <v>2432</v>
      </c>
      <c r="E246" s="1">
        <f ca="1">OFFSET(控制台!$G$5001,MATCH(A246,控制台!$B$5001:$B$5051,0)-1,0)</f>
        <v>10</v>
      </c>
      <c r="F246" s="1">
        <f ca="1">OFFSET(控制台!$E$5001,MATCH(A246,控制台!$B$5001:$B$5051,0)-1,0)</f>
        <v>7</v>
      </c>
      <c r="G246" s="4">
        <f ca="1">OFFSET(控制台!$I$5001,MATCH(A246,控制台!$B$5001:$B$5051,0)-1,0)</f>
        <v>5000</v>
      </c>
      <c r="H246" s="4">
        <f ca="1">OFFSET(控制台!$J$5001,MATCH(A246,控制台!$B$5001:$B$5051,0)-1,0)+(B246-1)*OFFSET(控制台!$K$5001,MATCH(A246,控制台!$B$5001:$B$5051,0)-1,0)</f>
        <v>1100000</v>
      </c>
      <c r="I246" s="4">
        <f ca="1">OFFSET(控制台!$M$5001,MATCH(A246,控制台!$B$5001:$B$5051,0)-1,0)+(B246-1)*OFFSET(控制台!$N$5001,MATCH(A246,控制台!$B$5001:$B$5051,0)-1,0)</f>
        <v>15000000</v>
      </c>
      <c r="J246" s="4">
        <f ca="1">OFFSET(控制台!$P$5001,MATCH(A246,控制台!$B$5001:$B$5051,0)-1,0)</f>
        <v>14400</v>
      </c>
    </row>
    <row r="247" spans="1:10">
      <c r="A247" s="1">
        <v>220701</v>
      </c>
      <c r="B247" s="1">
        <v>7</v>
      </c>
      <c r="C247" s="1">
        <v>2</v>
      </c>
      <c r="D247" s="1" t="s">
        <v>2432</v>
      </c>
      <c r="E247" s="1">
        <f ca="1">OFFSET(控制台!$G$5001,MATCH(A247,控制台!$B$5001:$B$5051,0)-1,0)</f>
        <v>10</v>
      </c>
      <c r="F247" s="1">
        <f ca="1">OFFSET(控制台!$E$5001,MATCH(A247,控制台!$B$5001:$B$5051,0)-1,0)</f>
        <v>7</v>
      </c>
      <c r="G247" s="4">
        <f ca="1">OFFSET(控制台!$I$5001,MATCH(A247,控制台!$B$5001:$B$5051,0)-1,0)</f>
        <v>5000</v>
      </c>
      <c r="H247" s="4">
        <f ca="1">OFFSET(控制台!$J$5001,MATCH(A247,控制台!$B$5001:$B$5051,0)-1,0)+(B247-1)*OFFSET(控制台!$K$5001,MATCH(A247,控制台!$B$5001:$B$5051,0)-1,0)</f>
        <v>1200000</v>
      </c>
      <c r="I247" s="4">
        <f ca="1">OFFSET(控制台!$M$5001,MATCH(A247,控制台!$B$5001:$B$5051,0)-1,0)+(B247-1)*OFFSET(控制台!$N$5001,MATCH(A247,控制台!$B$5001:$B$5051,0)-1,0)</f>
        <v>17500000</v>
      </c>
      <c r="J247" s="4">
        <f ca="1">OFFSET(控制台!$P$5001,MATCH(A247,控制台!$B$5001:$B$5051,0)-1,0)</f>
        <v>14400</v>
      </c>
    </row>
    <row r="248" spans="1:10">
      <c r="A248" s="1">
        <v>220701</v>
      </c>
      <c r="B248" s="1">
        <v>8</v>
      </c>
      <c r="C248" s="1">
        <v>2</v>
      </c>
      <c r="D248" s="1" t="s">
        <v>2432</v>
      </c>
      <c r="E248" s="1">
        <f ca="1">OFFSET(控制台!$G$5001,MATCH(A248,控制台!$B$5001:$B$5051,0)-1,0)</f>
        <v>10</v>
      </c>
      <c r="F248" s="1">
        <f ca="1">OFFSET(控制台!$E$5001,MATCH(A248,控制台!$B$5001:$B$5051,0)-1,0)</f>
        <v>7</v>
      </c>
      <c r="G248" s="4">
        <f ca="1">OFFSET(控制台!$I$5001,MATCH(A248,控制台!$B$5001:$B$5051,0)-1,0)</f>
        <v>5000</v>
      </c>
      <c r="H248" s="4">
        <f ca="1">OFFSET(控制台!$J$5001,MATCH(A248,控制台!$B$5001:$B$5051,0)-1,0)+(B248-1)*OFFSET(控制台!$K$5001,MATCH(A248,控制台!$B$5001:$B$5051,0)-1,0)</f>
        <v>1300000</v>
      </c>
      <c r="I248" s="4">
        <f ca="1">OFFSET(控制台!$M$5001,MATCH(A248,控制台!$B$5001:$B$5051,0)-1,0)+(B248-1)*OFFSET(控制台!$N$5001,MATCH(A248,控制台!$B$5001:$B$5051,0)-1,0)</f>
        <v>20000000</v>
      </c>
      <c r="J248" s="4">
        <f ca="1">OFFSET(控制台!$P$5001,MATCH(A248,控制台!$B$5001:$B$5051,0)-1,0)</f>
        <v>14400</v>
      </c>
    </row>
    <row r="249" spans="1:10">
      <c r="A249" s="1">
        <v>220701</v>
      </c>
      <c r="B249" s="1">
        <v>9</v>
      </c>
      <c r="C249" s="1">
        <v>2</v>
      </c>
      <c r="D249" s="1" t="s">
        <v>2432</v>
      </c>
      <c r="E249" s="1">
        <f ca="1">OFFSET(控制台!$G$5001,MATCH(A249,控制台!$B$5001:$B$5051,0)-1,0)</f>
        <v>10</v>
      </c>
      <c r="F249" s="1">
        <f ca="1">OFFSET(控制台!$E$5001,MATCH(A249,控制台!$B$5001:$B$5051,0)-1,0)</f>
        <v>7</v>
      </c>
      <c r="G249" s="4">
        <f ca="1">OFFSET(控制台!$I$5001,MATCH(A249,控制台!$B$5001:$B$5051,0)-1,0)</f>
        <v>5000</v>
      </c>
      <c r="H249" s="4">
        <f ca="1">OFFSET(控制台!$J$5001,MATCH(A249,控制台!$B$5001:$B$5051,0)-1,0)+(B249-1)*OFFSET(控制台!$K$5001,MATCH(A249,控制台!$B$5001:$B$5051,0)-1,0)</f>
        <v>1400000</v>
      </c>
      <c r="I249" s="4">
        <f ca="1">OFFSET(控制台!$M$5001,MATCH(A249,控制台!$B$5001:$B$5051,0)-1,0)+(B249-1)*OFFSET(控制台!$N$5001,MATCH(A249,控制台!$B$5001:$B$5051,0)-1,0)</f>
        <v>22500000</v>
      </c>
      <c r="J249" s="4">
        <f ca="1">OFFSET(控制台!$P$5001,MATCH(A249,控制台!$B$5001:$B$5051,0)-1,0)</f>
        <v>14400</v>
      </c>
    </row>
    <row r="250" spans="1:10">
      <c r="A250" s="1">
        <v>220701</v>
      </c>
      <c r="B250" s="1">
        <v>10</v>
      </c>
      <c r="C250" s="1">
        <v>2</v>
      </c>
      <c r="D250" s="1" t="s">
        <v>2432</v>
      </c>
      <c r="E250" s="1">
        <f ca="1">OFFSET(控制台!$G$5001,MATCH(A250,控制台!$B$5001:$B$5051,0)-1,0)</f>
        <v>10</v>
      </c>
      <c r="F250" s="1">
        <f ca="1">OFFSET(控制台!$E$5001,MATCH(A250,控制台!$B$5001:$B$5051,0)-1,0)</f>
        <v>7</v>
      </c>
      <c r="G250" s="4">
        <f ca="1">OFFSET(控制台!$I$5001,MATCH(A250,控制台!$B$5001:$B$5051,0)-1,0)</f>
        <v>5000</v>
      </c>
      <c r="H250" s="4">
        <f ca="1">OFFSET(控制台!$J$5001,MATCH(A250,控制台!$B$5001:$B$5051,0)-1,0)+(B250-1)*OFFSET(控制台!$K$5001,MATCH(A250,控制台!$B$5001:$B$5051,0)-1,0)</f>
        <v>1500000</v>
      </c>
      <c r="I250" s="4">
        <f ca="1">OFFSET(控制台!$M$5001,MATCH(A250,控制台!$B$5001:$B$5051,0)-1,0)+(B250-1)*OFFSET(控制台!$N$5001,MATCH(A250,控制台!$B$5001:$B$5051,0)-1,0)</f>
        <v>25000000</v>
      </c>
      <c r="J250" s="4">
        <f ca="1">OFFSET(控制台!$P$5001,MATCH(A250,控制台!$B$5001:$B$5051,0)-1,0)</f>
        <v>14400</v>
      </c>
    </row>
    <row r="251" spans="1:10">
      <c r="A251" s="1">
        <v>230101</v>
      </c>
      <c r="B251" s="1">
        <v>1</v>
      </c>
      <c r="C251" s="1">
        <v>3</v>
      </c>
      <c r="D251" s="1" t="s">
        <v>2459</v>
      </c>
      <c r="E251" s="1">
        <f ca="1">OFFSET(控制台!$G$5001,MATCH(A251,控制台!$B$5001:$B$5051,0)-1,0)</f>
        <v>5</v>
      </c>
      <c r="F251" s="1">
        <f ca="1">OFFSET(控制台!$E$5001,MATCH(A251,控制台!$B$5001:$B$5051,0)-1,0)</f>
        <v>1</v>
      </c>
      <c r="G251" s="4">
        <f ca="1">OFFSET(控制台!$I$5001,MATCH(A251,控制台!$B$5001:$B$5051,0)-1,0)</f>
        <v>1000</v>
      </c>
      <c r="H251" s="4">
        <f ca="1">OFFSET(控制台!$J$5001,MATCH(A251,控制台!$B$5001:$B$5051,0)-1,0)+(B251-1)*OFFSET(控制台!$K$5001,MATCH(A251,控制台!$B$5001:$B$5051,0)-1,0)</f>
        <v>100000</v>
      </c>
      <c r="I251" s="4">
        <f ca="1">OFFSET(控制台!$M$5001,MATCH(A251,控制台!$B$5001:$B$5051,0)-1,0)+(B251-1)*OFFSET(控制台!$N$5001,MATCH(A251,控制台!$B$5001:$B$5051,0)-1,0)</f>
        <v>200000</v>
      </c>
      <c r="J251" s="4">
        <f ca="1">OFFSET(控制台!$P$5001,MATCH(A251,控制台!$B$5001:$B$5051,0)-1,0)</f>
        <v>7200</v>
      </c>
    </row>
    <row r="252" spans="1:10">
      <c r="A252" s="1">
        <v>230101</v>
      </c>
      <c r="B252" s="1">
        <v>2</v>
      </c>
      <c r="C252" s="1">
        <v>3</v>
      </c>
      <c r="D252" s="1" t="s">
        <v>2459</v>
      </c>
      <c r="E252" s="1">
        <f ca="1">OFFSET(控制台!$G$5001,MATCH(A252,控制台!$B$5001:$B$5051,0)-1,0)</f>
        <v>5</v>
      </c>
      <c r="F252" s="1">
        <f ca="1">OFFSET(控制台!$E$5001,MATCH(A252,控制台!$B$5001:$B$5051,0)-1,0)</f>
        <v>1</v>
      </c>
      <c r="G252" s="4">
        <f ca="1">OFFSET(控制台!$I$5001,MATCH(A252,控制台!$B$5001:$B$5051,0)-1,0)</f>
        <v>1000</v>
      </c>
      <c r="H252" s="4">
        <f ca="1">OFFSET(控制台!$J$5001,MATCH(A252,控制台!$B$5001:$B$5051,0)-1,0)+(B252-1)*OFFSET(控制台!$K$5001,MATCH(A252,控制台!$B$5001:$B$5051,0)-1,0)</f>
        <v>300000</v>
      </c>
      <c r="I252" s="4">
        <f ca="1">OFFSET(控制台!$M$5001,MATCH(A252,控制台!$B$5001:$B$5051,0)-1,0)+(B252-1)*OFFSET(控制台!$N$5001,MATCH(A252,控制台!$B$5001:$B$5051,0)-1,0)</f>
        <v>400000</v>
      </c>
      <c r="J252" s="4">
        <f ca="1">OFFSET(控制台!$P$5001,MATCH(A252,控制台!$B$5001:$B$5051,0)-1,0)</f>
        <v>7200</v>
      </c>
    </row>
    <row r="253" spans="1:10">
      <c r="A253" s="1">
        <v>230101</v>
      </c>
      <c r="B253" s="1">
        <v>3</v>
      </c>
      <c r="C253" s="1">
        <v>3</v>
      </c>
      <c r="D253" s="1" t="s">
        <v>2459</v>
      </c>
      <c r="E253" s="1">
        <f ca="1">OFFSET(控制台!$G$5001,MATCH(A253,控制台!$B$5001:$B$5051,0)-1,0)</f>
        <v>5</v>
      </c>
      <c r="F253" s="1">
        <f ca="1">OFFSET(控制台!$E$5001,MATCH(A253,控制台!$B$5001:$B$5051,0)-1,0)</f>
        <v>1</v>
      </c>
      <c r="G253" s="4">
        <f ca="1">OFFSET(控制台!$I$5001,MATCH(A253,控制台!$B$5001:$B$5051,0)-1,0)</f>
        <v>1000</v>
      </c>
      <c r="H253" s="4">
        <f ca="1">OFFSET(控制台!$J$5001,MATCH(A253,控制台!$B$5001:$B$5051,0)-1,0)+(B253-1)*OFFSET(控制台!$K$5001,MATCH(A253,控制台!$B$5001:$B$5051,0)-1,0)</f>
        <v>500000</v>
      </c>
      <c r="I253" s="4">
        <f ca="1">OFFSET(控制台!$M$5001,MATCH(A253,控制台!$B$5001:$B$5051,0)-1,0)+(B253-1)*OFFSET(控制台!$N$5001,MATCH(A253,控制台!$B$5001:$B$5051,0)-1,0)</f>
        <v>600000</v>
      </c>
      <c r="J253" s="4">
        <f ca="1">OFFSET(控制台!$P$5001,MATCH(A253,控制台!$B$5001:$B$5051,0)-1,0)</f>
        <v>7200</v>
      </c>
    </row>
    <row r="254" spans="1:10">
      <c r="A254" s="1">
        <v>230101</v>
      </c>
      <c r="B254" s="1">
        <v>4</v>
      </c>
      <c r="C254" s="1">
        <v>3</v>
      </c>
      <c r="D254" s="1" t="s">
        <v>2459</v>
      </c>
      <c r="E254" s="1">
        <f ca="1">OFFSET(控制台!$G$5001,MATCH(A254,控制台!$B$5001:$B$5051,0)-1,0)</f>
        <v>5</v>
      </c>
      <c r="F254" s="1">
        <f ca="1">OFFSET(控制台!$E$5001,MATCH(A254,控制台!$B$5001:$B$5051,0)-1,0)</f>
        <v>1</v>
      </c>
      <c r="G254" s="4">
        <f ca="1">OFFSET(控制台!$I$5001,MATCH(A254,控制台!$B$5001:$B$5051,0)-1,0)</f>
        <v>1000</v>
      </c>
      <c r="H254" s="4">
        <f ca="1">OFFSET(控制台!$J$5001,MATCH(A254,控制台!$B$5001:$B$5051,0)-1,0)+(B254-1)*OFFSET(控制台!$K$5001,MATCH(A254,控制台!$B$5001:$B$5051,0)-1,0)</f>
        <v>700000</v>
      </c>
      <c r="I254" s="4">
        <f ca="1">OFFSET(控制台!$M$5001,MATCH(A254,控制台!$B$5001:$B$5051,0)-1,0)+(B254-1)*OFFSET(控制台!$N$5001,MATCH(A254,控制台!$B$5001:$B$5051,0)-1,0)</f>
        <v>800000</v>
      </c>
      <c r="J254" s="4">
        <f ca="1">OFFSET(控制台!$P$5001,MATCH(A254,控制台!$B$5001:$B$5051,0)-1,0)</f>
        <v>7200</v>
      </c>
    </row>
    <row r="255" spans="1:10">
      <c r="A255" s="1">
        <v>230101</v>
      </c>
      <c r="B255" s="1">
        <v>5</v>
      </c>
      <c r="C255" s="1">
        <v>3</v>
      </c>
      <c r="D255" s="1" t="s">
        <v>2459</v>
      </c>
      <c r="E255" s="1">
        <f ca="1">OFFSET(控制台!$G$5001,MATCH(A255,控制台!$B$5001:$B$5051,0)-1,0)</f>
        <v>5</v>
      </c>
      <c r="F255" s="1">
        <f ca="1">OFFSET(控制台!$E$5001,MATCH(A255,控制台!$B$5001:$B$5051,0)-1,0)</f>
        <v>1</v>
      </c>
      <c r="G255" s="4">
        <f ca="1">OFFSET(控制台!$I$5001,MATCH(A255,控制台!$B$5001:$B$5051,0)-1,0)</f>
        <v>1000</v>
      </c>
      <c r="H255" s="4">
        <f ca="1">OFFSET(控制台!$J$5001,MATCH(A255,控制台!$B$5001:$B$5051,0)-1,0)+(B255-1)*OFFSET(控制台!$K$5001,MATCH(A255,控制台!$B$5001:$B$5051,0)-1,0)</f>
        <v>900000</v>
      </c>
      <c r="I255" s="4">
        <f ca="1">OFFSET(控制台!$M$5001,MATCH(A255,控制台!$B$5001:$B$5051,0)-1,0)+(B255-1)*OFFSET(控制台!$N$5001,MATCH(A255,控制台!$B$5001:$B$5051,0)-1,0)</f>
        <v>1000000</v>
      </c>
      <c r="J255" s="4">
        <f ca="1">OFFSET(控制台!$P$5001,MATCH(A255,控制台!$B$5001:$B$5051,0)-1,0)</f>
        <v>7200</v>
      </c>
    </row>
    <row r="256" spans="1:10">
      <c r="A256" s="1">
        <v>230102</v>
      </c>
      <c r="B256" s="1">
        <v>1</v>
      </c>
      <c r="C256" s="1">
        <v>3</v>
      </c>
      <c r="D256" s="1" t="s">
        <v>2460</v>
      </c>
      <c r="E256" s="1">
        <f ca="1">OFFSET(控制台!$G$5001,MATCH(A256,控制台!$B$5001:$B$5051,0)-1,0)</f>
        <v>5</v>
      </c>
      <c r="F256" s="1">
        <f ca="1">OFFSET(控制台!$E$5001,MATCH(A256,控制台!$B$5001:$B$5051,0)-1,0)</f>
        <v>1</v>
      </c>
      <c r="G256" s="4">
        <f ca="1">OFFSET(控制台!$I$5001,MATCH(A256,控制台!$B$5001:$B$5051,0)-1,0)</f>
        <v>1000</v>
      </c>
      <c r="H256" s="4">
        <f ca="1">OFFSET(控制台!$J$5001,MATCH(A256,控制台!$B$5001:$B$5051,0)-1,0)+(B256-1)*OFFSET(控制台!$K$5001,MATCH(A256,控制台!$B$5001:$B$5051,0)-1,0)</f>
        <v>100000</v>
      </c>
      <c r="I256" s="4">
        <f ca="1">OFFSET(控制台!$M$5001,MATCH(A256,控制台!$B$5001:$B$5051,0)-1,0)+(B256-1)*OFFSET(控制台!$N$5001,MATCH(A256,控制台!$B$5001:$B$5051,0)-1,0)</f>
        <v>200000</v>
      </c>
      <c r="J256" s="4">
        <f ca="1">OFFSET(控制台!$P$5001,MATCH(A256,控制台!$B$5001:$B$5051,0)-1,0)</f>
        <v>7200</v>
      </c>
    </row>
    <row r="257" spans="1:10">
      <c r="A257" s="1">
        <v>230102</v>
      </c>
      <c r="B257" s="1">
        <v>2</v>
      </c>
      <c r="C257" s="1">
        <v>3</v>
      </c>
      <c r="D257" s="1" t="s">
        <v>2460</v>
      </c>
      <c r="E257" s="1">
        <f ca="1">OFFSET(控制台!$G$5001,MATCH(A257,控制台!$B$5001:$B$5051,0)-1,0)</f>
        <v>5</v>
      </c>
      <c r="F257" s="1">
        <f ca="1">OFFSET(控制台!$E$5001,MATCH(A257,控制台!$B$5001:$B$5051,0)-1,0)</f>
        <v>1</v>
      </c>
      <c r="G257" s="4">
        <f ca="1">OFFSET(控制台!$I$5001,MATCH(A257,控制台!$B$5001:$B$5051,0)-1,0)</f>
        <v>1000</v>
      </c>
      <c r="H257" s="4">
        <f ca="1">OFFSET(控制台!$J$5001,MATCH(A257,控制台!$B$5001:$B$5051,0)-1,0)+(B257-1)*OFFSET(控制台!$K$5001,MATCH(A257,控制台!$B$5001:$B$5051,0)-1,0)</f>
        <v>300000</v>
      </c>
      <c r="I257" s="4">
        <f ca="1">OFFSET(控制台!$M$5001,MATCH(A257,控制台!$B$5001:$B$5051,0)-1,0)+(B257-1)*OFFSET(控制台!$N$5001,MATCH(A257,控制台!$B$5001:$B$5051,0)-1,0)</f>
        <v>400000</v>
      </c>
      <c r="J257" s="4">
        <f ca="1">OFFSET(控制台!$P$5001,MATCH(A257,控制台!$B$5001:$B$5051,0)-1,0)</f>
        <v>7200</v>
      </c>
    </row>
    <row r="258" spans="1:10">
      <c r="A258" s="1">
        <v>230102</v>
      </c>
      <c r="B258" s="1">
        <v>3</v>
      </c>
      <c r="C258" s="1">
        <v>3</v>
      </c>
      <c r="D258" s="1" t="s">
        <v>2460</v>
      </c>
      <c r="E258" s="1">
        <f ca="1">OFFSET(控制台!$G$5001,MATCH(A258,控制台!$B$5001:$B$5051,0)-1,0)</f>
        <v>5</v>
      </c>
      <c r="F258" s="1">
        <f ca="1">OFFSET(控制台!$E$5001,MATCH(A258,控制台!$B$5001:$B$5051,0)-1,0)</f>
        <v>1</v>
      </c>
      <c r="G258" s="4">
        <f ca="1">OFFSET(控制台!$I$5001,MATCH(A258,控制台!$B$5001:$B$5051,0)-1,0)</f>
        <v>1000</v>
      </c>
      <c r="H258" s="4">
        <f ca="1">OFFSET(控制台!$J$5001,MATCH(A258,控制台!$B$5001:$B$5051,0)-1,0)+(B258-1)*OFFSET(控制台!$K$5001,MATCH(A258,控制台!$B$5001:$B$5051,0)-1,0)</f>
        <v>500000</v>
      </c>
      <c r="I258" s="4">
        <f ca="1">OFFSET(控制台!$M$5001,MATCH(A258,控制台!$B$5001:$B$5051,0)-1,0)+(B258-1)*OFFSET(控制台!$N$5001,MATCH(A258,控制台!$B$5001:$B$5051,0)-1,0)</f>
        <v>600000</v>
      </c>
      <c r="J258" s="4">
        <f ca="1">OFFSET(控制台!$P$5001,MATCH(A258,控制台!$B$5001:$B$5051,0)-1,0)</f>
        <v>7200</v>
      </c>
    </row>
    <row r="259" spans="1:10">
      <c r="A259" s="1">
        <v>230102</v>
      </c>
      <c r="B259" s="1">
        <v>4</v>
      </c>
      <c r="C259" s="1">
        <v>3</v>
      </c>
      <c r="D259" s="1" t="s">
        <v>2460</v>
      </c>
      <c r="E259" s="1">
        <f ca="1">OFFSET(控制台!$G$5001,MATCH(A259,控制台!$B$5001:$B$5051,0)-1,0)</f>
        <v>5</v>
      </c>
      <c r="F259" s="1">
        <f ca="1">OFFSET(控制台!$E$5001,MATCH(A259,控制台!$B$5001:$B$5051,0)-1,0)</f>
        <v>1</v>
      </c>
      <c r="G259" s="4">
        <f ca="1">OFFSET(控制台!$I$5001,MATCH(A259,控制台!$B$5001:$B$5051,0)-1,0)</f>
        <v>1000</v>
      </c>
      <c r="H259" s="4">
        <f ca="1">OFFSET(控制台!$J$5001,MATCH(A259,控制台!$B$5001:$B$5051,0)-1,0)+(B259-1)*OFFSET(控制台!$K$5001,MATCH(A259,控制台!$B$5001:$B$5051,0)-1,0)</f>
        <v>700000</v>
      </c>
      <c r="I259" s="4">
        <f ca="1">OFFSET(控制台!$M$5001,MATCH(A259,控制台!$B$5001:$B$5051,0)-1,0)+(B259-1)*OFFSET(控制台!$N$5001,MATCH(A259,控制台!$B$5001:$B$5051,0)-1,0)</f>
        <v>800000</v>
      </c>
      <c r="J259" s="4">
        <f ca="1">OFFSET(控制台!$P$5001,MATCH(A259,控制台!$B$5001:$B$5051,0)-1,0)</f>
        <v>7200</v>
      </c>
    </row>
    <row r="260" spans="1:10">
      <c r="A260" s="1">
        <v>230102</v>
      </c>
      <c r="B260" s="1">
        <v>5</v>
      </c>
      <c r="C260" s="1">
        <v>3</v>
      </c>
      <c r="D260" s="1" t="s">
        <v>2460</v>
      </c>
      <c r="E260" s="1">
        <f ca="1">OFFSET(控制台!$G$5001,MATCH(A260,控制台!$B$5001:$B$5051,0)-1,0)</f>
        <v>5</v>
      </c>
      <c r="F260" s="1">
        <f ca="1">OFFSET(控制台!$E$5001,MATCH(A260,控制台!$B$5001:$B$5051,0)-1,0)</f>
        <v>1</v>
      </c>
      <c r="G260" s="4">
        <f ca="1">OFFSET(控制台!$I$5001,MATCH(A260,控制台!$B$5001:$B$5051,0)-1,0)</f>
        <v>1000</v>
      </c>
      <c r="H260" s="4">
        <f ca="1">OFFSET(控制台!$J$5001,MATCH(A260,控制台!$B$5001:$B$5051,0)-1,0)+(B260-1)*OFFSET(控制台!$K$5001,MATCH(A260,控制台!$B$5001:$B$5051,0)-1,0)</f>
        <v>900000</v>
      </c>
      <c r="I260" s="4">
        <f ca="1">OFFSET(控制台!$M$5001,MATCH(A260,控制台!$B$5001:$B$5051,0)-1,0)+(B260-1)*OFFSET(控制台!$N$5001,MATCH(A260,控制台!$B$5001:$B$5051,0)-1,0)</f>
        <v>1000000</v>
      </c>
      <c r="J260" s="4">
        <f ca="1">OFFSET(控制台!$P$5001,MATCH(A260,控制台!$B$5001:$B$5051,0)-1,0)</f>
        <v>7200</v>
      </c>
    </row>
    <row r="261" spans="1:10">
      <c r="A261" s="1">
        <v>230103</v>
      </c>
      <c r="B261" s="1">
        <v>1</v>
      </c>
      <c r="C261" s="1">
        <v>3</v>
      </c>
      <c r="D261" s="1" t="s">
        <v>2461</v>
      </c>
      <c r="E261" s="1">
        <f ca="1">OFFSET(控制台!$G$5001,MATCH(A261,控制台!$B$5001:$B$5051,0)-1,0)</f>
        <v>5</v>
      </c>
      <c r="F261" s="1">
        <f ca="1">OFFSET(控制台!$E$5001,MATCH(A261,控制台!$B$5001:$B$5051,0)-1,0)</f>
        <v>1</v>
      </c>
      <c r="G261" s="4">
        <f ca="1">OFFSET(控制台!$I$5001,MATCH(A261,控制台!$B$5001:$B$5051,0)-1,0)</f>
        <v>1000</v>
      </c>
      <c r="H261" s="4">
        <f ca="1">OFFSET(控制台!$J$5001,MATCH(A261,控制台!$B$5001:$B$5051,0)-1,0)+(B261-1)*OFFSET(控制台!$K$5001,MATCH(A261,控制台!$B$5001:$B$5051,0)-1,0)</f>
        <v>100000</v>
      </c>
      <c r="I261" s="4">
        <f ca="1">OFFSET(控制台!$M$5001,MATCH(A261,控制台!$B$5001:$B$5051,0)-1,0)+(B261-1)*OFFSET(控制台!$N$5001,MATCH(A261,控制台!$B$5001:$B$5051,0)-1,0)</f>
        <v>200000</v>
      </c>
      <c r="J261" s="4">
        <f ca="1">OFFSET(控制台!$P$5001,MATCH(A261,控制台!$B$5001:$B$5051,0)-1,0)</f>
        <v>7200</v>
      </c>
    </row>
    <row r="262" spans="1:10">
      <c r="A262" s="1">
        <v>230103</v>
      </c>
      <c r="B262" s="1">
        <v>2</v>
      </c>
      <c r="C262" s="1">
        <v>3</v>
      </c>
      <c r="D262" s="1" t="s">
        <v>2461</v>
      </c>
      <c r="E262" s="1">
        <f ca="1">OFFSET(控制台!$G$5001,MATCH(A262,控制台!$B$5001:$B$5051,0)-1,0)</f>
        <v>5</v>
      </c>
      <c r="F262" s="1">
        <f ca="1">OFFSET(控制台!$E$5001,MATCH(A262,控制台!$B$5001:$B$5051,0)-1,0)</f>
        <v>1</v>
      </c>
      <c r="G262" s="4">
        <f ca="1">OFFSET(控制台!$I$5001,MATCH(A262,控制台!$B$5001:$B$5051,0)-1,0)</f>
        <v>1000</v>
      </c>
      <c r="H262" s="4">
        <f ca="1">OFFSET(控制台!$J$5001,MATCH(A262,控制台!$B$5001:$B$5051,0)-1,0)+(B262-1)*OFFSET(控制台!$K$5001,MATCH(A262,控制台!$B$5001:$B$5051,0)-1,0)</f>
        <v>300000</v>
      </c>
      <c r="I262" s="4">
        <f ca="1">OFFSET(控制台!$M$5001,MATCH(A262,控制台!$B$5001:$B$5051,0)-1,0)+(B262-1)*OFFSET(控制台!$N$5001,MATCH(A262,控制台!$B$5001:$B$5051,0)-1,0)</f>
        <v>400000</v>
      </c>
      <c r="J262" s="4">
        <f ca="1">OFFSET(控制台!$P$5001,MATCH(A262,控制台!$B$5001:$B$5051,0)-1,0)</f>
        <v>7200</v>
      </c>
    </row>
    <row r="263" spans="1:10">
      <c r="A263" s="1">
        <v>230103</v>
      </c>
      <c r="B263" s="1">
        <v>3</v>
      </c>
      <c r="C263" s="1">
        <v>3</v>
      </c>
      <c r="D263" s="1" t="s">
        <v>2461</v>
      </c>
      <c r="E263" s="1">
        <f ca="1">OFFSET(控制台!$G$5001,MATCH(A263,控制台!$B$5001:$B$5051,0)-1,0)</f>
        <v>5</v>
      </c>
      <c r="F263" s="1">
        <f ca="1">OFFSET(控制台!$E$5001,MATCH(A263,控制台!$B$5001:$B$5051,0)-1,0)</f>
        <v>1</v>
      </c>
      <c r="G263" s="4">
        <f ca="1">OFFSET(控制台!$I$5001,MATCH(A263,控制台!$B$5001:$B$5051,0)-1,0)</f>
        <v>1000</v>
      </c>
      <c r="H263" s="4">
        <f ca="1">OFFSET(控制台!$J$5001,MATCH(A263,控制台!$B$5001:$B$5051,0)-1,0)+(B263-1)*OFFSET(控制台!$K$5001,MATCH(A263,控制台!$B$5001:$B$5051,0)-1,0)</f>
        <v>500000</v>
      </c>
      <c r="I263" s="4">
        <f ca="1">OFFSET(控制台!$M$5001,MATCH(A263,控制台!$B$5001:$B$5051,0)-1,0)+(B263-1)*OFFSET(控制台!$N$5001,MATCH(A263,控制台!$B$5001:$B$5051,0)-1,0)</f>
        <v>600000</v>
      </c>
      <c r="J263" s="4">
        <f ca="1">OFFSET(控制台!$P$5001,MATCH(A263,控制台!$B$5001:$B$5051,0)-1,0)</f>
        <v>7200</v>
      </c>
    </row>
    <row r="264" spans="1:10">
      <c r="A264" s="1">
        <v>230103</v>
      </c>
      <c r="B264" s="1">
        <v>4</v>
      </c>
      <c r="C264" s="1">
        <v>3</v>
      </c>
      <c r="D264" s="1" t="s">
        <v>2461</v>
      </c>
      <c r="E264" s="1">
        <f ca="1">OFFSET(控制台!$G$5001,MATCH(A264,控制台!$B$5001:$B$5051,0)-1,0)</f>
        <v>5</v>
      </c>
      <c r="F264" s="1">
        <f ca="1">OFFSET(控制台!$E$5001,MATCH(A264,控制台!$B$5001:$B$5051,0)-1,0)</f>
        <v>1</v>
      </c>
      <c r="G264" s="4">
        <f ca="1">OFFSET(控制台!$I$5001,MATCH(A264,控制台!$B$5001:$B$5051,0)-1,0)</f>
        <v>1000</v>
      </c>
      <c r="H264" s="4">
        <f ca="1">OFFSET(控制台!$J$5001,MATCH(A264,控制台!$B$5001:$B$5051,0)-1,0)+(B264-1)*OFFSET(控制台!$K$5001,MATCH(A264,控制台!$B$5001:$B$5051,0)-1,0)</f>
        <v>700000</v>
      </c>
      <c r="I264" s="4">
        <f ca="1">OFFSET(控制台!$M$5001,MATCH(A264,控制台!$B$5001:$B$5051,0)-1,0)+(B264-1)*OFFSET(控制台!$N$5001,MATCH(A264,控制台!$B$5001:$B$5051,0)-1,0)</f>
        <v>800000</v>
      </c>
      <c r="J264" s="4">
        <f ca="1">OFFSET(控制台!$P$5001,MATCH(A264,控制台!$B$5001:$B$5051,0)-1,0)</f>
        <v>7200</v>
      </c>
    </row>
    <row r="265" spans="1:10">
      <c r="A265" s="1">
        <v>230103</v>
      </c>
      <c r="B265" s="1">
        <v>5</v>
      </c>
      <c r="C265" s="1">
        <v>3</v>
      </c>
      <c r="D265" s="1" t="s">
        <v>2461</v>
      </c>
      <c r="E265" s="1">
        <f ca="1">OFFSET(控制台!$G$5001,MATCH(A265,控制台!$B$5001:$B$5051,0)-1,0)</f>
        <v>5</v>
      </c>
      <c r="F265" s="1">
        <f ca="1">OFFSET(控制台!$E$5001,MATCH(A265,控制台!$B$5001:$B$5051,0)-1,0)</f>
        <v>1</v>
      </c>
      <c r="G265" s="4">
        <f ca="1">OFFSET(控制台!$I$5001,MATCH(A265,控制台!$B$5001:$B$5051,0)-1,0)</f>
        <v>1000</v>
      </c>
      <c r="H265" s="4">
        <f ca="1">OFFSET(控制台!$J$5001,MATCH(A265,控制台!$B$5001:$B$5051,0)-1,0)+(B265-1)*OFFSET(控制台!$K$5001,MATCH(A265,控制台!$B$5001:$B$5051,0)-1,0)</f>
        <v>900000</v>
      </c>
      <c r="I265" s="4">
        <f ca="1">OFFSET(控制台!$M$5001,MATCH(A265,控制台!$B$5001:$B$5051,0)-1,0)+(B265-1)*OFFSET(控制台!$N$5001,MATCH(A265,控制台!$B$5001:$B$5051,0)-1,0)</f>
        <v>1000000</v>
      </c>
      <c r="J265" s="4">
        <f ca="1">OFFSET(控制台!$P$5001,MATCH(A265,控制台!$B$5001:$B$5051,0)-1,0)</f>
        <v>7200</v>
      </c>
    </row>
    <row r="266" spans="1:10">
      <c r="A266" s="1">
        <v>230201</v>
      </c>
      <c r="B266" s="1">
        <v>1</v>
      </c>
      <c r="C266" s="1">
        <v>3</v>
      </c>
      <c r="D266" s="1" t="s">
        <v>2462</v>
      </c>
      <c r="E266" s="1">
        <f ca="1">OFFSET(控制台!$G$5001,MATCH(A266,控制台!$B$5001:$B$5051,0)-1,0)</f>
        <v>5</v>
      </c>
      <c r="F266" s="1">
        <f ca="1">OFFSET(控制台!$E$5001,MATCH(A266,控制台!$B$5001:$B$5051,0)-1,0)</f>
        <v>2</v>
      </c>
      <c r="G266" s="4">
        <f ca="1">OFFSET(控制台!$I$5001,MATCH(A266,控制台!$B$5001:$B$5051,0)-1,0)</f>
        <v>1000</v>
      </c>
      <c r="H266" s="4">
        <f ca="1">OFFSET(控制台!$J$5001,MATCH(A266,控制台!$B$5001:$B$5051,0)-1,0)+(B266-1)*OFFSET(控制台!$K$5001,MATCH(A266,控制台!$B$5001:$B$5051,0)-1,0)</f>
        <v>100000</v>
      </c>
      <c r="I266" s="4">
        <f ca="1">OFFSET(控制台!$M$5001,MATCH(A266,控制台!$B$5001:$B$5051,0)-1,0)+(B266-1)*OFFSET(控制台!$N$5001,MATCH(A266,控制台!$B$5001:$B$5051,0)-1,0)</f>
        <v>200000</v>
      </c>
      <c r="J266" s="4">
        <f ca="1">OFFSET(控制台!$P$5001,MATCH(A266,控制台!$B$5001:$B$5051,0)-1,0)</f>
        <v>7200</v>
      </c>
    </row>
    <row r="267" spans="1:10">
      <c r="A267" s="1">
        <v>230201</v>
      </c>
      <c r="B267" s="1">
        <v>2</v>
      </c>
      <c r="C267" s="1">
        <v>3</v>
      </c>
      <c r="D267" s="1" t="s">
        <v>2462</v>
      </c>
      <c r="E267" s="1">
        <f ca="1">OFFSET(控制台!$G$5001,MATCH(A267,控制台!$B$5001:$B$5051,0)-1,0)</f>
        <v>5</v>
      </c>
      <c r="F267" s="1">
        <f ca="1">OFFSET(控制台!$E$5001,MATCH(A267,控制台!$B$5001:$B$5051,0)-1,0)</f>
        <v>2</v>
      </c>
      <c r="G267" s="4">
        <f ca="1">OFFSET(控制台!$I$5001,MATCH(A267,控制台!$B$5001:$B$5051,0)-1,0)</f>
        <v>1000</v>
      </c>
      <c r="H267" s="4">
        <f ca="1">OFFSET(控制台!$J$5001,MATCH(A267,控制台!$B$5001:$B$5051,0)-1,0)+(B267-1)*OFFSET(控制台!$K$5001,MATCH(A267,控制台!$B$5001:$B$5051,0)-1,0)</f>
        <v>200000</v>
      </c>
      <c r="I267" s="4">
        <f ca="1">OFFSET(控制台!$M$5001,MATCH(A267,控制台!$B$5001:$B$5051,0)-1,0)+(B267-1)*OFFSET(控制台!$N$5001,MATCH(A267,控制台!$B$5001:$B$5051,0)-1,0)</f>
        <v>400000</v>
      </c>
      <c r="J267" s="4">
        <f ca="1">OFFSET(控制台!$P$5001,MATCH(A267,控制台!$B$5001:$B$5051,0)-1,0)</f>
        <v>7200</v>
      </c>
    </row>
    <row r="268" spans="1:10">
      <c r="A268" s="1">
        <v>230201</v>
      </c>
      <c r="B268" s="1">
        <v>3</v>
      </c>
      <c r="C268" s="1">
        <v>3</v>
      </c>
      <c r="D268" s="1" t="s">
        <v>2462</v>
      </c>
      <c r="E268" s="1">
        <f ca="1">OFFSET(控制台!$G$5001,MATCH(A268,控制台!$B$5001:$B$5051,0)-1,0)</f>
        <v>5</v>
      </c>
      <c r="F268" s="1">
        <f ca="1">OFFSET(控制台!$E$5001,MATCH(A268,控制台!$B$5001:$B$5051,0)-1,0)</f>
        <v>2</v>
      </c>
      <c r="G268" s="4">
        <f ca="1">OFFSET(控制台!$I$5001,MATCH(A268,控制台!$B$5001:$B$5051,0)-1,0)</f>
        <v>1000</v>
      </c>
      <c r="H268" s="4">
        <f ca="1">OFFSET(控制台!$J$5001,MATCH(A268,控制台!$B$5001:$B$5051,0)-1,0)+(B268-1)*OFFSET(控制台!$K$5001,MATCH(A268,控制台!$B$5001:$B$5051,0)-1,0)</f>
        <v>300000</v>
      </c>
      <c r="I268" s="4">
        <f ca="1">OFFSET(控制台!$M$5001,MATCH(A268,控制台!$B$5001:$B$5051,0)-1,0)+(B268-1)*OFFSET(控制台!$N$5001,MATCH(A268,控制台!$B$5001:$B$5051,0)-1,0)</f>
        <v>600000</v>
      </c>
      <c r="J268" s="4">
        <f ca="1">OFFSET(控制台!$P$5001,MATCH(A268,控制台!$B$5001:$B$5051,0)-1,0)</f>
        <v>7200</v>
      </c>
    </row>
    <row r="269" spans="1:10">
      <c r="A269" s="1">
        <v>230201</v>
      </c>
      <c r="B269" s="1">
        <v>4</v>
      </c>
      <c r="C269" s="1">
        <v>3</v>
      </c>
      <c r="D269" s="1" t="s">
        <v>2462</v>
      </c>
      <c r="E269" s="1">
        <f ca="1">OFFSET(控制台!$G$5001,MATCH(A269,控制台!$B$5001:$B$5051,0)-1,0)</f>
        <v>5</v>
      </c>
      <c r="F269" s="1">
        <f ca="1">OFFSET(控制台!$E$5001,MATCH(A269,控制台!$B$5001:$B$5051,0)-1,0)</f>
        <v>2</v>
      </c>
      <c r="G269" s="4">
        <f ca="1">OFFSET(控制台!$I$5001,MATCH(A269,控制台!$B$5001:$B$5051,0)-1,0)</f>
        <v>1000</v>
      </c>
      <c r="H269" s="4">
        <f ca="1">OFFSET(控制台!$J$5001,MATCH(A269,控制台!$B$5001:$B$5051,0)-1,0)+(B269-1)*OFFSET(控制台!$K$5001,MATCH(A269,控制台!$B$5001:$B$5051,0)-1,0)</f>
        <v>400000</v>
      </c>
      <c r="I269" s="4">
        <f ca="1">OFFSET(控制台!$M$5001,MATCH(A269,控制台!$B$5001:$B$5051,0)-1,0)+(B269-1)*OFFSET(控制台!$N$5001,MATCH(A269,控制台!$B$5001:$B$5051,0)-1,0)</f>
        <v>800000</v>
      </c>
      <c r="J269" s="4">
        <f ca="1">OFFSET(控制台!$P$5001,MATCH(A269,控制台!$B$5001:$B$5051,0)-1,0)</f>
        <v>7200</v>
      </c>
    </row>
    <row r="270" spans="1:10">
      <c r="A270" s="1">
        <v>230201</v>
      </c>
      <c r="B270" s="1">
        <v>5</v>
      </c>
      <c r="C270" s="1">
        <v>3</v>
      </c>
      <c r="D270" s="1" t="s">
        <v>2462</v>
      </c>
      <c r="E270" s="1">
        <f ca="1">OFFSET(控制台!$G$5001,MATCH(A270,控制台!$B$5001:$B$5051,0)-1,0)</f>
        <v>5</v>
      </c>
      <c r="F270" s="1">
        <f ca="1">OFFSET(控制台!$E$5001,MATCH(A270,控制台!$B$5001:$B$5051,0)-1,0)</f>
        <v>2</v>
      </c>
      <c r="G270" s="4">
        <f ca="1">OFFSET(控制台!$I$5001,MATCH(A270,控制台!$B$5001:$B$5051,0)-1,0)</f>
        <v>1000</v>
      </c>
      <c r="H270" s="4">
        <f ca="1">OFFSET(控制台!$J$5001,MATCH(A270,控制台!$B$5001:$B$5051,0)-1,0)+(B270-1)*OFFSET(控制台!$K$5001,MATCH(A270,控制台!$B$5001:$B$5051,0)-1,0)</f>
        <v>500000</v>
      </c>
      <c r="I270" s="4">
        <f ca="1">OFFSET(控制台!$M$5001,MATCH(A270,控制台!$B$5001:$B$5051,0)-1,0)+(B270-1)*OFFSET(控制台!$N$5001,MATCH(A270,控制台!$B$5001:$B$5051,0)-1,0)</f>
        <v>1000000</v>
      </c>
      <c r="J270" s="4">
        <f ca="1">OFFSET(控制台!$P$5001,MATCH(A270,控制台!$B$5001:$B$5051,0)-1,0)</f>
        <v>7200</v>
      </c>
    </row>
    <row r="271" spans="1:10">
      <c r="A271" s="1">
        <v>230301</v>
      </c>
      <c r="B271" s="1">
        <v>1</v>
      </c>
      <c r="C271" s="1">
        <v>3</v>
      </c>
      <c r="D271" s="1" t="s">
        <v>2463</v>
      </c>
      <c r="E271" s="1">
        <f ca="1">OFFSET(控制台!$G$5001,MATCH(A271,控制台!$B$5001:$B$5051,0)-1,0)</f>
        <v>5</v>
      </c>
      <c r="F271" s="1">
        <f ca="1">OFFSET(控制台!$E$5001,MATCH(A271,控制台!$B$5001:$B$5051,0)-1,0)</f>
        <v>3</v>
      </c>
      <c r="G271" s="4">
        <f ca="1">OFFSET(控制台!$I$5001,MATCH(A271,控制台!$B$5001:$B$5051,0)-1,0)</f>
        <v>2000</v>
      </c>
      <c r="H271" s="4">
        <f ca="1">OFFSET(控制台!$J$5001,MATCH(A271,控制台!$B$5001:$B$5051,0)-1,0)+(B271-1)*OFFSET(控制台!$K$5001,MATCH(A271,控制台!$B$5001:$B$5051,0)-1,0)</f>
        <v>200000</v>
      </c>
      <c r="I271" s="4">
        <f ca="1">OFFSET(控制台!$M$5001,MATCH(A271,控制台!$B$5001:$B$5051,0)-1,0)+(B271-1)*OFFSET(控制台!$N$5001,MATCH(A271,控制台!$B$5001:$B$5051,0)-1,0)</f>
        <v>400000</v>
      </c>
      <c r="J271" s="4">
        <f ca="1">OFFSET(控制台!$P$5001,MATCH(A271,控制台!$B$5001:$B$5051,0)-1,0)</f>
        <v>14400</v>
      </c>
    </row>
    <row r="272" spans="1:10">
      <c r="A272" s="1">
        <v>230301</v>
      </c>
      <c r="B272" s="1">
        <v>2</v>
      </c>
      <c r="C272" s="1">
        <v>3</v>
      </c>
      <c r="D272" s="1" t="s">
        <v>2463</v>
      </c>
      <c r="E272" s="1">
        <f ca="1">OFFSET(控制台!$G$5001,MATCH(A272,控制台!$B$5001:$B$5051,0)-1,0)</f>
        <v>5</v>
      </c>
      <c r="F272" s="1">
        <f ca="1">OFFSET(控制台!$E$5001,MATCH(A272,控制台!$B$5001:$B$5051,0)-1,0)</f>
        <v>3</v>
      </c>
      <c r="G272" s="4">
        <f ca="1">OFFSET(控制台!$I$5001,MATCH(A272,控制台!$B$5001:$B$5051,0)-1,0)</f>
        <v>2000</v>
      </c>
      <c r="H272" s="4">
        <f ca="1">OFFSET(控制台!$J$5001,MATCH(A272,控制台!$B$5001:$B$5051,0)-1,0)+(B272-1)*OFFSET(控制台!$K$5001,MATCH(A272,控制台!$B$5001:$B$5051,0)-1,0)</f>
        <v>400000</v>
      </c>
      <c r="I272" s="4">
        <f ca="1">OFFSET(控制台!$M$5001,MATCH(A272,控制台!$B$5001:$B$5051,0)-1,0)+(B272-1)*OFFSET(控制台!$N$5001,MATCH(A272,控制台!$B$5001:$B$5051,0)-1,0)</f>
        <v>800000</v>
      </c>
      <c r="J272" s="4">
        <f ca="1">OFFSET(控制台!$P$5001,MATCH(A272,控制台!$B$5001:$B$5051,0)-1,0)</f>
        <v>14400</v>
      </c>
    </row>
    <row r="273" spans="1:10">
      <c r="A273" s="1">
        <v>230301</v>
      </c>
      <c r="B273" s="1">
        <v>3</v>
      </c>
      <c r="C273" s="1">
        <v>3</v>
      </c>
      <c r="D273" s="1" t="s">
        <v>2463</v>
      </c>
      <c r="E273" s="1">
        <f ca="1">OFFSET(控制台!$G$5001,MATCH(A273,控制台!$B$5001:$B$5051,0)-1,0)</f>
        <v>5</v>
      </c>
      <c r="F273" s="1">
        <f ca="1">OFFSET(控制台!$E$5001,MATCH(A273,控制台!$B$5001:$B$5051,0)-1,0)</f>
        <v>3</v>
      </c>
      <c r="G273" s="4">
        <f ca="1">OFFSET(控制台!$I$5001,MATCH(A273,控制台!$B$5001:$B$5051,0)-1,0)</f>
        <v>2000</v>
      </c>
      <c r="H273" s="4">
        <f ca="1">OFFSET(控制台!$J$5001,MATCH(A273,控制台!$B$5001:$B$5051,0)-1,0)+(B273-1)*OFFSET(控制台!$K$5001,MATCH(A273,控制台!$B$5001:$B$5051,0)-1,0)</f>
        <v>600000</v>
      </c>
      <c r="I273" s="4">
        <f ca="1">OFFSET(控制台!$M$5001,MATCH(A273,控制台!$B$5001:$B$5051,0)-1,0)+(B273-1)*OFFSET(控制台!$N$5001,MATCH(A273,控制台!$B$5001:$B$5051,0)-1,0)</f>
        <v>1200000</v>
      </c>
      <c r="J273" s="4">
        <f ca="1">OFFSET(控制台!$P$5001,MATCH(A273,控制台!$B$5001:$B$5051,0)-1,0)</f>
        <v>14400</v>
      </c>
    </row>
    <row r="274" spans="1:10">
      <c r="A274" s="1">
        <v>230301</v>
      </c>
      <c r="B274" s="1">
        <v>4</v>
      </c>
      <c r="C274" s="1">
        <v>3</v>
      </c>
      <c r="D274" s="1" t="s">
        <v>2463</v>
      </c>
      <c r="E274" s="1">
        <f ca="1">OFFSET(控制台!$G$5001,MATCH(A274,控制台!$B$5001:$B$5051,0)-1,0)</f>
        <v>5</v>
      </c>
      <c r="F274" s="1">
        <f ca="1">OFFSET(控制台!$E$5001,MATCH(A274,控制台!$B$5001:$B$5051,0)-1,0)</f>
        <v>3</v>
      </c>
      <c r="G274" s="4">
        <f ca="1">OFFSET(控制台!$I$5001,MATCH(A274,控制台!$B$5001:$B$5051,0)-1,0)</f>
        <v>2000</v>
      </c>
      <c r="H274" s="4">
        <f ca="1">OFFSET(控制台!$J$5001,MATCH(A274,控制台!$B$5001:$B$5051,0)-1,0)+(B274-1)*OFFSET(控制台!$K$5001,MATCH(A274,控制台!$B$5001:$B$5051,0)-1,0)</f>
        <v>800000</v>
      </c>
      <c r="I274" s="4">
        <f ca="1">OFFSET(控制台!$M$5001,MATCH(A274,控制台!$B$5001:$B$5051,0)-1,0)+(B274-1)*OFFSET(控制台!$N$5001,MATCH(A274,控制台!$B$5001:$B$5051,0)-1,0)</f>
        <v>1600000</v>
      </c>
      <c r="J274" s="4">
        <f ca="1">OFFSET(控制台!$P$5001,MATCH(A274,控制台!$B$5001:$B$5051,0)-1,0)</f>
        <v>14400</v>
      </c>
    </row>
    <row r="275" spans="1:10">
      <c r="A275" s="1">
        <v>230301</v>
      </c>
      <c r="B275" s="1">
        <v>5</v>
      </c>
      <c r="C275" s="1">
        <v>3</v>
      </c>
      <c r="D275" s="1" t="s">
        <v>2463</v>
      </c>
      <c r="E275" s="1">
        <f ca="1">OFFSET(控制台!$G$5001,MATCH(A275,控制台!$B$5001:$B$5051,0)-1,0)</f>
        <v>5</v>
      </c>
      <c r="F275" s="1">
        <f ca="1">OFFSET(控制台!$E$5001,MATCH(A275,控制台!$B$5001:$B$5051,0)-1,0)</f>
        <v>3</v>
      </c>
      <c r="G275" s="4">
        <f ca="1">OFFSET(控制台!$I$5001,MATCH(A275,控制台!$B$5001:$B$5051,0)-1,0)</f>
        <v>2000</v>
      </c>
      <c r="H275" s="4">
        <f ca="1">OFFSET(控制台!$J$5001,MATCH(A275,控制台!$B$5001:$B$5051,0)-1,0)+(B275-1)*OFFSET(控制台!$K$5001,MATCH(A275,控制台!$B$5001:$B$5051,0)-1,0)</f>
        <v>1000000</v>
      </c>
      <c r="I275" s="4">
        <f ca="1">OFFSET(控制台!$M$5001,MATCH(A275,控制台!$B$5001:$B$5051,0)-1,0)+(B275-1)*OFFSET(控制台!$N$5001,MATCH(A275,控制台!$B$5001:$B$5051,0)-1,0)</f>
        <v>2000000</v>
      </c>
      <c r="J275" s="4">
        <f ca="1">OFFSET(控制台!$P$5001,MATCH(A275,控制台!$B$5001:$B$5051,0)-1,0)</f>
        <v>14400</v>
      </c>
    </row>
    <row r="276" spans="1:10">
      <c r="A276" s="1">
        <v>230302</v>
      </c>
      <c r="B276" s="1">
        <v>1</v>
      </c>
      <c r="C276" s="1">
        <v>3</v>
      </c>
      <c r="D276" s="1" t="s">
        <v>2464</v>
      </c>
      <c r="E276" s="1">
        <f ca="1">OFFSET(控制台!$G$5001,MATCH(A276,控制台!$B$5001:$B$5051,0)-1,0)</f>
        <v>5</v>
      </c>
      <c r="F276" s="1">
        <f ca="1">OFFSET(控制台!$E$5001,MATCH(A276,控制台!$B$5001:$B$5051,0)-1,0)</f>
        <v>3</v>
      </c>
      <c r="G276" s="4">
        <f ca="1">OFFSET(控制台!$I$5001,MATCH(A276,控制台!$B$5001:$B$5051,0)-1,0)</f>
        <v>2000</v>
      </c>
      <c r="H276" s="4">
        <f ca="1">OFFSET(控制台!$J$5001,MATCH(A276,控制台!$B$5001:$B$5051,0)-1,0)+(B276-1)*OFFSET(控制台!$K$5001,MATCH(A276,控制台!$B$5001:$B$5051,0)-1,0)</f>
        <v>200000</v>
      </c>
      <c r="I276" s="4">
        <f ca="1">OFFSET(控制台!$M$5001,MATCH(A276,控制台!$B$5001:$B$5051,0)-1,0)+(B276-1)*OFFSET(控制台!$N$5001,MATCH(A276,控制台!$B$5001:$B$5051,0)-1,0)</f>
        <v>400000</v>
      </c>
      <c r="J276" s="4">
        <f ca="1">OFFSET(控制台!$P$5001,MATCH(A276,控制台!$B$5001:$B$5051,0)-1,0)</f>
        <v>14400</v>
      </c>
    </row>
    <row r="277" spans="1:10">
      <c r="A277" s="1">
        <v>230302</v>
      </c>
      <c r="B277" s="1">
        <v>2</v>
      </c>
      <c r="C277" s="1">
        <v>3</v>
      </c>
      <c r="D277" s="1" t="s">
        <v>2464</v>
      </c>
      <c r="E277" s="1">
        <f ca="1">OFFSET(控制台!$G$5001,MATCH(A277,控制台!$B$5001:$B$5051,0)-1,0)</f>
        <v>5</v>
      </c>
      <c r="F277" s="1">
        <f ca="1">OFFSET(控制台!$E$5001,MATCH(A277,控制台!$B$5001:$B$5051,0)-1,0)</f>
        <v>3</v>
      </c>
      <c r="G277" s="4">
        <f ca="1">OFFSET(控制台!$I$5001,MATCH(A277,控制台!$B$5001:$B$5051,0)-1,0)</f>
        <v>2000</v>
      </c>
      <c r="H277" s="4">
        <f ca="1">OFFSET(控制台!$J$5001,MATCH(A277,控制台!$B$5001:$B$5051,0)-1,0)+(B277-1)*OFFSET(控制台!$K$5001,MATCH(A277,控制台!$B$5001:$B$5051,0)-1,0)</f>
        <v>400000</v>
      </c>
      <c r="I277" s="4">
        <f ca="1">OFFSET(控制台!$M$5001,MATCH(A277,控制台!$B$5001:$B$5051,0)-1,0)+(B277-1)*OFFSET(控制台!$N$5001,MATCH(A277,控制台!$B$5001:$B$5051,0)-1,0)</f>
        <v>800000</v>
      </c>
      <c r="J277" s="4">
        <f ca="1">OFFSET(控制台!$P$5001,MATCH(A277,控制台!$B$5001:$B$5051,0)-1,0)</f>
        <v>14400</v>
      </c>
    </row>
    <row r="278" spans="1:10">
      <c r="A278" s="1">
        <v>230302</v>
      </c>
      <c r="B278" s="1">
        <v>3</v>
      </c>
      <c r="C278" s="1">
        <v>3</v>
      </c>
      <c r="D278" s="1" t="s">
        <v>2464</v>
      </c>
      <c r="E278" s="1">
        <f ca="1">OFFSET(控制台!$G$5001,MATCH(A278,控制台!$B$5001:$B$5051,0)-1,0)</f>
        <v>5</v>
      </c>
      <c r="F278" s="1">
        <f ca="1">OFFSET(控制台!$E$5001,MATCH(A278,控制台!$B$5001:$B$5051,0)-1,0)</f>
        <v>3</v>
      </c>
      <c r="G278" s="4">
        <f ca="1">OFFSET(控制台!$I$5001,MATCH(A278,控制台!$B$5001:$B$5051,0)-1,0)</f>
        <v>2000</v>
      </c>
      <c r="H278" s="4">
        <f ca="1">OFFSET(控制台!$J$5001,MATCH(A278,控制台!$B$5001:$B$5051,0)-1,0)+(B278-1)*OFFSET(控制台!$K$5001,MATCH(A278,控制台!$B$5001:$B$5051,0)-1,0)</f>
        <v>600000</v>
      </c>
      <c r="I278" s="4">
        <f ca="1">OFFSET(控制台!$M$5001,MATCH(A278,控制台!$B$5001:$B$5051,0)-1,0)+(B278-1)*OFFSET(控制台!$N$5001,MATCH(A278,控制台!$B$5001:$B$5051,0)-1,0)</f>
        <v>1200000</v>
      </c>
      <c r="J278" s="4">
        <f ca="1">OFFSET(控制台!$P$5001,MATCH(A278,控制台!$B$5001:$B$5051,0)-1,0)</f>
        <v>14400</v>
      </c>
    </row>
    <row r="279" spans="1:10">
      <c r="A279" s="1">
        <v>230302</v>
      </c>
      <c r="B279" s="1">
        <v>4</v>
      </c>
      <c r="C279" s="1">
        <v>3</v>
      </c>
      <c r="D279" s="1" t="s">
        <v>2464</v>
      </c>
      <c r="E279" s="1">
        <f ca="1">OFFSET(控制台!$G$5001,MATCH(A279,控制台!$B$5001:$B$5051,0)-1,0)</f>
        <v>5</v>
      </c>
      <c r="F279" s="1">
        <f ca="1">OFFSET(控制台!$E$5001,MATCH(A279,控制台!$B$5001:$B$5051,0)-1,0)</f>
        <v>3</v>
      </c>
      <c r="G279" s="4">
        <f ca="1">OFFSET(控制台!$I$5001,MATCH(A279,控制台!$B$5001:$B$5051,0)-1,0)</f>
        <v>2000</v>
      </c>
      <c r="H279" s="4">
        <f ca="1">OFFSET(控制台!$J$5001,MATCH(A279,控制台!$B$5001:$B$5051,0)-1,0)+(B279-1)*OFFSET(控制台!$K$5001,MATCH(A279,控制台!$B$5001:$B$5051,0)-1,0)</f>
        <v>800000</v>
      </c>
      <c r="I279" s="4">
        <f ca="1">OFFSET(控制台!$M$5001,MATCH(A279,控制台!$B$5001:$B$5051,0)-1,0)+(B279-1)*OFFSET(控制台!$N$5001,MATCH(A279,控制台!$B$5001:$B$5051,0)-1,0)</f>
        <v>1600000</v>
      </c>
      <c r="J279" s="4">
        <f ca="1">OFFSET(控制台!$P$5001,MATCH(A279,控制台!$B$5001:$B$5051,0)-1,0)</f>
        <v>14400</v>
      </c>
    </row>
    <row r="280" spans="1:10">
      <c r="A280" s="1">
        <v>230302</v>
      </c>
      <c r="B280" s="1">
        <v>5</v>
      </c>
      <c r="C280" s="1">
        <v>3</v>
      </c>
      <c r="D280" s="1" t="s">
        <v>2464</v>
      </c>
      <c r="E280" s="1">
        <f ca="1">OFFSET(控制台!$G$5001,MATCH(A280,控制台!$B$5001:$B$5051,0)-1,0)</f>
        <v>5</v>
      </c>
      <c r="F280" s="1">
        <f ca="1">OFFSET(控制台!$E$5001,MATCH(A280,控制台!$B$5001:$B$5051,0)-1,0)</f>
        <v>3</v>
      </c>
      <c r="G280" s="4">
        <f ca="1">OFFSET(控制台!$I$5001,MATCH(A280,控制台!$B$5001:$B$5051,0)-1,0)</f>
        <v>2000</v>
      </c>
      <c r="H280" s="4">
        <f ca="1">OFFSET(控制台!$J$5001,MATCH(A280,控制台!$B$5001:$B$5051,0)-1,0)+(B280-1)*OFFSET(控制台!$K$5001,MATCH(A280,控制台!$B$5001:$B$5051,0)-1,0)</f>
        <v>1000000</v>
      </c>
      <c r="I280" s="4">
        <f ca="1">OFFSET(控制台!$M$5001,MATCH(A280,控制台!$B$5001:$B$5051,0)-1,0)+(B280-1)*OFFSET(控制台!$N$5001,MATCH(A280,控制台!$B$5001:$B$5051,0)-1,0)</f>
        <v>2000000</v>
      </c>
      <c r="J280" s="4">
        <f ca="1">OFFSET(控制台!$P$5001,MATCH(A280,控制台!$B$5001:$B$5051,0)-1,0)</f>
        <v>14400</v>
      </c>
    </row>
    <row r="281" spans="1:10">
      <c r="A281" s="1">
        <v>230303</v>
      </c>
      <c r="B281" s="1">
        <v>1</v>
      </c>
      <c r="C281" s="1">
        <v>3</v>
      </c>
      <c r="D281" s="1" t="s">
        <v>2465</v>
      </c>
      <c r="E281" s="1">
        <f ca="1">OFFSET(控制台!$G$5001,MATCH(A281,控制台!$B$5001:$B$5051,0)-1,0)</f>
        <v>5</v>
      </c>
      <c r="F281" s="1">
        <f ca="1">OFFSET(控制台!$E$5001,MATCH(A281,控制台!$B$5001:$B$5051,0)-1,0)</f>
        <v>3</v>
      </c>
      <c r="G281" s="4">
        <f ca="1">OFFSET(控制台!$I$5001,MATCH(A281,控制台!$B$5001:$B$5051,0)-1,0)</f>
        <v>2000</v>
      </c>
      <c r="H281" s="4">
        <f ca="1">OFFSET(控制台!$J$5001,MATCH(A281,控制台!$B$5001:$B$5051,0)-1,0)+(B281-1)*OFFSET(控制台!$K$5001,MATCH(A281,控制台!$B$5001:$B$5051,0)-1,0)</f>
        <v>200000</v>
      </c>
      <c r="I281" s="4">
        <f ca="1">OFFSET(控制台!$M$5001,MATCH(A281,控制台!$B$5001:$B$5051,0)-1,0)+(B281-1)*OFFSET(控制台!$N$5001,MATCH(A281,控制台!$B$5001:$B$5051,0)-1,0)</f>
        <v>400000</v>
      </c>
      <c r="J281" s="4">
        <f ca="1">OFFSET(控制台!$P$5001,MATCH(A281,控制台!$B$5001:$B$5051,0)-1,0)</f>
        <v>14400</v>
      </c>
    </row>
    <row r="282" spans="1:10">
      <c r="A282" s="1">
        <v>230303</v>
      </c>
      <c r="B282" s="1">
        <v>2</v>
      </c>
      <c r="C282" s="1">
        <v>3</v>
      </c>
      <c r="D282" s="1" t="s">
        <v>2465</v>
      </c>
      <c r="E282" s="1">
        <f ca="1">OFFSET(控制台!$G$5001,MATCH(A282,控制台!$B$5001:$B$5051,0)-1,0)</f>
        <v>5</v>
      </c>
      <c r="F282" s="1">
        <f ca="1">OFFSET(控制台!$E$5001,MATCH(A282,控制台!$B$5001:$B$5051,0)-1,0)</f>
        <v>3</v>
      </c>
      <c r="G282" s="4">
        <f ca="1">OFFSET(控制台!$I$5001,MATCH(A282,控制台!$B$5001:$B$5051,0)-1,0)</f>
        <v>2000</v>
      </c>
      <c r="H282" s="4">
        <f ca="1">OFFSET(控制台!$J$5001,MATCH(A282,控制台!$B$5001:$B$5051,0)-1,0)+(B282-1)*OFFSET(控制台!$K$5001,MATCH(A282,控制台!$B$5001:$B$5051,0)-1,0)</f>
        <v>400000</v>
      </c>
      <c r="I282" s="4">
        <f ca="1">OFFSET(控制台!$M$5001,MATCH(A282,控制台!$B$5001:$B$5051,0)-1,0)+(B282-1)*OFFSET(控制台!$N$5001,MATCH(A282,控制台!$B$5001:$B$5051,0)-1,0)</f>
        <v>800000</v>
      </c>
      <c r="J282" s="4">
        <f ca="1">OFFSET(控制台!$P$5001,MATCH(A282,控制台!$B$5001:$B$5051,0)-1,0)</f>
        <v>14400</v>
      </c>
    </row>
    <row r="283" spans="1:10">
      <c r="A283" s="1">
        <v>230303</v>
      </c>
      <c r="B283" s="1">
        <v>3</v>
      </c>
      <c r="C283" s="1">
        <v>3</v>
      </c>
      <c r="D283" s="1" t="s">
        <v>2465</v>
      </c>
      <c r="E283" s="1">
        <f ca="1">OFFSET(控制台!$G$5001,MATCH(A283,控制台!$B$5001:$B$5051,0)-1,0)</f>
        <v>5</v>
      </c>
      <c r="F283" s="1">
        <f ca="1">OFFSET(控制台!$E$5001,MATCH(A283,控制台!$B$5001:$B$5051,0)-1,0)</f>
        <v>3</v>
      </c>
      <c r="G283" s="4">
        <f ca="1">OFFSET(控制台!$I$5001,MATCH(A283,控制台!$B$5001:$B$5051,0)-1,0)</f>
        <v>2000</v>
      </c>
      <c r="H283" s="4">
        <f ca="1">OFFSET(控制台!$J$5001,MATCH(A283,控制台!$B$5001:$B$5051,0)-1,0)+(B283-1)*OFFSET(控制台!$K$5001,MATCH(A283,控制台!$B$5001:$B$5051,0)-1,0)</f>
        <v>600000</v>
      </c>
      <c r="I283" s="4">
        <f ca="1">OFFSET(控制台!$M$5001,MATCH(A283,控制台!$B$5001:$B$5051,0)-1,0)+(B283-1)*OFFSET(控制台!$N$5001,MATCH(A283,控制台!$B$5001:$B$5051,0)-1,0)</f>
        <v>1200000</v>
      </c>
      <c r="J283" s="4">
        <f ca="1">OFFSET(控制台!$P$5001,MATCH(A283,控制台!$B$5001:$B$5051,0)-1,0)</f>
        <v>14400</v>
      </c>
    </row>
    <row r="284" spans="1:10">
      <c r="A284" s="1">
        <v>230303</v>
      </c>
      <c r="B284" s="1">
        <v>4</v>
      </c>
      <c r="C284" s="1">
        <v>3</v>
      </c>
      <c r="D284" s="1" t="s">
        <v>2465</v>
      </c>
      <c r="E284" s="1">
        <f ca="1">OFFSET(控制台!$G$5001,MATCH(A284,控制台!$B$5001:$B$5051,0)-1,0)</f>
        <v>5</v>
      </c>
      <c r="F284" s="1">
        <f ca="1">OFFSET(控制台!$E$5001,MATCH(A284,控制台!$B$5001:$B$5051,0)-1,0)</f>
        <v>3</v>
      </c>
      <c r="G284" s="4">
        <f ca="1">OFFSET(控制台!$I$5001,MATCH(A284,控制台!$B$5001:$B$5051,0)-1,0)</f>
        <v>2000</v>
      </c>
      <c r="H284" s="4">
        <f ca="1">OFFSET(控制台!$J$5001,MATCH(A284,控制台!$B$5001:$B$5051,0)-1,0)+(B284-1)*OFFSET(控制台!$K$5001,MATCH(A284,控制台!$B$5001:$B$5051,0)-1,0)</f>
        <v>800000</v>
      </c>
      <c r="I284" s="4">
        <f ca="1">OFFSET(控制台!$M$5001,MATCH(A284,控制台!$B$5001:$B$5051,0)-1,0)+(B284-1)*OFFSET(控制台!$N$5001,MATCH(A284,控制台!$B$5001:$B$5051,0)-1,0)</f>
        <v>1600000</v>
      </c>
      <c r="J284" s="4">
        <f ca="1">OFFSET(控制台!$P$5001,MATCH(A284,控制台!$B$5001:$B$5051,0)-1,0)</f>
        <v>14400</v>
      </c>
    </row>
    <row r="285" spans="1:10">
      <c r="A285" s="1">
        <v>230303</v>
      </c>
      <c r="B285" s="1">
        <v>5</v>
      </c>
      <c r="C285" s="1">
        <v>3</v>
      </c>
      <c r="D285" s="1" t="s">
        <v>2465</v>
      </c>
      <c r="E285" s="1">
        <f ca="1">OFFSET(控制台!$G$5001,MATCH(A285,控制台!$B$5001:$B$5051,0)-1,0)</f>
        <v>5</v>
      </c>
      <c r="F285" s="1">
        <f ca="1">OFFSET(控制台!$E$5001,MATCH(A285,控制台!$B$5001:$B$5051,0)-1,0)</f>
        <v>3</v>
      </c>
      <c r="G285" s="4">
        <f ca="1">OFFSET(控制台!$I$5001,MATCH(A285,控制台!$B$5001:$B$5051,0)-1,0)</f>
        <v>2000</v>
      </c>
      <c r="H285" s="4">
        <f ca="1">OFFSET(控制台!$J$5001,MATCH(A285,控制台!$B$5001:$B$5051,0)-1,0)+(B285-1)*OFFSET(控制台!$K$5001,MATCH(A285,控制台!$B$5001:$B$5051,0)-1,0)</f>
        <v>1000000</v>
      </c>
      <c r="I285" s="4">
        <f ca="1">OFFSET(控制台!$M$5001,MATCH(A285,控制台!$B$5001:$B$5051,0)-1,0)+(B285-1)*OFFSET(控制台!$N$5001,MATCH(A285,控制台!$B$5001:$B$5051,0)-1,0)</f>
        <v>2000000</v>
      </c>
      <c r="J285" s="4">
        <f ca="1">OFFSET(控制台!$P$5001,MATCH(A285,控制台!$B$5001:$B$5051,0)-1,0)</f>
        <v>14400</v>
      </c>
    </row>
    <row r="286" spans="1:10">
      <c r="A286" s="1">
        <v>230401</v>
      </c>
      <c r="B286" s="1">
        <v>1</v>
      </c>
      <c r="C286" s="1">
        <v>3</v>
      </c>
      <c r="D286" s="1" t="s">
        <v>2432</v>
      </c>
      <c r="E286" s="1">
        <f ca="1">OFFSET(控制台!$G$5001,MATCH(A286,控制台!$B$5001:$B$5051,0)-1,0)</f>
        <v>5</v>
      </c>
      <c r="F286" s="1">
        <f ca="1">OFFSET(控制台!$E$5001,MATCH(A286,控制台!$B$5001:$B$5051,0)-1,0)</f>
        <v>4</v>
      </c>
      <c r="G286" s="4">
        <f ca="1">OFFSET(控制台!$I$5001,MATCH(A286,控制台!$B$5001:$B$5051,0)-1,0)</f>
        <v>2000</v>
      </c>
      <c r="H286" s="4">
        <f ca="1">OFFSET(控制台!$J$5001,MATCH(A286,控制台!$B$5001:$B$5051,0)-1,0)+(B286-1)*OFFSET(控制台!$K$5001,MATCH(A286,控制台!$B$5001:$B$5051,0)-1,0)</f>
        <v>300000</v>
      </c>
      <c r="I286" s="4">
        <f ca="1">OFFSET(控制台!$M$5001,MATCH(A286,控制台!$B$5001:$B$5051,0)-1,0)+(B286-1)*OFFSET(控制台!$N$5001,MATCH(A286,控制台!$B$5001:$B$5051,0)-1,0)</f>
        <v>800000</v>
      </c>
      <c r="J286" s="4">
        <f ca="1">OFFSET(控制台!$P$5001,MATCH(A286,控制台!$B$5001:$B$5051,0)-1,0)</f>
        <v>14400</v>
      </c>
    </row>
    <row r="287" spans="1:10">
      <c r="A287" s="1">
        <v>230401</v>
      </c>
      <c r="B287" s="1">
        <v>2</v>
      </c>
      <c r="C287" s="1">
        <v>3</v>
      </c>
      <c r="D287" s="1" t="s">
        <v>2432</v>
      </c>
      <c r="E287" s="1">
        <f ca="1">OFFSET(控制台!$G$5001,MATCH(A287,控制台!$B$5001:$B$5051,0)-1,0)</f>
        <v>5</v>
      </c>
      <c r="F287" s="1">
        <f ca="1">OFFSET(控制台!$E$5001,MATCH(A287,控制台!$B$5001:$B$5051,0)-1,0)</f>
        <v>4</v>
      </c>
      <c r="G287" s="4">
        <f ca="1">OFFSET(控制台!$I$5001,MATCH(A287,控制台!$B$5001:$B$5051,0)-1,0)</f>
        <v>2000</v>
      </c>
      <c r="H287" s="4">
        <f ca="1">OFFSET(控制台!$J$5001,MATCH(A287,控制台!$B$5001:$B$5051,0)-1,0)+(B287-1)*OFFSET(控制台!$K$5001,MATCH(A287,控制台!$B$5001:$B$5051,0)-1,0)</f>
        <v>600000</v>
      </c>
      <c r="I287" s="4">
        <f ca="1">OFFSET(控制台!$M$5001,MATCH(A287,控制台!$B$5001:$B$5051,0)-1,0)+(B287-1)*OFFSET(控制台!$N$5001,MATCH(A287,控制台!$B$5001:$B$5051,0)-1,0)</f>
        <v>1600000</v>
      </c>
      <c r="J287" s="4">
        <f ca="1">OFFSET(控制台!$P$5001,MATCH(A287,控制台!$B$5001:$B$5051,0)-1,0)</f>
        <v>14400</v>
      </c>
    </row>
    <row r="288" spans="1:10">
      <c r="A288" s="1">
        <v>230401</v>
      </c>
      <c r="B288" s="1">
        <v>3</v>
      </c>
      <c r="C288" s="1">
        <v>3</v>
      </c>
      <c r="D288" s="1" t="s">
        <v>2432</v>
      </c>
      <c r="E288" s="1">
        <f ca="1">OFFSET(控制台!$G$5001,MATCH(A288,控制台!$B$5001:$B$5051,0)-1,0)</f>
        <v>5</v>
      </c>
      <c r="F288" s="1">
        <f ca="1">OFFSET(控制台!$E$5001,MATCH(A288,控制台!$B$5001:$B$5051,0)-1,0)</f>
        <v>4</v>
      </c>
      <c r="G288" s="4">
        <f ca="1">OFFSET(控制台!$I$5001,MATCH(A288,控制台!$B$5001:$B$5051,0)-1,0)</f>
        <v>2000</v>
      </c>
      <c r="H288" s="4">
        <f ca="1">OFFSET(控制台!$J$5001,MATCH(A288,控制台!$B$5001:$B$5051,0)-1,0)+(B288-1)*OFFSET(控制台!$K$5001,MATCH(A288,控制台!$B$5001:$B$5051,0)-1,0)</f>
        <v>900000</v>
      </c>
      <c r="I288" s="4">
        <f ca="1">OFFSET(控制台!$M$5001,MATCH(A288,控制台!$B$5001:$B$5051,0)-1,0)+(B288-1)*OFFSET(控制台!$N$5001,MATCH(A288,控制台!$B$5001:$B$5051,0)-1,0)</f>
        <v>2400000</v>
      </c>
      <c r="J288" s="4">
        <f ca="1">OFFSET(控制台!$P$5001,MATCH(A288,控制台!$B$5001:$B$5051,0)-1,0)</f>
        <v>14400</v>
      </c>
    </row>
    <row r="289" spans="1:10">
      <c r="A289" s="1">
        <v>230401</v>
      </c>
      <c r="B289" s="1">
        <v>4</v>
      </c>
      <c r="C289" s="1">
        <v>3</v>
      </c>
      <c r="D289" s="1" t="s">
        <v>2432</v>
      </c>
      <c r="E289" s="1">
        <f ca="1">OFFSET(控制台!$G$5001,MATCH(A289,控制台!$B$5001:$B$5051,0)-1,0)</f>
        <v>5</v>
      </c>
      <c r="F289" s="1">
        <f ca="1">OFFSET(控制台!$E$5001,MATCH(A289,控制台!$B$5001:$B$5051,0)-1,0)</f>
        <v>4</v>
      </c>
      <c r="G289" s="4">
        <f ca="1">OFFSET(控制台!$I$5001,MATCH(A289,控制台!$B$5001:$B$5051,0)-1,0)</f>
        <v>2000</v>
      </c>
      <c r="H289" s="4">
        <f ca="1">OFFSET(控制台!$J$5001,MATCH(A289,控制台!$B$5001:$B$5051,0)-1,0)+(B289-1)*OFFSET(控制台!$K$5001,MATCH(A289,控制台!$B$5001:$B$5051,0)-1,0)</f>
        <v>1200000</v>
      </c>
      <c r="I289" s="4">
        <f ca="1">OFFSET(控制台!$M$5001,MATCH(A289,控制台!$B$5001:$B$5051,0)-1,0)+(B289-1)*OFFSET(控制台!$N$5001,MATCH(A289,控制台!$B$5001:$B$5051,0)-1,0)</f>
        <v>3200000</v>
      </c>
      <c r="J289" s="4">
        <f ca="1">OFFSET(控制台!$P$5001,MATCH(A289,控制台!$B$5001:$B$5051,0)-1,0)</f>
        <v>14400</v>
      </c>
    </row>
    <row r="290" spans="1:10">
      <c r="A290" s="1">
        <v>230401</v>
      </c>
      <c r="B290" s="1">
        <v>5</v>
      </c>
      <c r="C290" s="1">
        <v>3</v>
      </c>
      <c r="D290" s="1" t="s">
        <v>2432</v>
      </c>
      <c r="E290" s="1">
        <f ca="1">OFFSET(控制台!$G$5001,MATCH(A290,控制台!$B$5001:$B$5051,0)-1,0)</f>
        <v>5</v>
      </c>
      <c r="F290" s="1">
        <f ca="1">OFFSET(控制台!$E$5001,MATCH(A290,控制台!$B$5001:$B$5051,0)-1,0)</f>
        <v>4</v>
      </c>
      <c r="G290" s="4">
        <f ca="1">OFFSET(控制台!$I$5001,MATCH(A290,控制台!$B$5001:$B$5051,0)-1,0)</f>
        <v>2000</v>
      </c>
      <c r="H290" s="4">
        <f ca="1">OFFSET(控制台!$J$5001,MATCH(A290,控制台!$B$5001:$B$5051,0)-1,0)+(B290-1)*OFFSET(控制台!$K$5001,MATCH(A290,控制台!$B$5001:$B$5051,0)-1,0)</f>
        <v>1500000</v>
      </c>
      <c r="I290" s="4">
        <f ca="1">OFFSET(控制台!$M$5001,MATCH(A290,控制台!$B$5001:$B$5051,0)-1,0)+(B290-1)*OFFSET(控制台!$N$5001,MATCH(A290,控制台!$B$5001:$B$5051,0)-1,0)</f>
        <v>4000000</v>
      </c>
      <c r="J290" s="4">
        <f ca="1">OFFSET(控制台!$P$5001,MATCH(A290,控制台!$B$5001:$B$5051,0)-1,0)</f>
        <v>14400</v>
      </c>
    </row>
    <row r="291" spans="1:10">
      <c r="A291" s="1">
        <v>230501</v>
      </c>
      <c r="B291" s="1">
        <v>1</v>
      </c>
      <c r="C291" s="1">
        <v>3</v>
      </c>
      <c r="D291" s="1" t="s">
        <v>2466</v>
      </c>
      <c r="E291" s="1">
        <f ca="1">OFFSET(控制台!$G$5001,MATCH(A291,控制台!$B$5001:$B$5051,0)-1,0)</f>
        <v>10</v>
      </c>
      <c r="F291" s="1">
        <f ca="1">OFFSET(控制台!$E$5001,MATCH(A291,控制台!$B$5001:$B$5051,0)-1,0)</f>
        <v>5</v>
      </c>
      <c r="G291" s="4">
        <f ca="1">OFFSET(控制台!$I$5001,MATCH(A291,控制台!$B$5001:$B$5051,0)-1,0)</f>
        <v>3000</v>
      </c>
      <c r="H291" s="4">
        <f ca="1">OFFSET(控制台!$J$5001,MATCH(A291,控制台!$B$5001:$B$5051,0)-1,0)+(B291-1)*OFFSET(控制台!$K$5001,MATCH(A291,控制台!$B$5001:$B$5051,0)-1,0)</f>
        <v>200000</v>
      </c>
      <c r="I291" s="4">
        <f ca="1">OFFSET(控制台!$M$5001,MATCH(A291,控制台!$B$5001:$B$5051,0)-1,0)+(B291-1)*OFFSET(控制台!$N$5001,MATCH(A291,控制台!$B$5001:$B$5051,0)-1,0)</f>
        <v>800000</v>
      </c>
      <c r="J291" s="4">
        <f ca="1">OFFSET(控制台!$P$5001,MATCH(A291,控制台!$B$5001:$B$5051,0)-1,0)</f>
        <v>14400</v>
      </c>
    </row>
    <row r="292" spans="1:10">
      <c r="A292" s="1">
        <v>230501</v>
      </c>
      <c r="B292" s="1">
        <v>2</v>
      </c>
      <c r="C292" s="1">
        <v>3</v>
      </c>
      <c r="D292" s="1" t="s">
        <v>2466</v>
      </c>
      <c r="E292" s="1">
        <f ca="1">OFFSET(控制台!$G$5001,MATCH(A292,控制台!$B$5001:$B$5051,0)-1,0)</f>
        <v>10</v>
      </c>
      <c r="F292" s="1">
        <f ca="1">OFFSET(控制台!$E$5001,MATCH(A292,控制台!$B$5001:$B$5051,0)-1,0)</f>
        <v>5</v>
      </c>
      <c r="G292" s="4">
        <f ca="1">OFFSET(控制台!$I$5001,MATCH(A292,控制台!$B$5001:$B$5051,0)-1,0)</f>
        <v>3000</v>
      </c>
      <c r="H292" s="4">
        <f ca="1">OFFSET(控制台!$J$5001,MATCH(A292,控制台!$B$5001:$B$5051,0)-1,0)+(B292-1)*OFFSET(控制台!$K$5001,MATCH(A292,控制台!$B$5001:$B$5051,0)-1,0)</f>
        <v>250000</v>
      </c>
      <c r="I292" s="4">
        <f ca="1">OFFSET(控制台!$M$5001,MATCH(A292,控制台!$B$5001:$B$5051,0)-1,0)+(B292-1)*OFFSET(控制台!$N$5001,MATCH(A292,控制台!$B$5001:$B$5051,0)-1,0)</f>
        <v>1600000</v>
      </c>
      <c r="J292" s="4">
        <f ca="1">OFFSET(控制台!$P$5001,MATCH(A292,控制台!$B$5001:$B$5051,0)-1,0)</f>
        <v>14400</v>
      </c>
    </row>
    <row r="293" spans="1:10">
      <c r="A293" s="1">
        <v>230501</v>
      </c>
      <c r="B293" s="1">
        <v>3</v>
      </c>
      <c r="C293" s="1">
        <v>3</v>
      </c>
      <c r="D293" s="1" t="s">
        <v>2466</v>
      </c>
      <c r="E293" s="1">
        <f ca="1">OFFSET(控制台!$G$5001,MATCH(A293,控制台!$B$5001:$B$5051,0)-1,0)</f>
        <v>10</v>
      </c>
      <c r="F293" s="1">
        <f ca="1">OFFSET(控制台!$E$5001,MATCH(A293,控制台!$B$5001:$B$5051,0)-1,0)</f>
        <v>5</v>
      </c>
      <c r="G293" s="4">
        <f ca="1">OFFSET(控制台!$I$5001,MATCH(A293,控制台!$B$5001:$B$5051,0)-1,0)</f>
        <v>3000</v>
      </c>
      <c r="H293" s="4">
        <f ca="1">OFFSET(控制台!$J$5001,MATCH(A293,控制台!$B$5001:$B$5051,0)-1,0)+(B293-1)*OFFSET(控制台!$K$5001,MATCH(A293,控制台!$B$5001:$B$5051,0)-1,0)</f>
        <v>300000</v>
      </c>
      <c r="I293" s="4">
        <f ca="1">OFFSET(控制台!$M$5001,MATCH(A293,控制台!$B$5001:$B$5051,0)-1,0)+(B293-1)*OFFSET(控制台!$N$5001,MATCH(A293,控制台!$B$5001:$B$5051,0)-1,0)</f>
        <v>2400000</v>
      </c>
      <c r="J293" s="4">
        <f ca="1">OFFSET(控制台!$P$5001,MATCH(A293,控制台!$B$5001:$B$5051,0)-1,0)</f>
        <v>14400</v>
      </c>
    </row>
    <row r="294" spans="1:10">
      <c r="A294" s="1">
        <v>230501</v>
      </c>
      <c r="B294" s="1">
        <v>4</v>
      </c>
      <c r="C294" s="1">
        <v>3</v>
      </c>
      <c r="D294" s="1" t="s">
        <v>2466</v>
      </c>
      <c r="E294" s="1">
        <f ca="1">OFFSET(控制台!$G$5001,MATCH(A294,控制台!$B$5001:$B$5051,0)-1,0)</f>
        <v>10</v>
      </c>
      <c r="F294" s="1">
        <f ca="1">OFFSET(控制台!$E$5001,MATCH(A294,控制台!$B$5001:$B$5051,0)-1,0)</f>
        <v>5</v>
      </c>
      <c r="G294" s="4">
        <f ca="1">OFFSET(控制台!$I$5001,MATCH(A294,控制台!$B$5001:$B$5051,0)-1,0)</f>
        <v>3000</v>
      </c>
      <c r="H294" s="4">
        <f ca="1">OFFSET(控制台!$J$5001,MATCH(A294,控制台!$B$5001:$B$5051,0)-1,0)+(B294-1)*OFFSET(控制台!$K$5001,MATCH(A294,控制台!$B$5001:$B$5051,0)-1,0)</f>
        <v>350000</v>
      </c>
      <c r="I294" s="4">
        <f ca="1">OFFSET(控制台!$M$5001,MATCH(A294,控制台!$B$5001:$B$5051,0)-1,0)+(B294-1)*OFFSET(控制台!$N$5001,MATCH(A294,控制台!$B$5001:$B$5051,0)-1,0)</f>
        <v>3200000</v>
      </c>
      <c r="J294" s="4">
        <f ca="1">OFFSET(控制台!$P$5001,MATCH(A294,控制台!$B$5001:$B$5051,0)-1,0)</f>
        <v>14400</v>
      </c>
    </row>
    <row r="295" spans="1:10">
      <c r="A295" s="1">
        <v>230501</v>
      </c>
      <c r="B295" s="1">
        <v>5</v>
      </c>
      <c r="C295" s="1">
        <v>3</v>
      </c>
      <c r="D295" s="1" t="s">
        <v>2466</v>
      </c>
      <c r="E295" s="1">
        <f ca="1">OFFSET(控制台!$G$5001,MATCH(A295,控制台!$B$5001:$B$5051,0)-1,0)</f>
        <v>10</v>
      </c>
      <c r="F295" s="1">
        <f ca="1">OFFSET(控制台!$E$5001,MATCH(A295,控制台!$B$5001:$B$5051,0)-1,0)</f>
        <v>5</v>
      </c>
      <c r="G295" s="4">
        <f ca="1">OFFSET(控制台!$I$5001,MATCH(A295,控制台!$B$5001:$B$5051,0)-1,0)</f>
        <v>3000</v>
      </c>
      <c r="H295" s="4">
        <f ca="1">OFFSET(控制台!$J$5001,MATCH(A295,控制台!$B$5001:$B$5051,0)-1,0)+(B295-1)*OFFSET(控制台!$K$5001,MATCH(A295,控制台!$B$5001:$B$5051,0)-1,0)</f>
        <v>400000</v>
      </c>
      <c r="I295" s="4">
        <f ca="1">OFFSET(控制台!$M$5001,MATCH(A295,控制台!$B$5001:$B$5051,0)-1,0)+(B295-1)*OFFSET(控制台!$N$5001,MATCH(A295,控制台!$B$5001:$B$5051,0)-1,0)</f>
        <v>4000000</v>
      </c>
      <c r="J295" s="4">
        <f ca="1">OFFSET(控制台!$P$5001,MATCH(A295,控制台!$B$5001:$B$5051,0)-1,0)</f>
        <v>14400</v>
      </c>
    </row>
    <row r="296" spans="1:10">
      <c r="A296" s="1">
        <v>230501</v>
      </c>
      <c r="B296" s="1">
        <v>6</v>
      </c>
      <c r="C296" s="1">
        <v>3</v>
      </c>
      <c r="D296" s="1" t="s">
        <v>2466</v>
      </c>
      <c r="E296" s="1">
        <f ca="1">OFFSET(控制台!$G$5001,MATCH(A296,控制台!$B$5001:$B$5051,0)-1,0)</f>
        <v>10</v>
      </c>
      <c r="F296" s="1">
        <f ca="1">OFFSET(控制台!$E$5001,MATCH(A296,控制台!$B$5001:$B$5051,0)-1,0)</f>
        <v>5</v>
      </c>
      <c r="G296" s="4">
        <f ca="1">OFFSET(控制台!$I$5001,MATCH(A296,控制台!$B$5001:$B$5051,0)-1,0)</f>
        <v>3000</v>
      </c>
      <c r="H296" s="4">
        <f ca="1">OFFSET(控制台!$J$5001,MATCH(A296,控制台!$B$5001:$B$5051,0)-1,0)+(B296-1)*OFFSET(控制台!$K$5001,MATCH(A296,控制台!$B$5001:$B$5051,0)-1,0)</f>
        <v>450000</v>
      </c>
      <c r="I296" s="4">
        <f ca="1">OFFSET(控制台!$M$5001,MATCH(A296,控制台!$B$5001:$B$5051,0)-1,0)+(B296-1)*OFFSET(控制台!$N$5001,MATCH(A296,控制台!$B$5001:$B$5051,0)-1,0)</f>
        <v>4800000</v>
      </c>
      <c r="J296" s="4">
        <f ca="1">OFFSET(控制台!$P$5001,MATCH(A296,控制台!$B$5001:$B$5051,0)-1,0)</f>
        <v>14400</v>
      </c>
    </row>
    <row r="297" spans="1:10">
      <c r="A297" s="1">
        <v>230501</v>
      </c>
      <c r="B297" s="1">
        <v>7</v>
      </c>
      <c r="C297" s="1">
        <v>3</v>
      </c>
      <c r="D297" s="1" t="s">
        <v>2466</v>
      </c>
      <c r="E297" s="1">
        <f ca="1">OFFSET(控制台!$G$5001,MATCH(A297,控制台!$B$5001:$B$5051,0)-1,0)</f>
        <v>10</v>
      </c>
      <c r="F297" s="1">
        <f ca="1">OFFSET(控制台!$E$5001,MATCH(A297,控制台!$B$5001:$B$5051,0)-1,0)</f>
        <v>5</v>
      </c>
      <c r="G297" s="4">
        <f ca="1">OFFSET(控制台!$I$5001,MATCH(A297,控制台!$B$5001:$B$5051,0)-1,0)</f>
        <v>3000</v>
      </c>
      <c r="H297" s="4">
        <f ca="1">OFFSET(控制台!$J$5001,MATCH(A297,控制台!$B$5001:$B$5051,0)-1,0)+(B297-1)*OFFSET(控制台!$K$5001,MATCH(A297,控制台!$B$5001:$B$5051,0)-1,0)</f>
        <v>500000</v>
      </c>
      <c r="I297" s="4">
        <f ca="1">OFFSET(控制台!$M$5001,MATCH(A297,控制台!$B$5001:$B$5051,0)-1,0)+(B297-1)*OFFSET(控制台!$N$5001,MATCH(A297,控制台!$B$5001:$B$5051,0)-1,0)</f>
        <v>5600000</v>
      </c>
      <c r="J297" s="4">
        <f ca="1">OFFSET(控制台!$P$5001,MATCH(A297,控制台!$B$5001:$B$5051,0)-1,0)</f>
        <v>14400</v>
      </c>
    </row>
    <row r="298" spans="1:10">
      <c r="A298" s="1">
        <v>230501</v>
      </c>
      <c r="B298" s="1">
        <v>8</v>
      </c>
      <c r="C298" s="1">
        <v>3</v>
      </c>
      <c r="D298" s="1" t="s">
        <v>2466</v>
      </c>
      <c r="E298" s="1">
        <f ca="1">OFFSET(控制台!$G$5001,MATCH(A298,控制台!$B$5001:$B$5051,0)-1,0)</f>
        <v>10</v>
      </c>
      <c r="F298" s="1">
        <f ca="1">OFFSET(控制台!$E$5001,MATCH(A298,控制台!$B$5001:$B$5051,0)-1,0)</f>
        <v>5</v>
      </c>
      <c r="G298" s="4">
        <f ca="1">OFFSET(控制台!$I$5001,MATCH(A298,控制台!$B$5001:$B$5051,0)-1,0)</f>
        <v>3000</v>
      </c>
      <c r="H298" s="4">
        <f ca="1">OFFSET(控制台!$J$5001,MATCH(A298,控制台!$B$5001:$B$5051,0)-1,0)+(B298-1)*OFFSET(控制台!$K$5001,MATCH(A298,控制台!$B$5001:$B$5051,0)-1,0)</f>
        <v>550000</v>
      </c>
      <c r="I298" s="4">
        <f ca="1">OFFSET(控制台!$M$5001,MATCH(A298,控制台!$B$5001:$B$5051,0)-1,0)+(B298-1)*OFFSET(控制台!$N$5001,MATCH(A298,控制台!$B$5001:$B$5051,0)-1,0)</f>
        <v>6400000</v>
      </c>
      <c r="J298" s="4">
        <f ca="1">OFFSET(控制台!$P$5001,MATCH(A298,控制台!$B$5001:$B$5051,0)-1,0)</f>
        <v>14400</v>
      </c>
    </row>
    <row r="299" spans="1:10">
      <c r="A299" s="1">
        <v>230501</v>
      </c>
      <c r="B299" s="1">
        <v>9</v>
      </c>
      <c r="C299" s="1">
        <v>3</v>
      </c>
      <c r="D299" s="1" t="s">
        <v>2466</v>
      </c>
      <c r="E299" s="1">
        <f ca="1">OFFSET(控制台!$G$5001,MATCH(A299,控制台!$B$5001:$B$5051,0)-1,0)</f>
        <v>10</v>
      </c>
      <c r="F299" s="1">
        <f ca="1">OFFSET(控制台!$E$5001,MATCH(A299,控制台!$B$5001:$B$5051,0)-1,0)</f>
        <v>5</v>
      </c>
      <c r="G299" s="4">
        <f ca="1">OFFSET(控制台!$I$5001,MATCH(A299,控制台!$B$5001:$B$5051,0)-1,0)</f>
        <v>3000</v>
      </c>
      <c r="H299" s="4">
        <f ca="1">OFFSET(控制台!$J$5001,MATCH(A299,控制台!$B$5001:$B$5051,0)-1,0)+(B299-1)*OFFSET(控制台!$K$5001,MATCH(A299,控制台!$B$5001:$B$5051,0)-1,0)</f>
        <v>600000</v>
      </c>
      <c r="I299" s="4">
        <f ca="1">OFFSET(控制台!$M$5001,MATCH(A299,控制台!$B$5001:$B$5051,0)-1,0)+(B299-1)*OFFSET(控制台!$N$5001,MATCH(A299,控制台!$B$5001:$B$5051,0)-1,0)</f>
        <v>7200000</v>
      </c>
      <c r="J299" s="4">
        <f ca="1">OFFSET(控制台!$P$5001,MATCH(A299,控制台!$B$5001:$B$5051,0)-1,0)</f>
        <v>14400</v>
      </c>
    </row>
    <row r="300" spans="1:10">
      <c r="A300" s="1">
        <v>230501</v>
      </c>
      <c r="B300" s="1">
        <v>10</v>
      </c>
      <c r="C300" s="1">
        <v>3</v>
      </c>
      <c r="D300" s="1" t="s">
        <v>2466</v>
      </c>
      <c r="E300" s="1">
        <f ca="1">OFFSET(控制台!$G$5001,MATCH(A300,控制台!$B$5001:$B$5051,0)-1,0)</f>
        <v>10</v>
      </c>
      <c r="F300" s="1">
        <f ca="1">OFFSET(控制台!$E$5001,MATCH(A300,控制台!$B$5001:$B$5051,0)-1,0)</f>
        <v>5</v>
      </c>
      <c r="G300" s="4">
        <f ca="1">OFFSET(控制台!$I$5001,MATCH(A300,控制台!$B$5001:$B$5051,0)-1,0)</f>
        <v>3000</v>
      </c>
      <c r="H300" s="4">
        <f ca="1">OFFSET(控制台!$J$5001,MATCH(A300,控制台!$B$5001:$B$5051,0)-1,0)+(B300-1)*OFFSET(控制台!$K$5001,MATCH(A300,控制台!$B$5001:$B$5051,0)-1,0)</f>
        <v>650000</v>
      </c>
      <c r="I300" s="4">
        <f ca="1">OFFSET(控制台!$M$5001,MATCH(A300,控制台!$B$5001:$B$5051,0)-1,0)+(B300-1)*OFFSET(控制台!$N$5001,MATCH(A300,控制台!$B$5001:$B$5051,0)-1,0)</f>
        <v>8000000</v>
      </c>
      <c r="J300" s="4">
        <f ca="1">OFFSET(控制台!$P$5001,MATCH(A300,控制台!$B$5001:$B$5051,0)-1,0)</f>
        <v>14400</v>
      </c>
    </row>
    <row r="301" spans="1:10">
      <c r="A301" s="1">
        <v>230502</v>
      </c>
      <c r="B301" s="1">
        <v>1</v>
      </c>
      <c r="C301" s="1">
        <v>3</v>
      </c>
      <c r="D301" s="1" t="s">
        <v>2467</v>
      </c>
      <c r="E301" s="1">
        <f ca="1">OFFSET(控制台!$G$5001,MATCH(A301,控制台!$B$5001:$B$5051,0)-1,0)</f>
        <v>10</v>
      </c>
      <c r="F301" s="1">
        <f ca="1">OFFSET(控制台!$E$5001,MATCH(A301,控制台!$B$5001:$B$5051,0)-1,0)</f>
        <v>5</v>
      </c>
      <c r="G301" s="4">
        <f ca="1">OFFSET(控制台!$I$5001,MATCH(A301,控制台!$B$5001:$B$5051,0)-1,0)</f>
        <v>3000</v>
      </c>
      <c r="H301" s="4">
        <f ca="1">OFFSET(控制台!$J$5001,MATCH(A301,控制台!$B$5001:$B$5051,0)-1,0)+(B301-1)*OFFSET(控制台!$K$5001,MATCH(A301,控制台!$B$5001:$B$5051,0)-1,0)</f>
        <v>200000</v>
      </c>
      <c r="I301" s="4">
        <f ca="1">OFFSET(控制台!$M$5001,MATCH(A301,控制台!$B$5001:$B$5051,0)-1,0)+(B301-1)*OFFSET(控制台!$N$5001,MATCH(A301,控制台!$B$5001:$B$5051,0)-1,0)</f>
        <v>800000</v>
      </c>
      <c r="J301" s="4">
        <f ca="1">OFFSET(控制台!$P$5001,MATCH(A301,控制台!$B$5001:$B$5051,0)-1,0)</f>
        <v>14400</v>
      </c>
    </row>
    <row r="302" spans="1:10">
      <c r="A302" s="1">
        <v>230502</v>
      </c>
      <c r="B302" s="1">
        <v>2</v>
      </c>
      <c r="C302" s="1">
        <v>3</v>
      </c>
      <c r="D302" s="1" t="s">
        <v>2467</v>
      </c>
      <c r="E302" s="1">
        <f ca="1">OFFSET(控制台!$G$5001,MATCH(A302,控制台!$B$5001:$B$5051,0)-1,0)</f>
        <v>10</v>
      </c>
      <c r="F302" s="1">
        <f ca="1">OFFSET(控制台!$E$5001,MATCH(A302,控制台!$B$5001:$B$5051,0)-1,0)</f>
        <v>5</v>
      </c>
      <c r="G302" s="4">
        <f ca="1">OFFSET(控制台!$I$5001,MATCH(A302,控制台!$B$5001:$B$5051,0)-1,0)</f>
        <v>3000</v>
      </c>
      <c r="H302" s="4">
        <f ca="1">OFFSET(控制台!$J$5001,MATCH(A302,控制台!$B$5001:$B$5051,0)-1,0)+(B302-1)*OFFSET(控制台!$K$5001,MATCH(A302,控制台!$B$5001:$B$5051,0)-1,0)</f>
        <v>250000</v>
      </c>
      <c r="I302" s="4">
        <f ca="1">OFFSET(控制台!$M$5001,MATCH(A302,控制台!$B$5001:$B$5051,0)-1,0)+(B302-1)*OFFSET(控制台!$N$5001,MATCH(A302,控制台!$B$5001:$B$5051,0)-1,0)</f>
        <v>1600000</v>
      </c>
      <c r="J302" s="4">
        <f ca="1">OFFSET(控制台!$P$5001,MATCH(A302,控制台!$B$5001:$B$5051,0)-1,0)</f>
        <v>14400</v>
      </c>
    </row>
    <row r="303" spans="1:10">
      <c r="A303" s="1">
        <v>230502</v>
      </c>
      <c r="B303" s="1">
        <v>3</v>
      </c>
      <c r="C303" s="1">
        <v>3</v>
      </c>
      <c r="D303" s="1" t="s">
        <v>2467</v>
      </c>
      <c r="E303" s="1">
        <f ca="1">OFFSET(控制台!$G$5001,MATCH(A303,控制台!$B$5001:$B$5051,0)-1,0)</f>
        <v>10</v>
      </c>
      <c r="F303" s="1">
        <f ca="1">OFFSET(控制台!$E$5001,MATCH(A303,控制台!$B$5001:$B$5051,0)-1,0)</f>
        <v>5</v>
      </c>
      <c r="G303" s="4">
        <f ca="1">OFFSET(控制台!$I$5001,MATCH(A303,控制台!$B$5001:$B$5051,0)-1,0)</f>
        <v>3000</v>
      </c>
      <c r="H303" s="4">
        <f ca="1">OFFSET(控制台!$J$5001,MATCH(A303,控制台!$B$5001:$B$5051,0)-1,0)+(B303-1)*OFFSET(控制台!$K$5001,MATCH(A303,控制台!$B$5001:$B$5051,0)-1,0)</f>
        <v>300000</v>
      </c>
      <c r="I303" s="4">
        <f ca="1">OFFSET(控制台!$M$5001,MATCH(A303,控制台!$B$5001:$B$5051,0)-1,0)+(B303-1)*OFFSET(控制台!$N$5001,MATCH(A303,控制台!$B$5001:$B$5051,0)-1,0)</f>
        <v>2400000</v>
      </c>
      <c r="J303" s="4">
        <f ca="1">OFFSET(控制台!$P$5001,MATCH(A303,控制台!$B$5001:$B$5051,0)-1,0)</f>
        <v>14400</v>
      </c>
    </row>
    <row r="304" spans="1:10">
      <c r="A304" s="1">
        <v>230502</v>
      </c>
      <c r="B304" s="1">
        <v>4</v>
      </c>
      <c r="C304" s="1">
        <v>3</v>
      </c>
      <c r="D304" s="1" t="s">
        <v>2467</v>
      </c>
      <c r="E304" s="1">
        <f ca="1">OFFSET(控制台!$G$5001,MATCH(A304,控制台!$B$5001:$B$5051,0)-1,0)</f>
        <v>10</v>
      </c>
      <c r="F304" s="1">
        <f ca="1">OFFSET(控制台!$E$5001,MATCH(A304,控制台!$B$5001:$B$5051,0)-1,0)</f>
        <v>5</v>
      </c>
      <c r="G304" s="4">
        <f ca="1">OFFSET(控制台!$I$5001,MATCH(A304,控制台!$B$5001:$B$5051,0)-1,0)</f>
        <v>3000</v>
      </c>
      <c r="H304" s="4">
        <f ca="1">OFFSET(控制台!$J$5001,MATCH(A304,控制台!$B$5001:$B$5051,0)-1,0)+(B304-1)*OFFSET(控制台!$K$5001,MATCH(A304,控制台!$B$5001:$B$5051,0)-1,0)</f>
        <v>350000</v>
      </c>
      <c r="I304" s="4">
        <f ca="1">OFFSET(控制台!$M$5001,MATCH(A304,控制台!$B$5001:$B$5051,0)-1,0)+(B304-1)*OFFSET(控制台!$N$5001,MATCH(A304,控制台!$B$5001:$B$5051,0)-1,0)</f>
        <v>3200000</v>
      </c>
      <c r="J304" s="4">
        <f ca="1">OFFSET(控制台!$P$5001,MATCH(A304,控制台!$B$5001:$B$5051,0)-1,0)</f>
        <v>14400</v>
      </c>
    </row>
    <row r="305" spans="1:10">
      <c r="A305" s="1">
        <v>230502</v>
      </c>
      <c r="B305" s="1">
        <v>5</v>
      </c>
      <c r="C305" s="1">
        <v>3</v>
      </c>
      <c r="D305" s="1" t="s">
        <v>2467</v>
      </c>
      <c r="E305" s="1">
        <f ca="1">OFFSET(控制台!$G$5001,MATCH(A305,控制台!$B$5001:$B$5051,0)-1,0)</f>
        <v>10</v>
      </c>
      <c r="F305" s="1">
        <f ca="1">OFFSET(控制台!$E$5001,MATCH(A305,控制台!$B$5001:$B$5051,0)-1,0)</f>
        <v>5</v>
      </c>
      <c r="G305" s="4">
        <f ca="1">OFFSET(控制台!$I$5001,MATCH(A305,控制台!$B$5001:$B$5051,0)-1,0)</f>
        <v>3000</v>
      </c>
      <c r="H305" s="4">
        <f ca="1">OFFSET(控制台!$J$5001,MATCH(A305,控制台!$B$5001:$B$5051,0)-1,0)+(B305-1)*OFFSET(控制台!$K$5001,MATCH(A305,控制台!$B$5001:$B$5051,0)-1,0)</f>
        <v>400000</v>
      </c>
      <c r="I305" s="4">
        <f ca="1">OFFSET(控制台!$M$5001,MATCH(A305,控制台!$B$5001:$B$5051,0)-1,0)+(B305-1)*OFFSET(控制台!$N$5001,MATCH(A305,控制台!$B$5001:$B$5051,0)-1,0)</f>
        <v>4000000</v>
      </c>
      <c r="J305" s="4">
        <f ca="1">OFFSET(控制台!$P$5001,MATCH(A305,控制台!$B$5001:$B$5051,0)-1,0)</f>
        <v>14400</v>
      </c>
    </row>
    <row r="306" spans="1:10">
      <c r="A306" s="1">
        <v>230502</v>
      </c>
      <c r="B306" s="1">
        <v>6</v>
      </c>
      <c r="C306" s="1">
        <v>3</v>
      </c>
      <c r="D306" s="1" t="s">
        <v>2467</v>
      </c>
      <c r="E306" s="1">
        <f ca="1">OFFSET(控制台!$G$5001,MATCH(A306,控制台!$B$5001:$B$5051,0)-1,0)</f>
        <v>10</v>
      </c>
      <c r="F306" s="1">
        <f ca="1">OFFSET(控制台!$E$5001,MATCH(A306,控制台!$B$5001:$B$5051,0)-1,0)</f>
        <v>5</v>
      </c>
      <c r="G306" s="4">
        <f ca="1">OFFSET(控制台!$I$5001,MATCH(A306,控制台!$B$5001:$B$5051,0)-1,0)</f>
        <v>3000</v>
      </c>
      <c r="H306" s="4">
        <f ca="1">OFFSET(控制台!$J$5001,MATCH(A306,控制台!$B$5001:$B$5051,0)-1,0)+(B306-1)*OFFSET(控制台!$K$5001,MATCH(A306,控制台!$B$5001:$B$5051,0)-1,0)</f>
        <v>450000</v>
      </c>
      <c r="I306" s="4">
        <f ca="1">OFFSET(控制台!$M$5001,MATCH(A306,控制台!$B$5001:$B$5051,0)-1,0)+(B306-1)*OFFSET(控制台!$N$5001,MATCH(A306,控制台!$B$5001:$B$5051,0)-1,0)</f>
        <v>4800000</v>
      </c>
      <c r="J306" s="4">
        <f ca="1">OFFSET(控制台!$P$5001,MATCH(A306,控制台!$B$5001:$B$5051,0)-1,0)</f>
        <v>14400</v>
      </c>
    </row>
    <row r="307" spans="1:10">
      <c r="A307" s="1">
        <v>230502</v>
      </c>
      <c r="B307" s="1">
        <v>7</v>
      </c>
      <c r="C307" s="1">
        <v>3</v>
      </c>
      <c r="D307" s="1" t="s">
        <v>2467</v>
      </c>
      <c r="E307" s="1">
        <f ca="1">OFFSET(控制台!$G$5001,MATCH(A307,控制台!$B$5001:$B$5051,0)-1,0)</f>
        <v>10</v>
      </c>
      <c r="F307" s="1">
        <f ca="1">OFFSET(控制台!$E$5001,MATCH(A307,控制台!$B$5001:$B$5051,0)-1,0)</f>
        <v>5</v>
      </c>
      <c r="G307" s="4">
        <f ca="1">OFFSET(控制台!$I$5001,MATCH(A307,控制台!$B$5001:$B$5051,0)-1,0)</f>
        <v>3000</v>
      </c>
      <c r="H307" s="4">
        <f ca="1">OFFSET(控制台!$J$5001,MATCH(A307,控制台!$B$5001:$B$5051,0)-1,0)+(B307-1)*OFFSET(控制台!$K$5001,MATCH(A307,控制台!$B$5001:$B$5051,0)-1,0)</f>
        <v>500000</v>
      </c>
      <c r="I307" s="4">
        <f ca="1">OFFSET(控制台!$M$5001,MATCH(A307,控制台!$B$5001:$B$5051,0)-1,0)+(B307-1)*OFFSET(控制台!$N$5001,MATCH(A307,控制台!$B$5001:$B$5051,0)-1,0)</f>
        <v>5600000</v>
      </c>
      <c r="J307" s="4">
        <f ca="1">OFFSET(控制台!$P$5001,MATCH(A307,控制台!$B$5001:$B$5051,0)-1,0)</f>
        <v>14400</v>
      </c>
    </row>
    <row r="308" spans="1:10">
      <c r="A308" s="1">
        <v>230502</v>
      </c>
      <c r="B308" s="1">
        <v>8</v>
      </c>
      <c r="C308" s="1">
        <v>3</v>
      </c>
      <c r="D308" s="1" t="s">
        <v>2467</v>
      </c>
      <c r="E308" s="1">
        <f ca="1">OFFSET(控制台!$G$5001,MATCH(A308,控制台!$B$5001:$B$5051,0)-1,0)</f>
        <v>10</v>
      </c>
      <c r="F308" s="1">
        <f ca="1">OFFSET(控制台!$E$5001,MATCH(A308,控制台!$B$5001:$B$5051,0)-1,0)</f>
        <v>5</v>
      </c>
      <c r="G308" s="4">
        <f ca="1">OFFSET(控制台!$I$5001,MATCH(A308,控制台!$B$5001:$B$5051,0)-1,0)</f>
        <v>3000</v>
      </c>
      <c r="H308" s="4">
        <f ca="1">OFFSET(控制台!$J$5001,MATCH(A308,控制台!$B$5001:$B$5051,0)-1,0)+(B308-1)*OFFSET(控制台!$K$5001,MATCH(A308,控制台!$B$5001:$B$5051,0)-1,0)</f>
        <v>550000</v>
      </c>
      <c r="I308" s="4">
        <f ca="1">OFFSET(控制台!$M$5001,MATCH(A308,控制台!$B$5001:$B$5051,0)-1,0)+(B308-1)*OFFSET(控制台!$N$5001,MATCH(A308,控制台!$B$5001:$B$5051,0)-1,0)</f>
        <v>6400000</v>
      </c>
      <c r="J308" s="4">
        <f ca="1">OFFSET(控制台!$P$5001,MATCH(A308,控制台!$B$5001:$B$5051,0)-1,0)</f>
        <v>14400</v>
      </c>
    </row>
    <row r="309" spans="1:10">
      <c r="A309" s="1">
        <v>230502</v>
      </c>
      <c r="B309" s="1">
        <v>9</v>
      </c>
      <c r="C309" s="1">
        <v>3</v>
      </c>
      <c r="D309" s="1" t="s">
        <v>2467</v>
      </c>
      <c r="E309" s="1">
        <f ca="1">OFFSET(控制台!$G$5001,MATCH(A309,控制台!$B$5001:$B$5051,0)-1,0)</f>
        <v>10</v>
      </c>
      <c r="F309" s="1">
        <f ca="1">OFFSET(控制台!$E$5001,MATCH(A309,控制台!$B$5001:$B$5051,0)-1,0)</f>
        <v>5</v>
      </c>
      <c r="G309" s="4">
        <f ca="1">OFFSET(控制台!$I$5001,MATCH(A309,控制台!$B$5001:$B$5051,0)-1,0)</f>
        <v>3000</v>
      </c>
      <c r="H309" s="4">
        <f ca="1">OFFSET(控制台!$J$5001,MATCH(A309,控制台!$B$5001:$B$5051,0)-1,0)+(B309-1)*OFFSET(控制台!$K$5001,MATCH(A309,控制台!$B$5001:$B$5051,0)-1,0)</f>
        <v>600000</v>
      </c>
      <c r="I309" s="4">
        <f ca="1">OFFSET(控制台!$M$5001,MATCH(A309,控制台!$B$5001:$B$5051,0)-1,0)+(B309-1)*OFFSET(控制台!$N$5001,MATCH(A309,控制台!$B$5001:$B$5051,0)-1,0)</f>
        <v>7200000</v>
      </c>
      <c r="J309" s="4">
        <f ca="1">OFFSET(控制台!$P$5001,MATCH(A309,控制台!$B$5001:$B$5051,0)-1,0)</f>
        <v>14400</v>
      </c>
    </row>
    <row r="310" spans="1:10">
      <c r="A310" s="1">
        <v>230502</v>
      </c>
      <c r="B310" s="1">
        <v>10</v>
      </c>
      <c r="C310" s="1">
        <v>3</v>
      </c>
      <c r="D310" s="1" t="s">
        <v>2467</v>
      </c>
      <c r="E310" s="1">
        <f ca="1">OFFSET(控制台!$G$5001,MATCH(A310,控制台!$B$5001:$B$5051,0)-1,0)</f>
        <v>10</v>
      </c>
      <c r="F310" s="1">
        <f ca="1">OFFSET(控制台!$E$5001,MATCH(A310,控制台!$B$5001:$B$5051,0)-1,0)</f>
        <v>5</v>
      </c>
      <c r="G310" s="4">
        <f ca="1">OFFSET(控制台!$I$5001,MATCH(A310,控制台!$B$5001:$B$5051,0)-1,0)</f>
        <v>3000</v>
      </c>
      <c r="H310" s="4">
        <f ca="1">OFFSET(控制台!$J$5001,MATCH(A310,控制台!$B$5001:$B$5051,0)-1,0)+(B310-1)*OFFSET(控制台!$K$5001,MATCH(A310,控制台!$B$5001:$B$5051,0)-1,0)</f>
        <v>650000</v>
      </c>
      <c r="I310" s="4">
        <f ca="1">OFFSET(控制台!$M$5001,MATCH(A310,控制台!$B$5001:$B$5051,0)-1,0)+(B310-1)*OFFSET(控制台!$N$5001,MATCH(A310,控制台!$B$5001:$B$5051,0)-1,0)</f>
        <v>8000000</v>
      </c>
      <c r="J310" s="4">
        <f ca="1">OFFSET(控制台!$P$5001,MATCH(A310,控制台!$B$5001:$B$5051,0)-1,0)</f>
        <v>14400</v>
      </c>
    </row>
    <row r="311" spans="1:10">
      <c r="A311" s="1">
        <v>230503</v>
      </c>
      <c r="B311" s="1">
        <v>1</v>
      </c>
      <c r="C311" s="1">
        <v>3</v>
      </c>
      <c r="D311" s="1" t="s">
        <v>2468</v>
      </c>
      <c r="E311" s="1">
        <f ca="1">OFFSET(控制台!$G$5001,MATCH(A311,控制台!$B$5001:$B$5051,0)-1,0)</f>
        <v>10</v>
      </c>
      <c r="F311" s="1">
        <f ca="1">OFFSET(控制台!$E$5001,MATCH(A311,控制台!$B$5001:$B$5051,0)-1,0)</f>
        <v>5</v>
      </c>
      <c r="G311" s="4">
        <f ca="1">OFFSET(控制台!$I$5001,MATCH(A311,控制台!$B$5001:$B$5051,0)-1,0)</f>
        <v>3000</v>
      </c>
      <c r="H311" s="4">
        <f ca="1">OFFSET(控制台!$J$5001,MATCH(A311,控制台!$B$5001:$B$5051,0)-1,0)+(B311-1)*OFFSET(控制台!$K$5001,MATCH(A311,控制台!$B$5001:$B$5051,0)-1,0)</f>
        <v>200000</v>
      </c>
      <c r="I311" s="4">
        <f ca="1">OFFSET(控制台!$M$5001,MATCH(A311,控制台!$B$5001:$B$5051,0)-1,0)+(B311-1)*OFFSET(控制台!$N$5001,MATCH(A311,控制台!$B$5001:$B$5051,0)-1,0)</f>
        <v>800000</v>
      </c>
      <c r="J311" s="4">
        <f ca="1">OFFSET(控制台!$P$5001,MATCH(A311,控制台!$B$5001:$B$5051,0)-1,0)</f>
        <v>14400</v>
      </c>
    </row>
    <row r="312" spans="1:10">
      <c r="A312" s="1">
        <v>230503</v>
      </c>
      <c r="B312" s="1">
        <v>2</v>
      </c>
      <c r="C312" s="1">
        <v>3</v>
      </c>
      <c r="D312" s="1" t="s">
        <v>2468</v>
      </c>
      <c r="E312" s="1">
        <f ca="1">OFFSET(控制台!$G$5001,MATCH(A312,控制台!$B$5001:$B$5051,0)-1,0)</f>
        <v>10</v>
      </c>
      <c r="F312" s="1">
        <f ca="1">OFFSET(控制台!$E$5001,MATCH(A312,控制台!$B$5001:$B$5051,0)-1,0)</f>
        <v>5</v>
      </c>
      <c r="G312" s="4">
        <f ca="1">OFFSET(控制台!$I$5001,MATCH(A312,控制台!$B$5001:$B$5051,0)-1,0)</f>
        <v>3000</v>
      </c>
      <c r="H312" s="4">
        <f ca="1">OFFSET(控制台!$J$5001,MATCH(A312,控制台!$B$5001:$B$5051,0)-1,0)+(B312-1)*OFFSET(控制台!$K$5001,MATCH(A312,控制台!$B$5001:$B$5051,0)-1,0)</f>
        <v>250000</v>
      </c>
      <c r="I312" s="4">
        <f ca="1">OFFSET(控制台!$M$5001,MATCH(A312,控制台!$B$5001:$B$5051,0)-1,0)+(B312-1)*OFFSET(控制台!$N$5001,MATCH(A312,控制台!$B$5001:$B$5051,0)-1,0)</f>
        <v>1600000</v>
      </c>
      <c r="J312" s="4">
        <f ca="1">OFFSET(控制台!$P$5001,MATCH(A312,控制台!$B$5001:$B$5051,0)-1,0)</f>
        <v>14400</v>
      </c>
    </row>
    <row r="313" spans="1:10">
      <c r="A313" s="1">
        <v>230503</v>
      </c>
      <c r="B313" s="1">
        <v>3</v>
      </c>
      <c r="C313" s="1">
        <v>3</v>
      </c>
      <c r="D313" s="1" t="s">
        <v>2468</v>
      </c>
      <c r="E313" s="1">
        <f ca="1">OFFSET(控制台!$G$5001,MATCH(A313,控制台!$B$5001:$B$5051,0)-1,0)</f>
        <v>10</v>
      </c>
      <c r="F313" s="1">
        <f ca="1">OFFSET(控制台!$E$5001,MATCH(A313,控制台!$B$5001:$B$5051,0)-1,0)</f>
        <v>5</v>
      </c>
      <c r="G313" s="4">
        <f ca="1">OFFSET(控制台!$I$5001,MATCH(A313,控制台!$B$5001:$B$5051,0)-1,0)</f>
        <v>3000</v>
      </c>
      <c r="H313" s="4">
        <f ca="1">OFFSET(控制台!$J$5001,MATCH(A313,控制台!$B$5001:$B$5051,0)-1,0)+(B313-1)*OFFSET(控制台!$K$5001,MATCH(A313,控制台!$B$5001:$B$5051,0)-1,0)</f>
        <v>300000</v>
      </c>
      <c r="I313" s="4">
        <f ca="1">OFFSET(控制台!$M$5001,MATCH(A313,控制台!$B$5001:$B$5051,0)-1,0)+(B313-1)*OFFSET(控制台!$N$5001,MATCH(A313,控制台!$B$5001:$B$5051,0)-1,0)</f>
        <v>2400000</v>
      </c>
      <c r="J313" s="4">
        <f ca="1">OFFSET(控制台!$P$5001,MATCH(A313,控制台!$B$5001:$B$5051,0)-1,0)</f>
        <v>14400</v>
      </c>
    </row>
    <row r="314" spans="1:10">
      <c r="A314" s="1">
        <v>230503</v>
      </c>
      <c r="B314" s="1">
        <v>4</v>
      </c>
      <c r="C314" s="1">
        <v>3</v>
      </c>
      <c r="D314" s="1" t="s">
        <v>2468</v>
      </c>
      <c r="E314" s="1">
        <f ca="1">OFFSET(控制台!$G$5001,MATCH(A314,控制台!$B$5001:$B$5051,0)-1,0)</f>
        <v>10</v>
      </c>
      <c r="F314" s="1">
        <f ca="1">OFFSET(控制台!$E$5001,MATCH(A314,控制台!$B$5001:$B$5051,0)-1,0)</f>
        <v>5</v>
      </c>
      <c r="G314" s="4">
        <f ca="1">OFFSET(控制台!$I$5001,MATCH(A314,控制台!$B$5001:$B$5051,0)-1,0)</f>
        <v>3000</v>
      </c>
      <c r="H314" s="4">
        <f ca="1">OFFSET(控制台!$J$5001,MATCH(A314,控制台!$B$5001:$B$5051,0)-1,0)+(B314-1)*OFFSET(控制台!$K$5001,MATCH(A314,控制台!$B$5001:$B$5051,0)-1,0)</f>
        <v>350000</v>
      </c>
      <c r="I314" s="4">
        <f ca="1">OFFSET(控制台!$M$5001,MATCH(A314,控制台!$B$5001:$B$5051,0)-1,0)+(B314-1)*OFFSET(控制台!$N$5001,MATCH(A314,控制台!$B$5001:$B$5051,0)-1,0)</f>
        <v>3200000</v>
      </c>
      <c r="J314" s="4">
        <f ca="1">OFFSET(控制台!$P$5001,MATCH(A314,控制台!$B$5001:$B$5051,0)-1,0)</f>
        <v>14400</v>
      </c>
    </row>
    <row r="315" spans="1:10">
      <c r="A315" s="1">
        <v>230503</v>
      </c>
      <c r="B315" s="1">
        <v>5</v>
      </c>
      <c r="C315" s="1">
        <v>3</v>
      </c>
      <c r="D315" s="1" t="s">
        <v>2468</v>
      </c>
      <c r="E315" s="1">
        <f ca="1">OFFSET(控制台!$G$5001,MATCH(A315,控制台!$B$5001:$B$5051,0)-1,0)</f>
        <v>10</v>
      </c>
      <c r="F315" s="1">
        <f ca="1">OFFSET(控制台!$E$5001,MATCH(A315,控制台!$B$5001:$B$5051,0)-1,0)</f>
        <v>5</v>
      </c>
      <c r="G315" s="4">
        <f ca="1">OFFSET(控制台!$I$5001,MATCH(A315,控制台!$B$5001:$B$5051,0)-1,0)</f>
        <v>3000</v>
      </c>
      <c r="H315" s="4">
        <f ca="1">OFFSET(控制台!$J$5001,MATCH(A315,控制台!$B$5001:$B$5051,0)-1,0)+(B315-1)*OFFSET(控制台!$K$5001,MATCH(A315,控制台!$B$5001:$B$5051,0)-1,0)</f>
        <v>400000</v>
      </c>
      <c r="I315" s="4">
        <f ca="1">OFFSET(控制台!$M$5001,MATCH(A315,控制台!$B$5001:$B$5051,0)-1,0)+(B315-1)*OFFSET(控制台!$N$5001,MATCH(A315,控制台!$B$5001:$B$5051,0)-1,0)</f>
        <v>4000000</v>
      </c>
      <c r="J315" s="4">
        <f ca="1">OFFSET(控制台!$P$5001,MATCH(A315,控制台!$B$5001:$B$5051,0)-1,0)</f>
        <v>14400</v>
      </c>
    </row>
    <row r="316" spans="1:10">
      <c r="A316" s="1">
        <v>230503</v>
      </c>
      <c r="B316" s="1">
        <v>6</v>
      </c>
      <c r="C316" s="1">
        <v>3</v>
      </c>
      <c r="D316" s="1" t="s">
        <v>2468</v>
      </c>
      <c r="E316" s="1">
        <f ca="1">OFFSET(控制台!$G$5001,MATCH(A316,控制台!$B$5001:$B$5051,0)-1,0)</f>
        <v>10</v>
      </c>
      <c r="F316" s="1">
        <f ca="1">OFFSET(控制台!$E$5001,MATCH(A316,控制台!$B$5001:$B$5051,0)-1,0)</f>
        <v>5</v>
      </c>
      <c r="G316" s="4">
        <f ca="1">OFFSET(控制台!$I$5001,MATCH(A316,控制台!$B$5001:$B$5051,0)-1,0)</f>
        <v>3000</v>
      </c>
      <c r="H316" s="4">
        <f ca="1">OFFSET(控制台!$J$5001,MATCH(A316,控制台!$B$5001:$B$5051,0)-1,0)+(B316-1)*OFFSET(控制台!$K$5001,MATCH(A316,控制台!$B$5001:$B$5051,0)-1,0)</f>
        <v>450000</v>
      </c>
      <c r="I316" s="4">
        <f ca="1">OFFSET(控制台!$M$5001,MATCH(A316,控制台!$B$5001:$B$5051,0)-1,0)+(B316-1)*OFFSET(控制台!$N$5001,MATCH(A316,控制台!$B$5001:$B$5051,0)-1,0)</f>
        <v>4800000</v>
      </c>
      <c r="J316" s="4">
        <f ca="1">OFFSET(控制台!$P$5001,MATCH(A316,控制台!$B$5001:$B$5051,0)-1,0)</f>
        <v>14400</v>
      </c>
    </row>
    <row r="317" spans="1:10">
      <c r="A317" s="1">
        <v>230503</v>
      </c>
      <c r="B317" s="1">
        <v>7</v>
      </c>
      <c r="C317" s="1">
        <v>3</v>
      </c>
      <c r="D317" s="1" t="s">
        <v>2468</v>
      </c>
      <c r="E317" s="1">
        <f ca="1">OFFSET(控制台!$G$5001,MATCH(A317,控制台!$B$5001:$B$5051,0)-1,0)</f>
        <v>10</v>
      </c>
      <c r="F317" s="1">
        <f ca="1">OFFSET(控制台!$E$5001,MATCH(A317,控制台!$B$5001:$B$5051,0)-1,0)</f>
        <v>5</v>
      </c>
      <c r="G317" s="4">
        <f ca="1">OFFSET(控制台!$I$5001,MATCH(A317,控制台!$B$5001:$B$5051,0)-1,0)</f>
        <v>3000</v>
      </c>
      <c r="H317" s="4">
        <f ca="1">OFFSET(控制台!$J$5001,MATCH(A317,控制台!$B$5001:$B$5051,0)-1,0)+(B317-1)*OFFSET(控制台!$K$5001,MATCH(A317,控制台!$B$5001:$B$5051,0)-1,0)</f>
        <v>500000</v>
      </c>
      <c r="I317" s="4">
        <f ca="1">OFFSET(控制台!$M$5001,MATCH(A317,控制台!$B$5001:$B$5051,0)-1,0)+(B317-1)*OFFSET(控制台!$N$5001,MATCH(A317,控制台!$B$5001:$B$5051,0)-1,0)</f>
        <v>5600000</v>
      </c>
      <c r="J317" s="4">
        <f ca="1">OFFSET(控制台!$P$5001,MATCH(A317,控制台!$B$5001:$B$5051,0)-1,0)</f>
        <v>14400</v>
      </c>
    </row>
    <row r="318" spans="1:10">
      <c r="A318" s="1">
        <v>230503</v>
      </c>
      <c r="B318" s="1">
        <v>8</v>
      </c>
      <c r="C318" s="1">
        <v>3</v>
      </c>
      <c r="D318" s="1" t="s">
        <v>2468</v>
      </c>
      <c r="E318" s="1">
        <f ca="1">OFFSET(控制台!$G$5001,MATCH(A318,控制台!$B$5001:$B$5051,0)-1,0)</f>
        <v>10</v>
      </c>
      <c r="F318" s="1">
        <f ca="1">OFFSET(控制台!$E$5001,MATCH(A318,控制台!$B$5001:$B$5051,0)-1,0)</f>
        <v>5</v>
      </c>
      <c r="G318" s="4">
        <f ca="1">OFFSET(控制台!$I$5001,MATCH(A318,控制台!$B$5001:$B$5051,0)-1,0)</f>
        <v>3000</v>
      </c>
      <c r="H318" s="4">
        <f ca="1">OFFSET(控制台!$J$5001,MATCH(A318,控制台!$B$5001:$B$5051,0)-1,0)+(B318-1)*OFFSET(控制台!$K$5001,MATCH(A318,控制台!$B$5001:$B$5051,0)-1,0)</f>
        <v>550000</v>
      </c>
      <c r="I318" s="4">
        <f ca="1">OFFSET(控制台!$M$5001,MATCH(A318,控制台!$B$5001:$B$5051,0)-1,0)+(B318-1)*OFFSET(控制台!$N$5001,MATCH(A318,控制台!$B$5001:$B$5051,0)-1,0)</f>
        <v>6400000</v>
      </c>
      <c r="J318" s="4">
        <f ca="1">OFFSET(控制台!$P$5001,MATCH(A318,控制台!$B$5001:$B$5051,0)-1,0)</f>
        <v>14400</v>
      </c>
    </row>
    <row r="319" spans="1:10">
      <c r="A319" s="1">
        <v>230503</v>
      </c>
      <c r="B319" s="1">
        <v>9</v>
      </c>
      <c r="C319" s="1">
        <v>3</v>
      </c>
      <c r="D319" s="1" t="s">
        <v>2468</v>
      </c>
      <c r="E319" s="1">
        <f ca="1">OFFSET(控制台!$G$5001,MATCH(A319,控制台!$B$5001:$B$5051,0)-1,0)</f>
        <v>10</v>
      </c>
      <c r="F319" s="1">
        <f ca="1">OFFSET(控制台!$E$5001,MATCH(A319,控制台!$B$5001:$B$5051,0)-1,0)</f>
        <v>5</v>
      </c>
      <c r="G319" s="4">
        <f ca="1">OFFSET(控制台!$I$5001,MATCH(A319,控制台!$B$5001:$B$5051,0)-1,0)</f>
        <v>3000</v>
      </c>
      <c r="H319" s="4">
        <f ca="1">OFFSET(控制台!$J$5001,MATCH(A319,控制台!$B$5001:$B$5051,0)-1,0)+(B319-1)*OFFSET(控制台!$K$5001,MATCH(A319,控制台!$B$5001:$B$5051,0)-1,0)</f>
        <v>600000</v>
      </c>
      <c r="I319" s="4">
        <f ca="1">OFFSET(控制台!$M$5001,MATCH(A319,控制台!$B$5001:$B$5051,0)-1,0)+(B319-1)*OFFSET(控制台!$N$5001,MATCH(A319,控制台!$B$5001:$B$5051,0)-1,0)</f>
        <v>7200000</v>
      </c>
      <c r="J319" s="4">
        <f ca="1">OFFSET(控制台!$P$5001,MATCH(A319,控制台!$B$5001:$B$5051,0)-1,0)</f>
        <v>14400</v>
      </c>
    </row>
    <row r="320" spans="1:10">
      <c r="A320" s="1">
        <v>230503</v>
      </c>
      <c r="B320" s="1">
        <v>10</v>
      </c>
      <c r="C320" s="1">
        <v>3</v>
      </c>
      <c r="D320" s="1" t="s">
        <v>2468</v>
      </c>
      <c r="E320" s="1">
        <f ca="1">OFFSET(控制台!$G$5001,MATCH(A320,控制台!$B$5001:$B$5051,0)-1,0)</f>
        <v>10</v>
      </c>
      <c r="F320" s="1">
        <f ca="1">OFFSET(控制台!$E$5001,MATCH(A320,控制台!$B$5001:$B$5051,0)-1,0)</f>
        <v>5</v>
      </c>
      <c r="G320" s="4">
        <f ca="1">OFFSET(控制台!$I$5001,MATCH(A320,控制台!$B$5001:$B$5051,0)-1,0)</f>
        <v>3000</v>
      </c>
      <c r="H320" s="4">
        <f ca="1">OFFSET(控制台!$J$5001,MATCH(A320,控制台!$B$5001:$B$5051,0)-1,0)+(B320-1)*OFFSET(控制台!$K$5001,MATCH(A320,控制台!$B$5001:$B$5051,0)-1,0)</f>
        <v>650000</v>
      </c>
      <c r="I320" s="4">
        <f ca="1">OFFSET(控制台!$M$5001,MATCH(A320,控制台!$B$5001:$B$5051,0)-1,0)+(B320-1)*OFFSET(控制台!$N$5001,MATCH(A320,控制台!$B$5001:$B$5051,0)-1,0)</f>
        <v>8000000</v>
      </c>
      <c r="J320" s="4">
        <f ca="1">OFFSET(控制台!$P$5001,MATCH(A320,控制台!$B$5001:$B$5051,0)-1,0)</f>
        <v>14400</v>
      </c>
    </row>
    <row r="321" spans="1:10">
      <c r="A321" s="1">
        <v>230601</v>
      </c>
      <c r="B321" s="1">
        <v>1</v>
      </c>
      <c r="C321" s="1">
        <v>3</v>
      </c>
      <c r="D321" s="1" t="s">
        <v>2469</v>
      </c>
      <c r="E321" s="1">
        <f ca="1">OFFSET(控制台!$G$5001,MATCH(A321,控制台!$B$5001:$B$5051,0)-1,0)</f>
        <v>10</v>
      </c>
      <c r="F321" s="1">
        <f ca="1">OFFSET(控制台!$E$5001,MATCH(A321,控制台!$B$5001:$B$5051,0)-1,0)</f>
        <v>6</v>
      </c>
      <c r="G321" s="4">
        <f ca="1">OFFSET(控制台!$I$5001,MATCH(A321,控制台!$B$5001:$B$5051,0)-1,0)</f>
        <v>4000</v>
      </c>
      <c r="H321" s="4">
        <f ca="1">OFFSET(控制台!$J$5001,MATCH(A321,控制台!$B$5001:$B$5051,0)-1,0)+(B321-1)*OFFSET(控制台!$K$5001,MATCH(A321,控制台!$B$5001:$B$5051,0)-1,0)</f>
        <v>250000</v>
      </c>
      <c r="I321" s="4">
        <f ca="1">OFFSET(控制台!$M$5001,MATCH(A321,控制台!$B$5001:$B$5051,0)-1,0)+(B321-1)*OFFSET(控制台!$N$5001,MATCH(A321,控制台!$B$5001:$B$5051,0)-1,0)</f>
        <v>1200000</v>
      </c>
      <c r="J321" s="4">
        <f ca="1">OFFSET(控制台!$P$5001,MATCH(A321,控制台!$B$5001:$B$5051,0)-1,0)</f>
        <v>14400</v>
      </c>
    </row>
    <row r="322" spans="1:10">
      <c r="A322" s="1">
        <v>230601</v>
      </c>
      <c r="B322" s="1">
        <v>2</v>
      </c>
      <c r="C322" s="1">
        <v>3</v>
      </c>
      <c r="D322" s="1" t="s">
        <v>2469</v>
      </c>
      <c r="E322" s="1">
        <f ca="1">OFFSET(控制台!$G$5001,MATCH(A322,控制台!$B$5001:$B$5051,0)-1,0)</f>
        <v>10</v>
      </c>
      <c r="F322" s="1">
        <f ca="1">OFFSET(控制台!$E$5001,MATCH(A322,控制台!$B$5001:$B$5051,0)-1,0)</f>
        <v>6</v>
      </c>
      <c r="G322" s="4">
        <f ca="1">OFFSET(控制台!$I$5001,MATCH(A322,控制台!$B$5001:$B$5051,0)-1,0)</f>
        <v>4000</v>
      </c>
      <c r="H322" s="4">
        <f ca="1">OFFSET(控制台!$J$5001,MATCH(A322,控制台!$B$5001:$B$5051,0)-1,0)+(B322-1)*OFFSET(控制台!$K$5001,MATCH(A322,控制台!$B$5001:$B$5051,0)-1,0)</f>
        <v>300000</v>
      </c>
      <c r="I322" s="4">
        <f ca="1">OFFSET(控制台!$M$5001,MATCH(A322,控制台!$B$5001:$B$5051,0)-1,0)+(B322-1)*OFFSET(控制台!$N$5001,MATCH(A322,控制台!$B$5001:$B$5051,0)-1,0)</f>
        <v>2400000</v>
      </c>
      <c r="J322" s="4">
        <f ca="1">OFFSET(控制台!$P$5001,MATCH(A322,控制台!$B$5001:$B$5051,0)-1,0)</f>
        <v>14400</v>
      </c>
    </row>
    <row r="323" spans="1:10">
      <c r="A323" s="1">
        <v>230601</v>
      </c>
      <c r="B323" s="1">
        <v>3</v>
      </c>
      <c r="C323" s="1">
        <v>3</v>
      </c>
      <c r="D323" s="1" t="s">
        <v>2469</v>
      </c>
      <c r="E323" s="1">
        <f ca="1">OFFSET(控制台!$G$5001,MATCH(A323,控制台!$B$5001:$B$5051,0)-1,0)</f>
        <v>10</v>
      </c>
      <c r="F323" s="1">
        <f ca="1">OFFSET(控制台!$E$5001,MATCH(A323,控制台!$B$5001:$B$5051,0)-1,0)</f>
        <v>6</v>
      </c>
      <c r="G323" s="4">
        <f ca="1">OFFSET(控制台!$I$5001,MATCH(A323,控制台!$B$5001:$B$5051,0)-1,0)</f>
        <v>4000</v>
      </c>
      <c r="H323" s="4">
        <f ca="1">OFFSET(控制台!$J$5001,MATCH(A323,控制台!$B$5001:$B$5051,0)-1,0)+(B323-1)*OFFSET(控制台!$K$5001,MATCH(A323,控制台!$B$5001:$B$5051,0)-1,0)</f>
        <v>350000</v>
      </c>
      <c r="I323" s="4">
        <f ca="1">OFFSET(控制台!$M$5001,MATCH(A323,控制台!$B$5001:$B$5051,0)-1,0)+(B323-1)*OFFSET(控制台!$N$5001,MATCH(A323,控制台!$B$5001:$B$5051,0)-1,0)</f>
        <v>3600000</v>
      </c>
      <c r="J323" s="4">
        <f ca="1">OFFSET(控制台!$P$5001,MATCH(A323,控制台!$B$5001:$B$5051,0)-1,0)</f>
        <v>14400</v>
      </c>
    </row>
    <row r="324" spans="1:10">
      <c r="A324" s="1">
        <v>230601</v>
      </c>
      <c r="B324" s="1">
        <v>4</v>
      </c>
      <c r="C324" s="1">
        <v>3</v>
      </c>
      <c r="D324" s="1" t="s">
        <v>2469</v>
      </c>
      <c r="E324" s="1">
        <f ca="1">OFFSET(控制台!$G$5001,MATCH(A324,控制台!$B$5001:$B$5051,0)-1,0)</f>
        <v>10</v>
      </c>
      <c r="F324" s="1">
        <f ca="1">OFFSET(控制台!$E$5001,MATCH(A324,控制台!$B$5001:$B$5051,0)-1,0)</f>
        <v>6</v>
      </c>
      <c r="G324" s="4">
        <f ca="1">OFFSET(控制台!$I$5001,MATCH(A324,控制台!$B$5001:$B$5051,0)-1,0)</f>
        <v>4000</v>
      </c>
      <c r="H324" s="4">
        <f ca="1">OFFSET(控制台!$J$5001,MATCH(A324,控制台!$B$5001:$B$5051,0)-1,0)+(B324-1)*OFFSET(控制台!$K$5001,MATCH(A324,控制台!$B$5001:$B$5051,0)-1,0)</f>
        <v>400000</v>
      </c>
      <c r="I324" s="4">
        <f ca="1">OFFSET(控制台!$M$5001,MATCH(A324,控制台!$B$5001:$B$5051,0)-1,0)+(B324-1)*OFFSET(控制台!$N$5001,MATCH(A324,控制台!$B$5001:$B$5051,0)-1,0)</f>
        <v>4800000</v>
      </c>
      <c r="J324" s="4">
        <f ca="1">OFFSET(控制台!$P$5001,MATCH(A324,控制台!$B$5001:$B$5051,0)-1,0)</f>
        <v>14400</v>
      </c>
    </row>
    <row r="325" spans="1:10">
      <c r="A325" s="1">
        <v>230601</v>
      </c>
      <c r="B325" s="1">
        <v>5</v>
      </c>
      <c r="C325" s="1">
        <v>3</v>
      </c>
      <c r="D325" s="1" t="s">
        <v>2469</v>
      </c>
      <c r="E325" s="1">
        <f ca="1">OFFSET(控制台!$G$5001,MATCH(A325,控制台!$B$5001:$B$5051,0)-1,0)</f>
        <v>10</v>
      </c>
      <c r="F325" s="1">
        <f ca="1">OFFSET(控制台!$E$5001,MATCH(A325,控制台!$B$5001:$B$5051,0)-1,0)</f>
        <v>6</v>
      </c>
      <c r="G325" s="4">
        <f ca="1">OFFSET(控制台!$I$5001,MATCH(A325,控制台!$B$5001:$B$5051,0)-1,0)</f>
        <v>4000</v>
      </c>
      <c r="H325" s="4">
        <f ca="1">OFFSET(控制台!$J$5001,MATCH(A325,控制台!$B$5001:$B$5051,0)-1,0)+(B325-1)*OFFSET(控制台!$K$5001,MATCH(A325,控制台!$B$5001:$B$5051,0)-1,0)</f>
        <v>450000</v>
      </c>
      <c r="I325" s="4">
        <f ca="1">OFFSET(控制台!$M$5001,MATCH(A325,控制台!$B$5001:$B$5051,0)-1,0)+(B325-1)*OFFSET(控制台!$N$5001,MATCH(A325,控制台!$B$5001:$B$5051,0)-1,0)</f>
        <v>6000000</v>
      </c>
      <c r="J325" s="4">
        <f ca="1">OFFSET(控制台!$P$5001,MATCH(A325,控制台!$B$5001:$B$5051,0)-1,0)</f>
        <v>14400</v>
      </c>
    </row>
    <row r="326" spans="1:10">
      <c r="A326" s="1">
        <v>230601</v>
      </c>
      <c r="B326" s="1">
        <v>6</v>
      </c>
      <c r="C326" s="1">
        <v>3</v>
      </c>
      <c r="D326" s="1" t="s">
        <v>2469</v>
      </c>
      <c r="E326" s="1">
        <f ca="1">OFFSET(控制台!$G$5001,MATCH(A326,控制台!$B$5001:$B$5051,0)-1,0)</f>
        <v>10</v>
      </c>
      <c r="F326" s="1">
        <f ca="1">OFFSET(控制台!$E$5001,MATCH(A326,控制台!$B$5001:$B$5051,0)-1,0)</f>
        <v>6</v>
      </c>
      <c r="G326" s="4">
        <f ca="1">OFFSET(控制台!$I$5001,MATCH(A326,控制台!$B$5001:$B$5051,0)-1,0)</f>
        <v>4000</v>
      </c>
      <c r="H326" s="4">
        <f ca="1">OFFSET(控制台!$J$5001,MATCH(A326,控制台!$B$5001:$B$5051,0)-1,0)+(B326-1)*OFFSET(控制台!$K$5001,MATCH(A326,控制台!$B$5001:$B$5051,0)-1,0)</f>
        <v>500000</v>
      </c>
      <c r="I326" s="4">
        <f ca="1">OFFSET(控制台!$M$5001,MATCH(A326,控制台!$B$5001:$B$5051,0)-1,0)+(B326-1)*OFFSET(控制台!$N$5001,MATCH(A326,控制台!$B$5001:$B$5051,0)-1,0)</f>
        <v>7200000</v>
      </c>
      <c r="J326" s="4">
        <f ca="1">OFFSET(控制台!$P$5001,MATCH(A326,控制台!$B$5001:$B$5051,0)-1,0)</f>
        <v>14400</v>
      </c>
    </row>
    <row r="327" spans="1:10">
      <c r="A327" s="1">
        <v>230601</v>
      </c>
      <c r="B327" s="1">
        <v>7</v>
      </c>
      <c r="C327" s="1">
        <v>3</v>
      </c>
      <c r="D327" s="1" t="s">
        <v>2469</v>
      </c>
      <c r="E327" s="1">
        <f ca="1">OFFSET(控制台!$G$5001,MATCH(A327,控制台!$B$5001:$B$5051,0)-1,0)</f>
        <v>10</v>
      </c>
      <c r="F327" s="1">
        <f ca="1">OFFSET(控制台!$E$5001,MATCH(A327,控制台!$B$5001:$B$5051,0)-1,0)</f>
        <v>6</v>
      </c>
      <c r="G327" s="4">
        <f ca="1">OFFSET(控制台!$I$5001,MATCH(A327,控制台!$B$5001:$B$5051,0)-1,0)</f>
        <v>4000</v>
      </c>
      <c r="H327" s="4">
        <f ca="1">OFFSET(控制台!$J$5001,MATCH(A327,控制台!$B$5001:$B$5051,0)-1,0)+(B327-1)*OFFSET(控制台!$K$5001,MATCH(A327,控制台!$B$5001:$B$5051,0)-1,0)</f>
        <v>550000</v>
      </c>
      <c r="I327" s="4">
        <f ca="1">OFFSET(控制台!$M$5001,MATCH(A327,控制台!$B$5001:$B$5051,0)-1,0)+(B327-1)*OFFSET(控制台!$N$5001,MATCH(A327,控制台!$B$5001:$B$5051,0)-1,0)</f>
        <v>8400000</v>
      </c>
      <c r="J327" s="4">
        <f ca="1">OFFSET(控制台!$P$5001,MATCH(A327,控制台!$B$5001:$B$5051,0)-1,0)</f>
        <v>14400</v>
      </c>
    </row>
    <row r="328" spans="1:10">
      <c r="A328" s="1">
        <v>230601</v>
      </c>
      <c r="B328" s="1">
        <v>8</v>
      </c>
      <c r="C328" s="1">
        <v>3</v>
      </c>
      <c r="D328" s="1" t="s">
        <v>2469</v>
      </c>
      <c r="E328" s="1">
        <f ca="1">OFFSET(控制台!$G$5001,MATCH(A328,控制台!$B$5001:$B$5051,0)-1,0)</f>
        <v>10</v>
      </c>
      <c r="F328" s="1">
        <f ca="1">OFFSET(控制台!$E$5001,MATCH(A328,控制台!$B$5001:$B$5051,0)-1,0)</f>
        <v>6</v>
      </c>
      <c r="G328" s="4">
        <f ca="1">OFFSET(控制台!$I$5001,MATCH(A328,控制台!$B$5001:$B$5051,0)-1,0)</f>
        <v>4000</v>
      </c>
      <c r="H328" s="4">
        <f ca="1">OFFSET(控制台!$J$5001,MATCH(A328,控制台!$B$5001:$B$5051,0)-1,0)+(B328-1)*OFFSET(控制台!$K$5001,MATCH(A328,控制台!$B$5001:$B$5051,0)-1,0)</f>
        <v>600000</v>
      </c>
      <c r="I328" s="4">
        <f ca="1">OFFSET(控制台!$M$5001,MATCH(A328,控制台!$B$5001:$B$5051,0)-1,0)+(B328-1)*OFFSET(控制台!$N$5001,MATCH(A328,控制台!$B$5001:$B$5051,0)-1,0)</f>
        <v>9600000</v>
      </c>
      <c r="J328" s="4">
        <f ca="1">OFFSET(控制台!$P$5001,MATCH(A328,控制台!$B$5001:$B$5051,0)-1,0)</f>
        <v>14400</v>
      </c>
    </row>
    <row r="329" spans="1:10">
      <c r="A329" s="1">
        <v>230601</v>
      </c>
      <c r="B329" s="1">
        <v>9</v>
      </c>
      <c r="C329" s="1">
        <v>3</v>
      </c>
      <c r="D329" s="1" t="s">
        <v>2469</v>
      </c>
      <c r="E329" s="1">
        <f ca="1">OFFSET(控制台!$G$5001,MATCH(A329,控制台!$B$5001:$B$5051,0)-1,0)</f>
        <v>10</v>
      </c>
      <c r="F329" s="1">
        <f ca="1">OFFSET(控制台!$E$5001,MATCH(A329,控制台!$B$5001:$B$5051,0)-1,0)</f>
        <v>6</v>
      </c>
      <c r="G329" s="4">
        <f ca="1">OFFSET(控制台!$I$5001,MATCH(A329,控制台!$B$5001:$B$5051,0)-1,0)</f>
        <v>4000</v>
      </c>
      <c r="H329" s="4">
        <f ca="1">OFFSET(控制台!$J$5001,MATCH(A329,控制台!$B$5001:$B$5051,0)-1,0)+(B329-1)*OFFSET(控制台!$K$5001,MATCH(A329,控制台!$B$5001:$B$5051,0)-1,0)</f>
        <v>650000</v>
      </c>
      <c r="I329" s="4">
        <f ca="1">OFFSET(控制台!$M$5001,MATCH(A329,控制台!$B$5001:$B$5051,0)-1,0)+(B329-1)*OFFSET(控制台!$N$5001,MATCH(A329,控制台!$B$5001:$B$5051,0)-1,0)</f>
        <v>10800000</v>
      </c>
      <c r="J329" s="4">
        <f ca="1">OFFSET(控制台!$P$5001,MATCH(A329,控制台!$B$5001:$B$5051,0)-1,0)</f>
        <v>14400</v>
      </c>
    </row>
    <row r="330" spans="1:10">
      <c r="A330" s="1">
        <v>230601</v>
      </c>
      <c r="B330" s="1">
        <v>10</v>
      </c>
      <c r="C330" s="1">
        <v>3</v>
      </c>
      <c r="D330" s="1" t="s">
        <v>2469</v>
      </c>
      <c r="E330" s="1">
        <f ca="1">OFFSET(控制台!$G$5001,MATCH(A330,控制台!$B$5001:$B$5051,0)-1,0)</f>
        <v>10</v>
      </c>
      <c r="F330" s="1">
        <f ca="1">OFFSET(控制台!$E$5001,MATCH(A330,控制台!$B$5001:$B$5051,0)-1,0)</f>
        <v>6</v>
      </c>
      <c r="G330" s="4">
        <f ca="1">OFFSET(控制台!$I$5001,MATCH(A330,控制台!$B$5001:$B$5051,0)-1,0)</f>
        <v>4000</v>
      </c>
      <c r="H330" s="4">
        <f ca="1">OFFSET(控制台!$J$5001,MATCH(A330,控制台!$B$5001:$B$5051,0)-1,0)+(B330-1)*OFFSET(控制台!$K$5001,MATCH(A330,控制台!$B$5001:$B$5051,0)-1,0)</f>
        <v>700000</v>
      </c>
      <c r="I330" s="4">
        <f ca="1">OFFSET(控制台!$M$5001,MATCH(A330,控制台!$B$5001:$B$5051,0)-1,0)+(B330-1)*OFFSET(控制台!$N$5001,MATCH(A330,控制台!$B$5001:$B$5051,0)-1,0)</f>
        <v>12000000</v>
      </c>
      <c r="J330" s="4">
        <f ca="1">OFFSET(控制台!$P$5001,MATCH(A330,控制台!$B$5001:$B$5051,0)-1,0)</f>
        <v>14400</v>
      </c>
    </row>
    <row r="331" spans="1:10">
      <c r="A331" s="1">
        <v>230701</v>
      </c>
      <c r="B331" s="1">
        <v>1</v>
      </c>
      <c r="C331" s="1">
        <v>3</v>
      </c>
      <c r="D331" s="1" t="s">
        <v>2470</v>
      </c>
      <c r="E331" s="1">
        <f ca="1">OFFSET(控制台!$G$5001,MATCH(A331,控制台!$B$5001:$B$5051,0)-1,0)</f>
        <v>10</v>
      </c>
      <c r="F331" s="1">
        <f ca="1">OFFSET(控制台!$E$5001,MATCH(A331,控制台!$B$5001:$B$5051,0)-1,0)</f>
        <v>7</v>
      </c>
      <c r="G331" s="4">
        <f ca="1">OFFSET(控制台!$I$5001,MATCH(A331,控制台!$B$5001:$B$5051,0)-1,0)</f>
        <v>5000</v>
      </c>
      <c r="H331" s="4">
        <f ca="1">OFFSET(控制台!$J$5001,MATCH(A331,控制台!$B$5001:$B$5051,0)-1,0)+(B331-1)*OFFSET(控制台!$K$5001,MATCH(A331,控制台!$B$5001:$B$5051,0)-1,0)</f>
        <v>300000</v>
      </c>
      <c r="I331" s="4">
        <f ca="1">OFFSET(控制台!$M$5001,MATCH(A331,控制台!$B$5001:$B$5051,0)-1,0)+(B331-1)*OFFSET(控制台!$N$5001,MATCH(A331,控制台!$B$5001:$B$5051,0)-1,0)</f>
        <v>2000000</v>
      </c>
      <c r="J331" s="4">
        <f ca="1">OFFSET(控制台!$P$5001,MATCH(A331,控制台!$B$5001:$B$5051,0)-1,0)</f>
        <v>14400</v>
      </c>
    </row>
    <row r="332" spans="1:10">
      <c r="A332" s="1">
        <v>230701</v>
      </c>
      <c r="B332" s="1">
        <v>2</v>
      </c>
      <c r="C332" s="1">
        <v>3</v>
      </c>
      <c r="D332" s="1" t="s">
        <v>2470</v>
      </c>
      <c r="E332" s="1">
        <f ca="1">OFFSET(控制台!$G$5001,MATCH(A332,控制台!$B$5001:$B$5051,0)-1,0)</f>
        <v>10</v>
      </c>
      <c r="F332" s="1">
        <f ca="1">OFFSET(控制台!$E$5001,MATCH(A332,控制台!$B$5001:$B$5051,0)-1,0)</f>
        <v>7</v>
      </c>
      <c r="G332" s="4">
        <f ca="1">OFFSET(控制台!$I$5001,MATCH(A332,控制台!$B$5001:$B$5051,0)-1,0)</f>
        <v>5000</v>
      </c>
      <c r="H332" s="4">
        <f ca="1">OFFSET(控制台!$J$5001,MATCH(A332,控制台!$B$5001:$B$5051,0)-1,0)+(B332-1)*OFFSET(控制台!$K$5001,MATCH(A332,控制台!$B$5001:$B$5051,0)-1,0)</f>
        <v>350000</v>
      </c>
      <c r="I332" s="4">
        <f ca="1">OFFSET(控制台!$M$5001,MATCH(A332,控制台!$B$5001:$B$5051,0)-1,0)+(B332-1)*OFFSET(控制台!$N$5001,MATCH(A332,控制台!$B$5001:$B$5051,0)-1,0)</f>
        <v>4000000</v>
      </c>
      <c r="J332" s="4">
        <f ca="1">OFFSET(控制台!$P$5001,MATCH(A332,控制台!$B$5001:$B$5051,0)-1,0)</f>
        <v>14400</v>
      </c>
    </row>
    <row r="333" spans="1:10">
      <c r="A333" s="1">
        <v>230701</v>
      </c>
      <c r="B333" s="1">
        <v>3</v>
      </c>
      <c r="C333" s="1">
        <v>3</v>
      </c>
      <c r="D333" s="1" t="s">
        <v>2470</v>
      </c>
      <c r="E333" s="1">
        <f ca="1">OFFSET(控制台!$G$5001,MATCH(A333,控制台!$B$5001:$B$5051,0)-1,0)</f>
        <v>10</v>
      </c>
      <c r="F333" s="1">
        <f ca="1">OFFSET(控制台!$E$5001,MATCH(A333,控制台!$B$5001:$B$5051,0)-1,0)</f>
        <v>7</v>
      </c>
      <c r="G333" s="4">
        <f ca="1">OFFSET(控制台!$I$5001,MATCH(A333,控制台!$B$5001:$B$5051,0)-1,0)</f>
        <v>5000</v>
      </c>
      <c r="H333" s="4">
        <f ca="1">OFFSET(控制台!$J$5001,MATCH(A333,控制台!$B$5001:$B$5051,0)-1,0)+(B333-1)*OFFSET(控制台!$K$5001,MATCH(A333,控制台!$B$5001:$B$5051,0)-1,0)</f>
        <v>400000</v>
      </c>
      <c r="I333" s="4">
        <f ca="1">OFFSET(控制台!$M$5001,MATCH(A333,控制台!$B$5001:$B$5051,0)-1,0)+(B333-1)*OFFSET(控制台!$N$5001,MATCH(A333,控制台!$B$5001:$B$5051,0)-1,0)</f>
        <v>6000000</v>
      </c>
      <c r="J333" s="4">
        <f ca="1">OFFSET(控制台!$P$5001,MATCH(A333,控制台!$B$5001:$B$5051,0)-1,0)</f>
        <v>14400</v>
      </c>
    </row>
    <row r="334" spans="1:10">
      <c r="A334" s="1">
        <v>230701</v>
      </c>
      <c r="B334" s="1">
        <v>4</v>
      </c>
      <c r="C334" s="1">
        <v>3</v>
      </c>
      <c r="D334" s="1" t="s">
        <v>2470</v>
      </c>
      <c r="E334" s="1">
        <f ca="1">OFFSET(控制台!$G$5001,MATCH(A334,控制台!$B$5001:$B$5051,0)-1,0)</f>
        <v>10</v>
      </c>
      <c r="F334" s="1">
        <f ca="1">OFFSET(控制台!$E$5001,MATCH(A334,控制台!$B$5001:$B$5051,0)-1,0)</f>
        <v>7</v>
      </c>
      <c r="G334" s="4">
        <f ca="1">OFFSET(控制台!$I$5001,MATCH(A334,控制台!$B$5001:$B$5051,0)-1,0)</f>
        <v>5000</v>
      </c>
      <c r="H334" s="4">
        <f ca="1">OFFSET(控制台!$J$5001,MATCH(A334,控制台!$B$5001:$B$5051,0)-1,0)+(B334-1)*OFFSET(控制台!$K$5001,MATCH(A334,控制台!$B$5001:$B$5051,0)-1,0)</f>
        <v>450000</v>
      </c>
      <c r="I334" s="4">
        <f ca="1">OFFSET(控制台!$M$5001,MATCH(A334,控制台!$B$5001:$B$5051,0)-1,0)+(B334-1)*OFFSET(控制台!$N$5001,MATCH(A334,控制台!$B$5001:$B$5051,0)-1,0)</f>
        <v>8000000</v>
      </c>
      <c r="J334" s="4">
        <f ca="1">OFFSET(控制台!$P$5001,MATCH(A334,控制台!$B$5001:$B$5051,0)-1,0)</f>
        <v>14400</v>
      </c>
    </row>
    <row r="335" spans="1:10">
      <c r="A335" s="1">
        <v>230701</v>
      </c>
      <c r="B335" s="1">
        <v>5</v>
      </c>
      <c r="C335" s="1">
        <v>3</v>
      </c>
      <c r="D335" s="1" t="s">
        <v>2470</v>
      </c>
      <c r="E335" s="1">
        <f ca="1">OFFSET(控制台!$G$5001,MATCH(A335,控制台!$B$5001:$B$5051,0)-1,0)</f>
        <v>10</v>
      </c>
      <c r="F335" s="1">
        <f ca="1">OFFSET(控制台!$E$5001,MATCH(A335,控制台!$B$5001:$B$5051,0)-1,0)</f>
        <v>7</v>
      </c>
      <c r="G335" s="4">
        <f ca="1">OFFSET(控制台!$I$5001,MATCH(A335,控制台!$B$5001:$B$5051,0)-1,0)</f>
        <v>5000</v>
      </c>
      <c r="H335" s="4">
        <f ca="1">OFFSET(控制台!$J$5001,MATCH(A335,控制台!$B$5001:$B$5051,0)-1,0)+(B335-1)*OFFSET(控制台!$K$5001,MATCH(A335,控制台!$B$5001:$B$5051,0)-1,0)</f>
        <v>500000</v>
      </c>
      <c r="I335" s="4">
        <f ca="1">OFFSET(控制台!$M$5001,MATCH(A335,控制台!$B$5001:$B$5051,0)-1,0)+(B335-1)*OFFSET(控制台!$N$5001,MATCH(A335,控制台!$B$5001:$B$5051,0)-1,0)</f>
        <v>10000000</v>
      </c>
      <c r="J335" s="4">
        <f ca="1">OFFSET(控制台!$P$5001,MATCH(A335,控制台!$B$5001:$B$5051,0)-1,0)</f>
        <v>14400</v>
      </c>
    </row>
    <row r="336" spans="1:10">
      <c r="A336" s="1">
        <v>230701</v>
      </c>
      <c r="B336" s="1">
        <v>6</v>
      </c>
      <c r="C336" s="1">
        <v>3</v>
      </c>
      <c r="D336" s="1" t="s">
        <v>2470</v>
      </c>
      <c r="E336" s="1">
        <f ca="1">OFFSET(控制台!$G$5001,MATCH(A336,控制台!$B$5001:$B$5051,0)-1,0)</f>
        <v>10</v>
      </c>
      <c r="F336" s="1">
        <f ca="1">OFFSET(控制台!$E$5001,MATCH(A336,控制台!$B$5001:$B$5051,0)-1,0)</f>
        <v>7</v>
      </c>
      <c r="G336" s="4">
        <f ca="1">OFFSET(控制台!$I$5001,MATCH(A336,控制台!$B$5001:$B$5051,0)-1,0)</f>
        <v>5000</v>
      </c>
      <c r="H336" s="4">
        <f ca="1">OFFSET(控制台!$J$5001,MATCH(A336,控制台!$B$5001:$B$5051,0)-1,0)+(B336-1)*OFFSET(控制台!$K$5001,MATCH(A336,控制台!$B$5001:$B$5051,0)-1,0)</f>
        <v>550000</v>
      </c>
      <c r="I336" s="4">
        <f ca="1">OFFSET(控制台!$M$5001,MATCH(A336,控制台!$B$5001:$B$5051,0)-1,0)+(B336-1)*OFFSET(控制台!$N$5001,MATCH(A336,控制台!$B$5001:$B$5051,0)-1,0)</f>
        <v>12000000</v>
      </c>
      <c r="J336" s="4">
        <f ca="1">OFFSET(控制台!$P$5001,MATCH(A336,控制台!$B$5001:$B$5051,0)-1,0)</f>
        <v>14400</v>
      </c>
    </row>
    <row r="337" spans="1:10">
      <c r="A337" s="1">
        <v>230701</v>
      </c>
      <c r="B337" s="1">
        <v>7</v>
      </c>
      <c r="C337" s="1">
        <v>3</v>
      </c>
      <c r="D337" s="1" t="s">
        <v>2470</v>
      </c>
      <c r="E337" s="1">
        <f ca="1">OFFSET(控制台!$G$5001,MATCH(A337,控制台!$B$5001:$B$5051,0)-1,0)</f>
        <v>10</v>
      </c>
      <c r="F337" s="1">
        <f ca="1">OFFSET(控制台!$E$5001,MATCH(A337,控制台!$B$5001:$B$5051,0)-1,0)</f>
        <v>7</v>
      </c>
      <c r="G337" s="4">
        <f ca="1">OFFSET(控制台!$I$5001,MATCH(A337,控制台!$B$5001:$B$5051,0)-1,0)</f>
        <v>5000</v>
      </c>
      <c r="H337" s="4">
        <f ca="1">OFFSET(控制台!$J$5001,MATCH(A337,控制台!$B$5001:$B$5051,0)-1,0)+(B337-1)*OFFSET(控制台!$K$5001,MATCH(A337,控制台!$B$5001:$B$5051,0)-1,0)</f>
        <v>600000</v>
      </c>
      <c r="I337" s="4">
        <f ca="1">OFFSET(控制台!$M$5001,MATCH(A337,控制台!$B$5001:$B$5051,0)-1,0)+(B337-1)*OFFSET(控制台!$N$5001,MATCH(A337,控制台!$B$5001:$B$5051,0)-1,0)</f>
        <v>14000000</v>
      </c>
      <c r="J337" s="4">
        <f ca="1">OFFSET(控制台!$P$5001,MATCH(A337,控制台!$B$5001:$B$5051,0)-1,0)</f>
        <v>14400</v>
      </c>
    </row>
    <row r="338" spans="1:10">
      <c r="A338" s="1">
        <v>230701</v>
      </c>
      <c r="B338" s="1">
        <v>8</v>
      </c>
      <c r="C338" s="1">
        <v>3</v>
      </c>
      <c r="D338" s="1" t="s">
        <v>2470</v>
      </c>
      <c r="E338" s="1">
        <f ca="1">OFFSET(控制台!$G$5001,MATCH(A338,控制台!$B$5001:$B$5051,0)-1,0)</f>
        <v>10</v>
      </c>
      <c r="F338" s="1">
        <f ca="1">OFFSET(控制台!$E$5001,MATCH(A338,控制台!$B$5001:$B$5051,0)-1,0)</f>
        <v>7</v>
      </c>
      <c r="G338" s="4">
        <f ca="1">OFFSET(控制台!$I$5001,MATCH(A338,控制台!$B$5001:$B$5051,0)-1,0)</f>
        <v>5000</v>
      </c>
      <c r="H338" s="4">
        <f ca="1">OFFSET(控制台!$J$5001,MATCH(A338,控制台!$B$5001:$B$5051,0)-1,0)+(B338-1)*OFFSET(控制台!$K$5001,MATCH(A338,控制台!$B$5001:$B$5051,0)-1,0)</f>
        <v>650000</v>
      </c>
      <c r="I338" s="4">
        <f ca="1">OFFSET(控制台!$M$5001,MATCH(A338,控制台!$B$5001:$B$5051,0)-1,0)+(B338-1)*OFFSET(控制台!$N$5001,MATCH(A338,控制台!$B$5001:$B$5051,0)-1,0)</f>
        <v>16000000</v>
      </c>
      <c r="J338" s="4">
        <f ca="1">OFFSET(控制台!$P$5001,MATCH(A338,控制台!$B$5001:$B$5051,0)-1,0)</f>
        <v>14400</v>
      </c>
    </row>
    <row r="339" spans="1:10">
      <c r="A339" s="1">
        <v>230701</v>
      </c>
      <c r="B339" s="1">
        <v>9</v>
      </c>
      <c r="C339" s="1">
        <v>3</v>
      </c>
      <c r="D339" s="1" t="s">
        <v>2470</v>
      </c>
      <c r="E339" s="1">
        <f ca="1">OFFSET(控制台!$G$5001,MATCH(A339,控制台!$B$5001:$B$5051,0)-1,0)</f>
        <v>10</v>
      </c>
      <c r="F339" s="1">
        <f ca="1">OFFSET(控制台!$E$5001,MATCH(A339,控制台!$B$5001:$B$5051,0)-1,0)</f>
        <v>7</v>
      </c>
      <c r="G339" s="4">
        <f ca="1">OFFSET(控制台!$I$5001,MATCH(A339,控制台!$B$5001:$B$5051,0)-1,0)</f>
        <v>5000</v>
      </c>
      <c r="H339" s="4">
        <f ca="1">OFFSET(控制台!$J$5001,MATCH(A339,控制台!$B$5001:$B$5051,0)-1,0)+(B339-1)*OFFSET(控制台!$K$5001,MATCH(A339,控制台!$B$5001:$B$5051,0)-1,0)</f>
        <v>700000</v>
      </c>
      <c r="I339" s="4">
        <f ca="1">OFFSET(控制台!$M$5001,MATCH(A339,控制台!$B$5001:$B$5051,0)-1,0)+(B339-1)*OFFSET(控制台!$N$5001,MATCH(A339,控制台!$B$5001:$B$5051,0)-1,0)</f>
        <v>18000000</v>
      </c>
      <c r="J339" s="4">
        <f ca="1">OFFSET(控制台!$P$5001,MATCH(A339,控制台!$B$5001:$B$5051,0)-1,0)</f>
        <v>14400</v>
      </c>
    </row>
    <row r="340" spans="1:10">
      <c r="A340" s="1">
        <v>230701</v>
      </c>
      <c r="B340" s="1">
        <v>10</v>
      </c>
      <c r="C340" s="1">
        <v>3</v>
      </c>
      <c r="D340" s="1" t="s">
        <v>2470</v>
      </c>
      <c r="E340" s="1">
        <f ca="1">OFFSET(控制台!$G$5001,MATCH(A340,控制台!$B$5001:$B$5051,0)-1,0)</f>
        <v>10</v>
      </c>
      <c r="F340" s="1">
        <f ca="1">OFFSET(控制台!$E$5001,MATCH(A340,控制台!$B$5001:$B$5051,0)-1,0)</f>
        <v>7</v>
      </c>
      <c r="G340" s="4">
        <f ca="1">OFFSET(控制台!$I$5001,MATCH(A340,控制台!$B$5001:$B$5051,0)-1,0)</f>
        <v>5000</v>
      </c>
      <c r="H340" s="4">
        <f ca="1">OFFSET(控制台!$J$5001,MATCH(A340,控制台!$B$5001:$B$5051,0)-1,0)+(B340-1)*OFFSET(控制台!$K$5001,MATCH(A340,控制台!$B$5001:$B$5051,0)-1,0)</f>
        <v>750000</v>
      </c>
      <c r="I340" s="4">
        <f ca="1">OFFSET(控制台!$M$5001,MATCH(A340,控制台!$B$5001:$B$5051,0)-1,0)+(B340-1)*OFFSET(控制台!$N$5001,MATCH(A340,控制台!$B$5001:$B$5051,0)-1,0)</f>
        <v>20000000</v>
      </c>
      <c r="J340" s="4">
        <f ca="1">OFFSET(控制台!$P$5001,MATCH(A340,控制台!$B$5001:$B$5051,0)-1,0)</f>
        <v>14400</v>
      </c>
    </row>
    <row r="341" spans="1:10">
      <c r="A341" s="1">
        <v>230702</v>
      </c>
      <c r="B341" s="1">
        <v>1</v>
      </c>
      <c r="C341" s="1">
        <v>3</v>
      </c>
      <c r="D341" s="1" t="s">
        <v>2471</v>
      </c>
      <c r="E341" s="1">
        <f ca="1">OFFSET(控制台!$G$5001,MATCH(A341,控制台!$B$5001:$B$5051,0)-1,0)</f>
        <v>10</v>
      </c>
      <c r="F341" s="1">
        <f ca="1">OFFSET(控制台!$E$5001,MATCH(A341,控制台!$B$5001:$B$5051,0)-1,0)</f>
        <v>7</v>
      </c>
      <c r="G341" s="4">
        <f ca="1">OFFSET(控制台!$I$5001,MATCH(A341,控制台!$B$5001:$B$5051,0)-1,0)</f>
        <v>5000</v>
      </c>
      <c r="H341" s="4">
        <f ca="1">OFFSET(控制台!$J$5001,MATCH(A341,控制台!$B$5001:$B$5051,0)-1,0)+(B341-1)*OFFSET(控制台!$K$5001,MATCH(A341,控制台!$B$5001:$B$5051,0)-1,0)</f>
        <v>300000</v>
      </c>
      <c r="I341" s="4">
        <f ca="1">OFFSET(控制台!$M$5001,MATCH(A341,控制台!$B$5001:$B$5051,0)-1,0)+(B341-1)*OFFSET(控制台!$N$5001,MATCH(A341,控制台!$B$5001:$B$5051,0)-1,0)</f>
        <v>2000000</v>
      </c>
      <c r="J341" s="4">
        <f ca="1">OFFSET(控制台!$P$5001,MATCH(A341,控制台!$B$5001:$B$5051,0)-1,0)</f>
        <v>14400</v>
      </c>
    </row>
    <row r="342" spans="1:10">
      <c r="A342" s="1">
        <v>230702</v>
      </c>
      <c r="B342" s="1">
        <v>2</v>
      </c>
      <c r="C342" s="1">
        <v>3</v>
      </c>
      <c r="D342" s="1" t="s">
        <v>2471</v>
      </c>
      <c r="E342" s="1">
        <f ca="1">OFFSET(控制台!$G$5001,MATCH(A342,控制台!$B$5001:$B$5051,0)-1,0)</f>
        <v>10</v>
      </c>
      <c r="F342" s="1">
        <f ca="1">OFFSET(控制台!$E$5001,MATCH(A342,控制台!$B$5001:$B$5051,0)-1,0)</f>
        <v>7</v>
      </c>
      <c r="G342" s="4">
        <f ca="1">OFFSET(控制台!$I$5001,MATCH(A342,控制台!$B$5001:$B$5051,0)-1,0)</f>
        <v>5000</v>
      </c>
      <c r="H342" s="4">
        <f ca="1">OFFSET(控制台!$J$5001,MATCH(A342,控制台!$B$5001:$B$5051,0)-1,0)+(B342-1)*OFFSET(控制台!$K$5001,MATCH(A342,控制台!$B$5001:$B$5051,0)-1,0)</f>
        <v>350000</v>
      </c>
      <c r="I342" s="4">
        <f ca="1">OFFSET(控制台!$M$5001,MATCH(A342,控制台!$B$5001:$B$5051,0)-1,0)+(B342-1)*OFFSET(控制台!$N$5001,MATCH(A342,控制台!$B$5001:$B$5051,0)-1,0)</f>
        <v>4000000</v>
      </c>
      <c r="J342" s="4">
        <f ca="1">OFFSET(控制台!$P$5001,MATCH(A342,控制台!$B$5001:$B$5051,0)-1,0)</f>
        <v>14400</v>
      </c>
    </row>
    <row r="343" spans="1:10">
      <c r="A343" s="1">
        <v>230702</v>
      </c>
      <c r="B343" s="1">
        <v>3</v>
      </c>
      <c r="C343" s="1">
        <v>3</v>
      </c>
      <c r="D343" s="1" t="s">
        <v>2471</v>
      </c>
      <c r="E343" s="1">
        <f ca="1">OFFSET(控制台!$G$5001,MATCH(A343,控制台!$B$5001:$B$5051,0)-1,0)</f>
        <v>10</v>
      </c>
      <c r="F343" s="1">
        <f ca="1">OFFSET(控制台!$E$5001,MATCH(A343,控制台!$B$5001:$B$5051,0)-1,0)</f>
        <v>7</v>
      </c>
      <c r="G343" s="4">
        <f ca="1">OFFSET(控制台!$I$5001,MATCH(A343,控制台!$B$5001:$B$5051,0)-1,0)</f>
        <v>5000</v>
      </c>
      <c r="H343" s="4">
        <f ca="1">OFFSET(控制台!$J$5001,MATCH(A343,控制台!$B$5001:$B$5051,0)-1,0)+(B343-1)*OFFSET(控制台!$K$5001,MATCH(A343,控制台!$B$5001:$B$5051,0)-1,0)</f>
        <v>400000</v>
      </c>
      <c r="I343" s="4">
        <f ca="1">OFFSET(控制台!$M$5001,MATCH(A343,控制台!$B$5001:$B$5051,0)-1,0)+(B343-1)*OFFSET(控制台!$N$5001,MATCH(A343,控制台!$B$5001:$B$5051,0)-1,0)</f>
        <v>6000000</v>
      </c>
      <c r="J343" s="4">
        <f ca="1">OFFSET(控制台!$P$5001,MATCH(A343,控制台!$B$5001:$B$5051,0)-1,0)</f>
        <v>14400</v>
      </c>
    </row>
    <row r="344" spans="1:10">
      <c r="A344" s="1">
        <v>230702</v>
      </c>
      <c r="B344" s="1">
        <v>4</v>
      </c>
      <c r="C344" s="1">
        <v>3</v>
      </c>
      <c r="D344" s="1" t="s">
        <v>2471</v>
      </c>
      <c r="E344" s="1">
        <f ca="1">OFFSET(控制台!$G$5001,MATCH(A344,控制台!$B$5001:$B$5051,0)-1,0)</f>
        <v>10</v>
      </c>
      <c r="F344" s="1">
        <f ca="1">OFFSET(控制台!$E$5001,MATCH(A344,控制台!$B$5001:$B$5051,0)-1,0)</f>
        <v>7</v>
      </c>
      <c r="G344" s="4">
        <f ca="1">OFFSET(控制台!$I$5001,MATCH(A344,控制台!$B$5001:$B$5051,0)-1,0)</f>
        <v>5000</v>
      </c>
      <c r="H344" s="4">
        <f ca="1">OFFSET(控制台!$J$5001,MATCH(A344,控制台!$B$5001:$B$5051,0)-1,0)+(B344-1)*OFFSET(控制台!$K$5001,MATCH(A344,控制台!$B$5001:$B$5051,0)-1,0)</f>
        <v>450000</v>
      </c>
      <c r="I344" s="4">
        <f ca="1">OFFSET(控制台!$M$5001,MATCH(A344,控制台!$B$5001:$B$5051,0)-1,0)+(B344-1)*OFFSET(控制台!$N$5001,MATCH(A344,控制台!$B$5001:$B$5051,0)-1,0)</f>
        <v>8000000</v>
      </c>
      <c r="J344" s="4">
        <f ca="1">OFFSET(控制台!$P$5001,MATCH(A344,控制台!$B$5001:$B$5051,0)-1,0)</f>
        <v>14400</v>
      </c>
    </row>
    <row r="345" spans="1:10">
      <c r="A345" s="1">
        <v>230702</v>
      </c>
      <c r="B345" s="1">
        <v>5</v>
      </c>
      <c r="C345" s="1">
        <v>3</v>
      </c>
      <c r="D345" s="1" t="s">
        <v>2471</v>
      </c>
      <c r="E345" s="1">
        <f ca="1">OFFSET(控制台!$G$5001,MATCH(A345,控制台!$B$5001:$B$5051,0)-1,0)</f>
        <v>10</v>
      </c>
      <c r="F345" s="1">
        <f ca="1">OFFSET(控制台!$E$5001,MATCH(A345,控制台!$B$5001:$B$5051,0)-1,0)</f>
        <v>7</v>
      </c>
      <c r="G345" s="4">
        <f ca="1">OFFSET(控制台!$I$5001,MATCH(A345,控制台!$B$5001:$B$5051,0)-1,0)</f>
        <v>5000</v>
      </c>
      <c r="H345" s="4">
        <f ca="1">OFFSET(控制台!$J$5001,MATCH(A345,控制台!$B$5001:$B$5051,0)-1,0)+(B345-1)*OFFSET(控制台!$K$5001,MATCH(A345,控制台!$B$5001:$B$5051,0)-1,0)</f>
        <v>500000</v>
      </c>
      <c r="I345" s="4">
        <f ca="1">OFFSET(控制台!$M$5001,MATCH(A345,控制台!$B$5001:$B$5051,0)-1,0)+(B345-1)*OFFSET(控制台!$N$5001,MATCH(A345,控制台!$B$5001:$B$5051,0)-1,0)</f>
        <v>10000000</v>
      </c>
      <c r="J345" s="4">
        <f ca="1">OFFSET(控制台!$P$5001,MATCH(A345,控制台!$B$5001:$B$5051,0)-1,0)</f>
        <v>14400</v>
      </c>
    </row>
    <row r="346" spans="1:10">
      <c r="A346" s="1">
        <v>230702</v>
      </c>
      <c r="B346" s="1">
        <v>6</v>
      </c>
      <c r="C346" s="1">
        <v>3</v>
      </c>
      <c r="D346" s="1" t="s">
        <v>2471</v>
      </c>
      <c r="E346" s="1">
        <f ca="1">OFFSET(控制台!$G$5001,MATCH(A346,控制台!$B$5001:$B$5051,0)-1,0)</f>
        <v>10</v>
      </c>
      <c r="F346" s="1">
        <f ca="1">OFFSET(控制台!$E$5001,MATCH(A346,控制台!$B$5001:$B$5051,0)-1,0)</f>
        <v>7</v>
      </c>
      <c r="G346" s="4">
        <f ca="1">OFFSET(控制台!$I$5001,MATCH(A346,控制台!$B$5001:$B$5051,0)-1,0)</f>
        <v>5000</v>
      </c>
      <c r="H346" s="4">
        <f ca="1">OFFSET(控制台!$J$5001,MATCH(A346,控制台!$B$5001:$B$5051,0)-1,0)+(B346-1)*OFFSET(控制台!$K$5001,MATCH(A346,控制台!$B$5001:$B$5051,0)-1,0)</f>
        <v>550000</v>
      </c>
      <c r="I346" s="4">
        <f ca="1">OFFSET(控制台!$M$5001,MATCH(A346,控制台!$B$5001:$B$5051,0)-1,0)+(B346-1)*OFFSET(控制台!$N$5001,MATCH(A346,控制台!$B$5001:$B$5051,0)-1,0)</f>
        <v>12000000</v>
      </c>
      <c r="J346" s="4">
        <f ca="1">OFFSET(控制台!$P$5001,MATCH(A346,控制台!$B$5001:$B$5051,0)-1,0)</f>
        <v>14400</v>
      </c>
    </row>
    <row r="347" spans="1:10">
      <c r="A347" s="1">
        <v>230702</v>
      </c>
      <c r="B347" s="1">
        <v>7</v>
      </c>
      <c r="C347" s="1">
        <v>3</v>
      </c>
      <c r="D347" s="1" t="s">
        <v>2471</v>
      </c>
      <c r="E347" s="1">
        <f ca="1">OFFSET(控制台!$G$5001,MATCH(A347,控制台!$B$5001:$B$5051,0)-1,0)</f>
        <v>10</v>
      </c>
      <c r="F347" s="1">
        <f ca="1">OFFSET(控制台!$E$5001,MATCH(A347,控制台!$B$5001:$B$5051,0)-1,0)</f>
        <v>7</v>
      </c>
      <c r="G347" s="4">
        <f ca="1">OFFSET(控制台!$I$5001,MATCH(A347,控制台!$B$5001:$B$5051,0)-1,0)</f>
        <v>5000</v>
      </c>
      <c r="H347" s="4">
        <f ca="1">OFFSET(控制台!$J$5001,MATCH(A347,控制台!$B$5001:$B$5051,0)-1,0)+(B347-1)*OFFSET(控制台!$K$5001,MATCH(A347,控制台!$B$5001:$B$5051,0)-1,0)</f>
        <v>600000</v>
      </c>
      <c r="I347" s="4">
        <f ca="1">OFFSET(控制台!$M$5001,MATCH(A347,控制台!$B$5001:$B$5051,0)-1,0)+(B347-1)*OFFSET(控制台!$N$5001,MATCH(A347,控制台!$B$5001:$B$5051,0)-1,0)</f>
        <v>14000000</v>
      </c>
      <c r="J347" s="4">
        <f ca="1">OFFSET(控制台!$P$5001,MATCH(A347,控制台!$B$5001:$B$5051,0)-1,0)</f>
        <v>14400</v>
      </c>
    </row>
    <row r="348" spans="1:10">
      <c r="A348" s="1">
        <v>230702</v>
      </c>
      <c r="B348" s="1">
        <v>8</v>
      </c>
      <c r="C348" s="1">
        <v>3</v>
      </c>
      <c r="D348" s="1" t="s">
        <v>2471</v>
      </c>
      <c r="E348" s="1">
        <f ca="1">OFFSET(控制台!$G$5001,MATCH(A348,控制台!$B$5001:$B$5051,0)-1,0)</f>
        <v>10</v>
      </c>
      <c r="F348" s="1">
        <f ca="1">OFFSET(控制台!$E$5001,MATCH(A348,控制台!$B$5001:$B$5051,0)-1,0)</f>
        <v>7</v>
      </c>
      <c r="G348" s="4">
        <f ca="1">OFFSET(控制台!$I$5001,MATCH(A348,控制台!$B$5001:$B$5051,0)-1,0)</f>
        <v>5000</v>
      </c>
      <c r="H348" s="4">
        <f ca="1">OFFSET(控制台!$J$5001,MATCH(A348,控制台!$B$5001:$B$5051,0)-1,0)+(B348-1)*OFFSET(控制台!$K$5001,MATCH(A348,控制台!$B$5001:$B$5051,0)-1,0)</f>
        <v>650000</v>
      </c>
      <c r="I348" s="4">
        <f ca="1">OFFSET(控制台!$M$5001,MATCH(A348,控制台!$B$5001:$B$5051,0)-1,0)+(B348-1)*OFFSET(控制台!$N$5001,MATCH(A348,控制台!$B$5001:$B$5051,0)-1,0)</f>
        <v>16000000</v>
      </c>
      <c r="J348" s="4">
        <f ca="1">OFFSET(控制台!$P$5001,MATCH(A348,控制台!$B$5001:$B$5051,0)-1,0)</f>
        <v>14400</v>
      </c>
    </row>
    <row r="349" spans="1:10">
      <c r="A349" s="1">
        <v>230702</v>
      </c>
      <c r="B349" s="1">
        <v>9</v>
      </c>
      <c r="C349" s="1">
        <v>3</v>
      </c>
      <c r="D349" s="1" t="s">
        <v>2471</v>
      </c>
      <c r="E349" s="1">
        <f ca="1">OFFSET(控制台!$G$5001,MATCH(A349,控制台!$B$5001:$B$5051,0)-1,0)</f>
        <v>10</v>
      </c>
      <c r="F349" s="1">
        <f ca="1">OFFSET(控制台!$E$5001,MATCH(A349,控制台!$B$5001:$B$5051,0)-1,0)</f>
        <v>7</v>
      </c>
      <c r="G349" s="4">
        <f ca="1">OFFSET(控制台!$I$5001,MATCH(A349,控制台!$B$5001:$B$5051,0)-1,0)</f>
        <v>5000</v>
      </c>
      <c r="H349" s="4">
        <f ca="1">OFFSET(控制台!$J$5001,MATCH(A349,控制台!$B$5001:$B$5051,0)-1,0)+(B349-1)*OFFSET(控制台!$K$5001,MATCH(A349,控制台!$B$5001:$B$5051,0)-1,0)</f>
        <v>700000</v>
      </c>
      <c r="I349" s="4">
        <f ca="1">OFFSET(控制台!$M$5001,MATCH(A349,控制台!$B$5001:$B$5051,0)-1,0)+(B349-1)*OFFSET(控制台!$N$5001,MATCH(A349,控制台!$B$5001:$B$5051,0)-1,0)</f>
        <v>18000000</v>
      </c>
      <c r="J349" s="4">
        <f ca="1">OFFSET(控制台!$P$5001,MATCH(A349,控制台!$B$5001:$B$5051,0)-1,0)</f>
        <v>14400</v>
      </c>
    </row>
    <row r="350" spans="1:10">
      <c r="A350" s="1">
        <v>230702</v>
      </c>
      <c r="B350" s="1">
        <v>10</v>
      </c>
      <c r="C350" s="1">
        <v>3</v>
      </c>
      <c r="D350" s="1" t="s">
        <v>2471</v>
      </c>
      <c r="E350" s="1">
        <f ca="1">OFFSET(控制台!$G$5001,MATCH(A350,控制台!$B$5001:$B$5051,0)-1,0)</f>
        <v>10</v>
      </c>
      <c r="F350" s="1">
        <f ca="1">OFFSET(控制台!$E$5001,MATCH(A350,控制台!$B$5001:$B$5051,0)-1,0)</f>
        <v>7</v>
      </c>
      <c r="G350" s="4">
        <f ca="1">OFFSET(控制台!$I$5001,MATCH(A350,控制台!$B$5001:$B$5051,0)-1,0)</f>
        <v>5000</v>
      </c>
      <c r="H350" s="4">
        <f ca="1">OFFSET(控制台!$J$5001,MATCH(A350,控制台!$B$5001:$B$5051,0)-1,0)+(B350-1)*OFFSET(控制台!$K$5001,MATCH(A350,控制台!$B$5001:$B$5051,0)-1,0)</f>
        <v>750000</v>
      </c>
      <c r="I350" s="4">
        <f ca="1">OFFSET(控制台!$M$5001,MATCH(A350,控制台!$B$5001:$B$5051,0)-1,0)+(B350-1)*OFFSET(控制台!$N$5001,MATCH(A350,控制台!$B$5001:$B$5051,0)-1,0)</f>
        <v>20000000</v>
      </c>
      <c r="J350" s="4">
        <f ca="1">OFFSET(控制台!$P$5001,MATCH(A350,控制台!$B$5001:$B$5051,0)-1,0)</f>
        <v>14400</v>
      </c>
    </row>
    <row r="351" spans="1:10">
      <c r="A351" s="1">
        <v>230703</v>
      </c>
      <c r="B351" s="1">
        <v>1</v>
      </c>
      <c r="C351" s="1">
        <v>3</v>
      </c>
      <c r="D351" s="1" t="s">
        <v>2472</v>
      </c>
      <c r="E351" s="1">
        <f ca="1">OFFSET(控制台!$G$5001,MATCH(A351,控制台!$B$5001:$B$5051,0)-1,0)</f>
        <v>10</v>
      </c>
      <c r="F351" s="1">
        <f ca="1">OFFSET(控制台!$E$5001,MATCH(A351,控制台!$B$5001:$B$5051,0)-1,0)</f>
        <v>7</v>
      </c>
      <c r="G351" s="4">
        <f ca="1">OFFSET(控制台!$I$5001,MATCH(A351,控制台!$B$5001:$B$5051,0)-1,0)</f>
        <v>5000</v>
      </c>
      <c r="H351" s="4">
        <f ca="1">OFFSET(控制台!$J$5001,MATCH(A351,控制台!$B$5001:$B$5051,0)-1,0)+(B351-1)*OFFSET(控制台!$K$5001,MATCH(A351,控制台!$B$5001:$B$5051,0)-1,0)</f>
        <v>300000</v>
      </c>
      <c r="I351" s="4">
        <f ca="1">OFFSET(控制台!$M$5001,MATCH(A351,控制台!$B$5001:$B$5051,0)-1,0)+(B351-1)*OFFSET(控制台!$N$5001,MATCH(A351,控制台!$B$5001:$B$5051,0)-1,0)</f>
        <v>2000000</v>
      </c>
      <c r="J351" s="4">
        <f ca="1">OFFSET(控制台!$P$5001,MATCH(A351,控制台!$B$5001:$B$5051,0)-1,0)</f>
        <v>14400</v>
      </c>
    </row>
    <row r="352" spans="1:10">
      <c r="A352" s="1">
        <v>230703</v>
      </c>
      <c r="B352" s="1">
        <v>2</v>
      </c>
      <c r="C352" s="1">
        <v>3</v>
      </c>
      <c r="D352" s="1" t="s">
        <v>2472</v>
      </c>
      <c r="E352" s="1">
        <f ca="1">OFFSET(控制台!$G$5001,MATCH(A352,控制台!$B$5001:$B$5051,0)-1,0)</f>
        <v>10</v>
      </c>
      <c r="F352" s="1">
        <f ca="1">OFFSET(控制台!$E$5001,MATCH(A352,控制台!$B$5001:$B$5051,0)-1,0)</f>
        <v>7</v>
      </c>
      <c r="G352" s="4">
        <f ca="1">OFFSET(控制台!$I$5001,MATCH(A352,控制台!$B$5001:$B$5051,0)-1,0)</f>
        <v>5000</v>
      </c>
      <c r="H352" s="4">
        <f ca="1">OFFSET(控制台!$J$5001,MATCH(A352,控制台!$B$5001:$B$5051,0)-1,0)+(B352-1)*OFFSET(控制台!$K$5001,MATCH(A352,控制台!$B$5001:$B$5051,0)-1,0)</f>
        <v>350000</v>
      </c>
      <c r="I352" s="4">
        <f ca="1">OFFSET(控制台!$M$5001,MATCH(A352,控制台!$B$5001:$B$5051,0)-1,0)+(B352-1)*OFFSET(控制台!$N$5001,MATCH(A352,控制台!$B$5001:$B$5051,0)-1,0)</f>
        <v>4000000</v>
      </c>
      <c r="J352" s="4">
        <f ca="1">OFFSET(控制台!$P$5001,MATCH(A352,控制台!$B$5001:$B$5051,0)-1,0)</f>
        <v>14400</v>
      </c>
    </row>
    <row r="353" spans="1:10">
      <c r="A353" s="1">
        <v>230703</v>
      </c>
      <c r="B353" s="1">
        <v>3</v>
      </c>
      <c r="C353" s="1">
        <v>3</v>
      </c>
      <c r="D353" s="1" t="s">
        <v>2472</v>
      </c>
      <c r="E353" s="1">
        <f ca="1">OFFSET(控制台!$G$5001,MATCH(A353,控制台!$B$5001:$B$5051,0)-1,0)</f>
        <v>10</v>
      </c>
      <c r="F353" s="1">
        <f ca="1">OFFSET(控制台!$E$5001,MATCH(A353,控制台!$B$5001:$B$5051,0)-1,0)</f>
        <v>7</v>
      </c>
      <c r="G353" s="4">
        <f ca="1">OFFSET(控制台!$I$5001,MATCH(A353,控制台!$B$5001:$B$5051,0)-1,0)</f>
        <v>5000</v>
      </c>
      <c r="H353" s="4">
        <f ca="1">OFFSET(控制台!$J$5001,MATCH(A353,控制台!$B$5001:$B$5051,0)-1,0)+(B353-1)*OFFSET(控制台!$K$5001,MATCH(A353,控制台!$B$5001:$B$5051,0)-1,0)</f>
        <v>400000</v>
      </c>
      <c r="I353" s="4">
        <f ca="1">OFFSET(控制台!$M$5001,MATCH(A353,控制台!$B$5001:$B$5051,0)-1,0)+(B353-1)*OFFSET(控制台!$N$5001,MATCH(A353,控制台!$B$5001:$B$5051,0)-1,0)</f>
        <v>6000000</v>
      </c>
      <c r="J353" s="4">
        <f ca="1">OFFSET(控制台!$P$5001,MATCH(A353,控制台!$B$5001:$B$5051,0)-1,0)</f>
        <v>14400</v>
      </c>
    </row>
    <row r="354" spans="1:10">
      <c r="A354" s="1">
        <v>230703</v>
      </c>
      <c r="B354" s="1">
        <v>4</v>
      </c>
      <c r="C354" s="1">
        <v>3</v>
      </c>
      <c r="D354" s="1" t="s">
        <v>2472</v>
      </c>
      <c r="E354" s="1">
        <f ca="1">OFFSET(控制台!$G$5001,MATCH(A354,控制台!$B$5001:$B$5051,0)-1,0)</f>
        <v>10</v>
      </c>
      <c r="F354" s="1">
        <f ca="1">OFFSET(控制台!$E$5001,MATCH(A354,控制台!$B$5001:$B$5051,0)-1,0)</f>
        <v>7</v>
      </c>
      <c r="G354" s="4">
        <f ca="1">OFFSET(控制台!$I$5001,MATCH(A354,控制台!$B$5001:$B$5051,0)-1,0)</f>
        <v>5000</v>
      </c>
      <c r="H354" s="4">
        <f ca="1">OFFSET(控制台!$J$5001,MATCH(A354,控制台!$B$5001:$B$5051,0)-1,0)+(B354-1)*OFFSET(控制台!$K$5001,MATCH(A354,控制台!$B$5001:$B$5051,0)-1,0)</f>
        <v>450000</v>
      </c>
      <c r="I354" s="4">
        <f ca="1">OFFSET(控制台!$M$5001,MATCH(A354,控制台!$B$5001:$B$5051,0)-1,0)+(B354-1)*OFFSET(控制台!$N$5001,MATCH(A354,控制台!$B$5001:$B$5051,0)-1,0)</f>
        <v>8000000</v>
      </c>
      <c r="J354" s="4">
        <f ca="1">OFFSET(控制台!$P$5001,MATCH(A354,控制台!$B$5001:$B$5051,0)-1,0)</f>
        <v>14400</v>
      </c>
    </row>
    <row r="355" spans="1:10">
      <c r="A355" s="1">
        <v>230703</v>
      </c>
      <c r="B355" s="1">
        <v>5</v>
      </c>
      <c r="C355" s="1">
        <v>3</v>
      </c>
      <c r="D355" s="1" t="s">
        <v>2472</v>
      </c>
      <c r="E355" s="1">
        <f ca="1">OFFSET(控制台!$G$5001,MATCH(A355,控制台!$B$5001:$B$5051,0)-1,0)</f>
        <v>10</v>
      </c>
      <c r="F355" s="1">
        <f ca="1">OFFSET(控制台!$E$5001,MATCH(A355,控制台!$B$5001:$B$5051,0)-1,0)</f>
        <v>7</v>
      </c>
      <c r="G355" s="4">
        <f ca="1">OFFSET(控制台!$I$5001,MATCH(A355,控制台!$B$5001:$B$5051,0)-1,0)</f>
        <v>5000</v>
      </c>
      <c r="H355" s="4">
        <f ca="1">OFFSET(控制台!$J$5001,MATCH(A355,控制台!$B$5001:$B$5051,0)-1,0)+(B355-1)*OFFSET(控制台!$K$5001,MATCH(A355,控制台!$B$5001:$B$5051,0)-1,0)</f>
        <v>500000</v>
      </c>
      <c r="I355" s="4">
        <f ca="1">OFFSET(控制台!$M$5001,MATCH(A355,控制台!$B$5001:$B$5051,0)-1,0)+(B355-1)*OFFSET(控制台!$N$5001,MATCH(A355,控制台!$B$5001:$B$5051,0)-1,0)</f>
        <v>10000000</v>
      </c>
      <c r="J355" s="4">
        <f ca="1">OFFSET(控制台!$P$5001,MATCH(A355,控制台!$B$5001:$B$5051,0)-1,0)</f>
        <v>14400</v>
      </c>
    </row>
    <row r="356" spans="1:10">
      <c r="A356" s="1">
        <v>230703</v>
      </c>
      <c r="B356" s="1">
        <v>6</v>
      </c>
      <c r="C356" s="1">
        <v>3</v>
      </c>
      <c r="D356" s="1" t="s">
        <v>2472</v>
      </c>
      <c r="E356" s="1">
        <f ca="1">OFFSET(控制台!$G$5001,MATCH(A356,控制台!$B$5001:$B$5051,0)-1,0)</f>
        <v>10</v>
      </c>
      <c r="F356" s="1">
        <f ca="1">OFFSET(控制台!$E$5001,MATCH(A356,控制台!$B$5001:$B$5051,0)-1,0)</f>
        <v>7</v>
      </c>
      <c r="G356" s="4">
        <f ca="1">OFFSET(控制台!$I$5001,MATCH(A356,控制台!$B$5001:$B$5051,0)-1,0)</f>
        <v>5000</v>
      </c>
      <c r="H356" s="4">
        <f ca="1">OFFSET(控制台!$J$5001,MATCH(A356,控制台!$B$5001:$B$5051,0)-1,0)+(B356-1)*OFFSET(控制台!$K$5001,MATCH(A356,控制台!$B$5001:$B$5051,0)-1,0)</f>
        <v>550000</v>
      </c>
      <c r="I356" s="4">
        <f ca="1">OFFSET(控制台!$M$5001,MATCH(A356,控制台!$B$5001:$B$5051,0)-1,0)+(B356-1)*OFFSET(控制台!$N$5001,MATCH(A356,控制台!$B$5001:$B$5051,0)-1,0)</f>
        <v>12000000</v>
      </c>
      <c r="J356" s="4">
        <f ca="1">OFFSET(控制台!$P$5001,MATCH(A356,控制台!$B$5001:$B$5051,0)-1,0)</f>
        <v>14400</v>
      </c>
    </row>
    <row r="357" spans="1:10">
      <c r="A357" s="1">
        <v>230703</v>
      </c>
      <c r="B357" s="1">
        <v>7</v>
      </c>
      <c r="C357" s="1">
        <v>3</v>
      </c>
      <c r="D357" s="1" t="s">
        <v>2472</v>
      </c>
      <c r="E357" s="1">
        <f ca="1">OFFSET(控制台!$G$5001,MATCH(A357,控制台!$B$5001:$B$5051,0)-1,0)</f>
        <v>10</v>
      </c>
      <c r="F357" s="1">
        <f ca="1">OFFSET(控制台!$E$5001,MATCH(A357,控制台!$B$5001:$B$5051,0)-1,0)</f>
        <v>7</v>
      </c>
      <c r="G357" s="4">
        <f ca="1">OFFSET(控制台!$I$5001,MATCH(A357,控制台!$B$5001:$B$5051,0)-1,0)</f>
        <v>5000</v>
      </c>
      <c r="H357" s="4">
        <f ca="1">OFFSET(控制台!$J$5001,MATCH(A357,控制台!$B$5001:$B$5051,0)-1,0)+(B357-1)*OFFSET(控制台!$K$5001,MATCH(A357,控制台!$B$5001:$B$5051,0)-1,0)</f>
        <v>600000</v>
      </c>
      <c r="I357" s="4">
        <f ca="1">OFFSET(控制台!$M$5001,MATCH(A357,控制台!$B$5001:$B$5051,0)-1,0)+(B357-1)*OFFSET(控制台!$N$5001,MATCH(A357,控制台!$B$5001:$B$5051,0)-1,0)</f>
        <v>14000000</v>
      </c>
      <c r="J357" s="4">
        <f ca="1">OFFSET(控制台!$P$5001,MATCH(A357,控制台!$B$5001:$B$5051,0)-1,0)</f>
        <v>14400</v>
      </c>
    </row>
    <row r="358" spans="1:10">
      <c r="A358" s="1">
        <v>230703</v>
      </c>
      <c r="B358" s="1">
        <v>8</v>
      </c>
      <c r="C358" s="1">
        <v>3</v>
      </c>
      <c r="D358" s="1" t="s">
        <v>2472</v>
      </c>
      <c r="E358" s="1">
        <f ca="1">OFFSET(控制台!$G$5001,MATCH(A358,控制台!$B$5001:$B$5051,0)-1,0)</f>
        <v>10</v>
      </c>
      <c r="F358" s="1">
        <f ca="1">OFFSET(控制台!$E$5001,MATCH(A358,控制台!$B$5001:$B$5051,0)-1,0)</f>
        <v>7</v>
      </c>
      <c r="G358" s="4">
        <f ca="1">OFFSET(控制台!$I$5001,MATCH(A358,控制台!$B$5001:$B$5051,0)-1,0)</f>
        <v>5000</v>
      </c>
      <c r="H358" s="4">
        <f ca="1">OFFSET(控制台!$J$5001,MATCH(A358,控制台!$B$5001:$B$5051,0)-1,0)+(B358-1)*OFFSET(控制台!$K$5001,MATCH(A358,控制台!$B$5001:$B$5051,0)-1,0)</f>
        <v>650000</v>
      </c>
      <c r="I358" s="4">
        <f ca="1">OFFSET(控制台!$M$5001,MATCH(A358,控制台!$B$5001:$B$5051,0)-1,0)+(B358-1)*OFFSET(控制台!$N$5001,MATCH(A358,控制台!$B$5001:$B$5051,0)-1,0)</f>
        <v>16000000</v>
      </c>
      <c r="J358" s="4">
        <f ca="1">OFFSET(控制台!$P$5001,MATCH(A358,控制台!$B$5001:$B$5051,0)-1,0)</f>
        <v>14400</v>
      </c>
    </row>
    <row r="359" spans="1:10">
      <c r="A359" s="1">
        <v>230703</v>
      </c>
      <c r="B359" s="1">
        <v>9</v>
      </c>
      <c r="C359" s="1">
        <v>3</v>
      </c>
      <c r="D359" s="1" t="s">
        <v>2472</v>
      </c>
      <c r="E359" s="1">
        <f ca="1">OFFSET(控制台!$G$5001,MATCH(A359,控制台!$B$5001:$B$5051,0)-1,0)</f>
        <v>10</v>
      </c>
      <c r="F359" s="1">
        <f ca="1">OFFSET(控制台!$E$5001,MATCH(A359,控制台!$B$5001:$B$5051,0)-1,0)</f>
        <v>7</v>
      </c>
      <c r="G359" s="4">
        <f ca="1">OFFSET(控制台!$I$5001,MATCH(A359,控制台!$B$5001:$B$5051,0)-1,0)</f>
        <v>5000</v>
      </c>
      <c r="H359" s="4">
        <f ca="1">OFFSET(控制台!$J$5001,MATCH(A359,控制台!$B$5001:$B$5051,0)-1,0)+(B359-1)*OFFSET(控制台!$K$5001,MATCH(A359,控制台!$B$5001:$B$5051,0)-1,0)</f>
        <v>700000</v>
      </c>
      <c r="I359" s="4">
        <f ca="1">OFFSET(控制台!$M$5001,MATCH(A359,控制台!$B$5001:$B$5051,0)-1,0)+(B359-1)*OFFSET(控制台!$N$5001,MATCH(A359,控制台!$B$5001:$B$5051,0)-1,0)</f>
        <v>18000000</v>
      </c>
      <c r="J359" s="4">
        <f ca="1">OFFSET(控制台!$P$5001,MATCH(A359,控制台!$B$5001:$B$5051,0)-1,0)</f>
        <v>14400</v>
      </c>
    </row>
    <row r="360" spans="1:10">
      <c r="A360" s="1">
        <v>230703</v>
      </c>
      <c r="B360" s="1">
        <v>10</v>
      </c>
      <c r="C360" s="1">
        <v>3</v>
      </c>
      <c r="D360" s="1" t="s">
        <v>2472</v>
      </c>
      <c r="E360" s="1">
        <f ca="1">OFFSET(控制台!$G$5001,MATCH(A360,控制台!$B$5001:$B$5051,0)-1,0)</f>
        <v>10</v>
      </c>
      <c r="F360" s="1">
        <f ca="1">OFFSET(控制台!$E$5001,MATCH(A360,控制台!$B$5001:$B$5051,0)-1,0)</f>
        <v>7</v>
      </c>
      <c r="G360" s="4">
        <f ca="1">OFFSET(控制台!$I$5001,MATCH(A360,控制台!$B$5001:$B$5051,0)-1,0)</f>
        <v>5000</v>
      </c>
      <c r="H360" s="4">
        <f ca="1">OFFSET(控制台!$J$5001,MATCH(A360,控制台!$B$5001:$B$5051,0)-1,0)+(B360-1)*OFFSET(控制台!$K$5001,MATCH(A360,控制台!$B$5001:$B$5051,0)-1,0)</f>
        <v>750000</v>
      </c>
      <c r="I360" s="4">
        <f ca="1">OFFSET(控制台!$M$5001,MATCH(A360,控制台!$B$5001:$B$5051,0)-1,0)+(B360-1)*OFFSET(控制台!$N$5001,MATCH(A360,控制台!$B$5001:$B$5051,0)-1,0)</f>
        <v>20000000</v>
      </c>
      <c r="J360" s="4">
        <f ca="1">OFFSET(控制台!$P$5001,MATCH(A360,控制台!$B$5001:$B$5051,0)-1,0)</f>
        <v>14400</v>
      </c>
    </row>
    <row r="361" spans="1:10">
      <c r="A361" s="1">
        <v>230801</v>
      </c>
      <c r="B361" s="1">
        <v>1</v>
      </c>
      <c r="C361" s="1">
        <v>3</v>
      </c>
      <c r="D361" s="1" t="s">
        <v>2432</v>
      </c>
      <c r="E361" s="1">
        <f ca="1">OFFSET(控制台!$G$5001,MATCH(A361,控制台!$B$5001:$B$5051,0)-1,0)</f>
        <v>10</v>
      </c>
      <c r="F361" s="1">
        <f ca="1">OFFSET(控制台!$E$5001,MATCH(A361,控制台!$B$5001:$B$5051,0)-1,0)</f>
        <v>8</v>
      </c>
      <c r="G361" s="4">
        <f ca="1">OFFSET(控制台!$I$5001,MATCH(A361,控制台!$B$5001:$B$5051,0)-1,0)</f>
        <v>5000</v>
      </c>
      <c r="H361" s="4">
        <f ca="1">OFFSET(控制台!$J$5001,MATCH(A361,控制台!$B$5001:$B$5051,0)-1,0)+(B361-1)*OFFSET(控制台!$K$5001,MATCH(A361,控制台!$B$5001:$B$5051,0)-1,0)</f>
        <v>600000</v>
      </c>
      <c r="I361" s="4">
        <f ca="1">OFFSET(控制台!$M$5001,MATCH(A361,控制台!$B$5001:$B$5051,0)-1,0)+(B361-1)*OFFSET(控制台!$N$5001,MATCH(A361,控制台!$B$5001:$B$5051,0)-1,0)</f>
        <v>2500000</v>
      </c>
      <c r="J361" s="4">
        <f ca="1">OFFSET(控制台!$P$5001,MATCH(A361,控制台!$B$5001:$B$5051,0)-1,0)</f>
        <v>14400</v>
      </c>
    </row>
    <row r="362" spans="1:10">
      <c r="A362" s="1">
        <v>230801</v>
      </c>
      <c r="B362" s="1">
        <v>2</v>
      </c>
      <c r="C362" s="1">
        <v>3</v>
      </c>
      <c r="D362" s="1" t="s">
        <v>2432</v>
      </c>
      <c r="E362" s="1">
        <f ca="1">OFFSET(控制台!$G$5001,MATCH(A362,控制台!$B$5001:$B$5051,0)-1,0)</f>
        <v>10</v>
      </c>
      <c r="F362" s="1">
        <f ca="1">OFFSET(控制台!$E$5001,MATCH(A362,控制台!$B$5001:$B$5051,0)-1,0)</f>
        <v>8</v>
      </c>
      <c r="G362" s="4">
        <f ca="1">OFFSET(控制台!$I$5001,MATCH(A362,控制台!$B$5001:$B$5051,0)-1,0)</f>
        <v>5000</v>
      </c>
      <c r="H362" s="4">
        <f ca="1">OFFSET(控制台!$J$5001,MATCH(A362,控制台!$B$5001:$B$5051,0)-1,0)+(B362-1)*OFFSET(控制台!$K$5001,MATCH(A362,控制台!$B$5001:$B$5051,0)-1,0)</f>
        <v>700000</v>
      </c>
      <c r="I362" s="4">
        <f ca="1">OFFSET(控制台!$M$5001,MATCH(A362,控制台!$B$5001:$B$5051,0)-1,0)+(B362-1)*OFFSET(控制台!$N$5001,MATCH(A362,控制台!$B$5001:$B$5051,0)-1,0)</f>
        <v>5000000</v>
      </c>
      <c r="J362" s="4">
        <f ca="1">OFFSET(控制台!$P$5001,MATCH(A362,控制台!$B$5001:$B$5051,0)-1,0)</f>
        <v>14400</v>
      </c>
    </row>
    <row r="363" spans="1:10">
      <c r="A363" s="1">
        <v>230801</v>
      </c>
      <c r="B363" s="1">
        <v>3</v>
      </c>
      <c r="C363" s="1">
        <v>3</v>
      </c>
      <c r="D363" s="1" t="s">
        <v>2432</v>
      </c>
      <c r="E363" s="1">
        <f ca="1">OFFSET(控制台!$G$5001,MATCH(A363,控制台!$B$5001:$B$5051,0)-1,0)</f>
        <v>10</v>
      </c>
      <c r="F363" s="1">
        <f ca="1">OFFSET(控制台!$E$5001,MATCH(A363,控制台!$B$5001:$B$5051,0)-1,0)</f>
        <v>8</v>
      </c>
      <c r="G363" s="4">
        <f ca="1">OFFSET(控制台!$I$5001,MATCH(A363,控制台!$B$5001:$B$5051,0)-1,0)</f>
        <v>5000</v>
      </c>
      <c r="H363" s="4">
        <f ca="1">OFFSET(控制台!$J$5001,MATCH(A363,控制台!$B$5001:$B$5051,0)-1,0)+(B363-1)*OFFSET(控制台!$K$5001,MATCH(A363,控制台!$B$5001:$B$5051,0)-1,0)</f>
        <v>800000</v>
      </c>
      <c r="I363" s="4">
        <f ca="1">OFFSET(控制台!$M$5001,MATCH(A363,控制台!$B$5001:$B$5051,0)-1,0)+(B363-1)*OFFSET(控制台!$N$5001,MATCH(A363,控制台!$B$5001:$B$5051,0)-1,0)</f>
        <v>7500000</v>
      </c>
      <c r="J363" s="4">
        <f ca="1">OFFSET(控制台!$P$5001,MATCH(A363,控制台!$B$5001:$B$5051,0)-1,0)</f>
        <v>14400</v>
      </c>
    </row>
    <row r="364" spans="1:10">
      <c r="A364" s="1">
        <v>230801</v>
      </c>
      <c r="B364" s="1">
        <v>4</v>
      </c>
      <c r="C364" s="1">
        <v>3</v>
      </c>
      <c r="D364" s="1" t="s">
        <v>2432</v>
      </c>
      <c r="E364" s="1">
        <f ca="1">OFFSET(控制台!$G$5001,MATCH(A364,控制台!$B$5001:$B$5051,0)-1,0)</f>
        <v>10</v>
      </c>
      <c r="F364" s="1">
        <f ca="1">OFFSET(控制台!$E$5001,MATCH(A364,控制台!$B$5001:$B$5051,0)-1,0)</f>
        <v>8</v>
      </c>
      <c r="G364" s="4">
        <f ca="1">OFFSET(控制台!$I$5001,MATCH(A364,控制台!$B$5001:$B$5051,0)-1,0)</f>
        <v>5000</v>
      </c>
      <c r="H364" s="4">
        <f ca="1">OFFSET(控制台!$J$5001,MATCH(A364,控制台!$B$5001:$B$5051,0)-1,0)+(B364-1)*OFFSET(控制台!$K$5001,MATCH(A364,控制台!$B$5001:$B$5051,0)-1,0)</f>
        <v>900000</v>
      </c>
      <c r="I364" s="4">
        <f ca="1">OFFSET(控制台!$M$5001,MATCH(A364,控制台!$B$5001:$B$5051,0)-1,0)+(B364-1)*OFFSET(控制台!$N$5001,MATCH(A364,控制台!$B$5001:$B$5051,0)-1,0)</f>
        <v>10000000</v>
      </c>
      <c r="J364" s="4">
        <f ca="1">OFFSET(控制台!$P$5001,MATCH(A364,控制台!$B$5001:$B$5051,0)-1,0)</f>
        <v>14400</v>
      </c>
    </row>
    <row r="365" spans="1:10">
      <c r="A365" s="1">
        <v>230801</v>
      </c>
      <c r="B365" s="1">
        <v>5</v>
      </c>
      <c r="C365" s="1">
        <v>3</v>
      </c>
      <c r="D365" s="1" t="s">
        <v>2432</v>
      </c>
      <c r="E365" s="1">
        <f ca="1">OFFSET(控制台!$G$5001,MATCH(A365,控制台!$B$5001:$B$5051,0)-1,0)</f>
        <v>10</v>
      </c>
      <c r="F365" s="1">
        <f ca="1">OFFSET(控制台!$E$5001,MATCH(A365,控制台!$B$5001:$B$5051,0)-1,0)</f>
        <v>8</v>
      </c>
      <c r="G365" s="4">
        <f ca="1">OFFSET(控制台!$I$5001,MATCH(A365,控制台!$B$5001:$B$5051,0)-1,0)</f>
        <v>5000</v>
      </c>
      <c r="H365" s="4">
        <f ca="1">OFFSET(控制台!$J$5001,MATCH(A365,控制台!$B$5001:$B$5051,0)-1,0)+(B365-1)*OFFSET(控制台!$K$5001,MATCH(A365,控制台!$B$5001:$B$5051,0)-1,0)</f>
        <v>1000000</v>
      </c>
      <c r="I365" s="4">
        <f ca="1">OFFSET(控制台!$M$5001,MATCH(A365,控制台!$B$5001:$B$5051,0)-1,0)+(B365-1)*OFFSET(控制台!$N$5001,MATCH(A365,控制台!$B$5001:$B$5051,0)-1,0)</f>
        <v>12500000</v>
      </c>
      <c r="J365" s="4">
        <f ca="1">OFFSET(控制台!$P$5001,MATCH(A365,控制台!$B$5001:$B$5051,0)-1,0)</f>
        <v>14400</v>
      </c>
    </row>
    <row r="366" spans="1:10">
      <c r="A366" s="1">
        <v>230801</v>
      </c>
      <c r="B366" s="1">
        <v>6</v>
      </c>
      <c r="C366" s="1">
        <v>3</v>
      </c>
      <c r="D366" s="1" t="s">
        <v>2432</v>
      </c>
      <c r="E366" s="1">
        <f ca="1">OFFSET(控制台!$G$5001,MATCH(A366,控制台!$B$5001:$B$5051,0)-1,0)</f>
        <v>10</v>
      </c>
      <c r="F366" s="1">
        <f ca="1">OFFSET(控制台!$E$5001,MATCH(A366,控制台!$B$5001:$B$5051,0)-1,0)</f>
        <v>8</v>
      </c>
      <c r="G366" s="4">
        <f ca="1">OFFSET(控制台!$I$5001,MATCH(A366,控制台!$B$5001:$B$5051,0)-1,0)</f>
        <v>5000</v>
      </c>
      <c r="H366" s="4">
        <f ca="1">OFFSET(控制台!$J$5001,MATCH(A366,控制台!$B$5001:$B$5051,0)-1,0)+(B366-1)*OFFSET(控制台!$K$5001,MATCH(A366,控制台!$B$5001:$B$5051,0)-1,0)</f>
        <v>1100000</v>
      </c>
      <c r="I366" s="4">
        <f ca="1">OFFSET(控制台!$M$5001,MATCH(A366,控制台!$B$5001:$B$5051,0)-1,0)+(B366-1)*OFFSET(控制台!$N$5001,MATCH(A366,控制台!$B$5001:$B$5051,0)-1,0)</f>
        <v>15000000</v>
      </c>
      <c r="J366" s="4">
        <f ca="1">OFFSET(控制台!$P$5001,MATCH(A366,控制台!$B$5001:$B$5051,0)-1,0)</f>
        <v>14400</v>
      </c>
    </row>
    <row r="367" spans="1:10">
      <c r="A367" s="1">
        <v>230801</v>
      </c>
      <c r="B367" s="1">
        <v>7</v>
      </c>
      <c r="C367" s="1">
        <v>3</v>
      </c>
      <c r="D367" s="1" t="s">
        <v>2432</v>
      </c>
      <c r="E367" s="1">
        <f ca="1">OFFSET(控制台!$G$5001,MATCH(A367,控制台!$B$5001:$B$5051,0)-1,0)</f>
        <v>10</v>
      </c>
      <c r="F367" s="1">
        <f ca="1">OFFSET(控制台!$E$5001,MATCH(A367,控制台!$B$5001:$B$5051,0)-1,0)</f>
        <v>8</v>
      </c>
      <c r="G367" s="4">
        <f ca="1">OFFSET(控制台!$I$5001,MATCH(A367,控制台!$B$5001:$B$5051,0)-1,0)</f>
        <v>5000</v>
      </c>
      <c r="H367" s="4">
        <f ca="1">OFFSET(控制台!$J$5001,MATCH(A367,控制台!$B$5001:$B$5051,0)-1,0)+(B367-1)*OFFSET(控制台!$K$5001,MATCH(A367,控制台!$B$5001:$B$5051,0)-1,0)</f>
        <v>1200000</v>
      </c>
      <c r="I367" s="4">
        <f ca="1">OFFSET(控制台!$M$5001,MATCH(A367,控制台!$B$5001:$B$5051,0)-1,0)+(B367-1)*OFFSET(控制台!$N$5001,MATCH(A367,控制台!$B$5001:$B$5051,0)-1,0)</f>
        <v>17500000</v>
      </c>
      <c r="J367" s="4">
        <f ca="1">OFFSET(控制台!$P$5001,MATCH(A367,控制台!$B$5001:$B$5051,0)-1,0)</f>
        <v>14400</v>
      </c>
    </row>
    <row r="368" spans="1:10">
      <c r="A368" s="1">
        <v>230801</v>
      </c>
      <c r="B368" s="1">
        <v>8</v>
      </c>
      <c r="C368" s="1">
        <v>3</v>
      </c>
      <c r="D368" s="1" t="s">
        <v>2432</v>
      </c>
      <c r="E368" s="1">
        <f ca="1">OFFSET(控制台!$G$5001,MATCH(A368,控制台!$B$5001:$B$5051,0)-1,0)</f>
        <v>10</v>
      </c>
      <c r="F368" s="1">
        <f ca="1">OFFSET(控制台!$E$5001,MATCH(A368,控制台!$B$5001:$B$5051,0)-1,0)</f>
        <v>8</v>
      </c>
      <c r="G368" s="4">
        <f ca="1">OFFSET(控制台!$I$5001,MATCH(A368,控制台!$B$5001:$B$5051,0)-1,0)</f>
        <v>5000</v>
      </c>
      <c r="H368" s="4">
        <f ca="1">OFFSET(控制台!$J$5001,MATCH(A368,控制台!$B$5001:$B$5051,0)-1,0)+(B368-1)*OFFSET(控制台!$K$5001,MATCH(A368,控制台!$B$5001:$B$5051,0)-1,0)</f>
        <v>1300000</v>
      </c>
      <c r="I368" s="4">
        <f ca="1">OFFSET(控制台!$M$5001,MATCH(A368,控制台!$B$5001:$B$5051,0)-1,0)+(B368-1)*OFFSET(控制台!$N$5001,MATCH(A368,控制台!$B$5001:$B$5051,0)-1,0)</f>
        <v>20000000</v>
      </c>
      <c r="J368" s="4">
        <f ca="1">OFFSET(控制台!$P$5001,MATCH(A368,控制台!$B$5001:$B$5051,0)-1,0)</f>
        <v>14400</v>
      </c>
    </row>
    <row r="369" spans="1:10">
      <c r="A369" s="1">
        <v>230801</v>
      </c>
      <c r="B369" s="1">
        <v>9</v>
      </c>
      <c r="C369" s="1">
        <v>3</v>
      </c>
      <c r="D369" s="1" t="s">
        <v>2432</v>
      </c>
      <c r="E369" s="1">
        <f ca="1">OFFSET(控制台!$G$5001,MATCH(A369,控制台!$B$5001:$B$5051,0)-1,0)</f>
        <v>10</v>
      </c>
      <c r="F369" s="1">
        <f ca="1">OFFSET(控制台!$E$5001,MATCH(A369,控制台!$B$5001:$B$5051,0)-1,0)</f>
        <v>8</v>
      </c>
      <c r="G369" s="4">
        <f ca="1">OFFSET(控制台!$I$5001,MATCH(A369,控制台!$B$5001:$B$5051,0)-1,0)</f>
        <v>5000</v>
      </c>
      <c r="H369" s="4">
        <f ca="1">OFFSET(控制台!$J$5001,MATCH(A369,控制台!$B$5001:$B$5051,0)-1,0)+(B369-1)*OFFSET(控制台!$K$5001,MATCH(A369,控制台!$B$5001:$B$5051,0)-1,0)</f>
        <v>1400000</v>
      </c>
      <c r="I369" s="4">
        <f ca="1">OFFSET(控制台!$M$5001,MATCH(A369,控制台!$B$5001:$B$5051,0)-1,0)+(B369-1)*OFFSET(控制台!$N$5001,MATCH(A369,控制台!$B$5001:$B$5051,0)-1,0)</f>
        <v>22500000</v>
      </c>
      <c r="J369" s="4">
        <f ca="1">OFFSET(控制台!$P$5001,MATCH(A369,控制台!$B$5001:$B$5051,0)-1,0)</f>
        <v>14400</v>
      </c>
    </row>
    <row r="370" spans="1:10">
      <c r="A370" s="1">
        <v>230801</v>
      </c>
      <c r="B370" s="1">
        <v>10</v>
      </c>
      <c r="C370" s="1">
        <v>3</v>
      </c>
      <c r="D370" s="1" t="s">
        <v>2432</v>
      </c>
      <c r="E370" s="1">
        <f ca="1">OFFSET(控制台!$G$5001,MATCH(A370,控制台!$B$5001:$B$5051,0)-1,0)</f>
        <v>10</v>
      </c>
      <c r="F370" s="1">
        <f ca="1">OFFSET(控制台!$E$5001,MATCH(A370,控制台!$B$5001:$B$5051,0)-1,0)</f>
        <v>8</v>
      </c>
      <c r="G370" s="4">
        <f ca="1">OFFSET(控制台!$I$5001,MATCH(A370,控制台!$B$5001:$B$5051,0)-1,0)</f>
        <v>5000</v>
      </c>
      <c r="H370" s="4">
        <f ca="1">OFFSET(控制台!$J$5001,MATCH(A370,控制台!$B$5001:$B$5051,0)-1,0)+(B370-1)*OFFSET(控制台!$K$5001,MATCH(A370,控制台!$B$5001:$B$5051,0)-1,0)</f>
        <v>1500000</v>
      </c>
      <c r="I370" s="4">
        <f ca="1">OFFSET(控制台!$M$5001,MATCH(A370,控制台!$B$5001:$B$5051,0)-1,0)+(B370-1)*OFFSET(控制台!$N$5001,MATCH(A370,控制台!$B$5001:$B$5051,0)-1,0)</f>
        <v>25000000</v>
      </c>
      <c r="J370" s="4">
        <f ca="1">OFFSET(控制台!$P$5001,MATCH(A370,控制台!$B$5001:$B$5051,0)-1,0)</f>
        <v>14400</v>
      </c>
    </row>
  </sheetData>
  <hyperlinks>
    <hyperlink ref="A1" location="控制台_503_联盟科技" display="返回控制台_联盟科技"/>
  </hyperlinks>
  <pageMargins left="0.699305555555556" right="0.699305555555556" top="0.75" bottom="0.75" header="0.3" footer="0.3"/>
  <pageSetup paperSize="9" orientation="portrait"/>
  <headerFooter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000"/>
  <dimension ref="A1"/>
  <sheetViews>
    <sheetView workbookViewId="0">
      <selection activeCell="S21" sqref="S21"/>
    </sheetView>
  </sheetViews>
  <sheetFormatPr defaultColWidth="8.70967741935484" defaultRowHeight="13.1"/>
  <cols>
    <col min="1" max="16384" width="9.62903225806452" style="1"/>
  </cols>
  <sheetData/>
  <pageMargins left="0.699305555555556" right="0.699305555555556" top="0.75" bottom="0.75" header="0.3" footer="0.3"/>
  <pageSetup paperSize="9" orientation="portrait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E485348-4228-4EC1-8EBE-3EE709ED7BB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32</vt:i4>
      </vt:variant>
    </vt:vector>
  </HeadingPairs>
  <TitlesOfParts>
    <vt:vector size="32" baseType="lpstr">
      <vt:lpstr>checklist</vt:lpstr>
      <vt:lpstr>修改记录</vt:lpstr>
      <vt:lpstr>增量记录</vt:lpstr>
      <vt:lpstr>目录及说明</vt:lpstr>
      <vt:lpstr>总规划</vt:lpstr>
      <vt:lpstr>养成规划</vt:lpstr>
      <vt:lpstr>控制台</vt:lpstr>
      <vt:lpstr>道具id价值表</vt:lpstr>
      <vt:lpstr>运营对接</vt:lpstr>
      <vt:lpstr>战斗对接</vt:lpstr>
      <vt:lpstr>102_建筑</vt:lpstr>
      <vt:lpstr>103_科技</vt:lpstr>
      <vt:lpstr>107_兵卡等级</vt:lpstr>
      <vt:lpstr>114_军官等级</vt:lpstr>
      <vt:lpstr>116_阵营声望</vt:lpstr>
      <vt:lpstr>122_高级科技</vt:lpstr>
      <vt:lpstr>201_打野</vt:lpstr>
      <vt:lpstr>202_黑鸦营地</vt:lpstr>
      <vt:lpstr>203_采集</vt:lpstr>
      <vt:lpstr>204_军官任务</vt:lpstr>
      <vt:lpstr>205_每日任务</vt:lpstr>
      <vt:lpstr>206_副本挂机</vt:lpstr>
      <vt:lpstr>207_空投</vt:lpstr>
      <vt:lpstr>208_黑市</vt:lpstr>
      <vt:lpstr>210_活动</vt:lpstr>
      <vt:lpstr>211_VIP宝箱</vt:lpstr>
      <vt:lpstr>212_VIP商店</vt:lpstr>
      <vt:lpstr>213_主题活动</vt:lpstr>
      <vt:lpstr>308_挂机首通</vt:lpstr>
      <vt:lpstr>502_联盟积分</vt:lpstr>
      <vt:lpstr>503_联盟科技</vt:lpstr>
      <vt:lpstr>空白页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王鹏的 iPhone</cp:lastModifiedBy>
  <dcterms:created xsi:type="dcterms:W3CDTF">2015-06-05T18:19:00Z</dcterms:created>
  <dcterms:modified xsi:type="dcterms:W3CDTF">2022-09-21T02:31:29Z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2052-11.29.0</vt:lpwstr>
  </property>
  <property fmtid="{D5CDD505-2E9C-101B-9397-08002B2CF9AE}" pid="3" name="ICV">
    <vt:lpwstr>9AD1DE0645DC22CE17AF29631543AD1C</vt:lpwstr>
  </property>
</Properties>
</file>